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tadata.xml" ContentType="application/vnd.openxmlformats-officedocument.spreadsheetml.sheetMetadata+xml"/>
  <Override PartName="/xl/customProperty1.bin" ContentType="application/vnd.openxmlformats-officedocument.spreadsheetml.customProperty"/>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U80855558\AppData\Local\rubicon\Acta Nova Client\Data\635973388\"/>
    </mc:Choice>
  </mc:AlternateContent>
  <xr:revisionPtr revIDLastSave="0" documentId="13_ncr:1_{3E3C86C1-CABD-47A4-BC25-2DE20C928075}" xr6:coauthVersionLast="47" xr6:coauthVersionMax="47" xr10:uidLastSave="{00000000-0000-0000-0000-000000000000}"/>
  <workbookProtection workbookAlgorithmName="SHA-512" workbookHashValue="Mm+LaavpN1KcrM7tav5YCe5YVs9BcNmg8u5AXUxpcgNfDmkDArJlvP79uRihUd82n5sZvXelD2zIJ8EoXIa29w==" workbookSaltValue="lHQQdJFO56aWA4p9zeD62A==" workbookSpinCount="100000" lockStructure="1"/>
  <bookViews>
    <workbookView xWindow="-120" yWindow="-120" windowWidth="29040" windowHeight="15720" tabRatio="435" xr2:uid="{00000000-000D-0000-FFFF-FFFF00000000}"/>
  </bookViews>
  <sheets>
    <sheet name="Version" sheetId="5" r:id="rId1"/>
    <sheet name="A" sheetId="6" r:id="rId2"/>
    <sheet name="B" sheetId="9" r:id="rId3"/>
    <sheet name="Y" sheetId="4" state="hidden" r:id="rId4"/>
    <sheet name="Z" sheetId="3" state="hidden" r:id="rId5"/>
  </sheets>
  <definedNames>
    <definedName name="Categories">Y!$C$61:$E$71</definedName>
    <definedName name="Clean">Y!$C$53:$E$54</definedName>
    <definedName name="E_alt">Y!$F$88:$H$90</definedName>
    <definedName name="E_neu">Y!$I$88:$K$90</definedName>
    <definedName name="Kat">Y!$C$61:$E$71</definedName>
    <definedName name="Lang">Version!$R$6</definedName>
    <definedName name="Lang_measure">Version!$R$12</definedName>
    <definedName name="Loc">Y!$C$56:$E$58</definedName>
    <definedName name="measure_id">Version!$R$8</definedName>
    <definedName name="measure_version">Version!$R$10</definedName>
    <definedName name="Medium">Y!$C$51:$E$52</definedName>
    <definedName name="PLZ">Z!$A$2:$A$4127</definedName>
    <definedName name="Region">Y!$C$88:$E$90</definedName>
    <definedName name="Systems">Y!$C$76:$E$80</definedName>
    <definedName name="Trad">Y!$C$2:$H$401</definedName>
    <definedName name="Units">Y!$C$51:$E$56</definedName>
    <definedName name="Use">Y!$C$75:$G$81</definedName>
    <definedName name="_xlnm.Print_Area" localSheetId="1">A!$A$1:$M$90</definedName>
    <definedName name="_xlnm.Print_Area" localSheetId="0">Version!$A$1:$M$48</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1" i="6" l="1"/>
  <c r="H80" i="6"/>
  <c r="F15" i="9" l="1" a="1"/>
  <c r="F15" i="9" s="1"/>
  <c r="D6" i="9"/>
  <c r="D5" i="9"/>
  <c r="F123" i="9"/>
  <c r="M123" i="9" a="1"/>
  <c r="M123" i="9" s="1"/>
  <c r="R123" i="9" a="1"/>
  <c r="R123" i="9" s="1"/>
  <c r="Z123" i="9"/>
  <c r="AD123" i="9"/>
  <c r="AE123" i="9"/>
  <c r="AF123" i="9"/>
  <c r="BC123" i="9" a="1"/>
  <c r="BC123" i="9" s="1"/>
  <c r="F124" i="9"/>
  <c r="M124" i="9" a="1"/>
  <c r="M124" i="9" s="1"/>
  <c r="R124" i="9" a="1"/>
  <c r="R124" i="9" s="1"/>
  <c r="Z124" i="9"/>
  <c r="AD124" i="9"/>
  <c r="AY124" i="9" s="1" a="1"/>
  <c r="AY124" i="9" s="1"/>
  <c r="AE124" i="9"/>
  <c r="AF124" i="9"/>
  <c r="BC124" i="9" a="1"/>
  <c r="BC124" i="9" s="1"/>
  <c r="F125" i="9"/>
  <c r="M125" i="9" a="1"/>
  <c r="M125" i="9" s="1"/>
  <c r="R125" i="9" a="1"/>
  <c r="R125" i="9" s="1"/>
  <c r="Z125" i="9"/>
  <c r="AD125" i="9"/>
  <c r="BQ125" i="9" s="1"/>
  <c r="AE125" i="9"/>
  <c r="AF125" i="9"/>
  <c r="BC125" i="9" a="1"/>
  <c r="BC125" i="9" s="1"/>
  <c r="CG125" i="9"/>
  <c r="A126" i="9"/>
  <c r="F126" i="9"/>
  <c r="M126" i="9" a="1"/>
  <c r="M126" i="9" s="1"/>
  <c r="R126" i="9" a="1"/>
  <c r="R126" i="9" s="1"/>
  <c r="Z126" i="9"/>
  <c r="AD126" i="9"/>
  <c r="BM126" i="9" s="1"/>
  <c r="AE126" i="9"/>
  <c r="AF126" i="9"/>
  <c r="BB126" i="9" s="1"/>
  <c r="AI126" i="9"/>
  <c r="AY126" i="9" a="1"/>
  <c r="AY126" i="9" s="1"/>
  <c r="BC126" i="9" a="1"/>
  <c r="BC126" i="9" s="1"/>
  <c r="CG126" i="9"/>
  <c r="F127" i="9"/>
  <c r="M127" i="9" a="1"/>
  <c r="M127" i="9" s="1"/>
  <c r="R127" i="9" a="1"/>
  <c r="R127" i="9" s="1"/>
  <c r="Z127" i="9"/>
  <c r="AD127" i="9"/>
  <c r="AE127" i="9"/>
  <c r="AF127" i="9"/>
  <c r="BB127" i="9" s="1"/>
  <c r="BC127" i="9" a="1"/>
  <c r="BC127" i="9" s="1"/>
  <c r="BI127" i="9"/>
  <c r="CK127" i="9"/>
  <c r="F128" i="9"/>
  <c r="M128" i="9" a="1"/>
  <c r="M128" i="9" s="1"/>
  <c r="R128" i="9" a="1"/>
  <c r="R128" i="9" s="1"/>
  <c r="Z128" i="9"/>
  <c r="AD128" i="9"/>
  <c r="AE128" i="9"/>
  <c r="AF128" i="9"/>
  <c r="BC128" i="9" a="1"/>
  <c r="BC128" i="9" s="1"/>
  <c r="F129" i="9"/>
  <c r="M129" i="9" a="1"/>
  <c r="M129" i="9" s="1"/>
  <c r="R129" i="9" a="1"/>
  <c r="R129" i="9" s="1"/>
  <c r="Z129" i="9"/>
  <c r="AD129" i="9"/>
  <c r="AY129" i="9" s="1" a="1"/>
  <c r="AY129" i="9" s="1"/>
  <c r="AE129" i="9"/>
  <c r="AF129" i="9"/>
  <c r="BB129" i="9" s="1"/>
  <c r="BC129" i="9" a="1"/>
  <c r="BC129" i="9" s="1"/>
  <c r="BD129" i="9"/>
  <c r="BQ129" i="9"/>
  <c r="F130" i="9"/>
  <c r="M130" i="9" a="1"/>
  <c r="M130" i="9" s="1"/>
  <c r="R130" i="9" a="1"/>
  <c r="R130" i="9" s="1"/>
  <c r="Z130" i="9"/>
  <c r="AD130" i="9"/>
  <c r="AE130" i="9"/>
  <c r="AF130" i="9"/>
  <c r="BB130" i="9" s="1"/>
  <c r="BC130" i="9" a="1"/>
  <c r="BC130" i="9" s="1"/>
  <c r="F131" i="9"/>
  <c r="M131" i="9" a="1"/>
  <c r="M131" i="9" s="1"/>
  <c r="R131" i="9" a="1"/>
  <c r="R131" i="9" s="1"/>
  <c r="Z131" i="9"/>
  <c r="AD131" i="9"/>
  <c r="BD131" i="9" s="1"/>
  <c r="AE131" i="9"/>
  <c r="AF131" i="9"/>
  <c r="BB131" i="9" s="1"/>
  <c r="BC131" i="9" a="1"/>
  <c r="BC131" i="9" s="1"/>
  <c r="BI131" i="9"/>
  <c r="BQ131" i="9"/>
  <c r="CK131" i="9"/>
  <c r="F132" i="9"/>
  <c r="M132" i="9" a="1"/>
  <c r="M132" i="9" s="1"/>
  <c r="R132" i="9" a="1"/>
  <c r="R132" i="9" s="1"/>
  <c r="Z132" i="9"/>
  <c r="AD132" i="9"/>
  <c r="CK132" i="9" s="1"/>
  <c r="AE132" i="9"/>
  <c r="AF132" i="9"/>
  <c r="BA132" i="9" s="1"/>
  <c r="BC132" i="9" a="1"/>
  <c r="BC132" i="9" s="1"/>
  <c r="F133" i="9"/>
  <c r="M133" i="9" a="1"/>
  <c r="M133" i="9" s="1"/>
  <c r="R133" i="9" a="1"/>
  <c r="R133" i="9" s="1"/>
  <c r="Z133" i="9"/>
  <c r="AD133" i="9"/>
  <c r="AE133" i="9"/>
  <c r="AF133" i="9"/>
  <c r="BC133" i="9" a="1"/>
  <c r="BC133" i="9" s="1"/>
  <c r="F134" i="9"/>
  <c r="M134" i="9" a="1"/>
  <c r="M134" i="9" s="1"/>
  <c r="R134" i="9" a="1"/>
  <c r="R134" i="9" s="1"/>
  <c r="Z134" i="9"/>
  <c r="AD134" i="9"/>
  <c r="CC134" i="9" s="1"/>
  <c r="AE134" i="9"/>
  <c r="AF134" i="9"/>
  <c r="BB134" i="9" s="1"/>
  <c r="BC134" i="9" a="1"/>
  <c r="BC134" i="9" s="1"/>
  <c r="BD134" i="9"/>
  <c r="BM134" i="9"/>
  <c r="F135" i="9"/>
  <c r="M135" i="9" a="1"/>
  <c r="M135" i="9" s="1"/>
  <c r="R135" i="9" a="1"/>
  <c r="R135" i="9" s="1"/>
  <c r="Z135" i="9"/>
  <c r="AD135" i="9"/>
  <c r="BX135" i="9" s="1"/>
  <c r="AE135" i="9"/>
  <c r="AF135" i="9"/>
  <c r="BB135" i="9" s="1"/>
  <c r="BC135" i="9" a="1"/>
  <c r="BC135" i="9" s="1"/>
  <c r="F136" i="9"/>
  <c r="M136" i="9" a="1"/>
  <c r="M136" i="9" s="1"/>
  <c r="R136" i="9" a="1"/>
  <c r="R136" i="9" s="1"/>
  <c r="Z136" i="9"/>
  <c r="AD136" i="9"/>
  <c r="AE136" i="9"/>
  <c r="AF136" i="9"/>
  <c r="BB136" i="9" s="1"/>
  <c r="BC136" i="9" a="1"/>
  <c r="BC136" i="9" s="1"/>
  <c r="F137" i="9"/>
  <c r="M137" i="9" a="1"/>
  <c r="M137" i="9" s="1"/>
  <c r="R137" i="9" a="1"/>
  <c r="R137" i="9" s="1"/>
  <c r="Z137" i="9"/>
  <c r="AD137" i="9"/>
  <c r="BM137" i="9" s="1"/>
  <c r="AE137" i="9"/>
  <c r="AF137" i="9"/>
  <c r="BA137" i="9" s="1"/>
  <c r="BC137" i="9" a="1"/>
  <c r="BC137" i="9" s="1"/>
  <c r="BI137" i="9"/>
  <c r="BQ137" i="9"/>
  <c r="CK137" i="9"/>
  <c r="F138" i="9"/>
  <c r="M138" i="9" a="1"/>
  <c r="M138" i="9" s="1"/>
  <c r="R138" i="9" a="1"/>
  <c r="R138" i="9" s="1"/>
  <c r="Z138" i="9"/>
  <c r="AD138" i="9"/>
  <c r="AE138" i="9"/>
  <c r="AF138" i="9"/>
  <c r="BB138" i="9" s="1"/>
  <c r="BC138" i="9" a="1"/>
  <c r="BC138" i="9" s="1"/>
  <c r="F139" i="9"/>
  <c r="M139" i="9" a="1"/>
  <c r="M139" i="9" s="1"/>
  <c r="R139" i="9" a="1"/>
  <c r="R139" i="9" s="1"/>
  <c r="Z139" i="9"/>
  <c r="AD139" i="9"/>
  <c r="AE139" i="9"/>
  <c r="AF139" i="9"/>
  <c r="BC139" i="9" a="1"/>
  <c r="BC139" i="9" s="1"/>
  <c r="F140" i="9"/>
  <c r="M140" i="9" a="1"/>
  <c r="M140" i="9" s="1"/>
  <c r="R140" i="9" a="1"/>
  <c r="R140" i="9" s="1"/>
  <c r="Z140" i="9"/>
  <c r="AD140" i="9"/>
  <c r="CG140" i="9" s="1"/>
  <c r="AE140" i="9"/>
  <c r="AF140" i="9"/>
  <c r="BB140" i="9" s="1"/>
  <c r="BC140" i="9" a="1"/>
  <c r="BC140" i="9" s="1"/>
  <c r="F141" i="9"/>
  <c r="M141" i="9" a="1"/>
  <c r="M141" i="9" s="1"/>
  <c r="R141" i="9" a="1"/>
  <c r="R141" i="9" s="1"/>
  <c r="Z141" i="9"/>
  <c r="AD141" i="9"/>
  <c r="AE141" i="9"/>
  <c r="AF141" i="9"/>
  <c r="BC141" i="9" a="1"/>
  <c r="BC141" i="9" s="1"/>
  <c r="F142" i="9"/>
  <c r="M142" i="9" a="1"/>
  <c r="M142" i="9" s="1"/>
  <c r="R142" i="9" a="1"/>
  <c r="R142" i="9" s="1"/>
  <c r="Z142" i="9"/>
  <c r="AD142" i="9"/>
  <c r="BI142" i="9" s="1"/>
  <c r="AE142" i="9"/>
  <c r="AF142" i="9"/>
  <c r="BC142" i="9" a="1"/>
  <c r="BC142" i="9" s="1"/>
  <c r="BX142" i="9"/>
  <c r="CK142" i="9"/>
  <c r="F143" i="9"/>
  <c r="M143" i="9" a="1"/>
  <c r="M143" i="9" s="1"/>
  <c r="R143" i="9" a="1"/>
  <c r="R143" i="9" s="1"/>
  <c r="Z143" i="9"/>
  <c r="AD143" i="9"/>
  <c r="AE143" i="9"/>
  <c r="AF143" i="9"/>
  <c r="BC143" i="9" a="1"/>
  <c r="BC143" i="9" s="1"/>
  <c r="F144" i="9"/>
  <c r="M144" i="9" a="1"/>
  <c r="M144" i="9" s="1"/>
  <c r="R144" i="9" a="1"/>
  <c r="R144" i="9" s="1"/>
  <c r="Z144" i="9"/>
  <c r="AD144" i="9"/>
  <c r="BD144" i="9" s="1"/>
  <c r="AE144" i="9"/>
  <c r="AF144" i="9"/>
  <c r="BB144" i="9" s="1"/>
  <c r="BC144" i="9" a="1"/>
  <c r="BC144" i="9" s="1"/>
  <c r="F145" i="9"/>
  <c r="M145" i="9" a="1"/>
  <c r="M145" i="9" s="1"/>
  <c r="R145" i="9" a="1"/>
  <c r="R145" i="9" s="1"/>
  <c r="Z145" i="9"/>
  <c r="AD145" i="9"/>
  <c r="BD145" i="9" s="1"/>
  <c r="AE145" i="9"/>
  <c r="AF145" i="9"/>
  <c r="BB145" i="9" s="1"/>
  <c r="BC145" i="9" a="1"/>
  <c r="BC145" i="9" s="1"/>
  <c r="F146" i="9"/>
  <c r="M146" i="9" a="1"/>
  <c r="M146" i="9" s="1"/>
  <c r="R146" i="9" a="1"/>
  <c r="R146" i="9" s="1"/>
  <c r="Z146" i="9"/>
  <c r="AD146" i="9"/>
  <c r="BD146" i="9" s="1"/>
  <c r="AE146" i="9"/>
  <c r="AF146" i="9"/>
  <c r="BC146" i="9" a="1"/>
  <c r="BC146" i="9" s="1"/>
  <c r="F147" i="9"/>
  <c r="M147" i="9" a="1"/>
  <c r="M147" i="9" s="1"/>
  <c r="R147" i="9" a="1"/>
  <c r="R147" i="9" s="1"/>
  <c r="Z147" i="9"/>
  <c r="AD147" i="9"/>
  <c r="AE147" i="9"/>
  <c r="AF147" i="9"/>
  <c r="BB147" i="9" s="1"/>
  <c r="BC147" i="9" a="1"/>
  <c r="BC147" i="9" s="1"/>
  <c r="F148" i="9"/>
  <c r="M148" i="9" a="1"/>
  <c r="M148" i="9" s="1"/>
  <c r="R148" i="9" a="1"/>
  <c r="R148" i="9" s="1"/>
  <c r="Z148" i="9"/>
  <c r="AD148" i="9"/>
  <c r="CG148" i="9" s="1"/>
  <c r="AE148" i="9"/>
  <c r="AF148" i="9"/>
  <c r="BB148" i="9" s="1"/>
  <c r="BC148" i="9" a="1"/>
  <c r="BC148" i="9" s="1"/>
  <c r="F149" i="9"/>
  <c r="M149" i="9" a="1"/>
  <c r="M149" i="9" s="1"/>
  <c r="R149" i="9" a="1"/>
  <c r="R149" i="9" s="1"/>
  <c r="Z149" i="9"/>
  <c r="AD149" i="9"/>
  <c r="AI149" i="9" s="1"/>
  <c r="AE149" i="9"/>
  <c r="AF149" i="9"/>
  <c r="BC149" i="9" a="1"/>
  <c r="BC149" i="9" s="1"/>
  <c r="BD149" i="9"/>
  <c r="BI149" i="9"/>
  <c r="BX149" i="9"/>
  <c r="F150" i="9"/>
  <c r="M150" i="9" a="1"/>
  <c r="M150" i="9" s="1"/>
  <c r="R150" i="9" a="1"/>
  <c r="R150" i="9" s="1"/>
  <c r="Z150" i="9"/>
  <c r="AD150" i="9"/>
  <c r="BQ150" i="9" s="1"/>
  <c r="AE150" i="9"/>
  <c r="AF150" i="9"/>
  <c r="BB150" i="9" s="1"/>
  <c r="BC150" i="9" a="1"/>
  <c r="BC150" i="9" s="1"/>
  <c r="F151" i="9"/>
  <c r="M151" i="9" a="1"/>
  <c r="M151" i="9" s="1"/>
  <c r="R151" i="9" a="1"/>
  <c r="R151" i="9" s="1"/>
  <c r="Z151" i="9"/>
  <c r="AD151" i="9"/>
  <c r="AE151" i="9"/>
  <c r="AF151" i="9"/>
  <c r="BC151" i="9" a="1"/>
  <c r="BC151" i="9" s="1"/>
  <c r="F152" i="9"/>
  <c r="M152" i="9" a="1"/>
  <c r="M152" i="9" s="1"/>
  <c r="R152" i="9" a="1"/>
  <c r="R152" i="9" s="1"/>
  <c r="Z152" i="9"/>
  <c r="AD152" i="9"/>
  <c r="BI152" i="9" s="1"/>
  <c r="AE152" i="9"/>
  <c r="AF152" i="9"/>
  <c r="BB152" i="9" s="1"/>
  <c r="BC152" i="9" a="1"/>
  <c r="BC152" i="9" s="1"/>
  <c r="A153" i="9"/>
  <c r="F153" i="9"/>
  <c r="M153" i="9" a="1"/>
  <c r="M153" i="9" s="1"/>
  <c r="R153" i="9" a="1"/>
  <c r="R153" i="9" s="1"/>
  <c r="Z153" i="9"/>
  <c r="AD153" i="9"/>
  <c r="CK153" i="9" s="1"/>
  <c r="AE153" i="9"/>
  <c r="AF153" i="9"/>
  <c r="BA153" i="9" s="1"/>
  <c r="BC153" i="9" a="1"/>
  <c r="BC153" i="9" s="1"/>
  <c r="BI153" i="9"/>
  <c r="F154" i="9"/>
  <c r="M154" i="9" a="1"/>
  <c r="M154" i="9" s="1"/>
  <c r="R154" i="9" a="1"/>
  <c r="R154" i="9" s="1"/>
  <c r="Z154" i="9"/>
  <c r="AD154" i="9"/>
  <c r="AE154" i="9"/>
  <c r="AF154" i="9"/>
  <c r="BC154" i="9" a="1"/>
  <c r="BC154" i="9" s="1"/>
  <c r="F155" i="9"/>
  <c r="M155" i="9" a="1"/>
  <c r="M155" i="9" s="1"/>
  <c r="R155" i="9" a="1"/>
  <c r="R155" i="9" s="1"/>
  <c r="Z155" i="9"/>
  <c r="AD155" i="9"/>
  <c r="AE155" i="9"/>
  <c r="AF155" i="9"/>
  <c r="BC155" i="9" a="1"/>
  <c r="BC155" i="9" s="1"/>
  <c r="F156" i="9"/>
  <c r="M156" i="9" a="1"/>
  <c r="M156" i="9" s="1"/>
  <c r="R156" i="9" a="1"/>
  <c r="R156" i="9" s="1"/>
  <c r="Z156" i="9"/>
  <c r="AD156" i="9"/>
  <c r="BI156" i="9" s="1"/>
  <c r="AE156" i="9"/>
  <c r="AF156" i="9"/>
  <c r="BA156" i="9" s="1"/>
  <c r="AY156" i="9" a="1"/>
  <c r="AY156" i="9" s="1"/>
  <c r="BC156" i="9" a="1"/>
  <c r="BC156" i="9" s="1"/>
  <c r="BM156" i="9"/>
  <c r="CC156" i="9"/>
  <c r="CG156" i="9"/>
  <c r="F157" i="9"/>
  <c r="M157" i="9" a="1"/>
  <c r="M157" i="9" s="1"/>
  <c r="R157" i="9" a="1"/>
  <c r="R157" i="9" s="1"/>
  <c r="Z157" i="9"/>
  <c r="AD157" i="9"/>
  <c r="AE157" i="9"/>
  <c r="AF157" i="9"/>
  <c r="BC157" i="9" a="1"/>
  <c r="BC157" i="9" s="1"/>
  <c r="F158" i="9"/>
  <c r="M158" i="9" a="1"/>
  <c r="M158" i="9" s="1"/>
  <c r="R158" i="9" a="1"/>
  <c r="R158" i="9" s="1"/>
  <c r="Z158" i="9"/>
  <c r="AD158" i="9"/>
  <c r="AY158" i="9" s="1" a="1"/>
  <c r="AY158" i="9" s="1"/>
  <c r="AZ158" i="9" s="1"/>
  <c r="AE158" i="9"/>
  <c r="AF158" i="9"/>
  <c r="BB158" i="9" s="1"/>
  <c r="BC158" i="9" a="1"/>
  <c r="BC158" i="9" s="1"/>
  <c r="BD158" i="9"/>
  <c r="BX158" i="9"/>
  <c r="CC158" i="9"/>
  <c r="F159" i="9"/>
  <c r="M159" i="9" a="1"/>
  <c r="M159" i="9" s="1"/>
  <c r="R159" i="9" a="1"/>
  <c r="R159" i="9" s="1"/>
  <c r="Z159" i="9"/>
  <c r="AD159" i="9"/>
  <c r="CK159" i="9" s="1"/>
  <c r="AE159" i="9"/>
  <c r="AF159" i="9"/>
  <c r="BB159" i="9"/>
  <c r="BC159" i="9" a="1"/>
  <c r="BC159" i="9" s="1"/>
  <c r="F160" i="9"/>
  <c r="M160" i="9" a="1"/>
  <c r="M160" i="9" s="1"/>
  <c r="R160" i="9" a="1"/>
  <c r="R160" i="9" s="1"/>
  <c r="Z160" i="9"/>
  <c r="AD160" i="9"/>
  <c r="BI160" i="9" s="1"/>
  <c r="AE160" i="9"/>
  <c r="AF160" i="9"/>
  <c r="BB160" i="9" s="1"/>
  <c r="BC160" i="9" a="1"/>
  <c r="BC160" i="9" s="1"/>
  <c r="F161" i="9"/>
  <c r="M161" i="9" a="1"/>
  <c r="M161" i="9" s="1"/>
  <c r="R161" i="9" a="1"/>
  <c r="R161" i="9" s="1"/>
  <c r="Z161" i="9"/>
  <c r="AD161" i="9"/>
  <c r="AE161" i="9"/>
  <c r="AF161" i="9"/>
  <c r="BB161" i="9" s="1"/>
  <c r="BC161" i="9" a="1"/>
  <c r="BC161" i="9" s="1"/>
  <c r="A162" i="9"/>
  <c r="F162" i="9"/>
  <c r="M162" i="9" a="1"/>
  <c r="M162" i="9" s="1"/>
  <c r="R162" i="9" a="1"/>
  <c r="R162" i="9" s="1"/>
  <c r="Z162" i="9"/>
  <c r="AD162" i="9"/>
  <c r="CG162" i="9" s="1"/>
  <c r="AE162" i="9"/>
  <c r="AF162" i="9"/>
  <c r="BB162" i="9" s="1"/>
  <c r="AI162" i="9"/>
  <c r="BC162" i="9" a="1"/>
  <c r="BC162" i="9"/>
  <c r="BQ162" i="9"/>
  <c r="BX162" i="9"/>
  <c r="F163" i="9"/>
  <c r="M163" i="9" a="1"/>
  <c r="M163" i="9" s="1"/>
  <c r="R163" i="9" a="1"/>
  <c r="R163" i="9" s="1"/>
  <c r="Z163" i="9"/>
  <c r="AD163" i="9"/>
  <c r="A163" i="9" s="1"/>
  <c r="AE163" i="9"/>
  <c r="AF163" i="9"/>
  <c r="BB163" i="9" s="1"/>
  <c r="BC163" i="9" a="1"/>
  <c r="BC163" i="9" s="1"/>
  <c r="F164" i="9"/>
  <c r="M164" i="9" a="1"/>
  <c r="M164" i="9" s="1"/>
  <c r="R164" i="9" a="1"/>
  <c r="R164" i="9" s="1"/>
  <c r="Z164" i="9"/>
  <c r="AD164" i="9"/>
  <c r="AE164" i="9"/>
  <c r="AF164" i="9"/>
  <c r="BC164" i="9" a="1"/>
  <c r="BC164" i="9" s="1"/>
  <c r="CC164" i="9"/>
  <c r="F165" i="9"/>
  <c r="M165" i="9" a="1"/>
  <c r="M165" i="9" s="1"/>
  <c r="R165" i="9" a="1"/>
  <c r="R165" i="9" s="1"/>
  <c r="Z165" i="9"/>
  <c r="AD165" i="9"/>
  <c r="AE165" i="9"/>
  <c r="AF165" i="9"/>
  <c r="BB165" i="9" s="1"/>
  <c r="BC165" i="9" a="1"/>
  <c r="BC165" i="9" s="1"/>
  <c r="F166" i="9"/>
  <c r="M166" i="9" a="1"/>
  <c r="M166" i="9" s="1"/>
  <c r="R166" i="9" a="1"/>
  <c r="R166" i="9" s="1"/>
  <c r="Z166" i="9"/>
  <c r="AD166" i="9"/>
  <c r="BQ166" i="9" s="1"/>
  <c r="AE166" i="9"/>
  <c r="AF166" i="9"/>
  <c r="BA166" i="9" s="1"/>
  <c r="AY166" i="9" a="1"/>
  <c r="AY166" i="9" s="1"/>
  <c r="BC166" i="9" a="1"/>
  <c r="BC166" i="9" s="1"/>
  <c r="BD166" i="9"/>
  <c r="BI166" i="9"/>
  <c r="CC166" i="9"/>
  <c r="CG166" i="9"/>
  <c r="CK166" i="9"/>
  <c r="F167" i="9"/>
  <c r="M167" i="9" a="1"/>
  <c r="M167" i="9" s="1"/>
  <c r="R167" i="9" a="1"/>
  <c r="R167" i="9" s="1"/>
  <c r="Z167" i="9"/>
  <c r="AD167" i="9"/>
  <c r="CG167" i="9" s="1"/>
  <c r="AE167" i="9"/>
  <c r="AF167" i="9"/>
  <c r="BB167" i="9" s="1"/>
  <c r="BC167" i="9" a="1"/>
  <c r="BC167" i="9" s="1"/>
  <c r="F168" i="9"/>
  <c r="M168" i="9" a="1"/>
  <c r="M168" i="9" s="1"/>
  <c r="R168" i="9" a="1"/>
  <c r="R168" i="9" s="1"/>
  <c r="Z168" i="9"/>
  <c r="AD168" i="9"/>
  <c r="BM168" i="9" s="1"/>
  <c r="AE168" i="9"/>
  <c r="AF168" i="9"/>
  <c r="BC168" i="9" a="1"/>
  <c r="BC168" i="9" s="1"/>
  <c r="BI168" i="9"/>
  <c r="CK168" i="9"/>
  <c r="F169" i="9"/>
  <c r="M169" i="9" a="1"/>
  <c r="M169" i="9" s="1"/>
  <c r="R169" i="9" a="1"/>
  <c r="R169" i="9" s="1"/>
  <c r="Z169" i="9"/>
  <c r="AD169" i="9"/>
  <c r="CK169" i="9" s="1"/>
  <c r="AE169" i="9"/>
  <c r="AF169" i="9"/>
  <c r="BC169" i="9" a="1"/>
  <c r="BC169" i="9" s="1"/>
  <c r="BM169" i="9"/>
  <c r="F170" i="9"/>
  <c r="M170" i="9" a="1"/>
  <c r="M170" i="9" s="1"/>
  <c r="R170" i="9" a="1"/>
  <c r="R170" i="9" s="1"/>
  <c r="Z170" i="9"/>
  <c r="AD170" i="9"/>
  <c r="BD170" i="9" s="1"/>
  <c r="AE170" i="9"/>
  <c r="AF170" i="9"/>
  <c r="BB170" i="9" s="1"/>
  <c r="BC170" i="9" a="1"/>
  <c r="BC170" i="9" s="1"/>
  <c r="F171" i="9"/>
  <c r="M171" i="9" a="1"/>
  <c r="M171" i="9" s="1"/>
  <c r="R171" i="9" a="1"/>
  <c r="R171" i="9" s="1"/>
  <c r="Z171" i="9"/>
  <c r="AD171" i="9"/>
  <c r="CG171" i="9" s="1"/>
  <c r="AE171" i="9"/>
  <c r="AF171" i="9"/>
  <c r="BB171" i="9" s="1"/>
  <c r="BC171" i="9" a="1"/>
  <c r="BC171" i="9" s="1"/>
  <c r="F172" i="9"/>
  <c r="M172" i="9" a="1"/>
  <c r="M172" i="9" s="1"/>
  <c r="R172" i="9" a="1"/>
  <c r="R172" i="9" s="1"/>
  <c r="Z172" i="9"/>
  <c r="AD172" i="9"/>
  <c r="AI172" i="9" s="1"/>
  <c r="AE172" i="9"/>
  <c r="AF172" i="9"/>
  <c r="BC172" i="9" a="1"/>
  <c r="BC172" i="9"/>
  <c r="BI172" i="9"/>
  <c r="CC172" i="9"/>
  <c r="CG172" i="9"/>
  <c r="CK172" i="9"/>
  <c r="F173" i="9"/>
  <c r="M173" i="9" a="1"/>
  <c r="M173" i="9" s="1"/>
  <c r="R173" i="9" a="1"/>
  <c r="R173" i="9" s="1"/>
  <c r="Z173" i="9"/>
  <c r="AD173" i="9"/>
  <c r="AI173" i="9" s="1"/>
  <c r="AE173" i="9"/>
  <c r="AF173" i="9"/>
  <c r="BB173" i="9" s="1"/>
  <c r="BC173" i="9" a="1"/>
  <c r="BC173" i="9" s="1"/>
  <c r="F174" i="9"/>
  <c r="M174" i="9" a="1"/>
  <c r="M174" i="9" s="1"/>
  <c r="R174" i="9" a="1"/>
  <c r="R174" i="9" s="1"/>
  <c r="Z174" i="9"/>
  <c r="AD174" i="9"/>
  <c r="BQ174" i="9" s="1"/>
  <c r="AE174" i="9"/>
  <c r="AF174" i="9"/>
  <c r="BA174" i="9" s="1"/>
  <c r="BC174" i="9" a="1"/>
  <c r="BC174" i="9" s="1"/>
  <c r="CG174" i="9"/>
  <c r="F175" i="9"/>
  <c r="M175" i="9" a="1"/>
  <c r="M175" i="9" s="1"/>
  <c r="R175" i="9" a="1"/>
  <c r="R175" i="9" s="1"/>
  <c r="Z175" i="9"/>
  <c r="AD175" i="9"/>
  <c r="AE175" i="9"/>
  <c r="AF175" i="9"/>
  <c r="BB175" i="9" s="1"/>
  <c r="BC175" i="9" a="1"/>
  <c r="BC175" i="9" s="1"/>
  <c r="F176" i="9"/>
  <c r="M176" i="9" a="1"/>
  <c r="M176" i="9" s="1"/>
  <c r="R176" i="9" a="1"/>
  <c r="R176" i="9" s="1"/>
  <c r="Z176" i="9"/>
  <c r="AD176" i="9"/>
  <c r="AE176" i="9"/>
  <c r="AF176" i="9"/>
  <c r="BB176" i="9" s="1"/>
  <c r="BC176" i="9" a="1"/>
  <c r="BC176" i="9" s="1"/>
  <c r="F177" i="9"/>
  <c r="M177" i="9" a="1"/>
  <c r="M177" i="9" s="1"/>
  <c r="R177" i="9" a="1"/>
  <c r="R177" i="9" s="1"/>
  <c r="Z177" i="9"/>
  <c r="AD177" i="9"/>
  <c r="AE177" i="9"/>
  <c r="AF177" i="9"/>
  <c r="BC177" i="9" a="1"/>
  <c r="BC177" i="9" s="1"/>
  <c r="BX177" i="9"/>
  <c r="CC177" i="9"/>
  <c r="F178" i="9"/>
  <c r="M178" i="9" a="1"/>
  <c r="M178" i="9" s="1"/>
  <c r="R178" i="9" a="1"/>
  <c r="R178" i="9" s="1"/>
  <c r="Z178" i="9"/>
  <c r="AD178" i="9"/>
  <c r="AE178" i="9"/>
  <c r="AF178" i="9"/>
  <c r="BC178" i="9" a="1"/>
  <c r="BC178" i="9" s="1"/>
  <c r="F179" i="9"/>
  <c r="M179" i="9" a="1"/>
  <c r="M179" i="9" s="1"/>
  <c r="R179" i="9" a="1"/>
  <c r="R179" i="9" s="1"/>
  <c r="Z179" i="9"/>
  <c r="AD179" i="9"/>
  <c r="AE179" i="9"/>
  <c r="AF179" i="9"/>
  <c r="BB179" i="9" s="1"/>
  <c r="BC179" i="9" a="1"/>
  <c r="BC179" i="9" s="1"/>
  <c r="CK179" i="9"/>
  <c r="F180" i="9"/>
  <c r="M180" i="9" a="1"/>
  <c r="M180" i="9" s="1"/>
  <c r="R180" i="9" a="1"/>
  <c r="R180" i="9" s="1"/>
  <c r="Z180" i="9"/>
  <c r="AD180" i="9"/>
  <c r="A180" i="9" s="1"/>
  <c r="AE180" i="9"/>
  <c r="AF180" i="9"/>
  <c r="BC180" i="9" a="1"/>
  <c r="BC180" i="9" s="1"/>
  <c r="F181" i="9"/>
  <c r="M181" i="9" a="1"/>
  <c r="M181" i="9" s="1"/>
  <c r="R181" i="9" a="1"/>
  <c r="R181" i="9" s="1"/>
  <c r="Z181" i="9"/>
  <c r="AD181" i="9"/>
  <c r="BD181" i="9" s="1"/>
  <c r="AE181" i="9"/>
  <c r="AF181" i="9"/>
  <c r="BC181" i="9" a="1"/>
  <c r="BC181" i="9" s="1"/>
  <c r="F182" i="9"/>
  <c r="M182" i="9" a="1"/>
  <c r="M182" i="9" s="1"/>
  <c r="R182" i="9" a="1"/>
  <c r="R182" i="9" s="1"/>
  <c r="Z182" i="9"/>
  <c r="AD182" i="9"/>
  <c r="AE182" i="9"/>
  <c r="AF182" i="9"/>
  <c r="BB182" i="9" s="1"/>
  <c r="BC182" i="9" a="1"/>
  <c r="BC182" i="9" s="1"/>
  <c r="F183" i="9"/>
  <c r="M183" i="9" a="1"/>
  <c r="M183" i="9" s="1"/>
  <c r="R183" i="9" a="1"/>
  <c r="R183" i="9" s="1"/>
  <c r="Z183" i="9"/>
  <c r="AD183" i="9"/>
  <c r="CC183" i="9" s="1"/>
  <c r="AE183" i="9"/>
  <c r="AF183" i="9"/>
  <c r="BC183" i="9" a="1"/>
  <c r="BC183" i="9" s="1"/>
  <c r="F184" i="9"/>
  <c r="M184" i="9" a="1"/>
  <c r="M184" i="9" s="1"/>
  <c r="R184" i="9" a="1"/>
  <c r="R184" i="9" s="1"/>
  <c r="Z184" i="9"/>
  <c r="AD184" i="9"/>
  <c r="AE184" i="9"/>
  <c r="AF184" i="9"/>
  <c r="BC184" i="9" a="1"/>
  <c r="BC184" i="9" s="1"/>
  <c r="F185" i="9"/>
  <c r="M185" i="9" a="1"/>
  <c r="M185" i="9" s="1"/>
  <c r="R185" i="9" a="1"/>
  <c r="R185" i="9" s="1"/>
  <c r="Z185" i="9"/>
  <c r="AD185" i="9"/>
  <c r="AE185" i="9"/>
  <c r="AF185" i="9"/>
  <c r="BB185" i="9" s="1"/>
  <c r="BC185" i="9" a="1"/>
  <c r="BC185" i="9" s="1"/>
  <c r="F186" i="9"/>
  <c r="M186" i="9" a="1"/>
  <c r="M186" i="9" s="1"/>
  <c r="R186" i="9" a="1"/>
  <c r="R186" i="9" s="1"/>
  <c r="Z186" i="9"/>
  <c r="AD186" i="9"/>
  <c r="CK186" i="9" s="1"/>
  <c r="AE186" i="9"/>
  <c r="AF186" i="9"/>
  <c r="AY186" i="9" a="1"/>
  <c r="AY186" i="9" s="1"/>
  <c r="AZ186" i="9" s="1"/>
  <c r="BC186" i="9" a="1"/>
  <c r="BC186" i="9" s="1"/>
  <c r="CC186" i="9"/>
  <c r="F187" i="9"/>
  <c r="M187" i="9" a="1"/>
  <c r="M187" i="9" s="1"/>
  <c r="R187" i="9" a="1"/>
  <c r="R187" i="9" s="1"/>
  <c r="Z187" i="9"/>
  <c r="AD187" i="9"/>
  <c r="CG187" i="9" s="1"/>
  <c r="AE187" i="9"/>
  <c r="AF187" i="9"/>
  <c r="BB187" i="9" s="1"/>
  <c r="BC187" i="9" a="1"/>
  <c r="BC187" i="9" s="1"/>
  <c r="F188" i="9"/>
  <c r="M188" i="9" a="1"/>
  <c r="M188" i="9" s="1"/>
  <c r="R188" i="9" a="1"/>
  <c r="R188" i="9" s="1"/>
  <c r="Z188" i="9"/>
  <c r="AD188" i="9"/>
  <c r="CK188" i="9" s="1"/>
  <c r="AE188" i="9"/>
  <c r="AF188" i="9"/>
  <c r="BB188" i="9" s="1"/>
  <c r="BC188" i="9" a="1"/>
  <c r="BC188" i="9" s="1"/>
  <c r="BI188" i="9"/>
  <c r="BM188" i="9"/>
  <c r="F189" i="9"/>
  <c r="M189" i="9" a="1"/>
  <c r="M189" i="9" s="1"/>
  <c r="R189" i="9" a="1"/>
  <c r="R189" i="9" s="1"/>
  <c r="Z189" i="9"/>
  <c r="AD189" i="9"/>
  <c r="AE189" i="9"/>
  <c r="AF189" i="9"/>
  <c r="BC189" i="9" a="1"/>
  <c r="BC189" i="9" s="1"/>
  <c r="BX189" i="9"/>
  <c r="F190" i="9"/>
  <c r="M190" i="9" a="1"/>
  <c r="M190" i="9" s="1"/>
  <c r="R190" i="9" a="1"/>
  <c r="R190" i="9" s="1"/>
  <c r="Z190" i="9"/>
  <c r="AD190" i="9"/>
  <c r="BI190" i="9" s="1"/>
  <c r="AE190" i="9"/>
  <c r="AF190" i="9"/>
  <c r="BB190" i="9" s="1"/>
  <c r="BC190" i="9" a="1"/>
  <c r="BC190" i="9" s="1"/>
  <c r="F191" i="9"/>
  <c r="M191" i="9" a="1"/>
  <c r="M191" i="9" s="1"/>
  <c r="R191" i="9" a="1"/>
  <c r="R191" i="9" s="1"/>
  <c r="Z191" i="9"/>
  <c r="AD191" i="9"/>
  <c r="AE191" i="9"/>
  <c r="AF191" i="9"/>
  <c r="BB191" i="9" s="1"/>
  <c r="BC191" i="9" a="1"/>
  <c r="BC191" i="9" s="1"/>
  <c r="F192" i="9"/>
  <c r="M192" i="9" a="1"/>
  <c r="M192" i="9" s="1"/>
  <c r="R192" i="9" a="1"/>
  <c r="R192" i="9" s="1"/>
  <c r="Z192" i="9"/>
  <c r="AD192" i="9"/>
  <c r="BM192" i="9" s="1"/>
  <c r="AE192" i="9"/>
  <c r="AF192" i="9"/>
  <c r="BC192" i="9" a="1"/>
  <c r="BC192" i="9" s="1"/>
  <c r="F193" i="9"/>
  <c r="M193" i="9" a="1"/>
  <c r="M193" i="9" s="1"/>
  <c r="R193" i="9" a="1"/>
  <c r="R193" i="9" s="1"/>
  <c r="Z193" i="9"/>
  <c r="AD193" i="9"/>
  <c r="BI193" i="9" s="1"/>
  <c r="AE193" i="9"/>
  <c r="AF193" i="9"/>
  <c r="BB193" i="9" s="1"/>
  <c r="BC193" i="9" a="1"/>
  <c r="BC193" i="9" s="1"/>
  <c r="F194" i="9"/>
  <c r="M194" i="9" a="1"/>
  <c r="M194" i="9" s="1"/>
  <c r="R194" i="9" a="1"/>
  <c r="R194" i="9" s="1"/>
  <c r="Z194" i="9"/>
  <c r="AD194" i="9"/>
  <c r="AE194" i="9"/>
  <c r="AF194" i="9"/>
  <c r="BB194" i="9" s="1"/>
  <c r="BC194" i="9" a="1"/>
  <c r="BC194" i="9" s="1"/>
  <c r="F195" i="9"/>
  <c r="M195" i="9" a="1"/>
  <c r="M195" i="9" s="1"/>
  <c r="R195" i="9" a="1"/>
  <c r="R195" i="9" s="1"/>
  <c r="Z195" i="9"/>
  <c r="AD195" i="9"/>
  <c r="AE195" i="9"/>
  <c r="AF195" i="9"/>
  <c r="BB195" i="9" s="1"/>
  <c r="BC195" i="9" a="1"/>
  <c r="BC195" i="9" s="1"/>
  <c r="F196" i="9"/>
  <c r="M196" i="9" a="1"/>
  <c r="M196" i="9" s="1"/>
  <c r="R196" i="9" a="1"/>
  <c r="R196" i="9" s="1"/>
  <c r="Z196" i="9"/>
  <c r="AD196" i="9"/>
  <c r="AE196" i="9"/>
  <c r="AF196" i="9"/>
  <c r="BC196" i="9" a="1"/>
  <c r="BC196" i="9" s="1"/>
  <c r="F197" i="9"/>
  <c r="M197" i="9" a="1"/>
  <c r="M197" i="9" s="1"/>
  <c r="R197" i="9" a="1"/>
  <c r="R197" i="9" s="1"/>
  <c r="Z197" i="9"/>
  <c r="AD197" i="9"/>
  <c r="AI197" i="9" s="1"/>
  <c r="AE197" i="9"/>
  <c r="AF197" i="9"/>
  <c r="BB197" i="9" s="1"/>
  <c r="BC197" i="9" a="1"/>
  <c r="BC197" i="9" s="1"/>
  <c r="BX197" i="9"/>
  <c r="CC197" i="9"/>
  <c r="F198" i="9"/>
  <c r="M198" i="9" a="1"/>
  <c r="M198" i="9" s="1"/>
  <c r="R198" i="9" a="1"/>
  <c r="R198" i="9" s="1"/>
  <c r="Z198" i="9"/>
  <c r="AD198" i="9"/>
  <c r="AE198" i="9"/>
  <c r="AF198" i="9"/>
  <c r="BB198" i="9" s="1"/>
  <c r="BC198" i="9" a="1"/>
  <c r="BC198" i="9" s="1"/>
  <c r="F199" i="9"/>
  <c r="M199" i="9" a="1"/>
  <c r="M199" i="9" s="1"/>
  <c r="R199" i="9" a="1"/>
  <c r="R199" i="9" s="1"/>
  <c r="Z199" i="9"/>
  <c r="AD199" i="9"/>
  <c r="AI199" i="9" s="1"/>
  <c r="AE199" i="9"/>
  <c r="AF199" i="9"/>
  <c r="BA199" i="9" s="1"/>
  <c r="BC199" i="9" a="1"/>
  <c r="BC199" i="9" s="1"/>
  <c r="F200" i="9"/>
  <c r="M200" i="9" a="1"/>
  <c r="M200" i="9" s="1"/>
  <c r="R200" i="9" a="1"/>
  <c r="R200" i="9" s="1"/>
  <c r="Z200" i="9"/>
  <c r="AD200" i="9"/>
  <c r="AE200" i="9"/>
  <c r="AF200" i="9"/>
  <c r="BB200" i="9" s="1"/>
  <c r="BC200" i="9" a="1"/>
  <c r="BC200" i="9" s="1"/>
  <c r="F201" i="9"/>
  <c r="M201" i="9" a="1"/>
  <c r="M201" i="9" s="1"/>
  <c r="R201" i="9" a="1"/>
  <c r="R201" i="9" s="1"/>
  <c r="Z201" i="9"/>
  <c r="AD201" i="9"/>
  <c r="AY201" i="9" s="1" a="1"/>
  <c r="AY201" i="9" s="1"/>
  <c r="AZ201" i="9" s="1"/>
  <c r="AE201" i="9"/>
  <c r="AF201" i="9"/>
  <c r="AI201" i="9"/>
  <c r="BC201" i="9" a="1"/>
  <c r="BC201" i="9" s="1"/>
  <c r="BD201" i="9"/>
  <c r="BI201" i="9"/>
  <c r="BM201" i="9"/>
  <c r="BQ201" i="9"/>
  <c r="CC201" i="9"/>
  <c r="CG201" i="9"/>
  <c r="CK201" i="9"/>
  <c r="F202" i="9"/>
  <c r="M202" i="9" a="1"/>
  <c r="M202" i="9" s="1"/>
  <c r="R202" i="9" a="1"/>
  <c r="R202" i="9" s="1"/>
  <c r="Z202" i="9"/>
  <c r="AD202" i="9"/>
  <c r="BI202" i="9" s="1"/>
  <c r="AE202" i="9"/>
  <c r="AF202" i="9"/>
  <c r="BB202" i="9" s="1"/>
  <c r="AI202" i="9"/>
  <c r="BC202" i="9" a="1"/>
  <c r="BC202" i="9" s="1"/>
  <c r="BQ202" i="9"/>
  <c r="F203" i="9"/>
  <c r="M203" i="9" a="1"/>
  <c r="M203" i="9" s="1"/>
  <c r="R203" i="9" a="1"/>
  <c r="R203" i="9" s="1"/>
  <c r="Z203" i="9"/>
  <c r="AD203" i="9"/>
  <c r="CG203" i="9" s="1"/>
  <c r="AE203" i="9"/>
  <c r="AF203" i="9"/>
  <c r="BC203" i="9" a="1"/>
  <c r="BC203" i="9" s="1"/>
  <c r="F204" i="9"/>
  <c r="M204" i="9" a="1"/>
  <c r="M204" i="9" s="1"/>
  <c r="R204" i="9" a="1"/>
  <c r="R204" i="9" s="1"/>
  <c r="Z204" i="9"/>
  <c r="AD204" i="9"/>
  <c r="A204" i="9" s="1"/>
  <c r="AE204" i="9"/>
  <c r="AF204" i="9"/>
  <c r="AI204" i="9"/>
  <c r="BC204" i="9" a="1"/>
  <c r="BC204" i="9" s="1"/>
  <c r="BQ204" i="9"/>
  <c r="CK204" i="9"/>
  <c r="F205" i="9"/>
  <c r="M205" i="9" a="1"/>
  <c r="M205" i="9" s="1"/>
  <c r="R205" i="9" a="1"/>
  <c r="R205" i="9" s="1"/>
  <c r="Z205" i="9"/>
  <c r="AD205" i="9"/>
  <c r="AI205" i="9" s="1"/>
  <c r="AE205" i="9"/>
  <c r="AF205" i="9"/>
  <c r="BB205" i="9" s="1"/>
  <c r="BC205" i="9" a="1"/>
  <c r="BC205" i="9" s="1"/>
  <c r="BI205" i="9"/>
  <c r="BQ205" i="9"/>
  <c r="BX205" i="9"/>
  <c r="CC205" i="9"/>
  <c r="CK205" i="9"/>
  <c r="F206" i="9"/>
  <c r="M206" i="9" a="1"/>
  <c r="M206" i="9" s="1"/>
  <c r="R206" i="9" a="1"/>
  <c r="R206" i="9" s="1"/>
  <c r="Z206" i="9"/>
  <c r="AD206" i="9"/>
  <c r="BQ206" i="9" s="1"/>
  <c r="AE206" i="9"/>
  <c r="AF206" i="9"/>
  <c r="BB206" i="9" s="1"/>
  <c r="BC206" i="9" a="1"/>
  <c r="BC206" i="9" s="1"/>
  <c r="CK206" i="9"/>
  <c r="F207" i="9"/>
  <c r="M207" i="9" a="1"/>
  <c r="M207" i="9" s="1"/>
  <c r="R207" i="9" a="1"/>
  <c r="R207" i="9" s="1"/>
  <c r="Z207" i="9"/>
  <c r="AD207" i="9"/>
  <c r="BD207" i="9" s="1"/>
  <c r="AE207" i="9"/>
  <c r="AF207" i="9"/>
  <c r="BB207" i="9" s="1"/>
  <c r="BC207" i="9" a="1"/>
  <c r="BC207" i="9" s="1"/>
  <c r="F208" i="9"/>
  <c r="M208" i="9" a="1"/>
  <c r="M208" i="9" s="1"/>
  <c r="R208" i="9" a="1"/>
  <c r="R208" i="9" s="1"/>
  <c r="Z208" i="9"/>
  <c r="AD208" i="9"/>
  <c r="AE208" i="9"/>
  <c r="AF208" i="9"/>
  <c r="BC208" i="9" a="1"/>
  <c r="BC208" i="9" s="1"/>
  <c r="A209" i="9"/>
  <c r="F209" i="9"/>
  <c r="M209" i="9" a="1"/>
  <c r="M209" i="9" s="1"/>
  <c r="R209" i="9" a="1"/>
  <c r="R209" i="9" s="1"/>
  <c r="Z209" i="9"/>
  <c r="AD209" i="9"/>
  <c r="BD209" i="9" s="1"/>
  <c r="AE209" i="9"/>
  <c r="AF209" i="9"/>
  <c r="AI209" i="9"/>
  <c r="AY209" i="9" a="1"/>
  <c r="AY209" i="9" s="1"/>
  <c r="BC209" i="9" a="1"/>
  <c r="BC209" i="9" s="1"/>
  <c r="BX209" i="9"/>
  <c r="CG209" i="9"/>
  <c r="CK209" i="9"/>
  <c r="F210" i="9"/>
  <c r="M210" i="9" a="1"/>
  <c r="M210" i="9" s="1"/>
  <c r="R210" i="9" a="1"/>
  <c r="R210" i="9" s="1"/>
  <c r="Z210" i="9"/>
  <c r="AD210" i="9"/>
  <c r="BD210" i="9" s="1"/>
  <c r="AE210" i="9"/>
  <c r="AF210" i="9"/>
  <c r="BC210" i="9" a="1"/>
  <c r="BC210" i="9" s="1"/>
  <c r="CC210" i="9"/>
  <c r="F211" i="9"/>
  <c r="M211" i="9" a="1"/>
  <c r="M211" i="9" s="1"/>
  <c r="R211" i="9" a="1"/>
  <c r="R211" i="9" s="1"/>
  <c r="Z211" i="9"/>
  <c r="AD211" i="9"/>
  <c r="BI211" i="9" s="1"/>
  <c r="AE211" i="9"/>
  <c r="AF211" i="9"/>
  <c r="BB211" i="9" s="1"/>
  <c r="BC211" i="9" a="1"/>
  <c r="BC211" i="9" s="1"/>
  <c r="F212" i="9"/>
  <c r="M212" i="9" a="1"/>
  <c r="M212" i="9" s="1"/>
  <c r="R212" i="9" a="1"/>
  <c r="R212" i="9" s="1"/>
  <c r="Z212" i="9"/>
  <c r="AD212" i="9"/>
  <c r="BQ212" i="9" s="1"/>
  <c r="AE212" i="9"/>
  <c r="AF212" i="9"/>
  <c r="BC212" i="9" a="1"/>
  <c r="BC212" i="9" s="1"/>
  <c r="BX212" i="9"/>
  <c r="CC212" i="9"/>
  <c r="F213" i="9"/>
  <c r="M213" i="9" a="1"/>
  <c r="M213" i="9" s="1"/>
  <c r="R213" i="9" a="1"/>
  <c r="R213" i="9" s="1"/>
  <c r="Z213" i="9"/>
  <c r="AD213" i="9"/>
  <c r="BM213" i="9" s="1"/>
  <c r="AE213" i="9"/>
  <c r="AF213" i="9"/>
  <c r="BB213" i="9" s="1"/>
  <c r="BC213" i="9" a="1"/>
  <c r="BC213" i="9" s="1"/>
  <c r="F214" i="9"/>
  <c r="M214" i="9" a="1"/>
  <c r="M214" i="9" s="1"/>
  <c r="R214" i="9" a="1"/>
  <c r="R214" i="9" s="1"/>
  <c r="Z214" i="9"/>
  <c r="AD214" i="9"/>
  <c r="AE214" i="9"/>
  <c r="AF214" i="9"/>
  <c r="BC214" i="9" a="1"/>
  <c r="BC214" i="9" s="1"/>
  <c r="F215" i="9"/>
  <c r="M215" i="9" a="1"/>
  <c r="M215" i="9" s="1"/>
  <c r="R215" i="9" a="1"/>
  <c r="R215" i="9" s="1"/>
  <c r="Z215" i="9"/>
  <c r="AD215" i="9"/>
  <c r="CG215" i="9" s="1"/>
  <c r="AE215" i="9"/>
  <c r="AF215" i="9"/>
  <c r="BB215" i="9" s="1"/>
  <c r="BC215" i="9" a="1"/>
  <c r="BC215" i="9" s="1"/>
  <c r="F216" i="9"/>
  <c r="M216" i="9" a="1"/>
  <c r="M216" i="9" s="1"/>
  <c r="R216" i="9" a="1"/>
  <c r="R216" i="9" s="1"/>
  <c r="Z216" i="9"/>
  <c r="AD216" i="9"/>
  <c r="AE216" i="9"/>
  <c r="AF216" i="9"/>
  <c r="BC216" i="9" a="1"/>
  <c r="BC216" i="9" s="1"/>
  <c r="F217" i="9"/>
  <c r="M217" i="9" a="1"/>
  <c r="M217" i="9" s="1"/>
  <c r="R217" i="9" a="1"/>
  <c r="R217" i="9" s="1"/>
  <c r="Z217" i="9"/>
  <c r="AD217" i="9"/>
  <c r="BM217" i="9" s="1"/>
  <c r="AE217" i="9"/>
  <c r="AF217" i="9"/>
  <c r="BC217" i="9" a="1"/>
  <c r="BC217" i="9" s="1"/>
  <c r="F218" i="9"/>
  <c r="M218" i="9" a="1"/>
  <c r="M218" i="9" s="1"/>
  <c r="R218" i="9" a="1"/>
  <c r="R218" i="9" s="1"/>
  <c r="Z218" i="9"/>
  <c r="AD218" i="9"/>
  <c r="AE218" i="9"/>
  <c r="AF218" i="9"/>
  <c r="BC218" i="9" a="1"/>
  <c r="BC218" i="9" s="1"/>
  <c r="F219" i="9"/>
  <c r="M219" i="9" a="1"/>
  <c r="M219" i="9" s="1"/>
  <c r="R219" i="9" a="1"/>
  <c r="R219" i="9" s="1"/>
  <c r="Z219" i="9"/>
  <c r="AD219" i="9"/>
  <c r="AY219" i="9" s="1" a="1"/>
  <c r="AY219" i="9" s="1"/>
  <c r="AE219" i="9"/>
  <c r="AF219" i="9"/>
  <c r="BA219" i="9" s="1"/>
  <c r="BC219" i="9" a="1"/>
  <c r="BC219" i="9" s="1"/>
  <c r="CC219" i="9"/>
  <c r="A220" i="9"/>
  <c r="F220" i="9"/>
  <c r="M220" i="9" a="1"/>
  <c r="M220" i="9" s="1"/>
  <c r="R220" i="9" a="1"/>
  <c r="R220" i="9" s="1"/>
  <c r="Z220" i="9"/>
  <c r="AD220" i="9"/>
  <c r="AI220" i="9" s="1"/>
  <c r="AE220" i="9"/>
  <c r="AF220" i="9"/>
  <c r="AY220" i="9" a="1"/>
  <c r="AY220" i="9" s="1"/>
  <c r="BC220" i="9" a="1"/>
  <c r="BC220" i="9" s="1"/>
  <c r="BQ220" i="9"/>
  <c r="BX220" i="9"/>
  <c r="CC220" i="9"/>
  <c r="CG220" i="9"/>
  <c r="CK220" i="9"/>
  <c r="F221" i="9"/>
  <c r="M221" i="9" a="1"/>
  <c r="M221" i="9" s="1"/>
  <c r="R221" i="9" a="1"/>
  <c r="R221" i="9" s="1"/>
  <c r="Z221" i="9"/>
  <c r="AD221" i="9"/>
  <c r="BI221" i="9" s="1"/>
  <c r="AE221" i="9"/>
  <c r="AF221" i="9"/>
  <c r="BB221" i="9" s="1"/>
  <c r="BC221" i="9" a="1"/>
  <c r="BC221" i="9" s="1"/>
  <c r="BD221" i="9"/>
  <c r="F222" i="9"/>
  <c r="M222" i="9" a="1"/>
  <c r="M222" i="9" s="1"/>
  <c r="R222" i="9" a="1"/>
  <c r="R222" i="9" s="1"/>
  <c r="Z222" i="9"/>
  <c r="AD222" i="9"/>
  <c r="BQ222" i="9" s="1"/>
  <c r="AE222" i="9"/>
  <c r="AF222" i="9"/>
  <c r="BA222" i="9" s="1"/>
  <c r="BC222" i="9" a="1"/>
  <c r="BC222" i="9" s="1"/>
  <c r="F223" i="9"/>
  <c r="M223" i="9" a="1"/>
  <c r="M223" i="9" s="1"/>
  <c r="R223" i="9" a="1"/>
  <c r="R223" i="9" s="1"/>
  <c r="Z223" i="9"/>
  <c r="AD223" i="9"/>
  <c r="CK223" i="9" s="1"/>
  <c r="AE223" i="9"/>
  <c r="AF223" i="9"/>
  <c r="BB223" i="9" s="1"/>
  <c r="BC223" i="9" a="1"/>
  <c r="BC223" i="9" s="1"/>
  <c r="BI223" i="9"/>
  <c r="CG223" i="9"/>
  <c r="F224" i="9"/>
  <c r="M224" i="9" a="1"/>
  <c r="M224" i="9" s="1"/>
  <c r="R224" i="9" a="1"/>
  <c r="R224" i="9" s="1"/>
  <c r="Z224" i="9"/>
  <c r="AD224" i="9"/>
  <c r="AE224" i="9"/>
  <c r="AF224" i="9"/>
  <c r="BB224" i="9" s="1"/>
  <c r="BC224" i="9" a="1"/>
  <c r="BC224" i="9"/>
  <c r="F225" i="9"/>
  <c r="M225" i="9" a="1"/>
  <c r="M225" i="9" s="1"/>
  <c r="R225" i="9" a="1"/>
  <c r="R225" i="9" s="1"/>
  <c r="Z225" i="9"/>
  <c r="AD225" i="9"/>
  <c r="BM225" i="9" s="1"/>
  <c r="AE225" i="9"/>
  <c r="AF225" i="9"/>
  <c r="BB225" i="9" s="1"/>
  <c r="BC225" i="9" a="1"/>
  <c r="BC225" i="9" s="1"/>
  <c r="BX225" i="9"/>
  <c r="F226" i="9"/>
  <c r="M226" i="9" a="1"/>
  <c r="M226" i="9" s="1"/>
  <c r="R226" i="9" a="1"/>
  <c r="R226" i="9" s="1"/>
  <c r="Z226" i="9"/>
  <c r="AD226" i="9"/>
  <c r="BD226" i="9" s="1"/>
  <c r="AE226" i="9"/>
  <c r="AF226" i="9"/>
  <c r="BB226" i="9" s="1"/>
  <c r="BA226" i="9"/>
  <c r="BC226" i="9" a="1"/>
  <c r="BC226" i="9" s="1"/>
  <c r="F227" i="9"/>
  <c r="M227" i="9" a="1"/>
  <c r="M227" i="9" s="1"/>
  <c r="R227" i="9" a="1"/>
  <c r="R227" i="9" s="1"/>
  <c r="Z227" i="9"/>
  <c r="AD227" i="9"/>
  <c r="AE227" i="9"/>
  <c r="AF227" i="9"/>
  <c r="BC227" i="9" a="1"/>
  <c r="BC227" i="9" s="1"/>
  <c r="F228" i="9"/>
  <c r="M228" i="9" a="1"/>
  <c r="M228" i="9" s="1"/>
  <c r="R228" i="9" a="1"/>
  <c r="R228" i="9" s="1"/>
  <c r="Z228" i="9"/>
  <c r="AD228" i="9"/>
  <c r="BM228" i="9" s="1"/>
  <c r="AE228" i="9"/>
  <c r="AF228" i="9"/>
  <c r="BC228" i="9" a="1"/>
  <c r="BC228" i="9" s="1"/>
  <c r="F229" i="9"/>
  <c r="M229" i="9" a="1"/>
  <c r="M229" i="9" s="1"/>
  <c r="R229" i="9" a="1"/>
  <c r="R229" i="9" s="1"/>
  <c r="Z229" i="9"/>
  <c r="AD229" i="9"/>
  <c r="AE229" i="9"/>
  <c r="AF229" i="9"/>
  <c r="BC229" i="9" a="1"/>
  <c r="BC229" i="9" s="1"/>
  <c r="F230" i="9"/>
  <c r="M230" i="9" a="1"/>
  <c r="M230" i="9" s="1"/>
  <c r="R230" i="9" a="1"/>
  <c r="R230" i="9" s="1"/>
  <c r="Z230" i="9"/>
  <c r="AD230" i="9"/>
  <c r="CC230" i="9" s="1"/>
  <c r="AE230" i="9"/>
  <c r="AF230" i="9"/>
  <c r="BB230" i="9" s="1"/>
  <c r="BC230" i="9" a="1"/>
  <c r="BC230" i="9" s="1"/>
  <c r="BI230" i="9"/>
  <c r="CG230" i="9"/>
  <c r="F231" i="9"/>
  <c r="M231" i="9" a="1"/>
  <c r="M231" i="9" s="1"/>
  <c r="R231" i="9" a="1"/>
  <c r="R231" i="9" s="1"/>
  <c r="Z231" i="9"/>
  <c r="AD231" i="9"/>
  <c r="AE231" i="9"/>
  <c r="AF231" i="9"/>
  <c r="BC231" i="9" a="1"/>
  <c r="BC231" i="9"/>
  <c r="BQ231" i="9"/>
  <c r="F232" i="9"/>
  <c r="M232" i="9" a="1"/>
  <c r="M232" i="9" s="1"/>
  <c r="R232" i="9" a="1"/>
  <c r="R232" i="9" s="1"/>
  <c r="Z232" i="9"/>
  <c r="AD232" i="9"/>
  <c r="CG232" i="9" s="1"/>
  <c r="AE232" i="9"/>
  <c r="AF232" i="9"/>
  <c r="BB232" i="9" s="1"/>
  <c r="BC232" i="9" a="1"/>
  <c r="BC232" i="9" s="1"/>
  <c r="F233" i="9"/>
  <c r="M233" i="9" a="1"/>
  <c r="M233" i="9" s="1"/>
  <c r="R233" i="9" a="1"/>
  <c r="R233" i="9" s="1"/>
  <c r="Z233" i="9"/>
  <c r="AD233" i="9"/>
  <c r="BI233" i="9" s="1"/>
  <c r="AE233" i="9"/>
  <c r="AF233" i="9"/>
  <c r="BB233" i="9" s="1"/>
  <c r="AI233" i="9"/>
  <c r="BC233" i="9" a="1"/>
  <c r="BC233" i="9" s="1"/>
  <c r="CC233" i="9"/>
  <c r="CK233" i="9"/>
  <c r="F234" i="9"/>
  <c r="M234" i="9" a="1"/>
  <c r="M234" i="9" s="1"/>
  <c r="R234" i="9" a="1"/>
  <c r="R234" i="9" s="1"/>
  <c r="Z234" i="9"/>
  <c r="AD234" i="9"/>
  <c r="AE234" i="9"/>
  <c r="AF234" i="9"/>
  <c r="BB234" i="9" s="1"/>
  <c r="AY234" i="9" a="1"/>
  <c r="AY234" i="9" s="1"/>
  <c r="BC234" i="9" a="1"/>
  <c r="BC234" i="9" s="1"/>
  <c r="CK234" i="9"/>
  <c r="F235" i="9"/>
  <c r="M235" i="9" a="1"/>
  <c r="M235" i="9" s="1"/>
  <c r="R235" i="9" a="1"/>
  <c r="R235" i="9" s="1"/>
  <c r="Z235" i="9"/>
  <c r="AD235" i="9"/>
  <c r="AE235" i="9"/>
  <c r="AF235" i="9"/>
  <c r="BB235" i="9" s="1"/>
  <c r="BC235" i="9" a="1"/>
  <c r="BC235" i="9" s="1"/>
  <c r="F236" i="9"/>
  <c r="M236" i="9" a="1"/>
  <c r="M236" i="9" s="1"/>
  <c r="R236" i="9" a="1"/>
  <c r="R236" i="9" s="1"/>
  <c r="Z236" i="9"/>
  <c r="AD236" i="9"/>
  <c r="BQ236" i="9" s="1"/>
  <c r="AE236" i="9"/>
  <c r="AF236" i="9"/>
  <c r="BC236" i="9" a="1"/>
  <c r="BC236" i="9" s="1"/>
  <c r="F237" i="9"/>
  <c r="M237" i="9" a="1"/>
  <c r="M237" i="9" s="1"/>
  <c r="R237" i="9" a="1"/>
  <c r="R237" i="9" s="1"/>
  <c r="Z237" i="9"/>
  <c r="AD237" i="9"/>
  <c r="BD237" i="9" s="1"/>
  <c r="AE237" i="9"/>
  <c r="AF237" i="9"/>
  <c r="BB237" i="9" s="1"/>
  <c r="BC237" i="9" a="1"/>
  <c r="BC237" i="9" s="1"/>
  <c r="F238" i="9"/>
  <c r="M238" i="9" a="1"/>
  <c r="M238" i="9" s="1"/>
  <c r="R238" i="9" a="1"/>
  <c r="R238" i="9" s="1"/>
  <c r="Z238" i="9"/>
  <c r="AD238" i="9"/>
  <c r="CG238" i="9" s="1"/>
  <c r="AE238" i="9"/>
  <c r="AF238" i="9"/>
  <c r="BB238" i="9" s="1"/>
  <c r="BC238" i="9" a="1"/>
  <c r="BC238" i="9" s="1"/>
  <c r="F239" i="9"/>
  <c r="M239" i="9" a="1"/>
  <c r="M239" i="9" s="1"/>
  <c r="R239" i="9" a="1"/>
  <c r="R239" i="9" s="1"/>
  <c r="Z239" i="9"/>
  <c r="AD239" i="9"/>
  <c r="A239" i="9" s="1"/>
  <c r="AE239" i="9"/>
  <c r="AF239" i="9"/>
  <c r="AY239" i="9" a="1"/>
  <c r="AY239" i="9" s="1"/>
  <c r="BC239" i="9" a="1"/>
  <c r="BC239" i="9" s="1"/>
  <c r="BI239" i="9"/>
  <c r="BM239" i="9"/>
  <c r="BQ239" i="9"/>
  <c r="BX239" i="9"/>
  <c r="CG239" i="9"/>
  <c r="CK239" i="9"/>
  <c r="F240" i="9"/>
  <c r="M240" i="9" a="1"/>
  <c r="M240" i="9" s="1"/>
  <c r="R240" i="9" a="1"/>
  <c r="R240" i="9" s="1"/>
  <c r="Z240" i="9"/>
  <c r="AD240" i="9"/>
  <c r="AI240" i="9" s="1"/>
  <c r="AE240" i="9"/>
  <c r="AF240" i="9"/>
  <c r="BB240" i="9" s="1"/>
  <c r="BC240" i="9" a="1"/>
  <c r="BC240" i="9" s="1"/>
  <c r="BI240" i="9"/>
  <c r="BM240" i="9"/>
  <c r="BQ240" i="9"/>
  <c r="BX240" i="9"/>
  <c r="CG240" i="9"/>
  <c r="F241" i="9"/>
  <c r="M241" i="9" a="1"/>
  <c r="M241" i="9" s="1"/>
  <c r="R241" i="9" a="1"/>
  <c r="R241" i="9" s="1"/>
  <c r="Z241" i="9"/>
  <c r="AD241" i="9"/>
  <c r="BM241" i="9" s="1"/>
  <c r="AE241" i="9"/>
  <c r="AF241" i="9"/>
  <c r="AY241" i="9" a="1"/>
  <c r="AY241" i="9" s="1"/>
  <c r="AZ241" i="9" s="1"/>
  <c r="BC241" i="9" a="1"/>
  <c r="BC241" i="9" s="1"/>
  <c r="BI241" i="9"/>
  <c r="BX241" i="9"/>
  <c r="CC241" i="9"/>
  <c r="CK241" i="9"/>
  <c r="F242" i="9"/>
  <c r="M242" i="9" a="1"/>
  <c r="M242" i="9" s="1"/>
  <c r="R242" i="9" a="1"/>
  <c r="R242" i="9" s="1"/>
  <c r="Z242" i="9"/>
  <c r="AD242" i="9"/>
  <c r="AE242" i="9"/>
  <c r="AF242" i="9"/>
  <c r="BB242" i="9" s="1"/>
  <c r="BC242" i="9" a="1"/>
  <c r="BC242" i="9" s="1"/>
  <c r="F243" i="9"/>
  <c r="M243" i="9" a="1"/>
  <c r="M243" i="9" s="1"/>
  <c r="R243" i="9" a="1"/>
  <c r="R243" i="9" s="1"/>
  <c r="Z243" i="9"/>
  <c r="AD243" i="9"/>
  <c r="A243" i="9" s="1"/>
  <c r="AE243" i="9"/>
  <c r="AF243" i="9"/>
  <c r="BB243" i="9" s="1"/>
  <c r="BC243" i="9" a="1"/>
  <c r="BC243" i="9" s="1"/>
  <c r="F244" i="9"/>
  <c r="M244" i="9" a="1"/>
  <c r="M244" i="9" s="1"/>
  <c r="R244" i="9" a="1"/>
  <c r="R244" i="9" s="1"/>
  <c r="Z244" i="9"/>
  <c r="AD244" i="9"/>
  <c r="AY244" i="9" s="1" a="1"/>
  <c r="AY244" i="9" s="1"/>
  <c r="AE244" i="9"/>
  <c r="AF244" i="9"/>
  <c r="AI244" i="9"/>
  <c r="BC244" i="9" a="1"/>
  <c r="BC244" i="9" s="1"/>
  <c r="BD244" i="9"/>
  <c r="BI244" i="9"/>
  <c r="BM244" i="9"/>
  <c r="BQ244" i="9"/>
  <c r="BX244" i="9"/>
  <c r="CC244" i="9"/>
  <c r="CK244" i="9"/>
  <c r="F245" i="9"/>
  <c r="M245" i="9" a="1"/>
  <c r="M245" i="9" s="1"/>
  <c r="R245" i="9" a="1"/>
  <c r="R245" i="9" s="1"/>
  <c r="Z245" i="9"/>
  <c r="AD245" i="9"/>
  <c r="BX245" i="9" s="1"/>
  <c r="AE245" i="9"/>
  <c r="AF245" i="9"/>
  <c r="BC245" i="9" a="1"/>
  <c r="BC245" i="9" s="1"/>
  <c r="BI245" i="9"/>
  <c r="F246" i="9"/>
  <c r="M246" i="9" a="1"/>
  <c r="M246" i="9" s="1"/>
  <c r="R246" i="9" a="1"/>
  <c r="R246" i="9" s="1"/>
  <c r="Z246" i="9"/>
  <c r="AD246" i="9"/>
  <c r="BI246" i="9" s="1"/>
  <c r="AE246" i="9"/>
  <c r="AF246" i="9"/>
  <c r="BC246" i="9" a="1"/>
  <c r="BC246" i="9" s="1"/>
  <c r="F247" i="9"/>
  <c r="M247" i="9" a="1"/>
  <c r="M247" i="9" s="1"/>
  <c r="R247" i="9" a="1"/>
  <c r="R247" i="9" s="1"/>
  <c r="Z247" i="9"/>
  <c r="AD247" i="9"/>
  <c r="CK247" i="9" s="1"/>
  <c r="AE247" i="9"/>
  <c r="AF247" i="9"/>
  <c r="BC247" i="9" a="1"/>
  <c r="BC247" i="9" s="1"/>
  <c r="BQ247" i="9"/>
  <c r="CG247" i="9"/>
  <c r="F248" i="9"/>
  <c r="M248" i="9" a="1"/>
  <c r="M248" i="9" s="1"/>
  <c r="R248" i="9" a="1"/>
  <c r="R248" i="9" s="1"/>
  <c r="Z248" i="9"/>
  <c r="AD248" i="9"/>
  <c r="AI248" i="9" s="1"/>
  <c r="AE248" i="9"/>
  <c r="AF248" i="9"/>
  <c r="BB248" i="9" s="1"/>
  <c r="BC248" i="9" a="1"/>
  <c r="BC248" i="9" s="1"/>
  <c r="F249" i="9"/>
  <c r="M249" i="9" a="1"/>
  <c r="M249" i="9" s="1"/>
  <c r="R249" i="9" a="1"/>
  <c r="R249" i="9" s="1"/>
  <c r="Z249" i="9"/>
  <c r="AD249" i="9"/>
  <c r="BQ249" i="9" s="1"/>
  <c r="AE249" i="9"/>
  <c r="AF249" i="9"/>
  <c r="BC249" i="9" a="1"/>
  <c r="BC249" i="9" s="1"/>
  <c r="F250" i="9"/>
  <c r="M250" i="9" a="1"/>
  <c r="M250" i="9" s="1"/>
  <c r="R250" i="9" a="1"/>
  <c r="R250" i="9" s="1"/>
  <c r="Z250" i="9"/>
  <c r="AD250" i="9"/>
  <c r="AE250" i="9"/>
  <c r="AF250" i="9"/>
  <c r="BB250" i="9" s="1"/>
  <c r="BC250" i="9" a="1"/>
  <c r="BC250" i="9" s="1"/>
  <c r="F251" i="9"/>
  <c r="M251" i="9" a="1"/>
  <c r="M251" i="9" s="1"/>
  <c r="R251" i="9" a="1"/>
  <c r="R251" i="9" s="1"/>
  <c r="Z251" i="9"/>
  <c r="AD251" i="9"/>
  <c r="CG251" i="9" s="1"/>
  <c r="AE251" i="9"/>
  <c r="AF251" i="9"/>
  <c r="BC251" i="9" a="1"/>
  <c r="BC251" i="9" s="1"/>
  <c r="F252" i="9"/>
  <c r="M252" i="9" a="1"/>
  <c r="M252" i="9" s="1"/>
  <c r="R252" i="9" a="1"/>
  <c r="R252" i="9" s="1"/>
  <c r="Z252" i="9"/>
  <c r="AD252" i="9"/>
  <c r="BX252" i="9" s="1"/>
  <c r="AE252" i="9"/>
  <c r="AF252" i="9"/>
  <c r="BC252" i="9" a="1"/>
  <c r="BC252" i="9" s="1"/>
  <c r="F253" i="9"/>
  <c r="M253" i="9" a="1"/>
  <c r="M253" i="9" s="1"/>
  <c r="R253" i="9" a="1"/>
  <c r="R253" i="9" s="1"/>
  <c r="Z253" i="9"/>
  <c r="AD253" i="9"/>
  <c r="CG253" i="9" s="1"/>
  <c r="AE253" i="9"/>
  <c r="AF253" i="9"/>
  <c r="BC253" i="9" a="1"/>
  <c r="BC253" i="9" s="1"/>
  <c r="F254" i="9"/>
  <c r="M254" i="9" a="1"/>
  <c r="M254" i="9" s="1"/>
  <c r="R254" i="9" a="1"/>
  <c r="R254" i="9" s="1"/>
  <c r="Z254" i="9"/>
  <c r="AD254" i="9"/>
  <c r="AE254" i="9"/>
  <c r="AF254" i="9"/>
  <c r="BC254" i="9" a="1"/>
  <c r="BC254" i="9" s="1"/>
  <c r="F255" i="9"/>
  <c r="M255" i="9" a="1"/>
  <c r="M255" i="9" s="1"/>
  <c r="R255" i="9" a="1"/>
  <c r="R255" i="9" s="1"/>
  <c r="Z255" i="9"/>
  <c r="AD255" i="9"/>
  <c r="BX255" i="9" s="1"/>
  <c r="AE255" i="9"/>
  <c r="AF255" i="9"/>
  <c r="BB255" i="9" s="1"/>
  <c r="BC255" i="9" a="1"/>
  <c r="BC255" i="9"/>
  <c r="BI255" i="9"/>
  <c r="BQ255" i="9"/>
  <c r="CC255" i="9"/>
  <c r="CK255" i="9"/>
  <c r="F256" i="9"/>
  <c r="M256" i="9" a="1"/>
  <c r="M256" i="9" s="1"/>
  <c r="R256" i="9" a="1"/>
  <c r="R256" i="9" s="1"/>
  <c r="Z256" i="9"/>
  <c r="AD256" i="9"/>
  <c r="AE256" i="9"/>
  <c r="AF256" i="9"/>
  <c r="BB256" i="9" s="1"/>
  <c r="BC256" i="9" a="1"/>
  <c r="BC256" i="9" s="1"/>
  <c r="BD256" i="9"/>
  <c r="BM256" i="9"/>
  <c r="BQ256" i="9"/>
  <c r="F257" i="9"/>
  <c r="M257" i="9" a="1"/>
  <c r="M257" i="9" s="1"/>
  <c r="R257" i="9" a="1"/>
  <c r="R257" i="9" s="1"/>
  <c r="Z257" i="9"/>
  <c r="AD257" i="9"/>
  <c r="AE257" i="9"/>
  <c r="AF257" i="9"/>
  <c r="BC257" i="9" a="1"/>
  <c r="BC257" i="9" s="1"/>
  <c r="F258" i="9"/>
  <c r="M258" i="9" a="1"/>
  <c r="M258" i="9" s="1"/>
  <c r="R258" i="9" a="1"/>
  <c r="R258" i="9" s="1"/>
  <c r="Z258" i="9"/>
  <c r="AD258" i="9"/>
  <c r="BM258" i="9" s="1"/>
  <c r="AE258" i="9"/>
  <c r="AF258" i="9"/>
  <c r="BA258" i="9" s="1"/>
  <c r="BC258" i="9" a="1"/>
  <c r="BC258" i="9" s="1"/>
  <c r="BD258" i="9"/>
  <c r="BI258" i="9"/>
  <c r="F259" i="9"/>
  <c r="M259" i="9" a="1"/>
  <c r="M259" i="9" s="1"/>
  <c r="R259" i="9" a="1"/>
  <c r="R259" i="9" s="1"/>
  <c r="Z259" i="9"/>
  <c r="AD259" i="9"/>
  <c r="BM259" i="9" s="1"/>
  <c r="AE259" i="9"/>
  <c r="AF259" i="9"/>
  <c r="BC259" i="9" a="1"/>
  <c r="BC259" i="9" s="1"/>
  <c r="F260" i="9"/>
  <c r="M260" i="9" a="1"/>
  <c r="M260" i="9" s="1"/>
  <c r="R260" i="9" a="1"/>
  <c r="R260" i="9" s="1"/>
  <c r="Z260" i="9"/>
  <c r="AD260" i="9"/>
  <c r="CC260" i="9" s="1"/>
  <c r="AE260" i="9"/>
  <c r="AF260" i="9"/>
  <c r="BB260" i="9" s="1"/>
  <c r="BC260" i="9" a="1"/>
  <c r="BC260" i="9" s="1"/>
  <c r="F261" i="9"/>
  <c r="M261" i="9" a="1"/>
  <c r="M261" i="9" s="1"/>
  <c r="R261" i="9" a="1"/>
  <c r="R261" i="9" s="1"/>
  <c r="Z261" i="9"/>
  <c r="AD261" i="9"/>
  <c r="BM261" i="9" s="1"/>
  <c r="AE261" i="9"/>
  <c r="AF261" i="9"/>
  <c r="BB261" i="9" s="1"/>
  <c r="BC261" i="9" a="1"/>
  <c r="BC261" i="9" s="1"/>
  <c r="F262" i="9"/>
  <c r="M262" i="9" a="1"/>
  <c r="M262" i="9" s="1"/>
  <c r="R262" i="9" a="1"/>
  <c r="R262" i="9" s="1"/>
  <c r="Z262" i="9"/>
  <c r="AD262" i="9"/>
  <c r="AE262" i="9"/>
  <c r="AF262" i="9"/>
  <c r="BB262" i="9" s="1"/>
  <c r="BC262" i="9" a="1"/>
  <c r="BC262" i="9" s="1"/>
  <c r="F263" i="9"/>
  <c r="M263" i="9" a="1"/>
  <c r="M263" i="9" s="1"/>
  <c r="R263" i="9" a="1"/>
  <c r="R263" i="9" s="1"/>
  <c r="Z263" i="9"/>
  <c r="AD263" i="9"/>
  <c r="A263" i="9" s="1"/>
  <c r="AE263" i="9"/>
  <c r="AF263" i="9"/>
  <c r="BB263" i="9" s="1"/>
  <c r="BC263" i="9" a="1"/>
  <c r="BC263" i="9" s="1"/>
  <c r="CG263" i="9"/>
  <c r="A264" i="9"/>
  <c r="F264" i="9"/>
  <c r="M264" i="9" a="1"/>
  <c r="M264" i="9" s="1"/>
  <c r="R264" i="9" a="1"/>
  <c r="R264" i="9" s="1"/>
  <c r="Z264" i="9"/>
  <c r="AD264" i="9"/>
  <c r="CC264" i="9" s="1"/>
  <c r="AE264" i="9"/>
  <c r="AF264" i="9"/>
  <c r="BA264" i="9" s="1"/>
  <c r="AI264" i="9"/>
  <c r="AY264" i="9" a="1"/>
  <c r="AY264" i="9" s="1"/>
  <c r="AZ264" i="9" s="1"/>
  <c r="BC264" i="9" a="1"/>
  <c r="BC264" i="9" s="1"/>
  <c r="BM264" i="9"/>
  <c r="BX264" i="9"/>
  <c r="CG264" i="9"/>
  <c r="CK264" i="9"/>
  <c r="F265" i="9"/>
  <c r="M265" i="9" a="1"/>
  <c r="M265" i="9" s="1"/>
  <c r="R265" i="9" a="1"/>
  <c r="R265" i="9" s="1"/>
  <c r="Z265" i="9"/>
  <c r="AD265" i="9"/>
  <c r="AE265" i="9"/>
  <c r="AF265" i="9"/>
  <c r="BA265" i="9" s="1"/>
  <c r="BC265" i="9" a="1"/>
  <c r="BC265" i="9" s="1"/>
  <c r="F266" i="9"/>
  <c r="M266" i="9" a="1"/>
  <c r="M266" i="9" s="1"/>
  <c r="R266" i="9" a="1"/>
  <c r="R266" i="9" s="1"/>
  <c r="Z266" i="9"/>
  <c r="AD266" i="9"/>
  <c r="BD266" i="9" s="1"/>
  <c r="AE266" i="9"/>
  <c r="AF266" i="9"/>
  <c r="BA266" i="9" s="1"/>
  <c r="BC266" i="9" a="1"/>
  <c r="BC266" i="9" s="1"/>
  <c r="F267" i="9"/>
  <c r="M267" i="9" a="1"/>
  <c r="M267" i="9" s="1"/>
  <c r="R267" i="9" a="1"/>
  <c r="R267" i="9" s="1"/>
  <c r="Z267" i="9"/>
  <c r="AD267" i="9"/>
  <c r="AE267" i="9"/>
  <c r="AF267" i="9"/>
  <c r="BB267" i="9" s="1"/>
  <c r="BC267" i="9" a="1"/>
  <c r="BC267" i="9" s="1"/>
  <c r="F268" i="9"/>
  <c r="M268" i="9" a="1"/>
  <c r="M268" i="9" s="1"/>
  <c r="R268" i="9" a="1"/>
  <c r="R268" i="9" s="1"/>
  <c r="Z268" i="9"/>
  <c r="AD268" i="9"/>
  <c r="AI268" i="9" s="1"/>
  <c r="AE268" i="9"/>
  <c r="AF268" i="9"/>
  <c r="BC268" i="9" a="1"/>
  <c r="BC268" i="9" s="1"/>
  <c r="CK268" i="9"/>
  <c r="F269" i="9"/>
  <c r="M269" i="9" a="1"/>
  <c r="M269" i="9" s="1"/>
  <c r="R269" i="9" a="1"/>
  <c r="R269" i="9" s="1"/>
  <c r="Z269" i="9"/>
  <c r="AD269" i="9"/>
  <c r="AE269" i="9"/>
  <c r="AF269" i="9"/>
  <c r="BB269" i="9" s="1"/>
  <c r="BC269" i="9" a="1"/>
  <c r="BC269" i="9" s="1"/>
  <c r="F270" i="9"/>
  <c r="M270" i="9" a="1"/>
  <c r="M270" i="9" s="1"/>
  <c r="R270" i="9" a="1"/>
  <c r="R270" i="9" s="1"/>
  <c r="Z270" i="9"/>
  <c r="AD270" i="9"/>
  <c r="BM270" i="9" s="1"/>
  <c r="AE270" i="9"/>
  <c r="AF270" i="9"/>
  <c r="AI270" i="9"/>
  <c r="AY270" i="9" a="1"/>
  <c r="AY270" i="9" s="1"/>
  <c r="BC270" i="9" a="1"/>
  <c r="BC270" i="9" s="1"/>
  <c r="BQ270" i="9"/>
  <c r="BX270" i="9"/>
  <c r="CC270" i="9"/>
  <c r="CG270" i="9"/>
  <c r="CK270" i="9"/>
  <c r="F271" i="9"/>
  <c r="M271" i="9" a="1"/>
  <c r="M271" i="9" s="1"/>
  <c r="R271" i="9" a="1"/>
  <c r="R271" i="9" s="1"/>
  <c r="Z271" i="9"/>
  <c r="AD271" i="9"/>
  <c r="A271" i="9" s="1"/>
  <c r="AE271" i="9"/>
  <c r="AF271" i="9"/>
  <c r="BA271" i="9" s="1"/>
  <c r="BC271" i="9" a="1"/>
  <c r="BC271" i="9" s="1"/>
  <c r="F272" i="9"/>
  <c r="M272" i="9" a="1"/>
  <c r="M272" i="9" s="1"/>
  <c r="R272" i="9" a="1"/>
  <c r="R272" i="9" s="1"/>
  <c r="Z272" i="9"/>
  <c r="AD272" i="9"/>
  <c r="BD272" i="9" s="1"/>
  <c r="AE272" i="9"/>
  <c r="AF272" i="9"/>
  <c r="BC272" i="9" a="1"/>
  <c r="BC272" i="9"/>
  <c r="F273" i="9"/>
  <c r="M273" i="9" a="1"/>
  <c r="M273" i="9" s="1"/>
  <c r="R273" i="9" a="1"/>
  <c r="R273" i="9" s="1"/>
  <c r="Z273" i="9"/>
  <c r="AD273" i="9"/>
  <c r="BI273" i="9" s="1"/>
  <c r="AE273" i="9"/>
  <c r="AF273" i="9"/>
  <c r="BA273" i="9" s="1"/>
  <c r="BC273" i="9" a="1"/>
  <c r="BC273" i="9" s="1"/>
  <c r="F274" i="9"/>
  <c r="M274" i="9" a="1"/>
  <c r="M274" i="9" s="1"/>
  <c r="R274" i="9" a="1"/>
  <c r="R274" i="9" s="1"/>
  <c r="Z274" i="9"/>
  <c r="AD274" i="9"/>
  <c r="CC274" i="9" s="1"/>
  <c r="AE274" i="9"/>
  <c r="AF274" i="9"/>
  <c r="BB274" i="9" s="1"/>
  <c r="BC274" i="9" a="1"/>
  <c r="BC274" i="9" s="1"/>
  <c r="CG274" i="9"/>
  <c r="F275" i="9"/>
  <c r="M275" i="9" a="1"/>
  <c r="M275" i="9" s="1"/>
  <c r="R275" i="9" a="1"/>
  <c r="R275" i="9" s="1"/>
  <c r="Z275" i="9"/>
  <c r="AD275" i="9"/>
  <c r="BI275" i="9" s="1"/>
  <c r="AE275" i="9"/>
  <c r="AF275" i="9"/>
  <c r="BC275" i="9" a="1"/>
  <c r="BC275" i="9" s="1"/>
  <c r="F276" i="9"/>
  <c r="M276" i="9" a="1"/>
  <c r="M276" i="9" s="1"/>
  <c r="R276" i="9" a="1"/>
  <c r="R276" i="9" s="1"/>
  <c r="Z276" i="9"/>
  <c r="AD276" i="9"/>
  <c r="AE276" i="9"/>
  <c r="AF276" i="9"/>
  <c r="BC276" i="9" a="1"/>
  <c r="BC276" i="9" s="1"/>
  <c r="BD276" i="9"/>
  <c r="F277" i="9"/>
  <c r="M277" i="9" a="1"/>
  <c r="M277" i="9" s="1"/>
  <c r="R277" i="9" a="1"/>
  <c r="R277" i="9" s="1"/>
  <c r="Z277" i="9"/>
  <c r="AD277" i="9"/>
  <c r="AE277" i="9"/>
  <c r="AF277" i="9"/>
  <c r="BC277" i="9" a="1"/>
  <c r="BC277" i="9" s="1"/>
  <c r="CK277" i="9"/>
  <c r="F278" i="9"/>
  <c r="M278" i="9" a="1"/>
  <c r="M278" i="9" s="1"/>
  <c r="R278" i="9" a="1"/>
  <c r="R278" i="9" s="1"/>
  <c r="Z278" i="9"/>
  <c r="AD278" i="9"/>
  <c r="BM278" i="9" s="1"/>
  <c r="AE278" i="9"/>
  <c r="AF278" i="9"/>
  <c r="BB278" i="9" s="1"/>
  <c r="BC278" i="9" a="1"/>
  <c r="BC278" i="9" s="1"/>
  <c r="F279" i="9"/>
  <c r="M279" i="9" a="1"/>
  <c r="M279" i="9" s="1"/>
  <c r="R279" i="9" a="1"/>
  <c r="R279" i="9" s="1"/>
  <c r="Z279" i="9"/>
  <c r="AD279" i="9"/>
  <c r="AY279" i="9" s="1" a="1"/>
  <c r="AY279" i="9" s="1"/>
  <c r="AE279" i="9"/>
  <c r="AF279" i="9"/>
  <c r="BC279" i="9" a="1"/>
  <c r="BC279" i="9" s="1"/>
  <c r="BD279" i="9"/>
  <c r="F280" i="9"/>
  <c r="M280" i="9" a="1"/>
  <c r="M280" i="9" s="1"/>
  <c r="R280" i="9" a="1"/>
  <c r="R280" i="9" s="1"/>
  <c r="Z280" i="9"/>
  <c r="AD280" i="9"/>
  <c r="BI280" i="9" s="1"/>
  <c r="AE280" i="9"/>
  <c r="AF280" i="9"/>
  <c r="BB280" i="9" s="1"/>
  <c r="BC280" i="9" a="1"/>
  <c r="BC280" i="9" s="1"/>
  <c r="F281" i="9"/>
  <c r="M281" i="9" a="1"/>
  <c r="M281" i="9" s="1"/>
  <c r="R281" i="9" a="1"/>
  <c r="R281" i="9" s="1"/>
  <c r="Z281" i="9"/>
  <c r="AD281" i="9"/>
  <c r="AE281" i="9"/>
  <c r="AF281" i="9"/>
  <c r="BB281" i="9" s="1"/>
  <c r="BC281" i="9" a="1"/>
  <c r="BC281" i="9" s="1"/>
  <c r="F282" i="9"/>
  <c r="M282" i="9" a="1"/>
  <c r="M282" i="9" s="1"/>
  <c r="R282" i="9" a="1"/>
  <c r="R282" i="9" s="1"/>
  <c r="Z282" i="9"/>
  <c r="AD282" i="9"/>
  <c r="AE282" i="9"/>
  <c r="AF282" i="9"/>
  <c r="BC282" i="9" a="1"/>
  <c r="BC282" i="9" s="1"/>
  <c r="F283" i="9"/>
  <c r="M283" i="9" a="1"/>
  <c r="M283" i="9" s="1"/>
  <c r="R283" i="9" a="1"/>
  <c r="R283" i="9" s="1"/>
  <c r="Z283" i="9"/>
  <c r="AD283" i="9"/>
  <c r="AE283" i="9"/>
  <c r="AF283" i="9"/>
  <c r="BC283" i="9" a="1"/>
  <c r="BC283" i="9" s="1"/>
  <c r="BQ283" i="9"/>
  <c r="F284" i="9"/>
  <c r="M284" i="9" a="1"/>
  <c r="M284" i="9" s="1"/>
  <c r="R284" i="9" a="1"/>
  <c r="R284" i="9" s="1"/>
  <c r="Z284" i="9"/>
  <c r="AD284" i="9"/>
  <c r="A284" i="9" s="1"/>
  <c r="AE284" i="9"/>
  <c r="AF284" i="9"/>
  <c r="AI284" i="9"/>
  <c r="AY284" i="9" a="1"/>
  <c r="AY284" i="9" s="1"/>
  <c r="BC284" i="9" a="1"/>
  <c r="BC284" i="9" s="1"/>
  <c r="BD284" i="9"/>
  <c r="BM284" i="9"/>
  <c r="CC284" i="9"/>
  <c r="CG284" i="9"/>
  <c r="CK284" i="9"/>
  <c r="F285" i="9"/>
  <c r="M285" i="9" a="1"/>
  <c r="M285" i="9" s="1"/>
  <c r="R285" i="9" a="1"/>
  <c r="R285" i="9" s="1"/>
  <c r="Z285" i="9"/>
  <c r="AD285" i="9"/>
  <c r="CG285" i="9" s="1"/>
  <c r="AE285" i="9"/>
  <c r="AF285" i="9"/>
  <c r="BB285" i="9" s="1"/>
  <c r="AY285" i="9" a="1"/>
  <c r="AY285" i="9" s="1"/>
  <c r="BC285" i="9" a="1"/>
  <c r="BC285" i="9" s="1"/>
  <c r="F286" i="9"/>
  <c r="M286" i="9" a="1"/>
  <c r="M286" i="9" s="1"/>
  <c r="R286" i="9" a="1"/>
  <c r="R286" i="9" s="1"/>
  <c r="Z286" i="9"/>
  <c r="AD286" i="9"/>
  <c r="AE286" i="9"/>
  <c r="AF286" i="9"/>
  <c r="BB286" i="9" s="1"/>
  <c r="BC286" i="9" a="1"/>
  <c r="BC286" i="9" s="1"/>
  <c r="CK286" i="9"/>
  <c r="F287" i="9"/>
  <c r="M287" i="9" a="1"/>
  <c r="M287" i="9" s="1"/>
  <c r="R287" i="9" a="1"/>
  <c r="R287" i="9" s="1"/>
  <c r="Z287" i="9"/>
  <c r="AD287" i="9"/>
  <c r="AY287" i="9" s="1" a="1"/>
  <c r="AY287" i="9" s="1"/>
  <c r="AE287" i="9"/>
  <c r="AF287" i="9"/>
  <c r="AI287" i="9"/>
  <c r="AZ287" i="9"/>
  <c r="BC287" i="9" a="1"/>
  <c r="BC287" i="9" s="1"/>
  <c r="BD287" i="9"/>
  <c r="BQ287" i="9"/>
  <c r="F288" i="9"/>
  <c r="M288" i="9" a="1"/>
  <c r="M288" i="9" s="1"/>
  <c r="R288" i="9" a="1"/>
  <c r="R288" i="9" s="1"/>
  <c r="Z288" i="9"/>
  <c r="AD288" i="9"/>
  <c r="AE288" i="9"/>
  <c r="AF288" i="9"/>
  <c r="BC288" i="9" a="1"/>
  <c r="BC288" i="9" s="1"/>
  <c r="F289" i="9"/>
  <c r="M289" i="9" a="1"/>
  <c r="M289" i="9" s="1"/>
  <c r="R289" i="9" a="1"/>
  <c r="R289" i="9" s="1"/>
  <c r="Z289" i="9"/>
  <c r="AD289" i="9"/>
  <c r="AE289" i="9"/>
  <c r="AF289" i="9"/>
  <c r="BC289" i="9" a="1"/>
  <c r="BC289" i="9" s="1"/>
  <c r="F290" i="9"/>
  <c r="M290" i="9" a="1"/>
  <c r="M290" i="9" s="1"/>
  <c r="R290" i="9" a="1"/>
  <c r="R290" i="9" s="1"/>
  <c r="Z290" i="9"/>
  <c r="AD290" i="9"/>
  <c r="A290" i="9" s="1"/>
  <c r="AE290" i="9"/>
  <c r="AF290" i="9"/>
  <c r="BB290" i="9" s="1"/>
  <c r="AI290" i="9"/>
  <c r="AY290" i="9" a="1"/>
  <c r="AY290" i="9" s="1"/>
  <c r="BC290" i="9" a="1"/>
  <c r="BC290" i="9" s="1"/>
  <c r="BD290" i="9"/>
  <c r="BQ290" i="9"/>
  <c r="BX290" i="9"/>
  <c r="F291" i="9"/>
  <c r="M291" i="9" a="1"/>
  <c r="M291" i="9" s="1"/>
  <c r="R291" i="9" a="1"/>
  <c r="R291" i="9" s="1"/>
  <c r="Z291" i="9"/>
  <c r="AD291" i="9"/>
  <c r="AE291" i="9"/>
  <c r="AF291" i="9"/>
  <c r="BB291" i="9" s="1"/>
  <c r="BC291" i="9" a="1"/>
  <c r="BC291" i="9" s="1"/>
  <c r="F292" i="9"/>
  <c r="M292" i="9" a="1"/>
  <c r="M292" i="9" s="1"/>
  <c r="R292" i="9" a="1"/>
  <c r="R292" i="9" s="1"/>
  <c r="Z292" i="9"/>
  <c r="AD292" i="9"/>
  <c r="BQ292" i="9" s="1"/>
  <c r="AE292" i="9"/>
  <c r="AF292" i="9"/>
  <c r="BC292" i="9" a="1"/>
  <c r="BC292" i="9" s="1"/>
  <c r="F293" i="9"/>
  <c r="M293" i="9" a="1"/>
  <c r="M293" i="9" s="1"/>
  <c r="R293" i="9" a="1"/>
  <c r="R293" i="9" s="1"/>
  <c r="Z293" i="9"/>
  <c r="AD293" i="9"/>
  <c r="AE293" i="9"/>
  <c r="AF293" i="9"/>
  <c r="BB293" i="9" s="1"/>
  <c r="BC293" i="9" a="1"/>
  <c r="BC293" i="9" s="1"/>
  <c r="F294" i="9"/>
  <c r="M294" i="9" a="1"/>
  <c r="M294" i="9" s="1"/>
  <c r="R294" i="9" a="1"/>
  <c r="R294" i="9" s="1"/>
  <c r="Z294" i="9"/>
  <c r="AD294" i="9"/>
  <c r="AE294" i="9"/>
  <c r="AF294" i="9"/>
  <c r="BC294" i="9" a="1"/>
  <c r="BC294" i="9" s="1"/>
  <c r="F295" i="9"/>
  <c r="M295" i="9" a="1"/>
  <c r="M295" i="9" s="1"/>
  <c r="R295" i="9" a="1"/>
  <c r="R295" i="9" s="1"/>
  <c r="Z295" i="9"/>
  <c r="AD295" i="9"/>
  <c r="AE295" i="9"/>
  <c r="AF295" i="9"/>
  <c r="BB295" i="9" s="1"/>
  <c r="BC295" i="9" a="1"/>
  <c r="BC295" i="9" s="1"/>
  <c r="F296" i="9"/>
  <c r="M296" i="9" a="1"/>
  <c r="M296" i="9" s="1"/>
  <c r="R296" i="9" a="1"/>
  <c r="R296" i="9" s="1"/>
  <c r="Z296" i="9"/>
  <c r="AD296" i="9"/>
  <c r="BM296" i="9" s="1"/>
  <c r="AE296" i="9"/>
  <c r="AF296" i="9"/>
  <c r="BA296" i="9" s="1"/>
  <c r="BC296" i="9" a="1"/>
  <c r="BC296" i="9" s="1"/>
  <c r="BI296" i="9"/>
  <c r="F297" i="9"/>
  <c r="M297" i="9" a="1"/>
  <c r="M297" i="9" s="1"/>
  <c r="R297" i="9" a="1"/>
  <c r="R297" i="9" s="1"/>
  <c r="Z297" i="9"/>
  <c r="AD297" i="9"/>
  <c r="BM297" i="9" s="1"/>
  <c r="AE297" i="9"/>
  <c r="AF297" i="9"/>
  <c r="BB297" i="9" s="1"/>
  <c r="BC297" i="9" a="1"/>
  <c r="BC297" i="9" s="1"/>
  <c r="F298" i="9"/>
  <c r="M298" i="9" a="1"/>
  <c r="M298" i="9" s="1"/>
  <c r="R298" i="9" a="1"/>
  <c r="R298" i="9" s="1"/>
  <c r="Z298" i="9"/>
  <c r="AD298" i="9"/>
  <c r="BX298" i="9" s="1"/>
  <c r="AE298" i="9"/>
  <c r="AF298" i="9"/>
  <c r="BB298" i="9" s="1"/>
  <c r="BC298" i="9" a="1"/>
  <c r="BC298" i="9"/>
  <c r="F299" i="9"/>
  <c r="M299" i="9" a="1"/>
  <c r="M299" i="9" s="1"/>
  <c r="R299" i="9" a="1"/>
  <c r="R299" i="9" s="1"/>
  <c r="Z299" i="9"/>
  <c r="AD299" i="9"/>
  <c r="AE299" i="9"/>
  <c r="AF299" i="9"/>
  <c r="BB299" i="9" s="1"/>
  <c r="BC299" i="9" a="1"/>
  <c r="BC299" i="9" s="1"/>
  <c r="F300" i="9"/>
  <c r="M300" i="9" a="1"/>
  <c r="M300" i="9" s="1"/>
  <c r="R300" i="9" a="1"/>
  <c r="R300" i="9" s="1"/>
  <c r="Z300" i="9"/>
  <c r="AD300" i="9"/>
  <c r="A300" i="9" s="1"/>
  <c r="AE300" i="9"/>
  <c r="AF300" i="9"/>
  <c r="BB300" i="9" s="1"/>
  <c r="AI300" i="9"/>
  <c r="AY300" i="9" a="1"/>
  <c r="AY300" i="9" s="1"/>
  <c r="BC300" i="9" a="1"/>
  <c r="BC300" i="9" s="1"/>
  <c r="BD300" i="9"/>
  <c r="BI300" i="9"/>
  <c r="BM300" i="9"/>
  <c r="BX300" i="9"/>
  <c r="CC300" i="9"/>
  <c r="CK300" i="9"/>
  <c r="F301" i="9"/>
  <c r="M301" i="9" a="1"/>
  <c r="M301" i="9" s="1"/>
  <c r="R301" i="9" a="1"/>
  <c r="R301" i="9" s="1"/>
  <c r="Z301" i="9"/>
  <c r="AD301" i="9"/>
  <c r="AE301" i="9"/>
  <c r="AF301" i="9"/>
  <c r="BC301" i="9" a="1"/>
  <c r="BC301" i="9" s="1"/>
  <c r="A302" i="9"/>
  <c r="F302" i="9"/>
  <c r="M302" i="9" a="1"/>
  <c r="M302" i="9" s="1"/>
  <c r="R302" i="9" a="1"/>
  <c r="R302" i="9" s="1"/>
  <c r="Z302" i="9"/>
  <c r="AD302" i="9"/>
  <c r="CC302" i="9" s="1"/>
  <c r="AE302" i="9"/>
  <c r="AF302" i="9"/>
  <c r="AI302" i="9"/>
  <c r="BC302" i="9" a="1"/>
  <c r="BC302" i="9" s="1"/>
  <c r="F303" i="9"/>
  <c r="M303" i="9" a="1"/>
  <c r="M303" i="9" s="1"/>
  <c r="R303" i="9" a="1"/>
  <c r="R303" i="9" s="1"/>
  <c r="Z303" i="9"/>
  <c r="AD303" i="9"/>
  <c r="AE303" i="9"/>
  <c r="AF303" i="9"/>
  <c r="BB303" i="9" s="1"/>
  <c r="BC303" i="9" a="1"/>
  <c r="BC303" i="9" s="1"/>
  <c r="F304" i="9"/>
  <c r="M304" i="9" a="1"/>
  <c r="M304" i="9" s="1"/>
  <c r="R304" i="9" a="1"/>
  <c r="R304" i="9" s="1"/>
  <c r="Z304" i="9"/>
  <c r="AD304" i="9"/>
  <c r="AE304" i="9"/>
  <c r="AF304" i="9"/>
  <c r="BB304" i="9" s="1"/>
  <c r="BC304" i="9" a="1"/>
  <c r="BC304" i="9" s="1"/>
  <c r="F305" i="9"/>
  <c r="M305" i="9" a="1"/>
  <c r="M305" i="9" s="1"/>
  <c r="R305" i="9" a="1"/>
  <c r="R305" i="9" s="1"/>
  <c r="Z305" i="9"/>
  <c r="AD305" i="9"/>
  <c r="BI305" i="9" s="1"/>
  <c r="AE305" i="9"/>
  <c r="AF305" i="9"/>
  <c r="BB305" i="9" s="1"/>
  <c r="BC305" i="9" a="1"/>
  <c r="BC305" i="9" s="1"/>
  <c r="F306" i="9"/>
  <c r="M306" i="9" a="1"/>
  <c r="M306" i="9" s="1"/>
  <c r="R306" i="9" a="1"/>
  <c r="R306" i="9" s="1"/>
  <c r="Z306" i="9"/>
  <c r="AD306" i="9"/>
  <c r="AE306" i="9"/>
  <c r="AF306" i="9"/>
  <c r="BC306" i="9" a="1"/>
  <c r="BC306" i="9" s="1"/>
  <c r="F307" i="9"/>
  <c r="M307" i="9" a="1"/>
  <c r="M307" i="9" s="1"/>
  <c r="R307" i="9" a="1"/>
  <c r="R307" i="9" s="1"/>
  <c r="Z307" i="9"/>
  <c r="AD307" i="9"/>
  <c r="AE307" i="9"/>
  <c r="AF307" i="9"/>
  <c r="BB307" i="9" s="1"/>
  <c r="BC307" i="9" a="1"/>
  <c r="BC307" i="9" s="1"/>
  <c r="F308" i="9"/>
  <c r="M308" i="9" a="1"/>
  <c r="M308" i="9" s="1"/>
  <c r="R308" i="9" a="1"/>
  <c r="R308" i="9" s="1"/>
  <c r="Z308" i="9"/>
  <c r="AD308" i="9"/>
  <c r="AE308" i="9"/>
  <c r="AF308" i="9"/>
  <c r="BC308" i="9" a="1"/>
  <c r="BC308" i="9" s="1"/>
  <c r="BI308" i="9"/>
  <c r="BQ308" i="9"/>
  <c r="F309" i="9"/>
  <c r="M309" i="9" a="1"/>
  <c r="M309" i="9" s="1"/>
  <c r="R309" i="9" a="1"/>
  <c r="R309" i="9" s="1"/>
  <c r="Z309" i="9"/>
  <c r="AD309" i="9"/>
  <c r="BM309" i="9" s="1"/>
  <c r="AE309" i="9"/>
  <c r="AF309" i="9"/>
  <c r="BC309" i="9" a="1"/>
  <c r="BC309" i="9" s="1"/>
  <c r="F310" i="9"/>
  <c r="M310" i="9" a="1"/>
  <c r="M310" i="9" s="1"/>
  <c r="R310" i="9" a="1"/>
  <c r="R310" i="9" s="1"/>
  <c r="Z310" i="9"/>
  <c r="AD310" i="9"/>
  <c r="AE310" i="9"/>
  <c r="AF310" i="9"/>
  <c r="BB310" i="9" s="1"/>
  <c r="BC310" i="9" a="1"/>
  <c r="BC310" i="9" s="1"/>
  <c r="F311" i="9"/>
  <c r="M311" i="9" a="1"/>
  <c r="M311" i="9" s="1"/>
  <c r="R311" i="9" a="1"/>
  <c r="R311" i="9" s="1"/>
  <c r="Z311" i="9"/>
  <c r="AD311" i="9"/>
  <c r="AE311" i="9"/>
  <c r="AF311" i="9"/>
  <c r="BB311" i="9" s="1"/>
  <c r="BC311" i="9" a="1"/>
  <c r="BC311" i="9" s="1"/>
  <c r="F312" i="9"/>
  <c r="M312" i="9" a="1"/>
  <c r="M312" i="9" s="1"/>
  <c r="R312" i="9" a="1"/>
  <c r="R312" i="9" s="1"/>
  <c r="Z312" i="9"/>
  <c r="AD312" i="9"/>
  <c r="BD312" i="9" s="1"/>
  <c r="AE312" i="9"/>
  <c r="AF312" i="9"/>
  <c r="BC312" i="9" a="1"/>
  <c r="BC312" i="9" s="1"/>
  <c r="A313" i="9"/>
  <c r="F313" i="9"/>
  <c r="M313" i="9" a="1"/>
  <c r="M313" i="9" s="1"/>
  <c r="R313" i="9" a="1"/>
  <c r="R313" i="9" s="1"/>
  <c r="Z313" i="9"/>
  <c r="AD313" i="9"/>
  <c r="AE313" i="9"/>
  <c r="AF313" i="9"/>
  <c r="BC313" i="9" a="1"/>
  <c r="BC313" i="9" s="1"/>
  <c r="F314" i="9"/>
  <c r="M314" i="9" a="1"/>
  <c r="M314" i="9" s="1"/>
  <c r="R314" i="9" a="1"/>
  <c r="R314" i="9" s="1"/>
  <c r="Z314" i="9"/>
  <c r="AD314" i="9"/>
  <c r="AE314" i="9"/>
  <c r="AF314" i="9"/>
  <c r="BB314" i="9" s="1"/>
  <c r="BA314" i="9"/>
  <c r="BC314" i="9" a="1"/>
  <c r="BC314" i="9" s="1"/>
  <c r="BD314" i="9"/>
  <c r="CK314" i="9"/>
  <c r="F315" i="9"/>
  <c r="M315" i="9" a="1"/>
  <c r="M315" i="9" s="1"/>
  <c r="R315" i="9" a="1"/>
  <c r="R315" i="9" s="1"/>
  <c r="Z315" i="9"/>
  <c r="AD315" i="9"/>
  <c r="CG315" i="9" s="1"/>
  <c r="AE315" i="9"/>
  <c r="AF315" i="9"/>
  <c r="BA315" i="9" s="1"/>
  <c r="BC315" i="9" a="1"/>
  <c r="BC315" i="9" s="1"/>
  <c r="F316" i="9"/>
  <c r="M316" i="9" a="1"/>
  <c r="M316" i="9" s="1"/>
  <c r="R316" i="9" a="1"/>
  <c r="R316" i="9" s="1"/>
  <c r="Z316" i="9"/>
  <c r="AD316" i="9"/>
  <c r="CC316" i="9" s="1"/>
  <c r="AE316" i="9"/>
  <c r="AF316" i="9"/>
  <c r="BC316" i="9" a="1"/>
  <c r="BC316" i="9" s="1"/>
  <c r="F317" i="9"/>
  <c r="M317" i="9" a="1"/>
  <c r="M317" i="9" s="1"/>
  <c r="R317" i="9" a="1"/>
  <c r="R317" i="9" s="1"/>
  <c r="Z317" i="9"/>
  <c r="AD317" i="9"/>
  <c r="AE317" i="9"/>
  <c r="AF317" i="9"/>
  <c r="BC317" i="9" a="1"/>
  <c r="BC317" i="9" s="1"/>
  <c r="F318" i="9"/>
  <c r="M318" i="9" a="1"/>
  <c r="M318" i="9" s="1"/>
  <c r="R318" i="9" a="1"/>
  <c r="R318" i="9" s="1"/>
  <c r="Z318" i="9"/>
  <c r="AD318" i="9"/>
  <c r="AE318" i="9"/>
  <c r="AF318" i="9"/>
  <c r="BB318" i="9" s="1"/>
  <c r="BC318" i="9" a="1"/>
  <c r="BC318" i="9" s="1"/>
  <c r="F319" i="9"/>
  <c r="M319" i="9" a="1"/>
  <c r="M319" i="9" s="1"/>
  <c r="R319" i="9" a="1"/>
  <c r="R319" i="9" s="1"/>
  <c r="Z319" i="9"/>
  <c r="AD319" i="9"/>
  <c r="BI319" i="9" s="1"/>
  <c r="AE319" i="9"/>
  <c r="AF319" i="9"/>
  <c r="BC319" i="9" a="1"/>
  <c r="BC319" i="9" s="1"/>
  <c r="BM319" i="9"/>
  <c r="F320" i="9"/>
  <c r="M320" i="9" a="1"/>
  <c r="M320" i="9" s="1"/>
  <c r="R320" i="9" a="1"/>
  <c r="R320" i="9" s="1"/>
  <c r="Z320" i="9"/>
  <c r="AD320" i="9"/>
  <c r="AE320" i="9"/>
  <c r="AF320" i="9"/>
  <c r="BC320" i="9" a="1"/>
  <c r="BC320" i="9"/>
  <c r="F321" i="9"/>
  <c r="M321" i="9" a="1"/>
  <c r="M321" i="9" s="1"/>
  <c r="R321" i="9" a="1"/>
  <c r="R321" i="9" s="1"/>
  <c r="Z321" i="9"/>
  <c r="AD321" i="9"/>
  <c r="AE321" i="9"/>
  <c r="AF321" i="9"/>
  <c r="BB321" i="9" s="1"/>
  <c r="BC321" i="9" a="1"/>
  <c r="BC321" i="9" s="1"/>
  <c r="F322" i="9"/>
  <c r="M322" i="9" a="1"/>
  <c r="M322" i="9" s="1"/>
  <c r="R322" i="9" a="1"/>
  <c r="R322" i="9" s="1"/>
  <c r="Z322" i="9"/>
  <c r="AD322" i="9"/>
  <c r="AE322" i="9"/>
  <c r="AF322" i="9"/>
  <c r="BB322" i="9" s="1"/>
  <c r="BC322" i="9" a="1"/>
  <c r="BC322" i="9" s="1"/>
  <c r="F323" i="9"/>
  <c r="M323" i="9" a="1"/>
  <c r="M323" i="9" s="1"/>
  <c r="R323" i="9" a="1"/>
  <c r="R323" i="9" s="1"/>
  <c r="Z323" i="9"/>
  <c r="AD323" i="9"/>
  <c r="BI323" i="9" s="1"/>
  <c r="AE323" i="9"/>
  <c r="AF323" i="9"/>
  <c r="BC323" i="9" a="1"/>
  <c r="BC323" i="9" s="1"/>
  <c r="BM323" i="9"/>
  <c r="F324" i="9"/>
  <c r="M324" i="9" a="1"/>
  <c r="M324" i="9" s="1"/>
  <c r="R324" i="9" a="1"/>
  <c r="R324" i="9" s="1"/>
  <c r="Z324" i="9"/>
  <c r="AD324" i="9"/>
  <c r="BI324" i="9" s="1"/>
  <c r="AE324" i="9"/>
  <c r="AF324" i="9"/>
  <c r="BC324" i="9" a="1"/>
  <c r="BC324" i="9" s="1"/>
  <c r="F325" i="9"/>
  <c r="M325" i="9" a="1"/>
  <c r="M325" i="9" s="1"/>
  <c r="R325" i="9" a="1"/>
  <c r="R325" i="9" s="1"/>
  <c r="Z325" i="9"/>
  <c r="AD325" i="9"/>
  <c r="A325" i="9" s="1"/>
  <c r="AE325" i="9"/>
  <c r="AF325" i="9"/>
  <c r="AI325" i="9"/>
  <c r="BC325" i="9" a="1"/>
  <c r="BC325" i="9" s="1"/>
  <c r="BM325" i="9"/>
  <c r="BX325" i="9"/>
  <c r="CC325" i="9"/>
  <c r="F326" i="9"/>
  <c r="M326" i="9" a="1"/>
  <c r="M326" i="9" s="1"/>
  <c r="R326" i="9" a="1"/>
  <c r="R326" i="9" s="1"/>
  <c r="Z326" i="9"/>
  <c r="AD326" i="9"/>
  <c r="AI326" i="9" s="1"/>
  <c r="AE326" i="9"/>
  <c r="AF326" i="9"/>
  <c r="BC326" i="9" a="1"/>
  <c r="BC326" i="9" s="1"/>
  <c r="F327" i="9"/>
  <c r="M327" i="9" a="1"/>
  <c r="M327" i="9" s="1"/>
  <c r="R327" i="9" a="1"/>
  <c r="R327" i="9" s="1"/>
  <c r="Z327" i="9"/>
  <c r="AD327" i="9"/>
  <c r="AI327" i="9" s="1"/>
  <c r="AE327" i="9"/>
  <c r="AF327" i="9"/>
  <c r="BB327" i="9" s="1"/>
  <c r="AY327" i="9" a="1"/>
  <c r="AY327" i="9" s="1"/>
  <c r="AZ327" i="9" s="1"/>
  <c r="BC327" i="9" a="1"/>
  <c r="BC327" i="9" s="1"/>
  <c r="BM327" i="9"/>
  <c r="BX327" i="9"/>
  <c r="CC327" i="9"/>
  <c r="CK327" i="9"/>
  <c r="F328" i="9"/>
  <c r="M328" i="9" a="1"/>
  <c r="M328" i="9" s="1"/>
  <c r="R328" i="9" a="1"/>
  <c r="R328" i="9" s="1"/>
  <c r="Z328" i="9"/>
  <c r="AD328" i="9"/>
  <c r="CG328" i="9" s="1"/>
  <c r="AE328" i="9"/>
  <c r="AF328" i="9"/>
  <c r="BC328" i="9" a="1"/>
  <c r="BC328" i="9" s="1"/>
  <c r="F329" i="9"/>
  <c r="M329" i="9" a="1"/>
  <c r="M329" i="9" s="1"/>
  <c r="R329" i="9" a="1"/>
  <c r="R329" i="9" s="1"/>
  <c r="Z329" i="9"/>
  <c r="AD329" i="9"/>
  <c r="BI329" i="9" s="1"/>
  <c r="AE329" i="9"/>
  <c r="AF329" i="9"/>
  <c r="BB329" i="9" s="1"/>
  <c r="BC329" i="9" a="1"/>
  <c r="BC329" i="9" s="1"/>
  <c r="F330" i="9"/>
  <c r="M330" i="9" a="1"/>
  <c r="M330" i="9" s="1"/>
  <c r="R330" i="9" a="1"/>
  <c r="R330" i="9" s="1"/>
  <c r="Z330" i="9"/>
  <c r="AD330" i="9"/>
  <c r="AE330" i="9"/>
  <c r="AF330" i="9"/>
  <c r="BC330" i="9" a="1"/>
  <c r="BC330" i="9" s="1"/>
  <c r="F331" i="9"/>
  <c r="M331" i="9" a="1"/>
  <c r="M331" i="9" s="1"/>
  <c r="R331" i="9" a="1"/>
  <c r="R331" i="9" s="1"/>
  <c r="Z331" i="9"/>
  <c r="AD331" i="9"/>
  <c r="BX331" i="9" s="1"/>
  <c r="AE331" i="9"/>
  <c r="AF331" i="9"/>
  <c r="BC331" i="9" a="1"/>
  <c r="BC331" i="9" s="1"/>
  <c r="BD331" i="9"/>
  <c r="BQ331" i="9"/>
  <c r="F332" i="9"/>
  <c r="M332" i="9" a="1"/>
  <c r="M332" i="9" s="1"/>
  <c r="R332" i="9" a="1"/>
  <c r="R332" i="9" s="1"/>
  <c r="Z332" i="9"/>
  <c r="AD332" i="9"/>
  <c r="BI332" i="9" s="1"/>
  <c r="AE332" i="9"/>
  <c r="AF332" i="9"/>
  <c r="BC332" i="9" a="1"/>
  <c r="BC332" i="9" s="1"/>
  <c r="F333" i="9"/>
  <c r="M333" i="9" a="1"/>
  <c r="M333" i="9" s="1"/>
  <c r="R333" i="9" a="1"/>
  <c r="R333" i="9" s="1"/>
  <c r="Z333" i="9"/>
  <c r="AD333" i="9"/>
  <c r="A333" i="9" s="1"/>
  <c r="AE333" i="9"/>
  <c r="AF333" i="9"/>
  <c r="BB333" i="9" s="1"/>
  <c r="BC333" i="9" a="1"/>
  <c r="BC333" i="9" s="1"/>
  <c r="F334" i="9"/>
  <c r="M334" i="9" a="1"/>
  <c r="M334" i="9" s="1"/>
  <c r="R334" i="9" a="1"/>
  <c r="R334" i="9" s="1"/>
  <c r="Z334" i="9"/>
  <c r="AD334" i="9"/>
  <c r="AI334" i="9" s="1"/>
  <c r="AE334" i="9"/>
  <c r="AF334" i="9"/>
  <c r="AY334" i="9" a="1"/>
  <c r="AY334" i="9" s="1"/>
  <c r="BC334" i="9" a="1"/>
  <c r="BC334" i="9" s="1"/>
  <c r="BI334" i="9"/>
  <c r="BX334" i="9"/>
  <c r="CG334" i="9"/>
  <c r="CK334" i="9"/>
  <c r="F335" i="9"/>
  <c r="M335" i="9" a="1"/>
  <c r="M335" i="9" s="1"/>
  <c r="R335" i="9" a="1"/>
  <c r="R335" i="9" s="1"/>
  <c r="Z335" i="9"/>
  <c r="AD335" i="9"/>
  <c r="AI335" i="9" s="1"/>
  <c r="AE335" i="9"/>
  <c r="AF335" i="9"/>
  <c r="BB335" i="9" s="1"/>
  <c r="BC335" i="9" a="1"/>
  <c r="BC335" i="9" s="1"/>
  <c r="F336" i="9"/>
  <c r="M336" i="9" a="1"/>
  <c r="M336" i="9" s="1"/>
  <c r="R336" i="9" a="1"/>
  <c r="R336" i="9" s="1"/>
  <c r="Z336" i="9"/>
  <c r="AD336" i="9"/>
  <c r="BM336" i="9" s="1"/>
  <c r="AE336" i="9"/>
  <c r="AF336" i="9"/>
  <c r="AY336" i="9" a="1"/>
  <c r="AY336" i="9" s="1"/>
  <c r="AZ336" i="9" s="1"/>
  <c r="BC336" i="9" a="1"/>
  <c r="BC336" i="9"/>
  <c r="BI336" i="9"/>
  <c r="CG336" i="9"/>
  <c r="CK336" i="9"/>
  <c r="F337" i="9"/>
  <c r="M337" i="9" a="1"/>
  <c r="M337" i="9" s="1"/>
  <c r="R337" i="9" a="1"/>
  <c r="R337" i="9" s="1"/>
  <c r="Z337" i="9"/>
  <c r="AD337" i="9"/>
  <c r="AE337" i="9"/>
  <c r="AF337" i="9"/>
  <c r="BB337" i="9" s="1"/>
  <c r="BC337" i="9" a="1"/>
  <c r="BC337" i="9" s="1"/>
  <c r="F338" i="9"/>
  <c r="M338" i="9" a="1"/>
  <c r="M338" i="9" s="1"/>
  <c r="R338" i="9" a="1"/>
  <c r="R338" i="9" s="1"/>
  <c r="Z338" i="9"/>
  <c r="AD338" i="9"/>
  <c r="AE338" i="9"/>
  <c r="AF338" i="9"/>
  <c r="BB338" i="9" s="1"/>
  <c r="BC338" i="9" a="1"/>
  <c r="BC338" i="9" s="1"/>
  <c r="F339" i="9"/>
  <c r="M339" i="9" a="1"/>
  <c r="M339" i="9" s="1"/>
  <c r="R339" i="9" a="1"/>
  <c r="R339" i="9" s="1"/>
  <c r="Z339" i="9"/>
  <c r="AD339" i="9"/>
  <c r="AY339" i="9" s="1" a="1"/>
  <c r="AY339" i="9" s="1"/>
  <c r="AE339" i="9"/>
  <c r="AF339" i="9"/>
  <c r="BC339" i="9" a="1"/>
  <c r="BC339" i="9" s="1"/>
  <c r="BM339" i="9"/>
  <c r="BQ339" i="9"/>
  <c r="BX339" i="9"/>
  <c r="F340" i="9"/>
  <c r="M340" i="9" a="1"/>
  <c r="M340" i="9" s="1"/>
  <c r="R340" i="9" a="1"/>
  <c r="R340" i="9" s="1"/>
  <c r="Z340" i="9"/>
  <c r="AD340" i="9"/>
  <c r="AE340" i="9"/>
  <c r="AF340" i="9"/>
  <c r="BC340" i="9" a="1"/>
  <c r="BC340" i="9" s="1"/>
  <c r="F341" i="9"/>
  <c r="M341" i="9" a="1"/>
  <c r="M341" i="9" s="1"/>
  <c r="R341" i="9" a="1"/>
  <c r="R341" i="9" s="1"/>
  <c r="Z341" i="9"/>
  <c r="AD341" i="9"/>
  <c r="A341" i="9" s="1"/>
  <c r="AE341" i="9"/>
  <c r="AF341" i="9"/>
  <c r="BB341" i="9" s="1"/>
  <c r="BC341" i="9" a="1"/>
  <c r="BC341" i="9" s="1"/>
  <c r="BQ341" i="9"/>
  <c r="F342" i="9"/>
  <c r="M342" i="9" a="1"/>
  <c r="M342" i="9" s="1"/>
  <c r="R342" i="9" a="1"/>
  <c r="R342" i="9" s="1"/>
  <c r="Z342" i="9"/>
  <c r="AD342" i="9"/>
  <c r="CK342" i="9" s="1"/>
  <c r="AE342" i="9"/>
  <c r="AF342" i="9"/>
  <c r="BB342" i="9" s="1"/>
  <c r="AY342" i="9" a="1"/>
  <c r="AY342" i="9" s="1"/>
  <c r="BC342" i="9" a="1"/>
  <c r="BC342" i="9" s="1"/>
  <c r="F343" i="9"/>
  <c r="M343" i="9" a="1"/>
  <c r="M343" i="9" s="1"/>
  <c r="R343" i="9" a="1"/>
  <c r="R343" i="9" s="1"/>
  <c r="Z343" i="9"/>
  <c r="AD343" i="9"/>
  <c r="AE343" i="9"/>
  <c r="AF343" i="9"/>
  <c r="BB343" i="9" s="1"/>
  <c r="BC343" i="9" a="1"/>
  <c r="BC343" i="9" s="1"/>
  <c r="F344" i="9"/>
  <c r="M344" i="9" a="1"/>
  <c r="M344" i="9" s="1"/>
  <c r="R344" i="9" a="1"/>
  <c r="R344" i="9" s="1"/>
  <c r="Z344" i="9"/>
  <c r="AD344" i="9"/>
  <c r="AE344" i="9"/>
  <c r="AF344" i="9"/>
  <c r="BC344" i="9" a="1"/>
  <c r="BC344" i="9" s="1"/>
  <c r="F345" i="9"/>
  <c r="M345" i="9" a="1"/>
  <c r="M345" i="9" s="1"/>
  <c r="R345" i="9" a="1"/>
  <c r="R345" i="9" s="1"/>
  <c r="Z345" i="9"/>
  <c r="AD345" i="9"/>
  <c r="CC345" i="9" s="1"/>
  <c r="AE345" i="9"/>
  <c r="AF345" i="9"/>
  <c r="BB345" i="9" s="1"/>
  <c r="BC345" i="9" a="1"/>
  <c r="BC345" i="9" s="1"/>
  <c r="CK345" i="9"/>
  <c r="F346" i="9"/>
  <c r="M346" i="9" a="1"/>
  <c r="M346" i="9" s="1"/>
  <c r="R346" i="9" a="1"/>
  <c r="R346" i="9" s="1"/>
  <c r="Z346" i="9"/>
  <c r="AD346" i="9"/>
  <c r="AY346" i="9" s="1" a="1"/>
  <c r="AY346" i="9" s="1"/>
  <c r="AZ346" i="9" s="1"/>
  <c r="AE346" i="9"/>
  <c r="AF346" i="9"/>
  <c r="BB346" i="9" s="1"/>
  <c r="BC346" i="9" a="1"/>
  <c r="BC346" i="9" s="1"/>
  <c r="BI346" i="9"/>
  <c r="BM346" i="9"/>
  <c r="F347" i="9"/>
  <c r="M347" i="9" a="1"/>
  <c r="M347" i="9" s="1"/>
  <c r="R347" i="9" a="1"/>
  <c r="R347" i="9" s="1"/>
  <c r="Z347" i="9"/>
  <c r="AD347" i="9"/>
  <c r="BX347" i="9" s="1"/>
  <c r="AE347" i="9"/>
  <c r="AF347" i="9"/>
  <c r="AI347" i="9"/>
  <c r="BC347" i="9" a="1"/>
  <c r="BC347" i="9" s="1"/>
  <c r="BD347" i="9"/>
  <c r="F348" i="9"/>
  <c r="M348" i="9" a="1"/>
  <c r="M348" i="9" s="1"/>
  <c r="R348" i="9" a="1"/>
  <c r="R348" i="9" s="1"/>
  <c r="Z348" i="9"/>
  <c r="AD348" i="9"/>
  <c r="BI348" i="9" s="1"/>
  <c r="AE348" i="9"/>
  <c r="AF348" i="9"/>
  <c r="BB348" i="9" s="1"/>
  <c r="BC348" i="9" a="1"/>
  <c r="BC348" i="9" s="1"/>
  <c r="F349" i="9"/>
  <c r="M349" i="9" a="1"/>
  <c r="M349" i="9" s="1"/>
  <c r="R349" i="9" a="1"/>
  <c r="R349" i="9" s="1"/>
  <c r="Z349" i="9"/>
  <c r="AD349" i="9"/>
  <c r="BI349" i="9" s="1"/>
  <c r="AE349" i="9"/>
  <c r="AF349" i="9"/>
  <c r="BB349" i="9" s="1"/>
  <c r="BC349" i="9" a="1"/>
  <c r="BC349" i="9" s="1"/>
  <c r="F350" i="9"/>
  <c r="M350" i="9" a="1"/>
  <c r="M350" i="9" s="1"/>
  <c r="R350" i="9" a="1"/>
  <c r="R350" i="9" s="1"/>
  <c r="Z350" i="9"/>
  <c r="AD350" i="9"/>
  <c r="AE350" i="9"/>
  <c r="AF350" i="9"/>
  <c r="BC350" i="9" a="1"/>
  <c r="BC350" i="9" s="1"/>
  <c r="F351" i="9"/>
  <c r="M351" i="9" a="1"/>
  <c r="M351" i="9" s="1"/>
  <c r="R351" i="9" a="1"/>
  <c r="R351" i="9" s="1"/>
  <c r="Z351" i="9"/>
  <c r="AD351" i="9"/>
  <c r="AY351" i="9" s="1" a="1"/>
  <c r="AY351" i="9" s="1"/>
  <c r="AE351" i="9"/>
  <c r="AF351" i="9"/>
  <c r="BC351" i="9" a="1"/>
  <c r="BC351" i="9" s="1"/>
  <c r="BI351" i="9"/>
  <c r="BQ351" i="9"/>
  <c r="F352" i="9"/>
  <c r="M352" i="9" a="1"/>
  <c r="M352" i="9" s="1"/>
  <c r="R352" i="9" a="1"/>
  <c r="R352" i="9" s="1"/>
  <c r="Z352" i="9"/>
  <c r="AD352" i="9"/>
  <c r="AE352" i="9"/>
  <c r="AF352" i="9"/>
  <c r="BA352" i="9" s="1"/>
  <c r="BC352" i="9" a="1"/>
  <c r="BC352" i="9" s="1"/>
  <c r="F353" i="9"/>
  <c r="M353" i="9" a="1"/>
  <c r="M353" i="9" s="1"/>
  <c r="R353" i="9" a="1"/>
  <c r="R353" i="9" s="1"/>
  <c r="Z353" i="9"/>
  <c r="AD353" i="9"/>
  <c r="CC353" i="9" s="1"/>
  <c r="AE353" i="9"/>
  <c r="AF353" i="9"/>
  <c r="BC353" i="9" a="1"/>
  <c r="BC353" i="9" s="1"/>
  <c r="F354" i="9"/>
  <c r="M354" i="9" a="1"/>
  <c r="M354" i="9" s="1"/>
  <c r="R354" i="9" a="1"/>
  <c r="R354" i="9" s="1"/>
  <c r="Z354" i="9"/>
  <c r="AD354" i="9"/>
  <c r="AY354" i="9" s="1" a="1"/>
  <c r="AY354" i="9" s="1"/>
  <c r="AE354" i="9"/>
  <c r="AF354" i="9"/>
  <c r="BB354" i="9" s="1"/>
  <c r="BC354" i="9" a="1"/>
  <c r="BC354" i="9" s="1"/>
  <c r="F355" i="9"/>
  <c r="M355" i="9" a="1"/>
  <c r="M355" i="9" s="1"/>
  <c r="R355" i="9" a="1"/>
  <c r="R355" i="9" s="1"/>
  <c r="Z355" i="9"/>
  <c r="AD355" i="9"/>
  <c r="BI355" i="9" s="1"/>
  <c r="AE355" i="9"/>
  <c r="AF355" i="9"/>
  <c r="BB355" i="9" s="1"/>
  <c r="BC355" i="9" a="1"/>
  <c r="BC355" i="9" s="1"/>
  <c r="F356" i="9"/>
  <c r="M356" i="9" a="1"/>
  <c r="M356" i="9" s="1"/>
  <c r="R356" i="9" a="1"/>
  <c r="R356" i="9" s="1"/>
  <c r="Z356" i="9"/>
  <c r="AD356" i="9"/>
  <c r="AE356" i="9"/>
  <c r="AF356" i="9"/>
  <c r="BC356" i="9" a="1"/>
  <c r="BC356" i="9" s="1"/>
  <c r="F357" i="9"/>
  <c r="M357" i="9" a="1"/>
  <c r="M357" i="9" s="1"/>
  <c r="R357" i="9" a="1"/>
  <c r="R357" i="9" s="1"/>
  <c r="Z357" i="9"/>
  <c r="AD357" i="9"/>
  <c r="AE357" i="9"/>
  <c r="AF357" i="9"/>
  <c r="BB357" i="9" s="1"/>
  <c r="BC357" i="9" a="1"/>
  <c r="BC357" i="9" s="1"/>
  <c r="F358" i="9"/>
  <c r="M358" i="9" a="1"/>
  <c r="M358" i="9" s="1"/>
  <c r="R358" i="9" a="1"/>
  <c r="R358" i="9" s="1"/>
  <c r="Z358" i="9"/>
  <c r="AD358" i="9"/>
  <c r="CG358" i="9" s="1"/>
  <c r="AE358" i="9"/>
  <c r="AF358" i="9"/>
  <c r="BB358" i="9" s="1"/>
  <c r="BC358" i="9" a="1"/>
  <c r="BC358" i="9" s="1"/>
  <c r="BD358" i="9"/>
  <c r="BQ358" i="9"/>
  <c r="F359" i="9"/>
  <c r="M359" i="9" a="1"/>
  <c r="M359" i="9" s="1"/>
  <c r="R359" i="9" a="1"/>
  <c r="R359" i="9" s="1"/>
  <c r="Z359" i="9"/>
  <c r="AD359" i="9"/>
  <c r="BQ359" i="9" s="1"/>
  <c r="AE359" i="9"/>
  <c r="AF359" i="9"/>
  <c r="BB359" i="9" s="1"/>
  <c r="BC359" i="9" a="1"/>
  <c r="BC359" i="9" s="1"/>
  <c r="F360" i="9"/>
  <c r="M360" i="9" a="1"/>
  <c r="M360" i="9" s="1"/>
  <c r="R360" i="9" a="1"/>
  <c r="R360" i="9" s="1"/>
  <c r="Z360" i="9"/>
  <c r="AD360" i="9"/>
  <c r="BQ360" i="9" s="1"/>
  <c r="AE360" i="9"/>
  <c r="AF360" i="9"/>
  <c r="AI360" i="9"/>
  <c r="BC360" i="9" a="1"/>
  <c r="BC360" i="9" s="1"/>
  <c r="CC360" i="9"/>
  <c r="F361" i="9"/>
  <c r="M361" i="9" a="1"/>
  <c r="M361" i="9" s="1"/>
  <c r="R361" i="9" a="1"/>
  <c r="R361" i="9" s="1"/>
  <c r="Z361" i="9"/>
  <c r="AD361" i="9"/>
  <c r="CC361" i="9" s="1"/>
  <c r="AE361" i="9"/>
  <c r="AF361" i="9"/>
  <c r="BC361" i="9" a="1"/>
  <c r="BC361" i="9" s="1"/>
  <c r="CK361" i="9"/>
  <c r="F362" i="9"/>
  <c r="M362" i="9" a="1"/>
  <c r="M362" i="9" s="1"/>
  <c r="R362" i="9" a="1"/>
  <c r="R362" i="9" s="1"/>
  <c r="Z362" i="9"/>
  <c r="AD362" i="9"/>
  <c r="AY362" i="9" s="1" a="1"/>
  <c r="AY362" i="9" s="1"/>
  <c r="AE362" i="9"/>
  <c r="AF362" i="9"/>
  <c r="BB362" i="9" s="1"/>
  <c r="AI362" i="9"/>
  <c r="BA362" i="9"/>
  <c r="BC362" i="9" a="1"/>
  <c r="BC362" i="9" s="1"/>
  <c r="CG362" i="9"/>
  <c r="F363" i="9"/>
  <c r="M363" i="9" a="1"/>
  <c r="M363" i="9" s="1"/>
  <c r="R363" i="9" a="1"/>
  <c r="R363" i="9" s="1"/>
  <c r="Z363" i="9"/>
  <c r="AD363" i="9"/>
  <c r="AE363" i="9"/>
  <c r="AF363" i="9"/>
  <c r="BB363" i="9" s="1"/>
  <c r="BC363" i="9" a="1"/>
  <c r="BC363" i="9" s="1"/>
  <c r="F364" i="9"/>
  <c r="M364" i="9" a="1"/>
  <c r="M364" i="9" s="1"/>
  <c r="R364" i="9" a="1"/>
  <c r="R364" i="9" s="1"/>
  <c r="Z364" i="9"/>
  <c r="AD364" i="9"/>
  <c r="AE364" i="9"/>
  <c r="AF364" i="9"/>
  <c r="BB364" i="9" s="1"/>
  <c r="BC364" i="9" a="1"/>
  <c r="BC364" i="9" s="1"/>
  <c r="F365" i="9"/>
  <c r="M365" i="9" a="1"/>
  <c r="M365" i="9" s="1"/>
  <c r="R365" i="9" a="1"/>
  <c r="R365" i="9" s="1"/>
  <c r="Z365" i="9"/>
  <c r="AD365" i="9"/>
  <c r="BI365" i="9" s="1"/>
  <c r="AE365" i="9"/>
  <c r="AF365" i="9"/>
  <c r="BB365" i="9" s="1"/>
  <c r="BC365" i="9" a="1"/>
  <c r="BC365" i="9" s="1"/>
  <c r="F366" i="9"/>
  <c r="M366" i="9" a="1"/>
  <c r="M366" i="9" s="1"/>
  <c r="R366" i="9" a="1"/>
  <c r="R366" i="9" s="1"/>
  <c r="Z366" i="9"/>
  <c r="AD366" i="9"/>
  <c r="AY366" i="9" s="1" a="1"/>
  <c r="AY366" i="9" s="1"/>
  <c r="AE366" i="9"/>
  <c r="AF366" i="9"/>
  <c r="BC366" i="9" a="1"/>
  <c r="BC366" i="9"/>
  <c r="BQ366" i="9"/>
  <c r="F367" i="9"/>
  <c r="M367" i="9" a="1"/>
  <c r="M367" i="9" s="1"/>
  <c r="R367" i="9" a="1"/>
  <c r="R367" i="9" s="1"/>
  <c r="Z367" i="9"/>
  <c r="AD367" i="9"/>
  <c r="BQ367" i="9" s="1"/>
  <c r="AE367" i="9"/>
  <c r="AF367" i="9"/>
  <c r="AY367" i="9" a="1"/>
  <c r="AY367" i="9" s="1"/>
  <c r="BC367" i="9" a="1"/>
  <c r="BC367" i="9" s="1"/>
  <c r="F368" i="9"/>
  <c r="M368" i="9" a="1"/>
  <c r="M368" i="9" s="1"/>
  <c r="R368" i="9" a="1"/>
  <c r="R368" i="9" s="1"/>
  <c r="Z368" i="9"/>
  <c r="AD368" i="9"/>
  <c r="AE368" i="9"/>
  <c r="AF368" i="9"/>
  <c r="BB368" i="9" s="1"/>
  <c r="BC368" i="9" a="1"/>
  <c r="BC368" i="9" s="1"/>
  <c r="F369" i="9"/>
  <c r="M369" i="9" a="1"/>
  <c r="M369" i="9" s="1"/>
  <c r="R369" i="9" a="1"/>
  <c r="R369" i="9" s="1"/>
  <c r="Z369" i="9"/>
  <c r="AD369" i="9"/>
  <c r="AE369" i="9"/>
  <c r="AF369" i="9"/>
  <c r="BC369" i="9" a="1"/>
  <c r="BC369" i="9"/>
  <c r="F370" i="9"/>
  <c r="M370" i="9" a="1"/>
  <c r="M370" i="9" s="1"/>
  <c r="R370" i="9" a="1"/>
  <c r="R370" i="9" s="1"/>
  <c r="Z370" i="9"/>
  <c r="AD370" i="9"/>
  <c r="AY370" i="9" s="1" a="1"/>
  <c r="AY370" i="9" s="1"/>
  <c r="AE370" i="9"/>
  <c r="AF370" i="9"/>
  <c r="BC370" i="9" a="1"/>
  <c r="BC370" i="9" s="1"/>
  <c r="BQ370" i="9"/>
  <c r="F371" i="9"/>
  <c r="M371" i="9" a="1"/>
  <c r="M371" i="9" s="1"/>
  <c r="R371" i="9" a="1"/>
  <c r="R371" i="9" s="1"/>
  <c r="Z371" i="9"/>
  <c r="AD371" i="9"/>
  <c r="AY371" i="9" s="1" a="1"/>
  <c r="AY371" i="9" s="1"/>
  <c r="AZ371" i="9" s="1"/>
  <c r="AE371" i="9"/>
  <c r="AF371" i="9"/>
  <c r="BB371" i="9" s="1"/>
  <c r="BC371" i="9" a="1"/>
  <c r="BC371" i="9"/>
  <c r="F372" i="9"/>
  <c r="M372" i="9" a="1"/>
  <c r="M372" i="9" s="1"/>
  <c r="R372" i="9" a="1"/>
  <c r="R372" i="9" s="1"/>
  <c r="Z372" i="9"/>
  <c r="AD372" i="9"/>
  <c r="BM372" i="9" s="1"/>
  <c r="AE372" i="9"/>
  <c r="AF372" i="9"/>
  <c r="BB372" i="9" s="1"/>
  <c r="BC372" i="9" a="1"/>
  <c r="BC372" i="9" s="1"/>
  <c r="F373" i="9"/>
  <c r="M373" i="9" a="1"/>
  <c r="M373" i="9" s="1"/>
  <c r="R373" i="9" a="1"/>
  <c r="R373" i="9" s="1"/>
  <c r="Z373" i="9"/>
  <c r="AD373" i="9"/>
  <c r="A373" i="9" s="1"/>
  <c r="AE373" i="9"/>
  <c r="AF373" i="9"/>
  <c r="BB373" i="9" s="1"/>
  <c r="BC373" i="9" a="1"/>
  <c r="BC373" i="9"/>
  <c r="BX373" i="9"/>
  <c r="A374" i="9"/>
  <c r="F374" i="9"/>
  <c r="M374" i="9" a="1"/>
  <c r="M374" i="9" s="1"/>
  <c r="R374" i="9" a="1"/>
  <c r="R374" i="9" s="1"/>
  <c r="Z374" i="9"/>
  <c r="AD374" i="9"/>
  <c r="AY374" i="9" s="1" a="1"/>
  <c r="AY374" i="9" s="1"/>
  <c r="AE374" i="9"/>
  <c r="AF374" i="9"/>
  <c r="AI374" i="9"/>
  <c r="BC374" i="9" a="1"/>
  <c r="BC374" i="9" s="1"/>
  <c r="BD374" i="9"/>
  <c r="BM374" i="9"/>
  <c r="BX374" i="9"/>
  <c r="CG374" i="9"/>
  <c r="CK374" i="9"/>
  <c r="F375" i="9"/>
  <c r="M375" i="9" a="1"/>
  <c r="M375" i="9" s="1"/>
  <c r="R375" i="9" a="1"/>
  <c r="R375" i="9" s="1"/>
  <c r="Z375" i="9"/>
  <c r="AD375" i="9"/>
  <c r="CG375" i="9" s="1"/>
  <c r="AE375" i="9"/>
  <c r="AF375" i="9"/>
  <c r="BC375" i="9" a="1"/>
  <c r="BC375" i="9" s="1"/>
  <c r="BX375" i="9"/>
  <c r="F376" i="9"/>
  <c r="M376" i="9" a="1"/>
  <c r="M376" i="9" s="1"/>
  <c r="R376" i="9" a="1"/>
  <c r="R376" i="9" s="1"/>
  <c r="Z376" i="9"/>
  <c r="AD376" i="9"/>
  <c r="BQ376" i="9" s="1"/>
  <c r="AE376" i="9"/>
  <c r="AF376" i="9"/>
  <c r="BC376" i="9" a="1"/>
  <c r="BC376" i="9" s="1"/>
  <c r="F377" i="9"/>
  <c r="M377" i="9" a="1"/>
  <c r="M377" i="9" s="1"/>
  <c r="R377" i="9" a="1"/>
  <c r="R377" i="9" s="1"/>
  <c r="Z377" i="9"/>
  <c r="AD377" i="9"/>
  <c r="AE377" i="9"/>
  <c r="AF377" i="9"/>
  <c r="BC377" i="9" a="1"/>
  <c r="BC377" i="9" s="1"/>
  <c r="CK377" i="9"/>
  <c r="A378" i="9"/>
  <c r="F378" i="9"/>
  <c r="M378" i="9" a="1"/>
  <c r="M378" i="9" s="1"/>
  <c r="R378" i="9" a="1"/>
  <c r="R378" i="9" s="1"/>
  <c r="Z378" i="9"/>
  <c r="AD378" i="9"/>
  <c r="AY378" i="9" s="1" a="1"/>
  <c r="AY378" i="9" s="1"/>
  <c r="AE378" i="9"/>
  <c r="AF378" i="9"/>
  <c r="AI378" i="9"/>
  <c r="BC378" i="9" a="1"/>
  <c r="BC378" i="9" s="1"/>
  <c r="F379" i="9"/>
  <c r="M379" i="9" a="1"/>
  <c r="M379" i="9" s="1"/>
  <c r="R379" i="9" a="1"/>
  <c r="R379" i="9" s="1"/>
  <c r="Z379" i="9"/>
  <c r="AD379" i="9"/>
  <c r="AY379" i="9" s="1" a="1"/>
  <c r="AY379" i="9" s="1"/>
  <c r="AE379" i="9"/>
  <c r="AF379" i="9"/>
  <c r="BA379" i="9" s="1"/>
  <c r="BC379" i="9" a="1"/>
  <c r="BC379" i="9" s="1"/>
  <c r="CG379" i="9"/>
  <c r="F380" i="9"/>
  <c r="M380" i="9" a="1"/>
  <c r="M380" i="9" s="1"/>
  <c r="R380" i="9" a="1"/>
  <c r="R380" i="9" s="1"/>
  <c r="Z380" i="9"/>
  <c r="AD380" i="9"/>
  <c r="CC380" i="9" s="1"/>
  <c r="AE380" i="9"/>
  <c r="AF380" i="9"/>
  <c r="BB380" i="9" s="1"/>
  <c r="AY380" i="9" a="1"/>
  <c r="AY380" i="9" s="1"/>
  <c r="BC380" i="9" a="1"/>
  <c r="BC380" i="9" s="1"/>
  <c r="CG380" i="9"/>
  <c r="F381" i="9"/>
  <c r="M381" i="9" a="1"/>
  <c r="M381" i="9" s="1"/>
  <c r="R381" i="9" a="1"/>
  <c r="R381" i="9" s="1"/>
  <c r="Z381" i="9"/>
  <c r="AD381" i="9"/>
  <c r="BI381" i="9" s="1"/>
  <c r="AE381" i="9"/>
  <c r="AF381" i="9"/>
  <c r="AY381" i="9" a="1"/>
  <c r="AY381" i="9" s="1"/>
  <c r="BC381" i="9" a="1"/>
  <c r="BC381" i="9" s="1"/>
  <c r="F382" i="9"/>
  <c r="M382" i="9" a="1"/>
  <c r="M382" i="9" s="1"/>
  <c r="R382" i="9" a="1"/>
  <c r="R382" i="9" s="1"/>
  <c r="Z382" i="9"/>
  <c r="AD382" i="9"/>
  <c r="AE382" i="9"/>
  <c r="AF382" i="9"/>
  <c r="BB382" i="9" s="1"/>
  <c r="BC382" i="9" a="1"/>
  <c r="BC382" i="9" s="1"/>
  <c r="F383" i="9"/>
  <c r="M383" i="9" a="1"/>
  <c r="M383" i="9" s="1"/>
  <c r="R383" i="9" a="1"/>
  <c r="R383" i="9" s="1"/>
  <c r="Z383" i="9"/>
  <c r="AD383" i="9"/>
  <c r="BI383" i="9" s="1"/>
  <c r="AE383" i="9"/>
  <c r="AF383" i="9"/>
  <c r="BB383" i="9" s="1"/>
  <c r="BC383" i="9" a="1"/>
  <c r="BC383" i="9" s="1"/>
  <c r="A384" i="9"/>
  <c r="F384" i="9"/>
  <c r="M384" i="9" a="1"/>
  <c r="M384" i="9" s="1"/>
  <c r="R384" i="9" a="1"/>
  <c r="R384" i="9" s="1"/>
  <c r="Z384" i="9"/>
  <c r="AD384" i="9"/>
  <c r="BQ384" i="9" s="1"/>
  <c r="AE384" i="9"/>
  <c r="AF384" i="9"/>
  <c r="BC384" i="9" a="1"/>
  <c r="BC384" i="9" s="1"/>
  <c r="BI384" i="9"/>
  <c r="BM384" i="9"/>
  <c r="F385" i="9"/>
  <c r="M385" i="9" a="1"/>
  <c r="M385" i="9" s="1"/>
  <c r="R385" i="9" a="1"/>
  <c r="R385" i="9" s="1"/>
  <c r="Z385" i="9"/>
  <c r="AD385" i="9"/>
  <c r="BI385" i="9" s="1"/>
  <c r="AE385" i="9"/>
  <c r="AF385" i="9"/>
  <c r="BC385" i="9" a="1"/>
  <c r="BC385" i="9" s="1"/>
  <c r="F386" i="9"/>
  <c r="M386" i="9" a="1"/>
  <c r="M386" i="9" s="1"/>
  <c r="R386" i="9" a="1"/>
  <c r="R386" i="9" s="1"/>
  <c r="Z386" i="9"/>
  <c r="AD386" i="9"/>
  <c r="BI386" i="9" s="1"/>
  <c r="AE386" i="9"/>
  <c r="AF386" i="9"/>
  <c r="BB386" i="9" s="1"/>
  <c r="BC386" i="9" a="1"/>
  <c r="BC386" i="9" s="1"/>
  <c r="F387" i="9"/>
  <c r="M387" i="9" a="1"/>
  <c r="M387" i="9" s="1"/>
  <c r="R387" i="9" a="1"/>
  <c r="R387" i="9" s="1"/>
  <c r="Z387" i="9"/>
  <c r="AD387" i="9"/>
  <c r="AE387" i="9"/>
  <c r="AF387" i="9"/>
  <c r="BB387" i="9" s="1"/>
  <c r="BC387" i="9" a="1"/>
  <c r="BC387" i="9" s="1"/>
  <c r="F388" i="9"/>
  <c r="M388" i="9" a="1"/>
  <c r="M388" i="9" s="1"/>
  <c r="R388" i="9" a="1"/>
  <c r="R388" i="9" s="1"/>
  <c r="Z388" i="9"/>
  <c r="AD388" i="9"/>
  <c r="AE388" i="9"/>
  <c r="AF388" i="9"/>
  <c r="BC388" i="9" a="1"/>
  <c r="BC388" i="9" s="1"/>
  <c r="F389" i="9"/>
  <c r="M389" i="9" a="1"/>
  <c r="M389" i="9" s="1"/>
  <c r="R389" i="9" a="1"/>
  <c r="R389" i="9" s="1"/>
  <c r="Z389" i="9"/>
  <c r="AD389" i="9"/>
  <c r="AY389" i="9" s="1" a="1"/>
  <c r="AY389" i="9" s="1"/>
  <c r="AZ389" i="9" s="1"/>
  <c r="AE389" i="9"/>
  <c r="AF389" i="9"/>
  <c r="BB389" i="9" s="1"/>
  <c r="BC389" i="9" a="1"/>
  <c r="BC389" i="9" s="1"/>
  <c r="BD389" i="9"/>
  <c r="BI389" i="9"/>
  <c r="BQ389" i="9"/>
  <c r="F390" i="9"/>
  <c r="M390" i="9" a="1"/>
  <c r="M390" i="9" s="1"/>
  <c r="R390" i="9" a="1"/>
  <c r="R390" i="9" s="1"/>
  <c r="Z390" i="9"/>
  <c r="AD390" i="9"/>
  <c r="BD390" i="9" s="1"/>
  <c r="AE390" i="9"/>
  <c r="AF390" i="9"/>
  <c r="BB390" i="9" s="1"/>
  <c r="BC390" i="9" a="1"/>
  <c r="BC390" i="9"/>
  <c r="F391" i="9"/>
  <c r="M391" i="9" a="1"/>
  <c r="M391" i="9" s="1"/>
  <c r="R391" i="9" a="1"/>
  <c r="R391" i="9" s="1"/>
  <c r="Z391" i="9"/>
  <c r="AD391" i="9"/>
  <c r="BI391" i="9" s="1"/>
  <c r="AE391" i="9"/>
  <c r="AF391" i="9"/>
  <c r="BB391" i="9" s="1"/>
  <c r="BC391" i="9" a="1"/>
  <c r="BC391" i="9" s="1"/>
  <c r="F392" i="9"/>
  <c r="M392" i="9" a="1"/>
  <c r="M392" i="9" s="1"/>
  <c r="R392" i="9" a="1"/>
  <c r="R392" i="9" s="1"/>
  <c r="Z392" i="9"/>
  <c r="AD392" i="9"/>
  <c r="AE392" i="9"/>
  <c r="AF392" i="9"/>
  <c r="BC392" i="9" a="1"/>
  <c r="BC392" i="9" s="1"/>
  <c r="F393" i="9"/>
  <c r="M393" i="9" a="1"/>
  <c r="M393" i="9" s="1"/>
  <c r="R393" i="9" a="1"/>
  <c r="R393" i="9" s="1"/>
  <c r="Z393" i="9"/>
  <c r="AD393" i="9"/>
  <c r="AY393" i="9" s="1" a="1"/>
  <c r="AY393" i="9" s="1"/>
  <c r="AE393" i="9"/>
  <c r="AF393" i="9"/>
  <c r="BC393" i="9" a="1"/>
  <c r="BC393" i="9" s="1"/>
  <c r="BM393" i="9"/>
  <c r="BX393" i="9"/>
  <c r="CC393" i="9"/>
  <c r="CG393" i="9"/>
  <c r="F394" i="9"/>
  <c r="M394" i="9" a="1"/>
  <c r="M394" i="9" s="1"/>
  <c r="R394" i="9" a="1"/>
  <c r="R394" i="9" s="1"/>
  <c r="Z394" i="9"/>
  <c r="AD394" i="9"/>
  <c r="AE394" i="9"/>
  <c r="AF394" i="9"/>
  <c r="BB394" i="9" s="1"/>
  <c r="BC394" i="9" a="1"/>
  <c r="BC394" i="9" s="1"/>
  <c r="F395" i="9"/>
  <c r="M395" i="9" a="1"/>
  <c r="M395" i="9" s="1"/>
  <c r="R395" i="9" a="1"/>
  <c r="R395" i="9" s="1"/>
  <c r="Z395" i="9"/>
  <c r="AD395" i="9"/>
  <c r="AE395" i="9"/>
  <c r="AF395" i="9"/>
  <c r="BB395" i="9" s="1"/>
  <c r="BC395" i="9" a="1"/>
  <c r="BC395" i="9" s="1"/>
  <c r="F396" i="9"/>
  <c r="M396" i="9" a="1"/>
  <c r="M396" i="9" s="1"/>
  <c r="R396" i="9" a="1"/>
  <c r="R396" i="9" s="1"/>
  <c r="Z396" i="9"/>
  <c r="AD396" i="9"/>
  <c r="AY396" i="9" s="1" a="1"/>
  <c r="AY396" i="9" s="1"/>
  <c r="AE396" i="9"/>
  <c r="AF396" i="9"/>
  <c r="BC396" i="9" a="1"/>
  <c r="BC396" i="9" s="1"/>
  <c r="F397" i="9"/>
  <c r="M397" i="9" a="1"/>
  <c r="M397" i="9" s="1"/>
  <c r="R397" i="9" a="1"/>
  <c r="R397" i="9" s="1"/>
  <c r="Z397" i="9"/>
  <c r="AD397" i="9"/>
  <c r="AE397" i="9"/>
  <c r="AF397" i="9"/>
  <c r="BB397" i="9" s="1"/>
  <c r="BC397" i="9" a="1"/>
  <c r="BC397" i="9"/>
  <c r="CK397" i="9"/>
  <c r="F398" i="9"/>
  <c r="M398" i="9" a="1"/>
  <c r="M398" i="9" s="1"/>
  <c r="R398" i="9" a="1"/>
  <c r="R398" i="9" s="1"/>
  <c r="Z398" i="9"/>
  <c r="AD398" i="9"/>
  <c r="CK398" i="9" s="1"/>
  <c r="AE398" i="9"/>
  <c r="AF398" i="9"/>
  <c r="BB398" i="9" s="1"/>
  <c r="BC398" i="9" a="1"/>
  <c r="BC398" i="9" s="1"/>
  <c r="BD398" i="9"/>
  <c r="BI398" i="9"/>
  <c r="F399" i="9"/>
  <c r="M399" i="9" a="1"/>
  <c r="M399" i="9" s="1"/>
  <c r="R399" i="9" a="1"/>
  <c r="R399" i="9" s="1"/>
  <c r="Z399" i="9"/>
  <c r="AD399" i="9"/>
  <c r="BI399" i="9" s="1"/>
  <c r="AE399" i="9"/>
  <c r="AF399" i="9"/>
  <c r="BB399" i="9"/>
  <c r="BC399" i="9" a="1"/>
  <c r="BC399" i="9" s="1"/>
  <c r="F400" i="9"/>
  <c r="M400" i="9" a="1"/>
  <c r="M400" i="9" s="1"/>
  <c r="R400" i="9" a="1"/>
  <c r="R400" i="9" s="1"/>
  <c r="Z400" i="9"/>
  <c r="AD400" i="9"/>
  <c r="BM400" i="9" s="1"/>
  <c r="AE400" i="9"/>
  <c r="AF400" i="9"/>
  <c r="BB400" i="9" s="1"/>
  <c r="BC400" i="9" a="1"/>
  <c r="BC400" i="9" s="1"/>
  <c r="F401" i="9"/>
  <c r="M401" i="9" a="1"/>
  <c r="M401" i="9" s="1"/>
  <c r="R401" i="9" a="1"/>
  <c r="R401" i="9" s="1"/>
  <c r="Z401" i="9"/>
  <c r="AD401" i="9"/>
  <c r="AE401" i="9"/>
  <c r="AF401" i="9"/>
  <c r="BB401" i="9" s="1"/>
  <c r="BC401" i="9" a="1"/>
  <c r="BC401" i="9" s="1"/>
  <c r="CC401" i="9"/>
  <c r="CG401" i="9"/>
  <c r="F402" i="9"/>
  <c r="M402" i="9" a="1"/>
  <c r="M402" i="9" s="1"/>
  <c r="R402" i="9" a="1"/>
  <c r="R402" i="9" s="1"/>
  <c r="Z402" i="9"/>
  <c r="AD402" i="9"/>
  <c r="CG402" i="9" s="1"/>
  <c r="AE402" i="9"/>
  <c r="AF402" i="9"/>
  <c r="BC402" i="9" a="1"/>
  <c r="BC402" i="9" s="1"/>
  <c r="F403" i="9"/>
  <c r="M403" i="9" a="1"/>
  <c r="M403" i="9" s="1"/>
  <c r="R403" i="9" a="1"/>
  <c r="R403" i="9" s="1"/>
  <c r="Z403" i="9"/>
  <c r="AD403" i="9"/>
  <c r="CK403" i="9" s="1"/>
  <c r="AE403" i="9"/>
  <c r="AF403" i="9"/>
  <c r="BB403" i="9" s="1"/>
  <c r="BC403" i="9" a="1"/>
  <c r="BC403" i="9" s="1"/>
  <c r="F404" i="9"/>
  <c r="M404" i="9" a="1"/>
  <c r="M404" i="9" s="1"/>
  <c r="R404" i="9" a="1"/>
  <c r="R404" i="9" s="1"/>
  <c r="Z404" i="9"/>
  <c r="AD404" i="9"/>
  <c r="AE404" i="9"/>
  <c r="AF404" i="9"/>
  <c r="BC404" i="9" a="1"/>
  <c r="BC404" i="9" s="1"/>
  <c r="F405" i="9"/>
  <c r="M405" i="9" a="1"/>
  <c r="M405" i="9" s="1"/>
  <c r="R405" i="9" a="1"/>
  <c r="R405" i="9" s="1"/>
  <c r="Z405" i="9"/>
  <c r="AD405" i="9"/>
  <c r="AY405" i="9" s="1" a="1"/>
  <c r="AY405" i="9" s="1"/>
  <c r="AE405" i="9"/>
  <c r="AF405" i="9"/>
  <c r="BB405" i="9" s="1"/>
  <c r="BC405" i="9" a="1"/>
  <c r="BC405" i="9" s="1"/>
  <c r="F406" i="9"/>
  <c r="M406" i="9" a="1"/>
  <c r="M406" i="9" s="1"/>
  <c r="R406" i="9" a="1"/>
  <c r="R406" i="9" s="1"/>
  <c r="Z406" i="9"/>
  <c r="AD406" i="9"/>
  <c r="BI406" i="9" s="1"/>
  <c r="AE406" i="9"/>
  <c r="AF406" i="9"/>
  <c r="BA406" i="9" s="1"/>
  <c r="AI406" i="9"/>
  <c r="BB406" i="9"/>
  <c r="BC406" i="9" a="1"/>
  <c r="BC406" i="9" s="1"/>
  <c r="BD406" i="9"/>
  <c r="F407" i="9"/>
  <c r="M407" i="9" a="1"/>
  <c r="M407" i="9" s="1"/>
  <c r="R407" i="9" a="1"/>
  <c r="R407" i="9" s="1"/>
  <c r="Z407" i="9"/>
  <c r="AD407" i="9"/>
  <c r="BD407" i="9" s="1"/>
  <c r="AE407" i="9"/>
  <c r="AF407" i="9"/>
  <c r="BB407" i="9" s="1"/>
  <c r="BC407" i="9" a="1"/>
  <c r="BC407" i="9" s="1"/>
  <c r="F408" i="9"/>
  <c r="M408" i="9" a="1"/>
  <c r="M408" i="9" s="1"/>
  <c r="R408" i="9" a="1"/>
  <c r="R408" i="9" s="1"/>
  <c r="Z408" i="9"/>
  <c r="AD408" i="9"/>
  <c r="AE408" i="9"/>
  <c r="AF408" i="9"/>
  <c r="BC408" i="9" a="1"/>
  <c r="BC408" i="9" s="1"/>
  <c r="F409" i="9"/>
  <c r="M409" i="9" a="1"/>
  <c r="M409" i="9" s="1"/>
  <c r="R409" i="9" a="1"/>
  <c r="R409" i="9" s="1"/>
  <c r="Z409" i="9"/>
  <c r="AD409" i="9"/>
  <c r="BD409" i="9" s="1"/>
  <c r="AE409" i="9"/>
  <c r="AF409" i="9"/>
  <c r="BB409" i="9" s="1"/>
  <c r="BC409" i="9" a="1"/>
  <c r="BC409" i="9" s="1"/>
  <c r="F410" i="9"/>
  <c r="M410" i="9" a="1"/>
  <c r="M410" i="9" s="1"/>
  <c r="R410" i="9" a="1"/>
  <c r="R410" i="9" s="1"/>
  <c r="Z410" i="9"/>
  <c r="AD410" i="9"/>
  <c r="CG410" i="9" s="1"/>
  <c r="AE410" i="9"/>
  <c r="AF410" i="9"/>
  <c r="BB410" i="9" s="1"/>
  <c r="BC410" i="9" a="1"/>
  <c r="BC410" i="9"/>
  <c r="F411" i="9"/>
  <c r="M411" i="9" a="1"/>
  <c r="M411" i="9" s="1"/>
  <c r="R411" i="9" a="1"/>
  <c r="R411" i="9" s="1"/>
  <c r="Z411" i="9"/>
  <c r="AD411" i="9"/>
  <c r="CG411" i="9" s="1"/>
  <c r="AE411" i="9"/>
  <c r="AF411" i="9"/>
  <c r="BB411" i="9" s="1"/>
  <c r="BC411" i="9" a="1"/>
  <c r="BC411" i="9" s="1"/>
  <c r="BI411" i="9"/>
  <c r="BM411" i="9"/>
  <c r="F412" i="9"/>
  <c r="M412" i="9" a="1"/>
  <c r="M412" i="9" s="1"/>
  <c r="R412" i="9" a="1"/>
  <c r="R412" i="9" s="1"/>
  <c r="Z412" i="9"/>
  <c r="AD412" i="9"/>
  <c r="AE412" i="9"/>
  <c r="AF412" i="9"/>
  <c r="BC412" i="9" a="1"/>
  <c r="BC412" i="9" s="1"/>
  <c r="A413" i="9"/>
  <c r="F413" i="9"/>
  <c r="M413" i="9" a="1"/>
  <c r="M413" i="9" s="1"/>
  <c r="R413" i="9" a="1"/>
  <c r="R413" i="9" s="1"/>
  <c r="Z413" i="9"/>
  <c r="AD413" i="9"/>
  <c r="AY413" i="9" s="1" a="1"/>
  <c r="AY413" i="9" s="1"/>
  <c r="AE413" i="9"/>
  <c r="AF413" i="9"/>
  <c r="AI413" i="9"/>
  <c r="BC413" i="9" a="1"/>
  <c r="BC413" i="9" s="1"/>
  <c r="BD413" i="9"/>
  <c r="BI413" i="9"/>
  <c r="BQ413" i="9"/>
  <c r="F414" i="9"/>
  <c r="M414" i="9" a="1"/>
  <c r="M414" i="9" s="1"/>
  <c r="R414" i="9" a="1"/>
  <c r="R414" i="9" s="1"/>
  <c r="Z414" i="9"/>
  <c r="AD414" i="9"/>
  <c r="BX414" i="9" s="1"/>
  <c r="AE414" i="9"/>
  <c r="AF414" i="9"/>
  <c r="BB414" i="9" s="1"/>
  <c r="BC414" i="9" a="1"/>
  <c r="BC414" i="9" s="1"/>
  <c r="CG414" i="9"/>
  <c r="F415" i="9"/>
  <c r="M415" i="9" a="1"/>
  <c r="M415" i="9" s="1"/>
  <c r="R415" i="9" a="1"/>
  <c r="R415" i="9" s="1"/>
  <c r="Z415" i="9"/>
  <c r="AD415" i="9"/>
  <c r="AE415" i="9"/>
  <c r="AF415" i="9"/>
  <c r="BB415" i="9" s="1"/>
  <c r="AI415" i="9"/>
  <c r="AY415" i="9" a="1"/>
  <c r="AY415" i="9" s="1"/>
  <c r="BC415" i="9" a="1"/>
  <c r="BC415" i="9" s="1"/>
  <c r="BD415" i="9"/>
  <c r="BI415" i="9"/>
  <c r="BM415" i="9"/>
  <c r="BX415" i="9"/>
  <c r="CC415" i="9"/>
  <c r="CG415" i="9"/>
  <c r="CK415" i="9"/>
  <c r="F416" i="9"/>
  <c r="M416" i="9" a="1"/>
  <c r="M416" i="9" s="1"/>
  <c r="R416" i="9" a="1"/>
  <c r="R416" i="9" s="1"/>
  <c r="Z416" i="9"/>
  <c r="AD416" i="9"/>
  <c r="AE416" i="9"/>
  <c r="AF416" i="9"/>
  <c r="BB416" i="9" s="1"/>
  <c r="BC416" i="9" a="1"/>
  <c r="BC416" i="9" s="1"/>
  <c r="F417" i="9"/>
  <c r="M417" i="9" a="1"/>
  <c r="M417" i="9" s="1"/>
  <c r="R417" i="9" a="1"/>
  <c r="R417" i="9" s="1"/>
  <c r="Z417" i="9"/>
  <c r="AD417" i="9"/>
  <c r="BM417" i="9" s="1"/>
  <c r="AE417" i="9"/>
  <c r="AF417" i="9"/>
  <c r="BA417" i="9" s="1"/>
  <c r="AI417" i="9"/>
  <c r="AY417" i="9" a="1"/>
  <c r="AY417" i="9" s="1"/>
  <c r="BC417" i="9" a="1"/>
  <c r="BC417" i="9" s="1"/>
  <c r="BI417" i="9"/>
  <c r="BQ417" i="9"/>
  <c r="BX417" i="9"/>
  <c r="CC417" i="9"/>
  <c r="CG417" i="9"/>
  <c r="CK417" i="9"/>
  <c r="F418" i="9"/>
  <c r="M418" i="9" a="1"/>
  <c r="M418" i="9" s="1"/>
  <c r="R418" i="9" a="1"/>
  <c r="R418" i="9" s="1"/>
  <c r="Z418" i="9"/>
  <c r="AD418" i="9"/>
  <c r="BI418" i="9" s="1"/>
  <c r="AE418" i="9"/>
  <c r="AF418" i="9"/>
  <c r="BB418" i="9" s="1"/>
  <c r="BC418" i="9" a="1"/>
  <c r="BC418" i="9" s="1"/>
  <c r="F419" i="9"/>
  <c r="M419" i="9" a="1"/>
  <c r="M419" i="9" s="1"/>
  <c r="R419" i="9" a="1"/>
  <c r="R419" i="9" s="1"/>
  <c r="Z419" i="9"/>
  <c r="AD419" i="9"/>
  <c r="AE419" i="9"/>
  <c r="AF419" i="9"/>
  <c r="BB419" i="9" s="1"/>
  <c r="BC419" i="9" a="1"/>
  <c r="BC419" i="9" s="1"/>
  <c r="F420" i="9"/>
  <c r="M420" i="9" a="1"/>
  <c r="M420" i="9" s="1"/>
  <c r="R420" i="9" a="1"/>
  <c r="R420" i="9" s="1"/>
  <c r="Z420" i="9"/>
  <c r="AD420" i="9"/>
  <c r="AY420" i="9" s="1" a="1"/>
  <c r="AY420" i="9" s="1"/>
  <c r="AE420" i="9"/>
  <c r="AF420" i="9"/>
  <c r="BC420" i="9" a="1"/>
  <c r="BC420" i="9" s="1"/>
  <c r="BX420" i="9"/>
  <c r="CK420" i="9"/>
  <c r="A421" i="9"/>
  <c r="F421" i="9"/>
  <c r="M421" i="9" a="1"/>
  <c r="M421" i="9" s="1"/>
  <c r="R421" i="9" a="1"/>
  <c r="R421" i="9" s="1"/>
  <c r="Z421" i="9"/>
  <c r="AD421" i="9"/>
  <c r="CK421" i="9" s="1"/>
  <c r="AE421" i="9"/>
  <c r="AF421" i="9"/>
  <c r="BB421" i="9" s="1"/>
  <c r="BC421" i="9" a="1"/>
  <c r="BC421" i="9" s="1"/>
  <c r="BQ421" i="9"/>
  <c r="BX421" i="9"/>
  <c r="CC421" i="9"/>
  <c r="F422" i="9"/>
  <c r="M422" i="9" a="1"/>
  <c r="M422" i="9" s="1"/>
  <c r="R422" i="9" a="1"/>
  <c r="R422" i="9" s="1"/>
  <c r="Z422" i="9"/>
  <c r="AD422" i="9"/>
  <c r="A422" i="9" s="1"/>
  <c r="AE422" i="9"/>
  <c r="AF422" i="9"/>
  <c r="BB422" i="9" s="1"/>
  <c r="AI422" i="9"/>
  <c r="AY422" i="9" a="1"/>
  <c r="AY422" i="9" s="1"/>
  <c r="BC422" i="9" a="1"/>
  <c r="BC422" i="9" s="1"/>
  <c r="BD422" i="9"/>
  <c r="BI422" i="9"/>
  <c r="BM422" i="9"/>
  <c r="BQ422" i="9"/>
  <c r="BX422" i="9"/>
  <c r="CC422" i="9"/>
  <c r="F423" i="9"/>
  <c r="M423" i="9" a="1"/>
  <c r="M423" i="9" s="1"/>
  <c r="R423" i="9" a="1"/>
  <c r="R423" i="9" s="1"/>
  <c r="Z423" i="9"/>
  <c r="AD423" i="9"/>
  <c r="CK423" i="9" s="1"/>
  <c r="AE423" i="9"/>
  <c r="AF423" i="9"/>
  <c r="BB423" i="9" s="1"/>
  <c r="BC423" i="9" a="1"/>
  <c r="BC423" i="9" s="1"/>
  <c r="F424" i="9"/>
  <c r="M424" i="9" a="1"/>
  <c r="M424" i="9" s="1"/>
  <c r="R424" i="9" a="1"/>
  <c r="R424" i="9" s="1"/>
  <c r="Z424" i="9"/>
  <c r="AD424" i="9"/>
  <c r="AE424" i="9"/>
  <c r="AF424" i="9"/>
  <c r="BB424" i="9" s="1"/>
  <c r="BC424" i="9" a="1"/>
  <c r="BC424" i="9" s="1"/>
  <c r="F425" i="9"/>
  <c r="M425" i="9" a="1"/>
  <c r="M425" i="9" s="1"/>
  <c r="R425" i="9" a="1"/>
  <c r="R425" i="9" s="1"/>
  <c r="Z425" i="9"/>
  <c r="AD425" i="9"/>
  <c r="BM425" i="9" s="1"/>
  <c r="AE425" i="9"/>
  <c r="AF425" i="9"/>
  <c r="BC425" i="9" a="1"/>
  <c r="BC425" i="9" s="1"/>
  <c r="CC425" i="9"/>
  <c r="F426" i="9"/>
  <c r="M426" i="9" a="1"/>
  <c r="M426" i="9" s="1"/>
  <c r="R426" i="9" a="1"/>
  <c r="R426" i="9" s="1"/>
  <c r="Z426" i="9"/>
  <c r="AD426" i="9"/>
  <c r="AI426" i="9" s="1"/>
  <c r="AE426" i="9"/>
  <c r="AF426" i="9"/>
  <c r="BB426" i="9" s="1"/>
  <c r="BC426" i="9" a="1"/>
  <c r="BC426" i="9" s="1"/>
  <c r="F427" i="9"/>
  <c r="M427" i="9" a="1"/>
  <c r="M427" i="9" s="1"/>
  <c r="R427" i="9" a="1"/>
  <c r="R427" i="9" s="1"/>
  <c r="Z427" i="9"/>
  <c r="AD427" i="9"/>
  <c r="AE427" i="9"/>
  <c r="AF427" i="9"/>
  <c r="BB427" i="9"/>
  <c r="BC427" i="9" a="1"/>
  <c r="BC427" i="9" s="1"/>
  <c r="F428" i="9"/>
  <c r="M428" i="9" a="1"/>
  <c r="M428" i="9" s="1"/>
  <c r="R428" i="9" a="1"/>
  <c r="R428" i="9" s="1"/>
  <c r="Z428" i="9"/>
  <c r="AD428" i="9"/>
  <c r="AY428" i="9" s="1" a="1"/>
  <c r="AY428" i="9" s="1"/>
  <c r="AE428" i="9"/>
  <c r="AF428" i="9"/>
  <c r="BC428" i="9" a="1"/>
  <c r="BC428" i="9" s="1"/>
  <c r="F429" i="9"/>
  <c r="M429" i="9" a="1"/>
  <c r="M429" i="9" s="1"/>
  <c r="R429" i="9" a="1"/>
  <c r="R429" i="9" s="1"/>
  <c r="Z429" i="9"/>
  <c r="AD429" i="9"/>
  <c r="CK429" i="9" s="1"/>
  <c r="AE429" i="9"/>
  <c r="AF429" i="9"/>
  <c r="BC429" i="9" a="1"/>
  <c r="BC429" i="9"/>
  <c r="BQ429" i="9"/>
  <c r="BX429" i="9"/>
  <c r="CC429" i="9"/>
  <c r="F430" i="9"/>
  <c r="M430" i="9" a="1"/>
  <c r="M430" i="9" s="1"/>
  <c r="R430" i="9" a="1"/>
  <c r="R430" i="9" s="1"/>
  <c r="Z430" i="9"/>
  <c r="AD430" i="9"/>
  <c r="A430" i="9" s="1"/>
  <c r="AE430" i="9"/>
  <c r="AF430" i="9"/>
  <c r="BB430" i="9" s="1"/>
  <c r="BC430" i="9" a="1"/>
  <c r="BC430" i="9" s="1"/>
  <c r="CC430" i="9"/>
  <c r="F431" i="9"/>
  <c r="M431" i="9" a="1"/>
  <c r="M431" i="9" s="1"/>
  <c r="R431" i="9" a="1"/>
  <c r="R431" i="9" s="1"/>
  <c r="Z431" i="9"/>
  <c r="AD431" i="9"/>
  <c r="AE431" i="9"/>
  <c r="AF431" i="9"/>
  <c r="BB431" i="9"/>
  <c r="BC431" i="9" a="1"/>
  <c r="BC431" i="9" s="1"/>
  <c r="F432" i="9"/>
  <c r="M432" i="9" a="1"/>
  <c r="M432" i="9" s="1"/>
  <c r="R432" i="9" a="1"/>
  <c r="R432" i="9" s="1"/>
  <c r="Z432" i="9"/>
  <c r="AD432" i="9"/>
  <c r="AI432" i="9" s="1"/>
  <c r="AE432" i="9"/>
  <c r="AF432" i="9"/>
  <c r="BB432" i="9" s="1"/>
  <c r="BC432" i="9" a="1"/>
  <c r="BC432" i="9" s="1"/>
  <c r="F433" i="9"/>
  <c r="M433" i="9" a="1"/>
  <c r="M433" i="9" s="1"/>
  <c r="R433" i="9" a="1"/>
  <c r="R433" i="9" s="1"/>
  <c r="Z433" i="9"/>
  <c r="AD433" i="9"/>
  <c r="CK433" i="9" s="1"/>
  <c r="AE433" i="9"/>
  <c r="AF433" i="9"/>
  <c r="BC433" i="9" a="1"/>
  <c r="BC433" i="9" s="1"/>
  <c r="BM433" i="9"/>
  <c r="BX433" i="9"/>
  <c r="F434" i="9"/>
  <c r="M434" i="9" a="1"/>
  <c r="M434" i="9" s="1"/>
  <c r="R434" i="9" a="1"/>
  <c r="R434" i="9" s="1"/>
  <c r="Z434" i="9"/>
  <c r="AD434" i="9"/>
  <c r="AE434" i="9"/>
  <c r="AF434" i="9"/>
  <c r="BB434" i="9" s="1"/>
  <c r="BC434" i="9" a="1"/>
  <c r="BC434" i="9" s="1"/>
  <c r="F435" i="9"/>
  <c r="M435" i="9" a="1"/>
  <c r="M435" i="9" s="1"/>
  <c r="R435" i="9" a="1"/>
  <c r="R435" i="9" s="1"/>
  <c r="Z435" i="9"/>
  <c r="AD435" i="9"/>
  <c r="AE435" i="9"/>
  <c r="AF435" i="9"/>
  <c r="BB435" i="9" s="1"/>
  <c r="BC435" i="9" a="1"/>
  <c r="BC435" i="9" s="1"/>
  <c r="F436" i="9"/>
  <c r="M436" i="9" a="1"/>
  <c r="M436" i="9" s="1"/>
  <c r="R436" i="9" a="1"/>
  <c r="R436" i="9" s="1"/>
  <c r="Z436" i="9"/>
  <c r="AD436" i="9"/>
  <c r="AE436" i="9"/>
  <c r="AF436" i="9"/>
  <c r="BC436" i="9" a="1"/>
  <c r="BC436" i="9" s="1"/>
  <c r="F437" i="9"/>
  <c r="M437" i="9" a="1"/>
  <c r="M437" i="9" s="1"/>
  <c r="R437" i="9" a="1"/>
  <c r="R437" i="9" s="1"/>
  <c r="Z437" i="9"/>
  <c r="AD437" i="9"/>
  <c r="AE437" i="9"/>
  <c r="AF437" i="9"/>
  <c r="BB437" i="9" s="1"/>
  <c r="BC437" i="9" a="1"/>
  <c r="BC437" i="9" s="1"/>
  <c r="F438" i="9"/>
  <c r="M438" i="9" a="1"/>
  <c r="M438" i="9" s="1"/>
  <c r="R438" i="9" a="1"/>
  <c r="R438" i="9" s="1"/>
  <c r="Z438" i="9"/>
  <c r="AD438" i="9"/>
  <c r="BI438" i="9" s="1"/>
  <c r="AE438" i="9"/>
  <c r="AF438" i="9"/>
  <c r="BB438" i="9" s="1"/>
  <c r="BC438" i="9" a="1"/>
  <c r="BC438" i="9" s="1"/>
  <c r="F439" i="9"/>
  <c r="M439" i="9" a="1"/>
  <c r="M439" i="9" s="1"/>
  <c r="R439" i="9" a="1"/>
  <c r="R439" i="9" s="1"/>
  <c r="Z439" i="9"/>
  <c r="AD439" i="9"/>
  <c r="BX439" i="9" s="1"/>
  <c r="AE439" i="9"/>
  <c r="AF439" i="9"/>
  <c r="BC439" i="9" a="1"/>
  <c r="BC439" i="9" s="1"/>
  <c r="BM439" i="9"/>
  <c r="CC439" i="9"/>
  <c r="CG439" i="9"/>
  <c r="CK439" i="9"/>
  <c r="F440" i="9"/>
  <c r="M440" i="9" a="1"/>
  <c r="M440" i="9" s="1"/>
  <c r="R440" i="9" a="1"/>
  <c r="R440" i="9" s="1"/>
  <c r="Z440" i="9"/>
  <c r="AD440" i="9"/>
  <c r="BI440" i="9" s="1"/>
  <c r="AE440" i="9"/>
  <c r="AF440" i="9"/>
  <c r="BB440" i="9" s="1"/>
  <c r="BC440" i="9" a="1"/>
  <c r="BC440" i="9" s="1"/>
  <c r="F441" i="9"/>
  <c r="M441" i="9" a="1"/>
  <c r="M441" i="9" s="1"/>
  <c r="R441" i="9" a="1"/>
  <c r="R441" i="9" s="1"/>
  <c r="Z441" i="9"/>
  <c r="AD441" i="9"/>
  <c r="BM441" i="9" s="1"/>
  <c r="AE441" i="9"/>
  <c r="AF441" i="9"/>
  <c r="AI441" i="9"/>
  <c r="BC441" i="9" a="1"/>
  <c r="BC441" i="9" s="1"/>
  <c r="BD441" i="9"/>
  <c r="BQ441" i="9"/>
  <c r="CC441" i="9"/>
  <c r="CG441" i="9"/>
  <c r="F442" i="9"/>
  <c r="M442" i="9" a="1"/>
  <c r="M442" i="9" s="1"/>
  <c r="R442" i="9" a="1"/>
  <c r="R442" i="9" s="1"/>
  <c r="Z442" i="9"/>
  <c r="AD442" i="9"/>
  <c r="BD442" i="9" s="1"/>
  <c r="AE442" i="9"/>
  <c r="AF442" i="9"/>
  <c r="BC442" i="9" a="1"/>
  <c r="BC442" i="9" s="1"/>
  <c r="F443" i="9"/>
  <c r="M443" i="9" a="1"/>
  <c r="M443" i="9" s="1"/>
  <c r="R443" i="9" a="1"/>
  <c r="R443" i="9" s="1"/>
  <c r="Z443" i="9"/>
  <c r="AD443" i="9"/>
  <c r="BD443" i="9" s="1"/>
  <c r="AE443" i="9"/>
  <c r="AF443" i="9"/>
  <c r="BB443" i="9" s="1"/>
  <c r="BC443" i="9" a="1"/>
  <c r="BC443" i="9" s="1"/>
  <c r="F444" i="9"/>
  <c r="M444" i="9" a="1"/>
  <c r="M444" i="9" s="1"/>
  <c r="R444" i="9" a="1"/>
  <c r="R444" i="9" s="1"/>
  <c r="Z444" i="9"/>
  <c r="AD444" i="9"/>
  <c r="AY444" i="9" s="1" a="1"/>
  <c r="AY444" i="9" s="1"/>
  <c r="AE444" i="9"/>
  <c r="AF444" i="9"/>
  <c r="BB444" i="9" s="1"/>
  <c r="BC444" i="9" a="1"/>
  <c r="BC444" i="9" s="1"/>
  <c r="BI444" i="9"/>
  <c r="CG444" i="9"/>
  <c r="F445" i="9"/>
  <c r="M445" i="9" a="1"/>
  <c r="M445" i="9" s="1"/>
  <c r="R445" i="9" a="1"/>
  <c r="R445" i="9" s="1"/>
  <c r="Z445" i="9"/>
  <c r="AD445" i="9"/>
  <c r="CK445" i="9" s="1"/>
  <c r="AE445" i="9"/>
  <c r="AF445" i="9"/>
  <c r="BC445" i="9" a="1"/>
  <c r="BC445" i="9" s="1"/>
  <c r="BM445" i="9"/>
  <c r="F446" i="9"/>
  <c r="M446" i="9" a="1"/>
  <c r="M446" i="9" s="1"/>
  <c r="R446" i="9" a="1"/>
  <c r="R446" i="9" s="1"/>
  <c r="Z446" i="9"/>
  <c r="AD446" i="9"/>
  <c r="BI446" i="9" s="1"/>
  <c r="AE446" i="9"/>
  <c r="AF446" i="9"/>
  <c r="BB446" i="9" s="1"/>
  <c r="BC446" i="9" a="1"/>
  <c r="BC446" i="9" s="1"/>
  <c r="A447" i="9"/>
  <c r="F447" i="9"/>
  <c r="M447" i="9" a="1"/>
  <c r="M447" i="9" s="1"/>
  <c r="R447" i="9" a="1"/>
  <c r="R447" i="9" s="1"/>
  <c r="Z447" i="9"/>
  <c r="AD447" i="9"/>
  <c r="CK447" i="9" s="1"/>
  <c r="AE447" i="9"/>
  <c r="AF447" i="9"/>
  <c r="AI447" i="9"/>
  <c r="AY447" i="9" a="1"/>
  <c r="AY447" i="9" s="1"/>
  <c r="BC447" i="9" a="1"/>
  <c r="BC447" i="9" s="1"/>
  <c r="BD447" i="9"/>
  <c r="BI447" i="9"/>
  <c r="CC447" i="9"/>
  <c r="F448" i="9"/>
  <c r="M448" i="9" a="1"/>
  <c r="M448" i="9" s="1"/>
  <c r="R448" i="9" a="1"/>
  <c r="R448" i="9" s="1"/>
  <c r="Z448" i="9"/>
  <c r="AD448" i="9"/>
  <c r="AE448" i="9"/>
  <c r="AF448" i="9"/>
  <c r="BC448" i="9" a="1"/>
  <c r="BC448" i="9" s="1"/>
  <c r="F449" i="9"/>
  <c r="M449" i="9" a="1"/>
  <c r="M449" i="9" s="1"/>
  <c r="R449" i="9" a="1"/>
  <c r="R449" i="9" s="1"/>
  <c r="Z449" i="9"/>
  <c r="AD449" i="9"/>
  <c r="AE449" i="9"/>
  <c r="AF449" i="9"/>
  <c r="BB449" i="9" s="1"/>
  <c r="BC449" i="9" a="1"/>
  <c r="BC449" i="9" s="1"/>
  <c r="F450" i="9"/>
  <c r="M450" i="9" a="1"/>
  <c r="M450" i="9" s="1"/>
  <c r="R450" i="9" a="1"/>
  <c r="R450" i="9" s="1"/>
  <c r="Z450" i="9"/>
  <c r="AD450" i="9"/>
  <c r="CK450" i="9" s="1"/>
  <c r="AE450" i="9"/>
  <c r="AF450" i="9"/>
  <c r="BC450" i="9" a="1"/>
  <c r="BC450" i="9" s="1"/>
  <c r="F451" i="9"/>
  <c r="M451" i="9" a="1"/>
  <c r="M451" i="9" s="1"/>
  <c r="R451" i="9" a="1"/>
  <c r="R451" i="9" s="1"/>
  <c r="Z451" i="9"/>
  <c r="AD451" i="9"/>
  <c r="AE451" i="9"/>
  <c r="AF451" i="9"/>
  <c r="BB451" i="9" s="1"/>
  <c r="BC451" i="9" a="1"/>
  <c r="BC451" i="9" s="1"/>
  <c r="BI451" i="9"/>
  <c r="F452" i="9"/>
  <c r="M452" i="9" a="1"/>
  <c r="M452" i="9" s="1"/>
  <c r="R452" i="9" a="1"/>
  <c r="R452" i="9" s="1"/>
  <c r="Z452" i="9"/>
  <c r="AD452" i="9"/>
  <c r="AE452" i="9"/>
  <c r="AF452" i="9"/>
  <c r="BB452" i="9" s="1"/>
  <c r="AY452" i="9" a="1"/>
  <c r="AY452" i="9" s="1"/>
  <c r="BC452" i="9" a="1"/>
  <c r="BC452" i="9" s="1"/>
  <c r="BM452" i="9"/>
  <c r="CG452" i="9"/>
  <c r="F453" i="9"/>
  <c r="M453" i="9" a="1"/>
  <c r="M453" i="9" s="1"/>
  <c r="R453" i="9" a="1"/>
  <c r="R453" i="9" s="1"/>
  <c r="Z453" i="9"/>
  <c r="AD453" i="9"/>
  <c r="CG453" i="9" s="1"/>
  <c r="AE453" i="9"/>
  <c r="AF453" i="9"/>
  <c r="BC453" i="9" a="1"/>
  <c r="BC453" i="9" s="1"/>
  <c r="F454" i="9"/>
  <c r="M454" i="9" a="1"/>
  <c r="M454" i="9" s="1"/>
  <c r="R454" i="9" a="1"/>
  <c r="R454" i="9" s="1"/>
  <c r="Z454" i="9"/>
  <c r="AD454" i="9"/>
  <c r="CK454" i="9" s="1"/>
  <c r="AE454" i="9"/>
  <c r="AF454" i="9"/>
  <c r="BB454" i="9" s="1"/>
  <c r="BC454" i="9" a="1"/>
  <c r="BC454" i="9" s="1"/>
  <c r="CC454" i="9"/>
  <c r="F455" i="9"/>
  <c r="M455" i="9" a="1"/>
  <c r="M455" i="9" s="1"/>
  <c r="R455" i="9" a="1"/>
  <c r="R455" i="9" s="1"/>
  <c r="Z455" i="9"/>
  <c r="AD455" i="9"/>
  <c r="CK455" i="9" s="1"/>
  <c r="AE455" i="9"/>
  <c r="AF455" i="9"/>
  <c r="BC455" i="9" a="1"/>
  <c r="BC455" i="9" s="1"/>
  <c r="CC455" i="9"/>
  <c r="F456" i="9"/>
  <c r="M456" i="9" a="1"/>
  <c r="M456" i="9" s="1"/>
  <c r="R456" i="9" a="1"/>
  <c r="R456" i="9" s="1"/>
  <c r="Z456" i="9"/>
  <c r="AD456" i="9"/>
  <c r="AE456" i="9"/>
  <c r="AF456" i="9"/>
  <c r="BC456" i="9" a="1"/>
  <c r="BC456" i="9" s="1"/>
  <c r="F457" i="9"/>
  <c r="M457" i="9" a="1"/>
  <c r="M457" i="9" s="1"/>
  <c r="R457" i="9" a="1"/>
  <c r="R457" i="9" s="1"/>
  <c r="Z457" i="9"/>
  <c r="AD457" i="9"/>
  <c r="BQ457" i="9" s="1"/>
  <c r="AE457" i="9"/>
  <c r="AF457" i="9"/>
  <c r="BC457" i="9" a="1"/>
  <c r="BC457" i="9" s="1"/>
  <c r="F458" i="9"/>
  <c r="M458" i="9" a="1"/>
  <c r="M458" i="9" s="1"/>
  <c r="R458" i="9" a="1"/>
  <c r="R458" i="9" s="1"/>
  <c r="Z458" i="9"/>
  <c r="AD458" i="9"/>
  <c r="AY458" i="9" s="1" a="1"/>
  <c r="AY458" i="9" s="1"/>
  <c r="AE458" i="9"/>
  <c r="AF458" i="9"/>
  <c r="BC458" i="9" a="1"/>
  <c r="BC458" i="9" s="1"/>
  <c r="BD458" i="9"/>
  <c r="BI458" i="9"/>
  <c r="BM458" i="9"/>
  <c r="BX458" i="9"/>
  <c r="CG458" i="9"/>
  <c r="CK458" i="9"/>
  <c r="F459" i="9"/>
  <c r="M459" i="9" a="1"/>
  <c r="M459" i="9" s="1"/>
  <c r="R459" i="9" a="1"/>
  <c r="R459" i="9" s="1"/>
  <c r="Z459" i="9"/>
  <c r="AD459" i="9"/>
  <c r="BI459" i="9" s="1"/>
  <c r="AE459" i="9"/>
  <c r="AF459" i="9"/>
  <c r="BB459" i="9" s="1"/>
  <c r="BC459" i="9" a="1"/>
  <c r="BC459" i="9" s="1"/>
  <c r="F460" i="9"/>
  <c r="M460" i="9" a="1"/>
  <c r="M460" i="9" s="1"/>
  <c r="R460" i="9" a="1"/>
  <c r="R460" i="9" s="1"/>
  <c r="Z460" i="9"/>
  <c r="AD460" i="9"/>
  <c r="AE460" i="9"/>
  <c r="AF460" i="9"/>
  <c r="BB460" i="9" s="1"/>
  <c r="BC460" i="9" a="1"/>
  <c r="BC460" i="9" s="1"/>
  <c r="BI460" i="9"/>
  <c r="BM460" i="9"/>
  <c r="CG460" i="9"/>
  <c r="F461" i="9"/>
  <c r="M461" i="9" a="1"/>
  <c r="M461" i="9" s="1"/>
  <c r="R461" i="9" a="1"/>
  <c r="R461" i="9" s="1"/>
  <c r="Z461" i="9"/>
  <c r="AD461" i="9"/>
  <c r="AE461" i="9"/>
  <c r="AF461" i="9"/>
  <c r="BC461" i="9" a="1"/>
  <c r="BC461" i="9" s="1"/>
  <c r="F462" i="9"/>
  <c r="M462" i="9" a="1"/>
  <c r="M462" i="9" s="1"/>
  <c r="R462" i="9" a="1"/>
  <c r="R462" i="9" s="1"/>
  <c r="Z462" i="9"/>
  <c r="AD462" i="9"/>
  <c r="AY462" i="9" s="1" a="1"/>
  <c r="AY462" i="9" s="1"/>
  <c r="AZ462" i="9" s="1"/>
  <c r="AE462" i="9"/>
  <c r="AF462" i="9"/>
  <c r="BB462" i="9" s="1"/>
  <c r="BC462" i="9" a="1"/>
  <c r="BC462" i="9" s="1"/>
  <c r="CG462" i="9"/>
  <c r="F463" i="9"/>
  <c r="M463" i="9" a="1"/>
  <c r="M463" i="9" s="1"/>
  <c r="R463" i="9" a="1"/>
  <c r="R463" i="9" s="1"/>
  <c r="Z463" i="9"/>
  <c r="AD463" i="9"/>
  <c r="CK463" i="9" s="1"/>
  <c r="AE463" i="9"/>
  <c r="AF463" i="9"/>
  <c r="BA463" i="9" s="1"/>
  <c r="AI463" i="9"/>
  <c r="BC463" i="9" a="1"/>
  <c r="BC463" i="9"/>
  <c r="BD463" i="9"/>
  <c r="CC463" i="9"/>
  <c r="F464" i="9"/>
  <c r="M464" i="9" a="1"/>
  <c r="M464" i="9" s="1"/>
  <c r="R464" i="9" a="1"/>
  <c r="R464" i="9" s="1"/>
  <c r="Z464" i="9"/>
  <c r="AD464" i="9"/>
  <c r="AE464" i="9"/>
  <c r="AF464" i="9"/>
  <c r="BB464" i="9" s="1"/>
  <c r="BC464" i="9" a="1"/>
  <c r="BC464" i="9" s="1"/>
  <c r="F465" i="9"/>
  <c r="M465" i="9" a="1"/>
  <c r="M465" i="9" s="1"/>
  <c r="R465" i="9" a="1"/>
  <c r="R465" i="9" s="1"/>
  <c r="Z465" i="9"/>
  <c r="AD465" i="9"/>
  <c r="AE465" i="9"/>
  <c r="AF465" i="9"/>
  <c r="BB465" i="9" s="1"/>
  <c r="BC465" i="9" a="1"/>
  <c r="BC465" i="9" s="1"/>
  <c r="F466" i="9"/>
  <c r="M466" i="9" a="1"/>
  <c r="M466" i="9" s="1"/>
  <c r="R466" i="9" a="1"/>
  <c r="R466" i="9" s="1"/>
  <c r="Z466" i="9"/>
  <c r="AD466" i="9"/>
  <c r="AE466" i="9"/>
  <c r="AF466" i="9"/>
  <c r="BC466" i="9" a="1"/>
  <c r="BC466" i="9" s="1"/>
  <c r="F467" i="9"/>
  <c r="M467" i="9" a="1"/>
  <c r="M467" i="9" s="1"/>
  <c r="R467" i="9" a="1"/>
  <c r="R467" i="9" s="1"/>
  <c r="Z467" i="9"/>
  <c r="AD467" i="9"/>
  <c r="BD467" i="9" s="1"/>
  <c r="AE467" i="9"/>
  <c r="AF467" i="9"/>
  <c r="BC467" i="9" a="1"/>
  <c r="BC467" i="9" s="1"/>
  <c r="F468" i="9"/>
  <c r="M468" i="9" a="1"/>
  <c r="M468" i="9" s="1"/>
  <c r="R468" i="9" a="1"/>
  <c r="R468" i="9" s="1"/>
  <c r="Z468" i="9"/>
  <c r="AD468" i="9"/>
  <c r="AE468" i="9"/>
  <c r="AF468" i="9"/>
  <c r="BB468" i="9" s="1"/>
  <c r="BC468" i="9" a="1"/>
  <c r="BC468" i="9" s="1"/>
  <c r="A469" i="9"/>
  <c r="F469" i="9"/>
  <c r="M469" i="9" a="1"/>
  <c r="M469" i="9" s="1"/>
  <c r="R469" i="9" a="1"/>
  <c r="R469" i="9" s="1"/>
  <c r="Z469" i="9"/>
  <c r="AD469" i="9"/>
  <c r="CC469" i="9" s="1"/>
  <c r="AE469" i="9"/>
  <c r="AF469" i="9"/>
  <c r="AI469" i="9"/>
  <c r="AY469" i="9" a="1"/>
  <c r="AY469" i="9" s="1"/>
  <c r="BC469" i="9" a="1"/>
  <c r="BC469" i="9" s="1"/>
  <c r="BD469" i="9"/>
  <c r="BI469" i="9"/>
  <c r="BM469" i="9"/>
  <c r="BQ469" i="9"/>
  <c r="BX469" i="9"/>
  <c r="CG469" i="9"/>
  <c r="CK469" i="9"/>
  <c r="F470" i="9"/>
  <c r="M470" i="9" a="1"/>
  <c r="M470" i="9" s="1"/>
  <c r="R470" i="9" a="1"/>
  <c r="R470" i="9" s="1"/>
  <c r="Z470" i="9"/>
  <c r="AD470" i="9"/>
  <c r="AY470" i="9" s="1" a="1"/>
  <c r="AY470" i="9" s="1"/>
  <c r="AE470" i="9"/>
  <c r="AF470" i="9"/>
  <c r="BB470" i="9" s="1"/>
  <c r="BC470" i="9" a="1"/>
  <c r="BC470" i="9" s="1"/>
  <c r="BI470" i="9"/>
  <c r="CC470" i="9"/>
  <c r="F471" i="9"/>
  <c r="M471" i="9" a="1"/>
  <c r="M471" i="9" s="1"/>
  <c r="R471" i="9" a="1"/>
  <c r="R471" i="9" s="1"/>
  <c r="Z471" i="9"/>
  <c r="AD471" i="9"/>
  <c r="BD471" i="9" s="1"/>
  <c r="AE471" i="9"/>
  <c r="AF471" i="9"/>
  <c r="BC471" i="9" a="1"/>
  <c r="BC471" i="9" s="1"/>
  <c r="F472" i="9"/>
  <c r="M472" i="9" a="1"/>
  <c r="M472" i="9" s="1"/>
  <c r="R472" i="9" a="1"/>
  <c r="R472" i="9" s="1"/>
  <c r="Z472" i="9"/>
  <c r="AD472" i="9"/>
  <c r="BI472" i="9" s="1"/>
  <c r="AE472" i="9"/>
  <c r="AF472" i="9"/>
  <c r="BB472" i="9" s="1"/>
  <c r="BC472" i="9" a="1"/>
  <c r="BC472" i="9" s="1"/>
  <c r="F473" i="9"/>
  <c r="M473" i="9" a="1"/>
  <c r="M473" i="9" s="1"/>
  <c r="R473" i="9" a="1"/>
  <c r="R473" i="9" s="1"/>
  <c r="Z473" i="9"/>
  <c r="AD473" i="9"/>
  <c r="AE473" i="9"/>
  <c r="AF473" i="9"/>
  <c r="BB473" i="9" s="1"/>
  <c r="BC473" i="9" a="1"/>
  <c r="BC473" i="9" s="1"/>
  <c r="F474" i="9"/>
  <c r="M474" i="9" a="1"/>
  <c r="M474" i="9" s="1"/>
  <c r="R474" i="9" a="1"/>
  <c r="R474" i="9" s="1"/>
  <c r="Z474" i="9"/>
  <c r="AD474" i="9"/>
  <c r="A474" i="9" s="1"/>
  <c r="AE474" i="9"/>
  <c r="AF474" i="9"/>
  <c r="BB474" i="9" s="1"/>
  <c r="AY474" i="9" a="1"/>
  <c r="AY474" i="9" s="1"/>
  <c r="AZ474" i="9" s="1"/>
  <c r="BC474" i="9" a="1"/>
  <c r="BC474" i="9"/>
  <c r="BD474" i="9"/>
  <c r="BI474" i="9"/>
  <c r="BQ474" i="9"/>
  <c r="CC474" i="9"/>
  <c r="CK474" i="9"/>
  <c r="F475" i="9"/>
  <c r="M475" i="9" a="1"/>
  <c r="M475" i="9" s="1"/>
  <c r="R475" i="9" a="1"/>
  <c r="R475" i="9" s="1"/>
  <c r="Z475" i="9"/>
  <c r="AD475" i="9"/>
  <c r="BD475" i="9" s="1"/>
  <c r="AE475" i="9"/>
  <c r="AF475" i="9"/>
  <c r="BB475" i="9" s="1"/>
  <c r="AY475" i="9" a="1"/>
  <c r="AY475" i="9" s="1"/>
  <c r="BC475" i="9" a="1"/>
  <c r="BC475" i="9" s="1"/>
  <c r="BI475" i="9"/>
  <c r="CC475" i="9"/>
  <c r="CG475" i="9"/>
  <c r="F476" i="9"/>
  <c r="M476" i="9" a="1"/>
  <c r="M476" i="9" s="1"/>
  <c r="R476" i="9" a="1"/>
  <c r="R476" i="9" s="1"/>
  <c r="Z476" i="9"/>
  <c r="AD476" i="9"/>
  <c r="CC476" i="9" s="1"/>
  <c r="AE476" i="9"/>
  <c r="AF476" i="9"/>
  <c r="BB476" i="9" s="1"/>
  <c r="BC476" i="9" a="1"/>
  <c r="BC476" i="9" s="1"/>
  <c r="BM476" i="9"/>
  <c r="CK476" i="9"/>
  <c r="F477" i="9"/>
  <c r="M477" i="9" a="1"/>
  <c r="M477" i="9" s="1"/>
  <c r="R477" i="9" a="1"/>
  <c r="R477" i="9" s="1"/>
  <c r="Z477" i="9"/>
  <c r="AD477" i="9"/>
  <c r="BM477" i="9" s="1"/>
  <c r="AE477" i="9"/>
  <c r="AF477" i="9"/>
  <c r="BC477" i="9" a="1"/>
  <c r="BC477" i="9" s="1"/>
  <c r="F478" i="9"/>
  <c r="M478" i="9" a="1"/>
  <c r="M478" i="9" s="1"/>
  <c r="R478" i="9" a="1"/>
  <c r="R478" i="9" s="1"/>
  <c r="Z478" i="9"/>
  <c r="AD478" i="9"/>
  <c r="A478" i="9" s="1"/>
  <c r="AE478" i="9"/>
  <c r="AF478" i="9"/>
  <c r="BB478" i="9" s="1"/>
  <c r="BC478" i="9" a="1"/>
  <c r="BC478" i="9" s="1"/>
  <c r="BD478" i="9"/>
  <c r="F479" i="9"/>
  <c r="M479" i="9" a="1"/>
  <c r="M479" i="9" s="1"/>
  <c r="R479" i="9" a="1"/>
  <c r="R479" i="9" s="1"/>
  <c r="Z479" i="9"/>
  <c r="AD479" i="9"/>
  <c r="AE479" i="9"/>
  <c r="AF479" i="9"/>
  <c r="BC479" i="9" a="1"/>
  <c r="BC479" i="9" s="1"/>
  <c r="F480" i="9"/>
  <c r="M480" i="9" a="1"/>
  <c r="M480" i="9" s="1"/>
  <c r="R480" i="9" a="1"/>
  <c r="R480" i="9" s="1"/>
  <c r="Z480" i="9"/>
  <c r="AD480" i="9"/>
  <c r="AY480" i="9" s="1" a="1"/>
  <c r="AY480" i="9" s="1"/>
  <c r="AE480" i="9"/>
  <c r="AF480" i="9"/>
  <c r="AI480" i="9"/>
  <c r="BC480" i="9" a="1"/>
  <c r="BC480" i="9" s="1"/>
  <c r="BD480" i="9"/>
  <c r="BI480" i="9"/>
  <c r="BQ480" i="9"/>
  <c r="BX480" i="9"/>
  <c r="CC480" i="9"/>
  <c r="CK480" i="9"/>
  <c r="F481" i="9"/>
  <c r="M481" i="9" a="1"/>
  <c r="M481" i="9" s="1"/>
  <c r="R481" i="9" a="1"/>
  <c r="R481" i="9" s="1"/>
  <c r="Z481" i="9"/>
  <c r="AD481" i="9"/>
  <c r="BI481" i="9" s="1"/>
  <c r="AE481" i="9"/>
  <c r="AF481" i="9"/>
  <c r="BB481" i="9" s="1"/>
  <c r="AY481" i="9" a="1"/>
  <c r="AY481" i="9" s="1"/>
  <c r="BC481" i="9" a="1"/>
  <c r="BC481" i="9" s="1"/>
  <c r="F482" i="9"/>
  <c r="M482" i="9" a="1"/>
  <c r="M482" i="9" s="1"/>
  <c r="R482" i="9" a="1"/>
  <c r="R482" i="9" s="1"/>
  <c r="Z482" i="9"/>
  <c r="AD482" i="9"/>
  <c r="AE482" i="9"/>
  <c r="AF482" i="9"/>
  <c r="BC482" i="9" a="1"/>
  <c r="BC482" i="9" s="1"/>
  <c r="F483" i="9"/>
  <c r="M483" i="9" a="1"/>
  <c r="M483" i="9" s="1"/>
  <c r="R483" i="9" a="1"/>
  <c r="R483" i="9" s="1"/>
  <c r="Z483" i="9"/>
  <c r="AD483" i="9"/>
  <c r="AE483" i="9"/>
  <c r="AF483" i="9"/>
  <c r="BB483" i="9" s="1"/>
  <c r="BC483" i="9" a="1"/>
  <c r="BC483" i="9" s="1"/>
  <c r="F484" i="9"/>
  <c r="M484" i="9" a="1"/>
  <c r="M484" i="9" s="1"/>
  <c r="R484" i="9" a="1"/>
  <c r="R484" i="9" s="1"/>
  <c r="Z484" i="9"/>
  <c r="AD484" i="9"/>
  <c r="AE484" i="9"/>
  <c r="AF484" i="9"/>
  <c r="BB484" i="9" s="1"/>
  <c r="BC484" i="9" a="1"/>
  <c r="BC484" i="9" s="1"/>
  <c r="F485" i="9"/>
  <c r="M485" i="9" a="1"/>
  <c r="M485" i="9" s="1"/>
  <c r="R485" i="9" a="1"/>
  <c r="R485" i="9" s="1"/>
  <c r="Z485" i="9"/>
  <c r="AD485" i="9"/>
  <c r="AY485" i="9" s="1" a="1"/>
  <c r="AY485" i="9" s="1"/>
  <c r="AE485" i="9"/>
  <c r="AF485" i="9"/>
  <c r="BA485" i="9" s="1"/>
  <c r="AI485" i="9"/>
  <c r="BC485" i="9" a="1"/>
  <c r="BC485" i="9" s="1"/>
  <c r="BD485" i="9"/>
  <c r="BQ485" i="9"/>
  <c r="BX485" i="9"/>
  <c r="F486" i="9"/>
  <c r="M486" i="9" a="1"/>
  <c r="M486" i="9" s="1"/>
  <c r="R486" i="9" a="1"/>
  <c r="R486" i="9" s="1"/>
  <c r="Z486" i="9"/>
  <c r="AD486" i="9"/>
  <c r="BI486" i="9" s="1"/>
  <c r="AE486" i="9"/>
  <c r="AF486" i="9"/>
  <c r="BB486" i="9" s="1"/>
  <c r="BC486" i="9" a="1"/>
  <c r="BC486" i="9" s="1"/>
  <c r="F487" i="9"/>
  <c r="M487" i="9" a="1"/>
  <c r="M487" i="9" s="1"/>
  <c r="R487" i="9" a="1"/>
  <c r="R487" i="9" s="1"/>
  <c r="Z487" i="9"/>
  <c r="AD487" i="9"/>
  <c r="AE487" i="9"/>
  <c r="AF487" i="9"/>
  <c r="BC487" i="9" a="1"/>
  <c r="BC487" i="9" s="1"/>
  <c r="F488" i="9"/>
  <c r="M488" i="9" a="1"/>
  <c r="M488" i="9" s="1"/>
  <c r="R488" i="9" a="1"/>
  <c r="R488" i="9" s="1"/>
  <c r="Z488" i="9"/>
  <c r="AD488" i="9"/>
  <c r="CC488" i="9" s="1"/>
  <c r="AE488" i="9"/>
  <c r="AF488" i="9"/>
  <c r="BC488" i="9" a="1"/>
  <c r="BC488" i="9" s="1"/>
  <c r="BQ488" i="9"/>
  <c r="F489" i="9"/>
  <c r="M489" i="9" a="1"/>
  <c r="M489" i="9" s="1"/>
  <c r="R489" i="9" a="1"/>
  <c r="R489" i="9" s="1"/>
  <c r="Z489" i="9"/>
  <c r="AD489" i="9"/>
  <c r="AE489" i="9"/>
  <c r="AF489" i="9"/>
  <c r="BB489" i="9" s="1"/>
  <c r="BC489" i="9" a="1"/>
  <c r="BC489" i="9" s="1"/>
  <c r="F490" i="9"/>
  <c r="M490" i="9" a="1"/>
  <c r="M490" i="9" s="1"/>
  <c r="R490" i="9" a="1"/>
  <c r="R490" i="9" s="1"/>
  <c r="Z490" i="9"/>
  <c r="AD490" i="9"/>
  <c r="AE490" i="9"/>
  <c r="AF490" i="9"/>
  <c r="BC490" i="9" a="1"/>
  <c r="BC490" i="9" s="1"/>
  <c r="F491" i="9"/>
  <c r="M491" i="9" a="1"/>
  <c r="M491" i="9" s="1"/>
  <c r="R491" i="9" a="1"/>
  <c r="R491" i="9" s="1"/>
  <c r="Z491" i="9"/>
  <c r="AD491" i="9"/>
  <c r="CK491" i="9" s="1"/>
  <c r="AE491" i="9"/>
  <c r="AF491" i="9"/>
  <c r="BB491" i="9" s="1"/>
  <c r="BC491" i="9" a="1"/>
  <c r="BC491" i="9" s="1"/>
  <c r="F492" i="9"/>
  <c r="M492" i="9" a="1"/>
  <c r="M492" i="9" s="1"/>
  <c r="R492" i="9" a="1"/>
  <c r="R492" i="9" s="1"/>
  <c r="Z492" i="9"/>
  <c r="AD492" i="9"/>
  <c r="A492" i="9" s="1"/>
  <c r="AE492" i="9"/>
  <c r="AF492" i="9"/>
  <c r="AI492" i="9"/>
  <c r="AY492" i="9" a="1"/>
  <c r="AY492" i="9" s="1"/>
  <c r="AZ492" i="9" s="1"/>
  <c r="BC492" i="9" a="1"/>
  <c r="BC492" i="9" s="1"/>
  <c r="BI492" i="9"/>
  <c r="BM492" i="9"/>
  <c r="BQ492" i="9"/>
  <c r="BX492" i="9"/>
  <c r="CC492" i="9"/>
  <c r="CK492" i="9"/>
  <c r="F493" i="9"/>
  <c r="M493" i="9" a="1"/>
  <c r="M493" i="9" s="1"/>
  <c r="R493" i="9" a="1"/>
  <c r="R493" i="9" s="1"/>
  <c r="Z493" i="9"/>
  <c r="AD493" i="9"/>
  <c r="BD493" i="9" s="1"/>
  <c r="AE493" i="9"/>
  <c r="AF493" i="9"/>
  <c r="AI493" i="9"/>
  <c r="BC493" i="9" a="1"/>
  <c r="BC493" i="9"/>
  <c r="BQ493" i="9"/>
  <c r="F494" i="9"/>
  <c r="M494" i="9" a="1"/>
  <c r="M494" i="9" s="1"/>
  <c r="R494" i="9" a="1"/>
  <c r="R494" i="9" s="1"/>
  <c r="Z494" i="9"/>
  <c r="AD494" i="9"/>
  <c r="AE494" i="9"/>
  <c r="AF494" i="9"/>
  <c r="BB494" i="9" s="1"/>
  <c r="BC494" i="9" a="1"/>
  <c r="BC494" i="9" s="1"/>
  <c r="F495" i="9"/>
  <c r="M495" i="9" a="1"/>
  <c r="M495" i="9" s="1"/>
  <c r="R495" i="9" a="1"/>
  <c r="R495" i="9" s="1"/>
  <c r="Z495" i="9"/>
  <c r="AD495" i="9"/>
  <c r="AE495" i="9"/>
  <c r="AF495" i="9"/>
  <c r="BC495" i="9" a="1"/>
  <c r="BC495" i="9" s="1"/>
  <c r="F496" i="9"/>
  <c r="M496" i="9" a="1"/>
  <c r="M496" i="9" s="1"/>
  <c r="R496" i="9" a="1"/>
  <c r="R496" i="9" s="1"/>
  <c r="Z496" i="9"/>
  <c r="AD496" i="9"/>
  <c r="AE496" i="9"/>
  <c r="AF496" i="9"/>
  <c r="BB496" i="9" s="1"/>
  <c r="BC496" i="9" a="1"/>
  <c r="BC496" i="9" s="1"/>
  <c r="BD496" i="9"/>
  <c r="BX496" i="9"/>
  <c r="CK496" i="9"/>
  <c r="F497" i="9"/>
  <c r="M497" i="9" a="1"/>
  <c r="M497" i="9" s="1"/>
  <c r="R497" i="9" a="1"/>
  <c r="R497" i="9" s="1"/>
  <c r="Z497" i="9"/>
  <c r="AD497" i="9"/>
  <c r="AE497" i="9"/>
  <c r="AF497" i="9"/>
  <c r="BB497" i="9" s="1"/>
  <c r="BC497" i="9" a="1"/>
  <c r="BC497" i="9" s="1"/>
  <c r="F498" i="9"/>
  <c r="M498" i="9" a="1"/>
  <c r="M498" i="9" s="1"/>
  <c r="R498" i="9" a="1"/>
  <c r="R498" i="9" s="1"/>
  <c r="Z498" i="9"/>
  <c r="AD498" i="9"/>
  <c r="AI498" i="9" s="1"/>
  <c r="AE498" i="9"/>
  <c r="AF498" i="9"/>
  <c r="BA498" i="9" s="1"/>
  <c r="BC498" i="9" a="1"/>
  <c r="BC498" i="9" s="1"/>
  <c r="BQ498" i="9"/>
  <c r="BX498" i="9"/>
  <c r="CG498" i="9"/>
  <c r="F499" i="9"/>
  <c r="M499" i="9" a="1"/>
  <c r="M499" i="9" s="1"/>
  <c r="R499" i="9" a="1"/>
  <c r="R499" i="9" s="1"/>
  <c r="Z499" i="9"/>
  <c r="AD499" i="9"/>
  <c r="BX499" i="9" s="1"/>
  <c r="AE499" i="9"/>
  <c r="AF499" i="9"/>
  <c r="BB499" i="9" s="1"/>
  <c r="BC499" i="9" a="1"/>
  <c r="BC499" i="9" s="1"/>
  <c r="F500" i="9"/>
  <c r="M500" i="9" a="1"/>
  <c r="M500" i="9" s="1"/>
  <c r="R500" i="9" a="1"/>
  <c r="R500" i="9" s="1"/>
  <c r="Z500" i="9"/>
  <c r="AD500" i="9"/>
  <c r="A500" i="9" s="1"/>
  <c r="AE500" i="9"/>
  <c r="AF500" i="9"/>
  <c r="BB500" i="9" s="1"/>
  <c r="AI500" i="9"/>
  <c r="AY500" i="9" a="1"/>
  <c r="AY500" i="9" s="1"/>
  <c r="AZ500" i="9" s="1"/>
  <c r="BC500" i="9" a="1"/>
  <c r="BC500" i="9" s="1"/>
  <c r="BD500" i="9"/>
  <c r="BI500" i="9"/>
  <c r="BX500" i="9"/>
  <c r="CC500" i="9"/>
  <c r="CG500" i="9"/>
  <c r="F501" i="9"/>
  <c r="M501" i="9" a="1"/>
  <c r="M501" i="9" s="1"/>
  <c r="R501" i="9" a="1"/>
  <c r="R501" i="9" s="1"/>
  <c r="Z501" i="9"/>
  <c r="AD501" i="9"/>
  <c r="CG501" i="9" s="1"/>
  <c r="AE501" i="9"/>
  <c r="AF501" i="9"/>
  <c r="BB501" i="9" s="1"/>
  <c r="BC501" i="9" a="1"/>
  <c r="BC501" i="9" s="1"/>
  <c r="BD501" i="9"/>
  <c r="F502" i="9"/>
  <c r="M502" i="9" a="1"/>
  <c r="M502" i="9" s="1"/>
  <c r="R502" i="9" a="1"/>
  <c r="R502" i="9" s="1"/>
  <c r="Z502" i="9"/>
  <c r="AD502" i="9"/>
  <c r="BI502" i="9" s="1"/>
  <c r="AE502" i="9"/>
  <c r="AF502" i="9"/>
  <c r="BB502" i="9" s="1"/>
  <c r="BC502" i="9" a="1"/>
  <c r="BC502" i="9" s="1"/>
  <c r="F503" i="9"/>
  <c r="M503" i="9" a="1"/>
  <c r="M503" i="9" s="1"/>
  <c r="R503" i="9" a="1"/>
  <c r="R503" i="9" s="1"/>
  <c r="Z503" i="9"/>
  <c r="AD503" i="9"/>
  <c r="A503" i="9" s="1"/>
  <c r="AE503" i="9"/>
  <c r="AF503" i="9"/>
  <c r="BC503" i="9" a="1"/>
  <c r="BC503" i="9" s="1"/>
  <c r="BI503" i="9"/>
  <c r="BQ503" i="9"/>
  <c r="BX503" i="9"/>
  <c r="F504" i="9"/>
  <c r="M504" i="9" a="1"/>
  <c r="M504" i="9" s="1"/>
  <c r="R504" i="9" a="1"/>
  <c r="R504" i="9" s="1"/>
  <c r="Z504" i="9"/>
  <c r="AD504" i="9"/>
  <c r="AY504" i="9" s="1" a="1"/>
  <c r="AY504" i="9" s="1"/>
  <c r="AE504" i="9"/>
  <c r="AF504" i="9"/>
  <c r="BB504" i="9" s="1"/>
  <c r="AI504" i="9"/>
  <c r="BC504" i="9" a="1"/>
  <c r="BC504" i="9" s="1"/>
  <c r="BI504" i="9"/>
  <c r="BQ504" i="9"/>
  <c r="BX504" i="9"/>
  <c r="F505" i="9"/>
  <c r="M505" i="9" a="1"/>
  <c r="M505" i="9" s="1"/>
  <c r="R505" i="9" a="1"/>
  <c r="R505" i="9" s="1"/>
  <c r="Z505" i="9"/>
  <c r="AD505" i="9"/>
  <c r="BM505" i="9" s="1"/>
  <c r="AE505" i="9"/>
  <c r="AF505" i="9"/>
  <c r="BB505" i="9" s="1"/>
  <c r="BC505" i="9" a="1"/>
  <c r="BC505" i="9" s="1"/>
  <c r="F506" i="9"/>
  <c r="M506" i="9" a="1"/>
  <c r="M506" i="9" s="1"/>
  <c r="R506" i="9" a="1"/>
  <c r="R506" i="9" s="1"/>
  <c r="Z506" i="9"/>
  <c r="AD506" i="9"/>
  <c r="AE506" i="9"/>
  <c r="AF506" i="9"/>
  <c r="BC506" i="9" a="1"/>
  <c r="BC506" i="9" s="1"/>
  <c r="F507" i="9"/>
  <c r="M507" i="9" a="1"/>
  <c r="M507" i="9" s="1"/>
  <c r="R507" i="9" a="1"/>
  <c r="R507" i="9" s="1"/>
  <c r="Z507" i="9"/>
  <c r="AD507" i="9"/>
  <c r="BQ507" i="9" s="1"/>
  <c r="AE507" i="9"/>
  <c r="AF507" i="9"/>
  <c r="BC507" i="9" a="1"/>
  <c r="BC507" i="9" s="1"/>
  <c r="BI507" i="9"/>
  <c r="BX507" i="9"/>
  <c r="F508" i="9"/>
  <c r="M508" i="9" a="1"/>
  <c r="M508" i="9" s="1"/>
  <c r="R508" i="9" a="1"/>
  <c r="R508" i="9" s="1"/>
  <c r="Z508" i="9"/>
  <c r="AD508" i="9"/>
  <c r="AE508" i="9"/>
  <c r="AF508" i="9"/>
  <c r="BC508" i="9" a="1"/>
  <c r="BC508" i="9" s="1"/>
  <c r="BQ508" i="9"/>
  <c r="CC508" i="9"/>
  <c r="F509" i="9"/>
  <c r="M509" i="9" a="1"/>
  <c r="M509" i="9" s="1"/>
  <c r="R509" i="9" a="1"/>
  <c r="R509" i="9" s="1"/>
  <c r="Z509" i="9"/>
  <c r="AD509" i="9"/>
  <c r="AI509" i="9" s="1"/>
  <c r="AE509" i="9"/>
  <c r="AF509" i="9"/>
  <c r="BA509" i="9" s="1"/>
  <c r="BC509" i="9" a="1"/>
  <c r="BC509" i="9" s="1"/>
  <c r="BI509" i="9"/>
  <c r="CG509" i="9"/>
  <c r="CK509" i="9"/>
  <c r="F510" i="9"/>
  <c r="M510" i="9" a="1"/>
  <c r="M510" i="9" s="1"/>
  <c r="R510" i="9" a="1"/>
  <c r="R510" i="9" s="1"/>
  <c r="Z510" i="9"/>
  <c r="AD510" i="9"/>
  <c r="BD510" i="9" s="1"/>
  <c r="AE510" i="9"/>
  <c r="AF510" i="9"/>
  <c r="BA510" i="9" s="1"/>
  <c r="AI510" i="9"/>
  <c r="BC510" i="9" a="1"/>
  <c r="BC510" i="9" s="1"/>
  <c r="BM510" i="9"/>
  <c r="CK510" i="9"/>
  <c r="F511" i="9"/>
  <c r="M511" i="9" a="1"/>
  <c r="M511" i="9" s="1"/>
  <c r="R511" i="9" a="1"/>
  <c r="R511" i="9" s="1"/>
  <c r="Z511" i="9"/>
  <c r="AD511" i="9"/>
  <c r="BI511" i="9" s="1"/>
  <c r="AE511" i="9"/>
  <c r="AF511" i="9"/>
  <c r="BB511" i="9" s="1"/>
  <c r="BC511" i="9" a="1"/>
  <c r="BC511" i="9" s="1"/>
  <c r="F512" i="9"/>
  <c r="M512" i="9" a="1"/>
  <c r="M512" i="9" s="1"/>
  <c r="R512" i="9" a="1"/>
  <c r="R512" i="9" s="1"/>
  <c r="Z512" i="9"/>
  <c r="AD512" i="9"/>
  <c r="AE512" i="9"/>
  <c r="AF512" i="9"/>
  <c r="BB512" i="9" s="1"/>
  <c r="BC512" i="9" a="1"/>
  <c r="BC512" i="9" s="1"/>
  <c r="F513" i="9"/>
  <c r="M513" i="9" a="1"/>
  <c r="M513" i="9" s="1"/>
  <c r="R513" i="9" a="1"/>
  <c r="R513" i="9" s="1"/>
  <c r="Z513" i="9"/>
  <c r="AD513" i="9"/>
  <c r="CG513" i="9" s="1"/>
  <c r="AE513" i="9"/>
  <c r="AF513" i="9"/>
  <c r="BA513" i="9" s="1"/>
  <c r="BC513" i="9" a="1"/>
  <c r="BC513" i="9" s="1"/>
  <c r="BM513" i="9"/>
  <c r="BQ513" i="9"/>
  <c r="BX513" i="9"/>
  <c r="F514" i="9"/>
  <c r="M514" i="9" a="1"/>
  <c r="M514" i="9" s="1"/>
  <c r="R514" i="9" a="1"/>
  <c r="R514" i="9" s="1"/>
  <c r="Z514" i="9"/>
  <c r="AD514" i="9"/>
  <c r="AE514" i="9"/>
  <c r="AF514" i="9"/>
  <c r="BB514" i="9" s="1"/>
  <c r="BC514" i="9" a="1"/>
  <c r="BC514" i="9" s="1"/>
  <c r="F515" i="9"/>
  <c r="M515" i="9" a="1"/>
  <c r="M515" i="9" s="1"/>
  <c r="R515" i="9" a="1"/>
  <c r="R515" i="9" s="1"/>
  <c r="Z515" i="9"/>
  <c r="AD515" i="9"/>
  <c r="BX515" i="9" s="1"/>
  <c r="AE515" i="9"/>
  <c r="AF515" i="9"/>
  <c r="BC515" i="9" a="1"/>
  <c r="BC515" i="9" s="1"/>
  <c r="BQ515" i="9"/>
  <c r="F516" i="9"/>
  <c r="M516" i="9" a="1"/>
  <c r="M516" i="9" s="1"/>
  <c r="R516" i="9" a="1"/>
  <c r="R516" i="9" s="1"/>
  <c r="Z516" i="9"/>
  <c r="AD516" i="9"/>
  <c r="BM516" i="9" s="1"/>
  <c r="AE516" i="9"/>
  <c r="AF516" i="9"/>
  <c r="BB516" i="9" s="1"/>
  <c r="BC516" i="9" a="1"/>
  <c r="BC516" i="9" s="1"/>
  <c r="F517" i="9"/>
  <c r="M517" i="9" a="1"/>
  <c r="M517" i="9" s="1"/>
  <c r="R517" i="9" a="1"/>
  <c r="R517" i="9" s="1"/>
  <c r="Z517" i="9"/>
  <c r="AD517" i="9"/>
  <c r="AE517" i="9"/>
  <c r="AF517" i="9"/>
  <c r="BC517" i="9" a="1"/>
  <c r="BC517" i="9" s="1"/>
  <c r="F518" i="9"/>
  <c r="M518" i="9" a="1"/>
  <c r="M518" i="9" s="1"/>
  <c r="R518" i="9" a="1"/>
  <c r="R518" i="9" s="1"/>
  <c r="Z518" i="9"/>
  <c r="AD518" i="9"/>
  <c r="BI518" i="9" s="1"/>
  <c r="AE518" i="9"/>
  <c r="AF518" i="9"/>
  <c r="BB518" i="9" s="1"/>
  <c r="BC518" i="9" a="1"/>
  <c r="BC518" i="9" s="1"/>
  <c r="F519" i="9"/>
  <c r="M519" i="9" a="1"/>
  <c r="M519" i="9" s="1"/>
  <c r="R519" i="9" a="1"/>
  <c r="R519" i="9" s="1"/>
  <c r="Z519" i="9"/>
  <c r="AD519" i="9"/>
  <c r="AE519" i="9"/>
  <c r="AF519" i="9"/>
  <c r="BB519" i="9" s="1"/>
  <c r="BC519" i="9" a="1"/>
  <c r="BC519" i="9" s="1"/>
  <c r="BM519" i="9"/>
  <c r="F520" i="9"/>
  <c r="M520" i="9" a="1"/>
  <c r="M520" i="9" s="1"/>
  <c r="R520" i="9" a="1"/>
  <c r="R520" i="9" s="1"/>
  <c r="Z520" i="9"/>
  <c r="AD520" i="9"/>
  <c r="BM520" i="9" s="1"/>
  <c r="AE520" i="9"/>
  <c r="AF520" i="9"/>
  <c r="BC520" i="9" a="1"/>
  <c r="BC520" i="9"/>
  <c r="F521" i="9"/>
  <c r="M521" i="9" a="1"/>
  <c r="M521" i="9" s="1"/>
  <c r="R521" i="9" a="1"/>
  <c r="R521" i="9" s="1"/>
  <c r="Z521" i="9"/>
  <c r="AD521" i="9"/>
  <c r="AE521" i="9"/>
  <c r="AF521" i="9"/>
  <c r="BC521" i="9" a="1"/>
  <c r="BC521" i="9" s="1"/>
  <c r="F522" i="9"/>
  <c r="M522" i="9" a="1"/>
  <c r="M522" i="9" s="1"/>
  <c r="R522" i="9" a="1"/>
  <c r="R522" i="9" s="1"/>
  <c r="Z522" i="9"/>
  <c r="AD522" i="9"/>
  <c r="AE522" i="9"/>
  <c r="AF522" i="9"/>
  <c r="BC522" i="9" a="1"/>
  <c r="BC522" i="9"/>
  <c r="F523" i="9"/>
  <c r="M523" i="9" a="1"/>
  <c r="M523" i="9" s="1"/>
  <c r="R523" i="9" a="1"/>
  <c r="R523" i="9" s="1"/>
  <c r="Z523" i="9"/>
  <c r="AD523" i="9"/>
  <c r="BI523" i="9" s="1"/>
  <c r="AE523" i="9"/>
  <c r="AF523" i="9"/>
  <c r="BA523" i="9" s="1"/>
  <c r="BC523" i="9" a="1"/>
  <c r="BC523" i="9" s="1"/>
  <c r="F524" i="9"/>
  <c r="M524" i="9" a="1"/>
  <c r="M524" i="9" s="1"/>
  <c r="R524" i="9" a="1"/>
  <c r="R524" i="9" s="1"/>
  <c r="Z524" i="9"/>
  <c r="AD524" i="9"/>
  <c r="CK524" i="9" s="1"/>
  <c r="AE524" i="9"/>
  <c r="AF524" i="9"/>
  <c r="BB524" i="9" s="1"/>
  <c r="BC524" i="9" a="1"/>
  <c r="BC524" i="9" s="1"/>
  <c r="F525" i="9"/>
  <c r="M525" i="9" a="1"/>
  <c r="M525" i="9" s="1"/>
  <c r="R525" i="9" a="1"/>
  <c r="R525" i="9" s="1"/>
  <c r="Z525" i="9"/>
  <c r="AD525" i="9"/>
  <c r="A525" i="9" s="1"/>
  <c r="AE525" i="9"/>
  <c r="AF525" i="9"/>
  <c r="AY525" i="9" a="1"/>
  <c r="AY525" i="9" s="1"/>
  <c r="AZ525" i="9" s="1"/>
  <c r="BC525" i="9" a="1"/>
  <c r="BC525" i="9"/>
  <c r="BD525" i="9"/>
  <c r="BX525" i="9"/>
  <c r="CG525" i="9"/>
  <c r="CK525" i="9"/>
  <c r="F526" i="9"/>
  <c r="M526" i="9" a="1"/>
  <c r="M526" i="9" s="1"/>
  <c r="R526" i="9" a="1"/>
  <c r="R526" i="9" s="1"/>
  <c r="Z526" i="9"/>
  <c r="AD526" i="9"/>
  <c r="AE526" i="9"/>
  <c r="AF526" i="9"/>
  <c r="BC526" i="9" a="1"/>
  <c r="BC526" i="9" s="1"/>
  <c r="F527" i="9"/>
  <c r="M527" i="9" a="1"/>
  <c r="M527" i="9" s="1"/>
  <c r="R527" i="9" a="1"/>
  <c r="R527" i="9" s="1"/>
  <c r="Z527" i="9"/>
  <c r="AD527" i="9"/>
  <c r="AI527" i="9" s="1"/>
  <c r="AE527" i="9"/>
  <c r="AF527" i="9"/>
  <c r="BB527" i="9" s="1"/>
  <c r="BC527" i="9" a="1"/>
  <c r="BC527" i="9" s="1"/>
  <c r="BQ527" i="9"/>
  <c r="F528" i="9"/>
  <c r="M528" i="9" a="1"/>
  <c r="M528" i="9" s="1"/>
  <c r="R528" i="9" a="1"/>
  <c r="R528" i="9" s="1"/>
  <c r="Z528" i="9"/>
  <c r="AD528" i="9"/>
  <c r="AE528" i="9"/>
  <c r="AF528" i="9"/>
  <c r="BC528" i="9" a="1"/>
  <c r="BC528" i="9"/>
  <c r="BD528" i="9"/>
  <c r="BI528" i="9"/>
  <c r="CG528" i="9"/>
  <c r="F529" i="9"/>
  <c r="M529" i="9" a="1"/>
  <c r="M529" i="9" s="1"/>
  <c r="R529" i="9" a="1"/>
  <c r="R529" i="9" s="1"/>
  <c r="Z529" i="9"/>
  <c r="AD529" i="9"/>
  <c r="BQ529" i="9" s="1"/>
  <c r="AE529" i="9"/>
  <c r="AF529" i="9"/>
  <c r="BC529" i="9" a="1"/>
  <c r="BC529" i="9" s="1"/>
  <c r="A530" i="9"/>
  <c r="F530" i="9"/>
  <c r="M530" i="9" a="1"/>
  <c r="M530" i="9" s="1"/>
  <c r="R530" i="9" a="1"/>
  <c r="R530" i="9" s="1"/>
  <c r="Z530" i="9"/>
  <c r="AD530" i="9"/>
  <c r="CC530" i="9" s="1"/>
  <c r="AE530" i="9"/>
  <c r="AF530" i="9"/>
  <c r="BA530" i="9" s="1"/>
  <c r="AI530" i="9"/>
  <c r="BC530" i="9" a="1"/>
  <c r="BC530" i="9" s="1"/>
  <c r="BD530" i="9"/>
  <c r="BI530" i="9"/>
  <c r="CG530" i="9"/>
  <c r="F531" i="9"/>
  <c r="M531" i="9" a="1"/>
  <c r="M531" i="9" s="1"/>
  <c r="R531" i="9" a="1"/>
  <c r="R531" i="9" s="1"/>
  <c r="Z531" i="9"/>
  <c r="AD531" i="9"/>
  <c r="AY531" i="9" s="1" a="1"/>
  <c r="AY531" i="9" s="1"/>
  <c r="AE531" i="9"/>
  <c r="AF531" i="9"/>
  <c r="BC531" i="9" a="1"/>
  <c r="BC531" i="9" s="1"/>
  <c r="CK531" i="9"/>
  <c r="F532" i="9"/>
  <c r="M532" i="9" a="1"/>
  <c r="M532" i="9" s="1"/>
  <c r="R532" i="9" a="1"/>
  <c r="R532" i="9" s="1"/>
  <c r="Z532" i="9"/>
  <c r="AD532" i="9"/>
  <c r="CK532" i="9" s="1"/>
  <c r="AE532" i="9"/>
  <c r="AF532" i="9"/>
  <c r="BB532" i="9" s="1"/>
  <c r="BC532" i="9" a="1"/>
  <c r="BC532" i="9" s="1"/>
  <c r="F533" i="9"/>
  <c r="M533" i="9" a="1"/>
  <c r="M533" i="9" s="1"/>
  <c r="R533" i="9" a="1"/>
  <c r="R533" i="9" s="1"/>
  <c r="Z533" i="9"/>
  <c r="AD533" i="9"/>
  <c r="CK533" i="9" s="1"/>
  <c r="AE533" i="9"/>
  <c r="AF533" i="9"/>
  <c r="BC533" i="9" a="1"/>
  <c r="BC533" i="9" s="1"/>
  <c r="CG533" i="9"/>
  <c r="F534" i="9"/>
  <c r="M534" i="9" a="1"/>
  <c r="M534" i="9" s="1"/>
  <c r="R534" i="9" a="1"/>
  <c r="R534" i="9" s="1"/>
  <c r="Z534" i="9"/>
  <c r="AD534" i="9"/>
  <c r="BQ534" i="9" s="1"/>
  <c r="AE534" i="9"/>
  <c r="AF534" i="9"/>
  <c r="BC534" i="9" a="1"/>
  <c r="BC534" i="9" s="1"/>
  <c r="F535" i="9"/>
  <c r="M535" i="9" a="1"/>
  <c r="M535" i="9" s="1"/>
  <c r="R535" i="9" a="1"/>
  <c r="R535" i="9" s="1"/>
  <c r="Z535" i="9"/>
  <c r="AD535" i="9"/>
  <c r="A535" i="9" s="1"/>
  <c r="AE535" i="9"/>
  <c r="AF535" i="9"/>
  <c r="BB535" i="9" s="1"/>
  <c r="AI535" i="9"/>
  <c r="BC535" i="9" a="1"/>
  <c r="BC535" i="9" s="1"/>
  <c r="BM535" i="9"/>
  <c r="A536" i="9"/>
  <c r="F536" i="9"/>
  <c r="M536" i="9" a="1"/>
  <c r="M536" i="9" s="1"/>
  <c r="R536" i="9" a="1"/>
  <c r="R536" i="9" s="1"/>
  <c r="Z536" i="9"/>
  <c r="AD536" i="9"/>
  <c r="BM536" i="9" s="1"/>
  <c r="AE536" i="9"/>
  <c r="AF536" i="9"/>
  <c r="AI536" i="9"/>
  <c r="AY536" i="9" a="1"/>
  <c r="AY536" i="9" s="1"/>
  <c r="BC536" i="9" a="1"/>
  <c r="BC536" i="9" s="1"/>
  <c r="BD536" i="9"/>
  <c r="BI536" i="9"/>
  <c r="BQ536" i="9"/>
  <c r="CG536" i="9"/>
  <c r="CK536" i="9"/>
  <c r="F537" i="9"/>
  <c r="M537" i="9" a="1"/>
  <c r="M537" i="9" s="1"/>
  <c r="R537" i="9" a="1"/>
  <c r="R537" i="9" s="1"/>
  <c r="Z537" i="9"/>
  <c r="AD537" i="9"/>
  <c r="BQ537" i="9" s="1"/>
  <c r="AE537" i="9"/>
  <c r="AF537" i="9"/>
  <c r="BA537" i="9" s="1"/>
  <c r="BC537" i="9" a="1"/>
  <c r="BC537" i="9" s="1"/>
  <c r="BI537" i="9"/>
  <c r="F538" i="9"/>
  <c r="M538" i="9" a="1"/>
  <c r="M538" i="9" s="1"/>
  <c r="R538" i="9" a="1"/>
  <c r="R538" i="9" s="1"/>
  <c r="Z538" i="9"/>
  <c r="AD538" i="9"/>
  <c r="AE538" i="9"/>
  <c r="AF538" i="9"/>
  <c r="BB538" i="9" s="1"/>
  <c r="BC538" i="9" a="1"/>
  <c r="BC538" i="9"/>
  <c r="F539" i="9"/>
  <c r="M539" i="9" a="1"/>
  <c r="M539" i="9" s="1"/>
  <c r="R539" i="9" a="1"/>
  <c r="R539" i="9" s="1"/>
  <c r="Z539" i="9"/>
  <c r="AD539" i="9"/>
  <c r="AY539" i="9" s="1" a="1"/>
  <c r="AY539" i="9" s="1"/>
  <c r="AE539" i="9"/>
  <c r="AF539" i="9"/>
  <c r="BB539" i="9" s="1"/>
  <c r="BC539" i="9" a="1"/>
  <c r="BC539" i="9" s="1"/>
  <c r="F540" i="9"/>
  <c r="M540" i="9" a="1"/>
  <c r="M540" i="9" s="1"/>
  <c r="R540" i="9" a="1"/>
  <c r="R540" i="9" s="1"/>
  <c r="Z540" i="9"/>
  <c r="AD540" i="9"/>
  <c r="AE540" i="9"/>
  <c r="AF540" i="9"/>
  <c r="BB540" i="9" s="1"/>
  <c r="BC540" i="9" a="1"/>
  <c r="BC540" i="9"/>
  <c r="F541" i="9"/>
  <c r="M541" i="9" a="1"/>
  <c r="M541" i="9" s="1"/>
  <c r="R541" i="9" a="1"/>
  <c r="R541" i="9" s="1"/>
  <c r="Z541" i="9"/>
  <c r="AD541" i="9"/>
  <c r="BQ541" i="9" s="1"/>
  <c r="AE541" i="9"/>
  <c r="AF541" i="9"/>
  <c r="BC541" i="9" a="1"/>
  <c r="BC541" i="9" s="1"/>
  <c r="BI541" i="9"/>
  <c r="F542" i="9"/>
  <c r="M542" i="9" a="1"/>
  <c r="M542" i="9" s="1"/>
  <c r="R542" i="9" a="1"/>
  <c r="R542" i="9" s="1"/>
  <c r="Z542" i="9"/>
  <c r="AD542" i="9"/>
  <c r="BI542" i="9" s="1"/>
  <c r="AE542" i="9"/>
  <c r="AF542" i="9"/>
  <c r="BC542" i="9" a="1"/>
  <c r="BC542" i="9" s="1"/>
  <c r="F543" i="9"/>
  <c r="M543" i="9" a="1"/>
  <c r="M543" i="9" s="1"/>
  <c r="R543" i="9" a="1"/>
  <c r="R543" i="9" s="1"/>
  <c r="Z543" i="9"/>
  <c r="AD543" i="9"/>
  <c r="AY543" i="9" s="1" a="1"/>
  <c r="AY543" i="9" s="1"/>
  <c r="AE543" i="9"/>
  <c r="AF543" i="9"/>
  <c r="BC543" i="9" a="1"/>
  <c r="BC543" i="9" s="1"/>
  <c r="BI543" i="9"/>
  <c r="F544" i="9"/>
  <c r="M544" i="9" a="1"/>
  <c r="M544" i="9" s="1"/>
  <c r="R544" i="9" a="1"/>
  <c r="R544" i="9" s="1"/>
  <c r="Z544" i="9"/>
  <c r="AD544" i="9"/>
  <c r="BM544" i="9" s="1"/>
  <c r="AE544" i="9"/>
  <c r="AF544" i="9"/>
  <c r="BC544" i="9" a="1"/>
  <c r="BC544" i="9" s="1"/>
  <c r="CK544" i="9"/>
  <c r="A545" i="9"/>
  <c r="F545" i="9"/>
  <c r="M545" i="9" a="1"/>
  <c r="M545" i="9" s="1"/>
  <c r="R545" i="9" a="1"/>
  <c r="R545" i="9" s="1"/>
  <c r="Z545" i="9"/>
  <c r="AD545" i="9"/>
  <c r="BQ545" i="9" s="1"/>
  <c r="AE545" i="9"/>
  <c r="AF545" i="9"/>
  <c r="AI545" i="9"/>
  <c r="BC545" i="9" a="1"/>
  <c r="BC545" i="9" s="1"/>
  <c r="BD545" i="9"/>
  <c r="CC545" i="9"/>
  <c r="CK545" i="9"/>
  <c r="F546" i="9"/>
  <c r="M546" i="9" a="1"/>
  <c r="M546" i="9" s="1"/>
  <c r="R546" i="9" a="1"/>
  <c r="R546" i="9" s="1"/>
  <c r="Z546" i="9"/>
  <c r="AD546" i="9"/>
  <c r="BI546" i="9" s="1"/>
  <c r="AE546" i="9"/>
  <c r="AF546" i="9"/>
  <c r="BB546" i="9" s="1"/>
  <c r="BC546" i="9" a="1"/>
  <c r="BC546" i="9" s="1"/>
  <c r="F547" i="9"/>
  <c r="M547" i="9" a="1"/>
  <c r="M547" i="9" s="1"/>
  <c r="R547" i="9" a="1"/>
  <c r="R547" i="9" s="1"/>
  <c r="Z547" i="9"/>
  <c r="AD547" i="9"/>
  <c r="BD547" i="9" s="1"/>
  <c r="AE547" i="9"/>
  <c r="AF547" i="9"/>
  <c r="BB547" i="9" s="1"/>
  <c r="BC547" i="9" a="1"/>
  <c r="BC547" i="9" s="1"/>
  <c r="F548" i="9"/>
  <c r="M548" i="9" a="1"/>
  <c r="M548" i="9" s="1"/>
  <c r="R548" i="9" a="1"/>
  <c r="R548" i="9" s="1"/>
  <c r="Z548" i="9"/>
  <c r="AD548" i="9"/>
  <c r="BI548" i="9" s="1"/>
  <c r="AE548" i="9"/>
  <c r="AF548" i="9"/>
  <c r="BB548" i="9" s="1"/>
  <c r="BC548" i="9" a="1"/>
  <c r="BC548" i="9" s="1"/>
  <c r="F549" i="9"/>
  <c r="M549" i="9" a="1"/>
  <c r="M549" i="9" s="1"/>
  <c r="R549" i="9" a="1"/>
  <c r="R549" i="9" s="1"/>
  <c r="Z549" i="9"/>
  <c r="AD549" i="9"/>
  <c r="BD549" i="9" s="1"/>
  <c r="AE549" i="9"/>
  <c r="AF549" i="9"/>
  <c r="BC549" i="9" a="1"/>
  <c r="BC549" i="9" s="1"/>
  <c r="F550" i="9"/>
  <c r="M550" i="9" a="1"/>
  <c r="M550" i="9" s="1"/>
  <c r="R550" i="9" a="1"/>
  <c r="R550" i="9" s="1"/>
  <c r="Z550" i="9"/>
  <c r="AD550" i="9"/>
  <c r="BQ550" i="9" s="1"/>
  <c r="AE550" i="9"/>
  <c r="AF550" i="9"/>
  <c r="BB550" i="9"/>
  <c r="BC550" i="9" a="1"/>
  <c r="BC550" i="9" s="1"/>
  <c r="BI550" i="9"/>
  <c r="F551" i="9"/>
  <c r="M551" i="9" a="1"/>
  <c r="M551" i="9" s="1"/>
  <c r="R551" i="9" a="1"/>
  <c r="R551" i="9" s="1"/>
  <c r="Z551" i="9"/>
  <c r="AD551" i="9"/>
  <c r="AE551" i="9"/>
  <c r="AF551" i="9"/>
  <c r="BC551" i="9" a="1"/>
  <c r="BC551" i="9" s="1"/>
  <c r="A552" i="9"/>
  <c r="F552" i="9"/>
  <c r="M552" i="9" a="1"/>
  <c r="M552" i="9" s="1"/>
  <c r="R552" i="9" a="1"/>
  <c r="R552" i="9" s="1"/>
  <c r="Z552" i="9"/>
  <c r="AD552" i="9"/>
  <c r="BM552" i="9" s="1"/>
  <c r="AE552" i="9"/>
  <c r="AF552" i="9"/>
  <c r="AI552" i="9"/>
  <c r="BC552" i="9" a="1"/>
  <c r="BC552" i="9" s="1"/>
  <c r="BD552" i="9"/>
  <c r="BQ552" i="9"/>
  <c r="BX552" i="9"/>
  <c r="CG552" i="9"/>
  <c r="CK552" i="9"/>
  <c r="F553" i="9"/>
  <c r="M553" i="9" a="1"/>
  <c r="M553" i="9" s="1"/>
  <c r="R553" i="9" a="1"/>
  <c r="R553" i="9" s="1"/>
  <c r="Z553" i="9"/>
  <c r="AD553" i="9"/>
  <c r="BD553" i="9" s="1"/>
  <c r="AE553" i="9"/>
  <c r="AF553" i="9"/>
  <c r="BC553" i="9" a="1"/>
  <c r="BC553" i="9" s="1"/>
  <c r="F554" i="9"/>
  <c r="M554" i="9" a="1"/>
  <c r="M554" i="9" s="1"/>
  <c r="R554" i="9" a="1"/>
  <c r="R554" i="9" s="1"/>
  <c r="Z554" i="9"/>
  <c r="AD554" i="9"/>
  <c r="BD554" i="9" s="1"/>
  <c r="AE554" i="9"/>
  <c r="AF554" i="9"/>
  <c r="BB554" i="9" s="1"/>
  <c r="BC554" i="9" a="1"/>
  <c r="BC554" i="9" s="1"/>
  <c r="F555" i="9"/>
  <c r="M555" i="9" a="1"/>
  <c r="M555" i="9" s="1"/>
  <c r="R555" i="9" a="1"/>
  <c r="R555" i="9" s="1"/>
  <c r="Z555" i="9"/>
  <c r="AD555" i="9"/>
  <c r="AE555" i="9"/>
  <c r="AF555" i="9"/>
  <c r="BB555" i="9" s="1"/>
  <c r="BC555" i="9" a="1"/>
  <c r="BC555" i="9" s="1"/>
  <c r="F556" i="9"/>
  <c r="M556" i="9" a="1"/>
  <c r="M556" i="9" s="1"/>
  <c r="R556" i="9" a="1"/>
  <c r="R556" i="9" s="1"/>
  <c r="Z556" i="9"/>
  <c r="AD556" i="9"/>
  <c r="BI556" i="9" s="1"/>
  <c r="AE556" i="9"/>
  <c r="AF556" i="9"/>
  <c r="BB556" i="9"/>
  <c r="BC556" i="9" a="1"/>
  <c r="BC556" i="9" s="1"/>
  <c r="F557" i="9"/>
  <c r="M557" i="9" a="1"/>
  <c r="M557" i="9" s="1"/>
  <c r="R557" i="9" a="1"/>
  <c r="R557" i="9" s="1"/>
  <c r="Z557" i="9"/>
  <c r="AD557" i="9"/>
  <c r="BX557" i="9" s="1"/>
  <c r="AE557" i="9"/>
  <c r="AF557" i="9"/>
  <c r="BC557" i="9" a="1"/>
  <c r="BC557" i="9"/>
  <c r="BM557" i="9"/>
  <c r="F558" i="9"/>
  <c r="M558" i="9" a="1"/>
  <c r="M558" i="9" s="1"/>
  <c r="R558" i="9" a="1"/>
  <c r="R558" i="9" s="1"/>
  <c r="Z558" i="9"/>
  <c r="AD558" i="9"/>
  <c r="CG558" i="9" s="1"/>
  <c r="AE558" i="9"/>
  <c r="AF558" i="9"/>
  <c r="BB558" i="9" s="1"/>
  <c r="BC558" i="9" a="1"/>
  <c r="BC558" i="9" s="1"/>
  <c r="F559" i="9"/>
  <c r="M559" i="9" a="1"/>
  <c r="M559" i="9" s="1"/>
  <c r="R559" i="9" a="1"/>
  <c r="R559" i="9" s="1"/>
  <c r="Z559" i="9"/>
  <c r="AD559" i="9"/>
  <c r="A559" i="9" s="1"/>
  <c r="AE559" i="9"/>
  <c r="AF559" i="9"/>
  <c r="AY559" i="9" a="1"/>
  <c r="AY559" i="9" s="1"/>
  <c r="AZ559" i="9" s="1"/>
  <c r="BC559" i="9" a="1"/>
  <c r="BC559" i="9" s="1"/>
  <c r="CG559" i="9"/>
  <c r="F560" i="9"/>
  <c r="M560" i="9" a="1"/>
  <c r="M560" i="9" s="1"/>
  <c r="R560" i="9" a="1"/>
  <c r="R560" i="9" s="1"/>
  <c r="Z560" i="9"/>
  <c r="AD560" i="9"/>
  <c r="AY560" i="9" s="1" a="1"/>
  <c r="AY560" i="9" s="1"/>
  <c r="AZ560" i="9" s="1"/>
  <c r="AE560" i="9"/>
  <c r="AF560" i="9"/>
  <c r="BC560" i="9" a="1"/>
  <c r="BC560" i="9" s="1"/>
  <c r="F561" i="9"/>
  <c r="M561" i="9" a="1"/>
  <c r="M561" i="9" s="1"/>
  <c r="R561" i="9" a="1"/>
  <c r="R561" i="9" s="1"/>
  <c r="Z561" i="9"/>
  <c r="AD561" i="9"/>
  <c r="BM561" i="9" s="1"/>
  <c r="AE561" i="9"/>
  <c r="AF561" i="9"/>
  <c r="BB561" i="9" s="1"/>
  <c r="AI561" i="9"/>
  <c r="BC561" i="9" a="1"/>
  <c r="BC561" i="9" s="1"/>
  <c r="BD561" i="9"/>
  <c r="CC561" i="9"/>
  <c r="F562" i="9"/>
  <c r="M562" i="9" a="1"/>
  <c r="M562" i="9" s="1"/>
  <c r="R562" i="9" a="1"/>
  <c r="R562" i="9" s="1"/>
  <c r="Z562" i="9"/>
  <c r="AD562" i="9"/>
  <c r="BX562" i="9" s="1"/>
  <c r="AE562" i="9"/>
  <c r="AF562" i="9"/>
  <c r="AI562" i="9"/>
  <c r="BC562" i="9" a="1"/>
  <c r="BC562" i="9" s="1"/>
  <c r="BM562" i="9"/>
  <c r="F563" i="9"/>
  <c r="M563" i="9" a="1"/>
  <c r="M563" i="9" s="1"/>
  <c r="R563" i="9" a="1"/>
  <c r="R563" i="9" s="1"/>
  <c r="Z563" i="9"/>
  <c r="AD563" i="9"/>
  <c r="AE563" i="9"/>
  <c r="AF563" i="9"/>
  <c r="BB563" i="9" s="1"/>
  <c r="BC563" i="9" a="1"/>
  <c r="BC563" i="9" s="1"/>
  <c r="F564" i="9"/>
  <c r="M564" i="9" a="1"/>
  <c r="M564" i="9" s="1"/>
  <c r="R564" i="9" a="1"/>
  <c r="R564" i="9" s="1"/>
  <c r="Z564" i="9"/>
  <c r="AD564" i="9"/>
  <c r="BM564" i="9" s="1"/>
  <c r="AE564" i="9"/>
  <c r="AF564" i="9"/>
  <c r="BC564" i="9" a="1"/>
  <c r="BC564" i="9" s="1"/>
  <c r="BI564" i="9"/>
  <c r="F565" i="9"/>
  <c r="M565" i="9" a="1"/>
  <c r="M565" i="9" s="1"/>
  <c r="R565" i="9" a="1"/>
  <c r="R565" i="9" s="1"/>
  <c r="Z565" i="9"/>
  <c r="AD565" i="9"/>
  <c r="AE565" i="9"/>
  <c r="AF565" i="9"/>
  <c r="BB565" i="9" s="1"/>
  <c r="BC565" i="9" a="1"/>
  <c r="BC565" i="9" s="1"/>
  <c r="BI565" i="9"/>
  <c r="BM565" i="9"/>
  <c r="F566" i="9"/>
  <c r="M566" i="9" a="1"/>
  <c r="M566" i="9" s="1"/>
  <c r="R566" i="9" a="1"/>
  <c r="R566" i="9" s="1"/>
  <c r="Z566" i="9"/>
  <c r="AD566" i="9"/>
  <c r="A566" i="9" s="1"/>
  <c r="AE566" i="9"/>
  <c r="AF566" i="9"/>
  <c r="BA566" i="9" s="1"/>
  <c r="AY566" i="9" a="1"/>
  <c r="AY566" i="9" s="1"/>
  <c r="AZ566" i="9" s="1"/>
  <c r="BC566" i="9" a="1"/>
  <c r="BC566" i="9" s="1"/>
  <c r="CC566" i="9"/>
  <c r="CK566" i="9"/>
  <c r="F567" i="9"/>
  <c r="M567" i="9" a="1"/>
  <c r="M567" i="9" s="1"/>
  <c r="R567" i="9" a="1"/>
  <c r="R567" i="9" s="1"/>
  <c r="Z567" i="9"/>
  <c r="AD567" i="9"/>
  <c r="BQ567" i="9" s="1"/>
  <c r="AE567" i="9"/>
  <c r="AF567" i="9"/>
  <c r="BC567" i="9" a="1"/>
  <c r="BC567" i="9" s="1"/>
  <c r="F568" i="9"/>
  <c r="M568" i="9" a="1"/>
  <c r="M568" i="9" s="1"/>
  <c r="R568" i="9" a="1"/>
  <c r="R568" i="9" s="1"/>
  <c r="Z568" i="9"/>
  <c r="AD568" i="9"/>
  <c r="AE568" i="9"/>
  <c r="AF568" i="9"/>
  <c r="BB568" i="9" s="1"/>
  <c r="BC568" i="9" a="1"/>
  <c r="BC568" i="9" s="1"/>
  <c r="BI568" i="9"/>
  <c r="F569" i="9"/>
  <c r="M569" i="9" a="1"/>
  <c r="M569" i="9" s="1"/>
  <c r="R569" i="9" a="1"/>
  <c r="R569" i="9" s="1"/>
  <c r="Z569" i="9"/>
  <c r="AD569" i="9"/>
  <c r="AE569" i="9"/>
  <c r="AF569" i="9"/>
  <c r="BB569" i="9" s="1"/>
  <c r="BC569" i="9" a="1"/>
  <c r="BC569" i="9" s="1"/>
  <c r="F570" i="9"/>
  <c r="M570" i="9" a="1"/>
  <c r="M570" i="9" s="1"/>
  <c r="R570" i="9" a="1"/>
  <c r="R570" i="9" s="1"/>
  <c r="Z570" i="9"/>
  <c r="AD570" i="9"/>
  <c r="BM570" i="9" s="1"/>
  <c r="AE570" i="9"/>
  <c r="AF570" i="9"/>
  <c r="BC570" i="9" a="1"/>
  <c r="BC570" i="9"/>
  <c r="BD570" i="9"/>
  <c r="BI570" i="9"/>
  <c r="BQ570" i="9"/>
  <c r="CG570" i="9"/>
  <c r="F571" i="9"/>
  <c r="M571" i="9" a="1"/>
  <c r="M571" i="9" s="1"/>
  <c r="R571" i="9" a="1"/>
  <c r="R571" i="9" s="1"/>
  <c r="Z571" i="9"/>
  <c r="AD571" i="9"/>
  <c r="BQ571" i="9" s="1"/>
  <c r="AE571" i="9"/>
  <c r="AF571" i="9"/>
  <c r="BA571" i="9" s="1"/>
  <c r="BC571" i="9" a="1"/>
  <c r="BC571" i="9" s="1"/>
  <c r="A572" i="9"/>
  <c r="F572" i="9"/>
  <c r="M572" i="9" a="1"/>
  <c r="M572" i="9" s="1"/>
  <c r="R572" i="9" a="1"/>
  <c r="R572" i="9" s="1"/>
  <c r="Z572" i="9"/>
  <c r="AD572" i="9"/>
  <c r="CC572" i="9" s="1"/>
  <c r="AE572" i="9"/>
  <c r="AF572" i="9"/>
  <c r="BA572" i="9" s="1"/>
  <c r="AI572" i="9"/>
  <c r="AY572" i="9" a="1"/>
  <c r="AY572" i="9" s="1"/>
  <c r="BC572" i="9" a="1"/>
  <c r="BC572" i="9" s="1"/>
  <c r="BD572" i="9"/>
  <c r="BI572" i="9"/>
  <c r="F573" i="9"/>
  <c r="M573" i="9" a="1"/>
  <c r="M573" i="9" s="1"/>
  <c r="R573" i="9" a="1"/>
  <c r="R573" i="9" s="1"/>
  <c r="Z573" i="9"/>
  <c r="AD573" i="9"/>
  <c r="AE573" i="9"/>
  <c r="AF573" i="9"/>
  <c r="BC573" i="9" a="1"/>
  <c r="BC573" i="9" s="1"/>
  <c r="A574" i="9"/>
  <c r="F574" i="9"/>
  <c r="M574" i="9" a="1"/>
  <c r="M574" i="9" s="1"/>
  <c r="R574" i="9" a="1"/>
  <c r="R574" i="9" s="1"/>
  <c r="Z574" i="9"/>
  <c r="AD574" i="9"/>
  <c r="CK574" i="9" s="1"/>
  <c r="AE574" i="9"/>
  <c r="AF574" i="9"/>
  <c r="BA574" i="9" s="1"/>
  <c r="BC574" i="9" a="1"/>
  <c r="BC574" i="9"/>
  <c r="BI574" i="9"/>
  <c r="BM574" i="9"/>
  <c r="F575" i="9"/>
  <c r="M575" i="9" a="1"/>
  <c r="M575" i="9" s="1"/>
  <c r="R575" i="9" a="1"/>
  <c r="R575" i="9" s="1"/>
  <c r="Z575" i="9"/>
  <c r="AD575" i="9"/>
  <c r="A575" i="9" s="1"/>
  <c r="AE575" i="9"/>
  <c r="AF575" i="9"/>
  <c r="BC575" i="9" a="1"/>
  <c r="BC575" i="9"/>
  <c r="F576" i="9"/>
  <c r="M576" i="9" a="1"/>
  <c r="M576" i="9" s="1"/>
  <c r="R576" i="9" a="1"/>
  <c r="R576" i="9" s="1"/>
  <c r="Z576" i="9"/>
  <c r="AD576" i="9"/>
  <c r="AE576" i="9"/>
  <c r="AF576" i="9"/>
  <c r="BB576" i="9" s="1"/>
  <c r="BC576" i="9" a="1"/>
  <c r="BC576" i="9" s="1"/>
  <c r="F577" i="9"/>
  <c r="M577" i="9" a="1"/>
  <c r="M577" i="9" s="1"/>
  <c r="R577" i="9" a="1"/>
  <c r="R577" i="9" s="1"/>
  <c r="Z577" i="9"/>
  <c r="AD577" i="9"/>
  <c r="AE577" i="9"/>
  <c r="AF577" i="9"/>
  <c r="BB577" i="9" s="1"/>
  <c r="BC577" i="9" a="1"/>
  <c r="BC577" i="9" s="1"/>
  <c r="F578" i="9"/>
  <c r="M578" i="9" a="1"/>
  <c r="M578" i="9" s="1"/>
  <c r="R578" i="9" a="1"/>
  <c r="R578" i="9" s="1"/>
  <c r="Z578" i="9"/>
  <c r="AD578" i="9"/>
  <c r="BM578" i="9" s="1"/>
  <c r="AE578" i="9"/>
  <c r="AF578" i="9"/>
  <c r="BC578" i="9" a="1"/>
  <c r="BC578" i="9" s="1"/>
  <c r="F579" i="9"/>
  <c r="M579" i="9" a="1"/>
  <c r="M579" i="9" s="1"/>
  <c r="R579" i="9" a="1"/>
  <c r="R579" i="9" s="1"/>
  <c r="Z579" i="9"/>
  <c r="AD579" i="9"/>
  <c r="BQ579" i="9" s="1"/>
  <c r="AE579" i="9"/>
  <c r="AF579" i="9"/>
  <c r="BA579" i="9" s="1"/>
  <c r="BC579" i="9" a="1"/>
  <c r="BC579" i="9" s="1"/>
  <c r="BD579" i="9"/>
  <c r="BI579" i="9"/>
  <c r="CK579" i="9"/>
  <c r="F580" i="9"/>
  <c r="M580" i="9" a="1"/>
  <c r="M580" i="9" s="1"/>
  <c r="R580" i="9" a="1"/>
  <c r="R580" i="9" s="1"/>
  <c r="Z580" i="9"/>
  <c r="AD580" i="9"/>
  <c r="CC580" i="9" s="1"/>
  <c r="AE580" i="9"/>
  <c r="AF580" i="9"/>
  <c r="BA580" i="9" s="1"/>
  <c r="BC580" i="9" a="1"/>
  <c r="BC580" i="9" s="1"/>
  <c r="BI580" i="9"/>
  <c r="F581" i="9"/>
  <c r="M581" i="9" a="1"/>
  <c r="M581" i="9" s="1"/>
  <c r="R581" i="9" a="1"/>
  <c r="R581" i="9" s="1"/>
  <c r="Z581" i="9"/>
  <c r="AD581" i="9"/>
  <c r="AI581" i="9" s="1"/>
  <c r="AE581" i="9"/>
  <c r="AF581" i="9"/>
  <c r="BA581" i="9" s="1"/>
  <c r="BC581" i="9" a="1"/>
  <c r="BC581" i="9" s="1"/>
  <c r="F582" i="9"/>
  <c r="M582" i="9" a="1"/>
  <c r="M582" i="9" s="1"/>
  <c r="R582" i="9" a="1"/>
  <c r="R582" i="9" s="1"/>
  <c r="Z582" i="9"/>
  <c r="AD582" i="9"/>
  <c r="CK582" i="9" s="1"/>
  <c r="AE582" i="9"/>
  <c r="AF582" i="9"/>
  <c r="BB582" i="9" s="1"/>
  <c r="BC582" i="9" a="1"/>
  <c r="BC582" i="9" s="1"/>
  <c r="F583" i="9"/>
  <c r="M583" i="9" a="1"/>
  <c r="M583" i="9" s="1"/>
  <c r="R583" i="9" a="1"/>
  <c r="R583" i="9" s="1"/>
  <c r="Z583" i="9"/>
  <c r="AD583" i="9"/>
  <c r="A583" i="9" s="1"/>
  <c r="AE583" i="9"/>
  <c r="AF583" i="9"/>
  <c r="BC583" i="9" a="1"/>
  <c r="BC583" i="9"/>
  <c r="BI583" i="9"/>
  <c r="F584" i="9"/>
  <c r="M584" i="9" a="1"/>
  <c r="M584" i="9" s="1"/>
  <c r="R584" i="9" a="1"/>
  <c r="R584" i="9" s="1"/>
  <c r="Z584" i="9"/>
  <c r="AD584" i="9"/>
  <c r="AE584" i="9"/>
  <c r="AF584" i="9"/>
  <c r="BB584" i="9" s="1"/>
  <c r="BC584" i="9" a="1"/>
  <c r="BC584" i="9" s="1"/>
  <c r="F585" i="9"/>
  <c r="M585" i="9" a="1"/>
  <c r="M585" i="9" s="1"/>
  <c r="R585" i="9" a="1"/>
  <c r="R585" i="9" s="1"/>
  <c r="Z585" i="9"/>
  <c r="AD585" i="9"/>
  <c r="CK585" i="9" s="1"/>
  <c r="AE585" i="9"/>
  <c r="AF585" i="9"/>
  <c r="BB585" i="9" s="1"/>
  <c r="BC585" i="9" a="1"/>
  <c r="BC585" i="9" s="1"/>
  <c r="BD585" i="9"/>
  <c r="BM585" i="9"/>
  <c r="F586" i="9"/>
  <c r="M586" i="9" a="1"/>
  <c r="M586" i="9" s="1"/>
  <c r="R586" i="9" a="1"/>
  <c r="R586" i="9" s="1"/>
  <c r="Z586" i="9"/>
  <c r="AD586" i="9"/>
  <c r="BM586" i="9" s="1"/>
  <c r="AE586" i="9"/>
  <c r="AF586" i="9"/>
  <c r="BC586" i="9" a="1"/>
  <c r="BC586" i="9" s="1"/>
  <c r="CG586" i="9"/>
  <c r="F587" i="9"/>
  <c r="M587" i="9" a="1"/>
  <c r="M587" i="9" s="1"/>
  <c r="R587" i="9" a="1"/>
  <c r="R587" i="9" s="1"/>
  <c r="Z587" i="9"/>
  <c r="AD587" i="9"/>
  <c r="BQ587" i="9" s="1"/>
  <c r="AE587" i="9"/>
  <c r="AF587" i="9"/>
  <c r="BB587" i="9" s="1"/>
  <c r="BC587" i="9" a="1"/>
  <c r="BC587" i="9" s="1"/>
  <c r="F588" i="9"/>
  <c r="M588" i="9" a="1"/>
  <c r="M588" i="9" s="1"/>
  <c r="R588" i="9" a="1"/>
  <c r="R588" i="9" s="1"/>
  <c r="Z588" i="9"/>
  <c r="AD588" i="9"/>
  <c r="CC588" i="9" s="1"/>
  <c r="AE588" i="9"/>
  <c r="AF588" i="9"/>
  <c r="BB588" i="9" s="1"/>
  <c r="BC588" i="9" a="1"/>
  <c r="BC588" i="9" s="1"/>
  <c r="F589" i="9"/>
  <c r="M589" i="9" a="1"/>
  <c r="M589" i="9" s="1"/>
  <c r="R589" i="9" a="1"/>
  <c r="R589" i="9" s="1"/>
  <c r="Z589" i="9"/>
  <c r="AD589" i="9"/>
  <c r="AI589" i="9" s="1"/>
  <c r="AE589" i="9"/>
  <c r="AF589" i="9"/>
  <c r="BB589" i="9" s="1"/>
  <c r="BC589" i="9" a="1"/>
  <c r="BC589" i="9" s="1"/>
  <c r="F590" i="9"/>
  <c r="M590" i="9" a="1"/>
  <c r="M590" i="9" s="1"/>
  <c r="R590" i="9" a="1"/>
  <c r="R590" i="9" s="1"/>
  <c r="Z590" i="9"/>
  <c r="AD590" i="9"/>
  <c r="CK590" i="9" s="1"/>
  <c r="AE590" i="9"/>
  <c r="AF590" i="9"/>
  <c r="BA590" i="9" s="1"/>
  <c r="BC590" i="9" a="1"/>
  <c r="BC590" i="9" s="1"/>
  <c r="F591" i="9"/>
  <c r="M591" i="9" a="1"/>
  <c r="M591" i="9" s="1"/>
  <c r="R591" i="9" a="1"/>
  <c r="R591" i="9" s="1"/>
  <c r="Z591" i="9"/>
  <c r="AD591" i="9"/>
  <c r="A591" i="9" s="1"/>
  <c r="AE591" i="9"/>
  <c r="AF591" i="9"/>
  <c r="BA591" i="9" s="1"/>
  <c r="BC591" i="9" a="1"/>
  <c r="BC591" i="9" s="1"/>
  <c r="BM591" i="9"/>
  <c r="BX591" i="9"/>
  <c r="F592" i="9"/>
  <c r="M592" i="9" a="1"/>
  <c r="M592" i="9" s="1"/>
  <c r="R592" i="9" a="1"/>
  <c r="R592" i="9" s="1"/>
  <c r="Z592" i="9"/>
  <c r="AD592" i="9"/>
  <c r="BI592" i="9" s="1"/>
  <c r="AE592" i="9"/>
  <c r="AF592" i="9"/>
  <c r="BB592" i="9" s="1"/>
  <c r="BC592" i="9" a="1"/>
  <c r="BC592" i="9" s="1"/>
  <c r="F593" i="9"/>
  <c r="M593" i="9" a="1"/>
  <c r="M593" i="9" s="1"/>
  <c r="R593" i="9" a="1"/>
  <c r="R593" i="9" s="1"/>
  <c r="Z593" i="9"/>
  <c r="AD593" i="9"/>
  <c r="BQ593" i="9" s="1"/>
  <c r="AE593" i="9"/>
  <c r="AF593" i="9"/>
  <c r="BB593" i="9" s="1"/>
  <c r="BC593" i="9" a="1"/>
  <c r="BC593" i="9" s="1"/>
  <c r="BM593" i="9"/>
  <c r="F594" i="9"/>
  <c r="M594" i="9" a="1"/>
  <c r="M594" i="9" s="1"/>
  <c r="R594" i="9" a="1"/>
  <c r="R594" i="9" s="1"/>
  <c r="Z594" i="9"/>
  <c r="AD594" i="9"/>
  <c r="AE594" i="9"/>
  <c r="AF594" i="9"/>
  <c r="BC594" i="9" a="1"/>
  <c r="BC594" i="9" s="1"/>
  <c r="F595" i="9"/>
  <c r="M595" i="9" a="1"/>
  <c r="M595" i="9" s="1"/>
  <c r="R595" i="9" a="1"/>
  <c r="R595" i="9" s="1"/>
  <c r="Z595" i="9"/>
  <c r="AD595" i="9"/>
  <c r="BQ595" i="9" s="1"/>
  <c r="AE595" i="9"/>
  <c r="AF595" i="9"/>
  <c r="BB595" i="9" s="1"/>
  <c r="BC595" i="9" a="1"/>
  <c r="BC595" i="9" s="1"/>
  <c r="BD595" i="9"/>
  <c r="CC595" i="9"/>
  <c r="F596" i="9"/>
  <c r="M596" i="9" a="1"/>
  <c r="M596" i="9" s="1"/>
  <c r="R596" i="9" a="1"/>
  <c r="R596" i="9" s="1"/>
  <c r="Z596" i="9"/>
  <c r="AD596" i="9"/>
  <c r="CC596" i="9" s="1"/>
  <c r="AE596" i="9"/>
  <c r="AF596" i="9"/>
  <c r="BB596" i="9" s="1"/>
  <c r="BC596" i="9" a="1"/>
  <c r="BC596" i="9" s="1"/>
  <c r="F597" i="9"/>
  <c r="M597" i="9" a="1"/>
  <c r="M597" i="9" s="1"/>
  <c r="R597" i="9" a="1"/>
  <c r="R597" i="9" s="1"/>
  <c r="Z597" i="9"/>
  <c r="AD597" i="9"/>
  <c r="AE597" i="9"/>
  <c r="AF597" i="9"/>
  <c r="BB597" i="9" s="1"/>
  <c r="BC597" i="9" a="1"/>
  <c r="BC597" i="9" s="1"/>
  <c r="F598" i="9"/>
  <c r="M598" i="9" a="1"/>
  <c r="M598" i="9" s="1"/>
  <c r="R598" i="9" a="1"/>
  <c r="R598" i="9" s="1"/>
  <c r="Z598" i="9"/>
  <c r="AD598" i="9"/>
  <c r="AE598" i="9"/>
  <c r="AF598" i="9"/>
  <c r="BC598" i="9" a="1"/>
  <c r="BC598" i="9" s="1"/>
  <c r="F599" i="9"/>
  <c r="M599" i="9" a="1"/>
  <c r="M599" i="9" s="1"/>
  <c r="R599" i="9" a="1"/>
  <c r="R599" i="9" s="1"/>
  <c r="Z599" i="9"/>
  <c r="AD599" i="9"/>
  <c r="A599" i="9" s="1"/>
  <c r="AE599" i="9"/>
  <c r="AF599" i="9"/>
  <c r="BC599" i="9" a="1"/>
  <c r="BC599" i="9" s="1"/>
  <c r="BM599" i="9"/>
  <c r="BX599" i="9"/>
  <c r="CG599" i="9"/>
  <c r="F600" i="9"/>
  <c r="M600" i="9" a="1"/>
  <c r="M600" i="9" s="1"/>
  <c r="R600" i="9" a="1"/>
  <c r="R600" i="9" s="1"/>
  <c r="Z600" i="9"/>
  <c r="AD600" i="9"/>
  <c r="AE600" i="9"/>
  <c r="AF600" i="9"/>
  <c r="BB600" i="9" s="1"/>
  <c r="BC600" i="9" a="1"/>
  <c r="BC600" i="9" s="1"/>
  <c r="F601" i="9"/>
  <c r="M601" i="9" a="1"/>
  <c r="M601" i="9" s="1"/>
  <c r="R601" i="9" a="1"/>
  <c r="R601" i="9" s="1"/>
  <c r="Z601" i="9"/>
  <c r="AD601" i="9"/>
  <c r="A601" i="9" s="1"/>
  <c r="AE601" i="9"/>
  <c r="AF601" i="9"/>
  <c r="BB601" i="9" s="1"/>
  <c r="BC601" i="9" a="1"/>
  <c r="BC601" i="9" s="1"/>
  <c r="BI601" i="9"/>
  <c r="BM601" i="9"/>
  <c r="BQ601" i="9"/>
  <c r="BX601" i="9"/>
  <c r="F602" i="9"/>
  <c r="M602" i="9" a="1"/>
  <c r="M602" i="9" s="1"/>
  <c r="R602" i="9" a="1"/>
  <c r="R602" i="9" s="1"/>
  <c r="Z602" i="9"/>
  <c r="AD602" i="9"/>
  <c r="AE602" i="9"/>
  <c r="AF602" i="9"/>
  <c r="BC602" i="9" a="1"/>
  <c r="BC602" i="9" s="1"/>
  <c r="F603" i="9"/>
  <c r="M603" i="9" a="1"/>
  <c r="M603" i="9" s="1"/>
  <c r="R603" i="9" a="1"/>
  <c r="R603" i="9" s="1"/>
  <c r="Z603" i="9"/>
  <c r="AD603" i="9"/>
  <c r="BQ603" i="9" s="1"/>
  <c r="AE603" i="9"/>
  <c r="AF603" i="9"/>
  <c r="BA603" i="9" s="1"/>
  <c r="BC603" i="9" a="1"/>
  <c r="BC603" i="9" s="1"/>
  <c r="F604" i="9"/>
  <c r="M604" i="9" a="1"/>
  <c r="M604" i="9" s="1"/>
  <c r="R604" i="9" a="1"/>
  <c r="R604" i="9" s="1"/>
  <c r="Z604" i="9"/>
  <c r="AD604" i="9"/>
  <c r="CC604" i="9" s="1"/>
  <c r="AE604" i="9"/>
  <c r="AF604" i="9"/>
  <c r="BC604" i="9" a="1"/>
  <c r="BC604" i="9"/>
  <c r="F605" i="9"/>
  <c r="M605" i="9" a="1"/>
  <c r="M605" i="9" s="1"/>
  <c r="R605" i="9" a="1"/>
  <c r="R605" i="9" s="1"/>
  <c r="Z605" i="9"/>
  <c r="AD605" i="9"/>
  <c r="AE605" i="9"/>
  <c r="AF605" i="9"/>
  <c r="BB605" i="9" s="1"/>
  <c r="BC605" i="9" a="1"/>
  <c r="BC605" i="9" s="1"/>
  <c r="F606" i="9"/>
  <c r="M606" i="9" a="1"/>
  <c r="M606" i="9" s="1"/>
  <c r="R606" i="9" a="1"/>
  <c r="R606" i="9" s="1"/>
  <c r="Z606" i="9"/>
  <c r="AD606" i="9"/>
  <c r="A606" i="9" s="1"/>
  <c r="AE606" i="9"/>
  <c r="AF606" i="9"/>
  <c r="BA606" i="9" s="1"/>
  <c r="BB606" i="9"/>
  <c r="BC606" i="9" a="1"/>
  <c r="BC606" i="9" s="1"/>
  <c r="BI606" i="9"/>
  <c r="F607" i="9"/>
  <c r="M607" i="9" a="1"/>
  <c r="M607" i="9" s="1"/>
  <c r="R607" i="9" a="1"/>
  <c r="R607" i="9" s="1"/>
  <c r="Z607" i="9"/>
  <c r="AD607" i="9"/>
  <c r="A607" i="9" s="1"/>
  <c r="AE607" i="9"/>
  <c r="AF607" i="9"/>
  <c r="BC607" i="9" a="1"/>
  <c r="BC607" i="9"/>
  <c r="F608" i="9"/>
  <c r="M608" i="9" a="1"/>
  <c r="M608" i="9" s="1"/>
  <c r="R608" i="9" a="1"/>
  <c r="R608" i="9" s="1"/>
  <c r="Z608" i="9"/>
  <c r="AD608" i="9"/>
  <c r="AE608" i="9"/>
  <c r="AF608" i="9"/>
  <c r="BB608" i="9" s="1"/>
  <c r="BC608" i="9" a="1"/>
  <c r="BC608" i="9" s="1"/>
  <c r="CC608" i="9"/>
  <c r="F609" i="9"/>
  <c r="M609" i="9" a="1"/>
  <c r="M609" i="9" s="1"/>
  <c r="R609" i="9" a="1"/>
  <c r="R609" i="9" s="1"/>
  <c r="Z609" i="9"/>
  <c r="AD609" i="9"/>
  <c r="CK609" i="9" s="1"/>
  <c r="AE609" i="9"/>
  <c r="AF609" i="9"/>
  <c r="BB609" i="9" s="1"/>
  <c r="BC609" i="9" a="1"/>
  <c r="BC609" i="9" s="1"/>
  <c r="A610" i="9"/>
  <c r="F610" i="9"/>
  <c r="M610" i="9" a="1"/>
  <c r="M610" i="9" s="1"/>
  <c r="R610" i="9" a="1"/>
  <c r="R610" i="9" s="1"/>
  <c r="Z610" i="9"/>
  <c r="AD610" i="9"/>
  <c r="BM610" i="9" s="1"/>
  <c r="AE610" i="9"/>
  <c r="AF610" i="9"/>
  <c r="AI610" i="9"/>
  <c r="BC610" i="9" a="1"/>
  <c r="BC610" i="9" s="1"/>
  <c r="CK610" i="9"/>
  <c r="F611" i="9"/>
  <c r="M611" i="9" a="1"/>
  <c r="M611" i="9" s="1"/>
  <c r="R611" i="9" a="1"/>
  <c r="R611" i="9" s="1"/>
  <c r="Z611" i="9"/>
  <c r="AD611" i="9"/>
  <c r="BQ611" i="9" s="1"/>
  <c r="AE611" i="9"/>
  <c r="AF611" i="9"/>
  <c r="BC611" i="9" a="1"/>
  <c r="BC611" i="9" s="1"/>
  <c r="BI611" i="9"/>
  <c r="F612" i="9"/>
  <c r="M612" i="9" a="1"/>
  <c r="M612" i="9" s="1"/>
  <c r="R612" i="9" a="1"/>
  <c r="R612" i="9" s="1"/>
  <c r="Z612" i="9"/>
  <c r="AD612" i="9"/>
  <c r="CC612" i="9" s="1"/>
  <c r="AE612" i="9"/>
  <c r="AF612" i="9"/>
  <c r="BB612" i="9" s="1"/>
  <c r="BC612" i="9" a="1"/>
  <c r="BC612" i="9"/>
  <c r="F613" i="9"/>
  <c r="M613" i="9" a="1"/>
  <c r="M613" i="9" s="1"/>
  <c r="R613" i="9" a="1"/>
  <c r="R613" i="9" s="1"/>
  <c r="Z613" i="9"/>
  <c r="AD613" i="9"/>
  <c r="BI613" i="9" s="1"/>
  <c r="AE613" i="9"/>
  <c r="AF613" i="9"/>
  <c r="BB613" i="9" s="1"/>
  <c r="BC613" i="9" a="1"/>
  <c r="BC613" i="9" s="1"/>
  <c r="F614" i="9"/>
  <c r="M614" i="9" a="1"/>
  <c r="M614" i="9" s="1"/>
  <c r="R614" i="9" a="1"/>
  <c r="R614" i="9" s="1"/>
  <c r="Z614" i="9"/>
  <c r="AD614" i="9"/>
  <c r="BM614" i="9" s="1"/>
  <c r="AE614" i="9"/>
  <c r="AF614" i="9"/>
  <c r="BA614" i="9" s="1"/>
  <c r="BC614" i="9" a="1"/>
  <c r="BC614" i="9" s="1"/>
  <c r="F615" i="9"/>
  <c r="M615" i="9" a="1"/>
  <c r="M615" i="9" s="1"/>
  <c r="R615" i="9" a="1"/>
  <c r="R615" i="9" s="1"/>
  <c r="Z615" i="9"/>
  <c r="AD615" i="9"/>
  <c r="A615" i="9" s="1"/>
  <c r="AE615" i="9"/>
  <c r="AF615" i="9"/>
  <c r="AY615" i="9" a="1"/>
  <c r="AY615" i="9" s="1"/>
  <c r="BC615" i="9" a="1"/>
  <c r="BC615" i="9" s="1"/>
  <c r="BX615" i="9"/>
  <c r="F616" i="9"/>
  <c r="M616" i="9" a="1"/>
  <c r="M616" i="9" s="1"/>
  <c r="R616" i="9" a="1"/>
  <c r="R616" i="9" s="1"/>
  <c r="Z616" i="9"/>
  <c r="AD616" i="9"/>
  <c r="BI616" i="9" s="1"/>
  <c r="AE616" i="9"/>
  <c r="AF616" i="9"/>
  <c r="BB616" i="9" s="1"/>
  <c r="BC616" i="9" a="1"/>
  <c r="BC616" i="9" s="1"/>
  <c r="A617" i="9"/>
  <c r="F617" i="9"/>
  <c r="M617" i="9" a="1"/>
  <c r="M617" i="9" s="1"/>
  <c r="R617" i="9" a="1"/>
  <c r="R617" i="9" s="1"/>
  <c r="Z617" i="9"/>
  <c r="AD617" i="9"/>
  <c r="CG617" i="9" s="1"/>
  <c r="AE617" i="9"/>
  <c r="AF617" i="9"/>
  <c r="BB617" i="9" s="1"/>
  <c r="BC617" i="9" a="1"/>
  <c r="BC617" i="9" s="1"/>
  <c r="F618" i="9"/>
  <c r="M618" i="9" a="1"/>
  <c r="M618" i="9" s="1"/>
  <c r="R618" i="9" a="1"/>
  <c r="R618" i="9" s="1"/>
  <c r="Z618" i="9"/>
  <c r="AD618" i="9"/>
  <c r="BM618" i="9" s="1"/>
  <c r="AE618" i="9"/>
  <c r="AF618" i="9"/>
  <c r="BC618" i="9" a="1"/>
  <c r="BC618" i="9" s="1"/>
  <c r="F619" i="9"/>
  <c r="M619" i="9" a="1"/>
  <c r="M619" i="9" s="1"/>
  <c r="R619" i="9" a="1"/>
  <c r="R619" i="9" s="1"/>
  <c r="Z619" i="9"/>
  <c r="AD619" i="9"/>
  <c r="BQ619" i="9" s="1"/>
  <c r="AE619" i="9"/>
  <c r="AF619" i="9"/>
  <c r="BB619" i="9" s="1"/>
  <c r="BC619" i="9" a="1"/>
  <c r="BC619" i="9" s="1"/>
  <c r="F620" i="9"/>
  <c r="M620" i="9" a="1"/>
  <c r="M620" i="9" s="1"/>
  <c r="R620" i="9" a="1"/>
  <c r="R620" i="9" s="1"/>
  <c r="Z620" i="9"/>
  <c r="AD620" i="9"/>
  <c r="AE620" i="9"/>
  <c r="AF620" i="9"/>
  <c r="BB620" i="9" s="1"/>
  <c r="BC620" i="9" a="1"/>
  <c r="BC620" i="9" s="1"/>
  <c r="F621" i="9"/>
  <c r="M621" i="9" a="1"/>
  <c r="M621" i="9" s="1"/>
  <c r="R621" i="9" a="1"/>
  <c r="R621" i="9" s="1"/>
  <c r="Z621" i="9"/>
  <c r="AD621" i="9"/>
  <c r="AI621" i="9" s="1"/>
  <c r="AE621" i="9"/>
  <c r="AF621" i="9"/>
  <c r="BA621" i="9" s="1"/>
  <c r="BC621" i="9" a="1"/>
  <c r="BC621" i="9" s="1"/>
  <c r="BD621" i="9"/>
  <c r="BI621" i="9"/>
  <c r="F622" i="9"/>
  <c r="M622" i="9" a="1"/>
  <c r="M622" i="9" s="1"/>
  <c r="R622" i="9" a="1"/>
  <c r="R622" i="9" s="1"/>
  <c r="Z622" i="9"/>
  <c r="AD622" i="9"/>
  <c r="A622" i="9" s="1"/>
  <c r="AE622" i="9"/>
  <c r="AF622" i="9"/>
  <c r="BB622" i="9" s="1"/>
  <c r="BC622" i="9" a="1"/>
  <c r="BC622" i="9" s="1"/>
  <c r="F623" i="9"/>
  <c r="M623" i="9" a="1"/>
  <c r="M623" i="9" s="1"/>
  <c r="R623" i="9" a="1"/>
  <c r="R623" i="9" s="1"/>
  <c r="Z623" i="9"/>
  <c r="AD623" i="9"/>
  <c r="A623" i="9" s="1"/>
  <c r="AE623" i="9"/>
  <c r="AF623" i="9"/>
  <c r="AI623" i="9"/>
  <c r="BC623" i="9" a="1"/>
  <c r="BC623" i="9" s="1"/>
  <c r="BD623" i="9"/>
  <c r="BI623" i="9"/>
  <c r="BM623" i="9"/>
  <c r="BQ623" i="9"/>
  <c r="BX623" i="9"/>
  <c r="CC623" i="9"/>
  <c r="CG623" i="9"/>
  <c r="CK623" i="9"/>
  <c r="F624" i="9"/>
  <c r="M624" i="9" a="1"/>
  <c r="M624" i="9" s="1"/>
  <c r="R624" i="9" a="1"/>
  <c r="R624" i="9" s="1"/>
  <c r="Z624" i="9"/>
  <c r="AD624" i="9"/>
  <c r="CG624" i="9" s="1"/>
  <c r="AE624" i="9"/>
  <c r="AF624" i="9"/>
  <c r="BB624" i="9" s="1"/>
  <c r="BC624" i="9" a="1"/>
  <c r="BC624" i="9" s="1"/>
  <c r="F625" i="9"/>
  <c r="M625" i="9" a="1"/>
  <c r="M625" i="9" s="1"/>
  <c r="R625" i="9" a="1"/>
  <c r="R625" i="9" s="1"/>
  <c r="Z625" i="9"/>
  <c r="AD625" i="9"/>
  <c r="AE625" i="9"/>
  <c r="AF625" i="9"/>
  <c r="BB625" i="9" s="1"/>
  <c r="BC625" i="9" a="1"/>
  <c r="BC625" i="9" s="1"/>
  <c r="F626" i="9"/>
  <c r="M626" i="9" a="1"/>
  <c r="M626" i="9" s="1"/>
  <c r="R626" i="9" a="1"/>
  <c r="R626" i="9" s="1"/>
  <c r="Z626" i="9"/>
  <c r="AD626" i="9"/>
  <c r="BM626" i="9" s="1"/>
  <c r="AE626" i="9"/>
  <c r="AF626" i="9"/>
  <c r="BC626" i="9" a="1"/>
  <c r="BC626" i="9" s="1"/>
  <c r="BI626" i="9"/>
  <c r="F627" i="9"/>
  <c r="M627" i="9" a="1"/>
  <c r="M627" i="9" s="1"/>
  <c r="R627" i="9" a="1"/>
  <c r="R627" i="9" s="1"/>
  <c r="Z627" i="9"/>
  <c r="AD627" i="9"/>
  <c r="BQ627" i="9" s="1"/>
  <c r="AE627" i="9"/>
  <c r="AF627" i="9"/>
  <c r="BB627" i="9" s="1"/>
  <c r="BC627" i="9" a="1"/>
  <c r="BC627" i="9" s="1"/>
  <c r="BI627" i="9"/>
  <c r="F628" i="9"/>
  <c r="M628" i="9" a="1"/>
  <c r="M628" i="9" s="1"/>
  <c r="R628" i="9" a="1"/>
  <c r="R628" i="9" s="1"/>
  <c r="Z628" i="9"/>
  <c r="AD628" i="9"/>
  <c r="AE628" i="9"/>
  <c r="AF628" i="9"/>
  <c r="BB628" i="9" s="1"/>
  <c r="BC628" i="9" a="1"/>
  <c r="BC628" i="9" s="1"/>
  <c r="F629" i="9"/>
  <c r="M629" i="9" a="1"/>
  <c r="M629" i="9" s="1"/>
  <c r="R629" i="9" a="1"/>
  <c r="R629" i="9" s="1"/>
  <c r="Z629" i="9"/>
  <c r="AD629" i="9"/>
  <c r="AE629" i="9"/>
  <c r="AF629" i="9"/>
  <c r="BA629" i="9" s="1"/>
  <c r="AI629" i="9"/>
  <c r="BC629" i="9" a="1"/>
  <c r="BC629" i="9" s="1"/>
  <c r="BD629" i="9"/>
  <c r="BM629" i="9"/>
  <c r="BX629" i="9"/>
  <c r="F630" i="9"/>
  <c r="M630" i="9" a="1"/>
  <c r="M630" i="9" s="1"/>
  <c r="R630" i="9" a="1"/>
  <c r="R630" i="9" s="1"/>
  <c r="Z630" i="9"/>
  <c r="AD630" i="9"/>
  <c r="BM630" i="9" s="1"/>
  <c r="AE630" i="9"/>
  <c r="AF630" i="9"/>
  <c r="BB630" i="9" s="1"/>
  <c r="BC630" i="9" a="1"/>
  <c r="BC630" i="9" s="1"/>
  <c r="BQ630" i="9"/>
  <c r="F631" i="9"/>
  <c r="M631" i="9" a="1"/>
  <c r="M631" i="9" s="1"/>
  <c r="R631" i="9" a="1"/>
  <c r="R631" i="9" s="1"/>
  <c r="Z631" i="9"/>
  <c r="AD631" i="9"/>
  <c r="A631" i="9" s="1"/>
  <c r="AE631" i="9"/>
  <c r="AF631" i="9"/>
  <c r="BB631" i="9" s="1"/>
  <c r="BC631" i="9" a="1"/>
  <c r="BC631" i="9" s="1"/>
  <c r="BI631" i="9"/>
  <c r="BQ631" i="9"/>
  <c r="F632" i="9"/>
  <c r="M632" i="9" a="1"/>
  <c r="M632" i="9" s="1"/>
  <c r="R632" i="9" a="1"/>
  <c r="R632" i="9" s="1"/>
  <c r="Z632" i="9"/>
  <c r="AD632" i="9"/>
  <c r="CG632" i="9" s="1"/>
  <c r="AE632" i="9"/>
  <c r="AF632" i="9"/>
  <c r="BC632" i="9" a="1"/>
  <c r="BC632" i="9" s="1"/>
  <c r="F633" i="9"/>
  <c r="M633" i="9" a="1"/>
  <c r="M633" i="9" s="1"/>
  <c r="R633" i="9" a="1"/>
  <c r="R633" i="9" s="1"/>
  <c r="Z633" i="9"/>
  <c r="AD633" i="9"/>
  <c r="AE633" i="9"/>
  <c r="AF633" i="9"/>
  <c r="BB633" i="9" s="1"/>
  <c r="BC633" i="9" a="1"/>
  <c r="BC633" i="9" s="1"/>
  <c r="CC633" i="9"/>
  <c r="CG633" i="9"/>
  <c r="F634" i="9"/>
  <c r="M634" i="9" a="1"/>
  <c r="M634" i="9" s="1"/>
  <c r="R634" i="9" a="1"/>
  <c r="R634" i="9" s="1"/>
  <c r="Z634" i="9"/>
  <c r="AD634" i="9"/>
  <c r="BD634" i="9" s="1"/>
  <c r="AE634" i="9"/>
  <c r="AF634" i="9"/>
  <c r="BB634" i="9" s="1"/>
  <c r="BC634" i="9" a="1"/>
  <c r="BC634" i="9" s="1"/>
  <c r="F635" i="9"/>
  <c r="M635" i="9" a="1"/>
  <c r="M635" i="9" s="1"/>
  <c r="R635" i="9" a="1"/>
  <c r="R635" i="9" s="1"/>
  <c r="Z635" i="9"/>
  <c r="AD635" i="9"/>
  <c r="AY635" i="9" s="1" a="1"/>
  <c r="AE635" i="9"/>
  <c r="AF635" i="9"/>
  <c r="AY635" i="9"/>
  <c r="AZ635" i="9" s="1"/>
  <c r="BC635" i="9" a="1"/>
  <c r="BC635" i="9" s="1"/>
  <c r="BQ635" i="9"/>
  <c r="CC635" i="9"/>
  <c r="CG635" i="9"/>
  <c r="F636" i="9"/>
  <c r="M636" i="9" a="1"/>
  <c r="M636" i="9" s="1"/>
  <c r="R636" i="9" a="1"/>
  <c r="R636" i="9" s="1"/>
  <c r="Z636" i="9"/>
  <c r="AD636" i="9"/>
  <c r="A636" i="9" s="1"/>
  <c r="AE636" i="9"/>
  <c r="AF636" i="9"/>
  <c r="BA636" i="9" s="1"/>
  <c r="AY636" i="9" a="1"/>
  <c r="AY636" i="9" s="1"/>
  <c r="BC636" i="9" a="1"/>
  <c r="BC636" i="9" s="1"/>
  <c r="BD636" i="9"/>
  <c r="BI636" i="9"/>
  <c r="BQ636" i="9"/>
  <c r="CC636" i="9"/>
  <c r="CG636" i="9"/>
  <c r="CK636" i="9"/>
  <c r="F637" i="9"/>
  <c r="M637" i="9" a="1"/>
  <c r="M637" i="9" s="1"/>
  <c r="R637" i="9" a="1"/>
  <c r="R637" i="9" s="1"/>
  <c r="Z637" i="9"/>
  <c r="AD637" i="9"/>
  <c r="AE637" i="9"/>
  <c r="AF637" i="9"/>
  <c r="BB637" i="9" s="1"/>
  <c r="BC637" i="9" a="1"/>
  <c r="BC637" i="9" s="1"/>
  <c r="F638" i="9"/>
  <c r="M638" i="9" a="1"/>
  <c r="M638" i="9" s="1"/>
  <c r="R638" i="9" a="1"/>
  <c r="R638" i="9" s="1"/>
  <c r="Z638" i="9"/>
  <c r="AD638" i="9"/>
  <c r="BI638" i="9" s="1"/>
  <c r="AE638" i="9"/>
  <c r="AF638" i="9"/>
  <c r="BB638" i="9" s="1"/>
  <c r="AY638" i="9" a="1"/>
  <c r="AY638" i="9" s="1"/>
  <c r="AZ638" i="9" s="1"/>
  <c r="BC638" i="9" a="1"/>
  <c r="BC638" i="9" s="1"/>
  <c r="BD638" i="9"/>
  <c r="BM638" i="9"/>
  <c r="BQ638" i="9"/>
  <c r="BX638" i="9"/>
  <c r="CG638" i="9"/>
  <c r="CK638" i="9"/>
  <c r="F639" i="9"/>
  <c r="M639" i="9" a="1"/>
  <c r="M639" i="9" s="1"/>
  <c r="R639" i="9" a="1"/>
  <c r="R639" i="9" s="1"/>
  <c r="Z639" i="9"/>
  <c r="AD639" i="9"/>
  <c r="AY639" i="9" s="1" a="1"/>
  <c r="AY639" i="9" s="1"/>
  <c r="AE639" i="9"/>
  <c r="AF639" i="9"/>
  <c r="BC639" i="9" a="1"/>
  <c r="BC639" i="9" s="1"/>
  <c r="F640" i="9"/>
  <c r="M640" i="9" a="1"/>
  <c r="M640" i="9" s="1"/>
  <c r="R640" i="9" a="1"/>
  <c r="R640" i="9" s="1"/>
  <c r="Z640" i="9"/>
  <c r="AD640" i="9"/>
  <c r="AE640" i="9"/>
  <c r="AF640" i="9"/>
  <c r="BB640" i="9" s="1"/>
  <c r="BC640" i="9" a="1"/>
  <c r="BC640" i="9" s="1"/>
  <c r="F641" i="9"/>
  <c r="M641" i="9" a="1"/>
  <c r="M641" i="9" s="1"/>
  <c r="R641" i="9" a="1"/>
  <c r="R641" i="9" s="1"/>
  <c r="Z641" i="9"/>
  <c r="AD641" i="9"/>
  <c r="A641" i="9" s="1"/>
  <c r="AE641" i="9"/>
  <c r="AF641" i="9"/>
  <c r="BB641" i="9" s="1"/>
  <c r="BC641" i="9" a="1"/>
  <c r="BC641" i="9" s="1"/>
  <c r="BD641" i="9"/>
  <c r="CG641" i="9"/>
  <c r="F642" i="9"/>
  <c r="M642" i="9" a="1"/>
  <c r="M642" i="9" s="1"/>
  <c r="R642" i="9" a="1"/>
  <c r="R642" i="9" s="1"/>
  <c r="Z642" i="9"/>
  <c r="AD642" i="9"/>
  <c r="AI642" i="9" s="1"/>
  <c r="AE642" i="9"/>
  <c r="AF642" i="9"/>
  <c r="BC642" i="9" a="1"/>
  <c r="BC642" i="9" s="1"/>
  <c r="F643" i="9"/>
  <c r="M643" i="9" a="1"/>
  <c r="M643" i="9" s="1"/>
  <c r="R643" i="9" a="1"/>
  <c r="R643" i="9" s="1"/>
  <c r="Z643" i="9"/>
  <c r="AD643" i="9"/>
  <c r="CK643" i="9" s="1"/>
  <c r="AE643" i="9"/>
  <c r="AF643" i="9"/>
  <c r="BB643" i="9" s="1"/>
  <c r="BC643" i="9" a="1"/>
  <c r="BC643" i="9" s="1"/>
  <c r="BI643" i="9"/>
  <c r="BM643" i="9"/>
  <c r="F644" i="9"/>
  <c r="M644" i="9" a="1"/>
  <c r="M644" i="9" s="1"/>
  <c r="R644" i="9" a="1"/>
  <c r="R644" i="9" s="1"/>
  <c r="Z644" i="9"/>
  <c r="AD644" i="9"/>
  <c r="A644" i="9" s="1"/>
  <c r="AE644" i="9"/>
  <c r="AF644" i="9"/>
  <c r="BA644" i="9" s="1"/>
  <c r="BC644" i="9" a="1"/>
  <c r="BC644" i="9" s="1"/>
  <c r="BI644" i="9"/>
  <c r="BQ644" i="9"/>
  <c r="CG644" i="9"/>
  <c r="F645" i="9"/>
  <c r="M645" i="9" a="1"/>
  <c r="M645" i="9" s="1"/>
  <c r="R645" i="9" a="1"/>
  <c r="R645" i="9" s="1"/>
  <c r="Z645" i="9"/>
  <c r="AD645" i="9"/>
  <c r="BI645" i="9" s="1"/>
  <c r="AE645" i="9"/>
  <c r="AF645" i="9"/>
  <c r="BB645" i="9"/>
  <c r="BC645" i="9" a="1"/>
  <c r="BC645" i="9" s="1"/>
  <c r="F646" i="9"/>
  <c r="M646" i="9" a="1"/>
  <c r="M646" i="9" s="1"/>
  <c r="R646" i="9" a="1"/>
  <c r="R646" i="9" s="1"/>
  <c r="Z646" i="9"/>
  <c r="AD646" i="9"/>
  <c r="CC646" i="9" s="1"/>
  <c r="AE646" i="9"/>
  <c r="AF646" i="9"/>
  <c r="BB646" i="9" s="1"/>
  <c r="BC646" i="9" a="1"/>
  <c r="BC646" i="9" s="1"/>
  <c r="F647" i="9"/>
  <c r="M647" i="9" a="1"/>
  <c r="M647" i="9" s="1"/>
  <c r="R647" i="9" a="1"/>
  <c r="R647" i="9" s="1"/>
  <c r="Z647" i="9"/>
  <c r="AD647" i="9"/>
  <c r="AY647" i="9" s="1" a="1"/>
  <c r="AY647" i="9" s="1"/>
  <c r="AE647" i="9"/>
  <c r="AF647" i="9"/>
  <c r="BC647" i="9" a="1"/>
  <c r="BC647" i="9" s="1"/>
  <c r="BQ647" i="9"/>
  <c r="CG647" i="9"/>
  <c r="F648" i="9"/>
  <c r="M648" i="9" a="1"/>
  <c r="M648" i="9" s="1"/>
  <c r="R648" i="9" a="1"/>
  <c r="R648" i="9" s="1"/>
  <c r="Z648" i="9"/>
  <c r="AD648" i="9"/>
  <c r="BI648" i="9" s="1"/>
  <c r="AE648" i="9"/>
  <c r="AF648" i="9"/>
  <c r="BB648" i="9" s="1"/>
  <c r="BC648" i="9" a="1"/>
  <c r="BC648" i="9" s="1"/>
  <c r="F649" i="9"/>
  <c r="M649" i="9" a="1"/>
  <c r="M649" i="9" s="1"/>
  <c r="R649" i="9" a="1"/>
  <c r="R649" i="9" s="1"/>
  <c r="Z649" i="9"/>
  <c r="AD649" i="9"/>
  <c r="A649" i="9" s="1"/>
  <c r="AE649" i="9"/>
  <c r="AF649" i="9"/>
  <c r="AY649" i="9" a="1"/>
  <c r="AY649" i="9" s="1"/>
  <c r="BC649" i="9" a="1"/>
  <c r="BC649" i="9" s="1"/>
  <c r="CG649" i="9"/>
  <c r="F650" i="9"/>
  <c r="M650" i="9" a="1"/>
  <c r="M650" i="9" s="1"/>
  <c r="R650" i="9" a="1"/>
  <c r="R650" i="9" s="1"/>
  <c r="Z650" i="9"/>
  <c r="AD650" i="9"/>
  <c r="AI650" i="9" s="1"/>
  <c r="AE650" i="9"/>
  <c r="AF650" i="9"/>
  <c r="BC650" i="9" a="1"/>
  <c r="BC650" i="9" s="1"/>
  <c r="BI650" i="9"/>
  <c r="F651" i="9"/>
  <c r="M651" i="9" a="1"/>
  <c r="M651" i="9" s="1"/>
  <c r="R651" i="9" a="1"/>
  <c r="R651" i="9" s="1"/>
  <c r="Z651" i="9"/>
  <c r="AD651" i="9"/>
  <c r="CK651" i="9" s="1"/>
  <c r="AE651" i="9"/>
  <c r="AF651" i="9"/>
  <c r="BC651" i="9" a="1"/>
  <c r="BC651" i="9" s="1"/>
  <c r="BI651" i="9"/>
  <c r="BQ651" i="9"/>
  <c r="BX651" i="9"/>
  <c r="CG651" i="9"/>
  <c r="F652" i="9"/>
  <c r="M652" i="9" a="1"/>
  <c r="M652" i="9" s="1"/>
  <c r="R652" i="9" a="1"/>
  <c r="R652" i="9" s="1"/>
  <c r="Z652" i="9"/>
  <c r="AD652" i="9"/>
  <c r="A652" i="9" s="1"/>
  <c r="AE652" i="9"/>
  <c r="AF652" i="9"/>
  <c r="BC652" i="9" a="1"/>
  <c r="BC652" i="9" s="1"/>
  <c r="BI652" i="9"/>
  <c r="BX652" i="9"/>
  <c r="F653" i="9"/>
  <c r="M653" i="9" a="1"/>
  <c r="M653" i="9" s="1"/>
  <c r="R653" i="9" a="1"/>
  <c r="R653" i="9" s="1"/>
  <c r="Z653" i="9"/>
  <c r="AD653" i="9"/>
  <c r="BI653" i="9" s="1"/>
  <c r="AE653" i="9"/>
  <c r="AF653" i="9"/>
  <c r="BB653" i="9" s="1"/>
  <c r="BC653" i="9" a="1"/>
  <c r="BC653" i="9" s="1"/>
  <c r="F654" i="9"/>
  <c r="M654" i="9" a="1"/>
  <c r="M654" i="9" s="1"/>
  <c r="R654" i="9" a="1"/>
  <c r="R654" i="9" s="1"/>
  <c r="Z654" i="9"/>
  <c r="AD654" i="9"/>
  <c r="BI654" i="9" s="1"/>
  <c r="AE654" i="9"/>
  <c r="AF654" i="9"/>
  <c r="BB654" i="9" s="1"/>
  <c r="BC654" i="9" a="1"/>
  <c r="BC654" i="9" s="1"/>
  <c r="CG654" i="9"/>
  <c r="F655" i="9"/>
  <c r="M655" i="9" a="1"/>
  <c r="M655" i="9" s="1"/>
  <c r="R655" i="9" a="1"/>
  <c r="R655" i="9" s="1"/>
  <c r="Z655" i="9"/>
  <c r="AD655" i="9"/>
  <c r="AE655" i="9"/>
  <c r="AF655" i="9"/>
  <c r="BC655" i="9" a="1"/>
  <c r="BC655" i="9" s="1"/>
  <c r="F656" i="9"/>
  <c r="M656" i="9" a="1"/>
  <c r="M656" i="9" s="1"/>
  <c r="R656" i="9" a="1"/>
  <c r="R656" i="9" s="1"/>
  <c r="Z656" i="9"/>
  <c r="AD656" i="9"/>
  <c r="CC656" i="9" s="1"/>
  <c r="AE656" i="9"/>
  <c r="AF656" i="9"/>
  <c r="BC656" i="9" a="1"/>
  <c r="BC656" i="9" s="1"/>
  <c r="F657" i="9"/>
  <c r="M657" i="9" a="1"/>
  <c r="M657" i="9" s="1"/>
  <c r="R657" i="9" a="1"/>
  <c r="R657" i="9" s="1"/>
  <c r="Z657" i="9"/>
  <c r="AD657" i="9"/>
  <c r="AE657" i="9"/>
  <c r="AF657" i="9"/>
  <c r="BB657" i="9" s="1"/>
  <c r="BC657" i="9" a="1"/>
  <c r="BC657" i="9" s="1"/>
  <c r="F658" i="9"/>
  <c r="M658" i="9" a="1"/>
  <c r="M658" i="9" s="1"/>
  <c r="R658" i="9" a="1"/>
  <c r="R658" i="9" s="1"/>
  <c r="Z658" i="9"/>
  <c r="AD658" i="9"/>
  <c r="AI658" i="9" s="1"/>
  <c r="AE658" i="9"/>
  <c r="AF658" i="9"/>
  <c r="BC658" i="9" a="1"/>
  <c r="BC658" i="9"/>
  <c r="CK658" i="9"/>
  <c r="F659" i="9"/>
  <c r="M659" i="9" a="1"/>
  <c r="M659" i="9" s="1"/>
  <c r="R659" i="9" a="1"/>
  <c r="R659" i="9" s="1"/>
  <c r="Z659" i="9"/>
  <c r="AD659" i="9"/>
  <c r="CK659" i="9" s="1"/>
  <c r="AE659" i="9"/>
  <c r="AF659" i="9"/>
  <c r="BB659" i="9" s="1"/>
  <c r="AY659" i="9" a="1"/>
  <c r="AY659" i="9" s="1"/>
  <c r="AZ659" i="9" s="1"/>
  <c r="BC659" i="9" a="1"/>
  <c r="BC659" i="9" s="1"/>
  <c r="F660" i="9"/>
  <c r="M660" i="9" a="1"/>
  <c r="M660" i="9" s="1"/>
  <c r="R660" i="9" a="1"/>
  <c r="R660" i="9" s="1"/>
  <c r="Z660" i="9"/>
  <c r="AD660" i="9"/>
  <c r="A660" i="9" s="1"/>
  <c r="AE660" i="9"/>
  <c r="AF660" i="9"/>
  <c r="BC660" i="9" a="1"/>
  <c r="BC660" i="9" s="1"/>
  <c r="F661" i="9"/>
  <c r="M661" i="9" a="1"/>
  <c r="M661" i="9" s="1"/>
  <c r="R661" i="9" a="1"/>
  <c r="R661" i="9" s="1"/>
  <c r="Z661" i="9"/>
  <c r="AD661" i="9"/>
  <c r="BI661" i="9" s="1"/>
  <c r="AE661" i="9"/>
  <c r="AF661" i="9"/>
  <c r="BB661" i="9" s="1"/>
  <c r="BC661" i="9" a="1"/>
  <c r="BC661" i="9" s="1"/>
  <c r="F662" i="9"/>
  <c r="M662" i="9" a="1"/>
  <c r="M662" i="9" s="1"/>
  <c r="R662" i="9" a="1"/>
  <c r="R662" i="9" s="1"/>
  <c r="Z662" i="9"/>
  <c r="AD662" i="9"/>
  <c r="BD662" i="9" s="1"/>
  <c r="AE662" i="9"/>
  <c r="AF662" i="9"/>
  <c r="BB662" i="9" s="1"/>
  <c r="AY662" i="9" a="1"/>
  <c r="AY662" i="9" s="1"/>
  <c r="AZ662" i="9" s="1"/>
  <c r="BC662" i="9" a="1"/>
  <c r="BC662" i="9" s="1"/>
  <c r="BI662" i="9"/>
  <c r="BQ662" i="9"/>
  <c r="BX662" i="9"/>
  <c r="CC662" i="9"/>
  <c r="CG662" i="9"/>
  <c r="CK662" i="9"/>
  <c r="F663" i="9"/>
  <c r="M663" i="9" a="1"/>
  <c r="M663" i="9" s="1"/>
  <c r="R663" i="9" a="1"/>
  <c r="R663" i="9" s="1"/>
  <c r="Z663" i="9"/>
  <c r="AD663" i="9"/>
  <c r="AY663" i="9" s="1" a="1"/>
  <c r="AY663" i="9" s="1"/>
  <c r="AE663" i="9"/>
  <c r="AF663" i="9"/>
  <c r="BC663" i="9" a="1"/>
  <c r="BC663" i="9" s="1"/>
  <c r="CK663" i="9"/>
  <c r="F664" i="9"/>
  <c r="M664" i="9" a="1"/>
  <c r="M664" i="9" s="1"/>
  <c r="R664" i="9" a="1"/>
  <c r="R664" i="9" s="1"/>
  <c r="Z664" i="9"/>
  <c r="AD664" i="9"/>
  <c r="AE664" i="9"/>
  <c r="AF664" i="9"/>
  <c r="BB664" i="9" s="1"/>
  <c r="BC664" i="9" a="1"/>
  <c r="BC664" i="9" s="1"/>
  <c r="F665" i="9"/>
  <c r="M665" i="9" a="1"/>
  <c r="M665" i="9" s="1"/>
  <c r="R665" i="9" a="1"/>
  <c r="R665" i="9" s="1"/>
  <c r="Z665" i="9"/>
  <c r="AD665" i="9"/>
  <c r="A665" i="9" s="1"/>
  <c r="AE665" i="9"/>
  <c r="AF665" i="9"/>
  <c r="BB665" i="9" s="1"/>
  <c r="AI665" i="9"/>
  <c r="BC665" i="9" a="1"/>
  <c r="BC665" i="9" s="1"/>
  <c r="BM665" i="9"/>
  <c r="F666" i="9"/>
  <c r="M666" i="9" a="1"/>
  <c r="M666" i="9" s="1"/>
  <c r="R666" i="9" a="1"/>
  <c r="R666" i="9" s="1"/>
  <c r="Z666" i="9"/>
  <c r="AD666" i="9"/>
  <c r="CK666" i="9" s="1"/>
  <c r="AE666" i="9"/>
  <c r="AF666" i="9"/>
  <c r="BC666" i="9" a="1"/>
  <c r="BC666" i="9" s="1"/>
  <c r="F667" i="9"/>
  <c r="M667" i="9" a="1"/>
  <c r="M667" i="9" s="1"/>
  <c r="R667" i="9" a="1"/>
  <c r="R667" i="9" s="1"/>
  <c r="Z667" i="9"/>
  <c r="AD667" i="9"/>
  <c r="CK667" i="9" s="1"/>
  <c r="AE667" i="9"/>
  <c r="AF667" i="9"/>
  <c r="BB667" i="9" s="1"/>
  <c r="BC667" i="9" a="1"/>
  <c r="BC667" i="9" s="1"/>
  <c r="F668" i="9"/>
  <c r="M668" i="9" a="1"/>
  <c r="M668" i="9" s="1"/>
  <c r="R668" i="9" a="1"/>
  <c r="R668" i="9" s="1"/>
  <c r="Z668" i="9"/>
  <c r="AD668" i="9"/>
  <c r="A668" i="9" s="1"/>
  <c r="AE668" i="9"/>
  <c r="AF668" i="9"/>
  <c r="BB668" i="9" s="1"/>
  <c r="BC668" i="9" a="1"/>
  <c r="BC668" i="9" s="1"/>
  <c r="CG668" i="9"/>
  <c r="F669" i="9"/>
  <c r="M669" i="9" a="1"/>
  <c r="M669" i="9" s="1"/>
  <c r="R669" i="9" a="1"/>
  <c r="R669" i="9" s="1"/>
  <c r="Z669" i="9"/>
  <c r="AD669" i="9"/>
  <c r="AY669" i="9" s="1" a="1"/>
  <c r="AY669" i="9" s="1"/>
  <c r="AE669" i="9"/>
  <c r="AF669" i="9"/>
  <c r="BB669" i="9" s="1"/>
  <c r="BC669" i="9" a="1"/>
  <c r="BC669" i="9" s="1"/>
  <c r="CK669" i="9"/>
  <c r="F670" i="9"/>
  <c r="M670" i="9" a="1"/>
  <c r="M670" i="9" s="1"/>
  <c r="R670" i="9" a="1"/>
  <c r="R670" i="9" s="1"/>
  <c r="Z670" i="9"/>
  <c r="AD670" i="9"/>
  <c r="AY670" i="9" s="1" a="1"/>
  <c r="AY670" i="9" s="1"/>
  <c r="AZ670" i="9" s="1"/>
  <c r="AE670" i="9"/>
  <c r="AF670" i="9"/>
  <c r="BB670" i="9" s="1"/>
  <c r="BC670" i="9" a="1"/>
  <c r="BC670" i="9" s="1"/>
  <c r="BD670" i="9"/>
  <c r="F671" i="9"/>
  <c r="M671" i="9" a="1"/>
  <c r="M671" i="9" s="1"/>
  <c r="R671" i="9" a="1"/>
  <c r="R671" i="9" s="1"/>
  <c r="Z671" i="9"/>
  <c r="AD671" i="9"/>
  <c r="AE671" i="9"/>
  <c r="AF671" i="9"/>
  <c r="BC671" i="9" a="1"/>
  <c r="BC671" i="9" s="1"/>
  <c r="CG671" i="9"/>
  <c r="F672" i="9"/>
  <c r="M672" i="9" a="1"/>
  <c r="M672" i="9" s="1"/>
  <c r="R672" i="9" a="1"/>
  <c r="R672" i="9" s="1"/>
  <c r="Z672" i="9"/>
  <c r="AD672" i="9"/>
  <c r="BD672" i="9" s="1"/>
  <c r="AE672" i="9"/>
  <c r="AF672" i="9"/>
  <c r="BB672" i="9"/>
  <c r="BC672" i="9" a="1"/>
  <c r="BC672" i="9" s="1"/>
  <c r="F673" i="9"/>
  <c r="M673" i="9" a="1"/>
  <c r="M673" i="9" s="1"/>
  <c r="R673" i="9" a="1"/>
  <c r="R673" i="9" s="1"/>
  <c r="Z673" i="9"/>
  <c r="AD673" i="9"/>
  <c r="BI673" i="9" s="1"/>
  <c r="AE673" i="9"/>
  <c r="AF673" i="9"/>
  <c r="BA673" i="9" s="1"/>
  <c r="BC673" i="9" a="1"/>
  <c r="BC673" i="9" s="1"/>
  <c r="F674" i="9"/>
  <c r="M674" i="9" a="1"/>
  <c r="M674" i="9" s="1"/>
  <c r="R674" i="9" a="1"/>
  <c r="R674" i="9" s="1"/>
  <c r="Z674" i="9"/>
  <c r="AD674" i="9"/>
  <c r="BX674" i="9" s="1"/>
  <c r="AE674" i="9"/>
  <c r="AF674" i="9"/>
  <c r="BA674" i="9" s="1"/>
  <c r="BC674" i="9" a="1"/>
  <c r="BC674" i="9" s="1"/>
  <c r="F675" i="9"/>
  <c r="M675" i="9" a="1"/>
  <c r="M675" i="9" s="1"/>
  <c r="R675" i="9" a="1"/>
  <c r="R675" i="9" s="1"/>
  <c r="Z675" i="9"/>
  <c r="AD675" i="9"/>
  <c r="CK675" i="9" s="1"/>
  <c r="AE675" i="9"/>
  <c r="AF675" i="9"/>
  <c r="BB675" i="9" s="1"/>
  <c r="BC675" i="9" a="1"/>
  <c r="BC675" i="9" s="1"/>
  <c r="BI675" i="9"/>
  <c r="BM675" i="9"/>
  <c r="BQ675" i="9"/>
  <c r="BX675" i="9"/>
  <c r="F676" i="9"/>
  <c r="M676" i="9" a="1"/>
  <c r="M676" i="9" s="1"/>
  <c r="R676" i="9" a="1"/>
  <c r="R676" i="9" s="1"/>
  <c r="Z676" i="9"/>
  <c r="AD676" i="9"/>
  <c r="A676" i="9" s="1"/>
  <c r="AE676" i="9"/>
  <c r="AF676" i="9"/>
  <c r="BB676" i="9" s="1"/>
  <c r="AY676" i="9" a="1"/>
  <c r="AY676" i="9" s="1"/>
  <c r="BC676" i="9" a="1"/>
  <c r="BC676" i="9" s="1"/>
  <c r="BD676" i="9"/>
  <c r="BI676" i="9"/>
  <c r="BQ676" i="9"/>
  <c r="CC676" i="9"/>
  <c r="CG676" i="9"/>
  <c r="CK676" i="9"/>
  <c r="F677" i="9"/>
  <c r="M677" i="9" a="1"/>
  <c r="M677" i="9" s="1"/>
  <c r="R677" i="9" a="1"/>
  <c r="R677" i="9" s="1"/>
  <c r="Z677" i="9"/>
  <c r="AD677" i="9"/>
  <c r="CK677" i="9" s="1"/>
  <c r="AE677" i="9"/>
  <c r="AF677" i="9"/>
  <c r="BA677" i="9" s="1"/>
  <c r="BC677" i="9" a="1"/>
  <c r="BC677" i="9" s="1"/>
  <c r="F678" i="9"/>
  <c r="M678" i="9" a="1"/>
  <c r="M678" i="9" s="1"/>
  <c r="R678" i="9" a="1"/>
  <c r="R678" i="9" s="1"/>
  <c r="Z678" i="9"/>
  <c r="AD678" i="9"/>
  <c r="A678" i="9" s="1"/>
  <c r="AE678" i="9"/>
  <c r="AF678" i="9"/>
  <c r="BB678" i="9" s="1"/>
  <c r="BC678" i="9" a="1"/>
  <c r="BC678" i="9" s="1"/>
  <c r="F679" i="9"/>
  <c r="M679" i="9" a="1"/>
  <c r="M679" i="9" s="1"/>
  <c r="R679" i="9" a="1"/>
  <c r="R679" i="9" s="1"/>
  <c r="Z679" i="9"/>
  <c r="AD679" i="9"/>
  <c r="BX679" i="9" s="1"/>
  <c r="AE679" i="9"/>
  <c r="AF679" i="9"/>
  <c r="BB679" i="9" s="1"/>
  <c r="BC679" i="9" a="1"/>
  <c r="BC679" i="9" s="1"/>
  <c r="F680" i="9"/>
  <c r="M680" i="9" a="1"/>
  <c r="M680" i="9" s="1"/>
  <c r="R680" i="9" a="1"/>
  <c r="R680" i="9" s="1"/>
  <c r="Z680" i="9"/>
  <c r="AD680" i="9"/>
  <c r="AI680" i="9" s="1"/>
  <c r="AE680" i="9"/>
  <c r="AF680" i="9"/>
  <c r="BA680" i="9" s="1"/>
  <c r="BC680" i="9" a="1"/>
  <c r="BC680" i="9" s="1"/>
  <c r="CC680" i="9"/>
  <c r="F681" i="9"/>
  <c r="M681" i="9" a="1"/>
  <c r="M681" i="9" s="1"/>
  <c r="R681" i="9" a="1"/>
  <c r="R681" i="9" s="1"/>
  <c r="Z681" i="9"/>
  <c r="AD681" i="9"/>
  <c r="BM681" i="9" s="1"/>
  <c r="AE681" i="9"/>
  <c r="AF681" i="9"/>
  <c r="BA681" i="9" s="1"/>
  <c r="BC681" i="9" a="1"/>
  <c r="BC681" i="9" s="1"/>
  <c r="BD681" i="9"/>
  <c r="BQ681" i="9"/>
  <c r="F682" i="9"/>
  <c r="M682" i="9" a="1"/>
  <c r="M682" i="9" s="1"/>
  <c r="R682" i="9" a="1"/>
  <c r="R682" i="9" s="1"/>
  <c r="Z682" i="9"/>
  <c r="AD682" i="9"/>
  <c r="BD682" i="9" s="1"/>
  <c r="AE682" i="9"/>
  <c r="AF682" i="9"/>
  <c r="BB682" i="9" s="1"/>
  <c r="BC682" i="9" a="1"/>
  <c r="BC682" i="9" s="1"/>
  <c r="F683" i="9"/>
  <c r="M683" i="9" a="1"/>
  <c r="M683" i="9" s="1"/>
  <c r="R683" i="9" a="1"/>
  <c r="R683" i="9" s="1"/>
  <c r="Z683" i="9"/>
  <c r="AD683" i="9"/>
  <c r="CG683" i="9" s="1"/>
  <c r="AE683" i="9"/>
  <c r="AF683" i="9"/>
  <c r="BB683" i="9" s="1"/>
  <c r="BC683" i="9" a="1"/>
  <c r="BC683" i="9" s="1"/>
  <c r="F684" i="9"/>
  <c r="M684" i="9" a="1"/>
  <c r="M684" i="9" s="1"/>
  <c r="R684" i="9" a="1"/>
  <c r="R684" i="9" s="1"/>
  <c r="Z684" i="9"/>
  <c r="AD684" i="9"/>
  <c r="AE684" i="9"/>
  <c r="AF684" i="9"/>
  <c r="BB684" i="9" s="1"/>
  <c r="BC684" i="9" a="1"/>
  <c r="BC684" i="9" s="1"/>
  <c r="F685" i="9"/>
  <c r="M685" i="9" a="1"/>
  <c r="M685" i="9" s="1"/>
  <c r="R685" i="9" a="1"/>
  <c r="R685" i="9" s="1"/>
  <c r="Z685" i="9"/>
  <c r="AD685" i="9"/>
  <c r="A685" i="9" s="1"/>
  <c r="AE685" i="9"/>
  <c r="AF685" i="9"/>
  <c r="BB685" i="9" s="1"/>
  <c r="BC685" i="9" a="1"/>
  <c r="BC685" i="9" s="1"/>
  <c r="F686" i="9"/>
  <c r="M686" i="9" a="1"/>
  <c r="M686" i="9" s="1"/>
  <c r="R686" i="9" a="1"/>
  <c r="R686" i="9" s="1"/>
  <c r="Z686" i="9"/>
  <c r="AD686" i="9"/>
  <c r="BI686" i="9" s="1"/>
  <c r="AE686" i="9"/>
  <c r="AF686" i="9"/>
  <c r="BB686" i="9" s="1"/>
  <c r="AI686" i="9"/>
  <c r="BC686" i="9" a="1"/>
  <c r="BC686" i="9" s="1"/>
  <c r="F687" i="9"/>
  <c r="M687" i="9" a="1"/>
  <c r="M687" i="9" s="1"/>
  <c r="R687" i="9" a="1"/>
  <c r="R687" i="9" s="1"/>
  <c r="Z687" i="9"/>
  <c r="AD687" i="9"/>
  <c r="AY687" i="9" s="1" a="1"/>
  <c r="AY687" i="9" s="1"/>
  <c r="AE687" i="9"/>
  <c r="AF687" i="9"/>
  <c r="BC687" i="9" a="1"/>
  <c r="BC687" i="9" s="1"/>
  <c r="F688" i="9"/>
  <c r="M688" i="9" a="1"/>
  <c r="M688" i="9" s="1"/>
  <c r="R688" i="9" a="1"/>
  <c r="R688" i="9" s="1"/>
  <c r="Z688" i="9"/>
  <c r="AD688" i="9"/>
  <c r="BD688" i="9" s="1"/>
  <c r="AE688" i="9"/>
  <c r="AF688" i="9"/>
  <c r="AI688" i="9"/>
  <c r="BB688" i="9"/>
  <c r="BC688" i="9" a="1"/>
  <c r="BC688" i="9" s="1"/>
  <c r="CK688" i="9"/>
  <c r="F689" i="9"/>
  <c r="M689" i="9" a="1"/>
  <c r="M689" i="9" s="1"/>
  <c r="R689" i="9" a="1"/>
  <c r="R689" i="9" s="1"/>
  <c r="Z689" i="9"/>
  <c r="AD689" i="9"/>
  <c r="AY689" i="9" s="1" a="1"/>
  <c r="AY689" i="9" s="1"/>
  <c r="AE689" i="9"/>
  <c r="AF689" i="9"/>
  <c r="BB689" i="9" s="1"/>
  <c r="BC689" i="9" a="1"/>
  <c r="BC689" i="9" s="1"/>
  <c r="F690" i="9"/>
  <c r="M690" i="9" a="1"/>
  <c r="M690" i="9" s="1"/>
  <c r="R690" i="9" a="1"/>
  <c r="R690" i="9" s="1"/>
  <c r="Z690" i="9"/>
  <c r="AD690" i="9"/>
  <c r="BM690" i="9" s="1"/>
  <c r="AE690" i="9"/>
  <c r="AF690" i="9"/>
  <c r="BB690" i="9" s="1"/>
  <c r="BC690" i="9" a="1"/>
  <c r="BC690" i="9"/>
  <c r="F691" i="9"/>
  <c r="M691" i="9" a="1"/>
  <c r="M691" i="9" s="1"/>
  <c r="R691" i="9" a="1"/>
  <c r="R691" i="9" s="1"/>
  <c r="Z691" i="9"/>
  <c r="AD691" i="9"/>
  <c r="BQ691" i="9" s="1"/>
  <c r="AE691" i="9"/>
  <c r="AF691" i="9"/>
  <c r="BA691" i="9" s="1"/>
  <c r="BB691" i="9"/>
  <c r="BC691" i="9" a="1"/>
  <c r="BC691" i="9" s="1"/>
  <c r="BI691" i="9"/>
  <c r="F692" i="9"/>
  <c r="M692" i="9" a="1"/>
  <c r="M692" i="9" s="1"/>
  <c r="R692" i="9" a="1"/>
  <c r="R692" i="9" s="1"/>
  <c r="Z692" i="9"/>
  <c r="AD692" i="9"/>
  <c r="CC692" i="9" s="1"/>
  <c r="AE692" i="9"/>
  <c r="AF692" i="9"/>
  <c r="BC692" i="9" a="1"/>
  <c r="BC692" i="9" s="1"/>
  <c r="F693" i="9"/>
  <c r="M693" i="9" a="1"/>
  <c r="M693" i="9" s="1"/>
  <c r="R693" i="9" a="1"/>
  <c r="R693" i="9" s="1"/>
  <c r="Z693" i="9"/>
  <c r="AD693" i="9"/>
  <c r="AY693" i="9" s="1" a="1"/>
  <c r="AY693" i="9" s="1"/>
  <c r="AE693" i="9"/>
  <c r="AF693" i="9"/>
  <c r="BA693" i="9" s="1"/>
  <c r="BC693" i="9" a="1"/>
  <c r="BC693" i="9" s="1"/>
  <c r="F694" i="9"/>
  <c r="M694" i="9" a="1"/>
  <c r="M694" i="9" s="1"/>
  <c r="R694" i="9" a="1"/>
  <c r="R694" i="9" s="1"/>
  <c r="Z694" i="9"/>
  <c r="AD694" i="9"/>
  <c r="BD694" i="9" s="1"/>
  <c r="AE694" i="9"/>
  <c r="AF694" i="9"/>
  <c r="BB694" i="9" s="1"/>
  <c r="BC694" i="9" a="1"/>
  <c r="BC694" i="9" s="1"/>
  <c r="F695" i="9"/>
  <c r="M695" i="9" a="1"/>
  <c r="M695" i="9" s="1"/>
  <c r="R695" i="9" a="1"/>
  <c r="R695" i="9" s="1"/>
  <c r="Z695" i="9"/>
  <c r="AD695" i="9"/>
  <c r="AE695" i="9"/>
  <c r="AF695" i="9"/>
  <c r="BC695" i="9" a="1"/>
  <c r="BC695" i="9" s="1"/>
  <c r="F696" i="9"/>
  <c r="M696" i="9" a="1"/>
  <c r="M696" i="9" s="1"/>
  <c r="R696" i="9" a="1"/>
  <c r="R696" i="9" s="1"/>
  <c r="Z696" i="9"/>
  <c r="AD696" i="9"/>
  <c r="AE696" i="9"/>
  <c r="AF696" i="9"/>
  <c r="BC696" i="9" a="1"/>
  <c r="BC696" i="9" s="1"/>
  <c r="A697" i="9"/>
  <c r="F697" i="9"/>
  <c r="M697" i="9" a="1"/>
  <c r="M697" i="9" s="1"/>
  <c r="R697" i="9" a="1"/>
  <c r="R697" i="9" s="1"/>
  <c r="Z697" i="9"/>
  <c r="AD697" i="9"/>
  <c r="BQ697" i="9" s="1"/>
  <c r="AE697" i="9"/>
  <c r="AF697" i="9"/>
  <c r="BB697" i="9" s="1"/>
  <c r="AY697" i="9" a="1"/>
  <c r="AY697" i="9" s="1"/>
  <c r="BC697" i="9" a="1"/>
  <c r="BC697" i="9" s="1"/>
  <c r="BD697" i="9"/>
  <c r="BI697" i="9"/>
  <c r="BM697" i="9"/>
  <c r="BX697" i="9"/>
  <c r="CG697" i="9"/>
  <c r="CK697" i="9"/>
  <c r="F698" i="9"/>
  <c r="M698" i="9" a="1"/>
  <c r="M698" i="9" s="1"/>
  <c r="R698" i="9" a="1"/>
  <c r="R698" i="9" s="1"/>
  <c r="Z698" i="9"/>
  <c r="AD698" i="9"/>
  <c r="BM698" i="9" s="1"/>
  <c r="AE698" i="9"/>
  <c r="AF698" i="9"/>
  <c r="BB698" i="9" s="1"/>
  <c r="BC698" i="9" a="1"/>
  <c r="BC698" i="9" s="1"/>
  <c r="BI698" i="9"/>
  <c r="F699" i="9"/>
  <c r="M699" i="9" a="1"/>
  <c r="M699" i="9" s="1"/>
  <c r="R699" i="9" a="1"/>
  <c r="R699" i="9" s="1"/>
  <c r="Z699" i="9"/>
  <c r="AD699" i="9"/>
  <c r="AE699" i="9"/>
  <c r="AF699" i="9"/>
  <c r="BB699" i="9"/>
  <c r="BC699" i="9" a="1"/>
  <c r="BC699" i="9" s="1"/>
  <c r="F700" i="9"/>
  <c r="M700" i="9" a="1"/>
  <c r="M700" i="9" s="1"/>
  <c r="R700" i="9" a="1"/>
  <c r="R700" i="9" s="1"/>
  <c r="Z700" i="9"/>
  <c r="AD700" i="9"/>
  <c r="AE700" i="9"/>
  <c r="AF700" i="9"/>
  <c r="BC700" i="9" a="1"/>
  <c r="BC700" i="9" s="1"/>
  <c r="F701" i="9"/>
  <c r="M701" i="9" a="1"/>
  <c r="M701" i="9" s="1"/>
  <c r="R701" i="9" a="1"/>
  <c r="R701" i="9" s="1"/>
  <c r="Z701" i="9"/>
  <c r="AD701" i="9"/>
  <c r="BD701" i="9" s="1"/>
  <c r="AE701" i="9"/>
  <c r="AF701" i="9"/>
  <c r="BC701" i="9" a="1"/>
  <c r="BC701" i="9" s="1"/>
  <c r="F702" i="9"/>
  <c r="M702" i="9" a="1"/>
  <c r="M702" i="9" s="1"/>
  <c r="R702" i="9" a="1"/>
  <c r="R702" i="9" s="1"/>
  <c r="Z702" i="9"/>
  <c r="AD702" i="9"/>
  <c r="AI702" i="9" s="1"/>
  <c r="AE702" i="9"/>
  <c r="AF702" i="9"/>
  <c r="BB702" i="9" s="1"/>
  <c r="BC702" i="9" a="1"/>
  <c r="BC702" i="9" s="1"/>
  <c r="F703" i="9"/>
  <c r="M703" i="9" a="1"/>
  <c r="M703" i="9" s="1"/>
  <c r="R703" i="9" a="1"/>
  <c r="R703" i="9" s="1"/>
  <c r="Z703" i="9"/>
  <c r="AD703" i="9"/>
  <c r="AE703" i="9"/>
  <c r="AF703" i="9"/>
  <c r="BB703" i="9" s="1"/>
  <c r="BC703" i="9" a="1"/>
  <c r="BC703" i="9" s="1"/>
  <c r="F704" i="9"/>
  <c r="M704" i="9" a="1"/>
  <c r="M704" i="9" s="1"/>
  <c r="R704" i="9" a="1"/>
  <c r="R704" i="9" s="1"/>
  <c r="Z704" i="9"/>
  <c r="AD704" i="9"/>
  <c r="AI704" i="9" s="1"/>
  <c r="AE704" i="9"/>
  <c r="AF704" i="9"/>
  <c r="BC704" i="9" a="1"/>
  <c r="BC704" i="9" s="1"/>
  <c r="CC704" i="9"/>
  <c r="F705" i="9"/>
  <c r="M705" i="9" a="1"/>
  <c r="M705" i="9" s="1"/>
  <c r="R705" i="9" a="1"/>
  <c r="R705" i="9" s="1"/>
  <c r="Z705" i="9"/>
  <c r="AD705" i="9"/>
  <c r="BM705" i="9" s="1"/>
  <c r="AE705" i="9"/>
  <c r="AF705" i="9"/>
  <c r="BB705" i="9" s="1"/>
  <c r="BC705" i="9" a="1"/>
  <c r="BC705" i="9" s="1"/>
  <c r="CC705" i="9"/>
  <c r="F706" i="9"/>
  <c r="M706" i="9" a="1"/>
  <c r="M706" i="9" s="1"/>
  <c r="R706" i="9" a="1"/>
  <c r="R706" i="9" s="1"/>
  <c r="Z706" i="9"/>
  <c r="AD706" i="9"/>
  <c r="BI706" i="9" s="1"/>
  <c r="AE706" i="9"/>
  <c r="AF706" i="9"/>
  <c r="BA706" i="9" s="1"/>
  <c r="BC706" i="9" a="1"/>
  <c r="BC706" i="9" s="1"/>
  <c r="F707" i="9"/>
  <c r="M707" i="9" a="1"/>
  <c r="M707" i="9" s="1"/>
  <c r="R707" i="9" a="1"/>
  <c r="R707" i="9" s="1"/>
  <c r="Z707" i="9"/>
  <c r="AD707" i="9"/>
  <c r="BQ707" i="9" s="1"/>
  <c r="AE707" i="9"/>
  <c r="AF707" i="9"/>
  <c r="BC707" i="9" a="1"/>
  <c r="BC707" i="9" s="1"/>
  <c r="F708" i="9"/>
  <c r="M708" i="9" a="1"/>
  <c r="M708" i="9" s="1"/>
  <c r="R708" i="9" a="1"/>
  <c r="R708" i="9" s="1"/>
  <c r="Z708" i="9"/>
  <c r="AD708" i="9"/>
  <c r="BD708" i="9" s="1"/>
  <c r="AE708" i="9"/>
  <c r="AF708" i="9"/>
  <c r="BA708" i="9" s="1"/>
  <c r="BC708" i="9" a="1"/>
  <c r="BC708" i="9" s="1"/>
  <c r="BX708" i="9"/>
  <c r="CG708" i="9"/>
  <c r="F709" i="9"/>
  <c r="M709" i="9" a="1"/>
  <c r="M709" i="9" s="1"/>
  <c r="R709" i="9" a="1"/>
  <c r="R709" i="9" s="1"/>
  <c r="Z709" i="9"/>
  <c r="AD709" i="9"/>
  <c r="AE709" i="9"/>
  <c r="AF709" i="9"/>
  <c r="BA709" i="9" s="1"/>
  <c r="BC709" i="9" a="1"/>
  <c r="BC709" i="9" s="1"/>
  <c r="BD709" i="9"/>
  <c r="BI709" i="9"/>
  <c r="BM709" i="9"/>
  <c r="BX709" i="9"/>
  <c r="CG709" i="9"/>
  <c r="CK709" i="9"/>
  <c r="F710" i="9"/>
  <c r="M710" i="9" a="1"/>
  <c r="M710" i="9" s="1"/>
  <c r="R710" i="9" a="1"/>
  <c r="R710" i="9" s="1"/>
  <c r="Z710" i="9"/>
  <c r="AD710" i="9"/>
  <c r="AI710" i="9" s="1"/>
  <c r="AE710" i="9"/>
  <c r="AF710" i="9"/>
  <c r="BB710" i="9" s="1"/>
  <c r="BC710" i="9" a="1"/>
  <c r="BC710" i="9" s="1"/>
  <c r="CC710" i="9"/>
  <c r="CK710" i="9"/>
  <c r="F711" i="9"/>
  <c r="M711" i="9" a="1"/>
  <c r="M711" i="9" s="1"/>
  <c r="R711" i="9" a="1"/>
  <c r="R711" i="9" s="1"/>
  <c r="Z711" i="9"/>
  <c r="AD711" i="9"/>
  <c r="CG711" i="9" s="1"/>
  <c r="AE711" i="9"/>
  <c r="AF711" i="9"/>
  <c r="BC711" i="9" a="1"/>
  <c r="BC711" i="9" s="1"/>
  <c r="A712" i="9"/>
  <c r="F712" i="9"/>
  <c r="M712" i="9" a="1"/>
  <c r="M712" i="9" s="1"/>
  <c r="R712" i="9" a="1"/>
  <c r="R712" i="9" s="1"/>
  <c r="Z712" i="9"/>
  <c r="AD712" i="9"/>
  <c r="AI712" i="9" s="1"/>
  <c r="AE712" i="9"/>
  <c r="AF712" i="9"/>
  <c r="BA712" i="9" s="1"/>
  <c r="BC712" i="9" a="1"/>
  <c r="BC712" i="9" s="1"/>
  <c r="BI712" i="9"/>
  <c r="CK712" i="9"/>
  <c r="F713" i="9"/>
  <c r="M713" i="9" a="1"/>
  <c r="M713" i="9" s="1"/>
  <c r="R713" i="9" a="1"/>
  <c r="R713" i="9" s="1"/>
  <c r="Z713" i="9"/>
  <c r="AD713" i="9"/>
  <c r="BI713" i="9" s="1"/>
  <c r="AE713" i="9"/>
  <c r="AF713" i="9"/>
  <c r="BB713" i="9" s="1"/>
  <c r="BC713" i="9" a="1"/>
  <c r="BC713" i="9" s="1"/>
  <c r="BM713" i="9"/>
  <c r="F714" i="9"/>
  <c r="M714" i="9" a="1"/>
  <c r="M714" i="9" s="1"/>
  <c r="R714" i="9" a="1"/>
  <c r="R714" i="9" s="1"/>
  <c r="Z714" i="9"/>
  <c r="AD714" i="9"/>
  <c r="BD714" i="9" s="1"/>
  <c r="AE714" i="9"/>
  <c r="AF714" i="9"/>
  <c r="BB714" i="9" s="1"/>
  <c r="BC714" i="9" a="1"/>
  <c r="BC714" i="9" s="1"/>
  <c r="F715" i="9"/>
  <c r="M715" i="9" a="1"/>
  <c r="M715" i="9" s="1"/>
  <c r="R715" i="9" a="1"/>
  <c r="R715" i="9" s="1"/>
  <c r="Z715" i="9"/>
  <c r="AD715" i="9"/>
  <c r="AE715" i="9"/>
  <c r="AF715" i="9"/>
  <c r="BA715" i="9" s="1"/>
  <c r="BC715" i="9" a="1"/>
  <c r="BC715" i="9" s="1"/>
  <c r="F716" i="9"/>
  <c r="M716" i="9" a="1"/>
  <c r="M716" i="9" s="1"/>
  <c r="R716" i="9" a="1"/>
  <c r="R716" i="9" s="1"/>
  <c r="Z716" i="9"/>
  <c r="AD716" i="9"/>
  <c r="CC716" i="9" s="1"/>
  <c r="AE716" i="9"/>
  <c r="AF716" i="9"/>
  <c r="BA716" i="9" s="1"/>
  <c r="BC716" i="9" a="1"/>
  <c r="BC716" i="9" s="1"/>
  <c r="CK716" i="9"/>
  <c r="F717" i="9"/>
  <c r="M717" i="9" a="1"/>
  <c r="M717" i="9" s="1"/>
  <c r="R717" i="9" a="1"/>
  <c r="R717" i="9" s="1"/>
  <c r="Z717" i="9"/>
  <c r="AD717" i="9"/>
  <c r="BI717" i="9" s="1"/>
  <c r="AE717" i="9"/>
  <c r="AF717" i="9"/>
  <c r="BC717" i="9" a="1"/>
  <c r="BC717" i="9" s="1"/>
  <c r="BQ717" i="9"/>
  <c r="CC717" i="9"/>
  <c r="F718" i="9"/>
  <c r="M718" i="9" a="1"/>
  <c r="M718" i="9" s="1"/>
  <c r="R718" i="9" a="1"/>
  <c r="R718" i="9" s="1"/>
  <c r="Z718" i="9"/>
  <c r="AD718" i="9"/>
  <c r="BX718" i="9" s="1"/>
  <c r="AE718" i="9"/>
  <c r="AF718" i="9"/>
  <c r="BB718" i="9" s="1"/>
  <c r="BC718" i="9" a="1"/>
  <c r="BC718" i="9" s="1"/>
  <c r="CC718" i="9"/>
  <c r="F719" i="9"/>
  <c r="M719" i="9" a="1"/>
  <c r="M719" i="9" s="1"/>
  <c r="R719" i="9" a="1"/>
  <c r="R719" i="9" s="1"/>
  <c r="Z719" i="9"/>
  <c r="AD719" i="9"/>
  <c r="BX719" i="9" s="1"/>
  <c r="AE719" i="9"/>
  <c r="AF719" i="9"/>
  <c r="BA719" i="9" s="1"/>
  <c r="BC719" i="9" a="1"/>
  <c r="BC719" i="9" s="1"/>
  <c r="BQ719" i="9"/>
  <c r="CG719" i="9"/>
  <c r="CK719" i="9"/>
  <c r="F720" i="9"/>
  <c r="M720" i="9" a="1"/>
  <c r="M720" i="9" s="1"/>
  <c r="R720" i="9" a="1"/>
  <c r="R720" i="9" s="1"/>
  <c r="Z720" i="9"/>
  <c r="AD720" i="9"/>
  <c r="AI720" i="9" s="1"/>
  <c r="AE720" i="9"/>
  <c r="AF720" i="9"/>
  <c r="BB720" i="9" s="1"/>
  <c r="AY720" i="9" a="1"/>
  <c r="AY720" i="9" s="1"/>
  <c r="BC720" i="9" a="1"/>
  <c r="BC720" i="9" s="1"/>
  <c r="BM720" i="9"/>
  <c r="BQ720" i="9"/>
  <c r="BX720" i="9"/>
  <c r="CC720" i="9"/>
  <c r="CG720" i="9"/>
  <c r="CK720" i="9"/>
  <c r="F721" i="9"/>
  <c r="M721" i="9" a="1"/>
  <c r="M721" i="9" s="1"/>
  <c r="R721" i="9" a="1"/>
  <c r="R721" i="9" s="1"/>
  <c r="Z721" i="9"/>
  <c r="AD721" i="9"/>
  <c r="BM721" i="9" s="1"/>
  <c r="AE721" i="9"/>
  <c r="AF721" i="9"/>
  <c r="BB721" i="9" s="1"/>
  <c r="BC721" i="9" a="1"/>
  <c r="BC721" i="9" s="1"/>
  <c r="F722" i="9"/>
  <c r="M722" i="9" a="1"/>
  <c r="M722" i="9" s="1"/>
  <c r="R722" i="9" a="1"/>
  <c r="R722" i="9" s="1"/>
  <c r="Z722" i="9"/>
  <c r="AD722" i="9"/>
  <c r="AE722" i="9"/>
  <c r="AF722" i="9"/>
  <c r="BB722" i="9" s="1"/>
  <c r="BC722" i="9" a="1"/>
  <c r="BC722" i="9" s="1"/>
  <c r="F723" i="9"/>
  <c r="M723" i="9" a="1"/>
  <c r="M723" i="9" s="1"/>
  <c r="R723" i="9" a="1"/>
  <c r="R723" i="9" s="1"/>
  <c r="Z723" i="9"/>
  <c r="AD723" i="9"/>
  <c r="BQ723" i="9" s="1"/>
  <c r="AE723" i="9"/>
  <c r="AF723" i="9"/>
  <c r="BB723" i="9" s="1"/>
  <c r="BC723" i="9" a="1"/>
  <c r="BC723" i="9"/>
  <c r="BI723" i="9"/>
  <c r="F724" i="9"/>
  <c r="M724" i="9" a="1"/>
  <c r="M724" i="9" s="1"/>
  <c r="R724" i="9" a="1"/>
  <c r="R724" i="9" s="1"/>
  <c r="Z724" i="9"/>
  <c r="AD724" i="9"/>
  <c r="AY724" i="9" s="1" a="1"/>
  <c r="AY724" i="9" s="1"/>
  <c r="AE724" i="9"/>
  <c r="AF724" i="9"/>
  <c r="BA724" i="9" s="1"/>
  <c r="BC724" i="9" a="1"/>
  <c r="BC724" i="9" s="1"/>
  <c r="BI724" i="9"/>
  <c r="BQ724" i="9"/>
  <c r="CC724" i="9"/>
  <c r="CK724" i="9"/>
  <c r="F725" i="9"/>
  <c r="M725" i="9" a="1"/>
  <c r="M725" i="9" s="1"/>
  <c r="R725" i="9" a="1"/>
  <c r="R725" i="9" s="1"/>
  <c r="Z725" i="9"/>
  <c r="AD725" i="9"/>
  <c r="AE725" i="9"/>
  <c r="AF725" i="9"/>
  <c r="BC725" i="9" a="1"/>
  <c r="BC725" i="9" s="1"/>
  <c r="F726" i="9"/>
  <c r="M726" i="9" a="1"/>
  <c r="M726" i="9" s="1"/>
  <c r="R726" i="9" a="1"/>
  <c r="R726" i="9" s="1"/>
  <c r="Z726" i="9"/>
  <c r="AD726" i="9"/>
  <c r="A726" i="9" s="1"/>
  <c r="AE726" i="9"/>
  <c r="AF726" i="9"/>
  <c r="BB726" i="9" s="1"/>
  <c r="AY726" i="9" a="1"/>
  <c r="AY726" i="9" s="1"/>
  <c r="BC726" i="9" a="1"/>
  <c r="BC726" i="9"/>
  <c r="BI726" i="9"/>
  <c r="BM726" i="9"/>
  <c r="BQ726" i="9"/>
  <c r="CC726" i="9"/>
  <c r="CG726" i="9"/>
  <c r="CK726" i="9"/>
  <c r="F727" i="9"/>
  <c r="M727" i="9" a="1"/>
  <c r="M727" i="9" s="1"/>
  <c r="R727" i="9" a="1"/>
  <c r="R727" i="9" s="1"/>
  <c r="Z727" i="9"/>
  <c r="AD727" i="9"/>
  <c r="A727" i="9" s="1"/>
  <c r="AE727" i="9"/>
  <c r="AF727" i="9"/>
  <c r="BA727" i="9" s="1"/>
  <c r="AY727" i="9" a="1"/>
  <c r="AY727" i="9" s="1"/>
  <c r="BC727" i="9" a="1"/>
  <c r="BC727" i="9" s="1"/>
  <c r="BI727" i="9"/>
  <c r="BQ727" i="9"/>
  <c r="BX727" i="9"/>
  <c r="CG727" i="9"/>
  <c r="CK727" i="9"/>
  <c r="F728" i="9"/>
  <c r="M728" i="9" a="1"/>
  <c r="M728" i="9" s="1"/>
  <c r="R728" i="9" a="1"/>
  <c r="R728" i="9" s="1"/>
  <c r="Z728" i="9"/>
  <c r="AD728" i="9"/>
  <c r="AE728" i="9"/>
  <c r="AF728" i="9"/>
  <c r="BB728" i="9" s="1"/>
  <c r="BC728" i="9" a="1"/>
  <c r="BC728" i="9" s="1"/>
  <c r="BM728" i="9"/>
  <c r="BQ728" i="9"/>
  <c r="F729" i="9"/>
  <c r="M729" i="9" a="1"/>
  <c r="M729" i="9" s="1"/>
  <c r="R729" i="9" a="1"/>
  <c r="R729" i="9" s="1"/>
  <c r="Z729" i="9"/>
  <c r="AD729" i="9"/>
  <c r="AE729" i="9"/>
  <c r="AF729" i="9"/>
  <c r="BB729" i="9" s="1"/>
  <c r="BC729" i="9" a="1"/>
  <c r="BC729" i="9" s="1"/>
  <c r="F730" i="9"/>
  <c r="M730" i="9" a="1"/>
  <c r="M730" i="9" s="1"/>
  <c r="R730" i="9" a="1"/>
  <c r="R730" i="9" s="1"/>
  <c r="Z730" i="9"/>
  <c r="AD730" i="9"/>
  <c r="BM730" i="9" s="1"/>
  <c r="AE730" i="9"/>
  <c r="AF730" i="9"/>
  <c r="BB730" i="9" s="1"/>
  <c r="BC730" i="9" a="1"/>
  <c r="BC730" i="9" s="1"/>
  <c r="BI730" i="9"/>
  <c r="CC730" i="9"/>
  <c r="F731" i="9"/>
  <c r="M731" i="9" a="1"/>
  <c r="M731" i="9" s="1"/>
  <c r="R731" i="9" a="1"/>
  <c r="R731" i="9" s="1"/>
  <c r="Z731" i="9"/>
  <c r="AD731" i="9"/>
  <c r="BI731" i="9" s="1"/>
  <c r="AE731" i="9"/>
  <c r="AF731" i="9"/>
  <c r="BB731" i="9" s="1"/>
  <c r="BC731" i="9" a="1"/>
  <c r="BC731" i="9" s="1"/>
  <c r="F732" i="9"/>
  <c r="M732" i="9" a="1"/>
  <c r="M732" i="9" s="1"/>
  <c r="R732" i="9" a="1"/>
  <c r="R732" i="9" s="1"/>
  <c r="Z732" i="9"/>
  <c r="AD732" i="9"/>
  <c r="AY732" i="9" s="1" a="1"/>
  <c r="AE732" i="9"/>
  <c r="AF732" i="9"/>
  <c r="BA732" i="9" s="1"/>
  <c r="AY732" i="9"/>
  <c r="BC732" i="9" a="1"/>
  <c r="BC732" i="9" s="1"/>
  <c r="BD732" i="9"/>
  <c r="BI732" i="9"/>
  <c r="BQ732" i="9"/>
  <c r="CC732" i="9"/>
  <c r="CK732" i="9"/>
  <c r="F733" i="9"/>
  <c r="M733" i="9" a="1"/>
  <c r="M733" i="9" s="1"/>
  <c r="R733" i="9" a="1"/>
  <c r="R733" i="9" s="1"/>
  <c r="Z733" i="9"/>
  <c r="AD733" i="9"/>
  <c r="AY733" i="9" s="1" a="1"/>
  <c r="AY733" i="9" s="1"/>
  <c r="AE733" i="9"/>
  <c r="AF733" i="9"/>
  <c r="BC733" i="9" a="1"/>
  <c r="BC733" i="9" s="1"/>
  <c r="BQ733" i="9"/>
  <c r="CC733" i="9"/>
  <c r="F734" i="9"/>
  <c r="M734" i="9" a="1"/>
  <c r="M734" i="9" s="1"/>
  <c r="R734" i="9" a="1"/>
  <c r="R734" i="9" s="1"/>
  <c r="Z734" i="9"/>
  <c r="AD734" i="9"/>
  <c r="A734" i="9" s="1"/>
  <c r="AE734" i="9"/>
  <c r="AF734" i="9"/>
  <c r="BB734" i="9" s="1"/>
  <c r="BC734" i="9" a="1"/>
  <c r="BC734" i="9" s="1"/>
  <c r="BD734" i="9"/>
  <c r="BQ734" i="9"/>
  <c r="BX734" i="9"/>
  <c r="F735" i="9"/>
  <c r="M735" i="9" a="1"/>
  <c r="M735" i="9" s="1"/>
  <c r="R735" i="9" a="1"/>
  <c r="R735" i="9" s="1"/>
  <c r="Z735" i="9"/>
  <c r="AD735" i="9"/>
  <c r="AE735" i="9"/>
  <c r="AF735" i="9"/>
  <c r="BB735" i="9" s="1"/>
  <c r="BC735" i="9" a="1"/>
  <c r="BC735" i="9" s="1"/>
  <c r="F736" i="9"/>
  <c r="M736" i="9" a="1"/>
  <c r="M736" i="9" s="1"/>
  <c r="R736" i="9" a="1"/>
  <c r="R736" i="9" s="1"/>
  <c r="Z736" i="9"/>
  <c r="AD736" i="9"/>
  <c r="AY736" i="9" s="1" a="1"/>
  <c r="AY736" i="9" s="1"/>
  <c r="AE736" i="9"/>
  <c r="AF736" i="9"/>
  <c r="BC736" i="9" a="1"/>
  <c r="BC736" i="9" s="1"/>
  <c r="F737" i="9"/>
  <c r="M737" i="9" a="1"/>
  <c r="M737" i="9" s="1"/>
  <c r="R737" i="9" a="1"/>
  <c r="R737" i="9" s="1"/>
  <c r="Z737" i="9"/>
  <c r="AD737" i="9"/>
  <c r="AE737" i="9"/>
  <c r="AF737" i="9"/>
  <c r="BB737" i="9" s="1"/>
  <c r="BC737" i="9" a="1"/>
  <c r="BC737" i="9" s="1"/>
  <c r="F738" i="9"/>
  <c r="M738" i="9" a="1"/>
  <c r="M738" i="9" s="1"/>
  <c r="R738" i="9" a="1"/>
  <c r="R738" i="9" s="1"/>
  <c r="Z738" i="9"/>
  <c r="AD738" i="9"/>
  <c r="A738" i="9" s="1"/>
  <c r="AE738" i="9"/>
  <c r="AF738" i="9"/>
  <c r="BC738" i="9" a="1"/>
  <c r="BC738" i="9"/>
  <c r="BM738" i="9"/>
  <c r="CG738" i="9"/>
  <c r="CK738" i="9"/>
  <c r="F739" i="9"/>
  <c r="M739" i="9" a="1"/>
  <c r="M739" i="9" s="1"/>
  <c r="R739" i="9" a="1"/>
  <c r="R739" i="9" s="1"/>
  <c r="Z739" i="9"/>
  <c r="AD739" i="9"/>
  <c r="AY739" i="9" s="1" a="1"/>
  <c r="AY739" i="9" s="1"/>
  <c r="AE739" i="9"/>
  <c r="AF739" i="9"/>
  <c r="BC739" i="9" a="1"/>
  <c r="BC739" i="9" s="1"/>
  <c r="F740" i="9"/>
  <c r="M740" i="9" a="1"/>
  <c r="M740" i="9" s="1"/>
  <c r="R740" i="9" a="1"/>
  <c r="R740" i="9" s="1"/>
  <c r="Z740" i="9"/>
  <c r="AD740" i="9"/>
  <c r="AE740" i="9"/>
  <c r="AF740" i="9"/>
  <c r="BC740" i="9" a="1"/>
  <c r="BC740" i="9" s="1"/>
  <c r="F741" i="9"/>
  <c r="M741" i="9" a="1"/>
  <c r="M741" i="9" s="1"/>
  <c r="R741" i="9" a="1"/>
  <c r="R741" i="9" s="1"/>
  <c r="Z741" i="9"/>
  <c r="AD741" i="9"/>
  <c r="BM741" i="9" s="1"/>
  <c r="AE741" i="9"/>
  <c r="AF741" i="9"/>
  <c r="BA741" i="9" s="1"/>
  <c r="BC741" i="9" a="1"/>
  <c r="BC741" i="9" s="1"/>
  <c r="BI741" i="9"/>
  <c r="CK741" i="9"/>
  <c r="F742" i="9"/>
  <c r="M742" i="9" a="1"/>
  <c r="M742" i="9" s="1"/>
  <c r="R742" i="9" a="1"/>
  <c r="R742" i="9" s="1"/>
  <c r="Z742" i="9"/>
  <c r="AD742" i="9"/>
  <c r="BQ742" i="9" s="1"/>
  <c r="AE742" i="9"/>
  <c r="AF742" i="9"/>
  <c r="BB742" i="9" s="1"/>
  <c r="BC742" i="9" a="1"/>
  <c r="BC742" i="9" s="1"/>
  <c r="F743" i="9"/>
  <c r="M743" i="9" a="1"/>
  <c r="M743" i="9" s="1"/>
  <c r="R743" i="9" a="1"/>
  <c r="R743" i="9" s="1"/>
  <c r="Z743" i="9"/>
  <c r="AD743" i="9"/>
  <c r="AY743" i="9" s="1" a="1"/>
  <c r="AY743" i="9" s="1"/>
  <c r="AE743" i="9"/>
  <c r="AF743" i="9"/>
  <c r="BC743" i="9" a="1"/>
  <c r="BC743" i="9" s="1"/>
  <c r="BM743" i="9"/>
  <c r="CG743" i="9"/>
  <c r="F744" i="9"/>
  <c r="M744" i="9" a="1"/>
  <c r="M744" i="9" s="1"/>
  <c r="R744" i="9" a="1"/>
  <c r="R744" i="9" s="1"/>
  <c r="Z744" i="9"/>
  <c r="AD744" i="9"/>
  <c r="AY744" i="9" s="1" a="1"/>
  <c r="AY744" i="9" s="1"/>
  <c r="AE744" i="9"/>
  <c r="AF744" i="9"/>
  <c r="BA744" i="9" s="1"/>
  <c r="BC744" i="9" a="1"/>
  <c r="BC744" i="9" s="1"/>
  <c r="F745" i="9"/>
  <c r="M745" i="9" a="1"/>
  <c r="M745" i="9" s="1"/>
  <c r="R745" i="9" a="1"/>
  <c r="R745" i="9" s="1"/>
  <c r="Z745" i="9"/>
  <c r="AD745" i="9"/>
  <c r="BA745" i="9" s="1"/>
  <c r="AE745" i="9"/>
  <c r="AF745" i="9"/>
  <c r="BB745" i="9" s="1"/>
  <c r="BC745" i="9" a="1"/>
  <c r="BC745" i="9" s="1"/>
  <c r="F746" i="9"/>
  <c r="M746" i="9" a="1"/>
  <c r="M746" i="9" s="1"/>
  <c r="R746" i="9" a="1"/>
  <c r="R746" i="9" s="1"/>
  <c r="Z746" i="9"/>
  <c r="AD746" i="9"/>
  <c r="A746" i="9" s="1"/>
  <c r="AE746" i="9"/>
  <c r="AF746" i="9"/>
  <c r="BC746" i="9" a="1"/>
  <c r="BC746" i="9" s="1"/>
  <c r="BD746" i="9"/>
  <c r="CG746" i="9"/>
  <c r="A747" i="9"/>
  <c r="F747" i="9"/>
  <c r="M747" i="9" a="1"/>
  <c r="M747" i="9" s="1"/>
  <c r="R747" i="9" a="1"/>
  <c r="R747" i="9" s="1"/>
  <c r="Z747" i="9"/>
  <c r="AD747" i="9"/>
  <c r="AI747" i="9" s="1"/>
  <c r="AE747" i="9"/>
  <c r="AF747" i="9"/>
  <c r="BA747" i="9" s="1"/>
  <c r="BC747" i="9" a="1"/>
  <c r="BC747" i="9" s="1"/>
  <c r="CC747" i="9"/>
  <c r="CK747" i="9"/>
  <c r="F748" i="9"/>
  <c r="M748" i="9" a="1"/>
  <c r="M748" i="9" s="1"/>
  <c r="R748" i="9" a="1"/>
  <c r="R748" i="9" s="1"/>
  <c r="Z748" i="9"/>
  <c r="AD748" i="9"/>
  <c r="BQ748" i="9" s="1"/>
  <c r="AE748" i="9"/>
  <c r="AF748" i="9"/>
  <c r="BB748" i="9" s="1"/>
  <c r="BC748" i="9" a="1"/>
  <c r="BC748" i="9" s="1"/>
  <c r="F749" i="9"/>
  <c r="M749" i="9" a="1"/>
  <c r="M749" i="9" s="1"/>
  <c r="R749" i="9" a="1"/>
  <c r="R749" i="9" s="1"/>
  <c r="Z749" i="9"/>
  <c r="AD749" i="9"/>
  <c r="BM749" i="9" s="1"/>
  <c r="AE749" i="9"/>
  <c r="AF749" i="9"/>
  <c r="BB749" i="9" s="1"/>
  <c r="BC749" i="9" a="1"/>
  <c r="BC749" i="9" s="1"/>
  <c r="F750" i="9"/>
  <c r="M750" i="9" a="1"/>
  <c r="M750" i="9" s="1"/>
  <c r="R750" i="9" a="1"/>
  <c r="R750" i="9" s="1"/>
  <c r="Z750" i="9"/>
  <c r="AD750" i="9"/>
  <c r="BQ750" i="9" s="1"/>
  <c r="AE750" i="9"/>
  <c r="AF750" i="9"/>
  <c r="BB750" i="9" s="1"/>
  <c r="BC750" i="9" a="1"/>
  <c r="BC750" i="9" s="1"/>
  <c r="F751" i="9"/>
  <c r="M751" i="9" a="1"/>
  <c r="M751" i="9" s="1"/>
  <c r="R751" i="9" a="1"/>
  <c r="R751" i="9" s="1"/>
  <c r="Z751" i="9"/>
  <c r="AD751" i="9"/>
  <c r="A751" i="9" s="1"/>
  <c r="AE751" i="9"/>
  <c r="AF751" i="9"/>
  <c r="AI751" i="9"/>
  <c r="BC751" i="9" a="1"/>
  <c r="BC751" i="9" s="1"/>
  <c r="BD751" i="9"/>
  <c r="BM751" i="9"/>
  <c r="BX751" i="9"/>
  <c r="CC751" i="9"/>
  <c r="CG751" i="9"/>
  <c r="CK751" i="9"/>
  <c r="F752" i="9"/>
  <c r="M752" i="9" a="1"/>
  <c r="M752" i="9" s="1"/>
  <c r="R752" i="9" a="1"/>
  <c r="R752" i="9" s="1"/>
  <c r="Z752" i="9"/>
  <c r="AD752" i="9"/>
  <c r="AE752" i="9"/>
  <c r="AF752" i="9"/>
  <c r="BC752" i="9" a="1"/>
  <c r="BC752" i="9" s="1"/>
  <c r="F753" i="9"/>
  <c r="M753" i="9" a="1"/>
  <c r="M753" i="9" s="1"/>
  <c r="R753" i="9" a="1"/>
  <c r="R753" i="9" s="1"/>
  <c r="Z753" i="9"/>
  <c r="AD753" i="9"/>
  <c r="AE753" i="9"/>
  <c r="AF753" i="9"/>
  <c r="BB753" i="9" s="1"/>
  <c r="BC753" i="9" a="1"/>
  <c r="BC753" i="9" s="1"/>
  <c r="BI753" i="9"/>
  <c r="F754" i="9"/>
  <c r="M754" i="9" a="1"/>
  <c r="M754" i="9" s="1"/>
  <c r="R754" i="9" a="1"/>
  <c r="R754" i="9" s="1"/>
  <c r="Z754" i="9"/>
  <c r="AD754" i="9"/>
  <c r="A754" i="9" s="1"/>
  <c r="AE754" i="9"/>
  <c r="AF754" i="9"/>
  <c r="BA754" i="9" s="1"/>
  <c r="BC754" i="9" a="1"/>
  <c r="BC754" i="9" s="1"/>
  <c r="CK754" i="9"/>
  <c r="F755" i="9"/>
  <c r="M755" i="9" a="1"/>
  <c r="M755" i="9" s="1"/>
  <c r="R755" i="9" a="1"/>
  <c r="R755" i="9" s="1"/>
  <c r="Z755" i="9"/>
  <c r="AD755" i="9"/>
  <c r="BM755" i="9" s="1"/>
  <c r="AE755" i="9"/>
  <c r="AF755" i="9"/>
  <c r="BC755" i="9" a="1"/>
  <c r="BC755" i="9" s="1"/>
  <c r="BD755" i="9"/>
  <c r="BI755" i="9"/>
  <c r="F756" i="9"/>
  <c r="M756" i="9" a="1"/>
  <c r="M756" i="9" s="1"/>
  <c r="R756" i="9" a="1"/>
  <c r="R756" i="9" s="1"/>
  <c r="Z756" i="9"/>
  <c r="AD756" i="9"/>
  <c r="A756" i="9" s="1"/>
  <c r="AE756" i="9"/>
  <c r="AF756" i="9"/>
  <c r="BB756" i="9" s="1"/>
  <c r="BC756" i="9" a="1"/>
  <c r="BC756" i="9" s="1"/>
  <c r="F757" i="9"/>
  <c r="M757" i="9" a="1"/>
  <c r="M757" i="9" s="1"/>
  <c r="R757" i="9" a="1"/>
  <c r="R757" i="9" s="1"/>
  <c r="Z757" i="9"/>
  <c r="AD757" i="9"/>
  <c r="AE757" i="9"/>
  <c r="AF757" i="9"/>
  <c r="BB757" i="9" s="1"/>
  <c r="BC757" i="9" a="1"/>
  <c r="BC757" i="9" s="1"/>
  <c r="F758" i="9"/>
  <c r="M758" i="9" a="1"/>
  <c r="M758" i="9" s="1"/>
  <c r="R758" i="9" a="1"/>
  <c r="R758" i="9" s="1"/>
  <c r="Z758" i="9"/>
  <c r="AD758" i="9"/>
  <c r="AI758" i="9" s="1"/>
  <c r="AE758" i="9"/>
  <c r="AF758" i="9"/>
  <c r="BB758" i="9" s="1"/>
  <c r="BC758" i="9" a="1"/>
  <c r="BC758" i="9" s="1"/>
  <c r="BI758" i="9"/>
  <c r="BQ758" i="9"/>
  <c r="CK758" i="9"/>
  <c r="F759" i="9"/>
  <c r="M759" i="9" a="1"/>
  <c r="M759" i="9" s="1"/>
  <c r="R759" i="9" a="1"/>
  <c r="R759" i="9" s="1"/>
  <c r="Z759" i="9"/>
  <c r="AD759" i="9"/>
  <c r="AY759" i="9" s="1" a="1"/>
  <c r="AY759" i="9" s="1"/>
  <c r="AE759" i="9"/>
  <c r="AF759" i="9"/>
  <c r="BB759" i="9" s="1"/>
  <c r="BC759" i="9" a="1"/>
  <c r="BC759" i="9" s="1"/>
  <c r="BD759" i="9"/>
  <c r="BI759" i="9"/>
  <c r="CC759" i="9"/>
  <c r="CK759" i="9"/>
  <c r="F760" i="9"/>
  <c r="M760" i="9" a="1"/>
  <c r="M760" i="9" s="1"/>
  <c r="R760" i="9" a="1"/>
  <c r="R760" i="9" s="1"/>
  <c r="Z760" i="9"/>
  <c r="AD760" i="9"/>
  <c r="AE760" i="9"/>
  <c r="AF760" i="9"/>
  <c r="BC760" i="9" a="1"/>
  <c r="BC760" i="9" s="1"/>
  <c r="F761" i="9"/>
  <c r="M761" i="9" a="1"/>
  <c r="M761" i="9" s="1"/>
  <c r="R761" i="9" a="1"/>
  <c r="R761" i="9" s="1"/>
  <c r="Z761" i="9"/>
  <c r="AD761" i="9"/>
  <c r="AE761" i="9"/>
  <c r="AF761" i="9"/>
  <c r="BB761" i="9" s="1"/>
  <c r="BC761" i="9" a="1"/>
  <c r="BC761" i="9" s="1"/>
  <c r="F762" i="9"/>
  <c r="M762" i="9" a="1"/>
  <c r="M762" i="9" s="1"/>
  <c r="R762" i="9" a="1"/>
  <c r="R762" i="9" s="1"/>
  <c r="Z762" i="9"/>
  <c r="AD762" i="9"/>
  <c r="AI762" i="9" s="1"/>
  <c r="AE762" i="9"/>
  <c r="AF762" i="9"/>
  <c r="BA762" i="9" s="1"/>
  <c r="AY762" i="9" a="1"/>
  <c r="AY762" i="9" s="1"/>
  <c r="AZ762" i="9" s="1"/>
  <c r="BC762" i="9" a="1"/>
  <c r="BC762" i="9" s="1"/>
  <c r="BD762" i="9"/>
  <c r="BM762" i="9"/>
  <c r="BQ762" i="9"/>
  <c r="BX762" i="9"/>
  <c r="F763" i="9"/>
  <c r="M763" i="9" a="1"/>
  <c r="M763" i="9" s="1"/>
  <c r="R763" i="9" a="1"/>
  <c r="R763" i="9" s="1"/>
  <c r="Z763" i="9"/>
  <c r="AD763" i="9"/>
  <c r="BD763" i="9" s="1"/>
  <c r="AE763" i="9"/>
  <c r="AF763" i="9"/>
  <c r="BC763" i="9" a="1"/>
  <c r="BC763" i="9" s="1"/>
  <c r="F764" i="9"/>
  <c r="M764" i="9" a="1"/>
  <c r="M764" i="9" s="1"/>
  <c r="R764" i="9" a="1"/>
  <c r="R764" i="9" s="1"/>
  <c r="Z764" i="9"/>
  <c r="AD764" i="9"/>
  <c r="A764" i="9" s="1"/>
  <c r="AE764" i="9"/>
  <c r="AF764" i="9"/>
  <c r="BB764" i="9" s="1"/>
  <c r="BC764" i="9" a="1"/>
  <c r="BC764" i="9" s="1"/>
  <c r="F765" i="9"/>
  <c r="M765" i="9" a="1"/>
  <c r="M765" i="9" s="1"/>
  <c r="R765" i="9" a="1"/>
  <c r="R765" i="9" s="1"/>
  <c r="Z765" i="9"/>
  <c r="AD765" i="9"/>
  <c r="BD765" i="9" s="1"/>
  <c r="AE765" i="9"/>
  <c r="AF765" i="9"/>
  <c r="BC765" i="9" a="1"/>
  <c r="BC765" i="9" s="1"/>
  <c r="BI765" i="9"/>
  <c r="F766" i="9"/>
  <c r="M766" i="9" a="1"/>
  <c r="M766" i="9" s="1"/>
  <c r="R766" i="9" a="1"/>
  <c r="R766" i="9" s="1"/>
  <c r="Z766" i="9"/>
  <c r="AD766" i="9"/>
  <c r="AE766" i="9"/>
  <c r="AF766" i="9"/>
  <c r="BB766" i="9" s="1"/>
  <c r="BC766" i="9" a="1"/>
  <c r="BC766" i="9" s="1"/>
  <c r="A767" i="9"/>
  <c r="F767" i="9"/>
  <c r="M767" i="9" a="1"/>
  <c r="M767" i="9" s="1"/>
  <c r="R767" i="9" a="1"/>
  <c r="R767" i="9" s="1"/>
  <c r="Z767" i="9"/>
  <c r="AD767" i="9"/>
  <c r="CK767" i="9" s="1"/>
  <c r="AE767" i="9"/>
  <c r="AF767" i="9"/>
  <c r="BB767" i="9" s="1"/>
  <c r="AI767" i="9"/>
  <c r="BC767" i="9" a="1"/>
  <c r="BC767" i="9" s="1"/>
  <c r="BD767" i="9"/>
  <c r="BI767" i="9"/>
  <c r="BM767" i="9"/>
  <c r="BQ767" i="9"/>
  <c r="BX767" i="9"/>
  <c r="CC767" i="9"/>
  <c r="F768" i="9"/>
  <c r="M768" i="9" a="1"/>
  <c r="M768" i="9" s="1"/>
  <c r="R768" i="9" a="1"/>
  <c r="R768" i="9" s="1"/>
  <c r="Z768" i="9"/>
  <c r="AD768" i="9"/>
  <c r="BM768" i="9" s="1"/>
  <c r="AE768" i="9"/>
  <c r="AF768" i="9"/>
  <c r="AY768" i="9" a="1"/>
  <c r="AY768" i="9" s="1"/>
  <c r="BC768" i="9" a="1"/>
  <c r="BC768" i="9" s="1"/>
  <c r="BD768" i="9"/>
  <c r="BQ768" i="9"/>
  <c r="F769" i="9"/>
  <c r="M769" i="9" a="1"/>
  <c r="M769" i="9" s="1"/>
  <c r="R769" i="9" a="1"/>
  <c r="R769" i="9" s="1"/>
  <c r="Z769" i="9"/>
  <c r="AD769" i="9"/>
  <c r="AE769" i="9"/>
  <c r="AF769" i="9"/>
  <c r="BB769" i="9" s="1"/>
  <c r="BC769" i="9" a="1"/>
  <c r="BC769" i="9" s="1"/>
  <c r="A770" i="9"/>
  <c r="F770" i="9"/>
  <c r="M770" i="9" a="1"/>
  <c r="M770" i="9" s="1"/>
  <c r="R770" i="9" a="1"/>
  <c r="R770" i="9" s="1"/>
  <c r="Z770" i="9"/>
  <c r="AD770" i="9"/>
  <c r="AE770" i="9"/>
  <c r="AF770" i="9"/>
  <c r="BA770" i="9" s="1"/>
  <c r="AI770" i="9"/>
  <c r="AY770" i="9" a="1"/>
  <c r="AY770" i="9" s="1"/>
  <c r="AZ770" i="9" s="1"/>
  <c r="BC770" i="9" a="1"/>
  <c r="BC770" i="9" s="1"/>
  <c r="BD770" i="9"/>
  <c r="BI770" i="9"/>
  <c r="BM770" i="9"/>
  <c r="BQ770" i="9"/>
  <c r="BX770" i="9"/>
  <c r="CC770" i="9"/>
  <c r="CG770" i="9"/>
  <c r="CK770" i="9"/>
  <c r="F771" i="9"/>
  <c r="M771" i="9" a="1"/>
  <c r="M771" i="9" s="1"/>
  <c r="R771" i="9" a="1"/>
  <c r="R771" i="9" s="1"/>
  <c r="Z771" i="9"/>
  <c r="AD771" i="9"/>
  <c r="BM771" i="9" s="1"/>
  <c r="AE771" i="9"/>
  <c r="AF771" i="9"/>
  <c r="BA771" i="9" s="1"/>
  <c r="BC771" i="9" a="1"/>
  <c r="BC771" i="9" s="1"/>
  <c r="BI771" i="9"/>
  <c r="BX771" i="9"/>
  <c r="CC771" i="9"/>
  <c r="F772" i="9"/>
  <c r="M772" i="9" a="1"/>
  <c r="M772" i="9" s="1"/>
  <c r="R772" i="9" a="1"/>
  <c r="R772" i="9" s="1"/>
  <c r="Z772" i="9"/>
  <c r="AD772" i="9"/>
  <c r="A772" i="9" s="1"/>
  <c r="AE772" i="9"/>
  <c r="AF772" i="9"/>
  <c r="BB772" i="9" s="1"/>
  <c r="BC772" i="9" a="1"/>
  <c r="BC772" i="9" s="1"/>
  <c r="F773" i="9"/>
  <c r="M773" i="9" a="1"/>
  <c r="M773" i="9" s="1"/>
  <c r="R773" i="9" a="1"/>
  <c r="R773" i="9" s="1"/>
  <c r="Z773" i="9"/>
  <c r="AD773" i="9"/>
  <c r="AE773" i="9"/>
  <c r="AF773" i="9"/>
  <c r="BC773" i="9" a="1"/>
  <c r="BC773" i="9" s="1"/>
  <c r="F774" i="9"/>
  <c r="M774" i="9" a="1"/>
  <c r="M774" i="9" s="1"/>
  <c r="R774" i="9" a="1"/>
  <c r="R774" i="9" s="1"/>
  <c r="Z774" i="9"/>
  <c r="AD774" i="9"/>
  <c r="AI774" i="9" s="1"/>
  <c r="AE774" i="9"/>
  <c r="AF774" i="9"/>
  <c r="BB774" i="9" s="1"/>
  <c r="BC774" i="9" a="1"/>
  <c r="BC774" i="9" s="1"/>
  <c r="CK774" i="9"/>
  <c r="F775" i="9"/>
  <c r="M775" i="9" a="1"/>
  <c r="M775" i="9" s="1"/>
  <c r="R775" i="9" a="1"/>
  <c r="R775" i="9" s="1"/>
  <c r="Z775" i="9"/>
  <c r="AD775" i="9"/>
  <c r="AY775" i="9" s="1" a="1"/>
  <c r="AY775" i="9" s="1"/>
  <c r="AE775" i="9"/>
  <c r="AF775" i="9"/>
  <c r="BB775" i="9" s="1"/>
  <c r="BC775" i="9" a="1"/>
  <c r="BC775" i="9" s="1"/>
  <c r="BI775" i="9"/>
  <c r="BQ775" i="9"/>
  <c r="BX775" i="9"/>
  <c r="CC775" i="9"/>
  <c r="F776" i="9"/>
  <c r="M776" i="9" a="1"/>
  <c r="M776" i="9" s="1"/>
  <c r="R776" i="9" a="1"/>
  <c r="R776" i="9" s="1"/>
  <c r="Z776" i="9"/>
  <c r="AD776" i="9"/>
  <c r="AE776" i="9"/>
  <c r="AF776" i="9"/>
  <c r="BC776" i="9" a="1"/>
  <c r="BC776" i="9" s="1"/>
  <c r="F777" i="9"/>
  <c r="M777" i="9" a="1"/>
  <c r="M777" i="9" s="1"/>
  <c r="R777" i="9" a="1"/>
  <c r="R777" i="9" s="1"/>
  <c r="Z777" i="9"/>
  <c r="AD777" i="9"/>
  <c r="AE777" i="9"/>
  <c r="AF777" i="9"/>
  <c r="BB777" i="9" s="1"/>
  <c r="BC777" i="9" a="1"/>
  <c r="BC777" i="9" s="1"/>
  <c r="F778" i="9"/>
  <c r="M778" i="9" a="1"/>
  <c r="M778" i="9" s="1"/>
  <c r="R778" i="9" a="1"/>
  <c r="R778" i="9" s="1"/>
  <c r="Z778" i="9"/>
  <c r="AD778" i="9"/>
  <c r="AI778" i="9" s="1"/>
  <c r="AE778" i="9"/>
  <c r="AF778" i="9"/>
  <c r="BC778" i="9" a="1"/>
  <c r="BC778" i="9" s="1"/>
  <c r="F779" i="9"/>
  <c r="M779" i="9" a="1"/>
  <c r="M779" i="9" s="1"/>
  <c r="R779" i="9" a="1"/>
  <c r="R779" i="9" s="1"/>
  <c r="Z779" i="9"/>
  <c r="AD779" i="9"/>
  <c r="BM779" i="9" s="1"/>
  <c r="AE779" i="9"/>
  <c r="AF779" i="9"/>
  <c r="BC779" i="9" a="1"/>
  <c r="BC779" i="9"/>
  <c r="BI779" i="9"/>
  <c r="F780" i="9"/>
  <c r="M780" i="9" a="1"/>
  <c r="M780" i="9" s="1"/>
  <c r="R780" i="9" a="1"/>
  <c r="R780" i="9" s="1"/>
  <c r="Z780" i="9"/>
  <c r="AD780" i="9"/>
  <c r="A780" i="9" s="1"/>
  <c r="AE780" i="9"/>
  <c r="AF780" i="9"/>
  <c r="BB780" i="9" s="1"/>
  <c r="BC780" i="9" a="1"/>
  <c r="BC780" i="9" s="1"/>
  <c r="F781" i="9"/>
  <c r="M781" i="9" a="1"/>
  <c r="M781" i="9" s="1"/>
  <c r="R781" i="9" a="1"/>
  <c r="R781" i="9" s="1"/>
  <c r="Z781" i="9"/>
  <c r="AD781" i="9"/>
  <c r="A781" i="9" s="1"/>
  <c r="AE781" i="9"/>
  <c r="AF781" i="9"/>
  <c r="BC781" i="9" a="1"/>
  <c r="BC781" i="9" s="1"/>
  <c r="BI781" i="9"/>
  <c r="F782" i="9"/>
  <c r="M782" i="9" a="1"/>
  <c r="M782" i="9" s="1"/>
  <c r="R782" i="9" a="1"/>
  <c r="R782" i="9" s="1"/>
  <c r="Z782" i="9"/>
  <c r="AD782" i="9"/>
  <c r="AI782" i="9" s="1"/>
  <c r="AE782" i="9"/>
  <c r="AF782" i="9"/>
  <c r="BB782" i="9" s="1"/>
  <c r="BC782" i="9" a="1"/>
  <c r="BC782" i="9" s="1"/>
  <c r="F783" i="9"/>
  <c r="M783" i="9" a="1"/>
  <c r="M783" i="9" s="1"/>
  <c r="R783" i="9" a="1"/>
  <c r="R783" i="9" s="1"/>
  <c r="Z783" i="9"/>
  <c r="AD783" i="9"/>
  <c r="CK783" i="9" s="1"/>
  <c r="AE783" i="9"/>
  <c r="AF783" i="9"/>
  <c r="BB783" i="9" s="1"/>
  <c r="BC783" i="9" a="1"/>
  <c r="BC783" i="9" s="1"/>
  <c r="CC783" i="9"/>
  <c r="F784" i="9"/>
  <c r="M784" i="9" a="1"/>
  <c r="M784" i="9" s="1"/>
  <c r="R784" i="9" a="1"/>
  <c r="R784" i="9" s="1"/>
  <c r="Z784" i="9"/>
  <c r="AD784" i="9"/>
  <c r="BM784" i="9" s="1"/>
  <c r="AE784" i="9"/>
  <c r="AF784" i="9"/>
  <c r="BC784" i="9" a="1"/>
  <c r="BC784" i="9" s="1"/>
  <c r="F785" i="9"/>
  <c r="M785" i="9" a="1"/>
  <c r="M785" i="9" s="1"/>
  <c r="R785" i="9" a="1"/>
  <c r="R785" i="9" s="1"/>
  <c r="Z785" i="9"/>
  <c r="AD785" i="9"/>
  <c r="BI785" i="9" s="1"/>
  <c r="AE785" i="9"/>
  <c r="AF785" i="9"/>
  <c r="BB785" i="9" s="1"/>
  <c r="BC785" i="9" a="1"/>
  <c r="BC785" i="9" s="1"/>
  <c r="CK785" i="9"/>
  <c r="F786" i="9"/>
  <c r="M786" i="9" a="1"/>
  <c r="M786" i="9" s="1"/>
  <c r="R786" i="9" a="1"/>
  <c r="R786" i="9" s="1"/>
  <c r="Z786" i="9"/>
  <c r="AD786" i="9"/>
  <c r="AI786" i="9" s="1"/>
  <c r="AE786" i="9"/>
  <c r="AF786" i="9"/>
  <c r="BC786" i="9" a="1"/>
  <c r="BC786" i="9" s="1"/>
  <c r="BD786" i="9"/>
  <c r="CK786" i="9"/>
  <c r="F787" i="9"/>
  <c r="M787" i="9" a="1"/>
  <c r="M787" i="9" s="1"/>
  <c r="R787" i="9" a="1"/>
  <c r="R787" i="9" s="1"/>
  <c r="Z787" i="9"/>
  <c r="AD787" i="9"/>
  <c r="BQ787" i="9" s="1"/>
  <c r="AE787" i="9"/>
  <c r="AF787" i="9"/>
  <c r="BC787" i="9" a="1"/>
  <c r="BC787" i="9" s="1"/>
  <c r="F788" i="9"/>
  <c r="M788" i="9" a="1"/>
  <c r="M788" i="9" s="1"/>
  <c r="R788" i="9" a="1"/>
  <c r="R788" i="9" s="1"/>
  <c r="Z788" i="9"/>
  <c r="AD788" i="9"/>
  <c r="BI788" i="9" s="1"/>
  <c r="AE788" i="9"/>
  <c r="AF788" i="9"/>
  <c r="BB788" i="9" s="1"/>
  <c r="BC788" i="9" a="1"/>
  <c r="BC788" i="9" s="1"/>
  <c r="F789" i="9"/>
  <c r="M789" i="9" a="1"/>
  <c r="M789" i="9" s="1"/>
  <c r="R789" i="9" a="1"/>
  <c r="R789" i="9" s="1"/>
  <c r="Z789" i="9"/>
  <c r="AD789" i="9"/>
  <c r="AE789" i="9"/>
  <c r="AF789" i="9"/>
  <c r="BC789" i="9" a="1"/>
  <c r="BC789" i="9" s="1"/>
  <c r="F790" i="9"/>
  <c r="M790" i="9" a="1"/>
  <c r="M790" i="9" s="1"/>
  <c r="R790" i="9" a="1"/>
  <c r="R790" i="9" s="1"/>
  <c r="Z790" i="9"/>
  <c r="AD790" i="9"/>
  <c r="AI790" i="9" s="1"/>
  <c r="AE790" i="9"/>
  <c r="AF790" i="9"/>
  <c r="BC790" i="9" a="1"/>
  <c r="BC790" i="9" s="1"/>
  <c r="F791" i="9"/>
  <c r="M791" i="9" a="1"/>
  <c r="M791" i="9" s="1"/>
  <c r="R791" i="9" a="1"/>
  <c r="R791" i="9" s="1"/>
  <c r="Z791" i="9"/>
  <c r="AD791" i="9"/>
  <c r="CK791" i="9" s="1"/>
  <c r="AE791" i="9"/>
  <c r="AF791" i="9"/>
  <c r="BB791" i="9" s="1"/>
  <c r="BC791" i="9" a="1"/>
  <c r="BC791" i="9" s="1"/>
  <c r="BQ791" i="9"/>
  <c r="F792" i="9"/>
  <c r="M792" i="9" a="1"/>
  <c r="M792" i="9" s="1"/>
  <c r="R792" i="9" a="1"/>
  <c r="R792" i="9" s="1"/>
  <c r="Z792" i="9"/>
  <c r="AD792" i="9"/>
  <c r="BM792" i="9" s="1"/>
  <c r="AE792" i="9"/>
  <c r="AF792" i="9"/>
  <c r="BC792" i="9" a="1"/>
  <c r="BC792" i="9" s="1"/>
  <c r="BQ792" i="9"/>
  <c r="F793" i="9"/>
  <c r="M793" i="9" a="1"/>
  <c r="M793" i="9" s="1"/>
  <c r="R793" i="9" a="1"/>
  <c r="R793" i="9" s="1"/>
  <c r="Z793" i="9"/>
  <c r="AD793" i="9"/>
  <c r="AE793" i="9"/>
  <c r="AF793" i="9"/>
  <c r="BB793" i="9" s="1"/>
  <c r="BC793" i="9" a="1"/>
  <c r="BC793" i="9" s="1"/>
  <c r="F794" i="9"/>
  <c r="M794" i="9" a="1"/>
  <c r="M794" i="9" s="1"/>
  <c r="R794" i="9" a="1"/>
  <c r="R794" i="9" s="1"/>
  <c r="Z794" i="9"/>
  <c r="AD794" i="9"/>
  <c r="AI794" i="9" s="1"/>
  <c r="AE794" i="9"/>
  <c r="AF794" i="9"/>
  <c r="BA794" i="9" s="1"/>
  <c r="AY794" i="9" a="1"/>
  <c r="AY794" i="9" s="1"/>
  <c r="AZ794" i="9" s="1"/>
  <c r="BC794" i="9" a="1"/>
  <c r="BC794" i="9" s="1"/>
  <c r="BI794" i="9"/>
  <c r="BM794" i="9"/>
  <c r="BQ794" i="9"/>
  <c r="BX794" i="9"/>
  <c r="CC794" i="9"/>
  <c r="CK794" i="9"/>
  <c r="F795" i="9"/>
  <c r="M795" i="9" a="1"/>
  <c r="M795" i="9" s="1"/>
  <c r="R795" i="9" a="1"/>
  <c r="R795" i="9" s="1"/>
  <c r="Z795" i="9"/>
  <c r="AD795" i="9"/>
  <c r="BM795" i="9" s="1"/>
  <c r="AE795" i="9"/>
  <c r="AF795" i="9"/>
  <c r="BC795" i="9" a="1"/>
  <c r="BC795" i="9"/>
  <c r="CC795" i="9"/>
  <c r="CK795" i="9"/>
  <c r="F796" i="9"/>
  <c r="M796" i="9" a="1"/>
  <c r="M796" i="9" s="1"/>
  <c r="R796" i="9" a="1"/>
  <c r="R796" i="9" s="1"/>
  <c r="Z796" i="9"/>
  <c r="AD796" i="9"/>
  <c r="BI796" i="9" s="1"/>
  <c r="AE796" i="9"/>
  <c r="AF796" i="9"/>
  <c r="BA796" i="9" s="1"/>
  <c r="BC796" i="9" a="1"/>
  <c r="BC796" i="9" s="1"/>
  <c r="F797" i="9"/>
  <c r="M797" i="9" a="1"/>
  <c r="M797" i="9" s="1"/>
  <c r="R797" i="9" a="1"/>
  <c r="R797" i="9" s="1"/>
  <c r="Z797" i="9"/>
  <c r="AD797" i="9"/>
  <c r="A797" i="9" s="1"/>
  <c r="AE797" i="9"/>
  <c r="AF797" i="9"/>
  <c r="BA797" i="9" s="1"/>
  <c r="BC797" i="9" a="1"/>
  <c r="BC797" i="9" s="1"/>
  <c r="F798" i="9"/>
  <c r="M798" i="9" a="1"/>
  <c r="M798" i="9" s="1"/>
  <c r="R798" i="9" a="1"/>
  <c r="R798" i="9" s="1"/>
  <c r="Z798" i="9"/>
  <c r="AD798" i="9"/>
  <c r="AI798" i="9" s="1"/>
  <c r="AE798" i="9"/>
  <c r="AF798" i="9"/>
  <c r="BC798" i="9" a="1"/>
  <c r="BC798" i="9" s="1"/>
  <c r="F799" i="9"/>
  <c r="M799" i="9" a="1"/>
  <c r="M799" i="9" s="1"/>
  <c r="R799" i="9" a="1"/>
  <c r="R799" i="9" s="1"/>
  <c r="Z799" i="9"/>
  <c r="AD799" i="9"/>
  <c r="AE799" i="9"/>
  <c r="AF799" i="9"/>
  <c r="BB799" i="9" s="1"/>
  <c r="BC799" i="9" a="1"/>
  <c r="BC799" i="9" s="1"/>
  <c r="F800" i="9"/>
  <c r="M800" i="9" a="1"/>
  <c r="M800" i="9" s="1"/>
  <c r="R800" i="9" a="1"/>
  <c r="R800" i="9" s="1"/>
  <c r="Z800" i="9"/>
  <c r="AD800" i="9"/>
  <c r="BM800" i="9" s="1"/>
  <c r="AE800" i="9"/>
  <c r="AF800" i="9"/>
  <c r="BA800" i="9" s="1"/>
  <c r="BC800" i="9" a="1"/>
  <c r="BC800" i="9" s="1"/>
  <c r="BQ800" i="9"/>
  <c r="CG800" i="9"/>
  <c r="F801" i="9"/>
  <c r="M801" i="9" a="1"/>
  <c r="M801" i="9" s="1"/>
  <c r="R801" i="9" a="1"/>
  <c r="R801" i="9" s="1"/>
  <c r="Z801" i="9"/>
  <c r="AD801" i="9"/>
  <c r="BI801" i="9" s="1"/>
  <c r="AE801" i="9"/>
  <c r="AF801" i="9"/>
  <c r="BB801" i="9" s="1"/>
  <c r="BC801" i="9" a="1"/>
  <c r="BC801" i="9" s="1"/>
  <c r="F802" i="9"/>
  <c r="M802" i="9" a="1"/>
  <c r="M802" i="9" s="1"/>
  <c r="R802" i="9" a="1"/>
  <c r="R802" i="9" s="1"/>
  <c r="Z802" i="9"/>
  <c r="AD802" i="9"/>
  <c r="AI802" i="9" s="1"/>
  <c r="AE802" i="9"/>
  <c r="AF802" i="9"/>
  <c r="BA802" i="9" s="1"/>
  <c r="BC802" i="9" a="1"/>
  <c r="BC802" i="9" s="1"/>
  <c r="BI802" i="9"/>
  <c r="BM802" i="9"/>
  <c r="BX802" i="9"/>
  <c r="CG802" i="9"/>
  <c r="CK802" i="9"/>
  <c r="F803" i="9"/>
  <c r="M803" i="9" a="1"/>
  <c r="M803" i="9" s="1"/>
  <c r="R803" i="9" a="1"/>
  <c r="R803" i="9" s="1"/>
  <c r="Z803" i="9"/>
  <c r="AD803" i="9"/>
  <c r="BM803" i="9" s="1"/>
  <c r="AE803" i="9"/>
  <c r="AF803" i="9"/>
  <c r="BC803" i="9" a="1"/>
  <c r="BC803" i="9"/>
  <c r="BI803" i="9"/>
  <c r="F804" i="9"/>
  <c r="M804" i="9" a="1"/>
  <c r="M804" i="9" s="1"/>
  <c r="R804" i="9" a="1"/>
  <c r="R804" i="9" s="1"/>
  <c r="Z804" i="9"/>
  <c r="AD804" i="9"/>
  <c r="A804" i="9" s="1"/>
  <c r="AE804" i="9"/>
  <c r="AF804" i="9"/>
  <c r="BB804" i="9"/>
  <c r="BC804" i="9" a="1"/>
  <c r="BC804" i="9" s="1"/>
  <c r="F805" i="9"/>
  <c r="M805" i="9" a="1"/>
  <c r="M805" i="9" s="1"/>
  <c r="R805" i="9" a="1"/>
  <c r="R805" i="9" s="1"/>
  <c r="Z805" i="9"/>
  <c r="AD805" i="9"/>
  <c r="A805" i="9" s="1"/>
  <c r="AE805" i="9"/>
  <c r="AF805" i="9"/>
  <c r="BA805" i="9" s="1"/>
  <c r="BC805" i="9" a="1"/>
  <c r="BC805" i="9" s="1"/>
  <c r="BD805" i="9"/>
  <c r="BM805" i="9"/>
  <c r="F806" i="9"/>
  <c r="M806" i="9" a="1"/>
  <c r="M806" i="9" s="1"/>
  <c r="R806" i="9" a="1"/>
  <c r="R806" i="9" s="1"/>
  <c r="Z806" i="9"/>
  <c r="AD806" i="9"/>
  <c r="BQ806" i="9" s="1"/>
  <c r="AE806" i="9"/>
  <c r="AF806" i="9"/>
  <c r="BB806" i="9" s="1"/>
  <c r="BC806" i="9" a="1"/>
  <c r="BC806" i="9" s="1"/>
  <c r="F807" i="9"/>
  <c r="M807" i="9" a="1"/>
  <c r="M807" i="9" s="1"/>
  <c r="R807" i="9" a="1"/>
  <c r="R807" i="9" s="1"/>
  <c r="Z807" i="9"/>
  <c r="AD807" i="9"/>
  <c r="CK807" i="9" s="1"/>
  <c r="AE807" i="9"/>
  <c r="AF807" i="9"/>
  <c r="BB807" i="9" s="1"/>
  <c r="BC807" i="9" a="1"/>
  <c r="BC807" i="9" s="1"/>
  <c r="F808" i="9"/>
  <c r="M808" i="9" a="1"/>
  <c r="M808" i="9" s="1"/>
  <c r="R808" i="9" a="1"/>
  <c r="R808" i="9" s="1"/>
  <c r="Z808" i="9"/>
  <c r="AD808" i="9"/>
  <c r="BM808" i="9" s="1"/>
  <c r="AE808" i="9"/>
  <c r="AF808" i="9"/>
  <c r="BC808" i="9" a="1"/>
  <c r="BC808" i="9" s="1"/>
  <c r="F809" i="9"/>
  <c r="M809" i="9" a="1"/>
  <c r="M809" i="9" s="1"/>
  <c r="R809" i="9" a="1"/>
  <c r="R809" i="9" s="1"/>
  <c r="Z809" i="9"/>
  <c r="AD809" i="9"/>
  <c r="BI809" i="9" s="1"/>
  <c r="AE809" i="9"/>
  <c r="AF809" i="9"/>
  <c r="BA809" i="9" s="1"/>
  <c r="BC809" i="9" a="1"/>
  <c r="BC809" i="9" s="1"/>
  <c r="F810" i="9"/>
  <c r="M810" i="9" a="1"/>
  <c r="M810" i="9" s="1"/>
  <c r="R810" i="9" a="1"/>
  <c r="R810" i="9" s="1"/>
  <c r="Z810" i="9"/>
  <c r="AD810" i="9"/>
  <c r="AI810" i="9" s="1"/>
  <c r="AE810" i="9"/>
  <c r="AF810" i="9"/>
  <c r="BC810" i="9" a="1"/>
  <c r="BC810" i="9" s="1"/>
  <c r="BD810" i="9"/>
  <c r="F811" i="9"/>
  <c r="M811" i="9" a="1"/>
  <c r="M811" i="9" s="1"/>
  <c r="R811" i="9" a="1"/>
  <c r="R811" i="9" s="1"/>
  <c r="Z811" i="9"/>
  <c r="AD811" i="9"/>
  <c r="BM811" i="9" s="1"/>
  <c r="AE811" i="9"/>
  <c r="AF811" i="9"/>
  <c r="BC811" i="9" a="1"/>
  <c r="BC811" i="9" s="1"/>
  <c r="BD811" i="9"/>
  <c r="F812" i="9"/>
  <c r="M812" i="9" a="1"/>
  <c r="M812" i="9" s="1"/>
  <c r="R812" i="9" a="1"/>
  <c r="R812" i="9" s="1"/>
  <c r="Z812" i="9"/>
  <c r="AD812" i="9"/>
  <c r="AY812" i="9" s="1" a="1"/>
  <c r="AY812" i="9" s="1"/>
  <c r="AE812" i="9"/>
  <c r="AF812" i="9"/>
  <c r="BB812" i="9" s="1"/>
  <c r="BC812" i="9" a="1"/>
  <c r="BC812" i="9" s="1"/>
  <c r="CG812" i="9"/>
  <c r="F813" i="9"/>
  <c r="M813" i="9" a="1"/>
  <c r="M813" i="9" s="1"/>
  <c r="R813" i="9" a="1"/>
  <c r="R813" i="9" s="1"/>
  <c r="Z813" i="9"/>
  <c r="AD813" i="9"/>
  <c r="A813" i="9" s="1"/>
  <c r="AE813" i="9"/>
  <c r="AF813" i="9"/>
  <c r="BA813" i="9" s="1"/>
  <c r="AI813" i="9"/>
  <c r="AY813" i="9" a="1"/>
  <c r="AY813" i="9" s="1"/>
  <c r="BC813" i="9" a="1"/>
  <c r="BC813" i="9" s="1"/>
  <c r="BD813" i="9"/>
  <c r="BI813" i="9"/>
  <c r="BM813" i="9"/>
  <c r="CG813" i="9"/>
  <c r="CK813" i="9"/>
  <c r="F814" i="9"/>
  <c r="M814" i="9" a="1"/>
  <c r="M814" i="9" s="1"/>
  <c r="R814" i="9" a="1"/>
  <c r="R814" i="9" s="1"/>
  <c r="Z814" i="9"/>
  <c r="AD814" i="9"/>
  <c r="A814" i="9" s="1"/>
  <c r="AE814" i="9"/>
  <c r="AF814" i="9"/>
  <c r="BB814" i="9" s="1"/>
  <c r="BC814" i="9" a="1"/>
  <c r="BC814" i="9" s="1"/>
  <c r="F815" i="9"/>
  <c r="M815" i="9" a="1"/>
  <c r="M815" i="9" s="1"/>
  <c r="R815" i="9" a="1"/>
  <c r="R815" i="9" s="1"/>
  <c r="Z815" i="9"/>
  <c r="AD815" i="9"/>
  <c r="AE815" i="9"/>
  <c r="AF815" i="9"/>
  <c r="BB815" i="9" s="1"/>
  <c r="BC815" i="9" a="1"/>
  <c r="BC815" i="9" s="1"/>
  <c r="BD815" i="9"/>
  <c r="BI815" i="9"/>
  <c r="F816" i="9"/>
  <c r="M816" i="9" a="1"/>
  <c r="M816" i="9" s="1"/>
  <c r="R816" i="9" a="1"/>
  <c r="R816" i="9" s="1"/>
  <c r="Z816" i="9"/>
  <c r="AD816" i="9"/>
  <c r="BQ816" i="9" s="1"/>
  <c r="AE816" i="9"/>
  <c r="AF816" i="9"/>
  <c r="BC816" i="9" a="1"/>
  <c r="BC816" i="9" s="1"/>
  <c r="F817" i="9"/>
  <c r="M817" i="9" a="1"/>
  <c r="M817" i="9" s="1"/>
  <c r="R817" i="9" a="1"/>
  <c r="R817" i="9" s="1"/>
  <c r="Z817" i="9"/>
  <c r="AD817" i="9"/>
  <c r="BI817" i="9" s="1"/>
  <c r="AE817" i="9"/>
  <c r="AF817" i="9"/>
  <c r="BB817" i="9" s="1"/>
  <c r="BC817" i="9" a="1"/>
  <c r="BC817" i="9" s="1"/>
  <c r="F818" i="9"/>
  <c r="M818" i="9" a="1"/>
  <c r="M818" i="9" s="1"/>
  <c r="R818" i="9" a="1"/>
  <c r="R818" i="9" s="1"/>
  <c r="Z818" i="9"/>
  <c r="AD818" i="9"/>
  <c r="AI818" i="9" s="1"/>
  <c r="AE818" i="9"/>
  <c r="AF818" i="9"/>
  <c r="AY818" i="9" a="1"/>
  <c r="AY818" i="9" s="1"/>
  <c r="BC818" i="9" a="1"/>
  <c r="BC818" i="9" s="1"/>
  <c r="BI818" i="9"/>
  <c r="BM818" i="9"/>
  <c r="BQ818" i="9"/>
  <c r="CG818" i="9"/>
  <c r="F819" i="9"/>
  <c r="M819" i="9" a="1"/>
  <c r="M819" i="9" s="1"/>
  <c r="R819" i="9" a="1"/>
  <c r="R819" i="9" s="1"/>
  <c r="Z819" i="9"/>
  <c r="AD819" i="9"/>
  <c r="AE819" i="9"/>
  <c r="AF819" i="9"/>
  <c r="BB819" i="9" s="1"/>
  <c r="BC819" i="9" a="1"/>
  <c r="BC819" i="9" s="1"/>
  <c r="F820" i="9"/>
  <c r="M820" i="9" a="1"/>
  <c r="M820" i="9" s="1"/>
  <c r="R820" i="9" a="1"/>
  <c r="R820" i="9" s="1"/>
  <c r="Z820" i="9"/>
  <c r="AD820" i="9"/>
  <c r="AE820" i="9"/>
  <c r="AF820" i="9"/>
  <c r="BB820" i="9" s="1"/>
  <c r="BC820" i="9" a="1"/>
  <c r="BC820" i="9" s="1"/>
  <c r="BD820" i="9"/>
  <c r="F821" i="9"/>
  <c r="M821" i="9" a="1"/>
  <c r="M821" i="9" s="1"/>
  <c r="R821" i="9" a="1"/>
  <c r="R821" i="9" s="1"/>
  <c r="Z821" i="9"/>
  <c r="AD821" i="9"/>
  <c r="BD821" i="9" s="1"/>
  <c r="AE821" i="9"/>
  <c r="AF821" i="9"/>
  <c r="BB821" i="9" s="1"/>
  <c r="BC821" i="9" a="1"/>
  <c r="BC821" i="9" s="1"/>
  <c r="F822" i="9"/>
  <c r="M822" i="9" a="1"/>
  <c r="M822" i="9" s="1"/>
  <c r="R822" i="9" a="1"/>
  <c r="R822" i="9" s="1"/>
  <c r="Z822" i="9"/>
  <c r="AD822" i="9"/>
  <c r="BI822" i="9" s="1"/>
  <c r="AE822" i="9"/>
  <c r="AF822" i="9"/>
  <c r="BC822" i="9" a="1"/>
  <c r="BC822" i="9" s="1"/>
  <c r="BQ822" i="9"/>
  <c r="F823" i="9"/>
  <c r="M823" i="9" a="1"/>
  <c r="M823" i="9" s="1"/>
  <c r="R823" i="9" a="1"/>
  <c r="R823" i="9" s="1"/>
  <c r="Z823" i="9"/>
  <c r="AD823" i="9"/>
  <c r="AE823" i="9"/>
  <c r="AF823" i="9"/>
  <c r="BC823" i="9" a="1"/>
  <c r="BC823" i="9" s="1"/>
  <c r="F824" i="9"/>
  <c r="M824" i="9" a="1"/>
  <c r="M824" i="9" s="1"/>
  <c r="R824" i="9" a="1"/>
  <c r="R824" i="9" s="1"/>
  <c r="Z824" i="9"/>
  <c r="AD824" i="9"/>
  <c r="AE824" i="9"/>
  <c r="AF824" i="9"/>
  <c r="BC824" i="9" a="1"/>
  <c r="BC824" i="9" s="1"/>
  <c r="F825" i="9"/>
  <c r="M825" i="9" a="1"/>
  <c r="M825" i="9" s="1"/>
  <c r="R825" i="9" a="1"/>
  <c r="R825" i="9" s="1"/>
  <c r="Z825" i="9"/>
  <c r="AD825" i="9"/>
  <c r="BI825" i="9" s="1"/>
  <c r="AE825" i="9"/>
  <c r="AF825" i="9"/>
  <c r="BA825" i="9" s="1"/>
  <c r="BC825" i="9" a="1"/>
  <c r="BC825" i="9" s="1"/>
  <c r="CG825" i="9"/>
  <c r="CK825" i="9"/>
  <c r="F826" i="9"/>
  <c r="M826" i="9" a="1"/>
  <c r="M826" i="9" s="1"/>
  <c r="R826" i="9" a="1"/>
  <c r="R826" i="9" s="1"/>
  <c r="Z826" i="9"/>
  <c r="AD826" i="9"/>
  <c r="BM826" i="9" s="1"/>
  <c r="AE826" i="9"/>
  <c r="AF826" i="9"/>
  <c r="BC826" i="9" a="1"/>
  <c r="BC826" i="9" s="1"/>
  <c r="F827" i="9"/>
  <c r="M827" i="9" a="1"/>
  <c r="M827" i="9" s="1"/>
  <c r="R827" i="9" a="1"/>
  <c r="R827" i="9" s="1"/>
  <c r="Z827" i="9"/>
  <c r="AD827" i="9"/>
  <c r="BQ827" i="9" s="1"/>
  <c r="AE827" i="9"/>
  <c r="AF827" i="9"/>
  <c r="BC827" i="9" a="1"/>
  <c r="BC827" i="9" s="1"/>
  <c r="F828" i="9"/>
  <c r="M828" i="9" a="1"/>
  <c r="M828" i="9" s="1"/>
  <c r="R828" i="9" a="1"/>
  <c r="R828" i="9" s="1"/>
  <c r="Z828" i="9"/>
  <c r="AD828" i="9"/>
  <c r="BM828" i="9" s="1"/>
  <c r="AE828" i="9"/>
  <c r="AF828" i="9"/>
  <c r="BA828" i="9" s="1"/>
  <c r="BC828" i="9" a="1"/>
  <c r="BC828" i="9" s="1"/>
  <c r="F829" i="9"/>
  <c r="M829" i="9" a="1"/>
  <c r="M829" i="9" s="1"/>
  <c r="R829" i="9" a="1"/>
  <c r="R829" i="9" s="1"/>
  <c r="Z829" i="9"/>
  <c r="AD829" i="9"/>
  <c r="BQ829" i="9" s="1"/>
  <c r="AE829" i="9"/>
  <c r="AF829" i="9"/>
  <c r="BA829" i="9" s="1"/>
  <c r="BC829" i="9" a="1"/>
  <c r="BC829" i="9" s="1"/>
  <c r="BM829" i="9"/>
  <c r="BX829" i="9"/>
  <c r="F830" i="9"/>
  <c r="M830" i="9" a="1"/>
  <c r="M830" i="9" s="1"/>
  <c r="R830" i="9" a="1"/>
  <c r="R830" i="9" s="1"/>
  <c r="Z830" i="9"/>
  <c r="AD830" i="9"/>
  <c r="AE830" i="9"/>
  <c r="AF830" i="9"/>
  <c r="BB830" i="9" s="1"/>
  <c r="AY830" i="9" a="1"/>
  <c r="AY830" i="9" s="1"/>
  <c r="BC830" i="9" a="1"/>
  <c r="BC830" i="9" s="1"/>
  <c r="BX830" i="9"/>
  <c r="CG830" i="9"/>
  <c r="CK830" i="9"/>
  <c r="F831" i="9"/>
  <c r="M831" i="9" a="1"/>
  <c r="M831" i="9" s="1"/>
  <c r="R831" i="9" a="1"/>
  <c r="R831" i="9" s="1"/>
  <c r="Z831" i="9"/>
  <c r="AD831" i="9"/>
  <c r="BQ831" i="9" s="1"/>
  <c r="AE831" i="9"/>
  <c r="AF831" i="9"/>
  <c r="BB831" i="9" s="1"/>
  <c r="BC831" i="9" a="1"/>
  <c r="BC831" i="9" s="1"/>
  <c r="F832" i="9"/>
  <c r="M832" i="9" a="1"/>
  <c r="M832" i="9" s="1"/>
  <c r="R832" i="9" a="1"/>
  <c r="R832" i="9" s="1"/>
  <c r="Z832" i="9"/>
  <c r="AD832" i="9"/>
  <c r="BD832" i="9" s="1"/>
  <c r="AE832" i="9"/>
  <c r="AF832" i="9"/>
  <c r="BB832" i="9" s="1"/>
  <c r="BC832" i="9" a="1"/>
  <c r="BC832" i="9" s="1"/>
  <c r="F833" i="9"/>
  <c r="M833" i="9" a="1"/>
  <c r="M833" i="9" s="1"/>
  <c r="R833" i="9" a="1"/>
  <c r="R833" i="9" s="1"/>
  <c r="Z833" i="9"/>
  <c r="AD833" i="9"/>
  <c r="AE833" i="9"/>
  <c r="AF833" i="9"/>
  <c r="BB833" i="9" s="1"/>
  <c r="BC833" i="9" a="1"/>
  <c r="BC833" i="9" s="1"/>
  <c r="F834" i="9"/>
  <c r="M834" i="9" a="1"/>
  <c r="M834" i="9" s="1"/>
  <c r="R834" i="9" a="1"/>
  <c r="R834" i="9" s="1"/>
  <c r="Z834" i="9"/>
  <c r="AD834" i="9"/>
  <c r="A834" i="9" s="1"/>
  <c r="AE834" i="9"/>
  <c r="AF834" i="9"/>
  <c r="BC834" i="9" a="1"/>
  <c r="BC834" i="9" s="1"/>
  <c r="F835" i="9"/>
  <c r="M835" i="9" a="1"/>
  <c r="M835" i="9" s="1"/>
  <c r="R835" i="9" a="1"/>
  <c r="R835" i="9" s="1"/>
  <c r="Z835" i="9"/>
  <c r="AD835" i="9"/>
  <c r="BQ835" i="9" s="1"/>
  <c r="AE835" i="9"/>
  <c r="AF835" i="9"/>
  <c r="BC835" i="9" a="1"/>
  <c r="BC835" i="9" s="1"/>
  <c r="F836" i="9"/>
  <c r="M836" i="9" a="1"/>
  <c r="M836" i="9" s="1"/>
  <c r="R836" i="9" a="1"/>
  <c r="R836" i="9" s="1"/>
  <c r="Z836" i="9"/>
  <c r="AD836" i="9"/>
  <c r="CK836" i="9" s="1"/>
  <c r="AE836" i="9"/>
  <c r="AF836" i="9"/>
  <c r="BB836" i="9" s="1"/>
  <c r="BC836" i="9" a="1"/>
  <c r="BC836" i="9" s="1"/>
  <c r="BI836" i="9"/>
  <c r="BM836" i="9"/>
  <c r="CC836" i="9"/>
  <c r="F837" i="9"/>
  <c r="M837" i="9" a="1"/>
  <c r="M837" i="9" s="1"/>
  <c r="R837" i="9" a="1"/>
  <c r="R837" i="9" s="1"/>
  <c r="Z837" i="9"/>
  <c r="AD837" i="9"/>
  <c r="BX837" i="9" s="1"/>
  <c r="AE837" i="9"/>
  <c r="AF837" i="9"/>
  <c r="AY837" i="9" a="1"/>
  <c r="AY837" i="9" s="1"/>
  <c r="BC837" i="9" a="1"/>
  <c r="BC837" i="9" s="1"/>
  <c r="BQ837" i="9"/>
  <c r="F838" i="9"/>
  <c r="M838" i="9" a="1"/>
  <c r="M838" i="9" s="1"/>
  <c r="R838" i="9" a="1"/>
  <c r="R838" i="9" s="1"/>
  <c r="Z838" i="9"/>
  <c r="AD838" i="9"/>
  <c r="AE838" i="9"/>
  <c r="AF838" i="9"/>
  <c r="BB838" i="9" s="1"/>
  <c r="BC838" i="9" a="1"/>
  <c r="BC838" i="9" s="1"/>
  <c r="CK838" i="9"/>
  <c r="F839" i="9"/>
  <c r="M839" i="9" a="1"/>
  <c r="M839" i="9" s="1"/>
  <c r="R839" i="9" a="1"/>
  <c r="R839" i="9" s="1"/>
  <c r="Z839" i="9"/>
  <c r="AD839" i="9"/>
  <c r="A839" i="9" s="1"/>
  <c r="AE839" i="9"/>
  <c r="AF839" i="9"/>
  <c r="BB839" i="9" s="1"/>
  <c r="AI839" i="9"/>
  <c r="BC839" i="9" a="1"/>
  <c r="BC839" i="9" s="1"/>
  <c r="BD839" i="9"/>
  <c r="BQ839" i="9"/>
  <c r="F840" i="9"/>
  <c r="M840" i="9" a="1"/>
  <c r="M840" i="9" s="1"/>
  <c r="R840" i="9" a="1"/>
  <c r="R840" i="9" s="1"/>
  <c r="Z840" i="9"/>
  <c r="AD840" i="9"/>
  <c r="AE840" i="9"/>
  <c r="AF840" i="9"/>
  <c r="BB840" i="9" s="1"/>
  <c r="BC840" i="9" a="1"/>
  <c r="BC840" i="9" s="1"/>
  <c r="F841" i="9"/>
  <c r="M841" i="9" a="1"/>
  <c r="M841" i="9" s="1"/>
  <c r="R841" i="9" a="1"/>
  <c r="R841" i="9" s="1"/>
  <c r="Z841" i="9"/>
  <c r="AD841" i="9"/>
  <c r="CK841" i="9" s="1"/>
  <c r="AE841" i="9"/>
  <c r="AF841" i="9"/>
  <c r="BB841" i="9" s="1"/>
  <c r="BC841" i="9" a="1"/>
  <c r="BC841" i="9" s="1"/>
  <c r="BI841" i="9"/>
  <c r="F842" i="9"/>
  <c r="M842" i="9" a="1"/>
  <c r="M842" i="9" s="1"/>
  <c r="R842" i="9" a="1"/>
  <c r="R842" i="9" s="1"/>
  <c r="Z842" i="9"/>
  <c r="AD842" i="9"/>
  <c r="BX842" i="9" s="1"/>
  <c r="AE842" i="9"/>
  <c r="AF842" i="9"/>
  <c r="BC842" i="9" a="1"/>
  <c r="BC842" i="9"/>
  <c r="F843" i="9"/>
  <c r="M843" i="9" a="1"/>
  <c r="M843" i="9" s="1"/>
  <c r="R843" i="9" a="1"/>
  <c r="R843" i="9" s="1"/>
  <c r="Z843" i="9"/>
  <c r="AD843" i="9"/>
  <c r="AE843" i="9"/>
  <c r="AF843" i="9"/>
  <c r="BA843" i="9" s="1"/>
  <c r="BC843" i="9" a="1"/>
  <c r="BC843" i="9" s="1"/>
  <c r="F844" i="9"/>
  <c r="M844" i="9" a="1"/>
  <c r="M844" i="9" s="1"/>
  <c r="R844" i="9" a="1"/>
  <c r="R844" i="9" s="1"/>
  <c r="Z844" i="9"/>
  <c r="AD844" i="9"/>
  <c r="CK844" i="9" s="1"/>
  <c r="AE844" i="9"/>
  <c r="AF844" i="9"/>
  <c r="BB844" i="9" s="1"/>
  <c r="BC844" i="9" a="1"/>
  <c r="BC844" i="9" s="1"/>
  <c r="F845" i="9"/>
  <c r="M845" i="9" a="1"/>
  <c r="M845" i="9" s="1"/>
  <c r="R845" i="9" a="1"/>
  <c r="R845" i="9" s="1"/>
  <c r="Z845" i="9"/>
  <c r="AD845" i="9"/>
  <c r="A845" i="9" s="1"/>
  <c r="AE845" i="9"/>
  <c r="AF845" i="9"/>
  <c r="BA845" i="9" s="1"/>
  <c r="BC845" i="9" a="1"/>
  <c r="BC845" i="9" s="1"/>
  <c r="CC845" i="9"/>
  <c r="CG845" i="9"/>
  <c r="CK845" i="9"/>
  <c r="F846" i="9"/>
  <c r="M846" i="9" a="1"/>
  <c r="M846" i="9" s="1"/>
  <c r="R846" i="9" a="1"/>
  <c r="R846" i="9" s="1"/>
  <c r="Z846" i="9"/>
  <c r="AD846" i="9"/>
  <c r="BD846" i="9" s="1"/>
  <c r="AE846" i="9"/>
  <c r="AF846" i="9"/>
  <c r="BC846" i="9" a="1"/>
  <c r="BC846" i="9" s="1"/>
  <c r="BI846" i="9"/>
  <c r="BQ846" i="9"/>
  <c r="BX846" i="9"/>
  <c r="CG846" i="9"/>
  <c r="F847" i="9"/>
  <c r="M847" i="9" a="1"/>
  <c r="M847" i="9" s="1"/>
  <c r="R847" i="9" a="1"/>
  <c r="R847" i="9" s="1"/>
  <c r="Z847" i="9"/>
  <c r="AD847" i="9"/>
  <c r="BD847" i="9" s="1"/>
  <c r="AE847" i="9"/>
  <c r="AF847" i="9"/>
  <c r="BB847" i="9" s="1"/>
  <c r="BC847" i="9" a="1"/>
  <c r="BC847" i="9" s="1"/>
  <c r="BQ847" i="9"/>
  <c r="CG847" i="9"/>
  <c r="F848" i="9"/>
  <c r="M848" i="9" a="1"/>
  <c r="M848" i="9" s="1"/>
  <c r="R848" i="9" a="1"/>
  <c r="R848" i="9" s="1"/>
  <c r="Z848" i="9"/>
  <c r="AD848" i="9"/>
  <c r="AE848" i="9"/>
  <c r="AF848" i="9"/>
  <c r="BB848" i="9" s="1"/>
  <c r="BC848" i="9" a="1"/>
  <c r="BC848" i="9" s="1"/>
  <c r="BI848" i="9"/>
  <c r="CK848" i="9"/>
  <c r="F849" i="9"/>
  <c r="M849" i="9" a="1"/>
  <c r="M849" i="9" s="1"/>
  <c r="R849" i="9" a="1"/>
  <c r="R849" i="9" s="1"/>
  <c r="Z849" i="9"/>
  <c r="AD849" i="9"/>
  <c r="AE849" i="9"/>
  <c r="AF849" i="9"/>
  <c r="BB849" i="9" s="1"/>
  <c r="BC849" i="9" a="1"/>
  <c r="BC849" i="9" s="1"/>
  <c r="F850" i="9"/>
  <c r="M850" i="9" a="1"/>
  <c r="M850" i="9" s="1"/>
  <c r="R850" i="9" a="1"/>
  <c r="R850" i="9" s="1"/>
  <c r="Z850" i="9"/>
  <c r="AD850" i="9"/>
  <c r="AE850" i="9"/>
  <c r="AF850" i="9"/>
  <c r="BC850" i="9" a="1"/>
  <c r="BC850" i="9" s="1"/>
  <c r="F851" i="9"/>
  <c r="M851" i="9" a="1"/>
  <c r="M851" i="9" s="1"/>
  <c r="R851" i="9" a="1"/>
  <c r="R851" i="9" s="1"/>
  <c r="Z851" i="9"/>
  <c r="AD851" i="9"/>
  <c r="BQ851" i="9" s="1"/>
  <c r="AE851" i="9"/>
  <c r="AF851" i="9"/>
  <c r="BB851" i="9" s="1"/>
  <c r="BC851" i="9" a="1"/>
  <c r="BC851" i="9"/>
  <c r="F852" i="9"/>
  <c r="M852" i="9" a="1"/>
  <c r="M852" i="9" s="1"/>
  <c r="R852" i="9" a="1"/>
  <c r="R852" i="9" s="1"/>
  <c r="Z852" i="9"/>
  <c r="AD852" i="9"/>
  <c r="CK852" i="9" s="1"/>
  <c r="AE852" i="9"/>
  <c r="AF852" i="9"/>
  <c r="BB852" i="9"/>
  <c r="BC852" i="9" a="1"/>
  <c r="BC852" i="9" s="1"/>
  <c r="BM852" i="9"/>
  <c r="F853" i="9"/>
  <c r="M853" i="9" a="1"/>
  <c r="M853" i="9" s="1"/>
  <c r="R853" i="9" a="1"/>
  <c r="R853" i="9" s="1"/>
  <c r="Z853" i="9"/>
  <c r="AD853" i="9"/>
  <c r="AE853" i="9"/>
  <c r="AF853" i="9"/>
  <c r="BC853" i="9" a="1"/>
  <c r="BC853" i="9" s="1"/>
  <c r="F854" i="9"/>
  <c r="M854" i="9" a="1"/>
  <c r="M854" i="9" s="1"/>
  <c r="R854" i="9" a="1"/>
  <c r="R854" i="9" s="1"/>
  <c r="Z854" i="9"/>
  <c r="AD854" i="9"/>
  <c r="AI854" i="9" s="1"/>
  <c r="AE854" i="9"/>
  <c r="AF854" i="9"/>
  <c r="BB854" i="9" s="1"/>
  <c r="BC854" i="9" a="1"/>
  <c r="BC854" i="9" s="1"/>
  <c r="F855" i="9"/>
  <c r="M855" i="9" a="1"/>
  <c r="M855" i="9" s="1"/>
  <c r="R855" i="9" a="1"/>
  <c r="R855" i="9" s="1"/>
  <c r="Z855" i="9"/>
  <c r="AD855" i="9"/>
  <c r="BM855" i="9" s="1"/>
  <c r="AE855" i="9"/>
  <c r="AF855" i="9"/>
  <c r="BB855" i="9" s="1"/>
  <c r="BC855" i="9" a="1"/>
  <c r="BC855" i="9" s="1"/>
  <c r="CK855" i="9"/>
  <c r="F856" i="9"/>
  <c r="M856" i="9" a="1"/>
  <c r="M856" i="9" s="1"/>
  <c r="R856" i="9" a="1"/>
  <c r="R856" i="9" s="1"/>
  <c r="Z856" i="9"/>
  <c r="AD856" i="9"/>
  <c r="BM856" i="9" s="1"/>
  <c r="AE856" i="9"/>
  <c r="AF856" i="9"/>
  <c r="BB856" i="9" s="1"/>
  <c r="BC856" i="9" a="1"/>
  <c r="BC856" i="9" s="1"/>
  <c r="CK856" i="9"/>
  <c r="F857" i="9"/>
  <c r="M857" i="9" a="1"/>
  <c r="M857" i="9" s="1"/>
  <c r="R857" i="9" a="1"/>
  <c r="R857" i="9" s="1"/>
  <c r="Z857" i="9"/>
  <c r="AD857" i="9"/>
  <c r="CK857" i="9" s="1"/>
  <c r="AE857" i="9"/>
  <c r="AF857" i="9"/>
  <c r="BB857" i="9"/>
  <c r="BC857" i="9" a="1"/>
  <c r="BC857" i="9" s="1"/>
  <c r="F858" i="9"/>
  <c r="M858" i="9" a="1"/>
  <c r="M858" i="9" s="1"/>
  <c r="R858" i="9" a="1"/>
  <c r="R858" i="9" s="1"/>
  <c r="Z858" i="9"/>
  <c r="AD858" i="9"/>
  <c r="BI858" i="9" s="1"/>
  <c r="AE858" i="9"/>
  <c r="AF858" i="9"/>
  <c r="BC858" i="9" a="1"/>
  <c r="BC858" i="9" s="1"/>
  <c r="BD858" i="9"/>
  <c r="CC858" i="9"/>
  <c r="CG858" i="9"/>
  <c r="F859" i="9"/>
  <c r="M859" i="9" a="1"/>
  <c r="M859" i="9" s="1"/>
  <c r="R859" i="9" a="1"/>
  <c r="R859" i="9" s="1"/>
  <c r="Z859" i="9"/>
  <c r="AD859" i="9"/>
  <c r="AE859" i="9"/>
  <c r="AF859" i="9"/>
  <c r="BB859" i="9" s="1"/>
  <c r="BC859" i="9" a="1"/>
  <c r="BC859" i="9" s="1"/>
  <c r="F860" i="9"/>
  <c r="M860" i="9" a="1"/>
  <c r="M860" i="9" s="1"/>
  <c r="R860" i="9" a="1"/>
  <c r="R860" i="9" s="1"/>
  <c r="Z860" i="9"/>
  <c r="AD860" i="9"/>
  <c r="AE860" i="9"/>
  <c r="AF860" i="9"/>
  <c r="BC860" i="9" a="1"/>
  <c r="BC860" i="9" s="1"/>
  <c r="F861" i="9"/>
  <c r="M861" i="9" a="1"/>
  <c r="M861" i="9" s="1"/>
  <c r="R861" i="9" a="1"/>
  <c r="R861" i="9" s="1"/>
  <c r="Z861" i="9"/>
  <c r="AD861" i="9"/>
  <c r="A861" i="9" s="1"/>
  <c r="AE861" i="9"/>
  <c r="AF861" i="9"/>
  <c r="BC861" i="9" a="1"/>
  <c r="BC861" i="9" s="1"/>
  <c r="BD861" i="9"/>
  <c r="BM861" i="9"/>
  <c r="CG861" i="9"/>
  <c r="F862" i="9"/>
  <c r="M862" i="9" a="1"/>
  <c r="M862" i="9" s="1"/>
  <c r="R862" i="9" a="1"/>
  <c r="R862" i="9" s="1"/>
  <c r="Z862" i="9"/>
  <c r="AD862" i="9"/>
  <c r="AE862" i="9"/>
  <c r="AF862" i="9"/>
  <c r="BB862" i="9" s="1"/>
  <c r="BC862" i="9" a="1"/>
  <c r="BC862" i="9" s="1"/>
  <c r="F863" i="9"/>
  <c r="M863" i="9" a="1"/>
  <c r="M863" i="9" s="1"/>
  <c r="R863" i="9" a="1"/>
  <c r="R863" i="9" s="1"/>
  <c r="Z863" i="9"/>
  <c r="AD863" i="9"/>
  <c r="AE863" i="9"/>
  <c r="AF863" i="9"/>
  <c r="BB863" i="9" s="1"/>
  <c r="BC863" i="9" a="1"/>
  <c r="BC863" i="9" s="1"/>
  <c r="F864" i="9"/>
  <c r="M864" i="9" a="1"/>
  <c r="M864" i="9" s="1"/>
  <c r="R864" i="9" a="1"/>
  <c r="R864" i="9" s="1"/>
  <c r="Z864" i="9"/>
  <c r="AD864" i="9"/>
  <c r="BM864" i="9" s="1"/>
  <c r="AE864" i="9"/>
  <c r="AF864" i="9"/>
  <c r="BB864" i="9" s="1"/>
  <c r="AI864" i="9"/>
  <c r="BC864" i="9" a="1"/>
  <c r="BC864" i="9" s="1"/>
  <c r="BD864" i="9"/>
  <c r="CG864" i="9"/>
  <c r="F865" i="9"/>
  <c r="M865" i="9" a="1"/>
  <c r="M865" i="9" s="1"/>
  <c r="R865" i="9" a="1"/>
  <c r="R865" i="9" s="1"/>
  <c r="Z865" i="9"/>
  <c r="AD865" i="9"/>
  <c r="CK865" i="9" s="1"/>
  <c r="AE865" i="9"/>
  <c r="AF865" i="9"/>
  <c r="BB865" i="9" s="1"/>
  <c r="BC865" i="9" a="1"/>
  <c r="BC865" i="9" s="1"/>
  <c r="F866" i="9"/>
  <c r="M866" i="9" a="1"/>
  <c r="M866" i="9" s="1"/>
  <c r="R866" i="9" a="1"/>
  <c r="R866" i="9" s="1"/>
  <c r="Z866" i="9"/>
  <c r="AD866" i="9"/>
  <c r="BI866" i="9" s="1"/>
  <c r="AE866" i="9"/>
  <c r="AF866" i="9"/>
  <c r="BA866" i="9" s="1"/>
  <c r="BC866" i="9" a="1"/>
  <c r="BC866" i="9" s="1"/>
  <c r="BQ866" i="9"/>
  <c r="BX866" i="9"/>
  <c r="CC866" i="9"/>
  <c r="F867" i="9"/>
  <c r="M867" i="9" a="1"/>
  <c r="M867" i="9" s="1"/>
  <c r="R867" i="9" a="1"/>
  <c r="R867" i="9" s="1"/>
  <c r="Z867" i="9"/>
  <c r="AD867" i="9"/>
  <c r="AI867" i="9" s="1"/>
  <c r="AE867" i="9"/>
  <c r="AF867" i="9"/>
  <c r="BC867" i="9" a="1"/>
  <c r="BC867" i="9" s="1"/>
  <c r="F868" i="9"/>
  <c r="M868" i="9" a="1"/>
  <c r="M868" i="9" s="1"/>
  <c r="R868" i="9" a="1"/>
  <c r="R868" i="9" s="1"/>
  <c r="Z868" i="9"/>
  <c r="AD868" i="9"/>
  <c r="AE868" i="9"/>
  <c r="AF868" i="9"/>
  <c r="BC868" i="9" a="1"/>
  <c r="BC868" i="9" s="1"/>
  <c r="F869" i="9"/>
  <c r="M869" i="9" a="1"/>
  <c r="M869" i="9" s="1"/>
  <c r="R869" i="9" a="1"/>
  <c r="R869" i="9" s="1"/>
  <c r="Z869" i="9"/>
  <c r="AD869" i="9"/>
  <c r="A869" i="9" s="1"/>
  <c r="AE869" i="9"/>
  <c r="AF869" i="9"/>
  <c r="BC869" i="9" a="1"/>
  <c r="BC869" i="9"/>
  <c r="BQ869" i="9"/>
  <c r="F870" i="9"/>
  <c r="M870" i="9" a="1"/>
  <c r="M870" i="9" s="1"/>
  <c r="R870" i="9" a="1"/>
  <c r="R870" i="9" s="1"/>
  <c r="Z870" i="9"/>
  <c r="AD870" i="9"/>
  <c r="AI870" i="9" s="1"/>
  <c r="AE870" i="9"/>
  <c r="AF870" i="9"/>
  <c r="BB870" i="9" s="1"/>
  <c r="BC870" i="9" a="1"/>
  <c r="BC870" i="9" s="1"/>
  <c r="BI870" i="9"/>
  <c r="BQ870" i="9"/>
  <c r="CC870" i="9"/>
  <c r="F871" i="9"/>
  <c r="M871" i="9" a="1"/>
  <c r="M871" i="9" s="1"/>
  <c r="R871" i="9" a="1"/>
  <c r="R871" i="9" s="1"/>
  <c r="Z871" i="9"/>
  <c r="AD871" i="9"/>
  <c r="BQ871" i="9" s="1"/>
  <c r="AE871" i="9"/>
  <c r="AF871" i="9"/>
  <c r="BB871" i="9" s="1"/>
  <c r="BC871" i="9" a="1"/>
  <c r="BC871" i="9" s="1"/>
  <c r="BX871" i="9"/>
  <c r="F872" i="9"/>
  <c r="M872" i="9" a="1"/>
  <c r="M872" i="9" s="1"/>
  <c r="R872" i="9" a="1"/>
  <c r="R872" i="9" s="1"/>
  <c r="Z872" i="9"/>
  <c r="AD872" i="9"/>
  <c r="AE872" i="9"/>
  <c r="AF872" i="9"/>
  <c r="BB872" i="9" s="1"/>
  <c r="BC872" i="9" a="1"/>
  <c r="BC872" i="9" s="1"/>
  <c r="F873" i="9"/>
  <c r="M873" i="9" a="1"/>
  <c r="M873" i="9" s="1"/>
  <c r="R873" i="9" a="1"/>
  <c r="R873" i="9" s="1"/>
  <c r="Z873" i="9"/>
  <c r="AD873" i="9"/>
  <c r="BI873" i="9" s="1"/>
  <c r="AE873" i="9"/>
  <c r="AF873" i="9"/>
  <c r="BB873" i="9" s="1"/>
  <c r="BC873" i="9" a="1"/>
  <c r="BC873" i="9" s="1"/>
  <c r="A874" i="9"/>
  <c r="F874" i="9"/>
  <c r="M874" i="9" a="1"/>
  <c r="M874" i="9" s="1"/>
  <c r="R874" i="9" a="1"/>
  <c r="R874" i="9" s="1"/>
  <c r="Z874" i="9"/>
  <c r="AD874" i="9"/>
  <c r="AE874" i="9"/>
  <c r="AF874" i="9"/>
  <c r="BA874" i="9" s="1"/>
  <c r="AI874" i="9"/>
  <c r="AY874" i="9" a="1"/>
  <c r="AY874" i="9" s="1"/>
  <c r="AZ874" i="9" s="1"/>
  <c r="BC874" i="9" a="1"/>
  <c r="BC874" i="9" s="1"/>
  <c r="BD874" i="9"/>
  <c r="BI874" i="9"/>
  <c r="BM874" i="9"/>
  <c r="BQ874" i="9"/>
  <c r="BX874" i="9"/>
  <c r="CC874" i="9"/>
  <c r="CG874" i="9"/>
  <c r="CK874" i="9"/>
  <c r="F875" i="9"/>
  <c r="M875" i="9" a="1"/>
  <c r="M875" i="9" s="1"/>
  <c r="R875" i="9" a="1"/>
  <c r="R875" i="9" s="1"/>
  <c r="Z875" i="9"/>
  <c r="AD875" i="9"/>
  <c r="BI875" i="9" s="1"/>
  <c r="AE875" i="9"/>
  <c r="AF875" i="9"/>
  <c r="BB875" i="9" s="1"/>
  <c r="BC875" i="9" a="1"/>
  <c r="BC875" i="9" s="1"/>
  <c r="F876" i="9"/>
  <c r="M876" i="9" a="1"/>
  <c r="M876" i="9" s="1"/>
  <c r="R876" i="9" a="1"/>
  <c r="R876" i="9" s="1"/>
  <c r="Z876" i="9"/>
  <c r="AD876" i="9"/>
  <c r="BI876" i="9" s="1"/>
  <c r="AE876" i="9"/>
  <c r="AF876" i="9"/>
  <c r="BB876" i="9" s="1"/>
  <c r="BC876" i="9" a="1"/>
  <c r="BC876" i="9" s="1"/>
  <c r="F877" i="9"/>
  <c r="M877" i="9" a="1"/>
  <c r="M877" i="9" s="1"/>
  <c r="R877" i="9" a="1"/>
  <c r="R877" i="9" s="1"/>
  <c r="Z877" i="9"/>
  <c r="AD877" i="9"/>
  <c r="AE877" i="9"/>
  <c r="AF877" i="9"/>
  <c r="BC877" i="9" a="1"/>
  <c r="BC877" i="9" s="1"/>
  <c r="BQ877" i="9"/>
  <c r="BX877" i="9"/>
  <c r="F878" i="9"/>
  <c r="M878" i="9" a="1"/>
  <c r="M878" i="9" s="1"/>
  <c r="R878" i="9" a="1"/>
  <c r="R878" i="9" s="1"/>
  <c r="Z878" i="9"/>
  <c r="AD878" i="9"/>
  <c r="AI878" i="9" s="1"/>
  <c r="AE878" i="9"/>
  <c r="AF878" i="9"/>
  <c r="BB878" i="9" s="1"/>
  <c r="BC878" i="9" a="1"/>
  <c r="BC878" i="9" s="1"/>
  <c r="F879" i="9"/>
  <c r="M879" i="9" a="1"/>
  <c r="M879" i="9" s="1"/>
  <c r="R879" i="9" a="1"/>
  <c r="R879" i="9" s="1"/>
  <c r="Z879" i="9"/>
  <c r="AD879" i="9"/>
  <c r="BI879" i="9" s="1"/>
  <c r="AE879" i="9"/>
  <c r="AF879" i="9"/>
  <c r="BB879" i="9" s="1"/>
  <c r="BC879" i="9" a="1"/>
  <c r="BC879" i="9" s="1"/>
  <c r="CG879" i="9"/>
  <c r="CK879" i="9"/>
  <c r="F880" i="9"/>
  <c r="M880" i="9" a="1"/>
  <c r="M880" i="9" s="1"/>
  <c r="R880" i="9" a="1"/>
  <c r="R880" i="9" s="1"/>
  <c r="Z880" i="9"/>
  <c r="AD880" i="9"/>
  <c r="BM880" i="9" s="1"/>
  <c r="AE880" i="9"/>
  <c r="AF880" i="9"/>
  <c r="BB880" i="9" s="1"/>
  <c r="AI880" i="9"/>
  <c r="AY880" i="9" a="1"/>
  <c r="AY880" i="9" s="1"/>
  <c r="BC880" i="9" a="1"/>
  <c r="BC880" i="9" s="1"/>
  <c r="BD880" i="9"/>
  <c r="CG880" i="9"/>
  <c r="CK880" i="9"/>
  <c r="F881" i="9"/>
  <c r="M881" i="9" a="1"/>
  <c r="M881" i="9" s="1"/>
  <c r="R881" i="9" a="1"/>
  <c r="R881" i="9" s="1"/>
  <c r="Z881" i="9"/>
  <c r="AD881" i="9"/>
  <c r="A881" i="9" s="1"/>
  <c r="AE881" i="9"/>
  <c r="AF881" i="9"/>
  <c r="BB881" i="9" s="1"/>
  <c r="BC881" i="9" a="1"/>
  <c r="BC881" i="9" s="1"/>
  <c r="A882" i="9"/>
  <c r="F882" i="9"/>
  <c r="M882" i="9" a="1"/>
  <c r="M882" i="9" s="1"/>
  <c r="R882" i="9" a="1"/>
  <c r="R882" i="9" s="1"/>
  <c r="Z882" i="9"/>
  <c r="AD882" i="9"/>
  <c r="CG882" i="9" s="1"/>
  <c r="AE882" i="9"/>
  <c r="AF882" i="9"/>
  <c r="AI882" i="9"/>
  <c r="BC882" i="9" a="1"/>
  <c r="BC882" i="9"/>
  <c r="BM882" i="9"/>
  <c r="CC882" i="9"/>
  <c r="F883" i="9"/>
  <c r="M883" i="9" a="1"/>
  <c r="M883" i="9" s="1"/>
  <c r="R883" i="9" a="1"/>
  <c r="R883" i="9" s="1"/>
  <c r="Z883" i="9"/>
  <c r="AD883" i="9"/>
  <c r="AE883" i="9"/>
  <c r="AF883" i="9"/>
  <c r="BC883" i="9" a="1"/>
  <c r="BC883" i="9" s="1"/>
  <c r="F884" i="9"/>
  <c r="M884" i="9" a="1"/>
  <c r="M884" i="9" s="1"/>
  <c r="R884" i="9" a="1"/>
  <c r="R884" i="9" s="1"/>
  <c r="Z884" i="9"/>
  <c r="AD884" i="9"/>
  <c r="CC884" i="9" s="1"/>
  <c r="AE884" i="9"/>
  <c r="AF884" i="9"/>
  <c r="BC884" i="9" a="1"/>
  <c r="BC884" i="9" s="1"/>
  <c r="F885" i="9"/>
  <c r="M885" i="9" a="1"/>
  <c r="M885" i="9" s="1"/>
  <c r="R885" i="9" a="1"/>
  <c r="R885" i="9" s="1"/>
  <c r="Z885" i="9"/>
  <c r="AD885" i="9"/>
  <c r="AE885" i="9"/>
  <c r="AF885" i="9"/>
  <c r="BC885" i="9" a="1"/>
  <c r="BC885" i="9" s="1"/>
  <c r="F886" i="9"/>
  <c r="M886" i="9" a="1"/>
  <c r="M886" i="9" s="1"/>
  <c r="R886" i="9" a="1"/>
  <c r="R886" i="9" s="1"/>
  <c r="Z886" i="9"/>
  <c r="AD886" i="9"/>
  <c r="AI886" i="9" s="1"/>
  <c r="AE886" i="9"/>
  <c r="AF886" i="9"/>
  <c r="BB886" i="9" s="1"/>
  <c r="BC886" i="9" a="1"/>
  <c r="BC886" i="9" s="1"/>
  <c r="BI886" i="9"/>
  <c r="BX886" i="9"/>
  <c r="CC886" i="9"/>
  <c r="F887" i="9"/>
  <c r="M887" i="9" a="1"/>
  <c r="M887" i="9" s="1"/>
  <c r="R887" i="9" a="1"/>
  <c r="R887" i="9" s="1"/>
  <c r="Z887" i="9"/>
  <c r="AD887" i="9"/>
  <c r="CC887" i="9" s="1"/>
  <c r="AE887" i="9"/>
  <c r="AF887" i="9"/>
  <c r="BB887" i="9" s="1"/>
  <c r="BC887" i="9" a="1"/>
  <c r="BC887" i="9" s="1"/>
  <c r="CK887" i="9"/>
  <c r="F888" i="9"/>
  <c r="M888" i="9" a="1"/>
  <c r="M888" i="9" s="1"/>
  <c r="R888" i="9" a="1"/>
  <c r="R888" i="9" s="1"/>
  <c r="Z888" i="9"/>
  <c r="AD888" i="9"/>
  <c r="BI888" i="9" s="1"/>
  <c r="AE888" i="9"/>
  <c r="AF888" i="9"/>
  <c r="BB888" i="9" s="1"/>
  <c r="BC888" i="9" a="1"/>
  <c r="BC888" i="9" s="1"/>
  <c r="F889" i="9"/>
  <c r="M889" i="9" a="1"/>
  <c r="M889" i="9" s="1"/>
  <c r="R889" i="9" a="1"/>
  <c r="R889" i="9" s="1"/>
  <c r="Z889" i="9"/>
  <c r="AD889" i="9"/>
  <c r="AE889" i="9"/>
  <c r="AF889" i="9"/>
  <c r="BB889" i="9" s="1"/>
  <c r="BC889" i="9" a="1"/>
  <c r="BC889" i="9" s="1"/>
  <c r="BI889" i="9"/>
  <c r="BM889" i="9"/>
  <c r="CK889" i="9"/>
  <c r="F890" i="9"/>
  <c r="M890" i="9" a="1"/>
  <c r="M890" i="9" s="1"/>
  <c r="R890" i="9" a="1"/>
  <c r="R890" i="9" s="1"/>
  <c r="Z890" i="9"/>
  <c r="AD890" i="9"/>
  <c r="CK890" i="9" s="1"/>
  <c r="AE890" i="9"/>
  <c r="AF890" i="9"/>
  <c r="BC890" i="9" a="1"/>
  <c r="BC890" i="9" s="1"/>
  <c r="F891" i="9"/>
  <c r="M891" i="9" a="1"/>
  <c r="M891" i="9" s="1"/>
  <c r="R891" i="9" a="1"/>
  <c r="R891" i="9" s="1"/>
  <c r="Z891" i="9"/>
  <c r="AD891" i="9"/>
  <c r="AE891" i="9"/>
  <c r="AF891" i="9"/>
  <c r="BC891" i="9" a="1"/>
  <c r="BC891" i="9" s="1"/>
  <c r="F892" i="9"/>
  <c r="M892" i="9" a="1"/>
  <c r="M892" i="9" s="1"/>
  <c r="R892" i="9" a="1"/>
  <c r="R892" i="9" s="1"/>
  <c r="Z892" i="9"/>
  <c r="AD892" i="9"/>
  <c r="BM892" i="9" s="1"/>
  <c r="AE892" i="9"/>
  <c r="AF892" i="9"/>
  <c r="BB892" i="9" s="1"/>
  <c r="BA892" i="9"/>
  <c r="BC892" i="9" a="1"/>
  <c r="BC892" i="9" s="1"/>
  <c r="BI892" i="9"/>
  <c r="CG892" i="9"/>
  <c r="F893" i="9"/>
  <c r="M893" i="9" a="1"/>
  <c r="M893" i="9" s="1"/>
  <c r="R893" i="9" a="1"/>
  <c r="R893" i="9" s="1"/>
  <c r="Z893" i="9"/>
  <c r="AD893" i="9"/>
  <c r="BX893" i="9" s="1"/>
  <c r="AE893" i="9"/>
  <c r="AF893" i="9"/>
  <c r="BC893" i="9" a="1"/>
  <c r="BC893" i="9" s="1"/>
  <c r="BQ893" i="9"/>
  <c r="CG893" i="9"/>
  <c r="F894" i="9"/>
  <c r="M894" i="9" a="1"/>
  <c r="M894" i="9" s="1"/>
  <c r="R894" i="9" a="1"/>
  <c r="R894" i="9" s="1"/>
  <c r="Z894" i="9"/>
  <c r="AD894" i="9"/>
  <c r="AI894" i="9" s="1"/>
  <c r="AE894" i="9"/>
  <c r="AF894" i="9"/>
  <c r="BB894" i="9" s="1"/>
  <c r="BC894" i="9" a="1"/>
  <c r="BC894" i="9"/>
  <c r="F895" i="9"/>
  <c r="M895" i="9" a="1"/>
  <c r="M895" i="9" s="1"/>
  <c r="R895" i="9" a="1"/>
  <c r="R895" i="9" s="1"/>
  <c r="Z895" i="9"/>
  <c r="AD895" i="9"/>
  <c r="AE895" i="9"/>
  <c r="AF895" i="9"/>
  <c r="BB895" i="9" s="1"/>
  <c r="BC895" i="9" a="1"/>
  <c r="BC895" i="9" s="1"/>
  <c r="F896" i="9"/>
  <c r="M896" i="9" a="1"/>
  <c r="M896" i="9" s="1"/>
  <c r="R896" i="9" a="1"/>
  <c r="R896" i="9" s="1"/>
  <c r="Z896" i="9"/>
  <c r="AD896" i="9"/>
  <c r="AY896" i="9" s="1" a="1"/>
  <c r="AY896" i="9" s="1"/>
  <c r="AE896" i="9"/>
  <c r="AF896" i="9"/>
  <c r="BB896" i="9" s="1"/>
  <c r="BC896" i="9" a="1"/>
  <c r="BC896" i="9" s="1"/>
  <c r="F897" i="9"/>
  <c r="M897" i="9" a="1"/>
  <c r="M897" i="9" s="1"/>
  <c r="R897" i="9" a="1"/>
  <c r="R897" i="9" s="1"/>
  <c r="Z897" i="9"/>
  <c r="AD897" i="9"/>
  <c r="BI897" i="9" s="1"/>
  <c r="AE897" i="9"/>
  <c r="AF897" i="9"/>
  <c r="BB897" i="9" s="1"/>
  <c r="BC897" i="9" a="1"/>
  <c r="BC897" i="9" s="1"/>
  <c r="F898" i="9"/>
  <c r="M898" i="9" a="1"/>
  <c r="M898" i="9" s="1"/>
  <c r="R898" i="9" a="1"/>
  <c r="R898" i="9" s="1"/>
  <c r="Z898" i="9"/>
  <c r="AD898" i="9"/>
  <c r="A898" i="9" s="1"/>
  <c r="AE898" i="9"/>
  <c r="AF898" i="9"/>
  <c r="BC898" i="9" a="1"/>
  <c r="BC898" i="9" s="1"/>
  <c r="BD898" i="9"/>
  <c r="BI898" i="9"/>
  <c r="CC898" i="9"/>
  <c r="CG898" i="9"/>
  <c r="CK898" i="9"/>
  <c r="F899" i="9"/>
  <c r="M899" i="9" a="1"/>
  <c r="M899" i="9" s="1"/>
  <c r="R899" i="9" a="1"/>
  <c r="R899" i="9" s="1"/>
  <c r="Z899" i="9"/>
  <c r="AD899" i="9"/>
  <c r="AE899" i="9"/>
  <c r="AF899" i="9"/>
  <c r="BB899" i="9" s="1"/>
  <c r="BC899" i="9" a="1"/>
  <c r="BC899" i="9"/>
  <c r="BD899" i="9"/>
  <c r="F900" i="9"/>
  <c r="M900" i="9" a="1"/>
  <c r="M900" i="9" s="1"/>
  <c r="R900" i="9" a="1"/>
  <c r="R900" i="9" s="1"/>
  <c r="Z900" i="9"/>
  <c r="AD900" i="9"/>
  <c r="BD900" i="9" s="1"/>
  <c r="AE900" i="9"/>
  <c r="AF900" i="9"/>
  <c r="BC900" i="9" a="1"/>
  <c r="BC900" i="9" s="1"/>
  <c r="F901" i="9"/>
  <c r="M901" i="9" a="1"/>
  <c r="M901" i="9" s="1"/>
  <c r="R901" i="9" a="1"/>
  <c r="R901" i="9" s="1"/>
  <c r="Z901" i="9"/>
  <c r="AD901" i="9"/>
  <c r="BD901" i="9" s="1"/>
  <c r="AE901" i="9"/>
  <c r="AF901" i="9"/>
  <c r="BB901" i="9" s="1"/>
  <c r="BC901" i="9" a="1"/>
  <c r="BC901" i="9" s="1"/>
  <c r="F902" i="9"/>
  <c r="M902" i="9" a="1"/>
  <c r="M902" i="9" s="1"/>
  <c r="R902" i="9" a="1"/>
  <c r="R902" i="9" s="1"/>
  <c r="Z902" i="9"/>
  <c r="AD902" i="9"/>
  <c r="BX902" i="9" s="1"/>
  <c r="AE902" i="9"/>
  <c r="AF902" i="9"/>
  <c r="BC902" i="9" a="1"/>
  <c r="BC902" i="9" s="1"/>
  <c r="F903" i="9"/>
  <c r="M903" i="9" a="1"/>
  <c r="M903" i="9" s="1"/>
  <c r="R903" i="9" a="1"/>
  <c r="R903" i="9" s="1"/>
  <c r="Z903" i="9"/>
  <c r="AD903" i="9"/>
  <c r="BM903" i="9" s="1"/>
  <c r="AE903" i="9"/>
  <c r="AF903" i="9"/>
  <c r="BB903" i="9" s="1"/>
  <c r="AI903" i="9"/>
  <c r="AY903" i="9" a="1"/>
  <c r="AY903" i="9" s="1"/>
  <c r="BC903" i="9" a="1"/>
  <c r="BC903" i="9" s="1"/>
  <c r="BD903" i="9"/>
  <c r="BI903" i="9"/>
  <c r="BQ903" i="9"/>
  <c r="BX903" i="9"/>
  <c r="CC903" i="9"/>
  <c r="CG903" i="9"/>
  <c r="CK903" i="9"/>
  <c r="F904" i="9"/>
  <c r="M904" i="9" a="1"/>
  <c r="M904" i="9" s="1"/>
  <c r="R904" i="9" a="1"/>
  <c r="R904" i="9" s="1"/>
  <c r="Z904" i="9"/>
  <c r="AD904" i="9"/>
  <c r="A904" i="9" s="1"/>
  <c r="AE904" i="9"/>
  <c r="AF904" i="9"/>
  <c r="BC904" i="9" a="1"/>
  <c r="BC904" i="9" s="1"/>
  <c r="F905" i="9"/>
  <c r="M905" i="9" a="1"/>
  <c r="M905" i="9" s="1"/>
  <c r="R905" i="9" a="1"/>
  <c r="R905" i="9" s="1"/>
  <c r="Z905" i="9"/>
  <c r="AD905" i="9"/>
  <c r="CC905" i="9" s="1"/>
  <c r="AE905" i="9"/>
  <c r="AF905" i="9"/>
  <c r="BC905" i="9" a="1"/>
  <c r="BC905" i="9" s="1"/>
  <c r="F906" i="9"/>
  <c r="M906" i="9" a="1"/>
  <c r="M906" i="9" s="1"/>
  <c r="R906" i="9" a="1"/>
  <c r="R906" i="9" s="1"/>
  <c r="Z906" i="9"/>
  <c r="AD906" i="9"/>
  <c r="AY906" i="9" s="1" a="1"/>
  <c r="AY906" i="9" s="1"/>
  <c r="AE906" i="9"/>
  <c r="AF906" i="9"/>
  <c r="BB906" i="9" s="1"/>
  <c r="BC906" i="9" a="1"/>
  <c r="BC906" i="9" s="1"/>
  <c r="F907" i="9"/>
  <c r="M907" i="9" a="1"/>
  <c r="M907" i="9" s="1"/>
  <c r="R907" i="9" a="1"/>
  <c r="R907" i="9" s="1"/>
  <c r="Z907" i="9"/>
  <c r="AD907" i="9"/>
  <c r="BM907" i="9" s="1"/>
  <c r="AE907" i="9"/>
  <c r="AF907" i="9"/>
  <c r="BB907" i="9" s="1"/>
  <c r="BC907" i="9" a="1"/>
  <c r="BC907" i="9" s="1"/>
  <c r="F908" i="9"/>
  <c r="M908" i="9" a="1"/>
  <c r="M908" i="9" s="1"/>
  <c r="R908" i="9" a="1"/>
  <c r="R908" i="9" s="1"/>
  <c r="Z908" i="9"/>
  <c r="AD908" i="9"/>
  <c r="BQ908" i="9" s="1"/>
  <c r="AE908" i="9"/>
  <c r="AF908" i="9"/>
  <c r="BA908" i="9" s="1"/>
  <c r="BC908" i="9" a="1"/>
  <c r="BC908" i="9" s="1"/>
  <c r="F909" i="9"/>
  <c r="M909" i="9" a="1"/>
  <c r="M909" i="9" s="1"/>
  <c r="R909" i="9" a="1"/>
  <c r="R909" i="9" s="1"/>
  <c r="Z909" i="9"/>
  <c r="AD909" i="9"/>
  <c r="CC909" i="9" s="1"/>
  <c r="AE909" i="9"/>
  <c r="AF909" i="9"/>
  <c r="BA909" i="9" s="1"/>
  <c r="BC909" i="9" a="1"/>
  <c r="BC909" i="9" s="1"/>
  <c r="BM909" i="9"/>
  <c r="F910" i="9"/>
  <c r="M910" i="9" a="1"/>
  <c r="M910" i="9" s="1"/>
  <c r="R910" i="9" a="1"/>
  <c r="R910" i="9" s="1"/>
  <c r="Z910" i="9"/>
  <c r="AD910" i="9"/>
  <c r="AY910" i="9" s="1" a="1"/>
  <c r="AY910" i="9" s="1"/>
  <c r="AE910" i="9"/>
  <c r="AF910" i="9"/>
  <c r="BC910" i="9" a="1"/>
  <c r="BC910" i="9" s="1"/>
  <c r="BD910" i="9"/>
  <c r="F911" i="9"/>
  <c r="M911" i="9" a="1"/>
  <c r="M911" i="9" s="1"/>
  <c r="R911" i="9" a="1"/>
  <c r="R911" i="9" s="1"/>
  <c r="Z911" i="9"/>
  <c r="AD911" i="9"/>
  <c r="BM911" i="9" s="1"/>
  <c r="AE911" i="9"/>
  <c r="AF911" i="9"/>
  <c r="BB911" i="9" s="1"/>
  <c r="BC911" i="9" a="1"/>
  <c r="BC911" i="9"/>
  <c r="F912" i="9"/>
  <c r="M912" i="9" a="1"/>
  <c r="M912" i="9" s="1"/>
  <c r="R912" i="9" a="1"/>
  <c r="R912" i="9" s="1"/>
  <c r="Z912" i="9"/>
  <c r="AD912" i="9"/>
  <c r="A912" i="9" s="1"/>
  <c r="AE912" i="9"/>
  <c r="AF912" i="9"/>
  <c r="BA912" i="9" s="1"/>
  <c r="BC912" i="9" a="1"/>
  <c r="BC912" i="9" s="1"/>
  <c r="CC912" i="9"/>
  <c r="F913" i="9"/>
  <c r="M913" i="9" a="1"/>
  <c r="M913" i="9" s="1"/>
  <c r="R913" i="9" a="1"/>
  <c r="R913" i="9" s="1"/>
  <c r="Z913" i="9"/>
  <c r="AD913" i="9"/>
  <c r="CC913" i="9" s="1"/>
  <c r="AE913" i="9"/>
  <c r="AF913" i="9"/>
  <c r="BA913" i="9" s="1"/>
  <c r="AI913" i="9"/>
  <c r="AY913" i="9" a="1"/>
  <c r="AY913" i="9" s="1"/>
  <c r="BC913" i="9" a="1"/>
  <c r="BC913" i="9" s="1"/>
  <c r="BD913" i="9"/>
  <c r="BI913" i="9"/>
  <c r="BM913" i="9"/>
  <c r="CG913" i="9"/>
  <c r="CK913" i="9"/>
  <c r="F914" i="9"/>
  <c r="M914" i="9" a="1"/>
  <c r="M914" i="9" s="1"/>
  <c r="R914" i="9" a="1"/>
  <c r="R914" i="9" s="1"/>
  <c r="Z914" i="9"/>
  <c r="AD914" i="9"/>
  <c r="AY914" i="9" s="1" a="1"/>
  <c r="AY914" i="9" s="1"/>
  <c r="AE914" i="9"/>
  <c r="AF914" i="9"/>
  <c r="BB914" i="9" s="1"/>
  <c r="BC914" i="9" a="1"/>
  <c r="BC914" i="9" s="1"/>
  <c r="F915" i="9"/>
  <c r="M915" i="9" a="1"/>
  <c r="M915" i="9" s="1"/>
  <c r="R915" i="9" a="1"/>
  <c r="R915" i="9" s="1"/>
  <c r="Z915" i="9"/>
  <c r="AD915" i="9"/>
  <c r="BM915" i="9" s="1"/>
  <c r="AE915" i="9"/>
  <c r="AF915" i="9"/>
  <c r="BB915" i="9" s="1"/>
  <c r="BC915" i="9" a="1"/>
  <c r="BC915" i="9" s="1"/>
  <c r="BD915" i="9"/>
  <c r="F916" i="9"/>
  <c r="M916" i="9" a="1"/>
  <c r="M916" i="9" s="1"/>
  <c r="R916" i="9" a="1"/>
  <c r="R916" i="9" s="1"/>
  <c r="Z916" i="9"/>
  <c r="AD916" i="9"/>
  <c r="BQ916" i="9" s="1"/>
  <c r="AE916" i="9"/>
  <c r="AF916" i="9"/>
  <c r="BA916" i="9" s="1"/>
  <c r="BC916" i="9" a="1"/>
  <c r="BC916" i="9"/>
  <c r="BI916" i="9"/>
  <c r="F917" i="9"/>
  <c r="M917" i="9" a="1"/>
  <c r="M917" i="9" s="1"/>
  <c r="R917" i="9" a="1"/>
  <c r="R917" i="9" s="1"/>
  <c r="Z917" i="9"/>
  <c r="AD917" i="9"/>
  <c r="CC917" i="9" s="1"/>
  <c r="AE917" i="9"/>
  <c r="AF917" i="9"/>
  <c r="BB917" i="9" s="1"/>
  <c r="BC917" i="9" a="1"/>
  <c r="BC917" i="9" s="1"/>
  <c r="F918" i="9"/>
  <c r="M918" i="9" a="1"/>
  <c r="M918" i="9" s="1"/>
  <c r="R918" i="9" a="1"/>
  <c r="R918" i="9" s="1"/>
  <c r="Z918" i="9"/>
  <c r="AD918" i="9"/>
  <c r="AI918" i="9" s="1"/>
  <c r="AE918" i="9"/>
  <c r="AF918" i="9"/>
  <c r="BC918" i="9" a="1"/>
  <c r="BC918" i="9" s="1"/>
  <c r="BI918" i="9"/>
  <c r="F919" i="9"/>
  <c r="M919" i="9" a="1"/>
  <c r="M919" i="9" s="1"/>
  <c r="R919" i="9" a="1"/>
  <c r="R919" i="9" s="1"/>
  <c r="Z919" i="9"/>
  <c r="AD919" i="9"/>
  <c r="AY919" i="9" s="1" a="1"/>
  <c r="AY919" i="9" s="1"/>
  <c r="AE919" i="9"/>
  <c r="AF919" i="9"/>
  <c r="BB919" i="9" s="1"/>
  <c r="BC919" i="9" a="1"/>
  <c r="BC919" i="9" s="1"/>
  <c r="BD919" i="9"/>
  <c r="F920" i="9"/>
  <c r="M920" i="9" a="1"/>
  <c r="M920" i="9" s="1"/>
  <c r="R920" i="9" a="1"/>
  <c r="R920" i="9" s="1"/>
  <c r="Z920" i="9"/>
  <c r="AD920" i="9"/>
  <c r="A920" i="9" s="1"/>
  <c r="AE920" i="9"/>
  <c r="AF920" i="9"/>
  <c r="BA920" i="9" s="1"/>
  <c r="BC920" i="9" a="1"/>
  <c r="BC920" i="9" s="1"/>
  <c r="CG920" i="9"/>
  <c r="F921" i="9"/>
  <c r="M921" i="9" a="1"/>
  <c r="M921" i="9" s="1"/>
  <c r="R921" i="9" a="1"/>
  <c r="R921" i="9" s="1"/>
  <c r="Z921" i="9"/>
  <c r="AD921" i="9"/>
  <c r="CC921" i="9" s="1"/>
  <c r="AE921" i="9"/>
  <c r="AF921" i="9"/>
  <c r="BB921" i="9" s="1"/>
  <c r="AY921" i="9" a="1"/>
  <c r="AY921" i="9" s="1"/>
  <c r="BC921" i="9" a="1"/>
  <c r="BC921" i="9" s="1"/>
  <c r="BI921" i="9"/>
  <c r="F922" i="9"/>
  <c r="M922" i="9" a="1"/>
  <c r="M922" i="9" s="1"/>
  <c r="R922" i="9" a="1"/>
  <c r="R922" i="9" s="1"/>
  <c r="Z922" i="9"/>
  <c r="AD922" i="9"/>
  <c r="AY922" i="9" s="1" a="1"/>
  <c r="AY922" i="9" s="1"/>
  <c r="AE922" i="9"/>
  <c r="AF922" i="9"/>
  <c r="BB922" i="9" s="1"/>
  <c r="AI922" i="9"/>
  <c r="BC922" i="9" a="1"/>
  <c r="BC922" i="9" s="1"/>
  <c r="BI922" i="9"/>
  <c r="BX922" i="9"/>
  <c r="F923" i="9"/>
  <c r="M923" i="9" a="1"/>
  <c r="M923" i="9" s="1"/>
  <c r="R923" i="9" a="1"/>
  <c r="R923" i="9" s="1"/>
  <c r="Z923" i="9"/>
  <c r="AD923" i="9"/>
  <c r="BM923" i="9" s="1"/>
  <c r="AE923" i="9"/>
  <c r="AF923" i="9"/>
  <c r="BA923" i="9" s="1"/>
  <c r="BC923" i="9" a="1"/>
  <c r="BC923" i="9" s="1"/>
  <c r="CC923" i="9"/>
  <c r="F924" i="9"/>
  <c r="M924" i="9" a="1"/>
  <c r="M924" i="9" s="1"/>
  <c r="R924" i="9" a="1"/>
  <c r="R924" i="9" s="1"/>
  <c r="Z924" i="9"/>
  <c r="AD924" i="9"/>
  <c r="BQ924" i="9" s="1"/>
  <c r="AE924" i="9"/>
  <c r="AF924" i="9"/>
  <c r="BA924" i="9" s="1"/>
  <c r="BC924" i="9" a="1"/>
  <c r="BC924" i="9"/>
  <c r="F925" i="9"/>
  <c r="M925" i="9" a="1"/>
  <c r="M925" i="9" s="1"/>
  <c r="R925" i="9" a="1"/>
  <c r="R925" i="9" s="1"/>
  <c r="Z925" i="9"/>
  <c r="AD925" i="9"/>
  <c r="CC925" i="9" s="1"/>
  <c r="AE925" i="9"/>
  <c r="AF925" i="9"/>
  <c r="BB925" i="9" s="1"/>
  <c r="BC925" i="9" a="1"/>
  <c r="BC925" i="9" s="1"/>
  <c r="F926" i="9"/>
  <c r="M926" i="9" a="1"/>
  <c r="M926" i="9" s="1"/>
  <c r="R926" i="9" a="1"/>
  <c r="R926" i="9" s="1"/>
  <c r="Z926" i="9"/>
  <c r="AD926" i="9"/>
  <c r="AI926" i="9" s="1"/>
  <c r="AE926" i="9"/>
  <c r="AF926" i="9"/>
  <c r="BC926" i="9" a="1"/>
  <c r="BC926" i="9" s="1"/>
  <c r="F927" i="9"/>
  <c r="M927" i="9" a="1"/>
  <c r="M927" i="9" s="1"/>
  <c r="R927" i="9" a="1"/>
  <c r="R927" i="9" s="1"/>
  <c r="Z927" i="9"/>
  <c r="AD927" i="9"/>
  <c r="BM927" i="9" s="1"/>
  <c r="AE927" i="9"/>
  <c r="AF927" i="9"/>
  <c r="BB927" i="9" s="1"/>
  <c r="BC927" i="9" a="1"/>
  <c r="BC927" i="9" s="1"/>
  <c r="CK927" i="9"/>
  <c r="F928" i="9"/>
  <c r="M928" i="9" a="1"/>
  <c r="M928" i="9" s="1"/>
  <c r="R928" i="9" a="1"/>
  <c r="R928" i="9" s="1"/>
  <c r="Z928" i="9"/>
  <c r="AD928" i="9"/>
  <c r="A928" i="9" s="1"/>
  <c r="AE928" i="9"/>
  <c r="AF928" i="9"/>
  <c r="BA928" i="9" s="1"/>
  <c r="AY928" i="9" a="1"/>
  <c r="AY928" i="9" s="1"/>
  <c r="BC928" i="9" a="1"/>
  <c r="BC928" i="9" s="1"/>
  <c r="CC928" i="9"/>
  <c r="F929" i="9"/>
  <c r="M929" i="9" a="1"/>
  <c r="M929" i="9" s="1"/>
  <c r="R929" i="9" a="1"/>
  <c r="R929" i="9" s="1"/>
  <c r="Z929" i="9"/>
  <c r="AD929" i="9"/>
  <c r="CC929" i="9" s="1"/>
  <c r="AE929" i="9"/>
  <c r="AF929" i="9"/>
  <c r="BC929" i="9" a="1"/>
  <c r="BC929" i="9" s="1"/>
  <c r="BM929" i="9"/>
  <c r="F930" i="9"/>
  <c r="M930" i="9" a="1"/>
  <c r="M930" i="9" s="1"/>
  <c r="R930" i="9" a="1"/>
  <c r="R930" i="9" s="1"/>
  <c r="Z930" i="9"/>
  <c r="AD930" i="9"/>
  <c r="AY930" i="9" s="1" a="1"/>
  <c r="AY930" i="9" s="1"/>
  <c r="AE930" i="9"/>
  <c r="AF930" i="9"/>
  <c r="BB930" i="9" s="1"/>
  <c r="BC930" i="9" a="1"/>
  <c r="BC930" i="9" s="1"/>
  <c r="F931" i="9"/>
  <c r="M931" i="9" a="1"/>
  <c r="M931" i="9" s="1"/>
  <c r="R931" i="9" a="1"/>
  <c r="R931" i="9" s="1"/>
  <c r="Z931" i="9"/>
  <c r="AD931" i="9"/>
  <c r="BM931" i="9" s="1"/>
  <c r="AE931" i="9"/>
  <c r="AF931" i="9"/>
  <c r="BB931" i="9" s="1"/>
  <c r="BC931" i="9" a="1"/>
  <c r="BC931" i="9" s="1"/>
  <c r="BD931" i="9"/>
  <c r="F932" i="9"/>
  <c r="M932" i="9" a="1"/>
  <c r="M932" i="9" s="1"/>
  <c r="R932" i="9" a="1"/>
  <c r="R932" i="9" s="1"/>
  <c r="Z932" i="9"/>
  <c r="AD932" i="9"/>
  <c r="BQ932" i="9" s="1"/>
  <c r="AE932" i="9"/>
  <c r="AF932" i="9"/>
  <c r="BC932" i="9" a="1"/>
  <c r="BC932" i="9"/>
  <c r="F933" i="9"/>
  <c r="M933" i="9" a="1"/>
  <c r="M933" i="9" s="1"/>
  <c r="R933" i="9" a="1"/>
  <c r="R933" i="9" s="1"/>
  <c r="Z933" i="9"/>
  <c r="AD933" i="9"/>
  <c r="CC933" i="9" s="1"/>
  <c r="AE933" i="9"/>
  <c r="AF933" i="9"/>
  <c r="BB933" i="9" s="1"/>
  <c r="BC933" i="9" a="1"/>
  <c r="BC933" i="9" s="1"/>
  <c r="F934" i="9"/>
  <c r="M934" i="9" a="1"/>
  <c r="M934" i="9" s="1"/>
  <c r="R934" i="9" a="1"/>
  <c r="R934" i="9" s="1"/>
  <c r="Z934" i="9"/>
  <c r="AD934" i="9"/>
  <c r="AI934" i="9" s="1"/>
  <c r="AE934" i="9"/>
  <c r="AF934" i="9"/>
  <c r="BC934" i="9" a="1"/>
  <c r="BC934" i="9" s="1"/>
  <c r="F935" i="9"/>
  <c r="M935" i="9" a="1"/>
  <c r="M935" i="9" s="1"/>
  <c r="R935" i="9" a="1"/>
  <c r="R935" i="9" s="1"/>
  <c r="Z935" i="9"/>
  <c r="AD935" i="9"/>
  <c r="BM935" i="9" s="1"/>
  <c r="AE935" i="9"/>
  <c r="AF935" i="9"/>
  <c r="BB935" i="9" s="1"/>
  <c r="AI935" i="9"/>
  <c r="AY935" i="9" a="1"/>
  <c r="AY935" i="9" s="1"/>
  <c r="BC935" i="9" a="1"/>
  <c r="BC935" i="9" s="1"/>
  <c r="BD935" i="9"/>
  <c r="BI935" i="9"/>
  <c r="BQ935" i="9"/>
  <c r="BX935" i="9"/>
  <c r="CC935" i="9"/>
  <c r="CG935" i="9"/>
  <c r="CK935" i="9"/>
  <c r="F936" i="9"/>
  <c r="M936" i="9" a="1"/>
  <c r="M936" i="9" s="1"/>
  <c r="R936" i="9" a="1"/>
  <c r="R936" i="9" s="1"/>
  <c r="Z936" i="9"/>
  <c r="AD936" i="9"/>
  <c r="A936" i="9" s="1"/>
  <c r="AE936" i="9"/>
  <c r="AF936" i="9"/>
  <c r="BA936" i="9" s="1"/>
  <c r="BC936" i="9" a="1"/>
  <c r="BC936" i="9" s="1"/>
  <c r="F937" i="9"/>
  <c r="M937" i="9" a="1"/>
  <c r="M937" i="9" s="1"/>
  <c r="R937" i="9" a="1"/>
  <c r="R937" i="9" s="1"/>
  <c r="Z937" i="9"/>
  <c r="AD937" i="9"/>
  <c r="AI937" i="9" s="1"/>
  <c r="AE937" i="9"/>
  <c r="AF937" i="9"/>
  <c r="BC937" i="9" a="1"/>
  <c r="BC937" i="9" s="1"/>
  <c r="F938" i="9"/>
  <c r="M938" i="9" a="1"/>
  <c r="M938" i="9" s="1"/>
  <c r="R938" i="9" a="1"/>
  <c r="R938" i="9" s="1"/>
  <c r="Z938" i="9"/>
  <c r="AD938" i="9"/>
  <c r="AY938" i="9" s="1" a="1"/>
  <c r="AY938" i="9" s="1"/>
  <c r="AE938" i="9"/>
  <c r="AF938" i="9"/>
  <c r="BB938" i="9" s="1"/>
  <c r="BC938" i="9" a="1"/>
  <c r="BC938" i="9" s="1"/>
  <c r="BI938" i="9"/>
  <c r="BX938" i="9"/>
  <c r="F939" i="9"/>
  <c r="M939" i="9" a="1"/>
  <c r="M939" i="9" s="1"/>
  <c r="R939" i="9" a="1"/>
  <c r="R939" i="9" s="1"/>
  <c r="Z939" i="9"/>
  <c r="AD939" i="9"/>
  <c r="BM939" i="9" s="1"/>
  <c r="AE939" i="9"/>
  <c r="AF939" i="9"/>
  <c r="BA939" i="9" s="1"/>
  <c r="BC939" i="9" a="1"/>
  <c r="BC939" i="9" s="1"/>
  <c r="BD939" i="9"/>
  <c r="BI939" i="9"/>
  <c r="CC939" i="9"/>
  <c r="F940" i="9"/>
  <c r="M940" i="9" a="1"/>
  <c r="M940" i="9" s="1"/>
  <c r="R940" i="9" a="1"/>
  <c r="R940" i="9" s="1"/>
  <c r="Z940" i="9"/>
  <c r="AD940" i="9"/>
  <c r="BQ940" i="9" s="1"/>
  <c r="AE940" i="9"/>
  <c r="AF940" i="9"/>
  <c r="BB940" i="9" s="1"/>
  <c r="BC940" i="9" a="1"/>
  <c r="BC940" i="9" s="1"/>
  <c r="F941" i="9"/>
  <c r="M941" i="9" a="1"/>
  <c r="M941" i="9" s="1"/>
  <c r="R941" i="9" a="1"/>
  <c r="R941" i="9" s="1"/>
  <c r="Z941" i="9"/>
  <c r="AD941" i="9"/>
  <c r="CC941" i="9" s="1"/>
  <c r="AE941" i="9"/>
  <c r="AF941" i="9"/>
  <c r="BA941" i="9" s="1"/>
  <c r="BC941" i="9" a="1"/>
  <c r="BC941" i="9" s="1"/>
  <c r="BI941" i="9"/>
  <c r="F942" i="9"/>
  <c r="M942" i="9" a="1"/>
  <c r="M942" i="9" s="1"/>
  <c r="R942" i="9" a="1"/>
  <c r="R942" i="9" s="1"/>
  <c r="Z942" i="9"/>
  <c r="AD942" i="9"/>
  <c r="AI942" i="9" s="1"/>
  <c r="AE942" i="9"/>
  <c r="AF942" i="9"/>
  <c r="BC942" i="9" a="1"/>
  <c r="BC942" i="9"/>
  <c r="BI942" i="9"/>
  <c r="CK942" i="9"/>
  <c r="F943" i="9"/>
  <c r="M943" i="9" a="1"/>
  <c r="M943" i="9" s="1"/>
  <c r="R943" i="9" a="1"/>
  <c r="R943" i="9" s="1"/>
  <c r="Z943" i="9"/>
  <c r="AD943" i="9"/>
  <c r="BM943" i="9" s="1"/>
  <c r="AE943" i="9"/>
  <c r="AF943" i="9"/>
  <c r="BB943" i="9" s="1"/>
  <c r="BC943" i="9" a="1"/>
  <c r="BC943" i="9" s="1"/>
  <c r="BD943" i="9"/>
  <c r="BI943" i="9"/>
  <c r="F944" i="9"/>
  <c r="M944" i="9" a="1"/>
  <c r="M944" i="9" s="1"/>
  <c r="R944" i="9" a="1"/>
  <c r="R944" i="9" s="1"/>
  <c r="Z944" i="9"/>
  <c r="AD944" i="9"/>
  <c r="A944" i="9" s="1"/>
  <c r="AE944" i="9"/>
  <c r="AF944" i="9"/>
  <c r="BB944" i="9" s="1"/>
  <c r="BC944" i="9" a="1"/>
  <c r="BC944" i="9" s="1"/>
  <c r="F945" i="9"/>
  <c r="M945" i="9" a="1"/>
  <c r="M945" i="9" s="1"/>
  <c r="R945" i="9" a="1"/>
  <c r="R945" i="9" s="1"/>
  <c r="Z945" i="9"/>
  <c r="AD945" i="9"/>
  <c r="AI945" i="9" s="1"/>
  <c r="AE945" i="9"/>
  <c r="AF945" i="9"/>
  <c r="BB945" i="9" s="1"/>
  <c r="BC945" i="9" a="1"/>
  <c r="BC945" i="9" s="1"/>
  <c r="BI945" i="9"/>
  <c r="F946" i="9"/>
  <c r="M946" i="9" a="1"/>
  <c r="M946" i="9" s="1"/>
  <c r="R946" i="9" a="1"/>
  <c r="R946" i="9" s="1"/>
  <c r="Z946" i="9"/>
  <c r="AD946" i="9"/>
  <c r="AY946" i="9" s="1" a="1"/>
  <c r="AY946" i="9" s="1"/>
  <c r="AE946" i="9"/>
  <c r="AF946" i="9"/>
  <c r="BB946" i="9" s="1"/>
  <c r="AZ946" i="9"/>
  <c r="BC946" i="9" a="1"/>
  <c r="BC946" i="9" s="1"/>
  <c r="BM946" i="9"/>
  <c r="BX946" i="9"/>
  <c r="A947" i="9"/>
  <c r="F947" i="9"/>
  <c r="M947" i="9" a="1"/>
  <c r="M947" i="9" s="1"/>
  <c r="R947" i="9" a="1"/>
  <c r="R947" i="9" s="1"/>
  <c r="Z947" i="9"/>
  <c r="AD947" i="9"/>
  <c r="BM947" i="9" s="1"/>
  <c r="AE947" i="9"/>
  <c r="AF947" i="9"/>
  <c r="BA947" i="9" s="1"/>
  <c r="AI947" i="9"/>
  <c r="BC947" i="9" a="1"/>
  <c r="BC947" i="9" s="1"/>
  <c r="BD947" i="9"/>
  <c r="CC947" i="9"/>
  <c r="F948" i="9"/>
  <c r="M948" i="9" a="1"/>
  <c r="M948" i="9" s="1"/>
  <c r="R948" i="9" a="1"/>
  <c r="R948" i="9" s="1"/>
  <c r="Z948" i="9"/>
  <c r="AD948" i="9"/>
  <c r="BI948" i="9" s="1"/>
  <c r="AE948" i="9"/>
  <c r="AF948" i="9"/>
  <c r="BB948" i="9" s="1"/>
  <c r="BC948" i="9" a="1"/>
  <c r="BC948" i="9" s="1"/>
  <c r="F949" i="9"/>
  <c r="M949" i="9" a="1"/>
  <c r="M949" i="9" s="1"/>
  <c r="R949" i="9" a="1"/>
  <c r="R949" i="9" s="1"/>
  <c r="Z949" i="9"/>
  <c r="AD949" i="9"/>
  <c r="CC949" i="9" s="1"/>
  <c r="AE949" i="9"/>
  <c r="AF949" i="9"/>
  <c r="BB949" i="9" s="1"/>
  <c r="BC949" i="9" a="1"/>
  <c r="BC949" i="9" s="1"/>
  <c r="F950" i="9"/>
  <c r="M950" i="9" a="1"/>
  <c r="M950" i="9" s="1"/>
  <c r="R950" i="9" a="1"/>
  <c r="R950" i="9" s="1"/>
  <c r="Z950" i="9"/>
  <c r="AD950" i="9"/>
  <c r="AI950" i="9" s="1"/>
  <c r="AE950" i="9"/>
  <c r="AF950" i="9"/>
  <c r="BC950" i="9" a="1"/>
  <c r="BC950" i="9"/>
  <c r="F951" i="9"/>
  <c r="M951" i="9" a="1"/>
  <c r="M951" i="9" s="1"/>
  <c r="R951" i="9" a="1"/>
  <c r="R951" i="9" s="1"/>
  <c r="Z951" i="9"/>
  <c r="AD951" i="9"/>
  <c r="BM951" i="9" s="1"/>
  <c r="AE951" i="9"/>
  <c r="AF951" i="9"/>
  <c r="BB951" i="9" s="1"/>
  <c r="BC951" i="9" a="1"/>
  <c r="BC951" i="9"/>
  <c r="BI951" i="9"/>
  <c r="BQ951" i="9"/>
  <c r="F952" i="9"/>
  <c r="M952" i="9" a="1"/>
  <c r="M952" i="9" s="1"/>
  <c r="R952" i="9" a="1"/>
  <c r="R952" i="9" s="1"/>
  <c r="Z952" i="9"/>
  <c r="AD952" i="9"/>
  <c r="A952" i="9" s="1"/>
  <c r="AE952" i="9"/>
  <c r="AF952" i="9"/>
  <c r="BA952" i="9" s="1"/>
  <c r="BC952" i="9" a="1"/>
  <c r="BC952" i="9" s="1"/>
  <c r="F953" i="9"/>
  <c r="M953" i="9" a="1"/>
  <c r="M953" i="9" s="1"/>
  <c r="R953" i="9" a="1"/>
  <c r="R953" i="9" s="1"/>
  <c r="Z953" i="9"/>
  <c r="AD953" i="9"/>
  <c r="AI953" i="9" s="1"/>
  <c r="AE953" i="9"/>
  <c r="AF953" i="9"/>
  <c r="BC953" i="9" a="1"/>
  <c r="BC953" i="9" s="1"/>
  <c r="F954" i="9"/>
  <c r="M954" i="9" a="1"/>
  <c r="M954" i="9" s="1"/>
  <c r="R954" i="9" a="1"/>
  <c r="R954" i="9" s="1"/>
  <c r="Z954" i="9"/>
  <c r="AD954" i="9"/>
  <c r="AY954" i="9" s="1" a="1"/>
  <c r="AY954" i="9" s="1"/>
  <c r="AE954" i="9"/>
  <c r="AF954" i="9"/>
  <c r="BB954" i="9" s="1"/>
  <c r="AI954" i="9"/>
  <c r="AZ954" i="9"/>
  <c r="BC954" i="9" a="1"/>
  <c r="BC954" i="9" s="1"/>
  <c r="CK954" i="9"/>
  <c r="F955" i="9"/>
  <c r="M955" i="9" a="1"/>
  <c r="M955" i="9" s="1"/>
  <c r="R955" i="9" a="1"/>
  <c r="R955" i="9" s="1"/>
  <c r="Z955" i="9"/>
  <c r="AD955" i="9"/>
  <c r="BM955" i="9" s="1"/>
  <c r="AE955" i="9"/>
  <c r="AF955" i="9"/>
  <c r="BC955" i="9" a="1"/>
  <c r="BC955" i="9" s="1"/>
  <c r="BD955" i="9"/>
  <c r="F956" i="9"/>
  <c r="M956" i="9" a="1"/>
  <c r="M956" i="9" s="1"/>
  <c r="R956" i="9" a="1"/>
  <c r="R956" i="9" s="1"/>
  <c r="Z956" i="9"/>
  <c r="AD956" i="9"/>
  <c r="AI956" i="9" s="1"/>
  <c r="AE956" i="9"/>
  <c r="AF956" i="9"/>
  <c r="BB956" i="9" s="1"/>
  <c r="BC956" i="9" a="1"/>
  <c r="BC956" i="9" s="1"/>
  <c r="BD956" i="9"/>
  <c r="BI956" i="9"/>
  <c r="F957" i="9"/>
  <c r="M957" i="9" a="1"/>
  <c r="M957" i="9" s="1"/>
  <c r="R957" i="9" a="1"/>
  <c r="R957" i="9" s="1"/>
  <c r="Z957" i="9"/>
  <c r="AD957" i="9"/>
  <c r="BM957" i="9" s="1"/>
  <c r="AE957" i="9"/>
  <c r="AF957" i="9"/>
  <c r="BB957" i="9" s="1"/>
  <c r="BC957" i="9" a="1"/>
  <c r="BC957" i="9" s="1"/>
  <c r="A958" i="9"/>
  <c r="F958" i="9"/>
  <c r="M958" i="9" a="1"/>
  <c r="M958" i="9" s="1"/>
  <c r="R958" i="9" a="1"/>
  <c r="R958" i="9" s="1"/>
  <c r="Z958" i="9"/>
  <c r="AD958" i="9"/>
  <c r="AI958" i="9" s="1"/>
  <c r="AE958" i="9"/>
  <c r="AF958" i="9"/>
  <c r="BC958" i="9" a="1"/>
  <c r="BC958" i="9" s="1"/>
  <c r="BD958" i="9"/>
  <c r="BI958" i="9"/>
  <c r="CC958" i="9"/>
  <c r="CG958" i="9"/>
  <c r="CK958" i="9"/>
  <c r="F959" i="9"/>
  <c r="M959" i="9" a="1"/>
  <c r="M959" i="9" s="1"/>
  <c r="R959" i="9" a="1"/>
  <c r="R959" i="9" s="1"/>
  <c r="Z959" i="9"/>
  <c r="AD959" i="9"/>
  <c r="BM959" i="9" s="1"/>
  <c r="AE959" i="9"/>
  <c r="AF959" i="9"/>
  <c r="BB959" i="9" s="1"/>
  <c r="BC959" i="9" a="1"/>
  <c r="BC959" i="9" s="1"/>
  <c r="BI959" i="9"/>
  <c r="F960" i="9"/>
  <c r="M960" i="9" a="1"/>
  <c r="M960" i="9" s="1"/>
  <c r="R960" i="9" a="1"/>
  <c r="R960" i="9" s="1"/>
  <c r="Z960" i="9"/>
  <c r="AD960" i="9"/>
  <c r="CK960" i="9" s="1"/>
  <c r="AE960" i="9"/>
  <c r="AF960" i="9"/>
  <c r="BA960" i="9"/>
  <c r="BB960" i="9"/>
  <c r="BC960" i="9" a="1"/>
  <c r="BC960" i="9" s="1"/>
  <c r="CC960" i="9"/>
  <c r="CG960" i="9"/>
  <c r="F961" i="9"/>
  <c r="M961" i="9" a="1"/>
  <c r="M961" i="9" s="1"/>
  <c r="R961" i="9" a="1"/>
  <c r="R961" i="9" s="1"/>
  <c r="Z961" i="9"/>
  <c r="AD961" i="9"/>
  <c r="AI961" i="9" s="1"/>
  <c r="AE961" i="9"/>
  <c r="AF961" i="9"/>
  <c r="BC961" i="9" a="1"/>
  <c r="BC961" i="9" s="1"/>
  <c r="F962" i="9"/>
  <c r="M962" i="9" a="1"/>
  <c r="M962" i="9" s="1"/>
  <c r="R962" i="9" a="1"/>
  <c r="R962" i="9" s="1"/>
  <c r="Z962" i="9"/>
  <c r="AD962" i="9"/>
  <c r="AY962" i="9" s="1" a="1"/>
  <c r="AY962" i="9" s="1"/>
  <c r="AE962" i="9"/>
  <c r="AF962" i="9"/>
  <c r="AZ962" i="9"/>
  <c r="BC962" i="9" a="1"/>
  <c r="BC962" i="9" s="1"/>
  <c r="BM962" i="9"/>
  <c r="BQ962" i="9"/>
  <c r="F963" i="9"/>
  <c r="M963" i="9" a="1"/>
  <c r="M963" i="9" s="1"/>
  <c r="R963" i="9" a="1"/>
  <c r="R963" i="9" s="1"/>
  <c r="Z963" i="9"/>
  <c r="AD963" i="9"/>
  <c r="AI963" i="9" s="1"/>
  <c r="AE963" i="9"/>
  <c r="AF963" i="9"/>
  <c r="BA963" i="9" s="1"/>
  <c r="BC963" i="9" a="1"/>
  <c r="BC963" i="9" s="1"/>
  <c r="F964" i="9"/>
  <c r="M964" i="9" a="1"/>
  <c r="M964" i="9" s="1"/>
  <c r="R964" i="9" a="1"/>
  <c r="R964" i="9" s="1"/>
  <c r="Z964" i="9"/>
  <c r="AD964" i="9"/>
  <c r="BD964" i="9" s="1"/>
  <c r="AE964" i="9"/>
  <c r="AF964" i="9"/>
  <c r="BB964" i="9" s="1"/>
  <c r="BC964" i="9" a="1"/>
  <c r="BC964" i="9" s="1"/>
  <c r="F965" i="9"/>
  <c r="M965" i="9" a="1"/>
  <c r="M965" i="9" s="1"/>
  <c r="R965" i="9" a="1"/>
  <c r="R965" i="9" s="1"/>
  <c r="Z965" i="9"/>
  <c r="AD965" i="9"/>
  <c r="BM965" i="9" s="1"/>
  <c r="AE965" i="9"/>
  <c r="AF965" i="9"/>
  <c r="BC965" i="9" a="1"/>
  <c r="BC965" i="9" s="1"/>
  <c r="F966" i="9"/>
  <c r="M966" i="9" a="1"/>
  <c r="M966" i="9" s="1"/>
  <c r="R966" i="9" a="1"/>
  <c r="R966" i="9" s="1"/>
  <c r="Z966" i="9"/>
  <c r="AD966" i="9"/>
  <c r="AI966" i="9" s="1"/>
  <c r="AE966" i="9"/>
  <c r="AF966" i="9"/>
  <c r="BB966" i="9" s="1"/>
  <c r="BC966" i="9" a="1"/>
  <c r="BC966" i="9" s="1"/>
  <c r="BM966" i="9"/>
  <c r="CG966" i="9"/>
  <c r="F967" i="9"/>
  <c r="M967" i="9" a="1"/>
  <c r="M967" i="9" s="1"/>
  <c r="R967" i="9" a="1"/>
  <c r="R967" i="9" s="1"/>
  <c r="Z967" i="9"/>
  <c r="AD967" i="9"/>
  <c r="BM967" i="9" s="1"/>
  <c r="AE967" i="9"/>
  <c r="AF967" i="9"/>
  <c r="BB967" i="9" s="1"/>
  <c r="BC967" i="9" a="1"/>
  <c r="BC967" i="9" s="1"/>
  <c r="BD967" i="9"/>
  <c r="F968" i="9"/>
  <c r="M968" i="9" a="1"/>
  <c r="M968" i="9" s="1"/>
  <c r="R968" i="9" a="1"/>
  <c r="R968" i="9" s="1"/>
  <c r="Z968" i="9"/>
  <c r="AD968" i="9"/>
  <c r="CK968" i="9" s="1"/>
  <c r="AE968" i="9"/>
  <c r="AF968" i="9"/>
  <c r="BA968" i="9" s="1"/>
  <c r="BC968" i="9" a="1"/>
  <c r="BC968" i="9" s="1"/>
  <c r="F969" i="9"/>
  <c r="M969" i="9" a="1"/>
  <c r="M969" i="9" s="1"/>
  <c r="R969" i="9" a="1"/>
  <c r="R969" i="9" s="1"/>
  <c r="Z969" i="9"/>
  <c r="AD969" i="9"/>
  <c r="AI969" i="9" s="1"/>
  <c r="AE969" i="9"/>
  <c r="AF969" i="9"/>
  <c r="BC969" i="9" a="1"/>
  <c r="BC969" i="9" s="1"/>
  <c r="CG969" i="9"/>
  <c r="F970" i="9"/>
  <c r="M970" i="9" a="1"/>
  <c r="M970" i="9" s="1"/>
  <c r="R970" i="9" a="1"/>
  <c r="R970" i="9" s="1"/>
  <c r="Z970" i="9"/>
  <c r="AD970" i="9"/>
  <c r="AY970" i="9" s="1" a="1"/>
  <c r="AY970" i="9" s="1"/>
  <c r="AE970" i="9"/>
  <c r="AF970" i="9"/>
  <c r="BC970" i="9" a="1"/>
  <c r="BC970" i="9" s="1"/>
  <c r="BD970" i="9"/>
  <c r="F971" i="9"/>
  <c r="M971" i="9" a="1"/>
  <c r="M971" i="9" s="1"/>
  <c r="R971" i="9" a="1"/>
  <c r="R971" i="9" s="1"/>
  <c r="Z971" i="9"/>
  <c r="AD971" i="9"/>
  <c r="BD971" i="9" s="1"/>
  <c r="AE971" i="9"/>
  <c r="AF971" i="9"/>
  <c r="BB971" i="9" s="1"/>
  <c r="BC971" i="9" a="1"/>
  <c r="BC971" i="9" s="1"/>
  <c r="F972" i="9"/>
  <c r="M972" i="9" a="1"/>
  <c r="M972" i="9" s="1"/>
  <c r="R972" i="9" a="1"/>
  <c r="R972" i="9" s="1"/>
  <c r="Z972" i="9"/>
  <c r="AD972" i="9"/>
  <c r="CG972" i="9" s="1"/>
  <c r="AE972" i="9"/>
  <c r="AF972" i="9"/>
  <c r="BB972" i="9" s="1"/>
  <c r="BC972" i="9" a="1"/>
  <c r="BC972" i="9"/>
  <c r="F973" i="9"/>
  <c r="M973" i="9" a="1"/>
  <c r="M973" i="9" s="1"/>
  <c r="R973" i="9" a="1"/>
  <c r="R973" i="9" s="1"/>
  <c r="Z973" i="9"/>
  <c r="AD973" i="9"/>
  <c r="CK973" i="9" s="1"/>
  <c r="AE973" i="9"/>
  <c r="AF973" i="9"/>
  <c r="BA973" i="9" s="1"/>
  <c r="BC973" i="9" a="1"/>
  <c r="BC973" i="9" s="1"/>
  <c r="F974" i="9"/>
  <c r="M974" i="9" a="1"/>
  <c r="M974" i="9" s="1"/>
  <c r="R974" i="9" a="1"/>
  <c r="R974" i="9" s="1"/>
  <c r="Z974" i="9"/>
  <c r="AD974" i="9"/>
  <c r="AI974" i="9" s="1"/>
  <c r="AE974" i="9"/>
  <c r="AF974" i="9"/>
  <c r="BB974" i="9" s="1"/>
  <c r="BC974" i="9" a="1"/>
  <c r="BC974" i="9" s="1"/>
  <c r="CK974" i="9"/>
  <c r="F975" i="9"/>
  <c r="M975" i="9" a="1"/>
  <c r="M975" i="9" s="1"/>
  <c r="R975" i="9" a="1"/>
  <c r="R975" i="9" s="1"/>
  <c r="Z975" i="9"/>
  <c r="AD975" i="9"/>
  <c r="BM975" i="9" s="1"/>
  <c r="AE975" i="9"/>
  <c r="AF975" i="9"/>
  <c r="BB975" i="9" s="1"/>
  <c r="BC975" i="9" a="1"/>
  <c r="BC975" i="9" s="1"/>
  <c r="BD975" i="9"/>
  <c r="BI975" i="9"/>
  <c r="F976" i="9"/>
  <c r="M976" i="9" a="1"/>
  <c r="M976" i="9" s="1"/>
  <c r="R976" i="9" a="1"/>
  <c r="R976" i="9" s="1"/>
  <c r="Z976" i="9"/>
  <c r="AD976" i="9"/>
  <c r="BD976" i="9" s="1"/>
  <c r="AE976" i="9"/>
  <c r="AF976" i="9"/>
  <c r="BB976" i="9" s="1"/>
  <c r="BC976" i="9" a="1"/>
  <c r="BC976" i="9" s="1"/>
  <c r="F977" i="9"/>
  <c r="M977" i="9" a="1"/>
  <c r="M977" i="9" s="1"/>
  <c r="R977" i="9" a="1"/>
  <c r="R977" i="9" s="1"/>
  <c r="Z977" i="9"/>
  <c r="AD977" i="9"/>
  <c r="BD977" i="9" s="1"/>
  <c r="AE977" i="9"/>
  <c r="AF977" i="9"/>
  <c r="BB977" i="9" s="1"/>
  <c r="BC977" i="9" a="1"/>
  <c r="BC977" i="9" s="1"/>
  <c r="F978" i="9"/>
  <c r="M978" i="9" a="1"/>
  <c r="M978" i="9" s="1"/>
  <c r="R978" i="9" a="1"/>
  <c r="R978" i="9" s="1"/>
  <c r="Z978" i="9"/>
  <c r="AD978" i="9"/>
  <c r="BD978" i="9" s="1"/>
  <c r="AE978" i="9"/>
  <c r="AF978" i="9"/>
  <c r="BC978" i="9" a="1"/>
  <c r="BC978" i="9" s="1"/>
  <c r="BX978" i="9"/>
  <c r="F979" i="9"/>
  <c r="M979" i="9" a="1"/>
  <c r="M979" i="9" s="1"/>
  <c r="R979" i="9" a="1"/>
  <c r="R979" i="9" s="1"/>
  <c r="Z979" i="9"/>
  <c r="AD979" i="9"/>
  <c r="AY979" i="9" s="1" a="1"/>
  <c r="AY979" i="9" s="1"/>
  <c r="AZ979" i="9" s="1"/>
  <c r="AE979" i="9"/>
  <c r="AF979" i="9"/>
  <c r="BC979" i="9" a="1"/>
  <c r="BC979" i="9" s="1"/>
  <c r="F980" i="9"/>
  <c r="M980" i="9" a="1"/>
  <c r="M980" i="9" s="1"/>
  <c r="R980" i="9" a="1"/>
  <c r="R980" i="9" s="1"/>
  <c r="Z980" i="9"/>
  <c r="AD980" i="9"/>
  <c r="AY980" i="9" s="1" a="1"/>
  <c r="AY980" i="9" s="1"/>
  <c r="AE980" i="9"/>
  <c r="AF980" i="9"/>
  <c r="BA980" i="9" s="1"/>
  <c r="BC980" i="9" a="1"/>
  <c r="BC980" i="9" s="1"/>
  <c r="BD980" i="9"/>
  <c r="BM980" i="9"/>
  <c r="F981" i="9"/>
  <c r="M981" i="9" a="1"/>
  <c r="M981" i="9" s="1"/>
  <c r="R981" i="9" a="1"/>
  <c r="R981" i="9" s="1"/>
  <c r="Z981" i="9"/>
  <c r="AD981" i="9"/>
  <c r="CK981" i="9" s="1"/>
  <c r="AE981" i="9"/>
  <c r="AF981" i="9"/>
  <c r="BB981" i="9" s="1"/>
  <c r="BC981" i="9" a="1"/>
  <c r="BC981" i="9" s="1"/>
  <c r="F982" i="9"/>
  <c r="M982" i="9" a="1"/>
  <c r="M982" i="9" s="1"/>
  <c r="R982" i="9" a="1"/>
  <c r="R982" i="9" s="1"/>
  <c r="Z982" i="9"/>
  <c r="AD982" i="9"/>
  <c r="A982" i="9" s="1"/>
  <c r="AE982" i="9"/>
  <c r="AF982" i="9"/>
  <c r="BC982" i="9" a="1"/>
  <c r="BC982" i="9" s="1"/>
  <c r="F983" i="9"/>
  <c r="M983" i="9" a="1"/>
  <c r="M983" i="9" s="1"/>
  <c r="R983" i="9" a="1"/>
  <c r="R983" i="9" s="1"/>
  <c r="Z983" i="9"/>
  <c r="AD983" i="9"/>
  <c r="AI983" i="9" s="1"/>
  <c r="AE983" i="9"/>
  <c r="AF983" i="9"/>
  <c r="BC983" i="9" a="1"/>
  <c r="BC983" i="9" s="1"/>
  <c r="F984" i="9"/>
  <c r="M984" i="9" a="1"/>
  <c r="M984" i="9" s="1"/>
  <c r="R984" i="9" a="1"/>
  <c r="R984" i="9" s="1"/>
  <c r="Z984" i="9"/>
  <c r="AD984" i="9"/>
  <c r="AI984" i="9" s="1"/>
  <c r="AE984" i="9"/>
  <c r="AF984" i="9"/>
  <c r="BB984" i="9" s="1"/>
  <c r="BC984" i="9" a="1"/>
  <c r="BC984" i="9" s="1"/>
  <c r="BM984" i="9"/>
  <c r="BX984" i="9"/>
  <c r="CG984" i="9"/>
  <c r="CK984" i="9"/>
  <c r="F985" i="9"/>
  <c r="M985" i="9" a="1"/>
  <c r="M985" i="9" s="1"/>
  <c r="R985" i="9" a="1"/>
  <c r="R985" i="9" s="1"/>
  <c r="Z985" i="9"/>
  <c r="AD985" i="9"/>
  <c r="AI985" i="9" s="1"/>
  <c r="AE985" i="9"/>
  <c r="AF985" i="9"/>
  <c r="BB985" i="9" s="1"/>
  <c r="BC985" i="9" a="1"/>
  <c r="BC985" i="9" s="1"/>
  <c r="F986" i="9"/>
  <c r="M986" i="9" a="1"/>
  <c r="M986" i="9" s="1"/>
  <c r="R986" i="9" a="1"/>
  <c r="R986" i="9" s="1"/>
  <c r="Z986" i="9"/>
  <c r="AD986" i="9"/>
  <c r="AY986" i="9" s="1" a="1"/>
  <c r="AY986" i="9" s="1"/>
  <c r="AE986" i="9"/>
  <c r="AF986" i="9"/>
  <c r="BB986" i="9" s="1"/>
  <c r="BC986" i="9" a="1"/>
  <c r="BC986" i="9" s="1"/>
  <c r="BI986" i="9"/>
  <c r="BQ986" i="9"/>
  <c r="BX986" i="9"/>
  <c r="F987" i="9"/>
  <c r="M987" i="9" a="1"/>
  <c r="M987" i="9" s="1"/>
  <c r="R987" i="9" a="1"/>
  <c r="R987" i="9" s="1"/>
  <c r="Z987" i="9"/>
  <c r="AD987" i="9"/>
  <c r="A987" i="9" s="1"/>
  <c r="AE987" i="9"/>
  <c r="AF987" i="9"/>
  <c r="BB987" i="9" s="1"/>
  <c r="BC987" i="9" a="1"/>
  <c r="BC987" i="9" s="1"/>
  <c r="F988" i="9"/>
  <c r="M988" i="9" a="1"/>
  <c r="M988" i="9" s="1"/>
  <c r="R988" i="9" a="1"/>
  <c r="R988" i="9" s="1"/>
  <c r="Z988" i="9"/>
  <c r="AD988" i="9"/>
  <c r="AY988" i="9" s="1" a="1"/>
  <c r="AY988" i="9" s="1"/>
  <c r="AE988" i="9"/>
  <c r="AF988" i="9"/>
  <c r="BA988" i="9" s="1"/>
  <c r="BC988" i="9" a="1"/>
  <c r="BC988" i="9" s="1"/>
  <c r="BD988" i="9"/>
  <c r="F989" i="9"/>
  <c r="M989" i="9" a="1"/>
  <c r="M989" i="9" s="1"/>
  <c r="R989" i="9" a="1"/>
  <c r="R989" i="9" s="1"/>
  <c r="Z989" i="9"/>
  <c r="AD989" i="9"/>
  <c r="CK989" i="9" s="1"/>
  <c r="AE989" i="9"/>
  <c r="AF989" i="9"/>
  <c r="BB989" i="9" s="1"/>
  <c r="BC989" i="9" a="1"/>
  <c r="BC989" i="9" s="1"/>
  <c r="BI989" i="9"/>
  <c r="F990" i="9"/>
  <c r="M990" i="9" a="1"/>
  <c r="M990" i="9" s="1"/>
  <c r="R990" i="9" a="1"/>
  <c r="R990" i="9" s="1"/>
  <c r="Z990" i="9"/>
  <c r="AD990" i="9"/>
  <c r="A990" i="9" s="1"/>
  <c r="AE990" i="9"/>
  <c r="AF990" i="9"/>
  <c r="BB990" i="9" s="1"/>
  <c r="BC990" i="9" a="1"/>
  <c r="BC990" i="9" s="1"/>
  <c r="F991" i="9"/>
  <c r="M991" i="9" a="1"/>
  <c r="M991" i="9" s="1"/>
  <c r="R991" i="9" a="1"/>
  <c r="R991" i="9" s="1"/>
  <c r="Z991" i="9"/>
  <c r="AD991" i="9"/>
  <c r="AI991" i="9" s="1"/>
  <c r="AE991" i="9"/>
  <c r="AF991" i="9"/>
  <c r="BA991" i="9" s="1"/>
  <c r="BC991" i="9" a="1"/>
  <c r="BC991" i="9" s="1"/>
  <c r="BM991" i="9"/>
  <c r="BQ991" i="9"/>
  <c r="BX991" i="9"/>
  <c r="CG991" i="9"/>
  <c r="F992" i="9"/>
  <c r="M992" i="9" a="1"/>
  <c r="M992" i="9" s="1"/>
  <c r="R992" i="9" a="1"/>
  <c r="R992" i="9" s="1"/>
  <c r="Z992" i="9"/>
  <c r="AD992" i="9"/>
  <c r="AI992" i="9" s="1"/>
  <c r="AE992" i="9"/>
  <c r="AF992" i="9"/>
  <c r="BB992" i="9" s="1"/>
  <c r="BC992" i="9" a="1"/>
  <c r="BC992" i="9" s="1"/>
  <c r="F993" i="9"/>
  <c r="M993" i="9" a="1"/>
  <c r="M993" i="9" s="1"/>
  <c r="R993" i="9" a="1"/>
  <c r="R993" i="9" s="1"/>
  <c r="Z993" i="9"/>
  <c r="AD993" i="9"/>
  <c r="AI993" i="9" s="1"/>
  <c r="AE993" i="9"/>
  <c r="AF993" i="9"/>
  <c r="BB993" i="9" s="1"/>
  <c r="BC993" i="9" a="1"/>
  <c r="BC993" i="9" s="1"/>
  <c r="BD993" i="9"/>
  <c r="BM993" i="9"/>
  <c r="BQ993" i="9"/>
  <c r="CG993" i="9"/>
  <c r="F994" i="9"/>
  <c r="M994" i="9" a="1"/>
  <c r="M994" i="9" s="1"/>
  <c r="R994" i="9" a="1"/>
  <c r="R994" i="9" s="1"/>
  <c r="Z994" i="9"/>
  <c r="AD994" i="9"/>
  <c r="BM994" i="9" s="1"/>
  <c r="AE994" i="9"/>
  <c r="AF994" i="9"/>
  <c r="BB994" i="9" s="1"/>
  <c r="BC994" i="9" a="1"/>
  <c r="BC994" i="9" s="1"/>
  <c r="BI994" i="9"/>
  <c r="BX994" i="9"/>
  <c r="CG994" i="9"/>
  <c r="F995" i="9"/>
  <c r="M995" i="9" a="1"/>
  <c r="M995" i="9" s="1"/>
  <c r="R995" i="9" a="1"/>
  <c r="R995" i="9" s="1"/>
  <c r="Z995" i="9"/>
  <c r="AD995" i="9"/>
  <c r="A995" i="9" s="1"/>
  <c r="AE995" i="9"/>
  <c r="AF995" i="9"/>
  <c r="BB995" i="9" s="1"/>
  <c r="BC995" i="9" a="1"/>
  <c r="BC995" i="9" s="1"/>
  <c r="BI995" i="9"/>
  <c r="F996" i="9"/>
  <c r="M996" i="9" a="1"/>
  <c r="M996" i="9" s="1"/>
  <c r="R996" i="9" a="1"/>
  <c r="R996" i="9" s="1"/>
  <c r="Z996" i="9"/>
  <c r="AD996" i="9"/>
  <c r="AY996" i="9" s="1" a="1"/>
  <c r="AY996" i="9" s="1"/>
  <c r="AE996" i="9"/>
  <c r="AF996" i="9"/>
  <c r="BB996" i="9" s="1"/>
  <c r="BC996" i="9" a="1"/>
  <c r="BC996" i="9" s="1"/>
  <c r="F997" i="9"/>
  <c r="M997" i="9" a="1"/>
  <c r="M997" i="9" s="1"/>
  <c r="R997" i="9" a="1"/>
  <c r="R997" i="9" s="1"/>
  <c r="Z997" i="9"/>
  <c r="AD997" i="9"/>
  <c r="CK997" i="9" s="1"/>
  <c r="AE997" i="9"/>
  <c r="AF997" i="9"/>
  <c r="BB997" i="9" s="1"/>
  <c r="BC997" i="9" a="1"/>
  <c r="BC997" i="9" s="1"/>
  <c r="BX997" i="9"/>
  <c r="F998" i="9"/>
  <c r="M998" i="9" a="1"/>
  <c r="M998" i="9" s="1"/>
  <c r="R998" i="9" a="1"/>
  <c r="R998" i="9" s="1"/>
  <c r="Z998" i="9"/>
  <c r="AD998" i="9"/>
  <c r="A998" i="9" s="1"/>
  <c r="AE998" i="9"/>
  <c r="AF998" i="9"/>
  <c r="BB998" i="9" s="1"/>
  <c r="BC998" i="9" a="1"/>
  <c r="BC998" i="9" s="1"/>
  <c r="F999" i="9"/>
  <c r="M999" i="9" a="1"/>
  <c r="M999" i="9" s="1"/>
  <c r="R999" i="9" a="1"/>
  <c r="R999" i="9" s="1"/>
  <c r="Z999" i="9"/>
  <c r="AD999" i="9"/>
  <c r="AI999" i="9" s="1"/>
  <c r="AE999" i="9"/>
  <c r="AF999" i="9"/>
  <c r="BA999" i="9" s="1"/>
  <c r="BC999" i="9" a="1"/>
  <c r="BC999" i="9" s="1"/>
  <c r="BI999" i="9"/>
  <c r="BM999" i="9"/>
  <c r="BQ999" i="9"/>
  <c r="CG999" i="9"/>
  <c r="F1000" i="9"/>
  <c r="M1000" i="9" a="1"/>
  <c r="M1000" i="9" s="1"/>
  <c r="R1000" i="9" a="1"/>
  <c r="R1000" i="9" s="1"/>
  <c r="Z1000" i="9"/>
  <c r="AD1000" i="9"/>
  <c r="AI1000" i="9" s="1"/>
  <c r="AE1000" i="9"/>
  <c r="AF1000" i="9"/>
  <c r="BB1000" i="9" s="1"/>
  <c r="BC1000" i="9" a="1"/>
  <c r="BC1000" i="9" s="1"/>
  <c r="F1001" i="9"/>
  <c r="M1001" i="9" a="1"/>
  <c r="M1001" i="9" s="1"/>
  <c r="R1001" i="9" a="1"/>
  <c r="R1001" i="9" s="1"/>
  <c r="Z1001" i="9"/>
  <c r="AD1001" i="9"/>
  <c r="AI1001" i="9" s="1"/>
  <c r="AE1001" i="9"/>
  <c r="AF1001" i="9"/>
  <c r="BB1001" i="9" s="1"/>
  <c r="BC1001" i="9" a="1"/>
  <c r="BC1001" i="9" s="1"/>
  <c r="BM1001" i="9"/>
  <c r="F1002" i="9"/>
  <c r="M1002" i="9" a="1"/>
  <c r="M1002" i="9" s="1"/>
  <c r="R1002" i="9" a="1"/>
  <c r="R1002" i="9" s="1"/>
  <c r="Z1002" i="9"/>
  <c r="AD1002" i="9"/>
  <c r="BD1002" i="9" s="1"/>
  <c r="AE1002" i="9"/>
  <c r="AF1002" i="9"/>
  <c r="BB1002" i="9" s="1"/>
  <c r="BA1002" i="9"/>
  <c r="BC1002" i="9" a="1"/>
  <c r="BC1002" i="9" s="1"/>
  <c r="CC1002" i="9"/>
  <c r="F1003" i="9"/>
  <c r="M1003" i="9" a="1"/>
  <c r="M1003" i="9" s="1"/>
  <c r="R1003" i="9" a="1"/>
  <c r="R1003" i="9" s="1"/>
  <c r="Z1003" i="9"/>
  <c r="AD1003" i="9"/>
  <c r="A1003" i="9" s="1"/>
  <c r="AE1003" i="9"/>
  <c r="AF1003" i="9"/>
  <c r="BB1003" i="9" s="1"/>
  <c r="BC1003" i="9" a="1"/>
  <c r="BC1003" i="9" s="1"/>
  <c r="F1004" i="9"/>
  <c r="M1004" i="9" a="1"/>
  <c r="M1004" i="9" s="1"/>
  <c r="R1004" i="9" a="1"/>
  <c r="R1004" i="9" s="1"/>
  <c r="Z1004" i="9"/>
  <c r="AD1004" i="9"/>
  <c r="AY1004" i="9" s="1" a="1"/>
  <c r="AY1004" i="9" s="1"/>
  <c r="AE1004" i="9"/>
  <c r="AF1004" i="9"/>
  <c r="BB1004" i="9" s="1"/>
  <c r="BC1004" i="9" a="1"/>
  <c r="BC1004" i="9" s="1"/>
  <c r="F1005" i="9"/>
  <c r="M1005" i="9" a="1"/>
  <c r="M1005" i="9" s="1"/>
  <c r="R1005" i="9" a="1"/>
  <c r="R1005" i="9" s="1"/>
  <c r="Z1005" i="9"/>
  <c r="AD1005" i="9"/>
  <c r="CK1005" i="9" s="1"/>
  <c r="AE1005" i="9"/>
  <c r="AF1005" i="9"/>
  <c r="BB1005" i="9" s="1"/>
  <c r="BC1005" i="9" a="1"/>
  <c r="BC1005" i="9" s="1"/>
  <c r="F1006" i="9"/>
  <c r="M1006" i="9" a="1"/>
  <c r="M1006" i="9" s="1"/>
  <c r="R1006" i="9" a="1"/>
  <c r="R1006" i="9" s="1"/>
  <c r="Z1006" i="9"/>
  <c r="AD1006" i="9"/>
  <c r="A1006" i="9" s="1"/>
  <c r="AE1006" i="9"/>
  <c r="AF1006" i="9"/>
  <c r="BA1006" i="9" s="1"/>
  <c r="BC1006" i="9" a="1"/>
  <c r="BC1006" i="9" s="1"/>
  <c r="BM1006" i="9"/>
  <c r="F1007" i="9"/>
  <c r="M1007" i="9" a="1"/>
  <c r="M1007" i="9" s="1"/>
  <c r="R1007" i="9" a="1"/>
  <c r="R1007" i="9" s="1"/>
  <c r="Z1007" i="9"/>
  <c r="AD1007" i="9"/>
  <c r="AI1007" i="9" s="1"/>
  <c r="AE1007" i="9"/>
  <c r="AF1007" i="9"/>
  <c r="BA1007" i="9" s="1"/>
  <c r="AY1007" i="9" a="1"/>
  <c r="AY1007" i="9" s="1"/>
  <c r="BC1007" i="9" a="1"/>
  <c r="BC1007" i="9" s="1"/>
  <c r="BX1007" i="9"/>
  <c r="F1008" i="9"/>
  <c r="M1008" i="9" a="1"/>
  <c r="M1008" i="9" s="1"/>
  <c r="R1008" i="9" a="1"/>
  <c r="R1008" i="9" s="1"/>
  <c r="Z1008" i="9"/>
  <c r="AD1008" i="9"/>
  <c r="AI1008" i="9" s="1"/>
  <c r="AE1008" i="9"/>
  <c r="AF1008" i="9"/>
  <c r="BB1008" i="9" s="1"/>
  <c r="BC1008" i="9" a="1"/>
  <c r="BC1008" i="9" s="1"/>
  <c r="BM1008" i="9"/>
  <c r="BX1008" i="9"/>
  <c r="F1009" i="9"/>
  <c r="M1009" i="9" a="1"/>
  <c r="M1009" i="9" s="1"/>
  <c r="R1009" i="9" a="1"/>
  <c r="R1009" i="9" s="1"/>
  <c r="Z1009" i="9"/>
  <c r="AD1009" i="9"/>
  <c r="AI1009" i="9" s="1"/>
  <c r="AE1009" i="9"/>
  <c r="AF1009" i="9"/>
  <c r="BB1009" i="9" s="1"/>
  <c r="BC1009" i="9" a="1"/>
  <c r="BC1009" i="9" s="1"/>
  <c r="F1010" i="9"/>
  <c r="M1010" i="9" a="1"/>
  <c r="M1010" i="9" s="1"/>
  <c r="R1010" i="9" a="1"/>
  <c r="R1010" i="9" s="1"/>
  <c r="Z1010" i="9"/>
  <c r="AD1010" i="9"/>
  <c r="AY1010" i="9" s="1" a="1"/>
  <c r="AY1010" i="9" s="1"/>
  <c r="AE1010" i="9"/>
  <c r="AF1010" i="9"/>
  <c r="BB1010" i="9" s="1"/>
  <c r="AI1010" i="9"/>
  <c r="BC1010" i="9" a="1"/>
  <c r="BC1010" i="9" s="1"/>
  <c r="BI1010" i="9"/>
  <c r="BM1010" i="9"/>
  <c r="BQ1010" i="9"/>
  <c r="BX1010" i="9"/>
  <c r="CC1010" i="9"/>
  <c r="CK1010" i="9"/>
  <c r="F1011" i="9"/>
  <c r="M1011" i="9" a="1"/>
  <c r="M1011" i="9" s="1"/>
  <c r="R1011" i="9" a="1"/>
  <c r="R1011" i="9" s="1"/>
  <c r="Z1011" i="9"/>
  <c r="AD1011" i="9"/>
  <c r="A1011" i="9" s="1"/>
  <c r="AE1011" i="9"/>
  <c r="AF1011" i="9"/>
  <c r="BB1011" i="9" s="1"/>
  <c r="BC1011" i="9" a="1"/>
  <c r="BC1011" i="9" s="1"/>
  <c r="F1012" i="9"/>
  <c r="M1012" i="9" a="1"/>
  <c r="M1012" i="9" s="1"/>
  <c r="R1012" i="9" a="1"/>
  <c r="R1012" i="9" s="1"/>
  <c r="Z1012" i="9"/>
  <c r="AD1012" i="9"/>
  <c r="AY1012" i="9" s="1" a="1"/>
  <c r="AY1012" i="9" s="1"/>
  <c r="AE1012" i="9"/>
  <c r="AF1012" i="9"/>
  <c r="BA1012" i="9" s="1"/>
  <c r="AI1012" i="9"/>
  <c r="BC1012" i="9" a="1"/>
  <c r="BC1012" i="9" s="1"/>
  <c r="BD1012" i="9"/>
  <c r="BI1012" i="9"/>
  <c r="BM1012" i="9"/>
  <c r="CK1012" i="9"/>
  <c r="F1013" i="9"/>
  <c r="M1013" i="9" a="1"/>
  <c r="M1013" i="9" s="1"/>
  <c r="R1013" i="9" a="1"/>
  <c r="R1013" i="9" s="1"/>
  <c r="Z1013" i="9"/>
  <c r="AD1013" i="9"/>
  <c r="CK1013" i="9" s="1"/>
  <c r="AE1013" i="9"/>
  <c r="AF1013" i="9"/>
  <c r="BB1013" i="9" s="1"/>
  <c r="BC1013" i="9" a="1"/>
  <c r="BC1013" i="9" s="1"/>
  <c r="F1014" i="9"/>
  <c r="M1014" i="9" a="1"/>
  <c r="M1014" i="9" s="1"/>
  <c r="R1014" i="9" a="1"/>
  <c r="R1014" i="9" s="1"/>
  <c r="Z1014" i="9"/>
  <c r="AD1014" i="9"/>
  <c r="A1014" i="9" s="1"/>
  <c r="AE1014" i="9"/>
  <c r="AF1014" i="9"/>
  <c r="BB1014" i="9" s="1"/>
  <c r="BC1014" i="9" a="1"/>
  <c r="BC1014" i="9" s="1"/>
  <c r="BM1014" i="9"/>
  <c r="F1015" i="9"/>
  <c r="M1015" i="9" a="1"/>
  <c r="M1015" i="9" s="1"/>
  <c r="R1015" i="9" a="1"/>
  <c r="R1015" i="9" s="1"/>
  <c r="Z1015" i="9"/>
  <c r="AD1015" i="9"/>
  <c r="AI1015" i="9" s="1"/>
  <c r="AE1015" i="9"/>
  <c r="AF1015" i="9"/>
  <c r="BC1015" i="9" a="1"/>
  <c r="BC1015" i="9" s="1"/>
  <c r="F1016" i="9"/>
  <c r="M1016" i="9" a="1"/>
  <c r="M1016" i="9" s="1"/>
  <c r="R1016" i="9" a="1"/>
  <c r="R1016" i="9" s="1"/>
  <c r="Z1016" i="9"/>
  <c r="AD1016" i="9"/>
  <c r="AI1016" i="9" s="1"/>
  <c r="AE1016" i="9"/>
  <c r="AF1016" i="9"/>
  <c r="BB1016" i="9" s="1"/>
  <c r="BC1016" i="9" a="1"/>
  <c r="BC1016" i="9" s="1"/>
  <c r="BI1016" i="9"/>
  <c r="BM1016" i="9"/>
  <c r="F1017" i="9"/>
  <c r="M1017" i="9" a="1"/>
  <c r="M1017" i="9" s="1"/>
  <c r="R1017" i="9" a="1"/>
  <c r="R1017" i="9" s="1"/>
  <c r="Z1017" i="9"/>
  <c r="AD1017" i="9"/>
  <c r="AI1017" i="9" s="1"/>
  <c r="AE1017" i="9"/>
  <c r="AF1017" i="9"/>
  <c r="BB1017" i="9" s="1"/>
  <c r="BC1017" i="9" a="1"/>
  <c r="BC1017" i="9" s="1"/>
  <c r="F1018" i="9"/>
  <c r="M1018" i="9" a="1"/>
  <c r="M1018" i="9" s="1"/>
  <c r="R1018" i="9" a="1"/>
  <c r="R1018" i="9" s="1"/>
  <c r="Z1018" i="9"/>
  <c r="AD1018" i="9"/>
  <c r="BD1018" i="9" s="1"/>
  <c r="AE1018" i="9"/>
  <c r="AF1018" i="9"/>
  <c r="BB1018" i="9" s="1"/>
  <c r="AI1018" i="9"/>
  <c r="BA1018" i="9"/>
  <c r="BC1018" i="9" a="1"/>
  <c r="BC1018" i="9" s="1"/>
  <c r="BI1018" i="9"/>
  <c r="BX1018" i="9"/>
  <c r="CG1018" i="9"/>
  <c r="CK1018" i="9"/>
  <c r="F1019" i="9"/>
  <c r="M1019" i="9" a="1"/>
  <c r="M1019" i="9" s="1"/>
  <c r="R1019" i="9" a="1"/>
  <c r="R1019" i="9" s="1"/>
  <c r="Z1019" i="9"/>
  <c r="AD1019" i="9"/>
  <c r="A1019" i="9" s="1"/>
  <c r="AE1019" i="9"/>
  <c r="AF1019" i="9"/>
  <c r="BB1019" i="9" s="1"/>
  <c r="BC1019" i="9" a="1"/>
  <c r="BC1019" i="9" s="1"/>
  <c r="F1020" i="9"/>
  <c r="M1020" i="9" a="1"/>
  <c r="M1020" i="9" s="1"/>
  <c r="R1020" i="9" a="1"/>
  <c r="R1020" i="9" s="1"/>
  <c r="Z1020" i="9"/>
  <c r="AD1020" i="9"/>
  <c r="AY1020" i="9" s="1" a="1"/>
  <c r="AY1020" i="9" s="1"/>
  <c r="AE1020" i="9"/>
  <c r="AF1020" i="9"/>
  <c r="BB1020" i="9" s="1"/>
  <c r="AI1020" i="9"/>
  <c r="BC1020" i="9" a="1"/>
  <c r="BC1020" i="9" s="1"/>
  <c r="BD1020" i="9"/>
  <c r="BM1020" i="9"/>
  <c r="F1021" i="9"/>
  <c r="M1021" i="9" a="1"/>
  <c r="M1021" i="9" s="1"/>
  <c r="R1021" i="9" a="1"/>
  <c r="R1021" i="9" s="1"/>
  <c r="Z1021" i="9"/>
  <c r="AD1021" i="9"/>
  <c r="CK1021" i="9" s="1"/>
  <c r="AE1021" i="9"/>
  <c r="AF1021" i="9"/>
  <c r="BB1021" i="9" s="1"/>
  <c r="BC1021" i="9" a="1"/>
  <c r="BC1021" i="9" s="1"/>
  <c r="BX1021" i="9"/>
  <c r="F1022" i="9"/>
  <c r="M1022" i="9" a="1"/>
  <c r="M1022" i="9" s="1"/>
  <c r="R1022" i="9" a="1"/>
  <c r="R1022" i="9" s="1"/>
  <c r="Z1022" i="9"/>
  <c r="AD1022" i="9"/>
  <c r="A1022" i="9" s="1"/>
  <c r="AE1022" i="9"/>
  <c r="AF1022" i="9"/>
  <c r="BB1022" i="9" s="1"/>
  <c r="BC1022" i="9" a="1"/>
  <c r="BC1022" i="9" s="1"/>
  <c r="BI1022" i="9"/>
  <c r="BM1022" i="9"/>
  <c r="CC1022" i="9"/>
  <c r="Z24" i="9"/>
  <c r="Z25" i="9"/>
  <c r="Z26" i="9"/>
  <c r="Z27" i="9"/>
  <c r="Z28" i="9"/>
  <c r="Z29" i="9"/>
  <c r="Z30" i="9"/>
  <c r="Z31" i="9"/>
  <c r="Z32" i="9"/>
  <c r="Z33" i="9"/>
  <c r="Z34" i="9"/>
  <c r="Z35" i="9"/>
  <c r="Z36" i="9"/>
  <c r="Z37" i="9"/>
  <c r="Z38" i="9"/>
  <c r="Z39" i="9"/>
  <c r="Z40" i="9"/>
  <c r="Z41" i="9"/>
  <c r="Z42" i="9"/>
  <c r="Z43" i="9"/>
  <c r="Z44" i="9"/>
  <c r="Z45" i="9"/>
  <c r="Z46" i="9"/>
  <c r="Z47" i="9"/>
  <c r="Z48" i="9"/>
  <c r="Z49" i="9"/>
  <c r="Z50" i="9"/>
  <c r="Z51" i="9"/>
  <c r="Z52" i="9"/>
  <c r="Z53" i="9"/>
  <c r="Z54" i="9"/>
  <c r="Z55" i="9"/>
  <c r="Z56" i="9"/>
  <c r="Z57" i="9"/>
  <c r="Z58" i="9"/>
  <c r="Z59" i="9"/>
  <c r="Z60" i="9"/>
  <c r="Z61" i="9"/>
  <c r="Z62" i="9"/>
  <c r="Z63" i="9"/>
  <c r="Z64" i="9"/>
  <c r="Z65" i="9"/>
  <c r="Z66" i="9"/>
  <c r="Z67" i="9"/>
  <c r="Z68" i="9"/>
  <c r="Z69" i="9"/>
  <c r="Z70" i="9"/>
  <c r="Z71" i="9"/>
  <c r="Z72" i="9"/>
  <c r="Z73" i="9"/>
  <c r="Z74" i="9"/>
  <c r="Z75" i="9"/>
  <c r="Z76" i="9"/>
  <c r="Z77" i="9"/>
  <c r="Z78" i="9"/>
  <c r="Z79" i="9"/>
  <c r="Z80" i="9"/>
  <c r="Z81" i="9"/>
  <c r="Z82" i="9"/>
  <c r="Z83" i="9"/>
  <c r="Z84" i="9"/>
  <c r="Z85" i="9"/>
  <c r="Z86" i="9"/>
  <c r="Z87" i="9"/>
  <c r="Z88" i="9"/>
  <c r="Z89" i="9"/>
  <c r="Z90" i="9"/>
  <c r="Z91" i="9"/>
  <c r="Z92" i="9"/>
  <c r="Z93" i="9"/>
  <c r="Z94" i="9"/>
  <c r="Z95" i="9"/>
  <c r="Z96" i="9"/>
  <c r="Z97" i="9"/>
  <c r="Z98" i="9"/>
  <c r="Z99" i="9"/>
  <c r="Z100" i="9"/>
  <c r="Z101" i="9"/>
  <c r="Z102" i="9"/>
  <c r="Z103" i="9"/>
  <c r="Z104" i="9"/>
  <c r="Z105" i="9"/>
  <c r="Z106" i="9"/>
  <c r="Z107" i="9"/>
  <c r="Z108" i="9"/>
  <c r="Z109" i="9"/>
  <c r="Z110" i="9"/>
  <c r="Z111" i="9"/>
  <c r="Z112" i="9"/>
  <c r="Z113" i="9"/>
  <c r="Z114" i="9"/>
  <c r="Z115" i="9"/>
  <c r="Z116" i="9"/>
  <c r="Z117" i="9"/>
  <c r="Z118" i="9"/>
  <c r="Z119" i="9"/>
  <c r="Z120" i="9"/>
  <c r="Z121" i="9"/>
  <c r="Z122" i="9"/>
  <c r="Z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23" i="9"/>
  <c r="BC122" i="9" a="1"/>
  <c r="BC122" i="9" s="1"/>
  <c r="AF122" i="9"/>
  <c r="AE122" i="9"/>
  <c r="AD122" i="9"/>
  <c r="BD122" i="9" s="1"/>
  <c r="R122" i="9" a="1"/>
  <c r="R122" i="9" s="1"/>
  <c r="M122" i="9" a="1"/>
  <c r="M122" i="9" s="1"/>
  <c r="BC121" i="9" a="1"/>
  <c r="BC121" i="9" s="1"/>
  <c r="AF121" i="9"/>
  <c r="BB121" i="9" s="1"/>
  <c r="AE121" i="9"/>
  <c r="AD121" i="9"/>
  <c r="AI121" i="9" s="1"/>
  <c r="R121" i="9" a="1"/>
  <c r="R121" i="9" s="1"/>
  <c r="M121" i="9" a="1"/>
  <c r="M121" i="9" s="1"/>
  <c r="BC120" i="9" a="1"/>
  <c r="BC120" i="9" s="1"/>
  <c r="AF120" i="9"/>
  <c r="AE120" i="9"/>
  <c r="AD120" i="9"/>
  <c r="CK120" i="9" s="1"/>
  <c r="R120" i="9" a="1"/>
  <c r="R120" i="9" s="1"/>
  <c r="M120" i="9" a="1"/>
  <c r="M120" i="9" s="1"/>
  <c r="BC119" i="9" a="1"/>
  <c r="BC119" i="9" s="1"/>
  <c r="AI119" i="9"/>
  <c r="AF119" i="9"/>
  <c r="BB119" i="9" s="1"/>
  <c r="AE119" i="9"/>
  <c r="AD119" i="9"/>
  <c r="CG119" i="9" s="1"/>
  <c r="R119" i="9" a="1"/>
  <c r="R119" i="9" s="1"/>
  <c r="M119" i="9" a="1"/>
  <c r="M119" i="9" s="1"/>
  <c r="CK118" i="9"/>
  <c r="BC118" i="9" a="1"/>
  <c r="BC118" i="9" s="1"/>
  <c r="AI118" i="9"/>
  <c r="AF118" i="9"/>
  <c r="AE118" i="9"/>
  <c r="AD118" i="9"/>
  <c r="CC118" i="9" s="1"/>
  <c r="R118" i="9" a="1"/>
  <c r="R118" i="9" s="1"/>
  <c r="M118" i="9" a="1"/>
  <c r="M118" i="9" s="1"/>
  <c r="BC117" i="9" a="1"/>
  <c r="BC117" i="9" s="1"/>
  <c r="AF117" i="9"/>
  <c r="BB117" i="9" s="1"/>
  <c r="AE117" i="9"/>
  <c r="AD117" i="9"/>
  <c r="BX117" i="9" s="1"/>
  <c r="R117" i="9" a="1"/>
  <c r="R117" i="9" s="1"/>
  <c r="M117" i="9" a="1"/>
  <c r="M117" i="9" s="1"/>
  <c r="BC116" i="9" a="1"/>
  <c r="BC116" i="9" s="1"/>
  <c r="AF116" i="9"/>
  <c r="BB116" i="9" s="1"/>
  <c r="AE116" i="9"/>
  <c r="AD116" i="9"/>
  <c r="BQ116" i="9" s="1"/>
  <c r="R116" i="9" a="1"/>
  <c r="R116" i="9" s="1"/>
  <c r="M116" i="9" a="1"/>
  <c r="M116" i="9" s="1"/>
  <c r="BD115" i="9"/>
  <c r="BC115" i="9" a="1"/>
  <c r="BC115" i="9" s="1"/>
  <c r="AF115" i="9"/>
  <c r="AE115" i="9"/>
  <c r="AD115" i="9"/>
  <c r="BX115" i="9" s="1"/>
  <c r="R115" i="9" a="1"/>
  <c r="R115" i="9" s="1"/>
  <c r="M115" i="9" a="1"/>
  <c r="M115" i="9" s="1"/>
  <c r="BC114" i="9" a="1"/>
  <c r="BC114" i="9" s="1"/>
  <c r="AF114" i="9"/>
  <c r="BB114" i="9" s="1"/>
  <c r="AE114" i="9"/>
  <c r="AD114" i="9"/>
  <c r="R114" i="9" a="1"/>
  <c r="R114" i="9" s="1"/>
  <c r="M114" i="9" a="1"/>
  <c r="M114" i="9" s="1"/>
  <c r="BC113" i="9" a="1"/>
  <c r="BC113" i="9" s="1"/>
  <c r="AF113" i="9"/>
  <c r="AE113" i="9"/>
  <c r="AD113" i="9"/>
  <c r="CK113" i="9" s="1"/>
  <c r="R113" i="9" a="1"/>
  <c r="R113" i="9" s="1"/>
  <c r="M113" i="9" a="1"/>
  <c r="M113" i="9" s="1"/>
  <c r="BC112" i="9" a="1"/>
  <c r="BC112" i="9" s="1"/>
  <c r="AF112" i="9"/>
  <c r="BB112" i="9" s="1"/>
  <c r="AE112" i="9"/>
  <c r="AD112" i="9"/>
  <c r="BI112" i="9" s="1"/>
  <c r="R112" i="9" a="1"/>
  <c r="R112" i="9" s="1"/>
  <c r="M112" i="9" a="1"/>
  <c r="M112" i="9" s="1"/>
  <c r="BC111" i="9" a="1"/>
  <c r="BC111" i="9" s="1"/>
  <c r="AF111" i="9"/>
  <c r="BB111" i="9" s="1"/>
  <c r="AE111" i="9"/>
  <c r="AD111" i="9"/>
  <c r="R111" i="9" a="1"/>
  <c r="R111" i="9" s="1"/>
  <c r="M111" i="9" a="1"/>
  <c r="M111" i="9" s="1"/>
  <c r="BC110" i="9" a="1"/>
  <c r="BC110" i="9" s="1"/>
  <c r="AF110" i="9"/>
  <c r="BB110" i="9" s="1"/>
  <c r="AE110" i="9"/>
  <c r="AD110" i="9"/>
  <c r="BI110" i="9" s="1"/>
  <c r="R110" i="9" a="1"/>
  <c r="R110" i="9" s="1"/>
  <c r="M110" i="9" a="1"/>
  <c r="M110" i="9" s="1"/>
  <c r="BC109" i="9" a="1"/>
  <c r="BC109" i="9" s="1"/>
  <c r="AF109" i="9"/>
  <c r="BB109" i="9" s="1"/>
  <c r="AE109" i="9"/>
  <c r="AD109" i="9"/>
  <c r="CG109" i="9" s="1"/>
  <c r="R109" i="9" a="1"/>
  <c r="R109" i="9" s="1"/>
  <c r="M109" i="9" a="1"/>
  <c r="M109" i="9" s="1"/>
  <c r="BC108" i="9" a="1"/>
  <c r="BC108" i="9" s="1"/>
  <c r="AF108" i="9"/>
  <c r="AE108" i="9"/>
  <c r="AD108" i="9"/>
  <c r="BD108" i="9" s="1"/>
  <c r="R108" i="9" a="1"/>
  <c r="R108" i="9" s="1"/>
  <c r="M108" i="9" a="1"/>
  <c r="M108" i="9" s="1"/>
  <c r="BC107" i="9" a="1"/>
  <c r="BC107" i="9" s="1"/>
  <c r="AF107" i="9"/>
  <c r="AE107" i="9"/>
  <c r="AD107" i="9"/>
  <c r="BQ107" i="9" s="1"/>
  <c r="R107" i="9" a="1"/>
  <c r="R107" i="9" s="1"/>
  <c r="M107" i="9" a="1"/>
  <c r="M107" i="9" s="1"/>
  <c r="BC106" i="9" a="1"/>
  <c r="BC106" i="9" s="1"/>
  <c r="AF106" i="9"/>
  <c r="AE106" i="9"/>
  <c r="AD106" i="9"/>
  <c r="BQ106" i="9" s="1"/>
  <c r="R106" i="9" a="1"/>
  <c r="R106" i="9" s="1"/>
  <c r="M106" i="9" a="1"/>
  <c r="M106" i="9" s="1"/>
  <c r="BQ105" i="9"/>
  <c r="BC105" i="9" a="1"/>
  <c r="BC105" i="9" s="1"/>
  <c r="AF105" i="9"/>
  <c r="AE105" i="9"/>
  <c r="AD105" i="9"/>
  <c r="BM105" i="9" s="1"/>
  <c r="R105" i="9" a="1"/>
  <c r="R105" i="9" s="1"/>
  <c r="M105" i="9" a="1"/>
  <c r="M105" i="9" s="1"/>
  <c r="BC104" i="9" a="1"/>
  <c r="BC104" i="9" s="1"/>
  <c r="AF104" i="9"/>
  <c r="BB104" i="9" s="1"/>
  <c r="AE104" i="9"/>
  <c r="AD104" i="9"/>
  <c r="BM104" i="9" s="1"/>
  <c r="R104" i="9" a="1"/>
  <c r="R104" i="9" s="1"/>
  <c r="M104" i="9" a="1"/>
  <c r="M104" i="9" s="1"/>
  <c r="BC103" i="9" a="1"/>
  <c r="BC103" i="9" s="1"/>
  <c r="AF103" i="9"/>
  <c r="BB103" i="9" s="1"/>
  <c r="AE103" i="9"/>
  <c r="AD103" i="9"/>
  <c r="A103" i="9" s="1"/>
  <c r="R103" i="9" a="1"/>
  <c r="R103" i="9" s="1"/>
  <c r="M103" i="9" a="1"/>
  <c r="M103" i="9" s="1"/>
  <c r="BC102" i="9" a="1"/>
  <c r="BC102" i="9" s="1"/>
  <c r="AF102" i="9"/>
  <c r="AE102" i="9"/>
  <c r="AD102" i="9"/>
  <c r="A102" i="9" s="1"/>
  <c r="R102" i="9" a="1"/>
  <c r="R102" i="9" s="1"/>
  <c r="M102" i="9" a="1"/>
  <c r="M102" i="9" s="1"/>
  <c r="BC101" i="9" a="1"/>
  <c r="BC101" i="9" s="1"/>
  <c r="AF101" i="9"/>
  <c r="BB101" i="9" s="1"/>
  <c r="AE101" i="9"/>
  <c r="AD101" i="9"/>
  <c r="BI101" i="9" s="1"/>
  <c r="R101" i="9" a="1"/>
  <c r="R101" i="9" s="1"/>
  <c r="M101" i="9" a="1"/>
  <c r="M101" i="9" s="1"/>
  <c r="BX100" i="9"/>
  <c r="BC100" i="9" a="1"/>
  <c r="BC100" i="9" s="1"/>
  <c r="AI100" i="9"/>
  <c r="AF100" i="9"/>
  <c r="AE100" i="9"/>
  <c r="AD100" i="9"/>
  <c r="BI100" i="9" s="1"/>
  <c r="R100" i="9" a="1"/>
  <c r="R100" i="9" s="1"/>
  <c r="M100" i="9" a="1"/>
  <c r="M100" i="9" s="1"/>
  <c r="BC99" i="9" a="1"/>
  <c r="BC99" i="9" s="1"/>
  <c r="AF99" i="9"/>
  <c r="BB99" i="9" s="1"/>
  <c r="AE99" i="9"/>
  <c r="AD99" i="9"/>
  <c r="R99" i="9" a="1"/>
  <c r="R99" i="9" s="1"/>
  <c r="M99" i="9" a="1"/>
  <c r="M99" i="9" s="1"/>
  <c r="BC98" i="9" a="1"/>
  <c r="BC98" i="9" s="1"/>
  <c r="AF98" i="9"/>
  <c r="BB98" i="9" s="1"/>
  <c r="AE98" i="9"/>
  <c r="AD98" i="9"/>
  <c r="BI98" i="9" s="1"/>
  <c r="R98" i="9" a="1"/>
  <c r="R98" i="9" s="1"/>
  <c r="M98" i="9" a="1"/>
  <c r="M98" i="9" s="1"/>
  <c r="BC97" i="9" a="1"/>
  <c r="BC97" i="9" s="1"/>
  <c r="AF97" i="9"/>
  <c r="AE97" i="9"/>
  <c r="AD97" i="9"/>
  <c r="BX97" i="9" s="1"/>
  <c r="R97" i="9" a="1"/>
  <c r="R97" i="9" s="1"/>
  <c r="M97" i="9" a="1"/>
  <c r="M97" i="9" s="1"/>
  <c r="BC96" i="9" a="1"/>
  <c r="BC96" i="9" s="1"/>
  <c r="AF96" i="9"/>
  <c r="AE96" i="9"/>
  <c r="AD96" i="9"/>
  <c r="CK96" i="9" s="1"/>
  <c r="R96" i="9" a="1"/>
  <c r="R96" i="9" s="1"/>
  <c r="M96" i="9" a="1"/>
  <c r="M96" i="9" s="1"/>
  <c r="BI95" i="9"/>
  <c r="BC95" i="9" a="1"/>
  <c r="BC95" i="9" s="1"/>
  <c r="AF95" i="9"/>
  <c r="AE95" i="9"/>
  <c r="AD95" i="9"/>
  <c r="CG95" i="9" s="1"/>
  <c r="R95" i="9" a="1"/>
  <c r="R95" i="9" s="1"/>
  <c r="M95" i="9" a="1"/>
  <c r="M95" i="9" s="1"/>
  <c r="BC94" i="9" a="1"/>
  <c r="BC94" i="9" s="1"/>
  <c r="AF94" i="9"/>
  <c r="BB94" i="9" s="1"/>
  <c r="AE94" i="9"/>
  <c r="AD94" i="9"/>
  <c r="CK94" i="9" s="1"/>
  <c r="R94" i="9" a="1"/>
  <c r="R94" i="9" s="1"/>
  <c r="M94" i="9" a="1"/>
  <c r="M94" i="9" s="1"/>
  <c r="BC93" i="9"/>
  <c r="BC93" i="9" a="1"/>
  <c r="AF93" i="9"/>
  <c r="BB93" i="9" s="1"/>
  <c r="AE93" i="9"/>
  <c r="AD93" i="9"/>
  <c r="CG93" i="9" s="1"/>
  <c r="R93" i="9" a="1"/>
  <c r="R93" i="9" s="1"/>
  <c r="M93" i="9" a="1"/>
  <c r="M93" i="9" s="1"/>
  <c r="BC92" i="9" a="1"/>
  <c r="BC92" i="9" s="1"/>
  <c r="AF92" i="9"/>
  <c r="BB92" i="9" s="1"/>
  <c r="AE92" i="9"/>
  <c r="AD92" i="9"/>
  <c r="BX92" i="9" s="1"/>
  <c r="R92" i="9" a="1"/>
  <c r="R92" i="9" s="1"/>
  <c r="M92" i="9" a="1"/>
  <c r="M92" i="9" s="1"/>
  <c r="BC91" i="9" a="1"/>
  <c r="BC91" i="9" s="1"/>
  <c r="AF91" i="9"/>
  <c r="AE91" i="9"/>
  <c r="AD91" i="9"/>
  <c r="CG91" i="9" s="1"/>
  <c r="R91" i="9" a="1"/>
  <c r="R91" i="9" s="1"/>
  <c r="M91" i="9" a="1"/>
  <c r="M91" i="9" s="1"/>
  <c r="BC90" i="9" a="1"/>
  <c r="BC90" i="9" s="1"/>
  <c r="AY90" i="9" a="1"/>
  <c r="AY90" i="9" s="1"/>
  <c r="AF90" i="9"/>
  <c r="BB90" i="9" s="1"/>
  <c r="AE90" i="9"/>
  <c r="AD90" i="9"/>
  <c r="BI90" i="9" s="1"/>
  <c r="R90" i="9" a="1"/>
  <c r="R90" i="9" s="1"/>
  <c r="M90" i="9" a="1"/>
  <c r="M90" i="9" s="1"/>
  <c r="BC89" i="9" a="1"/>
  <c r="BC89" i="9" s="1"/>
  <c r="AF89" i="9"/>
  <c r="BB89" i="9" s="1"/>
  <c r="AE89" i="9"/>
  <c r="AD89" i="9"/>
  <c r="BM89" i="9" s="1"/>
  <c r="R89" i="9" a="1"/>
  <c r="R89" i="9" s="1"/>
  <c r="M89" i="9" a="1"/>
  <c r="M89" i="9" s="1"/>
  <c r="BX88" i="9"/>
  <c r="BC88" i="9" a="1"/>
  <c r="BC88" i="9" s="1"/>
  <c r="AI88" i="9"/>
  <c r="AF88" i="9"/>
  <c r="AE88" i="9"/>
  <c r="AD88" i="9"/>
  <c r="BI88" i="9" s="1"/>
  <c r="R88" i="9" a="1"/>
  <c r="R88" i="9" s="1"/>
  <c r="M88" i="9" a="1"/>
  <c r="M88" i="9" s="1"/>
  <c r="BC87" i="9" a="1"/>
  <c r="BC87" i="9" s="1"/>
  <c r="AY87" i="9" a="1"/>
  <c r="AY87" i="9" s="1"/>
  <c r="AF87" i="9"/>
  <c r="AE87" i="9"/>
  <c r="AD87" i="9"/>
  <c r="CK87" i="9" s="1"/>
  <c r="R87" i="9" a="1"/>
  <c r="R87" i="9" s="1"/>
  <c r="M87" i="9" a="1"/>
  <c r="M87" i="9" s="1"/>
  <c r="BC86" i="9" a="1"/>
  <c r="BC86" i="9" s="1"/>
  <c r="AF86" i="9"/>
  <c r="BB86" i="9" s="1"/>
  <c r="AE86" i="9"/>
  <c r="AD86" i="9"/>
  <c r="R86" i="9" a="1"/>
  <c r="R86" i="9" s="1"/>
  <c r="M86" i="9" a="1"/>
  <c r="M86" i="9" s="1"/>
  <c r="BC85" i="9" a="1"/>
  <c r="BC85" i="9" s="1"/>
  <c r="AF85" i="9"/>
  <c r="AE85" i="9"/>
  <c r="AD85" i="9"/>
  <c r="BQ85" i="9" s="1"/>
  <c r="R85" i="9" a="1"/>
  <c r="R85" i="9" s="1"/>
  <c r="M85" i="9" a="1"/>
  <c r="M85" i="9" s="1"/>
  <c r="BC84" i="9" a="1"/>
  <c r="BC84" i="9" s="1"/>
  <c r="AF84" i="9"/>
  <c r="BB84" i="9" s="1"/>
  <c r="AE84" i="9"/>
  <c r="AD84" i="9"/>
  <c r="CC84" i="9" s="1"/>
  <c r="R84" i="9" a="1"/>
  <c r="R84" i="9" s="1"/>
  <c r="M84" i="9" a="1"/>
  <c r="M84" i="9" s="1"/>
  <c r="BC83" i="9" a="1"/>
  <c r="BC83" i="9" s="1"/>
  <c r="AF83" i="9"/>
  <c r="AE83" i="9"/>
  <c r="AD83" i="9"/>
  <c r="CK83" i="9" s="1"/>
  <c r="R83" i="9" a="1"/>
  <c r="R83" i="9" s="1"/>
  <c r="M83" i="9" a="1"/>
  <c r="M83" i="9" s="1"/>
  <c r="BC82" i="9" a="1"/>
  <c r="BC82" i="9" s="1"/>
  <c r="AU82" i="9" a="1"/>
  <c r="AU82" i="9" s="1"/>
  <c r="AT82" i="9" a="1"/>
  <c r="AT82" i="9" s="1"/>
  <c r="AS82" i="9" a="1"/>
  <c r="AS82" i="9" s="1"/>
  <c r="AR82" i="9" a="1"/>
  <c r="AR82" i="9" s="1"/>
  <c r="AQ82" i="9" a="1"/>
  <c r="AQ82" i="9" s="1"/>
  <c r="AP82" i="9"/>
  <c r="AO82" i="9"/>
  <c r="AF82" i="9"/>
  <c r="AE82" i="9"/>
  <c r="AD82" i="9"/>
  <c r="R82" i="9" a="1"/>
  <c r="R82" i="9" s="1"/>
  <c r="M82" i="9" a="1"/>
  <c r="M82" i="9" s="1"/>
  <c r="BC81" i="9" a="1"/>
  <c r="BC81" i="9" s="1"/>
  <c r="AU81" i="9" a="1"/>
  <c r="AU81" i="9" s="1"/>
  <c r="AT81" i="9" a="1"/>
  <c r="AT81" i="9" s="1"/>
  <c r="AS81" i="9" a="1"/>
  <c r="AS81" i="9" s="1"/>
  <c r="AR81" i="9"/>
  <c r="AR81" i="9" a="1"/>
  <c r="AQ81" i="9" a="1"/>
  <c r="AQ81" i="9" s="1"/>
  <c r="AP81" i="9"/>
  <c r="AO81" i="9"/>
  <c r="AF81" i="9"/>
  <c r="BB81" i="9" s="1"/>
  <c r="AE81" i="9"/>
  <c r="AD81" i="9"/>
  <c r="BQ81" i="9" s="1"/>
  <c r="R81" i="9" a="1"/>
  <c r="R81" i="9" s="1"/>
  <c r="M81" i="9" a="1"/>
  <c r="M81" i="9" s="1"/>
  <c r="BC80" i="9" a="1"/>
  <c r="BC80" i="9" s="1"/>
  <c r="AU80" i="9" a="1"/>
  <c r="AU80" i="9" s="1"/>
  <c r="AT80" i="9" a="1"/>
  <c r="AT80" i="9" s="1"/>
  <c r="AS80" i="9" a="1"/>
  <c r="AS80" i="9" s="1"/>
  <c r="AR80" i="9" a="1"/>
  <c r="AR80" i="9" s="1"/>
  <c r="AQ80" i="9" a="1"/>
  <c r="AQ80" i="9" s="1"/>
  <c r="AP80" i="9"/>
  <c r="AO80" i="9"/>
  <c r="AF80" i="9"/>
  <c r="AE80" i="9"/>
  <c r="AD80" i="9"/>
  <c r="R80" i="9" a="1"/>
  <c r="R80" i="9" s="1"/>
  <c r="M80" i="9" a="1"/>
  <c r="M80" i="9" s="1"/>
  <c r="BC79" i="9" a="1"/>
  <c r="BC79" i="9" s="1"/>
  <c r="AU79" i="9" a="1"/>
  <c r="AU79" i="9" s="1"/>
  <c r="AT79" i="9" a="1"/>
  <c r="AT79" i="9" s="1"/>
  <c r="AS79" i="9" a="1"/>
  <c r="AS79" i="9" s="1"/>
  <c r="AR79" i="9" a="1"/>
  <c r="AR79" i="9" s="1"/>
  <c r="AQ79" i="9" a="1"/>
  <c r="AQ79" i="9" s="1"/>
  <c r="AP79" i="9"/>
  <c r="AO79" i="9"/>
  <c r="AF79" i="9"/>
  <c r="BB79" i="9" s="1"/>
  <c r="AE79" i="9"/>
  <c r="AD79" i="9"/>
  <c r="BI79" i="9" s="1"/>
  <c r="R79" i="9" a="1"/>
  <c r="R79" i="9" s="1"/>
  <c r="M79" i="9" a="1"/>
  <c r="M79" i="9" s="1"/>
  <c r="BC78" i="9" a="1"/>
  <c r="BC78" i="9" s="1"/>
  <c r="AU78" i="9" a="1"/>
  <c r="AU78" i="9" s="1"/>
  <c r="AT78" i="9" a="1"/>
  <c r="AT78" i="9" s="1"/>
  <c r="AS78" i="9" a="1"/>
  <c r="AS78" i="9" s="1"/>
  <c r="AR78" i="9" a="1"/>
  <c r="AR78" i="9" s="1"/>
  <c r="AQ78" i="9" a="1"/>
  <c r="AQ78" i="9" s="1"/>
  <c r="AP78" i="9"/>
  <c r="AO78" i="9"/>
  <c r="AF78" i="9"/>
  <c r="BB78" i="9" s="1"/>
  <c r="AE78" i="9"/>
  <c r="AD78" i="9"/>
  <c r="R78" i="9" a="1"/>
  <c r="R78" i="9" s="1"/>
  <c r="M78" i="9" a="1"/>
  <c r="M78" i="9" s="1"/>
  <c r="BC77" i="9" a="1"/>
  <c r="BC77" i="9" s="1"/>
  <c r="AU77" i="9" a="1"/>
  <c r="AU77" i="9" s="1"/>
  <c r="AT77" i="9" a="1"/>
  <c r="AT77" i="9" s="1"/>
  <c r="AS77" i="9" a="1"/>
  <c r="AS77" i="9" s="1"/>
  <c r="AR77" i="9" a="1"/>
  <c r="AR77" i="9" s="1"/>
  <c r="AQ77" i="9" a="1"/>
  <c r="AQ77" i="9" s="1"/>
  <c r="AP77" i="9"/>
  <c r="AO77" i="9"/>
  <c r="AF77" i="9"/>
  <c r="AE77" i="9"/>
  <c r="AD77" i="9"/>
  <c r="CG77" i="9" s="1"/>
  <c r="R77" i="9" a="1"/>
  <c r="R77" i="9" s="1"/>
  <c r="M77" i="9" a="1"/>
  <c r="M77" i="9" s="1"/>
  <c r="BX76" i="9"/>
  <c r="BM76" i="9"/>
  <c r="BC76" i="9" a="1"/>
  <c r="BC76" i="9" s="1"/>
  <c r="AU76" i="9" a="1"/>
  <c r="AU76" i="9" s="1"/>
  <c r="AT76" i="9" a="1"/>
  <c r="AT76" i="9" s="1"/>
  <c r="AS76" i="9" a="1"/>
  <c r="AS76" i="9" s="1"/>
  <c r="AR76" i="9" a="1"/>
  <c r="AR76" i="9" s="1"/>
  <c r="AQ76" i="9" a="1"/>
  <c r="AQ76" i="9" s="1"/>
  <c r="AP76" i="9"/>
  <c r="AO76" i="9"/>
  <c r="AF76" i="9"/>
  <c r="AE76" i="9"/>
  <c r="AD76" i="9"/>
  <c r="CC76" i="9" s="1"/>
  <c r="R76" i="9" a="1"/>
  <c r="R76" i="9" s="1"/>
  <c r="M76" i="9" a="1"/>
  <c r="M76" i="9" s="1"/>
  <c r="BM75" i="9"/>
  <c r="BC75" i="9" a="1"/>
  <c r="BC75" i="9" s="1"/>
  <c r="AU75" i="9" a="1"/>
  <c r="AU75" i="9" s="1"/>
  <c r="AT75" i="9" a="1"/>
  <c r="AT75" i="9" s="1"/>
  <c r="AS75" i="9" a="1"/>
  <c r="AS75" i="9" s="1"/>
  <c r="AR75" i="9" a="1"/>
  <c r="AR75" i="9" s="1"/>
  <c r="AQ75" i="9" a="1"/>
  <c r="AQ75" i="9" s="1"/>
  <c r="AP75" i="9"/>
  <c r="AO75" i="9"/>
  <c r="AF75" i="9"/>
  <c r="BB75" i="9" s="1"/>
  <c r="AE75" i="9"/>
  <c r="AD75" i="9"/>
  <c r="CG75" i="9" s="1"/>
  <c r="R75" i="9" a="1"/>
  <c r="R75" i="9" s="1"/>
  <c r="M75" i="9" a="1"/>
  <c r="M75" i="9" s="1"/>
  <c r="BC74" i="9" a="1"/>
  <c r="BC74" i="9" s="1"/>
  <c r="AU74" i="9" a="1"/>
  <c r="AU74" i="9" s="1"/>
  <c r="AT74" i="9" a="1"/>
  <c r="AT74" i="9" s="1"/>
  <c r="AS74" i="9" a="1"/>
  <c r="AS74" i="9" s="1"/>
  <c r="AR74" i="9" a="1"/>
  <c r="AR74" i="9" s="1"/>
  <c r="AQ74" i="9" a="1"/>
  <c r="AQ74" i="9" s="1"/>
  <c r="AP74" i="9"/>
  <c r="AO74" i="9"/>
  <c r="AF74" i="9"/>
  <c r="BB74" i="9" s="1"/>
  <c r="AE74" i="9"/>
  <c r="AD74" i="9"/>
  <c r="CG74" i="9" s="1"/>
  <c r="R74" i="9" a="1"/>
  <c r="R74" i="9" s="1"/>
  <c r="M74" i="9" a="1"/>
  <c r="M74" i="9" s="1"/>
  <c r="BC73" i="9" a="1"/>
  <c r="BC73" i="9" s="1"/>
  <c r="AU73" i="9" a="1"/>
  <c r="AU73" i="9" s="1"/>
  <c r="AT73" i="9" a="1"/>
  <c r="AT73" i="9" s="1"/>
  <c r="AS73" i="9" a="1"/>
  <c r="AS73" i="9" s="1"/>
  <c r="AR73" i="9" a="1"/>
  <c r="AR73" i="9" s="1"/>
  <c r="AQ73" i="9" a="1"/>
  <c r="AQ73" i="9" s="1"/>
  <c r="AP73" i="9"/>
  <c r="AO73" i="9"/>
  <c r="AF73" i="9"/>
  <c r="BB73" i="9" s="1"/>
  <c r="AE73" i="9"/>
  <c r="AD73" i="9"/>
  <c r="BA73" i="9" s="1"/>
  <c r="R73" i="9" a="1"/>
  <c r="R73" i="9" s="1"/>
  <c r="M73" i="9" a="1"/>
  <c r="M73" i="9" s="1"/>
  <c r="BC72" i="9" a="1"/>
  <c r="BC72" i="9" s="1"/>
  <c r="AU72" i="9" a="1"/>
  <c r="AU72" i="9" s="1"/>
  <c r="AT72" i="9" a="1"/>
  <c r="AT72" i="9" s="1"/>
  <c r="AS72" i="9" a="1"/>
  <c r="AS72" i="9" s="1"/>
  <c r="AR72" i="9" a="1"/>
  <c r="AR72" i="9" s="1"/>
  <c r="AQ72" i="9" a="1"/>
  <c r="AQ72" i="9" s="1"/>
  <c r="AP72" i="9"/>
  <c r="AO72" i="9"/>
  <c r="AF72" i="9"/>
  <c r="BB72" i="9" s="1"/>
  <c r="AE72" i="9"/>
  <c r="AD72" i="9"/>
  <c r="CG72" i="9" s="1"/>
  <c r="R72" i="9" a="1"/>
  <c r="R72" i="9" s="1"/>
  <c r="M72" i="9" a="1"/>
  <c r="M72" i="9" s="1"/>
  <c r="BC71" i="9" a="1"/>
  <c r="BC71" i="9" s="1"/>
  <c r="AU71" i="9" a="1"/>
  <c r="AU71" i="9" s="1"/>
  <c r="AT71" i="9" a="1"/>
  <c r="AT71" i="9" s="1"/>
  <c r="AS71" i="9" a="1"/>
  <c r="AS71" i="9" s="1"/>
  <c r="AR71" i="9" a="1"/>
  <c r="AR71" i="9" s="1"/>
  <c r="AQ71" i="9"/>
  <c r="AQ71" i="9" a="1"/>
  <c r="AP71" i="9"/>
  <c r="AO71" i="9"/>
  <c r="AF71" i="9"/>
  <c r="AE71" i="9"/>
  <c r="AD71" i="9"/>
  <c r="BM71" i="9" s="1"/>
  <c r="R71" i="9" a="1"/>
  <c r="R71" i="9" s="1"/>
  <c r="M71" i="9" a="1"/>
  <c r="M71" i="9" s="1"/>
  <c r="BC70" i="9" a="1"/>
  <c r="BC70" i="9" s="1"/>
  <c r="AU70" i="9" a="1"/>
  <c r="AU70" i="9" s="1"/>
  <c r="AT70" i="9" a="1"/>
  <c r="AT70" i="9" s="1"/>
  <c r="AS70" i="9" a="1"/>
  <c r="AS70" i="9" s="1"/>
  <c r="AR70" i="9" a="1"/>
  <c r="AR70" i="9" s="1"/>
  <c r="AQ70" i="9" a="1"/>
  <c r="AQ70" i="9" s="1"/>
  <c r="AP70" i="9"/>
  <c r="AO70" i="9"/>
  <c r="AF70" i="9"/>
  <c r="BB70" i="9" s="1"/>
  <c r="AE70" i="9"/>
  <c r="AD70" i="9"/>
  <c r="BX70" i="9" s="1"/>
  <c r="R70" i="9" a="1"/>
  <c r="R70" i="9" s="1"/>
  <c r="M70" i="9" a="1"/>
  <c r="M70" i="9" s="1"/>
  <c r="BC69" i="9" a="1"/>
  <c r="BC69" i="9" s="1"/>
  <c r="AU69" i="9" a="1"/>
  <c r="AU69" i="9" s="1"/>
  <c r="AT69" i="9" a="1"/>
  <c r="AT69" i="9" s="1"/>
  <c r="AS69" i="9" a="1"/>
  <c r="AS69" i="9" s="1"/>
  <c r="AR69" i="9" a="1"/>
  <c r="AR69" i="9" s="1"/>
  <c r="AQ69" i="9" a="1"/>
  <c r="AQ69" i="9" s="1"/>
  <c r="AP69" i="9"/>
  <c r="AO69" i="9"/>
  <c r="AF69" i="9"/>
  <c r="AE69" i="9"/>
  <c r="AD69" i="9"/>
  <c r="CK69" i="9" s="1"/>
  <c r="R69" i="9" a="1"/>
  <c r="R69" i="9" s="1"/>
  <c r="M69" i="9" a="1"/>
  <c r="M69" i="9" s="1"/>
  <c r="BC68" i="9" a="1"/>
  <c r="BC68" i="9" s="1"/>
  <c r="AU68" i="9" a="1"/>
  <c r="AU68" i="9" s="1"/>
  <c r="AT68" i="9" a="1"/>
  <c r="AT68" i="9" s="1"/>
  <c r="AS68" i="9" a="1"/>
  <c r="AS68" i="9" s="1"/>
  <c r="AR68" i="9" a="1"/>
  <c r="AR68" i="9" s="1"/>
  <c r="AQ68" i="9" a="1"/>
  <c r="AQ68" i="9" s="1"/>
  <c r="AP68" i="9"/>
  <c r="AO68" i="9"/>
  <c r="AF68" i="9"/>
  <c r="BB68" i="9" s="1"/>
  <c r="AE68" i="9"/>
  <c r="AD68" i="9"/>
  <c r="A68" i="9" s="1"/>
  <c r="R68" i="9" a="1"/>
  <c r="R68" i="9" s="1"/>
  <c r="M68" i="9" a="1"/>
  <c r="M68" i="9" s="1"/>
  <c r="BC67" i="9" a="1"/>
  <c r="BC67" i="9" s="1"/>
  <c r="AU67" i="9" a="1"/>
  <c r="AU67" i="9" s="1"/>
  <c r="AT67" i="9" a="1"/>
  <c r="AT67" i="9" s="1"/>
  <c r="AS67" i="9" a="1"/>
  <c r="AS67" i="9" s="1"/>
  <c r="AR67" i="9" a="1"/>
  <c r="AR67" i="9" s="1"/>
  <c r="AQ67" i="9" a="1"/>
  <c r="AQ67" i="9" s="1"/>
  <c r="AP67" i="9"/>
  <c r="AO67" i="9"/>
  <c r="AF67" i="9"/>
  <c r="AE67" i="9"/>
  <c r="AD67" i="9"/>
  <c r="BM67" i="9" s="1"/>
  <c r="R67" i="9" a="1"/>
  <c r="R67" i="9" s="1"/>
  <c r="M67" i="9" a="1"/>
  <c r="M67" i="9" s="1"/>
  <c r="BC66" i="9" a="1"/>
  <c r="BC66" i="9" s="1"/>
  <c r="AU66" i="9" a="1"/>
  <c r="AU66" i="9" s="1"/>
  <c r="AT66" i="9" a="1"/>
  <c r="AT66" i="9" s="1"/>
  <c r="AS66" i="9" a="1"/>
  <c r="AS66" i="9" s="1"/>
  <c r="AR66" i="9" a="1"/>
  <c r="AR66" i="9" s="1"/>
  <c r="AQ66" i="9" a="1"/>
  <c r="AQ66" i="9" s="1"/>
  <c r="AP66" i="9"/>
  <c r="AO66" i="9"/>
  <c r="AF66" i="9"/>
  <c r="AE66" i="9"/>
  <c r="AD66" i="9"/>
  <c r="R66" i="9" a="1"/>
  <c r="R66" i="9" s="1"/>
  <c r="M66" i="9" a="1"/>
  <c r="M66" i="9" s="1"/>
  <c r="BC65" i="9" a="1"/>
  <c r="BC65" i="9" s="1"/>
  <c r="AU65" i="9" a="1"/>
  <c r="AU65" i="9" s="1"/>
  <c r="AT65" i="9" a="1"/>
  <c r="AT65" i="9" s="1"/>
  <c r="AS65" i="9" a="1"/>
  <c r="AS65" i="9" s="1"/>
  <c r="AR65" i="9" a="1"/>
  <c r="AR65" i="9" s="1"/>
  <c r="AQ65" i="9" a="1"/>
  <c r="AQ65" i="9" s="1"/>
  <c r="AP65" i="9"/>
  <c r="AO65" i="9"/>
  <c r="AF65" i="9"/>
  <c r="BB65" i="9" s="1"/>
  <c r="AE65" i="9"/>
  <c r="AD65" i="9"/>
  <c r="CC65" i="9" s="1"/>
  <c r="R65" i="9" a="1"/>
  <c r="R65" i="9" s="1"/>
  <c r="M65" i="9" a="1"/>
  <c r="M65" i="9" s="1"/>
  <c r="BC64" i="9" a="1"/>
  <c r="BC64" i="9" s="1"/>
  <c r="AU64" i="9" a="1"/>
  <c r="AU64" i="9" s="1"/>
  <c r="AT64" i="9" a="1"/>
  <c r="AT64" i="9" s="1"/>
  <c r="AS64" i="9" a="1"/>
  <c r="AS64" i="9" s="1"/>
  <c r="AR64" i="9" a="1"/>
  <c r="AR64" i="9" s="1"/>
  <c r="AQ64" i="9" a="1"/>
  <c r="AQ64" i="9" s="1"/>
  <c r="AP64" i="9"/>
  <c r="AO64" i="9"/>
  <c r="AF64" i="9"/>
  <c r="BB64" i="9" s="1"/>
  <c r="AE64" i="9"/>
  <c r="AD64" i="9"/>
  <c r="CC64" i="9" s="1"/>
  <c r="R64" i="9" a="1"/>
  <c r="R64" i="9" s="1"/>
  <c r="M64" i="9" a="1"/>
  <c r="M64" i="9" s="1"/>
  <c r="BC63" i="9" a="1"/>
  <c r="BC63" i="9" s="1"/>
  <c r="AU63" i="9" a="1"/>
  <c r="AU63" i="9" s="1"/>
  <c r="AT63" i="9" a="1"/>
  <c r="AT63" i="9" s="1"/>
  <c r="AS63" i="9" a="1"/>
  <c r="AS63" i="9" s="1"/>
  <c r="AR63" i="9" a="1"/>
  <c r="AR63" i="9" s="1"/>
  <c r="AQ63" i="9" a="1"/>
  <c r="AQ63" i="9" s="1"/>
  <c r="AP63" i="9"/>
  <c r="AO63" i="9"/>
  <c r="AF63" i="9"/>
  <c r="BB63" i="9" s="1"/>
  <c r="AE63" i="9"/>
  <c r="AD63" i="9"/>
  <c r="R63" i="9" a="1"/>
  <c r="R63" i="9" s="1"/>
  <c r="M63" i="9" a="1"/>
  <c r="M63" i="9" s="1"/>
  <c r="BC62" i="9" a="1"/>
  <c r="BC62" i="9" s="1"/>
  <c r="AU62" i="9" a="1"/>
  <c r="AU62" i="9" s="1"/>
  <c r="AT62" i="9" a="1"/>
  <c r="AT62" i="9" s="1"/>
  <c r="AS62" i="9" a="1"/>
  <c r="AS62" i="9" s="1"/>
  <c r="AR62" i="9" a="1"/>
  <c r="AR62" i="9" s="1"/>
  <c r="AQ62" i="9" a="1"/>
  <c r="AQ62" i="9" s="1"/>
  <c r="AP62" i="9"/>
  <c r="AO62" i="9"/>
  <c r="AF62" i="9"/>
  <c r="AE62" i="9"/>
  <c r="AD62" i="9"/>
  <c r="R62" i="9" a="1"/>
  <c r="R62" i="9" s="1"/>
  <c r="M62" i="9" a="1"/>
  <c r="M62" i="9" s="1"/>
  <c r="BC61" i="9" a="1"/>
  <c r="BC61" i="9" s="1"/>
  <c r="AU61" i="9" a="1"/>
  <c r="AU61" i="9" s="1"/>
  <c r="AT61" i="9" a="1"/>
  <c r="AT61" i="9" s="1"/>
  <c r="AS61" i="9" a="1"/>
  <c r="AS61" i="9" s="1"/>
  <c r="AR61" i="9" a="1"/>
  <c r="AR61" i="9" s="1"/>
  <c r="AQ61" i="9" a="1"/>
  <c r="AQ61" i="9" s="1"/>
  <c r="AP61" i="9"/>
  <c r="AO61" i="9"/>
  <c r="AF61" i="9"/>
  <c r="BB61" i="9" s="1"/>
  <c r="AE61" i="9"/>
  <c r="AD61" i="9"/>
  <c r="AY61" i="9" s="1" a="1"/>
  <c r="AY61" i="9" s="1"/>
  <c r="R61" i="9" a="1"/>
  <c r="R61" i="9" s="1"/>
  <c r="M61" i="9" a="1"/>
  <c r="M61" i="9" s="1"/>
  <c r="BC60" i="9" a="1"/>
  <c r="BC60" i="9" s="1"/>
  <c r="AU60" i="9" a="1"/>
  <c r="AU60" i="9" s="1"/>
  <c r="AT60" i="9" a="1"/>
  <c r="AT60" i="9" s="1"/>
  <c r="AS60" i="9" a="1"/>
  <c r="AS60" i="9" s="1"/>
  <c r="AR60" i="9" a="1"/>
  <c r="AR60" i="9" s="1"/>
  <c r="AQ60" i="9" a="1"/>
  <c r="AQ60" i="9" s="1"/>
  <c r="AP60" i="9"/>
  <c r="AO60" i="9"/>
  <c r="AF60" i="9"/>
  <c r="BB60" i="9" s="1"/>
  <c r="AE60" i="9"/>
  <c r="AD60" i="9"/>
  <c r="BD60" i="9" s="1"/>
  <c r="R60" i="9" a="1"/>
  <c r="R60" i="9" s="1"/>
  <c r="M60" i="9" a="1"/>
  <c r="M60" i="9" s="1"/>
  <c r="BC59" i="9" a="1"/>
  <c r="BC59" i="9" s="1"/>
  <c r="AU59" i="9" a="1"/>
  <c r="AU59" i="9" s="1"/>
  <c r="AT59" i="9" a="1"/>
  <c r="AT59" i="9" s="1"/>
  <c r="AS59" i="9" a="1"/>
  <c r="AS59" i="9" s="1"/>
  <c r="AR59" i="9" a="1"/>
  <c r="AR59" i="9" s="1"/>
  <c r="AQ59" i="9" a="1"/>
  <c r="AQ59" i="9" s="1"/>
  <c r="AP59" i="9"/>
  <c r="AO59" i="9"/>
  <c r="AF59" i="9"/>
  <c r="AE59" i="9"/>
  <c r="AD59" i="9"/>
  <c r="BQ59" i="9" s="1"/>
  <c r="R59" i="9" a="1"/>
  <c r="R59" i="9" s="1"/>
  <c r="M59" i="9" a="1"/>
  <c r="M59" i="9" s="1"/>
  <c r="BI58" i="9"/>
  <c r="BC58" i="9" a="1"/>
  <c r="BC58" i="9" s="1"/>
  <c r="AU58" i="9" a="1"/>
  <c r="AU58" i="9" s="1"/>
  <c r="AT58" i="9" a="1"/>
  <c r="AT58" i="9" s="1"/>
  <c r="AS58" i="9" a="1"/>
  <c r="AS58" i="9" s="1"/>
  <c r="AR58" i="9" a="1"/>
  <c r="AR58" i="9" s="1"/>
  <c r="AQ58" i="9" a="1"/>
  <c r="AQ58" i="9" s="1"/>
  <c r="AP58" i="9"/>
  <c r="AO58" i="9"/>
  <c r="AF58" i="9"/>
  <c r="BB58" i="9" s="1"/>
  <c r="AE58" i="9"/>
  <c r="AD58" i="9"/>
  <c r="CC58" i="9" s="1"/>
  <c r="R58" i="9" a="1"/>
  <c r="R58" i="9" s="1"/>
  <c r="M58" i="9" a="1"/>
  <c r="M58" i="9" s="1"/>
  <c r="BI57" i="9"/>
  <c r="BC57" i="9" a="1"/>
  <c r="BC57" i="9" s="1"/>
  <c r="AU57" i="9" a="1"/>
  <c r="AU57" i="9" s="1"/>
  <c r="AT57" i="9" a="1"/>
  <c r="AT57" i="9" s="1"/>
  <c r="AS57" i="9" a="1"/>
  <c r="AS57" i="9" s="1"/>
  <c r="AR57" i="9" a="1"/>
  <c r="AR57" i="9" s="1"/>
  <c r="AQ57" i="9" a="1"/>
  <c r="AQ57" i="9" s="1"/>
  <c r="AP57" i="9"/>
  <c r="AO57" i="9"/>
  <c r="AF57" i="9"/>
  <c r="BB57" i="9" s="1"/>
  <c r="AE57" i="9"/>
  <c r="AD57" i="9"/>
  <c r="CG57" i="9" s="1"/>
  <c r="R57" i="9" a="1"/>
  <c r="R57" i="9" s="1"/>
  <c r="M57" i="9" a="1"/>
  <c r="M57" i="9" s="1"/>
  <c r="BC56" i="9" a="1"/>
  <c r="BC56" i="9" s="1"/>
  <c r="AU56" i="9" a="1"/>
  <c r="AU56" i="9" s="1"/>
  <c r="AT56" i="9" a="1"/>
  <c r="AT56" i="9" s="1"/>
  <c r="AS56" i="9" a="1"/>
  <c r="AS56" i="9" s="1"/>
  <c r="AR56" i="9" a="1"/>
  <c r="AR56" i="9" s="1"/>
  <c r="AQ56" i="9" a="1"/>
  <c r="AQ56" i="9" s="1"/>
  <c r="AP56" i="9"/>
  <c r="AO56" i="9"/>
  <c r="AF56" i="9"/>
  <c r="BB56" i="9" s="1"/>
  <c r="AE56" i="9"/>
  <c r="AD56" i="9"/>
  <c r="CG56" i="9" s="1"/>
  <c r="R56" i="9" a="1"/>
  <c r="R56" i="9" s="1"/>
  <c r="M56" i="9" a="1"/>
  <c r="M56" i="9" s="1"/>
  <c r="BC55" i="9" a="1"/>
  <c r="BC55" i="9" s="1"/>
  <c r="AU55" i="9" a="1"/>
  <c r="AU55" i="9" s="1"/>
  <c r="AT55" i="9" a="1"/>
  <c r="AT55" i="9" s="1"/>
  <c r="AS55" i="9" a="1"/>
  <c r="AS55" i="9" s="1"/>
  <c r="AR55" i="9" a="1"/>
  <c r="AR55" i="9" s="1"/>
  <c r="AQ55" i="9"/>
  <c r="AQ55" i="9" a="1"/>
  <c r="AP55" i="9"/>
  <c r="AO55" i="9"/>
  <c r="AF55" i="9"/>
  <c r="BB55" i="9" s="1"/>
  <c r="AE55" i="9"/>
  <c r="AD55" i="9"/>
  <c r="BD55" i="9" s="1"/>
  <c r="R55" i="9" a="1"/>
  <c r="R55" i="9" s="1"/>
  <c r="M55" i="9" a="1"/>
  <c r="M55" i="9" s="1"/>
  <c r="BC54" i="9" a="1"/>
  <c r="BC54" i="9" s="1"/>
  <c r="AU54" i="9" a="1"/>
  <c r="AU54" i="9" s="1"/>
  <c r="AT54" i="9" a="1"/>
  <c r="AT54" i="9" s="1"/>
  <c r="AS54" i="9" a="1"/>
  <c r="AS54" i="9" s="1"/>
  <c r="AR54" i="9" a="1"/>
  <c r="AR54" i="9" s="1"/>
  <c r="AQ54" i="9" a="1"/>
  <c r="AQ54" i="9" s="1"/>
  <c r="AP54" i="9"/>
  <c r="AO54" i="9"/>
  <c r="AF54" i="9"/>
  <c r="AE54" i="9"/>
  <c r="AD54" i="9"/>
  <c r="BQ54" i="9" s="1"/>
  <c r="R54" i="9" a="1"/>
  <c r="R54" i="9" s="1"/>
  <c r="M54" i="9" a="1"/>
  <c r="M54" i="9" s="1"/>
  <c r="CK53" i="9"/>
  <c r="BC53" i="9" a="1"/>
  <c r="BC53" i="9" s="1"/>
  <c r="AY53" i="9" a="1"/>
  <c r="AY53" i="9" s="1"/>
  <c r="AU53" i="9" a="1"/>
  <c r="AU53" i="9" s="1"/>
  <c r="AT53" i="9"/>
  <c r="AT53" i="9" a="1"/>
  <c r="AS53" i="9" a="1"/>
  <c r="AS53" i="9" s="1"/>
  <c r="AR53" i="9" a="1"/>
  <c r="AR53" i="9" s="1"/>
  <c r="AQ53" i="9" a="1"/>
  <c r="AQ53" i="9" s="1"/>
  <c r="AP53" i="9"/>
  <c r="AO53" i="9"/>
  <c r="AF53" i="9"/>
  <c r="AE53" i="9"/>
  <c r="AD53" i="9"/>
  <c r="BD53" i="9" s="1"/>
  <c r="R53" i="9" a="1"/>
  <c r="R53" i="9" s="1"/>
  <c r="M53" i="9" a="1"/>
  <c r="M53" i="9" s="1"/>
  <c r="A53" i="9"/>
  <c r="BQ52" i="9"/>
  <c r="BC52" i="9" a="1"/>
  <c r="BC52" i="9" s="1"/>
  <c r="AU52" i="9" a="1"/>
  <c r="AU52" i="9" s="1"/>
  <c r="AT52" i="9" a="1"/>
  <c r="AT52" i="9" s="1"/>
  <c r="AS52" i="9" a="1"/>
  <c r="AS52" i="9" s="1"/>
  <c r="AR52" i="9" a="1"/>
  <c r="AR52" i="9" s="1"/>
  <c r="AQ52" i="9" a="1"/>
  <c r="AQ52" i="9" s="1"/>
  <c r="AP52" i="9"/>
  <c r="AO52" i="9"/>
  <c r="AF52" i="9"/>
  <c r="BB52" i="9" s="1"/>
  <c r="AE52" i="9"/>
  <c r="AD52" i="9"/>
  <c r="CG52" i="9" s="1"/>
  <c r="R52" i="9" a="1"/>
  <c r="R52" i="9" s="1"/>
  <c r="M52" i="9" a="1"/>
  <c r="M52" i="9" s="1"/>
  <c r="BC51" i="9" a="1"/>
  <c r="BC51" i="9" s="1"/>
  <c r="AU51" i="9" a="1"/>
  <c r="AU51" i="9" s="1"/>
  <c r="AT51" i="9" a="1"/>
  <c r="AT51" i="9" s="1"/>
  <c r="AS51" i="9" a="1"/>
  <c r="AS51" i="9" s="1"/>
  <c r="AR51" i="9" a="1"/>
  <c r="AR51" i="9" s="1"/>
  <c r="AQ51" i="9" a="1"/>
  <c r="AQ51" i="9" s="1"/>
  <c r="AP51" i="9"/>
  <c r="AO51" i="9"/>
  <c r="AF51" i="9"/>
  <c r="BB51" i="9" s="1"/>
  <c r="AE51" i="9"/>
  <c r="AD51" i="9"/>
  <c r="BD51" i="9" s="1"/>
  <c r="R51" i="9" a="1"/>
  <c r="R51" i="9" s="1"/>
  <c r="M51" i="9" a="1"/>
  <c r="M51" i="9" s="1"/>
  <c r="CC50" i="9"/>
  <c r="BC50" i="9" a="1"/>
  <c r="BC50" i="9" s="1"/>
  <c r="AU50" i="9" a="1"/>
  <c r="AU50" i="9" s="1"/>
  <c r="AT50" i="9" a="1"/>
  <c r="AT50" i="9" s="1"/>
  <c r="AS50" i="9" a="1"/>
  <c r="AS50" i="9" s="1"/>
  <c r="AR50" i="9" a="1"/>
  <c r="AR50" i="9" s="1"/>
  <c r="AQ50" i="9" a="1"/>
  <c r="AQ50" i="9" s="1"/>
  <c r="AP50" i="9"/>
  <c r="AO50" i="9"/>
  <c r="AF50" i="9"/>
  <c r="AE50" i="9"/>
  <c r="AD50" i="9"/>
  <c r="CG50" i="9" s="1"/>
  <c r="R50" i="9" a="1"/>
  <c r="R50" i="9" s="1"/>
  <c r="M50" i="9" a="1"/>
  <c r="M50" i="9" s="1"/>
  <c r="BC49" i="9" a="1"/>
  <c r="BC49" i="9" s="1"/>
  <c r="AU49" i="9" a="1"/>
  <c r="AU49" i="9" s="1"/>
  <c r="AT49" i="9" a="1"/>
  <c r="AT49" i="9" s="1"/>
  <c r="AS49" i="9" a="1"/>
  <c r="AS49" i="9" s="1"/>
  <c r="AR49" i="9" a="1"/>
  <c r="AR49" i="9" s="1"/>
  <c r="AQ49" i="9" a="1"/>
  <c r="AQ49" i="9" s="1"/>
  <c r="AP49" i="9"/>
  <c r="AO49" i="9"/>
  <c r="AF49" i="9"/>
  <c r="AE49" i="9"/>
  <c r="AD49" i="9"/>
  <c r="CG49" i="9" s="1"/>
  <c r="R49" i="9" a="1"/>
  <c r="R49" i="9" s="1"/>
  <c r="M49" i="9" a="1"/>
  <c r="M49" i="9" s="1"/>
  <c r="BC48" i="9" a="1"/>
  <c r="BC48" i="9" s="1"/>
  <c r="AU48" i="9" a="1"/>
  <c r="AU48" i="9" s="1"/>
  <c r="AT48" i="9" a="1"/>
  <c r="AT48" i="9" s="1"/>
  <c r="AS48" i="9" a="1"/>
  <c r="AS48" i="9" s="1"/>
  <c r="AR48" i="9" a="1"/>
  <c r="AR48" i="9" s="1"/>
  <c r="AQ48" i="9" a="1"/>
  <c r="AQ48" i="9" s="1"/>
  <c r="AP48" i="9"/>
  <c r="AO48" i="9"/>
  <c r="AF48" i="9"/>
  <c r="BB48" i="9" s="1"/>
  <c r="AE48" i="9"/>
  <c r="AD48" i="9"/>
  <c r="BM48" i="9" s="1"/>
  <c r="R48" i="9" a="1"/>
  <c r="R48" i="9" s="1"/>
  <c r="M48" i="9" a="1"/>
  <c r="M48" i="9" s="1"/>
  <c r="BC47" i="9" a="1"/>
  <c r="BC47" i="9" s="1"/>
  <c r="AU47" i="9" a="1"/>
  <c r="AU47" i="9" s="1"/>
  <c r="AT47" i="9" a="1"/>
  <c r="AT47" i="9" s="1"/>
  <c r="AS47" i="9" a="1"/>
  <c r="AS47" i="9" s="1"/>
  <c r="AR47" i="9" a="1"/>
  <c r="AR47" i="9" s="1"/>
  <c r="AQ47" i="9" a="1"/>
  <c r="AQ47" i="9" s="1"/>
  <c r="AP47" i="9"/>
  <c r="AO47" i="9"/>
  <c r="AF47" i="9"/>
  <c r="BB47" i="9" s="1"/>
  <c r="AE47" i="9"/>
  <c r="AD47" i="9"/>
  <c r="CG47" i="9" s="1"/>
  <c r="R47" i="9" a="1"/>
  <c r="R47" i="9" s="1"/>
  <c r="M47" i="9" a="1"/>
  <c r="M47" i="9" s="1"/>
  <c r="BC46" i="9" a="1"/>
  <c r="BC46" i="9" s="1"/>
  <c r="AU46" i="9" a="1"/>
  <c r="AU46" i="9" s="1"/>
  <c r="AT46" i="9" a="1"/>
  <c r="AT46" i="9" s="1"/>
  <c r="AS46" i="9" a="1"/>
  <c r="AS46" i="9" s="1"/>
  <c r="AR46" i="9" a="1"/>
  <c r="AR46" i="9" s="1"/>
  <c r="AQ46" i="9" a="1"/>
  <c r="AQ46" i="9" s="1"/>
  <c r="AP46" i="9"/>
  <c r="AO46" i="9"/>
  <c r="AF46" i="9"/>
  <c r="BB46" i="9" s="1"/>
  <c r="AE46" i="9"/>
  <c r="AD46" i="9"/>
  <c r="CK46" i="9" s="1"/>
  <c r="R46" i="9" a="1"/>
  <c r="R46" i="9" s="1"/>
  <c r="M46" i="9" a="1"/>
  <c r="M46" i="9" s="1"/>
  <c r="BC45" i="9" a="1"/>
  <c r="BC45" i="9" s="1"/>
  <c r="AU45" i="9" a="1"/>
  <c r="AU45" i="9" s="1"/>
  <c r="AT45" i="9" a="1"/>
  <c r="AT45" i="9" s="1"/>
  <c r="AS45" i="9" a="1"/>
  <c r="AS45" i="9" s="1"/>
  <c r="AR45" i="9" a="1"/>
  <c r="AR45" i="9" s="1"/>
  <c r="AQ45" i="9" a="1"/>
  <c r="AQ45" i="9" s="1"/>
  <c r="AP45" i="9"/>
  <c r="AO45" i="9"/>
  <c r="AF45" i="9"/>
  <c r="BB45" i="9" s="1"/>
  <c r="AE45" i="9"/>
  <c r="AD45" i="9"/>
  <c r="BI45" i="9" s="1"/>
  <c r="R45" i="9" a="1"/>
  <c r="R45" i="9" s="1"/>
  <c r="M45" i="9" a="1"/>
  <c r="M45" i="9" s="1"/>
  <c r="BC44" i="9" a="1"/>
  <c r="BC44" i="9" s="1"/>
  <c r="AU44" i="9" a="1"/>
  <c r="AU44" i="9" s="1"/>
  <c r="AT44" i="9" a="1"/>
  <c r="AT44" i="9" s="1"/>
  <c r="AS44" i="9" a="1"/>
  <c r="AS44" i="9" s="1"/>
  <c r="AR44" i="9" a="1"/>
  <c r="AR44" i="9" s="1"/>
  <c r="AQ44" i="9" a="1"/>
  <c r="AQ44" i="9" s="1"/>
  <c r="AP44" i="9"/>
  <c r="AO44" i="9"/>
  <c r="AF44" i="9"/>
  <c r="AE44" i="9"/>
  <c r="AD44" i="9"/>
  <c r="CC44" i="9" s="1"/>
  <c r="R44" i="9" a="1"/>
  <c r="R44" i="9" s="1"/>
  <c r="M44" i="9" a="1"/>
  <c r="M44" i="9" s="1"/>
  <c r="BC43" i="9" a="1"/>
  <c r="BC43" i="9" s="1"/>
  <c r="AU43" i="9" a="1"/>
  <c r="AU43" i="9" s="1"/>
  <c r="AT43" i="9" a="1"/>
  <c r="AT43" i="9" s="1"/>
  <c r="AS43" i="9" a="1"/>
  <c r="AS43" i="9" s="1"/>
  <c r="AR43" i="9" a="1"/>
  <c r="AR43" i="9" s="1"/>
  <c r="AQ43" i="9" a="1"/>
  <c r="AQ43" i="9" s="1"/>
  <c r="AP43" i="9"/>
  <c r="AO43" i="9"/>
  <c r="AF43" i="9"/>
  <c r="BB43" i="9" s="1"/>
  <c r="AE43" i="9"/>
  <c r="AD43" i="9"/>
  <c r="BM43" i="9" s="1"/>
  <c r="R43" i="9" a="1"/>
  <c r="R43" i="9" s="1"/>
  <c r="M43" i="9" a="1"/>
  <c r="M43" i="9" s="1"/>
  <c r="BC42" i="9" a="1"/>
  <c r="BC42" i="9" s="1"/>
  <c r="AU42" i="9" a="1"/>
  <c r="AU42" i="9" s="1"/>
  <c r="AT42" i="9" a="1"/>
  <c r="AT42" i="9" s="1"/>
  <c r="AS42" i="9" a="1"/>
  <c r="AS42" i="9" s="1"/>
  <c r="AR42" i="9" a="1"/>
  <c r="AR42" i="9" s="1"/>
  <c r="AQ42" i="9" a="1"/>
  <c r="AQ42" i="9" s="1"/>
  <c r="AP42" i="9"/>
  <c r="AO42" i="9"/>
  <c r="AF42" i="9"/>
  <c r="BB42" i="9" s="1"/>
  <c r="AE42" i="9"/>
  <c r="AD42" i="9"/>
  <c r="BM42" i="9" s="1"/>
  <c r="R42" i="9" a="1"/>
  <c r="R42" i="9" s="1"/>
  <c r="M42" i="9" a="1"/>
  <c r="M42" i="9" s="1"/>
  <c r="BC41" i="9" a="1"/>
  <c r="BC41" i="9" s="1"/>
  <c r="AU41" i="9" a="1"/>
  <c r="AU41" i="9" s="1"/>
  <c r="AT41" i="9" a="1"/>
  <c r="AT41" i="9" s="1"/>
  <c r="AS41" i="9" a="1"/>
  <c r="AS41" i="9" s="1"/>
  <c r="AR41" i="9" a="1"/>
  <c r="AR41" i="9" s="1"/>
  <c r="AQ41" i="9" a="1"/>
  <c r="AQ41" i="9" s="1"/>
  <c r="AP41" i="9"/>
  <c r="AO41" i="9"/>
  <c r="AF41" i="9"/>
  <c r="BB41" i="9" s="1"/>
  <c r="AE41" i="9"/>
  <c r="AD41" i="9"/>
  <c r="CG41" i="9" s="1"/>
  <c r="R41" i="9" a="1"/>
  <c r="R41" i="9" s="1"/>
  <c r="M41" i="9" a="1"/>
  <c r="M41" i="9" s="1"/>
  <c r="BI40" i="9"/>
  <c r="BC40" i="9" a="1"/>
  <c r="BC40" i="9" s="1"/>
  <c r="AU40" i="9" a="1"/>
  <c r="AU40" i="9" s="1"/>
  <c r="AT40" i="9" a="1"/>
  <c r="AT40" i="9" s="1"/>
  <c r="AS40" i="9" a="1"/>
  <c r="AS40" i="9" s="1"/>
  <c r="AR40" i="9" a="1"/>
  <c r="AR40" i="9" s="1"/>
  <c r="AQ40" i="9" a="1"/>
  <c r="AQ40" i="9" s="1"/>
  <c r="AP40" i="9"/>
  <c r="AO40" i="9"/>
  <c r="AF40" i="9"/>
  <c r="BB40" i="9" s="1"/>
  <c r="AE40" i="9"/>
  <c r="AD40" i="9"/>
  <c r="BQ40" i="9" s="1"/>
  <c r="R40" i="9" a="1"/>
  <c r="R40" i="9" s="1"/>
  <c r="M40" i="9" a="1"/>
  <c r="M40" i="9" s="1"/>
  <c r="BC39" i="9" a="1"/>
  <c r="BC39" i="9" s="1"/>
  <c r="AU39" i="9" a="1"/>
  <c r="AU39" i="9" s="1"/>
  <c r="AT39" i="9" a="1"/>
  <c r="AT39" i="9" s="1"/>
  <c r="AS39" i="9" a="1"/>
  <c r="AS39" i="9" s="1"/>
  <c r="AR39" i="9" a="1"/>
  <c r="AR39" i="9" s="1"/>
  <c r="AQ39" i="9" a="1"/>
  <c r="AQ39" i="9" s="1"/>
  <c r="AP39" i="9"/>
  <c r="AO39" i="9"/>
  <c r="AF39" i="9"/>
  <c r="BB39" i="9" s="1"/>
  <c r="AE39" i="9"/>
  <c r="AD39" i="9"/>
  <c r="BM39" i="9" s="1"/>
  <c r="R39" i="9" a="1"/>
  <c r="R39" i="9" s="1"/>
  <c r="M39" i="9" a="1"/>
  <c r="M39" i="9" s="1"/>
  <c r="BC38" i="9" a="1"/>
  <c r="BC38" i="9" s="1"/>
  <c r="AU38" i="9" a="1"/>
  <c r="AU38" i="9" s="1"/>
  <c r="AT38" i="9" a="1"/>
  <c r="AT38" i="9" s="1"/>
  <c r="AS38" i="9" a="1"/>
  <c r="AS38" i="9" s="1"/>
  <c r="AR38" i="9" a="1"/>
  <c r="AR38" i="9" s="1"/>
  <c r="AQ38" i="9" a="1"/>
  <c r="AQ38" i="9" s="1"/>
  <c r="AP38" i="9"/>
  <c r="AO38" i="9"/>
  <c r="AF38" i="9"/>
  <c r="BB38" i="9" s="1"/>
  <c r="AE38" i="9"/>
  <c r="AD38" i="9"/>
  <c r="CG38" i="9" s="1"/>
  <c r="R38" i="9" a="1"/>
  <c r="R38" i="9" s="1"/>
  <c r="M38" i="9" a="1"/>
  <c r="M38" i="9" s="1"/>
  <c r="BC37" i="9" a="1"/>
  <c r="BC37" i="9" s="1"/>
  <c r="AU37" i="9" a="1"/>
  <c r="AU37" i="9" s="1"/>
  <c r="AT37" i="9" a="1"/>
  <c r="AT37" i="9" s="1"/>
  <c r="AS37" i="9" a="1"/>
  <c r="AS37" i="9" s="1"/>
  <c r="AR37" i="9" a="1"/>
  <c r="AR37" i="9" s="1"/>
  <c r="AQ37" i="9" a="1"/>
  <c r="AQ37" i="9" s="1"/>
  <c r="AP37" i="9"/>
  <c r="AO37" i="9"/>
  <c r="AF37" i="9"/>
  <c r="AE37" i="9"/>
  <c r="AD37" i="9"/>
  <c r="BD37" i="9" s="1"/>
  <c r="R37" i="9" a="1"/>
  <c r="R37" i="9" s="1"/>
  <c r="M37" i="9" a="1"/>
  <c r="M37" i="9" s="1"/>
  <c r="BC36" i="9" a="1"/>
  <c r="BC36" i="9" s="1"/>
  <c r="AU36" i="9" a="1"/>
  <c r="AU36" i="9" s="1"/>
  <c r="AT36" i="9" a="1"/>
  <c r="AT36" i="9" s="1"/>
  <c r="AS36" i="9" a="1"/>
  <c r="AS36" i="9" s="1"/>
  <c r="AR36" i="9" a="1"/>
  <c r="AR36" i="9" s="1"/>
  <c r="AQ36" i="9" a="1"/>
  <c r="AQ36" i="9" s="1"/>
  <c r="AP36" i="9"/>
  <c r="AO36" i="9"/>
  <c r="AF36" i="9"/>
  <c r="BB36" i="9" s="1"/>
  <c r="AE36" i="9"/>
  <c r="AD36" i="9"/>
  <c r="AY36" i="9" s="1" a="1"/>
  <c r="AY36" i="9" s="1"/>
  <c r="R36" i="9" a="1"/>
  <c r="R36" i="9" s="1"/>
  <c r="M36" i="9" a="1"/>
  <c r="M36" i="9" s="1"/>
  <c r="BC35" i="9" a="1"/>
  <c r="BC35" i="9" s="1"/>
  <c r="AU35" i="9" a="1"/>
  <c r="AU35" i="9" s="1"/>
  <c r="AT35" i="9" a="1"/>
  <c r="AT35" i="9" s="1"/>
  <c r="AS35" i="9" a="1"/>
  <c r="AS35" i="9" s="1"/>
  <c r="AR35" i="9" a="1"/>
  <c r="AR35" i="9" s="1"/>
  <c r="AQ35" i="9" a="1"/>
  <c r="AQ35" i="9" s="1"/>
  <c r="AP35" i="9"/>
  <c r="AO35" i="9"/>
  <c r="AF35" i="9"/>
  <c r="BB35" i="9" s="1"/>
  <c r="AE35" i="9"/>
  <c r="AD35" i="9"/>
  <c r="BD35" i="9" s="1"/>
  <c r="R35" i="9" a="1"/>
  <c r="R35" i="9" s="1"/>
  <c r="M35" i="9" a="1"/>
  <c r="M35" i="9" s="1"/>
  <c r="BC34" i="9" a="1"/>
  <c r="BC34" i="9" s="1"/>
  <c r="AU34" i="9" a="1"/>
  <c r="AU34" i="9" s="1"/>
  <c r="AT34" i="9" a="1"/>
  <c r="AT34" i="9" s="1"/>
  <c r="AS34" i="9" a="1"/>
  <c r="AS34" i="9" s="1"/>
  <c r="AR34" i="9" a="1"/>
  <c r="AR34" i="9" s="1"/>
  <c r="AQ34" i="9" a="1"/>
  <c r="AQ34" i="9" s="1"/>
  <c r="AP34" i="9"/>
  <c r="AO34" i="9"/>
  <c r="AF34" i="9"/>
  <c r="BB34" i="9" s="1"/>
  <c r="AE34" i="9"/>
  <c r="AD34" i="9"/>
  <c r="BI34" i="9" s="1"/>
  <c r="R34" i="9" a="1"/>
  <c r="R34" i="9" s="1"/>
  <c r="M34" i="9" a="1"/>
  <c r="M34" i="9" s="1"/>
  <c r="BC33" i="9" a="1"/>
  <c r="BC33" i="9" s="1"/>
  <c r="AU33" i="9" a="1"/>
  <c r="AU33" i="9" s="1"/>
  <c r="AT33" i="9" a="1"/>
  <c r="AT33" i="9" s="1"/>
  <c r="AS33" i="9" a="1"/>
  <c r="AS33" i="9" s="1"/>
  <c r="AR33" i="9" a="1"/>
  <c r="AR33" i="9" s="1"/>
  <c r="AQ33" i="9" a="1"/>
  <c r="AQ33" i="9" s="1"/>
  <c r="AP33" i="9"/>
  <c r="AO33" i="9"/>
  <c r="AF33" i="9"/>
  <c r="BA33" i="9" s="1"/>
  <c r="AE33" i="9"/>
  <c r="AD33" i="9"/>
  <c r="CC33" i="9" s="1"/>
  <c r="R33" i="9" a="1"/>
  <c r="R33" i="9" s="1"/>
  <c r="M33" i="9" a="1"/>
  <c r="M33" i="9" s="1"/>
  <c r="BC32" i="9" a="1"/>
  <c r="BC32" i="9" s="1"/>
  <c r="AU32" i="9" a="1"/>
  <c r="AU32" i="9" s="1"/>
  <c r="AT32" i="9" a="1"/>
  <c r="AT32" i="9" s="1"/>
  <c r="AS32" i="9" a="1"/>
  <c r="AS32" i="9" s="1"/>
  <c r="AR32" i="9" a="1"/>
  <c r="AR32" i="9" s="1"/>
  <c r="AQ32" i="9" a="1"/>
  <c r="AQ32" i="9" s="1"/>
  <c r="AP32" i="9"/>
  <c r="AO32" i="9"/>
  <c r="AF32" i="9"/>
  <c r="BB32" i="9" s="1"/>
  <c r="AE32" i="9"/>
  <c r="AD32" i="9"/>
  <c r="BM32" i="9" s="1"/>
  <c r="R32" i="9" a="1"/>
  <c r="R32" i="9" s="1"/>
  <c r="M32" i="9" a="1"/>
  <c r="M32" i="9" s="1"/>
  <c r="BC31" i="9" a="1"/>
  <c r="BC31" i="9" s="1"/>
  <c r="AU31" i="9" a="1"/>
  <c r="AU31" i="9" s="1"/>
  <c r="AT31" i="9" a="1"/>
  <c r="AT31" i="9" s="1"/>
  <c r="AS31" i="9" a="1"/>
  <c r="AS31" i="9" s="1"/>
  <c r="AR31" i="9" a="1"/>
  <c r="AR31" i="9" s="1"/>
  <c r="AQ31" i="9" a="1"/>
  <c r="AQ31" i="9" s="1"/>
  <c r="AP31" i="9"/>
  <c r="AO31" i="9"/>
  <c r="AF31" i="9"/>
  <c r="BB31" i="9" s="1"/>
  <c r="AE31" i="9"/>
  <c r="AD31" i="9"/>
  <c r="BM31" i="9" s="1"/>
  <c r="R31" i="9" a="1"/>
  <c r="R31" i="9" s="1"/>
  <c r="M31" i="9" a="1"/>
  <c r="M31" i="9" s="1"/>
  <c r="BC30" i="9" a="1"/>
  <c r="BC30" i="9" s="1"/>
  <c r="AU30" i="9" a="1"/>
  <c r="AU30" i="9" s="1"/>
  <c r="AT30" i="9" a="1"/>
  <c r="AT30" i="9" s="1"/>
  <c r="AS30" i="9" a="1"/>
  <c r="AS30" i="9" s="1"/>
  <c r="AR30" i="9" a="1"/>
  <c r="AR30" i="9" s="1"/>
  <c r="AQ30" i="9" a="1"/>
  <c r="AQ30" i="9" s="1"/>
  <c r="AP30" i="9"/>
  <c r="AO30" i="9"/>
  <c r="AF30" i="9"/>
  <c r="BB30" i="9" s="1"/>
  <c r="AE30" i="9"/>
  <c r="AD30" i="9"/>
  <c r="CG30" i="9" s="1"/>
  <c r="R30" i="9" a="1"/>
  <c r="R30" i="9" s="1"/>
  <c r="M30" i="9" a="1"/>
  <c r="M30" i="9" s="1"/>
  <c r="BC29" i="9" a="1"/>
  <c r="BC29" i="9" s="1"/>
  <c r="AU29" i="9" a="1"/>
  <c r="AU29" i="9" s="1"/>
  <c r="AT29" i="9" a="1"/>
  <c r="AT29" i="9" s="1"/>
  <c r="AS29" i="9" a="1"/>
  <c r="AS29" i="9" s="1"/>
  <c r="AR29" i="9" a="1"/>
  <c r="AR29" i="9" s="1"/>
  <c r="AQ29" i="9" a="1"/>
  <c r="AQ29" i="9" s="1"/>
  <c r="AP29" i="9"/>
  <c r="AO29" i="9"/>
  <c r="AF29" i="9"/>
  <c r="AE29" i="9"/>
  <c r="AD29" i="9"/>
  <c r="BD29" i="9" s="1"/>
  <c r="R29" i="9" a="1"/>
  <c r="R29" i="9" s="1"/>
  <c r="M29" i="9" a="1"/>
  <c r="M29" i="9" s="1"/>
  <c r="BC28" i="9" a="1"/>
  <c r="BC28" i="9" s="1"/>
  <c r="AU28" i="9" a="1"/>
  <c r="AU28" i="9" s="1"/>
  <c r="AT28" i="9" a="1"/>
  <c r="AT28" i="9" s="1"/>
  <c r="AS28" i="9" a="1"/>
  <c r="AS28" i="9" s="1"/>
  <c r="AR28" i="9" a="1"/>
  <c r="AR28" i="9" s="1"/>
  <c r="AQ28" i="9" a="1"/>
  <c r="AQ28" i="9" s="1"/>
  <c r="AP28" i="9"/>
  <c r="AO28" i="9"/>
  <c r="AF28" i="9"/>
  <c r="BB28" i="9" s="1"/>
  <c r="AE28" i="9"/>
  <c r="AD28" i="9"/>
  <c r="CG28" i="9" s="1"/>
  <c r="R28" i="9" a="1"/>
  <c r="R28" i="9" s="1"/>
  <c r="M28" i="9" a="1"/>
  <c r="M28" i="9" s="1"/>
  <c r="BC27" i="9" a="1"/>
  <c r="BC27" i="9" s="1"/>
  <c r="AU27" i="9" a="1"/>
  <c r="AU27" i="9" s="1"/>
  <c r="AT27" i="9" a="1"/>
  <c r="AT27" i="9" s="1"/>
  <c r="AS27" i="9" a="1"/>
  <c r="AS27" i="9" s="1"/>
  <c r="AR27" i="9" a="1"/>
  <c r="AR27" i="9" s="1"/>
  <c r="AQ27" i="9" a="1"/>
  <c r="AQ27" i="9" s="1"/>
  <c r="AP27" i="9"/>
  <c r="AO27" i="9"/>
  <c r="AF27" i="9"/>
  <c r="AE27" i="9"/>
  <c r="AD27" i="9"/>
  <c r="CG27" i="9" s="1"/>
  <c r="R27" i="9" a="1"/>
  <c r="R27" i="9" s="1"/>
  <c r="M27" i="9" a="1"/>
  <c r="M27" i="9" s="1"/>
  <c r="BC26" i="9" a="1"/>
  <c r="BC26" i="9" s="1"/>
  <c r="AU26" i="9" a="1"/>
  <c r="AU26" i="9" s="1"/>
  <c r="AT26" i="9" a="1"/>
  <c r="AT26" i="9" s="1"/>
  <c r="AS26" i="9" a="1"/>
  <c r="AS26" i="9" s="1"/>
  <c r="AR26" i="9" a="1"/>
  <c r="AR26" i="9" s="1"/>
  <c r="AQ26" i="9" a="1"/>
  <c r="AQ26" i="9" s="1"/>
  <c r="AP26" i="9"/>
  <c r="AO26" i="9"/>
  <c r="AF26" i="9"/>
  <c r="AE26" i="9"/>
  <c r="AD26" i="9"/>
  <c r="BI26" i="9" s="1"/>
  <c r="R26" i="9" a="1"/>
  <c r="R26" i="9" s="1"/>
  <c r="M26" i="9" a="1"/>
  <c r="M26" i="9" s="1"/>
  <c r="AU25" i="9" a="1"/>
  <c r="AU25" i="9" s="1"/>
  <c r="AT25" i="9" a="1"/>
  <c r="AT25" i="9" s="1"/>
  <c r="AS25" i="9" a="1"/>
  <c r="AS25" i="9" s="1"/>
  <c r="AR25" i="9" a="1"/>
  <c r="AR25" i="9" s="1"/>
  <c r="AQ25" i="9" a="1"/>
  <c r="AQ25" i="9" s="1"/>
  <c r="AP25" i="9"/>
  <c r="AO25" i="9"/>
  <c r="AF25" i="9"/>
  <c r="BB25" i="9" s="1"/>
  <c r="AE25" i="9"/>
  <c r="AD25" i="9"/>
  <c r="BM25" i="9" s="1"/>
  <c r="CC24" i="9"/>
  <c r="AU24" i="9" a="1"/>
  <c r="AU24" i="9" s="1"/>
  <c r="AT24" i="9" a="1"/>
  <c r="AT24" i="9" s="1"/>
  <c r="AS24" i="9" a="1"/>
  <c r="AS24" i="9" s="1"/>
  <c r="AR24" i="9" a="1"/>
  <c r="AR24" i="9" s="1"/>
  <c r="AQ24" i="9" a="1"/>
  <c r="AQ24" i="9" s="1"/>
  <c r="AP24" i="9"/>
  <c r="AO24" i="9"/>
  <c r="AF24" i="9"/>
  <c r="BB24" i="9" s="1"/>
  <c r="AE24" i="9"/>
  <c r="AD24" i="9"/>
  <c r="CG24" i="9" s="1"/>
  <c r="AU23" i="9" a="1"/>
  <c r="AU23" i="9" s="1"/>
  <c r="AT23" i="9" a="1"/>
  <c r="AT23" i="9" s="1"/>
  <c r="AS23" i="9" a="1"/>
  <c r="AS23" i="9" s="1"/>
  <c r="AR23" i="9" a="1"/>
  <c r="AR23" i="9" s="1"/>
  <c r="AQ23" i="9" a="1"/>
  <c r="AQ23" i="9" s="1"/>
  <c r="AP23" i="9"/>
  <c r="AO23" i="9"/>
  <c r="AF23" i="9"/>
  <c r="BB23" i="9" s="1"/>
  <c r="AE23" i="9"/>
  <c r="AD23" i="9"/>
  <c r="CG23" i="9" s="1"/>
  <c r="CK979" i="9" l="1"/>
  <c r="CK953" i="9"/>
  <c r="AY863" i="9" a="1"/>
  <c r="AY863" i="9" s="1"/>
  <c r="CG863" i="9"/>
  <c r="A185" i="9"/>
  <c r="BD185" i="9"/>
  <c r="BI185" i="9"/>
  <c r="BM185" i="9"/>
  <c r="BQ185" i="9"/>
  <c r="CK185" i="9"/>
  <c r="BQ24" i="9"/>
  <c r="AI70" i="9"/>
  <c r="AY110" i="9" a="1"/>
  <c r="AY110" i="9" s="1"/>
  <c r="CG118" i="9"/>
  <c r="BA1022" i="9"/>
  <c r="BA993" i="9"/>
  <c r="BD946" i="9"/>
  <c r="AY945" i="9" a="1"/>
  <c r="AY945" i="9" s="1"/>
  <c r="A945" i="9"/>
  <c r="BD923" i="9"/>
  <c r="CC920" i="9"/>
  <c r="BI915" i="9"/>
  <c r="BI909" i="9"/>
  <c r="A877" i="9"/>
  <c r="CG877" i="9"/>
  <c r="AI877" i="9"/>
  <c r="AY877" i="9" a="1"/>
  <c r="AY877" i="9" s="1"/>
  <c r="BI877" i="9"/>
  <c r="AI838" i="9"/>
  <c r="A838" i="9"/>
  <c r="AY838" i="9" a="1"/>
  <c r="AY838" i="9" s="1"/>
  <c r="AZ838" i="9" s="1"/>
  <c r="BD838" i="9"/>
  <c r="BI838" i="9"/>
  <c r="BX838" i="9"/>
  <c r="CK740" i="9"/>
  <c r="AI740" i="9"/>
  <c r="CC740" i="9"/>
  <c r="AI696" i="9"/>
  <c r="BM696" i="9"/>
  <c r="CC696" i="9"/>
  <c r="A695" i="9"/>
  <c r="CK695" i="9"/>
  <c r="CG625" i="9"/>
  <c r="A625" i="9"/>
  <c r="BI625" i="9"/>
  <c r="CK598" i="9"/>
  <c r="BI598" i="9"/>
  <c r="AI597" i="9"/>
  <c r="CK597" i="9"/>
  <c r="CC577" i="9"/>
  <c r="BD577" i="9"/>
  <c r="AI862" i="9"/>
  <c r="CC862" i="9"/>
  <c r="AY725" i="9" a="1"/>
  <c r="AY725" i="9" s="1"/>
  <c r="CC725" i="9"/>
  <c r="BQ110" i="9"/>
  <c r="A1012" i="9"/>
  <c r="A1010" i="9"/>
  <c r="CK1000" i="9"/>
  <c r="CC998" i="9"/>
  <c r="BQ983" i="9"/>
  <c r="CG979" i="9"/>
  <c r="CG974" i="9"/>
  <c r="CG953" i="9"/>
  <c r="BI932" i="9"/>
  <c r="CC926" i="9"/>
  <c r="AI923" i="9"/>
  <c r="AY920" i="9" a="1"/>
  <c r="AY920" i="9" s="1"/>
  <c r="CC919" i="9"/>
  <c r="CC911" i="9"/>
  <c r="BX906" i="9"/>
  <c r="CG887" i="9"/>
  <c r="A885" i="9"/>
  <c r="BD885" i="9"/>
  <c r="BQ885" i="9"/>
  <c r="BQ883" i="9"/>
  <c r="BI883" i="9"/>
  <c r="A853" i="9"/>
  <c r="BX853" i="9"/>
  <c r="CG853" i="9"/>
  <c r="BI832" i="9"/>
  <c r="BQ826" i="9"/>
  <c r="BX787" i="9"/>
  <c r="A757" i="9"/>
  <c r="BD757" i="9"/>
  <c r="CK757" i="9"/>
  <c r="BX748" i="9"/>
  <c r="CH748" i="9" s="1"/>
  <c r="CI748" i="9" s="1"/>
  <c r="A551" i="9"/>
  <c r="BQ551" i="9"/>
  <c r="BI473" i="9"/>
  <c r="BM473" i="9"/>
  <c r="AI343" i="9"/>
  <c r="AY343" i="9" a="1"/>
  <c r="AY343" i="9" s="1"/>
  <c r="AZ343" i="9" s="1"/>
  <c r="BI343" i="9"/>
  <c r="BX343" i="9"/>
  <c r="CH343" i="9" s="1"/>
  <c r="CI343" i="9" s="1"/>
  <c r="CK343" i="9"/>
  <c r="BQ891" i="9"/>
  <c r="BI891" i="9"/>
  <c r="BX891" i="9"/>
  <c r="BM602" i="9"/>
  <c r="AI602" i="9"/>
  <c r="CG602" i="9"/>
  <c r="CK602" i="9"/>
  <c r="BD563" i="9"/>
  <c r="BM563" i="9"/>
  <c r="CC563" i="9"/>
  <c r="CK1009" i="9"/>
  <c r="BQ1000" i="9"/>
  <c r="BM998" i="9"/>
  <c r="BM983" i="9"/>
  <c r="CC979" i="9"/>
  <c r="BX974" i="9"/>
  <c r="CG961" i="9"/>
  <c r="BM953" i="9"/>
  <c r="CC950" i="9"/>
  <c r="CK946" i="9"/>
  <c r="AI946" i="9"/>
  <c r="A946" i="9"/>
  <c r="BM926" i="9"/>
  <c r="CC904" i="9"/>
  <c r="CK868" i="9"/>
  <c r="BM868" i="9"/>
  <c r="CC868" i="9"/>
  <c r="AI840" i="9"/>
  <c r="CK840" i="9"/>
  <c r="AI773" i="9"/>
  <c r="CK773" i="9"/>
  <c r="BM760" i="9"/>
  <c r="CG760" i="9"/>
  <c r="BX728" i="9"/>
  <c r="CC728" i="9"/>
  <c r="CG728" i="9"/>
  <c r="A728" i="9"/>
  <c r="AI728" i="9"/>
  <c r="CK728" i="9"/>
  <c r="CL728" i="9" s="1"/>
  <c r="CM728" i="9" s="1"/>
  <c r="CO728" i="9" s="1" a="1"/>
  <c r="CO728" i="9" s="1"/>
  <c r="BD728" i="9"/>
  <c r="BI728" i="9"/>
  <c r="BA635" i="9"/>
  <c r="BB635" i="9"/>
  <c r="BM594" i="9"/>
  <c r="AY594" i="9" a="1"/>
  <c r="AY594" i="9" s="1"/>
  <c r="BD594" i="9"/>
  <c r="BQ594" i="9"/>
  <c r="CG594" i="9"/>
  <c r="AI555" i="9"/>
  <c r="BI555" i="9"/>
  <c r="CC330" i="9"/>
  <c r="BI330" i="9"/>
  <c r="BM330" i="9"/>
  <c r="BD895" i="9"/>
  <c r="CC895" i="9"/>
  <c r="CD895" i="9" s="1"/>
  <c r="CE895" i="9" s="1"/>
  <c r="CF895" i="9" s="1" a="1"/>
  <c r="CF895" i="9" s="1"/>
  <c r="CK895" i="9"/>
  <c r="BM729" i="9"/>
  <c r="BD729" i="9"/>
  <c r="BI729" i="9"/>
  <c r="A569" i="9"/>
  <c r="CC569" i="9"/>
  <c r="AI569" i="9"/>
  <c r="BD569" i="9"/>
  <c r="BI569" i="9"/>
  <c r="CK291" i="9"/>
  <c r="A291" i="9"/>
  <c r="AY291" i="9" a="1"/>
  <c r="AY291" i="9" s="1"/>
  <c r="AZ291" i="9" s="1"/>
  <c r="BQ291" i="9"/>
  <c r="CC291" i="9"/>
  <c r="CG291" i="9"/>
  <c r="BQ23" i="9"/>
  <c r="A29" i="9"/>
  <c r="AY85" i="9" a="1"/>
  <c r="AY85" i="9" s="1"/>
  <c r="BQ87" i="9"/>
  <c r="AI98" i="9"/>
  <c r="CC1009" i="9"/>
  <c r="BM1004" i="9"/>
  <c r="BI1000" i="9"/>
  <c r="BI998" i="9"/>
  <c r="BI985" i="9"/>
  <c r="BQ979" i="9"/>
  <c r="BM961" i="9"/>
  <c r="BI953" i="9"/>
  <c r="BX950" i="9"/>
  <c r="CK945" i="9"/>
  <c r="CG942" i="9"/>
  <c r="CC910" i="9"/>
  <c r="BM872" i="9"/>
  <c r="BD872" i="9"/>
  <c r="BI872" i="9"/>
  <c r="CG872" i="9"/>
  <c r="CK860" i="9"/>
  <c r="BI860" i="9"/>
  <c r="CC860" i="9"/>
  <c r="BQ859" i="9"/>
  <c r="BI859" i="9"/>
  <c r="CG838" i="9"/>
  <c r="BI819" i="9"/>
  <c r="A819" i="9"/>
  <c r="AI819" i="9"/>
  <c r="CC819" i="9"/>
  <c r="AI766" i="9"/>
  <c r="BI766" i="9"/>
  <c r="BX766" i="9"/>
  <c r="BD735" i="9"/>
  <c r="BX735" i="9"/>
  <c r="CC735" i="9"/>
  <c r="CK735" i="9"/>
  <c r="BB651" i="9"/>
  <c r="BA651" i="9"/>
  <c r="CC620" i="9"/>
  <c r="AI620" i="9"/>
  <c r="BI620" i="9"/>
  <c r="BQ569" i="9"/>
  <c r="AY484" i="9" a="1"/>
  <c r="AY484" i="9" s="1"/>
  <c r="AZ484" i="9" s="1"/>
  <c r="BD484" i="9"/>
  <c r="CC484" i="9"/>
  <c r="AI484" i="9"/>
  <c r="CK484" i="9"/>
  <c r="CL484" i="9" s="1"/>
  <c r="CM484" i="9" s="1"/>
  <c r="CK799" i="9"/>
  <c r="A799" i="9"/>
  <c r="AI799" i="9"/>
  <c r="BI799" i="9"/>
  <c r="BX799" i="9"/>
  <c r="BQ1009" i="9"/>
  <c r="BD985" i="9"/>
  <c r="AY983" i="9" a="1"/>
  <c r="AY983" i="9" s="1"/>
  <c r="AZ983" i="9" s="1"/>
  <c r="BM982" i="9"/>
  <c r="BD979" i="9"/>
  <c r="BQ954" i="9"/>
  <c r="BI950" i="9"/>
  <c r="BQ946" i="9"/>
  <c r="CG945" i="9"/>
  <c r="BM942" i="9"/>
  <c r="BA932" i="9"/>
  <c r="BX930" i="9"/>
  <c r="BI917" i="9"/>
  <c r="BX910" i="9"/>
  <c r="BA904" i="9"/>
  <c r="CG900" i="9"/>
  <c r="CK896" i="9"/>
  <c r="A893" i="9"/>
  <c r="AY893" i="9" a="1"/>
  <c r="AY893" i="9" s="1"/>
  <c r="AZ893" i="9" s="1"/>
  <c r="CK893" i="9"/>
  <c r="BD893" i="9"/>
  <c r="BI893" i="9"/>
  <c r="BM893" i="9"/>
  <c r="CC891" i="9"/>
  <c r="BM850" i="9"/>
  <c r="BI850" i="9"/>
  <c r="CK850" i="9"/>
  <c r="CK833" i="9"/>
  <c r="BI833" i="9"/>
  <c r="A789" i="9"/>
  <c r="BD789" i="9"/>
  <c r="BM789" i="9"/>
  <c r="BQ608" i="9"/>
  <c r="BI608" i="9"/>
  <c r="BX608" i="9"/>
  <c r="CC593" i="9"/>
  <c r="BX593" i="9"/>
  <c r="A593" i="9"/>
  <c r="AI593" i="9"/>
  <c r="CG593" i="9"/>
  <c r="AY593" i="9" a="1"/>
  <c r="AY593" i="9" s="1"/>
  <c r="BD593" i="9"/>
  <c r="BI593" i="9"/>
  <c r="AI573" i="9"/>
  <c r="BI573" i="9"/>
  <c r="CK573" i="9"/>
  <c r="BM569" i="9"/>
  <c r="CK563" i="9"/>
  <c r="A541" i="9"/>
  <c r="BX541" i="9"/>
  <c r="CC541" i="9"/>
  <c r="AI541" i="9"/>
  <c r="CG541" i="9"/>
  <c r="AY541" i="9" a="1"/>
  <c r="AY541" i="9" s="1"/>
  <c r="BD541" i="9"/>
  <c r="A533" i="9"/>
  <c r="AY533" i="9" a="1"/>
  <c r="AY533" i="9" s="1"/>
  <c r="AZ533" i="9" s="1"/>
  <c r="BD533" i="9"/>
  <c r="BX533" i="9"/>
  <c r="CC350" i="9"/>
  <c r="A350" i="9"/>
  <c r="AI350" i="9"/>
  <c r="AY350" i="9" a="1"/>
  <c r="AY350" i="9" s="1"/>
  <c r="BQ350" i="9"/>
  <c r="CK350" i="9"/>
  <c r="BX23" i="9"/>
  <c r="BI85" i="9"/>
  <c r="AY112" i="9" a="1"/>
  <c r="AY112" i="9" s="1"/>
  <c r="A1004" i="9"/>
  <c r="AY1000" i="9" a="1"/>
  <c r="AY1000" i="9" s="1"/>
  <c r="BA998" i="9"/>
  <c r="CK970" i="9"/>
  <c r="AY961" i="9" a="1"/>
  <c r="AY961" i="9" s="1"/>
  <c r="BM954" i="9"/>
  <c r="AY953" i="9" a="1"/>
  <c r="AY953" i="9" s="1"/>
  <c r="A953" i="9"/>
  <c r="AY926" i="9" a="1"/>
  <c r="AY926" i="9" s="1"/>
  <c r="CK871" i="9"/>
  <c r="CC871" i="9"/>
  <c r="AI871" i="9"/>
  <c r="CG871" i="9"/>
  <c r="AY871" i="9" a="1"/>
  <c r="AY871" i="9" s="1"/>
  <c r="AZ871" i="9" s="1"/>
  <c r="BD871" i="9"/>
  <c r="BR871" i="9" s="1"/>
  <c r="BS871" i="9" s="1"/>
  <c r="BM871" i="9"/>
  <c r="BI777" i="9"/>
  <c r="CK777" i="9"/>
  <c r="BM776" i="9"/>
  <c r="BD776" i="9"/>
  <c r="A765" i="9"/>
  <c r="BM765" i="9"/>
  <c r="CG765" i="9"/>
  <c r="AI765" i="9"/>
  <c r="CK765" i="9"/>
  <c r="AY765" i="9" a="1"/>
  <c r="AY765" i="9" s="1"/>
  <c r="AY752" i="9" a="1"/>
  <c r="AY752" i="9" s="1"/>
  <c r="BQ752" i="9"/>
  <c r="A703" i="9"/>
  <c r="BD703" i="9"/>
  <c r="BM703" i="9"/>
  <c r="CG703" i="9"/>
  <c r="BB559" i="9"/>
  <c r="BA559" i="9"/>
  <c r="BI408" i="9"/>
  <c r="BQ408" i="9"/>
  <c r="A216" i="9"/>
  <c r="BI216" i="9"/>
  <c r="BM216" i="9"/>
  <c r="CK216" i="9"/>
  <c r="AY157" i="9" a="1"/>
  <c r="AY157" i="9" s="1"/>
  <c r="A157" i="9"/>
  <c r="AI157" i="9"/>
  <c r="BI157" i="9"/>
  <c r="BM157" i="9"/>
  <c r="BQ157" i="9"/>
  <c r="BX157" i="9"/>
  <c r="CG157" i="9"/>
  <c r="BA44" i="9"/>
  <c r="BA83" i="9"/>
  <c r="A118" i="9"/>
  <c r="BD118" i="9"/>
  <c r="BA1004" i="9"/>
  <c r="BA982" i="9"/>
  <c r="BA979" i="9"/>
  <c r="BN979" i="9" s="1"/>
  <c r="BO979" i="9" s="1"/>
  <c r="BQ970" i="9"/>
  <c r="BI963" i="9"/>
  <c r="BA961" i="9"/>
  <c r="BA953" i="9"/>
  <c r="CC952" i="9"/>
  <c r="BI946" i="9"/>
  <c r="CK937" i="9"/>
  <c r="BA926" i="9"/>
  <c r="BA900" i="9"/>
  <c r="A887" i="9"/>
  <c r="AI887" i="9"/>
  <c r="BD887" i="9"/>
  <c r="BI887" i="9"/>
  <c r="BQ887" i="9"/>
  <c r="BM832" i="9"/>
  <c r="CG832" i="9"/>
  <c r="CK832" i="9"/>
  <c r="AI832" i="9"/>
  <c r="AY832" i="9" a="1"/>
  <c r="AY832" i="9" s="1"/>
  <c r="CC826" i="9"/>
  <c r="BX826" i="9"/>
  <c r="A826" i="9"/>
  <c r="AI826" i="9"/>
  <c r="BD826" i="9"/>
  <c r="BI826" i="9"/>
  <c r="BM787" i="9"/>
  <c r="CC787" i="9"/>
  <c r="A787" i="9"/>
  <c r="AI787" i="9"/>
  <c r="CG787" i="9"/>
  <c r="AY787" i="9" a="1"/>
  <c r="AY787" i="9" s="1"/>
  <c r="CK787" i="9"/>
  <c r="BD787" i="9"/>
  <c r="BI787" i="9"/>
  <c r="AY748" i="9" a="1"/>
  <c r="AY748" i="9" s="1"/>
  <c r="CK748" i="9"/>
  <c r="A748" i="9"/>
  <c r="AI748" i="9"/>
  <c r="BD748" i="9"/>
  <c r="BI748" i="9"/>
  <c r="BJ748" i="9" s="1"/>
  <c r="BK748" i="9" s="1"/>
  <c r="BM722" i="9"/>
  <c r="BI722" i="9"/>
  <c r="BQ713" i="9"/>
  <c r="BX713" i="9"/>
  <c r="CC713" i="9"/>
  <c r="A713" i="9"/>
  <c r="AI713" i="9"/>
  <c r="CG713" i="9"/>
  <c r="AY713" i="9" a="1"/>
  <c r="AY713" i="9" s="1"/>
  <c r="AZ713" i="9" s="1"/>
  <c r="CK713" i="9"/>
  <c r="BD713" i="9"/>
  <c r="A684" i="9"/>
  <c r="BX684" i="9"/>
  <c r="AY671" i="9" a="1"/>
  <c r="AY671" i="9" s="1"/>
  <c r="AZ671" i="9" s="1"/>
  <c r="A671" i="9"/>
  <c r="BD671" i="9"/>
  <c r="BI671" i="9"/>
  <c r="BQ671" i="9"/>
  <c r="A657" i="9"/>
  <c r="BD657" i="9"/>
  <c r="CG657" i="9"/>
  <c r="BM655" i="9"/>
  <c r="CG655" i="9"/>
  <c r="A633" i="9"/>
  <c r="CK633" i="9"/>
  <c r="AI633" i="9"/>
  <c r="BD633" i="9"/>
  <c r="BI633" i="9"/>
  <c r="BX633" i="9"/>
  <c r="A565" i="9"/>
  <c r="BQ565" i="9"/>
  <c r="AI565" i="9"/>
  <c r="BX565" i="9"/>
  <c r="AY565" i="9" a="1"/>
  <c r="AY565" i="9" s="1"/>
  <c r="CC565" i="9"/>
  <c r="BA565" i="9"/>
  <c r="CG565" i="9"/>
  <c r="CK565" i="9"/>
  <c r="BD565" i="9"/>
  <c r="CC522" i="9"/>
  <c r="A522" i="9"/>
  <c r="AI522" i="9"/>
  <c r="BD522" i="9"/>
  <c r="BI522" i="9"/>
  <c r="CG522" i="9"/>
  <c r="A506" i="9"/>
  <c r="BD506" i="9"/>
  <c r="BM506" i="9"/>
  <c r="CC506" i="9"/>
  <c r="BD490" i="9"/>
  <c r="BM490" i="9"/>
  <c r="BI489" i="9"/>
  <c r="AY489" i="9" a="1"/>
  <c r="AY489" i="9" s="1"/>
  <c r="AY431" i="9" a="1"/>
  <c r="AY431" i="9" s="1"/>
  <c r="BI431" i="9"/>
  <c r="CG431" i="9"/>
  <c r="BD147" i="9"/>
  <c r="BA147" i="9"/>
  <c r="BI147" i="9"/>
  <c r="BM147" i="9"/>
  <c r="BQ147" i="9"/>
  <c r="BA662" i="9"/>
  <c r="AI652" i="9"/>
  <c r="BI649" i="9"/>
  <c r="BJ649" i="9" s="1"/>
  <c r="BK649" i="9" s="1"/>
  <c r="BA643" i="9"/>
  <c r="CC638" i="9"/>
  <c r="AI638" i="9"/>
  <c r="A638" i="9"/>
  <c r="A627" i="9"/>
  <c r="CG615" i="9"/>
  <c r="BB566" i="9"/>
  <c r="BA550" i="9"/>
  <c r="A548" i="9"/>
  <c r="AY544" i="9" a="1"/>
  <c r="AY544" i="9" s="1"/>
  <c r="BQ543" i="9"/>
  <c r="CC537" i="9"/>
  <c r="CC527" i="9"/>
  <c r="BA456" i="9"/>
  <c r="A397" i="9"/>
  <c r="BM397" i="9"/>
  <c r="BQ397" i="9"/>
  <c r="A388" i="9"/>
  <c r="BQ388" i="9"/>
  <c r="CK388" i="9"/>
  <c r="A196" i="9"/>
  <c r="AI196" i="9"/>
  <c r="BM196" i="9"/>
  <c r="BX196" i="9"/>
  <c r="A194" i="9"/>
  <c r="BI194" i="9"/>
  <c r="CK878" i="9"/>
  <c r="BM866" i="9"/>
  <c r="AY861" i="9" a="1"/>
  <c r="AY861" i="9" s="1"/>
  <c r="AI847" i="9"/>
  <c r="A847" i="9"/>
  <c r="BX845" i="9"/>
  <c r="BQ783" i="9"/>
  <c r="AI768" i="9"/>
  <c r="BQ708" i="9"/>
  <c r="CK689" i="9"/>
  <c r="CK685" i="9"/>
  <c r="CG643" i="9"/>
  <c r="BA630" i="9"/>
  <c r="A482" i="9"/>
  <c r="AI482" i="9"/>
  <c r="BI482" i="9"/>
  <c r="BQ482" i="9"/>
  <c r="CG479" i="9"/>
  <c r="BM479" i="9"/>
  <c r="BQ449" i="9"/>
  <c r="BI449" i="9"/>
  <c r="CK404" i="9"/>
  <c r="AY404" i="9" a="1"/>
  <c r="AY404" i="9" s="1"/>
  <c r="BQ404" i="9"/>
  <c r="CG404" i="9"/>
  <c r="BQ214" i="9"/>
  <c r="AY214" i="9" a="1"/>
  <c r="AY214" i="9" s="1"/>
  <c r="AZ214" i="9" s="1"/>
  <c r="BD214" i="9"/>
  <c r="BI214" i="9"/>
  <c r="CC214" i="9"/>
  <c r="AI141" i="9"/>
  <c r="BQ141" i="9"/>
  <c r="CC141" i="9"/>
  <c r="CK141" i="9"/>
  <c r="CC878" i="9"/>
  <c r="BD866" i="9"/>
  <c r="BQ845" i="9"/>
  <c r="CC828" i="9"/>
  <c r="CK817" i="9"/>
  <c r="CC807" i="9"/>
  <c r="BM783" i="9"/>
  <c r="CG768" i="9"/>
  <c r="BA768" i="9"/>
  <c r="BI749" i="9"/>
  <c r="AI741" i="9"/>
  <c r="A720" i="9"/>
  <c r="BM708" i="9"/>
  <c r="BX689" i="9"/>
  <c r="CK674" i="9"/>
  <c r="CG667" i="9"/>
  <c r="CH667" i="9" s="1"/>
  <c r="CI667" i="9" s="1"/>
  <c r="AI662" i="9"/>
  <c r="A662" i="9"/>
  <c r="CC643" i="9"/>
  <c r="AY643" i="9" a="1"/>
  <c r="AY643" i="9" s="1"/>
  <c r="AZ643" i="9" s="1"/>
  <c r="BQ615" i="9"/>
  <c r="BA611" i="9"/>
  <c r="CG610" i="9"/>
  <c r="BD601" i="9"/>
  <c r="BJ601" i="9" s="1"/>
  <c r="BK601" i="9" s="1"/>
  <c r="AY599" i="9" a="1"/>
  <c r="AY599" i="9" s="1"/>
  <c r="AZ599" i="9" s="1"/>
  <c r="BX559" i="9"/>
  <c r="BI456" i="9"/>
  <c r="CK456" i="9"/>
  <c r="BI368" i="9"/>
  <c r="BM368" i="9"/>
  <c r="BQ320" i="9"/>
  <c r="AY320" i="9" a="1"/>
  <c r="AY320" i="9" s="1"/>
  <c r="AZ320" i="9" s="1"/>
  <c r="BN320" i="9" s="1"/>
  <c r="BO320" i="9" s="1"/>
  <c r="BI320" i="9"/>
  <c r="CK320" i="9"/>
  <c r="AI306" i="9"/>
  <c r="BD306" i="9"/>
  <c r="BM306" i="9"/>
  <c r="BQ306" i="9"/>
  <c r="A282" i="9"/>
  <c r="BI282" i="9"/>
  <c r="CG282" i="9"/>
  <c r="BI155" i="9"/>
  <c r="BD155" i="9"/>
  <c r="CC155" i="9"/>
  <c r="CK154" i="9"/>
  <c r="CC154" i="9"/>
  <c r="BM130" i="9"/>
  <c r="BD130" i="9"/>
  <c r="BI130" i="9"/>
  <c r="BI880" i="9"/>
  <c r="BX878" i="9"/>
  <c r="BI845" i="9"/>
  <c r="CC817" i="9"/>
  <c r="BI807" i="9"/>
  <c r="BD783" i="9"/>
  <c r="BX768" i="9"/>
  <c r="CC763" i="9"/>
  <c r="BQ744" i="9"/>
  <c r="BI708" i="9"/>
  <c r="BM702" i="9"/>
  <c r="BQ689" i="9"/>
  <c r="BQ674" i="9"/>
  <c r="BX667" i="9"/>
  <c r="CC659" i="9"/>
  <c r="BA649" i="9"/>
  <c r="BX643" i="9"/>
  <c r="BM615" i="9"/>
  <c r="BQ610" i="9"/>
  <c r="CK607" i="9"/>
  <c r="CK601" i="9"/>
  <c r="BM575" i="9"/>
  <c r="BA563" i="9"/>
  <c r="BD559" i="9"/>
  <c r="CC550" i="9"/>
  <c r="BM528" i="9"/>
  <c r="A528" i="9"/>
  <c r="AI528" i="9"/>
  <c r="CG482" i="9"/>
  <c r="AI436" i="9"/>
  <c r="BX436" i="9"/>
  <c r="CG412" i="9"/>
  <c r="A412" i="9"/>
  <c r="BI412" i="9"/>
  <c r="BQ412" i="9"/>
  <c r="AY401" i="9" a="1"/>
  <c r="AY401" i="9" s="1"/>
  <c r="AZ401" i="9" s="1"/>
  <c r="BD401" i="9"/>
  <c r="BQ401" i="9"/>
  <c r="CC377" i="9"/>
  <c r="BM377" i="9"/>
  <c r="BQ377" i="9"/>
  <c r="BX377" i="9"/>
  <c r="AI337" i="9"/>
  <c r="CK337" i="9"/>
  <c r="BA186" i="9"/>
  <c r="BB186" i="9"/>
  <c r="AI164" i="9"/>
  <c r="BQ164" i="9"/>
  <c r="BX164" i="9"/>
  <c r="BA891" i="9"/>
  <c r="BQ878" i="9"/>
  <c r="CK866" i="9"/>
  <c r="AY866" i="9" a="1"/>
  <c r="AY866" i="9" s="1"/>
  <c r="AZ866" i="9" s="1"/>
  <c r="BA832" i="9"/>
  <c r="BA826" i="9"/>
  <c r="BM817" i="9"/>
  <c r="BD807" i="9"/>
  <c r="BA789" i="9"/>
  <c r="BA765" i="9"/>
  <c r="BI763" i="9"/>
  <c r="BA760" i="9"/>
  <c r="AY749" i="9" a="1"/>
  <c r="AY749" i="9" s="1"/>
  <c r="AZ749" i="9" s="1"/>
  <c r="BD744" i="9"/>
  <c r="BQ739" i="9"/>
  <c r="BI689" i="9"/>
  <c r="BM674" i="9"/>
  <c r="BI667" i="9"/>
  <c r="BA656" i="9"/>
  <c r="BQ643" i="9"/>
  <c r="BX632" i="9"/>
  <c r="BD615" i="9"/>
  <c r="BI610" i="9"/>
  <c r="BA608" i="9"/>
  <c r="CG601" i="9"/>
  <c r="AY601" i="9" a="1"/>
  <c r="AY601" i="9" s="1"/>
  <c r="BA598" i="9"/>
  <c r="BD596" i="9"/>
  <c r="BA573" i="9"/>
  <c r="CG564" i="9"/>
  <c r="BA541" i="9"/>
  <c r="BD539" i="9"/>
  <c r="BX536" i="9"/>
  <c r="BQ528" i="9"/>
  <c r="AY496" i="9" a="1"/>
  <c r="AY496" i="9" s="1"/>
  <c r="AI496" i="9"/>
  <c r="BQ496" i="9"/>
  <c r="BI495" i="9"/>
  <c r="BQ495" i="9"/>
  <c r="CC494" i="9"/>
  <c r="BI494" i="9"/>
  <c r="CC482" i="9"/>
  <c r="CK466" i="9"/>
  <c r="CC466" i="9"/>
  <c r="BQ465" i="9"/>
  <c r="BI465" i="9"/>
  <c r="BQ382" i="9"/>
  <c r="AI382" i="9"/>
  <c r="AY316" i="9" a="1"/>
  <c r="AY316" i="9" s="1"/>
  <c r="AZ316" i="9" s="1"/>
  <c r="A316" i="9"/>
  <c r="AI316" i="9"/>
  <c r="BM316" i="9"/>
  <c r="BQ316" i="9"/>
  <c r="BR316" i="9" s="1"/>
  <c r="BS316" i="9" s="1"/>
  <c r="BU316" i="9" s="1" a="1"/>
  <c r="BU316" i="9" s="1"/>
  <c r="BX316" i="9"/>
  <c r="BD288" i="9"/>
  <c r="BI288" i="9"/>
  <c r="CC288" i="9"/>
  <c r="AI253" i="9"/>
  <c r="BI253" i="9"/>
  <c r="CC253" i="9"/>
  <c r="CK214" i="9"/>
  <c r="CK151" i="9"/>
  <c r="A151" i="9"/>
  <c r="AY151" i="9" a="1"/>
  <c r="AY151" i="9" s="1"/>
  <c r="CC151" i="9"/>
  <c r="CK886" i="9"/>
  <c r="BA868" i="9"/>
  <c r="CG866" i="9"/>
  <c r="AI866" i="9"/>
  <c r="A866" i="9"/>
  <c r="CC861" i="9"/>
  <c r="AY845" i="9" a="1"/>
  <c r="AY845" i="9" s="1"/>
  <c r="BM844" i="9"/>
  <c r="BA787" i="9"/>
  <c r="AI783" i="9"/>
  <c r="A783" i="9"/>
  <c r="BI768" i="9"/>
  <c r="AI749" i="9"/>
  <c r="BA740" i="9"/>
  <c r="BA695" i="9"/>
  <c r="AI694" i="9"/>
  <c r="CC670" i="9"/>
  <c r="CK650" i="9"/>
  <c r="BI617" i="9"/>
  <c r="CC601" i="9"/>
  <c r="AI601" i="9"/>
  <c r="BM582" i="9"/>
  <c r="BA532" i="9"/>
  <c r="BM482" i="9"/>
  <c r="AY454" i="9" a="1"/>
  <c r="AY454" i="9" s="1"/>
  <c r="A454" i="9"/>
  <c r="AI454" i="9"/>
  <c r="BX454" i="9"/>
  <c r="CG454" i="9"/>
  <c r="BI427" i="9"/>
  <c r="BM427" i="9"/>
  <c r="AY375" i="9" a="1"/>
  <c r="AY375" i="9" s="1"/>
  <c r="BI375" i="9"/>
  <c r="BQ375" i="9"/>
  <c r="A364" i="9"/>
  <c r="AI364" i="9"/>
  <c r="BD364" i="9"/>
  <c r="BI364" i="9"/>
  <c r="CK364" i="9"/>
  <c r="A356" i="9"/>
  <c r="BM356" i="9"/>
  <c r="CC356" i="9"/>
  <c r="CK356" i="9"/>
  <c r="CG214" i="9"/>
  <c r="BA521" i="9"/>
  <c r="BI520" i="9"/>
  <c r="BX501" i="9"/>
  <c r="BA451" i="9"/>
  <c r="BI441" i="9"/>
  <c r="CG422" i="9"/>
  <c r="BA422" i="9"/>
  <c r="A417" i="9"/>
  <c r="BM413" i="9"/>
  <c r="BD402" i="9"/>
  <c r="BM389" i="9"/>
  <c r="CC386" i="9"/>
  <c r="CG381" i="9"/>
  <c r="BI376" i="9"/>
  <c r="CK372" i="9"/>
  <c r="AY360" i="9" a="1"/>
  <c r="AY360" i="9" s="1"/>
  <c r="CK354" i="9"/>
  <c r="AI346" i="9"/>
  <c r="A346" i="9"/>
  <c r="CG325" i="9"/>
  <c r="AY325" i="9" a="1"/>
  <c r="AY325" i="9" s="1"/>
  <c r="BX319" i="9"/>
  <c r="CK315" i="9"/>
  <c r="BI309" i="9"/>
  <c r="BI302" i="9"/>
  <c r="BQ279" i="9"/>
  <c r="AY274" i="9" a="1"/>
  <c r="AY274" i="9" s="1"/>
  <c r="BD270" i="9"/>
  <c r="BD264" i="9"/>
  <c r="BM248" i="9"/>
  <c r="AY233" i="9" a="1"/>
  <c r="AY233" i="9" s="1"/>
  <c r="AZ233" i="9" s="1"/>
  <c r="BF233" i="9" s="1"/>
  <c r="BG233" i="9" s="1"/>
  <c r="BH233" i="9" s="1" a="1"/>
  <c r="BH233" i="9" s="1"/>
  <c r="CK221" i="9"/>
  <c r="BI220" i="9"/>
  <c r="BA216" i="9"/>
  <c r="BA214" i="9"/>
  <c r="BI209" i="9"/>
  <c r="CK197" i="9"/>
  <c r="BD190" i="9"/>
  <c r="BI183" i="9"/>
  <c r="BM153" i="9"/>
  <c r="BA151" i="9"/>
  <c r="BI129" i="9"/>
  <c r="BD126" i="9"/>
  <c r="AY520" i="9" a="1"/>
  <c r="AY520" i="9" s="1"/>
  <c r="BD504" i="9"/>
  <c r="AI501" i="9"/>
  <c r="CK500" i="9"/>
  <c r="CL500" i="9" s="1"/>
  <c r="CM500" i="9" s="1"/>
  <c r="BA500" i="9"/>
  <c r="BZ500" i="9" s="1"/>
  <c r="CG476" i="9"/>
  <c r="CG474" i="9"/>
  <c r="BB463" i="9"/>
  <c r="CK441" i="9"/>
  <c r="AY441" i="9" a="1"/>
  <c r="AY441" i="9" s="1"/>
  <c r="AZ441" i="9" s="1"/>
  <c r="CK432" i="9"/>
  <c r="BI429" i="9"/>
  <c r="BI414" i="9"/>
  <c r="CC410" i="9"/>
  <c r="CK391" i="9"/>
  <c r="BQ325" i="9"/>
  <c r="CG233" i="9"/>
  <c r="BX204" i="9"/>
  <c r="BA168" i="9"/>
  <c r="AY142" i="9" a="1"/>
  <c r="AY142" i="9" s="1"/>
  <c r="AZ142" i="9" s="1"/>
  <c r="A137" i="9"/>
  <c r="BX474" i="9"/>
  <c r="AI474" i="9"/>
  <c r="AY414" i="9" a="1"/>
  <c r="AY414" i="9" s="1"/>
  <c r="CC413" i="9"/>
  <c r="CC378" i="9"/>
  <c r="BM360" i="9"/>
  <c r="BD346" i="9"/>
  <c r="A327" i="9"/>
  <c r="BI325" i="9"/>
  <c r="CK309" i="9"/>
  <c r="BQ297" i="9"/>
  <c r="BI274" i="9"/>
  <c r="CC268" i="9"/>
  <c r="BQ264" i="9"/>
  <c r="AI245" i="9"/>
  <c r="A244" i="9"/>
  <c r="AI241" i="9"/>
  <c r="A241" i="9"/>
  <c r="AY240" i="9" a="1"/>
  <c r="AY240" i="9" s="1"/>
  <c r="AZ240" i="9" s="1"/>
  <c r="A240" i="9"/>
  <c r="CC237" i="9"/>
  <c r="BQ233" i="9"/>
  <c r="BX228" i="9"/>
  <c r="CK222" i="9"/>
  <c r="CC209" i="9"/>
  <c r="BM204" i="9"/>
  <c r="A201" i="9"/>
  <c r="BI186" i="9"/>
  <c r="CG173" i="9"/>
  <c r="CK126" i="9"/>
  <c r="CG124" i="9"/>
  <c r="CH124" i="9" s="1"/>
  <c r="CI124" i="9" s="1"/>
  <c r="BX441" i="9"/>
  <c r="BX413" i="9"/>
  <c r="CC402" i="9"/>
  <c r="BX389" i="9"/>
  <c r="BQ378" i="9"/>
  <c r="CC376" i="9"/>
  <c r="CG367" i="9"/>
  <c r="BI360" i="9"/>
  <c r="CG342" i="9"/>
  <c r="BQ334" i="9"/>
  <c r="BX328" i="9"/>
  <c r="CK326" i="9"/>
  <c r="BD325" i="9"/>
  <c r="CC309" i="9"/>
  <c r="CK302" i="9"/>
  <c r="BX268" i="9"/>
  <c r="BQ237" i="9"/>
  <c r="BD233" i="9"/>
  <c r="BQ228" i="9"/>
  <c r="BI222" i="9"/>
  <c r="BI204" i="9"/>
  <c r="CK199" i="9"/>
  <c r="BD186" i="9"/>
  <c r="CG183" i="9"/>
  <c r="CC173" i="9"/>
  <c r="BM163" i="9"/>
  <c r="BB151" i="9"/>
  <c r="BX124" i="9"/>
  <c r="BA522" i="9"/>
  <c r="CG520" i="9"/>
  <c r="BD509" i="9"/>
  <c r="CC504" i="9"/>
  <c r="BM500" i="9"/>
  <c r="BQ475" i="9"/>
  <c r="BM474" i="9"/>
  <c r="CK470" i="9"/>
  <c r="CG447" i="9"/>
  <c r="BX402" i="9"/>
  <c r="CK381" i="9"/>
  <c r="BM378" i="9"/>
  <c r="BM376" i="9"/>
  <c r="BA375" i="9"/>
  <c r="BX367" i="9"/>
  <c r="BI342" i="9"/>
  <c r="BA330" i="9"/>
  <c r="BQ328" i="9"/>
  <c r="BQ326" i="9"/>
  <c r="CK319" i="9"/>
  <c r="BX309" i="9"/>
  <c r="BA288" i="9"/>
  <c r="BI287" i="9"/>
  <c r="BX279" i="9"/>
  <c r="BI270" i="9"/>
  <c r="BI268" i="9"/>
  <c r="BI264" i="9"/>
  <c r="BQ259" i="9"/>
  <c r="BA253" i="9"/>
  <c r="CK248" i="9"/>
  <c r="CG241" i="9"/>
  <c r="CC240" i="9"/>
  <c r="BD222" i="9"/>
  <c r="BM220" i="9"/>
  <c r="BX213" i="9"/>
  <c r="BM209" i="9"/>
  <c r="BD204" i="9"/>
  <c r="BI199" i="9"/>
  <c r="BM183" i="9"/>
  <c r="BX173" i="9"/>
  <c r="BI169" i="9"/>
  <c r="BI163" i="9"/>
  <c r="BA159" i="9"/>
  <c r="BA155" i="9"/>
  <c r="BQ146" i="9"/>
  <c r="BM129" i="9"/>
  <c r="BI126" i="9"/>
  <c r="BM124" i="9"/>
  <c r="AY27" i="9" a="1"/>
  <c r="AY27" i="9" s="1"/>
  <c r="AZ27" i="9" s="1"/>
  <c r="A45" i="9"/>
  <c r="BD50" i="9"/>
  <c r="AI55" i="9"/>
  <c r="AI65" i="9"/>
  <c r="BA65" i="9"/>
  <c r="BM73" i="9"/>
  <c r="BB83" i="9"/>
  <c r="AI94" i="9"/>
  <c r="BX96" i="9"/>
  <c r="BQ98" i="9"/>
  <c r="AI104" i="9"/>
  <c r="AI105" i="9"/>
  <c r="BM107" i="9"/>
  <c r="CC110" i="9"/>
  <c r="CG120" i="9"/>
  <c r="BI1017" i="9"/>
  <c r="BQ1013" i="9"/>
  <c r="BI1011" i="9"/>
  <c r="BM1009" i="9"/>
  <c r="BQ1005" i="9"/>
  <c r="CG1002" i="9"/>
  <c r="CG976" i="9"/>
  <c r="BM974" i="9"/>
  <c r="BA971" i="9"/>
  <c r="A971" i="9"/>
  <c r="BI969" i="9"/>
  <c r="CK962" i="9"/>
  <c r="AI962" i="9"/>
  <c r="A962" i="9"/>
  <c r="A954" i="9"/>
  <c r="BA937" i="9"/>
  <c r="CC936" i="9"/>
  <c r="BI929" i="9"/>
  <c r="CC927" i="9"/>
  <c r="BB923" i="9"/>
  <c r="BQ919" i="9"/>
  <c r="BD907" i="9"/>
  <c r="BA905" i="9"/>
  <c r="CC900" i="9"/>
  <c r="AI893" i="9"/>
  <c r="BA887" i="9"/>
  <c r="CG885" i="9"/>
  <c r="BM884" i="9"/>
  <c r="BA869" i="9"/>
  <c r="AI863" i="9"/>
  <c r="A855" i="9"/>
  <c r="BA847" i="9"/>
  <c r="BA835" i="9"/>
  <c r="BQ834" i="9"/>
  <c r="BB828" i="9"/>
  <c r="AY825" i="9" a="1"/>
  <c r="AY825" i="9" s="1"/>
  <c r="AZ825" i="9" s="1"/>
  <c r="CC812" i="9"/>
  <c r="BI808" i="9"/>
  <c r="BD797" i="9"/>
  <c r="CG794" i="9"/>
  <c r="CG789" i="9"/>
  <c r="CK781" i="9"/>
  <c r="AI781" i="9"/>
  <c r="BI780" i="9"/>
  <c r="AY64" i="9" a="1"/>
  <c r="AY64" i="9" s="1"/>
  <c r="BQ73" i="9"/>
  <c r="CK110" i="9"/>
  <c r="BI1013" i="9"/>
  <c r="BD1010" i="9"/>
  <c r="BI1009" i="9"/>
  <c r="BQ1007" i="9"/>
  <c r="BQ997" i="9"/>
  <c r="BI976" i="9"/>
  <c r="BI974" i="9"/>
  <c r="BI966" i="9"/>
  <c r="BX962" i="9"/>
  <c r="CK961" i="9"/>
  <c r="BI960" i="9"/>
  <c r="BA955" i="9"/>
  <c r="BX954" i="9"/>
  <c r="AY952" i="9" a="1"/>
  <c r="AY952" i="9" s="1"/>
  <c r="CK951" i="9"/>
  <c r="BQ950" i="9"/>
  <c r="BB941" i="9"/>
  <c r="BD938" i="9"/>
  <c r="BA935" i="9"/>
  <c r="BI931" i="9"/>
  <c r="BD929" i="9"/>
  <c r="BQ927" i="9"/>
  <c r="BM919" i="9"/>
  <c r="AY912" i="9" a="1"/>
  <c r="AY912" i="9" s="1"/>
  <c r="AZ912" i="9" s="1"/>
  <c r="CK911" i="9"/>
  <c r="BA903" i="9"/>
  <c r="BI895" i="9"/>
  <c r="BD891" i="9"/>
  <c r="BX885" i="9"/>
  <c r="BI884" i="9"/>
  <c r="BI882" i="9"/>
  <c r="BA870" i="9"/>
  <c r="CC869" i="9"/>
  <c r="CK861" i="9"/>
  <c r="CK858" i="9"/>
  <c r="BI856" i="9"/>
  <c r="BX854" i="9"/>
  <c r="BA852" i="9"/>
  <c r="BD850" i="9"/>
  <c r="CK847" i="9"/>
  <c r="AY847" i="9" a="1"/>
  <c r="AY847" i="9" s="1"/>
  <c r="AY846" i="9" a="1"/>
  <c r="AY846" i="9" s="1"/>
  <c r="A846" i="9"/>
  <c r="BD845" i="9"/>
  <c r="A841" i="9"/>
  <c r="BI839" i="9"/>
  <c r="BQ838" i="9"/>
  <c r="BM834" i="9"/>
  <c r="BI816" i="9"/>
  <c r="AY800" i="9" a="1"/>
  <c r="AY800" i="9" s="1"/>
  <c r="AY792" i="9" a="1"/>
  <c r="AY792" i="9" s="1"/>
  <c r="CG781" i="9"/>
  <c r="BA781" i="9"/>
  <c r="BA773" i="9"/>
  <c r="BI24" i="9"/>
  <c r="BA53" i="9"/>
  <c r="BQ92" i="9"/>
  <c r="A95" i="9"/>
  <c r="A105" i="9"/>
  <c r="BQ115" i="9"/>
  <c r="AY1017" i="9" a="1"/>
  <c r="AY1017" i="9" s="1"/>
  <c r="AZ1017" i="9" s="1"/>
  <c r="BM1007" i="9"/>
  <c r="BQ1002" i="9"/>
  <c r="CC1000" i="9"/>
  <c r="BI997" i="9"/>
  <c r="BD994" i="9"/>
  <c r="BI993" i="9"/>
  <c r="AY969" i="9" a="1"/>
  <c r="AY969" i="9" s="1"/>
  <c r="CC968" i="9"/>
  <c r="BD966" i="9"/>
  <c r="BD927" i="9"/>
  <c r="A923" i="9"/>
  <c r="BA844" i="9"/>
  <c r="BD816" i="9"/>
  <c r="BQ811" i="9"/>
  <c r="BQ807" i="9"/>
  <c r="BD802" i="9"/>
  <c r="AI800" i="9"/>
  <c r="AY797" i="9" a="1"/>
  <c r="AY797" i="9" s="1"/>
  <c r="A794" i="9"/>
  <c r="AI792" i="9"/>
  <c r="BX791" i="9"/>
  <c r="BI783" i="9"/>
  <c r="BM781" i="9"/>
  <c r="BI776" i="9"/>
  <c r="AI775" i="9"/>
  <c r="A775" i="9"/>
  <c r="CG1010" i="9"/>
  <c r="AY1009" i="9" a="1"/>
  <c r="AY1009" i="9" s="1"/>
  <c r="A1009" i="9"/>
  <c r="BI1007" i="9"/>
  <c r="BD1004" i="9"/>
  <c r="BI1002" i="9"/>
  <c r="BJ1002" i="9" s="1"/>
  <c r="BK1002" i="9" s="1"/>
  <c r="BM996" i="9"/>
  <c r="BA990" i="9"/>
  <c r="AY976" i="9" a="1"/>
  <c r="AY976" i="9" s="1"/>
  <c r="AZ976" i="9" s="1"/>
  <c r="BA974" i="9"/>
  <c r="A974" i="9"/>
  <c r="BA969" i="9"/>
  <c r="CC944" i="9"/>
  <c r="CG937" i="9"/>
  <c r="BM934" i="9"/>
  <c r="AY929" i="9" a="1"/>
  <c r="AY929" i="9" s="1"/>
  <c r="BQ911" i="9"/>
  <c r="BA907" i="9"/>
  <c r="BD906" i="9"/>
  <c r="CC902" i="9"/>
  <c r="BB900" i="9"/>
  <c r="BM897" i="9"/>
  <c r="BA895" i="9"/>
  <c r="CC894" i="9"/>
  <c r="AI891" i="9"/>
  <c r="BD890" i="9"/>
  <c r="BM885" i="9"/>
  <c r="BA884" i="9"/>
  <c r="CC876" i="9"/>
  <c r="BM869" i="9"/>
  <c r="CC855" i="9"/>
  <c r="CG850" i="9"/>
  <c r="CC847" i="9"/>
  <c r="BI840" i="9"/>
  <c r="BA834" i="9"/>
  <c r="CG792" i="9"/>
  <c r="BA792" i="9"/>
  <c r="A773" i="9"/>
  <c r="BD773" i="9"/>
  <c r="AY773" i="9" a="1"/>
  <c r="AY773" i="9" s="1"/>
  <c r="BQ1015" i="9"/>
  <c r="BM1000" i="9"/>
  <c r="BI996" i="9"/>
  <c r="AY994" i="9" a="1"/>
  <c r="AY994" i="9" s="1"/>
  <c r="CK993" i="9"/>
  <c r="BI991" i="9"/>
  <c r="BM988" i="9"/>
  <c r="AI986" i="9"/>
  <c r="A986" i="9"/>
  <c r="BA984" i="9"/>
  <c r="BX983" i="9"/>
  <c r="BB982" i="9"/>
  <c r="BI973" i="9"/>
  <c r="AY968" i="9" a="1"/>
  <c r="AY968" i="9" s="1"/>
  <c r="AZ968" i="9" s="1"/>
  <c r="CK965" i="9"/>
  <c r="BI962" i="9"/>
  <c r="BI954" i="9"/>
  <c r="BI944" i="9"/>
  <c r="BM937" i="9"/>
  <c r="BM933" i="9"/>
  <c r="BQ930" i="9"/>
  <c r="AI929" i="9"/>
  <c r="A929" i="9"/>
  <c r="AY927" i="9" a="1"/>
  <c r="AY927" i="9" s="1"/>
  <c r="A927" i="9"/>
  <c r="BI923" i="9"/>
  <c r="AI919" i="9"/>
  <c r="A919" i="9"/>
  <c r="BD911" i="9"/>
  <c r="CG905" i="9"/>
  <c r="BQ902" i="9"/>
  <c r="BX894" i="9"/>
  <c r="BQ886" i="9"/>
  <c r="BI885" i="9"/>
  <c r="CK882" i="9"/>
  <c r="AY882" i="9" a="1"/>
  <c r="AY882" i="9" s="1"/>
  <c r="AZ882" i="9" s="1"/>
  <c r="BM876" i="9"/>
  <c r="AI872" i="9"/>
  <c r="A871" i="9"/>
  <c r="BI869" i="9"/>
  <c r="BB868" i="9"/>
  <c r="BX867" i="9"/>
  <c r="BI865" i="9"/>
  <c r="BQ863" i="9"/>
  <c r="BX861" i="9"/>
  <c r="BA861" i="9"/>
  <c r="BM860" i="9"/>
  <c r="BX858" i="9"/>
  <c r="AY858" i="9" a="1"/>
  <c r="AY858" i="9" s="1"/>
  <c r="AZ858" i="9" s="1"/>
  <c r="BQ855" i="9"/>
  <c r="BM853" i="9"/>
  <c r="CC850" i="9"/>
  <c r="AY850" i="9" a="1"/>
  <c r="AY850" i="9" s="1"/>
  <c r="AZ850" i="9" s="1"/>
  <c r="BX847" i="9"/>
  <c r="BZ847" i="9" s="1"/>
  <c r="CA847" i="9" s="1"/>
  <c r="CB847" i="9" s="1" a="1"/>
  <c r="CB847" i="9" s="1"/>
  <c r="CC844" i="9"/>
  <c r="BB843" i="9"/>
  <c r="BQ842" i="9"/>
  <c r="BA839" i="9"/>
  <c r="A833" i="9"/>
  <c r="BM831" i="9"/>
  <c r="CC825" i="9"/>
  <c r="A811" i="9"/>
  <c r="BX800" i="9"/>
  <c r="BI795" i="9"/>
  <c r="BX792" i="9"/>
  <c r="BI791" i="9"/>
  <c r="AI789" i="9"/>
  <c r="BI784" i="9"/>
  <c r="BD781" i="9"/>
  <c r="CK778" i="9"/>
  <c r="AY98" i="9" a="1"/>
  <c r="AY98" i="9" s="1"/>
  <c r="BA120" i="9"/>
  <c r="CK980" i="9"/>
  <c r="BX965" i="9"/>
  <c r="BD962" i="9"/>
  <c r="A961" i="9"/>
  <c r="AY960" i="9" a="1"/>
  <c r="AY960" i="9" s="1"/>
  <c r="BD954" i="9"/>
  <c r="CK950" i="9"/>
  <c r="AY950" i="9" a="1"/>
  <c r="AY950" i="9" s="1"/>
  <c r="BI937" i="9"/>
  <c r="BI933" i="9"/>
  <c r="CK929" i="9"/>
  <c r="BA929" i="9"/>
  <c r="BB920" i="9"/>
  <c r="BI905" i="9"/>
  <c r="BM902" i="9"/>
  <c r="BQ894" i="9"/>
  <c r="BQ867" i="9"/>
  <c r="BM863" i="9"/>
  <c r="BQ861" i="9"/>
  <c r="BQ858" i="9"/>
  <c r="AI858" i="9"/>
  <c r="A858" i="9"/>
  <c r="BD855" i="9"/>
  <c r="BX850" i="9"/>
  <c r="AI850" i="9"/>
  <c r="A850" i="9"/>
  <c r="BI842" i="9"/>
  <c r="BM825" i="9"/>
  <c r="BA820" i="9"/>
  <c r="AY816" i="9" a="1"/>
  <c r="AY816" i="9" s="1"/>
  <c r="AZ816" i="9" s="1"/>
  <c r="BD784" i="9"/>
  <c r="CG778" i="9"/>
  <c r="CG773" i="9"/>
  <c r="BA29" i="9"/>
  <c r="AY56" i="9" a="1"/>
  <c r="AY56" i="9" s="1"/>
  <c r="BM70" i="9"/>
  <c r="BQ76" i="9"/>
  <c r="AY77" i="9" a="1"/>
  <c r="AY77" i="9" s="1"/>
  <c r="AZ77" i="9" s="1"/>
  <c r="BD87" i="9"/>
  <c r="BA98" i="9"/>
  <c r="BM100" i="9"/>
  <c r="AI108" i="9"/>
  <c r="A110" i="9"/>
  <c r="BM110" i="9"/>
  <c r="AI120" i="9"/>
  <c r="BX1017" i="9"/>
  <c r="BZ1017" i="9" s="1"/>
  <c r="CA1017" i="9" s="1"/>
  <c r="CB1017" i="9" s="1" a="1"/>
  <c r="CB1017" i="9" s="1"/>
  <c r="BI1014" i="9"/>
  <c r="AY1002" i="9" a="1"/>
  <c r="AY1002" i="9" s="1"/>
  <c r="A1002" i="9"/>
  <c r="CC993" i="9"/>
  <c r="AY993" i="9" a="1"/>
  <c r="AY993" i="9" s="1"/>
  <c r="A993" i="9"/>
  <c r="AI970" i="9"/>
  <c r="A970" i="9"/>
  <c r="CK966" i="9"/>
  <c r="BI965" i="9"/>
  <c r="BI955" i="9"/>
  <c r="CG950" i="9"/>
  <c r="BM945" i="9"/>
  <c r="BM941" i="9"/>
  <c r="CK938" i="9"/>
  <c r="BD937" i="9"/>
  <c r="CG929" i="9"/>
  <c r="BX926" i="9"/>
  <c r="A922" i="9"/>
  <c r="CG919" i="9"/>
  <c r="BM917" i="9"/>
  <c r="BA915" i="9"/>
  <c r="BX914" i="9"/>
  <c r="A913" i="9"/>
  <c r="BB909" i="9"/>
  <c r="BI908" i="9"/>
  <c r="BD905" i="9"/>
  <c r="BD902" i="9"/>
  <c r="BX882" i="9"/>
  <c r="BA882" i="9"/>
  <c r="BD879" i="9"/>
  <c r="BI867" i="9"/>
  <c r="BD863" i="9"/>
  <c r="BM858" i="9"/>
  <c r="BA858" i="9"/>
  <c r="BI857" i="9"/>
  <c r="BA853" i="9"/>
  <c r="BQ850" i="9"/>
  <c r="BA850" i="9"/>
  <c r="BI844" i="9"/>
  <c r="AY840" i="9" a="1"/>
  <c r="AY840" i="9" s="1"/>
  <c r="CK809" i="9"/>
  <c r="BA807" i="9"/>
  <c r="BX806" i="9"/>
  <c r="BI800" i="9"/>
  <c r="CK797" i="9"/>
  <c r="BD794" i="9"/>
  <c r="BI792" i="9"/>
  <c r="AI791" i="9"/>
  <c r="A791" i="9"/>
  <c r="CK782" i="9"/>
  <c r="BX778" i="9"/>
  <c r="BM773" i="9"/>
  <c r="BD73" i="9"/>
  <c r="BI1019" i="9"/>
  <c r="BQ1017" i="9"/>
  <c r="BX1013" i="9"/>
  <c r="CG1007" i="9"/>
  <c r="BX1005" i="9"/>
  <c r="CK1002" i="9"/>
  <c r="BA1000" i="9"/>
  <c r="BX993" i="9"/>
  <c r="BM992" i="9"/>
  <c r="AY991" i="9" a="1"/>
  <c r="AY991" i="9" s="1"/>
  <c r="BM990" i="9"/>
  <c r="AI988" i="9"/>
  <c r="A988" i="9"/>
  <c r="BI983" i="9"/>
  <c r="BI980" i="9"/>
  <c r="BA944" i="9"/>
  <c r="A937" i="9"/>
  <c r="AY911" i="9" a="1"/>
  <c r="AY911" i="9" s="1"/>
  <c r="AZ911" i="9" s="1"/>
  <c r="A911" i="9"/>
  <c r="BI907" i="9"/>
  <c r="CG895" i="9"/>
  <c r="CK885" i="9"/>
  <c r="AY885" i="9" a="1"/>
  <c r="AY885" i="9" s="1"/>
  <c r="BQ882" i="9"/>
  <c r="AY869" i="9" a="1"/>
  <c r="AY869" i="9" s="1"/>
  <c r="BI864" i="9"/>
  <c r="BI861" i="9"/>
  <c r="BA860" i="9"/>
  <c r="AY855" i="9" a="1"/>
  <c r="AY855" i="9" s="1"/>
  <c r="BM845" i="9"/>
  <c r="CC839" i="9"/>
  <c r="CC838" i="9"/>
  <c r="BX834" i="9"/>
  <c r="BI814" i="9"/>
  <c r="BX808" i="9"/>
  <c r="BI806" i="9"/>
  <c r="BD800" i="9"/>
  <c r="BM797" i="9"/>
  <c r="AI795" i="9"/>
  <c r="BD792" i="9"/>
  <c r="CK790" i="9"/>
  <c r="BA785" i="9"/>
  <c r="BX783" i="9"/>
  <c r="BX782" i="9"/>
  <c r="AY781" i="9" a="1"/>
  <c r="AY781" i="9" s="1"/>
  <c r="AZ781" i="9" s="1"/>
  <c r="BD778" i="9"/>
  <c r="AY771" i="9" a="1"/>
  <c r="AY771" i="9" s="1"/>
  <c r="BA769" i="9"/>
  <c r="CG754" i="9"/>
  <c r="BI736" i="9"/>
  <c r="CC729" i="9"/>
  <c r="AI729" i="9"/>
  <c r="A729" i="9"/>
  <c r="BX716" i="9"/>
  <c r="CG712" i="9"/>
  <c r="BQ710" i="9"/>
  <c r="BI707" i="9"/>
  <c r="CG702" i="9"/>
  <c r="CH702" i="9" s="1"/>
  <c r="CI702" i="9" s="1"/>
  <c r="CJ702" i="9" s="1" a="1"/>
  <c r="CJ702" i="9" s="1"/>
  <c r="BA702" i="9"/>
  <c r="BQ693" i="9"/>
  <c r="BX687" i="9"/>
  <c r="BI680" i="9"/>
  <c r="BI678" i="9"/>
  <c r="BQ668" i="9"/>
  <c r="BA667" i="9"/>
  <c r="A667" i="9"/>
  <c r="BQ663" i="9"/>
  <c r="BM662" i="9"/>
  <c r="BI660" i="9"/>
  <c r="BQ658" i="9"/>
  <c r="BI655" i="9"/>
  <c r="CC651" i="9"/>
  <c r="BD646" i="9"/>
  <c r="CK642" i="9"/>
  <c r="BQ639" i="9"/>
  <c r="BX635" i="9"/>
  <c r="AY632" i="9" a="1"/>
  <c r="AY632" i="9" s="1"/>
  <c r="AZ632" i="9" s="1"/>
  <c r="CK631" i="9"/>
  <c r="BA627" i="9"/>
  <c r="BX626" i="9"/>
  <c r="BB621" i="9"/>
  <c r="CG620" i="9"/>
  <c r="BB611" i="9"/>
  <c r="BD591" i="9"/>
  <c r="BQ586" i="9"/>
  <c r="CC583" i="9"/>
  <c r="AY583" i="9" a="1"/>
  <c r="AY583" i="9" s="1"/>
  <c r="AZ583" i="9" s="1"/>
  <c r="BX578" i="9"/>
  <c r="BD575" i="9"/>
  <c r="CG572" i="9"/>
  <c r="CK569" i="9"/>
  <c r="BX560" i="9"/>
  <c r="BM559" i="9"/>
  <c r="BN559" i="9" s="1"/>
  <c r="BO559" i="9" s="1"/>
  <c r="BX558" i="9"/>
  <c r="BD555" i="9"/>
  <c r="BI552" i="9"/>
  <c r="BD551" i="9"/>
  <c r="BM549" i="9"/>
  <c r="BD546" i="9"/>
  <c r="BX544" i="9"/>
  <c r="BM541" i="9"/>
  <c r="CK539" i="9"/>
  <c r="BA534" i="9"/>
  <c r="BD527" i="9"/>
  <c r="AY523" i="9" a="1"/>
  <c r="AY523" i="9" s="1"/>
  <c r="AI523" i="9"/>
  <c r="AI771" i="9"/>
  <c r="A771" i="9"/>
  <c r="AY763" i="9" a="1"/>
  <c r="AY763" i="9" s="1"/>
  <c r="AZ763" i="9" s="1"/>
  <c r="A763" i="9"/>
  <c r="BX760" i="9"/>
  <c r="CC754" i="9"/>
  <c r="BD749" i="9"/>
  <c r="AY734" i="9" a="1"/>
  <c r="AY734" i="9" s="1"/>
  <c r="AZ734" i="9" s="1"/>
  <c r="BZ734" i="9" s="1"/>
  <c r="CA734" i="9" s="1"/>
  <c r="CB734" i="9" s="1" a="1"/>
  <c r="CB734" i="9" s="1"/>
  <c r="BX729" i="9"/>
  <c r="AY728" i="9" a="1"/>
  <c r="AY728" i="9" s="1"/>
  <c r="BB727" i="9"/>
  <c r="BD726" i="9"/>
  <c r="BX724" i="9"/>
  <c r="BA718" i="9"/>
  <c r="CK717" i="9"/>
  <c r="BI710" i="9"/>
  <c r="BD706" i="9"/>
  <c r="AI705" i="9"/>
  <c r="A705" i="9"/>
  <c r="AY704" i="9" a="1"/>
  <c r="AY704" i="9" s="1"/>
  <c r="A704" i="9"/>
  <c r="CC702" i="9"/>
  <c r="AY702" i="9" a="1"/>
  <c r="AY702" i="9" s="1"/>
  <c r="CG701" i="9"/>
  <c r="BD693" i="9"/>
  <c r="AI690" i="9"/>
  <c r="BQ686" i="9"/>
  <c r="CK684" i="9"/>
  <c r="AY684" i="9" a="1"/>
  <c r="AY684" i="9" s="1"/>
  <c r="CC683" i="9"/>
  <c r="CC677" i="9"/>
  <c r="AI672" i="9"/>
  <c r="A672" i="9"/>
  <c r="BQ670" i="9"/>
  <c r="BI668" i="9"/>
  <c r="BQ666" i="9"/>
  <c r="BI658" i="9"/>
  <c r="AI654" i="9"/>
  <c r="A654" i="9"/>
  <c r="CK645" i="9"/>
  <c r="BX642" i="9"/>
  <c r="CG631" i="9"/>
  <c r="BX618" i="9"/>
  <c r="BM609" i="9"/>
  <c r="BM607" i="9"/>
  <c r="CK603" i="9"/>
  <c r="BI599" i="9"/>
  <c r="BX594" i="9"/>
  <c r="CK591" i="9"/>
  <c r="CC587" i="9"/>
  <c r="BD586" i="9"/>
  <c r="BX583" i="9"/>
  <c r="AI583" i="9"/>
  <c r="BB580" i="9"/>
  <c r="BQ578" i="9"/>
  <c r="BB571" i="9"/>
  <c r="CG569" i="9"/>
  <c r="BA569" i="9"/>
  <c r="AI567" i="9"/>
  <c r="BQ560" i="9"/>
  <c r="BI559" i="9"/>
  <c r="BQ558" i="9"/>
  <c r="BI549" i="9"/>
  <c r="AI543" i="9"/>
  <c r="A543" i="9"/>
  <c r="BI539" i="9"/>
  <c r="BQ535" i="9"/>
  <c r="AI531" i="9"/>
  <c r="AI529" i="9"/>
  <c r="CK528" i="9"/>
  <c r="AY528" i="9" a="1"/>
  <c r="AY528" i="9" s="1"/>
  <c r="BD508" i="9"/>
  <c r="BR508" i="9" s="1"/>
  <c r="BS508" i="9" s="1"/>
  <c r="BI508" i="9"/>
  <c r="BX508" i="9"/>
  <c r="AI508" i="9"/>
  <c r="CG508" i="9"/>
  <c r="AY508" i="9" a="1"/>
  <c r="AY508" i="9" s="1"/>
  <c r="CK508" i="9"/>
  <c r="AI487" i="9"/>
  <c r="BQ487" i="9"/>
  <c r="CG487" i="9"/>
  <c r="CK763" i="9"/>
  <c r="BA763" i="9"/>
  <c r="BI760" i="9"/>
  <c r="BQ754" i="9"/>
  <c r="BM748" i="9"/>
  <c r="BA742" i="9"/>
  <c r="BA737" i="9"/>
  <c r="AI734" i="9"/>
  <c r="BQ729" i="9"/>
  <c r="BA707" i="9"/>
  <c r="CK704" i="9"/>
  <c r="BA704" i="9"/>
  <c r="BX702" i="9"/>
  <c r="BM701" i="9"/>
  <c r="BA687" i="9"/>
  <c r="BF687" i="9" s="1"/>
  <c r="BG687" i="9" s="1"/>
  <c r="BH687" i="9" s="1" a="1"/>
  <c r="BH687" i="9" s="1"/>
  <c r="BD686" i="9"/>
  <c r="BA685" i="9"/>
  <c r="CG684" i="9"/>
  <c r="BM683" i="9"/>
  <c r="BB680" i="9"/>
  <c r="BQ679" i="9"/>
  <c r="CG673" i="9"/>
  <c r="BM670" i="9"/>
  <c r="BN670" i="9" s="1"/>
  <c r="BO670" i="9" s="1"/>
  <c r="BD668" i="9"/>
  <c r="BQ642" i="9"/>
  <c r="BI635" i="9"/>
  <c r="CC631" i="9"/>
  <c r="AY631" i="9" a="1"/>
  <c r="AY631" i="9" s="1"/>
  <c r="CK625" i="9"/>
  <c r="BD620" i="9"/>
  <c r="BA619" i="9"/>
  <c r="BI618" i="9"/>
  <c r="CC615" i="9"/>
  <c r="AI615" i="9"/>
  <c r="BX610" i="9"/>
  <c r="BD609" i="9"/>
  <c r="BI607" i="9"/>
  <c r="BA604" i="9"/>
  <c r="BI603" i="9"/>
  <c r="BD599" i="9"/>
  <c r="CG591" i="9"/>
  <c r="AY591" i="9" a="1"/>
  <c r="AY591" i="9" s="1"/>
  <c r="AZ591" i="9" s="1"/>
  <c r="BI587" i="9"/>
  <c r="BQ583" i="9"/>
  <c r="BA583" i="9"/>
  <c r="CK581" i="9"/>
  <c r="AY580" i="9" a="1"/>
  <c r="AY580" i="9" s="1"/>
  <c r="AZ580" i="9" s="1"/>
  <c r="BI578" i="9"/>
  <c r="BI558" i="9"/>
  <c r="CC553" i="9"/>
  <c r="AY551" i="9" a="1"/>
  <c r="AY551" i="9" s="1"/>
  <c r="CK543" i="9"/>
  <c r="BA531" i="9"/>
  <c r="BA529" i="9"/>
  <c r="CG771" i="9"/>
  <c r="BA767" i="9"/>
  <c r="CG763" i="9"/>
  <c r="BA761" i="9"/>
  <c r="BA759" i="9"/>
  <c r="AY757" i="9" a="1"/>
  <c r="AY757" i="9" s="1"/>
  <c r="BI756" i="9"/>
  <c r="BI754" i="9"/>
  <c r="BM724" i="9"/>
  <c r="BD722" i="9"/>
  <c r="CK718" i="9"/>
  <c r="BX717" i="9"/>
  <c r="BB715" i="9"/>
  <c r="BX711" i="9"/>
  <c r="AY710" i="9" a="1"/>
  <c r="AY710" i="9" s="1"/>
  <c r="CG705" i="9"/>
  <c r="CG704" i="9"/>
  <c r="BQ703" i="9"/>
  <c r="BQ702" i="9"/>
  <c r="CC695" i="9"/>
  <c r="BX692" i="9"/>
  <c r="CC684" i="9"/>
  <c r="A683" i="9"/>
  <c r="BI679" i="9"/>
  <c r="AY677" i="9" a="1"/>
  <c r="AY677" i="9" s="1"/>
  <c r="AZ677" i="9" s="1"/>
  <c r="BD673" i="9"/>
  <c r="AI663" i="9"/>
  <c r="BQ659" i="9"/>
  <c r="AI655" i="9"/>
  <c r="CK654" i="9"/>
  <c r="CG652" i="9"/>
  <c r="BM651" i="9"/>
  <c r="BI642" i="9"/>
  <c r="BA640" i="9"/>
  <c r="BA638" i="9"/>
  <c r="BX631" i="9"/>
  <c r="AI631" i="9"/>
  <c r="CK627" i="9"/>
  <c r="BX625" i="9"/>
  <c r="AY623" i="9" a="1"/>
  <c r="AY623" i="9" s="1"/>
  <c r="CK617" i="9"/>
  <c r="A614" i="9"/>
  <c r="BD607" i="9"/>
  <c r="CK599" i="9"/>
  <c r="BI594" i="9"/>
  <c r="CC591" i="9"/>
  <c r="AI591" i="9"/>
  <c r="BI590" i="9"/>
  <c r="BD587" i="9"/>
  <c r="AY586" i="9" a="1"/>
  <c r="AY586" i="9" s="1"/>
  <c r="A586" i="9"/>
  <c r="BM583" i="9"/>
  <c r="BI581" i="9"/>
  <c r="AI580" i="9"/>
  <c r="A578" i="9"/>
  <c r="BA575" i="9"/>
  <c r="AI571" i="9"/>
  <c r="BX569" i="9"/>
  <c r="AY569" i="9" a="1"/>
  <c r="AY569" i="9" s="1"/>
  <c r="CK559" i="9"/>
  <c r="CL559" i="9" s="1"/>
  <c r="CM559" i="9" s="1"/>
  <c r="CO559" i="9" s="1" a="1"/>
  <c r="CO559" i="9" s="1"/>
  <c r="A553" i="9"/>
  <c r="AY552" i="9" a="1"/>
  <c r="AY552" i="9" s="1"/>
  <c r="AI551" i="9"/>
  <c r="BI545" i="9"/>
  <c r="CC543" i="9"/>
  <c r="CK541" i="9"/>
  <c r="BD535" i="9"/>
  <c r="BX528" i="9"/>
  <c r="CG527" i="9"/>
  <c r="AY527" i="9" a="1"/>
  <c r="AY527" i="9" s="1"/>
  <c r="CK523" i="9"/>
  <c r="CK519" i="9"/>
  <c r="BD519" i="9"/>
  <c r="BQ519" i="9"/>
  <c r="BX519" i="9"/>
  <c r="AI519" i="9"/>
  <c r="CC519" i="9"/>
  <c r="AY519" i="9" a="1"/>
  <c r="AY519" i="9" s="1"/>
  <c r="CG519" i="9"/>
  <c r="A517" i="9"/>
  <c r="BD517" i="9"/>
  <c r="BZ559" i="9"/>
  <c r="A514" i="9"/>
  <c r="BD514" i="9"/>
  <c r="A477" i="9"/>
  <c r="CK477" i="9"/>
  <c r="BD477" i="9"/>
  <c r="BI477" i="9"/>
  <c r="BQ477" i="9"/>
  <c r="BX477" i="9"/>
  <c r="AI477" i="9"/>
  <c r="CC477" i="9"/>
  <c r="AY477" i="9" a="1"/>
  <c r="AY477" i="9" s="1"/>
  <c r="CG477" i="9"/>
  <c r="CK766" i="9"/>
  <c r="BQ763" i="9"/>
  <c r="AI760" i="9"/>
  <c r="CG732" i="9"/>
  <c r="BX726" i="9"/>
  <c r="AI726" i="9"/>
  <c r="BD724" i="9"/>
  <c r="BA722" i="9"/>
  <c r="BI721" i="9"/>
  <c r="BM718" i="9"/>
  <c r="BM717" i="9"/>
  <c r="CG710" i="9"/>
  <c r="BX705" i="9"/>
  <c r="BX704" i="9"/>
  <c r="BI703" i="9"/>
  <c r="BI702" i="9"/>
  <c r="BB695" i="9"/>
  <c r="BX685" i="9"/>
  <c r="BM684" i="9"/>
  <c r="BN684" i="9" s="1"/>
  <c r="BO684" i="9" s="1"/>
  <c r="CK678" i="9"/>
  <c r="BI672" i="9"/>
  <c r="AI670" i="9"/>
  <c r="BQ667" i="9"/>
  <c r="BX654" i="9"/>
  <c r="CK635" i="9"/>
  <c r="CK632" i="9"/>
  <c r="BM631" i="9"/>
  <c r="BD627" i="9"/>
  <c r="BD625" i="9"/>
  <c r="AY620" i="9" a="1"/>
  <c r="AY620" i="9" s="1"/>
  <c r="BD617" i="9"/>
  <c r="BM606" i="9"/>
  <c r="BI602" i="9"/>
  <c r="CC599" i="9"/>
  <c r="AI599" i="9"/>
  <c r="BI595" i="9"/>
  <c r="BQ591" i="9"/>
  <c r="BB590" i="9"/>
  <c r="A590" i="9"/>
  <c r="BA587" i="9"/>
  <c r="CK586" i="9"/>
  <c r="BD583" i="9"/>
  <c r="BB581" i="9"/>
  <c r="CG580" i="9"/>
  <c r="CC559" i="9"/>
  <c r="BX551" i="9"/>
  <c r="BI547" i="9"/>
  <c r="BM543" i="9"/>
  <c r="BX534" i="9"/>
  <c r="BX527" i="9"/>
  <c r="BA526" i="9"/>
  <c r="CK749" i="9"/>
  <c r="CG748" i="9"/>
  <c r="BI743" i="9"/>
  <c r="BB740" i="9"/>
  <c r="BM734" i="9"/>
  <c r="CK729" i="9"/>
  <c r="BD721" i="9"/>
  <c r="BD718" i="9"/>
  <c r="BQ705" i="9"/>
  <c r="BQ704" i="9"/>
  <c r="BI690" i="9"/>
  <c r="BQ685" i="9"/>
  <c r="BD684" i="9"/>
  <c r="CG678" i="9"/>
  <c r="BM654" i="9"/>
  <c r="BI619" i="9"/>
  <c r="CG567" i="9"/>
  <c r="BQ521" i="9"/>
  <c r="AI521" i="9"/>
  <c r="BI521" i="9"/>
  <c r="BQ766" i="9"/>
  <c r="BB765" i="9"/>
  <c r="CG749" i="9"/>
  <c r="CC748" i="9"/>
  <c r="CD748" i="9" s="1"/>
  <c r="CE748" i="9" s="1"/>
  <c r="BI745" i="9"/>
  <c r="BD743" i="9"/>
  <c r="AY738" i="9" a="1"/>
  <c r="AY738" i="9" s="1"/>
  <c r="AZ738" i="9" s="1"/>
  <c r="BQ736" i="9"/>
  <c r="CG729" i="9"/>
  <c r="AY729" i="9" a="1"/>
  <c r="AY729" i="9" s="1"/>
  <c r="AZ729" i="9" s="1"/>
  <c r="CG724" i="9"/>
  <c r="AI724" i="9"/>
  <c r="BX710" i="9"/>
  <c r="BD705" i="9"/>
  <c r="BD704" i="9"/>
  <c r="CK702" i="9"/>
  <c r="CC693" i="9"/>
  <c r="BI685" i="9"/>
  <c r="BX678" i="9"/>
  <c r="CG663" i="9"/>
  <c r="BX658" i="9"/>
  <c r="BQ655" i="9"/>
  <c r="BD654" i="9"/>
  <c r="A647" i="9"/>
  <c r="BD631" i="9"/>
  <c r="BA620" i="9"/>
  <c r="BD619" i="9"/>
  <c r="AY610" i="9" a="1"/>
  <c r="AY610" i="9" s="1"/>
  <c r="AZ610" i="9" s="1"/>
  <c r="BN610" i="9" s="1"/>
  <c r="BO610" i="9" s="1"/>
  <c r="AY602" i="9" a="1"/>
  <c r="AY602" i="9" s="1"/>
  <c r="BQ599" i="9"/>
  <c r="BB598" i="9"/>
  <c r="A598" i="9"/>
  <c r="CK594" i="9"/>
  <c r="AI594" i="9"/>
  <c r="A594" i="9"/>
  <c r="BI591" i="9"/>
  <c r="BD588" i="9"/>
  <c r="BX586" i="9"/>
  <c r="CK583" i="9"/>
  <c r="BD580" i="9"/>
  <c r="BB579" i="9"/>
  <c r="A579" i="9"/>
  <c r="BI571" i="9"/>
  <c r="BI567" i="9"/>
  <c r="BQ559" i="9"/>
  <c r="AI559" i="9"/>
  <c r="CK558" i="9"/>
  <c r="BM551" i="9"/>
  <c r="AI547" i="9"/>
  <c r="BD543" i="9"/>
  <c r="BI531" i="9"/>
  <c r="BI529" i="9"/>
  <c r="BM527" i="9"/>
  <c r="BX512" i="9"/>
  <c r="AI512" i="9"/>
  <c r="BB508" i="9"/>
  <c r="BA508" i="9"/>
  <c r="CC495" i="9"/>
  <c r="BD495" i="9"/>
  <c r="BM495" i="9"/>
  <c r="A495" i="9"/>
  <c r="AI495" i="9"/>
  <c r="BX495" i="9"/>
  <c r="AY495" i="9" a="1"/>
  <c r="AY495" i="9" s="1"/>
  <c r="AZ495" i="9" s="1"/>
  <c r="CG495" i="9"/>
  <c r="A490" i="9"/>
  <c r="CK490" i="9"/>
  <c r="BI490" i="9"/>
  <c r="BQ490" i="9"/>
  <c r="BX490" i="9"/>
  <c r="AI490" i="9"/>
  <c r="CC490" i="9"/>
  <c r="AY490" i="9" a="1"/>
  <c r="AY490" i="9" s="1"/>
  <c r="CG490" i="9"/>
  <c r="BM484" i="9"/>
  <c r="BX482" i="9"/>
  <c r="AI470" i="9"/>
  <c r="BI462" i="9"/>
  <c r="CK457" i="9"/>
  <c r="BD455" i="9"/>
  <c r="BQ454" i="9"/>
  <c r="CG445" i="9"/>
  <c r="AY445" i="9" a="1"/>
  <c r="AY445" i="9" s="1"/>
  <c r="BX438" i="9"/>
  <c r="BD436" i="9"/>
  <c r="BD433" i="9"/>
  <c r="BD432" i="9"/>
  <c r="BD430" i="9"/>
  <c r="A429" i="9"/>
  <c r="BI425" i="9"/>
  <c r="BI420" i="9"/>
  <c r="AI410" i="9"/>
  <c r="BM405" i="9"/>
  <c r="CK396" i="9"/>
  <c r="BI393" i="9"/>
  <c r="BA390" i="9"/>
  <c r="CK389" i="9"/>
  <c r="BM380" i="9"/>
  <c r="BB379" i="9"/>
  <c r="BI378" i="9"/>
  <c r="BQ374" i="9"/>
  <c r="BQ373" i="9"/>
  <c r="CK370" i="9"/>
  <c r="BI367" i="9"/>
  <c r="CK362" i="9"/>
  <c r="BX361" i="9"/>
  <c r="BD356" i="9"/>
  <c r="BA354" i="9"/>
  <c r="BN354" i="9" s="1"/>
  <c r="BO354" i="9" s="1"/>
  <c r="BP354" i="9" s="1" a="1"/>
  <c r="BP354" i="9" s="1"/>
  <c r="BX350" i="9"/>
  <c r="BI345" i="9"/>
  <c r="BD339" i="9"/>
  <c r="BX336" i="9"/>
  <c r="BA336" i="9"/>
  <c r="BI335" i="9"/>
  <c r="CG333" i="9"/>
  <c r="A330" i="9"/>
  <c r="BI327" i="9"/>
  <c r="CC324" i="9"/>
  <c r="BX320" i="9"/>
  <c r="CC319" i="9"/>
  <c r="CK298" i="9"/>
  <c r="BI286" i="9"/>
  <c r="BM286" i="9"/>
  <c r="BQ277" i="9"/>
  <c r="AY277" i="9" a="1"/>
  <c r="AY277" i="9" s="1"/>
  <c r="BI277" i="9"/>
  <c r="CG277" i="9"/>
  <c r="BA276" i="9"/>
  <c r="BM275" i="9"/>
  <c r="BQ261" i="9"/>
  <c r="CC249" i="9"/>
  <c r="BA246" i="9"/>
  <c r="BB246" i="9"/>
  <c r="CC228" i="9"/>
  <c r="CK228" i="9"/>
  <c r="A228" i="9"/>
  <c r="AI228" i="9"/>
  <c r="BD228" i="9"/>
  <c r="BI228" i="9"/>
  <c r="AY189" i="9" a="1"/>
  <c r="AY189" i="9" s="1"/>
  <c r="BD189" i="9"/>
  <c r="BI189" i="9"/>
  <c r="BM189" i="9"/>
  <c r="BQ189" i="9"/>
  <c r="AY135" i="9" a="1"/>
  <c r="AY135" i="9" s="1"/>
  <c r="AZ135" i="9" s="1"/>
  <c r="CC135" i="9"/>
  <c r="CG135" i="9"/>
  <c r="CK135" i="9"/>
  <c r="BD135" i="9"/>
  <c r="BI135" i="9"/>
  <c r="BQ135" i="9"/>
  <c r="BQ520" i="9"/>
  <c r="CC513" i="9"/>
  <c r="BQ506" i="9"/>
  <c r="BD492" i="9"/>
  <c r="CC471" i="9"/>
  <c r="BD462" i="9"/>
  <c r="BM457" i="9"/>
  <c r="BI454" i="9"/>
  <c r="AI453" i="9"/>
  <c r="CC445" i="9"/>
  <c r="AI445" i="9"/>
  <c r="A445" i="9"/>
  <c r="A432" i="9"/>
  <c r="CK428" i="9"/>
  <c r="BM421" i="9"/>
  <c r="BD417" i="9"/>
  <c r="BD414" i="9"/>
  <c r="BD405" i="9"/>
  <c r="CG398" i="9"/>
  <c r="AY398" i="9" a="1"/>
  <c r="AY398" i="9" s="1"/>
  <c r="AZ398" i="9" s="1"/>
  <c r="CG389" i="9"/>
  <c r="CH389" i="9" s="1"/>
  <c r="CI389" i="9" s="1"/>
  <c r="CC382" i="9"/>
  <c r="BI380" i="9"/>
  <c r="A379" i="9"/>
  <c r="BD378" i="9"/>
  <c r="BI373" i="9"/>
  <c r="CG370" i="9"/>
  <c r="AI370" i="9"/>
  <c r="A370" i="9"/>
  <c r="AI366" i="9"/>
  <c r="A366" i="9"/>
  <c r="BI361" i="9"/>
  <c r="CK358" i="9"/>
  <c r="BA358" i="9"/>
  <c r="AI354" i="9"/>
  <c r="BX353" i="9"/>
  <c r="BD345" i="9"/>
  <c r="BQ336" i="9"/>
  <c r="CC332" i="9"/>
  <c r="CG298" i="9"/>
  <c r="BX292" i="9"/>
  <c r="AI260" i="9"/>
  <c r="BI260" i="9"/>
  <c r="BQ260" i="9"/>
  <c r="BX249" i="9"/>
  <c r="AY208" i="9" a="1"/>
  <c r="AY208" i="9" s="1"/>
  <c r="BI208" i="9"/>
  <c r="BM208" i="9"/>
  <c r="CC208" i="9"/>
  <c r="CK208" i="9"/>
  <c r="BM193" i="9"/>
  <c r="BQ193" i="9"/>
  <c r="BX193" i="9"/>
  <c r="AI193" i="9"/>
  <c r="CC193" i="9"/>
  <c r="AY193" i="9" a="1"/>
  <c r="AY193" i="9" s="1"/>
  <c r="AZ193" i="9" s="1"/>
  <c r="CG193" i="9"/>
  <c r="CK193" i="9"/>
  <c r="BA490" i="9"/>
  <c r="BI457" i="9"/>
  <c r="AY455" i="9" a="1"/>
  <c r="AY455" i="9" s="1"/>
  <c r="AZ455" i="9" s="1"/>
  <c r="BF455" i="9" s="1"/>
  <c r="BG455" i="9" s="1"/>
  <c r="BH455" i="9" s="1" a="1"/>
  <c r="BH455" i="9" s="1"/>
  <c r="BD454" i="9"/>
  <c r="BX445" i="9"/>
  <c r="BA442" i="9"/>
  <c r="A441" i="9"/>
  <c r="BA438" i="9"/>
  <c r="CG433" i="9"/>
  <c r="AY433" i="9" a="1"/>
  <c r="AY433" i="9" s="1"/>
  <c r="AZ433" i="9" s="1"/>
  <c r="CK431" i="9"/>
  <c r="BA430" i="9"/>
  <c r="BX428" i="9"/>
  <c r="BI421" i="9"/>
  <c r="BD411" i="9"/>
  <c r="AY402" i="9" a="1"/>
  <c r="AY402" i="9" s="1"/>
  <c r="CK401" i="9"/>
  <c r="CC398" i="9"/>
  <c r="AI398" i="9"/>
  <c r="A398" i="9"/>
  <c r="AI393" i="9"/>
  <c r="A393" i="9"/>
  <c r="CC389" i="9"/>
  <c r="BA389" i="9"/>
  <c r="A389" i="9"/>
  <c r="BQ385" i="9"/>
  <c r="BM382" i="9"/>
  <c r="CK378" i="9"/>
  <c r="A377" i="9"/>
  <c r="CC370" i="9"/>
  <c r="CC366" i="9"/>
  <c r="CC362" i="9"/>
  <c r="A361" i="9"/>
  <c r="CC358" i="9"/>
  <c r="AI356" i="9"/>
  <c r="CG355" i="9"/>
  <c r="BM350" i="9"/>
  <c r="CK347" i="9"/>
  <c r="AY341" i="9" a="1"/>
  <c r="AY341" i="9" s="1"/>
  <c r="AI339" i="9"/>
  <c r="BA327" i="9"/>
  <c r="CG320" i="9"/>
  <c r="BM320" i="9"/>
  <c r="A320" i="9"/>
  <c r="BX308" i="9"/>
  <c r="A308" i="9"/>
  <c r="AI308" i="9"/>
  <c r="CC308" i="9"/>
  <c r="AY308" i="9" a="1"/>
  <c r="AY308" i="9" s="1"/>
  <c r="CG308" i="9"/>
  <c r="CK308" i="9"/>
  <c r="BD308" i="9"/>
  <c r="A301" i="9"/>
  <c r="AY301" i="9" a="1"/>
  <c r="AY301" i="9" s="1"/>
  <c r="BI301" i="9"/>
  <c r="CG301" i="9"/>
  <c r="CK301" i="9"/>
  <c r="A276" i="9"/>
  <c r="CC276" i="9"/>
  <c r="CK276" i="9"/>
  <c r="AI276" i="9"/>
  <c r="BM262" i="9"/>
  <c r="BI262" i="9"/>
  <c r="BQ262" i="9"/>
  <c r="BA257" i="9"/>
  <c r="A231" i="9"/>
  <c r="CG231" i="9"/>
  <c r="AY231" i="9" a="1"/>
  <c r="AY231" i="9" s="1"/>
  <c r="CK231" i="9"/>
  <c r="BI231" i="9"/>
  <c r="AI165" i="9"/>
  <c r="BQ165" i="9"/>
  <c r="CC165" i="9"/>
  <c r="A165" i="9"/>
  <c r="AY165" i="9" a="1"/>
  <c r="AY165" i="9" s="1"/>
  <c r="AZ165" i="9" s="1"/>
  <c r="CK165" i="9"/>
  <c r="BD165" i="9"/>
  <c r="BI165" i="9"/>
  <c r="BX143" i="9"/>
  <c r="BQ143" i="9"/>
  <c r="CG143" i="9"/>
  <c r="AI143" i="9"/>
  <c r="AY143" i="9" a="1"/>
  <c r="AY143" i="9" s="1"/>
  <c r="AZ143" i="9" s="1"/>
  <c r="CH143" i="9" s="1"/>
  <c r="CI143" i="9" s="1"/>
  <c r="BI143" i="9"/>
  <c r="BQ139" i="9"/>
  <c r="BD139" i="9"/>
  <c r="BI139" i="9"/>
  <c r="BX139" i="9"/>
  <c r="BD520" i="9"/>
  <c r="CC516" i="9"/>
  <c r="CC507" i="9"/>
  <c r="BI506" i="9"/>
  <c r="CG492" i="9"/>
  <c r="AI462" i="9"/>
  <c r="A457" i="9"/>
  <c r="AI455" i="9"/>
  <c r="A455" i="9"/>
  <c r="BQ445" i="9"/>
  <c r="BM444" i="9"/>
  <c r="AY438" i="9" a="1"/>
  <c r="AY438" i="9" s="1"/>
  <c r="CC433" i="9"/>
  <c r="AI433" i="9"/>
  <c r="A433" i="9"/>
  <c r="AI430" i="9"/>
  <c r="BM428" i="9"/>
  <c r="AI425" i="9"/>
  <c r="AI405" i="9"/>
  <c r="BA401" i="9"/>
  <c r="CK384" i="9"/>
  <c r="CG378" i="9"/>
  <c r="CK376" i="9"/>
  <c r="BX370" i="9"/>
  <c r="CK368" i="9"/>
  <c r="BX366" i="9"/>
  <c r="BM364" i="9"/>
  <c r="BM362" i="9"/>
  <c r="BX358" i="9"/>
  <c r="AY358" i="9" a="1"/>
  <c r="AY358" i="9" s="1"/>
  <c r="AY353" i="9" a="1"/>
  <c r="AY353" i="9" s="1"/>
  <c r="BX351" i="9"/>
  <c r="BD350" i="9"/>
  <c r="BA348" i="9"/>
  <c r="BM347" i="9"/>
  <c r="AI345" i="9"/>
  <c r="AI341" i="9"/>
  <c r="CK339" i="9"/>
  <c r="BI337" i="9"/>
  <c r="BD336" i="9"/>
  <c r="BI328" i="9"/>
  <c r="BD320" i="9"/>
  <c r="BM311" i="9"/>
  <c r="CG311" i="9"/>
  <c r="A294" i="9"/>
  <c r="AI294" i="9"/>
  <c r="BI294" i="9"/>
  <c r="CC294" i="9"/>
  <c r="CK294" i="9"/>
  <c r="AY281" i="9" a="1"/>
  <c r="AY281" i="9" s="1"/>
  <c r="BI281" i="9"/>
  <c r="BM281" i="9"/>
  <c r="BB271" i="9"/>
  <c r="CK260" i="9"/>
  <c r="BD251" i="9"/>
  <c r="AI251" i="9"/>
  <c r="BI251" i="9"/>
  <c r="BM250" i="9"/>
  <c r="CC250" i="9"/>
  <c r="BX231" i="9"/>
  <c r="CK215" i="9"/>
  <c r="AY215" i="9" a="1"/>
  <c r="AY215" i="9" s="1"/>
  <c r="AZ215" i="9" s="1"/>
  <c r="CK189" i="9"/>
  <c r="CK177" i="9"/>
  <c r="A177" i="9"/>
  <c r="AI177" i="9"/>
  <c r="BI177" i="9"/>
  <c r="BM177" i="9"/>
  <c r="BQ177" i="9"/>
  <c r="CK138" i="9"/>
  <c r="BX138" i="9"/>
  <c r="CC138" i="9"/>
  <c r="A138" i="9"/>
  <c r="AI138" i="9"/>
  <c r="CG138" i="9"/>
  <c r="AY138" i="9" a="1"/>
  <c r="AY138" i="9" s="1"/>
  <c r="BD138" i="9"/>
  <c r="BM138" i="9"/>
  <c r="CC341" i="9"/>
  <c r="BA332" i="9"/>
  <c r="AI257" i="9"/>
  <c r="BD257" i="9"/>
  <c r="BI257" i="9"/>
  <c r="BQ257" i="9"/>
  <c r="CC236" i="9"/>
  <c r="AI236" i="9"/>
  <c r="BM236" i="9"/>
  <c r="BI235" i="9"/>
  <c r="CK235" i="9"/>
  <c r="BD225" i="9"/>
  <c r="AI225" i="9"/>
  <c r="BA225" i="9"/>
  <c r="BI225" i="9"/>
  <c r="A213" i="9"/>
  <c r="AI213" i="9"/>
  <c r="CC213" i="9"/>
  <c r="AY213" i="9" a="1"/>
  <c r="AY213" i="9" s="1"/>
  <c r="AZ213" i="9" s="1"/>
  <c r="CG213" i="9"/>
  <c r="CK213" i="9"/>
  <c r="BD213" i="9"/>
  <c r="BI213" i="9"/>
  <c r="BI206" i="9"/>
  <c r="A206" i="9"/>
  <c r="AI206" i="9"/>
  <c r="BD206" i="9"/>
  <c r="BM206" i="9"/>
  <c r="AI192" i="9"/>
  <c r="CC192" i="9"/>
  <c r="CG192" i="9"/>
  <c r="A192" i="9"/>
  <c r="AY192" i="9" a="1"/>
  <c r="AY192" i="9" s="1"/>
  <c r="AZ192" i="9" s="1"/>
  <c r="CK192" i="9"/>
  <c r="BI192" i="9"/>
  <c r="AI184" i="9"/>
  <c r="BI184" i="9"/>
  <c r="BM184" i="9"/>
  <c r="BM128" i="9"/>
  <c r="BI128" i="9"/>
  <c r="CG515" i="9"/>
  <c r="BI513" i="9"/>
  <c r="BB510" i="9"/>
  <c r="AY501" i="9" a="1"/>
  <c r="AY501" i="9" s="1"/>
  <c r="CK482" i="9"/>
  <c r="AY482" i="9" a="1"/>
  <c r="AY482" i="9" s="1"/>
  <c r="AY479" i="9" a="1"/>
  <c r="AY479" i="9" s="1"/>
  <c r="CG478" i="9"/>
  <c r="BX470" i="9"/>
  <c r="CK462" i="9"/>
  <c r="CG455" i="9"/>
  <c r="CC453" i="9"/>
  <c r="BI445" i="9"/>
  <c r="BQ436" i="9"/>
  <c r="BQ433" i="9"/>
  <c r="CC432" i="9"/>
  <c r="BQ410" i="9"/>
  <c r="BX401" i="9"/>
  <c r="AI401" i="9"/>
  <c r="A401" i="9"/>
  <c r="BI379" i="9"/>
  <c r="BJ379" i="9" s="1"/>
  <c r="BK379" i="9" s="1"/>
  <c r="BX378" i="9"/>
  <c r="BM370" i="9"/>
  <c r="BI366" i="9"/>
  <c r="BI358" i="9"/>
  <c r="CC354" i="9"/>
  <c r="BX341" i="9"/>
  <c r="BM308" i="9"/>
  <c r="BM276" i="9"/>
  <c r="BX275" i="9"/>
  <c r="AI275" i="9"/>
  <c r="CG275" i="9"/>
  <c r="AY275" i="9" a="1"/>
  <c r="AY275" i="9" s="1"/>
  <c r="CK275" i="9"/>
  <c r="BD275" i="9"/>
  <c r="A272" i="9"/>
  <c r="BM272" i="9"/>
  <c r="BX272" i="9"/>
  <c r="AI272" i="9"/>
  <c r="CC272" i="9"/>
  <c r="AY272" i="9" a="1"/>
  <c r="AY272" i="9" s="1"/>
  <c r="CK272" i="9"/>
  <c r="BX260" i="9"/>
  <c r="CK251" i="9"/>
  <c r="BM231" i="9"/>
  <c r="AI229" i="9"/>
  <c r="BD229" i="9"/>
  <c r="BI229" i="9"/>
  <c r="CC229" i="9"/>
  <c r="BI200" i="9"/>
  <c r="BM200" i="9"/>
  <c r="BB199" i="9"/>
  <c r="BD193" i="9"/>
  <c r="BM165" i="9"/>
  <c r="BQ161" i="9"/>
  <c r="BM161" i="9"/>
  <c r="BM143" i="9"/>
  <c r="BQ453" i="9"/>
  <c r="BD445" i="9"/>
  <c r="BM436" i="9"/>
  <c r="BM432" i="9"/>
  <c r="BD379" i="9"/>
  <c r="BI370" i="9"/>
  <c r="BD366" i="9"/>
  <c r="BM354" i="9"/>
  <c r="AI292" i="9"/>
  <c r="BI292" i="9"/>
  <c r="AY261" i="9" a="1"/>
  <c r="AY261" i="9" s="1"/>
  <c r="AZ261" i="9" s="1"/>
  <c r="A261" i="9"/>
  <c r="AI261" i="9"/>
  <c r="CG261" i="9"/>
  <c r="CK261" i="9"/>
  <c r="BD261" i="9"/>
  <c r="BI261" i="9"/>
  <c r="BM249" i="9"/>
  <c r="AI249" i="9"/>
  <c r="CG249" i="9"/>
  <c r="AY249" i="9" a="1"/>
  <c r="AY249" i="9" s="1"/>
  <c r="CK249" i="9"/>
  <c r="BD249" i="9"/>
  <c r="BI249" i="9"/>
  <c r="BI242" i="9"/>
  <c r="AY242" i="9" a="1"/>
  <c r="AY242" i="9" s="1"/>
  <c r="BD242" i="9"/>
  <c r="CG242" i="9"/>
  <c r="BM232" i="9"/>
  <c r="CC232" i="9"/>
  <c r="BX192" i="9"/>
  <c r="CK520" i="9"/>
  <c r="AI520" i="9"/>
  <c r="A520" i="9"/>
  <c r="BI515" i="9"/>
  <c r="AY513" i="9" a="1"/>
  <c r="AY513" i="9" s="1"/>
  <c r="AZ513" i="9" s="1"/>
  <c r="BZ513" i="9" s="1"/>
  <c r="CA513" i="9" s="1"/>
  <c r="A513" i="9"/>
  <c r="CK506" i="9"/>
  <c r="AI506" i="9"/>
  <c r="BI493" i="9"/>
  <c r="BA482" i="9"/>
  <c r="BX462" i="9"/>
  <c r="BI455" i="9"/>
  <c r="BD453" i="9"/>
  <c r="CG438" i="9"/>
  <c r="BI436" i="9"/>
  <c r="BI433" i="9"/>
  <c r="BI432" i="9"/>
  <c r="BQ430" i="9"/>
  <c r="BQ425" i="9"/>
  <c r="BM420" i="9"/>
  <c r="CC405" i="9"/>
  <c r="CD405" i="9" s="1"/>
  <c r="CE405" i="9" s="1"/>
  <c r="BI401" i="9"/>
  <c r="BA398" i="9"/>
  <c r="BD370" i="9"/>
  <c r="CG361" i="9"/>
  <c r="BI356" i="9"/>
  <c r="CG350" i="9"/>
  <c r="BA343" i="9"/>
  <c r="BD341" i="9"/>
  <c r="BI339" i="9"/>
  <c r="CC336" i="9"/>
  <c r="AI336" i="9"/>
  <c r="A336" i="9"/>
  <c r="CC320" i="9"/>
  <c r="AI320" i="9"/>
  <c r="CG319" i="9"/>
  <c r="A319" i="9"/>
  <c r="AY319" i="9" a="1"/>
  <c r="AY319" i="9" s="1"/>
  <c r="AY315" i="9" a="1"/>
  <c r="AY315" i="9" s="1"/>
  <c r="BI315" i="9"/>
  <c r="BQ315" i="9"/>
  <c r="BX315" i="9"/>
  <c r="BQ275" i="9"/>
  <c r="BI272" i="9"/>
  <c r="BI265" i="9"/>
  <c r="A265" i="9"/>
  <c r="AI265" i="9"/>
  <c r="BD265" i="9"/>
  <c r="BQ265" i="9"/>
  <c r="BX261" i="9"/>
  <c r="BX256" i="9"/>
  <c r="CK256" i="9"/>
  <c r="AI256" i="9"/>
  <c r="AY256" i="9" a="1"/>
  <c r="AY256" i="9" s="1"/>
  <c r="BX251" i="9"/>
  <c r="AY238" i="9" a="1"/>
  <c r="AY238" i="9" s="1"/>
  <c r="AZ238" i="9" s="1"/>
  <c r="BI238" i="9"/>
  <c r="CC238" i="9"/>
  <c r="CK236" i="9"/>
  <c r="BQ225" i="9"/>
  <c r="BQ213" i="9"/>
  <c r="AI212" i="9"/>
  <c r="A212" i="9"/>
  <c r="BI212" i="9"/>
  <c r="BA208" i="9"/>
  <c r="CG206" i="9"/>
  <c r="BQ192" i="9"/>
  <c r="BI182" i="9"/>
  <c r="BD182" i="9"/>
  <c r="BQ138" i="9"/>
  <c r="AI136" i="9"/>
  <c r="BI136" i="9"/>
  <c r="CK136" i="9"/>
  <c r="CK174" i="9"/>
  <c r="CC125" i="9"/>
  <c r="BB296" i="9"/>
  <c r="BB288" i="9"/>
  <c r="BD282" i="9"/>
  <c r="BB276" i="9"/>
  <c r="BB266" i="9"/>
  <c r="BB258" i="9"/>
  <c r="BQ241" i="9"/>
  <c r="BX233" i="9"/>
  <c r="AY230" i="9" a="1"/>
  <c r="AY230" i="9" s="1"/>
  <c r="BB219" i="9"/>
  <c r="CG196" i="9"/>
  <c r="AY194" i="9" a="1"/>
  <c r="AY194" i="9" s="1"/>
  <c r="AZ194" i="9" s="1"/>
  <c r="BA193" i="9"/>
  <c r="A188" i="9"/>
  <c r="CG185" i="9"/>
  <c r="AY185" i="9" a="1"/>
  <c r="AY185" i="9" s="1"/>
  <c r="AZ185" i="9" s="1"/>
  <c r="AY183" i="9" a="1"/>
  <c r="AY183" i="9" s="1"/>
  <c r="CC174" i="9"/>
  <c r="BQ173" i="9"/>
  <c r="BX172" i="9"/>
  <c r="AY172" i="9" a="1"/>
  <c r="AY172" i="9" s="1"/>
  <c r="AZ172" i="9" s="1"/>
  <c r="A172" i="9"/>
  <c r="BM164" i="9"/>
  <c r="BX154" i="9"/>
  <c r="CG152" i="9"/>
  <c r="AY149" i="9" a="1"/>
  <c r="AY149" i="9" s="1"/>
  <c r="AZ149" i="9" s="1"/>
  <c r="A149" i="9"/>
  <c r="BI146" i="9"/>
  <c r="BM141" i="9"/>
  <c r="CK130" i="9"/>
  <c r="BI125" i="9"/>
  <c r="BI124" i="9"/>
  <c r="BI316" i="9"/>
  <c r="AI309" i="9"/>
  <c r="BI290" i="9"/>
  <c r="AI288" i="9"/>
  <c r="BX287" i="9"/>
  <c r="BI284" i="9"/>
  <c r="BA255" i="9"/>
  <c r="A222" i="9"/>
  <c r="A214" i="9"/>
  <c r="BQ209" i="9"/>
  <c r="A205" i="9"/>
  <c r="BA188" i="9"/>
  <c r="CC185" i="9"/>
  <c r="AI185" i="9"/>
  <c r="BA183" i="9"/>
  <c r="BI174" i="9"/>
  <c r="BI173" i="9"/>
  <c r="BQ172" i="9"/>
  <c r="BB168" i="9"/>
  <c r="AI166" i="9"/>
  <c r="A166" i="9"/>
  <c r="BI164" i="9"/>
  <c r="AY163" i="9" a="1"/>
  <c r="AY163" i="9" s="1"/>
  <c r="A158" i="9"/>
  <c r="BD157" i="9"/>
  <c r="BM154" i="9"/>
  <c r="BD152" i="9"/>
  <c r="CK149" i="9"/>
  <c r="BA149" i="9"/>
  <c r="BI148" i="9"/>
  <c r="BI141" i="9"/>
  <c r="CG130" i="9"/>
  <c r="AI130" i="9"/>
  <c r="A130" i="9"/>
  <c r="AI129" i="9"/>
  <c r="BD125" i="9"/>
  <c r="BD124" i="9"/>
  <c r="BD316" i="9"/>
  <c r="CK285" i="9"/>
  <c r="CC271" i="9"/>
  <c r="BQ268" i="9"/>
  <c r="BD241" i="9"/>
  <c r="BN241" i="9" s="1"/>
  <c r="BO241" i="9" s="1"/>
  <c r="BX202" i="9"/>
  <c r="BQ196" i="9"/>
  <c r="BX185" i="9"/>
  <c r="BD174" i="9"/>
  <c r="BD173" i="9"/>
  <c r="BM172" i="9"/>
  <c r="BA162" i="9"/>
  <c r="CK157" i="9"/>
  <c r="BD154" i="9"/>
  <c r="CG149" i="9"/>
  <c r="BD141" i="9"/>
  <c r="CC130" i="9"/>
  <c r="CC129" i="9"/>
  <c r="BI285" i="9"/>
  <c r="BM271" i="9"/>
  <c r="BM268" i="9"/>
  <c r="BA232" i="9"/>
  <c r="BA203" i="9"/>
  <c r="CK164" i="9"/>
  <c r="CG159" i="9"/>
  <c r="BB156" i="9"/>
  <c r="AY148" i="9" a="1"/>
  <c r="AY148" i="9" s="1"/>
  <c r="AY144" i="9" a="1"/>
  <c r="AY144" i="9" s="1"/>
  <c r="AZ144" i="9" s="1"/>
  <c r="BA139" i="9"/>
  <c r="BQ130" i="9"/>
  <c r="BX129" i="9"/>
  <c r="BA128" i="9"/>
  <c r="AI125" i="9"/>
  <c r="A125" i="9"/>
  <c r="AI124" i="9"/>
  <c r="A124" i="9"/>
  <c r="CK316" i="9"/>
  <c r="CL316" i="9" s="1"/>
  <c r="CM316" i="9" s="1"/>
  <c r="CO316" i="9" s="1" a="1"/>
  <c r="CO316" i="9" s="1"/>
  <c r="BA277" i="9"/>
  <c r="BA275" i="9"/>
  <c r="BA228" i="9"/>
  <c r="BX210" i="9"/>
  <c r="BD202" i="9"/>
  <c r="BI196" i="9"/>
  <c r="AY174" i="9" a="1"/>
  <c r="AY174" i="9" s="1"/>
  <c r="AZ174" i="9" s="1"/>
  <c r="CK173" i="9"/>
  <c r="AY173" i="9" a="1"/>
  <c r="AY173" i="9" s="1"/>
  <c r="AZ173" i="9" s="1"/>
  <c r="A173" i="9"/>
  <c r="BD172" i="9"/>
  <c r="CG164" i="9"/>
  <c r="AY164" i="9" a="1"/>
  <c r="AY164" i="9" s="1"/>
  <c r="A164" i="9"/>
  <c r="BI162" i="9"/>
  <c r="CC157" i="9"/>
  <c r="AY154" i="9" a="1"/>
  <c r="AY154" i="9" s="1"/>
  <c r="AZ154" i="9" s="1"/>
  <c r="BD151" i="9"/>
  <c r="BM149" i="9"/>
  <c r="AY141" i="9" a="1"/>
  <c r="AY141" i="9" s="1"/>
  <c r="AZ141" i="9" s="1"/>
  <c r="A141" i="9"/>
  <c r="BA125" i="9"/>
  <c r="CK124" i="9"/>
  <c r="BA124" i="9"/>
  <c r="BZ124" i="9" s="1"/>
  <c r="CA124" i="9" s="1"/>
  <c r="CB124" i="9" s="1" a="1"/>
  <c r="CB124" i="9" s="1"/>
  <c r="A30" i="9"/>
  <c r="BQ30" i="9"/>
  <c r="CC31" i="9"/>
  <c r="BI32" i="9"/>
  <c r="BQ33" i="9"/>
  <c r="BI37" i="9"/>
  <c r="AI38" i="9"/>
  <c r="BA42" i="9"/>
  <c r="BI69" i="9"/>
  <c r="BA72" i="9"/>
  <c r="CK30" i="9"/>
  <c r="CK33" i="9"/>
  <c r="CK37" i="9"/>
  <c r="BM44" i="9"/>
  <c r="CK52" i="9"/>
  <c r="CG65" i="9"/>
  <c r="CK65" i="9"/>
  <c r="BM65" i="9"/>
  <c r="CG66" i="9"/>
  <c r="CK66" i="9"/>
  <c r="BA67" i="9"/>
  <c r="BB67" i="9"/>
  <c r="BX69" i="9"/>
  <c r="AY71" i="9" a="1"/>
  <c r="AY71" i="9" s="1"/>
  <c r="BD82" i="9"/>
  <c r="AY82" i="9" a="1"/>
  <c r="AY82" i="9" s="1"/>
  <c r="AZ82" i="9" s="1"/>
  <c r="CK93" i="9"/>
  <c r="BA93" i="9"/>
  <c r="A93" i="9"/>
  <c r="AY93" i="9" a="1"/>
  <c r="AY93" i="9" s="1"/>
  <c r="CC93" i="9"/>
  <c r="BX93" i="9"/>
  <c r="BQ93" i="9"/>
  <c r="A23" i="9"/>
  <c r="A38" i="9"/>
  <c r="BM38" i="9"/>
  <c r="BI43" i="9"/>
  <c r="BQ44" i="9"/>
  <c r="BM59" i="9"/>
  <c r="AI59" i="9"/>
  <c r="A69" i="9"/>
  <c r="CC69" i="9"/>
  <c r="A73" i="9"/>
  <c r="AI73" i="9"/>
  <c r="BA75" i="9"/>
  <c r="AI24" i="9"/>
  <c r="BX38" i="9"/>
  <c r="A42" i="9"/>
  <c r="CK43" i="9"/>
  <c r="BB53" i="9"/>
  <c r="CG58" i="9"/>
  <c r="AI58" i="9"/>
  <c r="A58" i="9"/>
  <c r="CC67" i="9"/>
  <c r="CC38" i="9"/>
  <c r="BA59" i="9"/>
  <c r="BB59" i="9"/>
  <c r="CG62" i="9"/>
  <c r="A62" i="9"/>
  <c r="CK86" i="9"/>
  <c r="CC86" i="9"/>
  <c r="A86" i="9"/>
  <c r="BA92" i="9"/>
  <c r="AI93" i="9"/>
  <c r="CK38" i="9"/>
  <c r="CG69" i="9"/>
  <c r="BQ69" i="9"/>
  <c r="AI69" i="9"/>
  <c r="BA31" i="9"/>
  <c r="BA43" i="9"/>
  <c r="AY52" i="9" a="1"/>
  <c r="AY52" i="9" s="1"/>
  <c r="BM53" i="9"/>
  <c r="BM56" i="9"/>
  <c r="BM57" i="9"/>
  <c r="BI71" i="9"/>
  <c r="CG71" i="9"/>
  <c r="BD71" i="9"/>
  <c r="BB88" i="9"/>
  <c r="BA88" i="9"/>
  <c r="CK24" i="9"/>
  <c r="BM29" i="9"/>
  <c r="BM30" i="9"/>
  <c r="AY35" i="9" a="1"/>
  <c r="AY35" i="9" s="1"/>
  <c r="AI43" i="9"/>
  <c r="BA51" i="9"/>
  <c r="BQ53" i="9"/>
  <c r="BM55" i="9"/>
  <c r="BB69" i="9"/>
  <c r="BA69" i="9"/>
  <c r="CG73" i="9"/>
  <c r="BI73" i="9"/>
  <c r="BX73" i="9"/>
  <c r="BQ1021" i="9"/>
  <c r="CC1018" i="9"/>
  <c r="AY1018" i="9" a="1"/>
  <c r="AY1018" i="9" s="1"/>
  <c r="AZ1018" i="9" s="1"/>
  <c r="BM1017" i="9"/>
  <c r="A1017" i="9"/>
  <c r="BM1015" i="9"/>
  <c r="CG1009" i="9"/>
  <c r="BA1009" i="9"/>
  <c r="BQ1008" i="9"/>
  <c r="CC1006" i="9"/>
  <c r="BI1005" i="9"/>
  <c r="AI1004" i="9"/>
  <c r="BX1002" i="9"/>
  <c r="AI1002" i="9"/>
  <c r="BI1001" i="9"/>
  <c r="CG1000" i="9"/>
  <c r="BD996" i="9"/>
  <c r="CK994" i="9"/>
  <c r="BA994" i="9"/>
  <c r="BI992" i="9"/>
  <c r="BI990" i="9"/>
  <c r="CK988" i="9"/>
  <c r="BI987" i="9"/>
  <c r="BM986" i="9"/>
  <c r="CK985" i="9"/>
  <c r="CC984" i="9"/>
  <c r="AY984" i="9" a="1"/>
  <c r="AY984" i="9" s="1"/>
  <c r="AZ984" i="9" s="1"/>
  <c r="CL984" i="9" s="1"/>
  <c r="CM984" i="9" s="1"/>
  <c r="BX981" i="9"/>
  <c r="BM979" i="9"/>
  <c r="BM978" i="9"/>
  <c r="CC974" i="9"/>
  <c r="BB973" i="9"/>
  <c r="AY972" i="9" a="1"/>
  <c r="AY972" i="9" s="1"/>
  <c r="BX970" i="9"/>
  <c r="CK969" i="9"/>
  <c r="A969" i="9"/>
  <c r="CK967" i="9"/>
  <c r="CC966" i="9"/>
  <c r="BX958" i="9"/>
  <c r="CG952" i="9"/>
  <c r="CG951" i="9"/>
  <c r="AY951" i="9" a="1"/>
  <c r="AY951" i="9" s="1"/>
  <c r="BM950" i="9"/>
  <c r="A950" i="9"/>
  <c r="BI947" i="9"/>
  <c r="AY944" i="9" a="1"/>
  <c r="AY944" i="9" s="1"/>
  <c r="CC942" i="9"/>
  <c r="BI940" i="9"/>
  <c r="BB939" i="9"/>
  <c r="A935" i="9"/>
  <c r="BI930" i="9"/>
  <c r="CG928" i="9"/>
  <c r="CG927" i="9"/>
  <c r="BA927" i="9"/>
  <c r="BQ926" i="9"/>
  <c r="A926" i="9"/>
  <c r="BB924" i="9"/>
  <c r="CK922" i="9"/>
  <c r="CK921" i="9"/>
  <c r="AI921" i="9"/>
  <c r="BI919" i="9"/>
  <c r="CK918" i="9"/>
  <c r="BI914" i="9"/>
  <c r="CG912" i="9"/>
  <c r="CG911" i="9"/>
  <c r="BA911" i="9"/>
  <c r="BQ910" i="9"/>
  <c r="AI910" i="9"/>
  <c r="AI906" i="9"/>
  <c r="BB905" i="9"/>
  <c r="A903" i="9"/>
  <c r="BM900" i="9"/>
  <c r="BN900" i="9" s="1"/>
  <c r="BO900" i="9" s="1"/>
  <c r="AY900" i="9" a="1"/>
  <c r="AY900" i="9" s="1"/>
  <c r="AZ900" i="9" s="1"/>
  <c r="BX898" i="9"/>
  <c r="AY898" i="9" a="1"/>
  <c r="AY898" i="9" s="1"/>
  <c r="AZ898" i="9" s="1"/>
  <c r="CG896" i="9"/>
  <c r="BX895" i="9"/>
  <c r="BI894" i="9"/>
  <c r="CG890" i="9"/>
  <c r="BX887" i="9"/>
  <c r="CH887" i="9" s="1"/>
  <c r="CI887" i="9" s="1"/>
  <c r="AY887" i="9" a="1"/>
  <c r="AY887" i="9" s="1"/>
  <c r="AZ887" i="9" s="1"/>
  <c r="BD882" i="9"/>
  <c r="CK881" i="9"/>
  <c r="CC879" i="9"/>
  <c r="BA879" i="9"/>
  <c r="BI878" i="9"/>
  <c r="BM877" i="9"/>
  <c r="BA876" i="9"/>
  <c r="AY872" i="9" a="1"/>
  <c r="AY872" i="9" s="1"/>
  <c r="BI871" i="9"/>
  <c r="CK870" i="9"/>
  <c r="A870" i="9"/>
  <c r="BD869" i="9"/>
  <c r="BI868" i="9"/>
  <c r="AY864" i="9" a="1"/>
  <c r="AY864" i="9" s="1"/>
  <c r="BI863" i="9"/>
  <c r="A863" i="9"/>
  <c r="BA862" i="9"/>
  <c r="BI855" i="9"/>
  <c r="CK854" i="9"/>
  <c r="BA854" i="9"/>
  <c r="BI853" i="9"/>
  <c r="BI852" i="9"/>
  <c r="BB846" i="9"/>
  <c r="BF846" i="9" s="1"/>
  <c r="BG846" i="9" s="1"/>
  <c r="BH846" i="9" s="1" a="1"/>
  <c r="BH846" i="9" s="1"/>
  <c r="BA846" i="9"/>
  <c r="CK839" i="9"/>
  <c r="BI837" i="9"/>
  <c r="BD834" i="9"/>
  <c r="AI830" i="9"/>
  <c r="BQ830" i="9"/>
  <c r="A830" i="9"/>
  <c r="CC830" i="9"/>
  <c r="CD830" i="9" s="1"/>
  <c r="CE830" i="9" s="1"/>
  <c r="CC829" i="9"/>
  <c r="AI829" i="9"/>
  <c r="BI827" i="9"/>
  <c r="BX819" i="9"/>
  <c r="CK815" i="9"/>
  <c r="BM815" i="9"/>
  <c r="BQ815" i="9"/>
  <c r="A815" i="9"/>
  <c r="AI815" i="9"/>
  <c r="BX815" i="9"/>
  <c r="CC815" i="9"/>
  <c r="BX87" i="9"/>
  <c r="A92" i="9"/>
  <c r="BD102" i="9"/>
  <c r="CG115" i="9"/>
  <c r="BB120" i="9"/>
  <c r="BI1021" i="9"/>
  <c r="CK1016" i="9"/>
  <c r="BA1016" i="9"/>
  <c r="BI1015" i="9"/>
  <c r="CG985" i="9"/>
  <c r="BQ981" i="9"/>
  <c r="BB980" i="9"/>
  <c r="BI978" i="9"/>
  <c r="CK975" i="9"/>
  <c r="AI972" i="9"/>
  <c r="CG967" i="9"/>
  <c r="BA967" i="9"/>
  <c r="BX966" i="9"/>
  <c r="BA965" i="9"/>
  <c r="CG964" i="9"/>
  <c r="CK959" i="9"/>
  <c r="BQ958" i="9"/>
  <c r="AY958" i="9" a="1"/>
  <c r="AY958" i="9" s="1"/>
  <c r="AZ958" i="9" s="1"/>
  <c r="CC951" i="9"/>
  <c r="AI951" i="9"/>
  <c r="BM949" i="9"/>
  <c r="CK943" i="9"/>
  <c r="BX942" i="9"/>
  <c r="AY942" i="9" a="1"/>
  <c r="AY942" i="9" s="1"/>
  <c r="AZ942" i="9" s="1"/>
  <c r="AI938" i="9"/>
  <c r="BB937" i="9"/>
  <c r="BB936" i="9"/>
  <c r="CK934" i="9"/>
  <c r="BD930" i="9"/>
  <c r="BM925" i="9"/>
  <c r="CG921" i="9"/>
  <c r="BA921" i="9"/>
  <c r="CG918" i="9"/>
  <c r="BD914" i="9"/>
  <c r="BM910" i="9"/>
  <c r="BA910" i="9"/>
  <c r="AI907" i="9"/>
  <c r="A907" i="9"/>
  <c r="A906" i="9"/>
  <c r="AY905" i="9" a="1"/>
  <c r="AY905" i="9" s="1"/>
  <c r="BB904" i="9"/>
  <c r="CK902" i="9"/>
  <c r="BA902" i="9"/>
  <c r="A902" i="9"/>
  <c r="BI900" i="9"/>
  <c r="AI900" i="9"/>
  <c r="BQ898" i="9"/>
  <c r="AI898" i="9"/>
  <c r="BI896" i="9"/>
  <c r="BQ895" i="9"/>
  <c r="AY895" i="9" a="1"/>
  <c r="AY895" i="9" s="1"/>
  <c r="AZ895" i="9" s="1"/>
  <c r="BF895" i="9" s="1"/>
  <c r="CC890" i="9"/>
  <c r="AI883" i="9"/>
  <c r="BI881" i="9"/>
  <c r="BX879" i="9"/>
  <c r="AY879" i="9" a="1"/>
  <c r="AY879" i="9" s="1"/>
  <c r="AZ879" i="9" s="1"/>
  <c r="CH879" i="9" s="1"/>
  <c r="CI879" i="9" s="1"/>
  <c r="CK869" i="9"/>
  <c r="CK862" i="9"/>
  <c r="AY856" i="9" a="1"/>
  <c r="AY856" i="9" s="1"/>
  <c r="CG854" i="9"/>
  <c r="A854" i="9"/>
  <c r="BD853" i="9"/>
  <c r="BA851" i="9"/>
  <c r="BM848" i="9"/>
  <c r="AI848" i="9"/>
  <c r="CK842" i="9"/>
  <c r="BD842" i="9"/>
  <c r="BA838" i="9"/>
  <c r="AY831" i="9" a="1"/>
  <c r="AY831" i="9" s="1"/>
  <c r="CC831" i="9"/>
  <c r="CK831" i="9"/>
  <c r="BA823" i="9"/>
  <c r="BB823" i="9"/>
  <c r="CK821" i="9"/>
  <c r="A76" i="9"/>
  <c r="BD76" i="9"/>
  <c r="BI83" i="9"/>
  <c r="A85" i="9"/>
  <c r="CG87" i="9"/>
  <c r="BD92" i="9"/>
  <c r="CC98" i="9"/>
  <c r="BQ100" i="9"/>
  <c r="CG102" i="9"/>
  <c r="BI104" i="9"/>
  <c r="AI106" i="9"/>
  <c r="CG110" i="9"/>
  <c r="BA111" i="9"/>
  <c r="AI112" i="9"/>
  <c r="A117" i="9"/>
  <c r="AY117" i="9" a="1"/>
  <c r="AY117" i="9" s="1"/>
  <c r="BD119" i="9"/>
  <c r="BA1020" i="9"/>
  <c r="A1020" i="9"/>
  <c r="BQ1018" i="9"/>
  <c r="A1018" i="9"/>
  <c r="BD1017" i="9"/>
  <c r="BF1017" i="9" s="1"/>
  <c r="BG1017" i="9" s="1"/>
  <c r="BH1017" i="9" s="1" a="1"/>
  <c r="BH1017" i="9" s="1"/>
  <c r="CG1016" i="9"/>
  <c r="BX1009" i="9"/>
  <c r="BI1008" i="9"/>
  <c r="BI1006" i="9"/>
  <c r="CK1004" i="9"/>
  <c r="BI1003" i="9"/>
  <c r="BM1002" i="9"/>
  <c r="CK1001" i="9"/>
  <c r="BX1000" i="9"/>
  <c r="AY999" i="9" a="1"/>
  <c r="AY999" i="9" s="1"/>
  <c r="AZ999" i="9" s="1"/>
  <c r="CC994" i="9"/>
  <c r="AI994" i="9"/>
  <c r="CK992" i="9"/>
  <c r="BA992" i="9"/>
  <c r="BI988" i="9"/>
  <c r="BD986" i="9"/>
  <c r="BJ986" i="9" s="1"/>
  <c r="BK986" i="9" s="1"/>
  <c r="CC985" i="9"/>
  <c r="BA985" i="9"/>
  <c r="BQ984" i="9"/>
  <c r="CG983" i="9"/>
  <c r="BA983" i="9"/>
  <c r="CC982" i="9"/>
  <c r="BI981" i="9"/>
  <c r="AI980" i="9"/>
  <c r="CG975" i="9"/>
  <c r="BA975" i="9"/>
  <c r="BQ974" i="9"/>
  <c r="AY974" i="9" a="1"/>
  <c r="AY974" i="9" s="1"/>
  <c r="AZ974" i="9" s="1"/>
  <c r="BI972" i="9"/>
  <c r="BI971" i="9"/>
  <c r="BI970" i="9"/>
  <c r="BM969" i="9"/>
  <c r="BI968" i="9"/>
  <c r="CC967" i="9"/>
  <c r="AY967" i="9" a="1"/>
  <c r="AY967" i="9" s="1"/>
  <c r="BQ966" i="9"/>
  <c r="AY966" i="9" a="1"/>
  <c r="AY966" i="9" s="1"/>
  <c r="AZ966" i="9" s="1"/>
  <c r="BB963" i="9"/>
  <c r="BI961" i="9"/>
  <c r="CG959" i="9"/>
  <c r="AY959" i="9" a="1"/>
  <c r="AY959" i="9" s="1"/>
  <c r="BM958" i="9"/>
  <c r="BB955" i="9"/>
  <c r="BI952" i="9"/>
  <c r="BX951" i="9"/>
  <c r="A951" i="9"/>
  <c r="BD950" i="9"/>
  <c r="BI949" i="9"/>
  <c r="CG944" i="9"/>
  <c r="CG943" i="9"/>
  <c r="BA943" i="9"/>
  <c r="BQ942" i="9"/>
  <c r="BA942" i="9"/>
  <c r="AI939" i="9"/>
  <c r="A939" i="9"/>
  <c r="A938" i="9"/>
  <c r="AY937" i="9" a="1"/>
  <c r="AY937" i="9" s="1"/>
  <c r="CG934" i="9"/>
  <c r="BA933" i="9"/>
  <c r="BI928" i="9"/>
  <c r="BX927" i="9"/>
  <c r="AI927" i="9"/>
  <c r="BI926" i="9"/>
  <c r="BI925" i="9"/>
  <c r="BQ922" i="9"/>
  <c r="BM921" i="9"/>
  <c r="A921" i="9"/>
  <c r="CK919" i="9"/>
  <c r="CC918" i="9"/>
  <c r="BA917" i="9"/>
  <c r="BI912" i="9"/>
  <c r="BX911" i="9"/>
  <c r="BZ911" i="9" s="1"/>
  <c r="CA911" i="9" s="1"/>
  <c r="CB911" i="9" s="1" a="1"/>
  <c r="CB911" i="9" s="1"/>
  <c r="AI911" i="9"/>
  <c r="BI910" i="9"/>
  <c r="A910" i="9"/>
  <c r="BB908" i="9"/>
  <c r="CC907" i="9"/>
  <c r="CK906" i="9"/>
  <c r="CK905" i="9"/>
  <c r="AI905" i="9"/>
  <c r="CG902" i="9"/>
  <c r="BM898" i="9"/>
  <c r="BM895" i="9"/>
  <c r="AI895" i="9"/>
  <c r="BX890" i="9"/>
  <c r="AY890" i="9" a="1"/>
  <c r="AY890" i="9" s="1"/>
  <c r="AZ890" i="9" s="1"/>
  <c r="CG888" i="9"/>
  <c r="BM887" i="9"/>
  <c r="A886" i="9"/>
  <c r="BA883" i="9"/>
  <c r="BQ879" i="9"/>
  <c r="AI879" i="9"/>
  <c r="BD877" i="9"/>
  <c r="CK872" i="9"/>
  <c r="BX870" i="9"/>
  <c r="CG869" i="9"/>
  <c r="BA867" i="9"/>
  <c r="CK864" i="9"/>
  <c r="CK863" i="9"/>
  <c r="CG862" i="9"/>
  <c r="A862" i="9"/>
  <c r="BA859" i="9"/>
  <c r="A857" i="9"/>
  <c r="AI856" i="9"/>
  <c r="CC854" i="9"/>
  <c r="CK853" i="9"/>
  <c r="CG848" i="9"/>
  <c r="BM847" i="9"/>
  <c r="BI847" i="9"/>
  <c r="BM846" i="9"/>
  <c r="AI846" i="9"/>
  <c r="CC846" i="9"/>
  <c r="CK846" i="9"/>
  <c r="BQ843" i="9"/>
  <c r="BI843" i="9"/>
  <c r="BM842" i="9"/>
  <c r="BA841" i="9"/>
  <c r="BM840" i="9"/>
  <c r="BD840" i="9"/>
  <c r="CG840" i="9"/>
  <c r="BM839" i="9"/>
  <c r="BX839" i="9"/>
  <c r="AY839" i="9" a="1"/>
  <c r="AY839" i="9" s="1"/>
  <c r="CG839" i="9"/>
  <c r="BA836" i="9"/>
  <c r="AI834" i="9"/>
  <c r="BI831" i="9"/>
  <c r="BI830" i="9"/>
  <c r="CK828" i="9"/>
  <c r="BI828" i="9"/>
  <c r="BI820" i="9"/>
  <c r="CC820" i="9"/>
  <c r="A820" i="9"/>
  <c r="AI820" i="9"/>
  <c r="CG820" i="9"/>
  <c r="AY820" i="9" a="1"/>
  <c r="AY820" i="9" s="1"/>
  <c r="AZ820" i="9" s="1"/>
  <c r="BJ820" i="9" s="1"/>
  <c r="BK820" i="9" s="1"/>
  <c r="CK1020" i="9"/>
  <c r="BM1018" i="9"/>
  <c r="CK1017" i="9"/>
  <c r="CC1016" i="9"/>
  <c r="AY1016" i="9" a="1"/>
  <c r="AY1016" i="9" s="1"/>
  <c r="BA1014" i="9"/>
  <c r="BA1010" i="9"/>
  <c r="CG1001" i="9"/>
  <c r="BA1001" i="9"/>
  <c r="AI996" i="9"/>
  <c r="A994" i="9"/>
  <c r="CG992" i="9"/>
  <c r="CK986" i="9"/>
  <c r="BX985" i="9"/>
  <c r="AY985" i="9" a="1"/>
  <c r="AY985" i="9" s="1"/>
  <c r="A980" i="9"/>
  <c r="CC975" i="9"/>
  <c r="AY975" i="9" a="1"/>
  <c r="AY975" i="9" s="1"/>
  <c r="BD972" i="9"/>
  <c r="BX967" i="9"/>
  <c r="AI967" i="9"/>
  <c r="A963" i="9"/>
  <c r="CC959" i="9"/>
  <c r="AI959" i="9"/>
  <c r="AY956" i="9" a="1"/>
  <c r="AY956" i="9" s="1"/>
  <c r="CC943" i="9"/>
  <c r="AY943" i="9" a="1"/>
  <c r="AY943" i="9" s="1"/>
  <c r="A942" i="9"/>
  <c r="AY936" i="9" a="1"/>
  <c r="AY936" i="9" s="1"/>
  <c r="CC934" i="9"/>
  <c r="AY934" i="9" a="1"/>
  <c r="AY934" i="9" s="1"/>
  <c r="BA931" i="9"/>
  <c r="AI930" i="9"/>
  <c r="BB929" i="9"/>
  <c r="BX918" i="9"/>
  <c r="AY918" i="9" a="1"/>
  <c r="AY918" i="9" s="1"/>
  <c r="AI914" i="9"/>
  <c r="BB913" i="9"/>
  <c r="AY904" i="9" a="1"/>
  <c r="AY904" i="9" s="1"/>
  <c r="BJ895" i="9"/>
  <c r="A895" i="9"/>
  <c r="BQ890" i="9"/>
  <c r="AI890" i="9"/>
  <c r="BM879" i="9"/>
  <c r="A879" i="9"/>
  <c r="A878" i="9"/>
  <c r="CK849" i="9"/>
  <c r="A849" i="9"/>
  <c r="BD831" i="9"/>
  <c r="A829" i="9"/>
  <c r="CG829" i="9"/>
  <c r="BD829" i="9"/>
  <c r="BA827" i="9"/>
  <c r="BB827" i="9"/>
  <c r="CK823" i="9"/>
  <c r="A823" i="9"/>
  <c r="AI823" i="9"/>
  <c r="BX823" i="9"/>
  <c r="CC823" i="9"/>
  <c r="BB811" i="9"/>
  <c r="BA811" i="9"/>
  <c r="AZ728" i="9"/>
  <c r="BC24" i="9" a="1"/>
  <c r="BC24" i="9" s="1"/>
  <c r="AI87" i="9"/>
  <c r="A96" i="9"/>
  <c r="AI97" i="9"/>
  <c r="CK100" i="9"/>
  <c r="BD106" i="9"/>
  <c r="A112" i="9"/>
  <c r="AI115" i="9"/>
  <c r="BM117" i="9"/>
  <c r="CG1017" i="9"/>
  <c r="BX1016" i="9"/>
  <c r="AY1015" i="9" a="1"/>
  <c r="AY1015" i="9" s="1"/>
  <c r="AZ1015" i="9" s="1"/>
  <c r="BB1012" i="9"/>
  <c r="CK1008" i="9"/>
  <c r="BA1008" i="9"/>
  <c r="BI1004" i="9"/>
  <c r="CC1001" i="9"/>
  <c r="AY1001" i="9" a="1"/>
  <c r="AY1001" i="9" s="1"/>
  <c r="AZ1001" i="9" s="1"/>
  <c r="BX999" i="9"/>
  <c r="BA996" i="9"/>
  <c r="A996" i="9"/>
  <c r="BQ994" i="9"/>
  <c r="CC992" i="9"/>
  <c r="AY992" i="9" a="1"/>
  <c r="AY992" i="9" s="1"/>
  <c r="BX989" i="9"/>
  <c r="CG986" i="9"/>
  <c r="BA986" i="9"/>
  <c r="BQ985" i="9"/>
  <c r="BI984" i="9"/>
  <c r="BI982" i="9"/>
  <c r="BB979" i="9"/>
  <c r="BA978" i="9"/>
  <c r="BX975" i="9"/>
  <c r="AI975" i="9"/>
  <c r="BB968" i="9"/>
  <c r="BQ967" i="9"/>
  <c r="A966" i="9"/>
  <c r="BB961" i="9"/>
  <c r="BX959" i="9"/>
  <c r="A959" i="9"/>
  <c r="AI955" i="9"/>
  <c r="A955" i="9"/>
  <c r="BB953" i="9"/>
  <c r="BB952" i="9"/>
  <c r="BB947" i="9"/>
  <c r="BX943" i="9"/>
  <c r="AI943" i="9"/>
  <c r="BA940" i="9"/>
  <c r="BX934" i="9"/>
  <c r="BA934" i="9"/>
  <c r="AI931" i="9"/>
  <c r="A931" i="9"/>
  <c r="A930" i="9"/>
  <c r="BB928" i="9"/>
  <c r="BI927" i="9"/>
  <c r="CK926" i="9"/>
  <c r="BD922" i="9"/>
  <c r="BD921" i="9"/>
  <c r="BA919" i="9"/>
  <c r="BQ918" i="9"/>
  <c r="BA918" i="9"/>
  <c r="AI915" i="9"/>
  <c r="A915" i="9"/>
  <c r="A914" i="9"/>
  <c r="BB912" i="9"/>
  <c r="BI911" i="9"/>
  <c r="CK910" i="9"/>
  <c r="BQ906" i="9"/>
  <c r="BM905" i="9"/>
  <c r="A905" i="9"/>
  <c r="AI901" i="9"/>
  <c r="AI896" i="9"/>
  <c r="CK894" i="9"/>
  <c r="A894" i="9"/>
  <c r="BM890" i="9"/>
  <c r="A890" i="9"/>
  <c r="BB884" i="9"/>
  <c r="CK877" i="9"/>
  <c r="BA871" i="9"/>
  <c r="BX869" i="9"/>
  <c r="AI869" i="9"/>
  <c r="CC863" i="9"/>
  <c r="BA863" i="9"/>
  <c r="BX862" i="9"/>
  <c r="BB860" i="9"/>
  <c r="CG856" i="9"/>
  <c r="CG855" i="9"/>
  <c r="BA855" i="9"/>
  <c r="BQ854" i="9"/>
  <c r="CC853" i="9"/>
  <c r="AY853" i="9" a="1"/>
  <c r="AY853" i="9" s="1"/>
  <c r="BD848" i="9"/>
  <c r="CG837" i="9"/>
  <c r="BA830" i="9"/>
  <c r="BI829" i="9"/>
  <c r="BQ823" i="9"/>
  <c r="BM106" i="9"/>
  <c r="CC117" i="9"/>
  <c r="BI1020" i="9"/>
  <c r="CC1017" i="9"/>
  <c r="BA1017" i="9"/>
  <c r="BQ1016" i="9"/>
  <c r="CG1015" i="9"/>
  <c r="BA1015" i="9"/>
  <c r="CC1014" i="9"/>
  <c r="CG1008" i="9"/>
  <c r="BB1006" i="9"/>
  <c r="BX1001" i="9"/>
  <c r="CK996" i="9"/>
  <c r="BX992" i="9"/>
  <c r="BQ989" i="9"/>
  <c r="BB988" i="9"/>
  <c r="CC986" i="9"/>
  <c r="BM985" i="9"/>
  <c r="A985" i="9"/>
  <c r="BQ975" i="9"/>
  <c r="A975" i="9"/>
  <c r="BX973" i="9"/>
  <c r="BB969" i="9"/>
  <c r="BI967" i="9"/>
  <c r="A967" i="9"/>
  <c r="CC963" i="9"/>
  <c r="BQ959" i="9"/>
  <c r="CC955" i="9"/>
  <c r="BD951" i="9"/>
  <c r="BA949" i="9"/>
  <c r="BQ943" i="9"/>
  <c r="A943" i="9"/>
  <c r="BD942" i="9"/>
  <c r="BQ938" i="9"/>
  <c r="CG936" i="9"/>
  <c r="BQ934" i="9"/>
  <c r="A934" i="9"/>
  <c r="BB932" i="9"/>
  <c r="CC931" i="9"/>
  <c r="CK930" i="9"/>
  <c r="CG926" i="9"/>
  <c r="BA925" i="9"/>
  <c r="BI924" i="9"/>
  <c r="BI920" i="9"/>
  <c r="BX919" i="9"/>
  <c r="BM918" i="9"/>
  <c r="A918" i="9"/>
  <c r="BB916" i="9"/>
  <c r="CC915" i="9"/>
  <c r="CK914" i="9"/>
  <c r="CG910" i="9"/>
  <c r="BI906" i="9"/>
  <c r="CG904" i="9"/>
  <c r="BI890" i="9"/>
  <c r="BX863" i="9"/>
  <c r="BQ862" i="9"/>
  <c r="BI854" i="9"/>
  <c r="BI851" i="9"/>
  <c r="BB835" i="9"/>
  <c r="CC834" i="9"/>
  <c r="BI834" i="9"/>
  <c r="BA831" i="9"/>
  <c r="BM823" i="9"/>
  <c r="CK76" i="9"/>
  <c r="A87" i="9"/>
  <c r="BQ97" i="9"/>
  <c r="BD112" i="9"/>
  <c r="CK117" i="9"/>
  <c r="BX1015" i="9"/>
  <c r="CC1008" i="9"/>
  <c r="AY1008" i="9" a="1"/>
  <c r="AY1008" i="9" s="1"/>
  <c r="BQ1001" i="9"/>
  <c r="A1001" i="9"/>
  <c r="BQ992" i="9"/>
  <c r="CC990" i="9"/>
  <c r="BI862" i="9"/>
  <c r="BD856" i="9"/>
  <c r="BX855" i="9"/>
  <c r="AI855" i="9"/>
  <c r="BD854" i="9"/>
  <c r="BQ853" i="9"/>
  <c r="CC852" i="9"/>
  <c r="BI849" i="9"/>
  <c r="AY848" i="9" a="1"/>
  <c r="AY848" i="9" s="1"/>
  <c r="AI842" i="9"/>
  <c r="A842" i="9"/>
  <c r="A837" i="9"/>
  <c r="CC837" i="9"/>
  <c r="CK837" i="9"/>
  <c r="CG831" i="9"/>
  <c r="AI831" i="9"/>
  <c r="A831" i="9"/>
  <c r="BI823" i="9"/>
  <c r="BM819" i="9"/>
  <c r="AY819" i="9" a="1"/>
  <c r="AY819" i="9" s="1"/>
  <c r="AZ819" i="9" s="1"/>
  <c r="CG819" i="9"/>
  <c r="CK819" i="9"/>
  <c r="BD819" i="9"/>
  <c r="BQ819" i="9"/>
  <c r="CK112" i="9"/>
  <c r="BQ978" i="9"/>
  <c r="CL974" i="9"/>
  <c r="BD963" i="9"/>
  <c r="BD959" i="9"/>
  <c r="BI936" i="9"/>
  <c r="BI934" i="9"/>
  <c r="BD918" i="9"/>
  <c r="BQ914" i="9"/>
  <c r="BI904" i="9"/>
  <c r="BN895" i="9"/>
  <c r="BO895" i="9" s="1"/>
  <c r="CC842" i="9"/>
  <c r="BA842" i="9"/>
  <c r="BM837" i="9"/>
  <c r="BX831" i="9"/>
  <c r="CK829" i="9"/>
  <c r="AY829" i="9" a="1"/>
  <c r="AY829" i="9" s="1"/>
  <c r="BD823" i="9"/>
  <c r="CK818" i="9"/>
  <c r="BI811" i="9"/>
  <c r="CK810" i="9"/>
  <c r="CC809" i="9"/>
  <c r="BQ808" i="9"/>
  <c r="BX807" i="9"/>
  <c r="AI807" i="9"/>
  <c r="A807" i="9"/>
  <c r="BI805" i="9"/>
  <c r="BD803" i="9"/>
  <c r="CC802" i="9"/>
  <c r="AY802" i="9" a="1"/>
  <c r="AY802" i="9" s="1"/>
  <c r="CC799" i="9"/>
  <c r="BA799" i="9"/>
  <c r="CG797" i="9"/>
  <c r="AI797" i="9"/>
  <c r="CG795" i="9"/>
  <c r="AY795" i="9" a="1"/>
  <c r="AY795" i="9" s="1"/>
  <c r="AZ795" i="9" s="1"/>
  <c r="BN795" i="9" s="1"/>
  <c r="BO795" i="9" s="1"/>
  <c r="BM791" i="9"/>
  <c r="BX790" i="9"/>
  <c r="BI789" i="9"/>
  <c r="CG786" i="9"/>
  <c r="BQ782" i="9"/>
  <c r="BD779" i="9"/>
  <c r="CC778" i="9"/>
  <c r="BM775" i="9"/>
  <c r="BN775" i="9" s="1"/>
  <c r="BO775" i="9" s="1"/>
  <c r="BX774" i="9"/>
  <c r="BI773" i="9"/>
  <c r="BI772" i="9"/>
  <c r="BQ771" i="9"/>
  <c r="CK769" i="9"/>
  <c r="BX763" i="9"/>
  <c r="AI763" i="9"/>
  <c r="BI762" i="9"/>
  <c r="A762" i="9"/>
  <c r="BQ760" i="9"/>
  <c r="CG759" i="9"/>
  <c r="CK755" i="9"/>
  <c r="BX754" i="9"/>
  <c r="AY754" i="9" a="1"/>
  <c r="AY754" i="9" s="1"/>
  <c r="AZ754" i="9" s="1"/>
  <c r="BA753" i="9"/>
  <c r="BI752" i="9"/>
  <c r="BQ751" i="9"/>
  <c r="AY751" i="9" a="1"/>
  <c r="AY751" i="9" s="1"/>
  <c r="AZ751" i="9" s="1"/>
  <c r="CG747" i="9"/>
  <c r="CK746" i="9"/>
  <c r="AI744" i="9"/>
  <c r="CK743" i="9"/>
  <c r="CG741" i="9"/>
  <c r="CG740" i="9"/>
  <c r="AY740" i="9" a="1"/>
  <c r="AY740" i="9" s="1"/>
  <c r="AZ740" i="9" s="1"/>
  <c r="BD739" i="9"/>
  <c r="BQ738" i="9"/>
  <c r="BI737" i="9"/>
  <c r="AI735" i="9"/>
  <c r="BI734" i="9"/>
  <c r="BX733" i="9"/>
  <c r="BX732" i="9"/>
  <c r="AI732" i="9"/>
  <c r="BQ725" i="9"/>
  <c r="AI722" i="9"/>
  <c r="CK721" i="9"/>
  <c r="A719" i="9"/>
  <c r="AY719" i="9" a="1"/>
  <c r="AY719" i="9" s="1"/>
  <c r="BI719" i="9"/>
  <c r="CG718" i="9"/>
  <c r="CH718" i="9" s="1"/>
  <c r="CI718" i="9" s="1"/>
  <c r="AY718" i="9" a="1"/>
  <c r="AY718" i="9" s="1"/>
  <c r="AZ718" i="9" s="1"/>
  <c r="BI714" i="9"/>
  <c r="AY708" i="9" a="1"/>
  <c r="AY708" i="9" s="1"/>
  <c r="AI708" i="9"/>
  <c r="CC708" i="9"/>
  <c r="CK708" i="9"/>
  <c r="BB707" i="9"/>
  <c r="BQ701" i="9"/>
  <c r="A696" i="9"/>
  <c r="BQ696" i="9"/>
  <c r="BX696" i="9"/>
  <c r="AY696" i="9" a="1"/>
  <c r="AY696" i="9" s="1"/>
  <c r="CG696" i="9"/>
  <c r="CK696" i="9"/>
  <c r="BD696" i="9"/>
  <c r="BI696" i="9"/>
  <c r="A694" i="9"/>
  <c r="BI694" i="9"/>
  <c r="BM694" i="9"/>
  <c r="AY694" i="9" a="1"/>
  <c r="AY694" i="9" s="1"/>
  <c r="BX694" i="9"/>
  <c r="CC694" i="9"/>
  <c r="CG694" i="9"/>
  <c r="CK694" i="9"/>
  <c r="CG810" i="9"/>
  <c r="BQ790" i="9"/>
  <c r="CC786" i="9"/>
  <c r="BI782" i="9"/>
  <c r="AY776" i="9" a="1"/>
  <c r="AY776" i="9" s="1"/>
  <c r="BQ774" i="9"/>
  <c r="BI769" i="9"/>
  <c r="BI764" i="9"/>
  <c r="CK761" i="9"/>
  <c r="CG755" i="9"/>
  <c r="BD752" i="9"/>
  <c r="BA728" i="9"/>
  <c r="BZ728" i="9" s="1"/>
  <c r="CA728" i="9" s="1"/>
  <c r="BI725" i="9"/>
  <c r="CG721" i="9"/>
  <c r="AI716" i="9"/>
  <c r="CG716" i="9"/>
  <c r="BD716" i="9"/>
  <c r="A711" i="9"/>
  <c r="AI711" i="9"/>
  <c r="CC711" i="9"/>
  <c r="CK711" i="9"/>
  <c r="CC700" i="9"/>
  <c r="BM700" i="9"/>
  <c r="BQ700" i="9"/>
  <c r="BA849" i="9"/>
  <c r="BA837" i="9"/>
  <c r="BI835" i="9"/>
  <c r="CC818" i="9"/>
  <c r="CG816" i="9"/>
  <c r="AI816" i="9"/>
  <c r="BA815" i="9"/>
  <c r="A812" i="9"/>
  <c r="CC810" i="9"/>
  <c r="BD808" i="9"/>
  <c r="BM807" i="9"/>
  <c r="CK803" i="9"/>
  <c r="BQ802" i="9"/>
  <c r="A802" i="9"/>
  <c r="BQ799" i="9"/>
  <c r="CK798" i="9"/>
  <c r="BI797" i="9"/>
  <c r="CC796" i="9"/>
  <c r="BX795" i="9"/>
  <c r="A795" i="9"/>
  <c r="BD791" i="9"/>
  <c r="BI790" i="9"/>
  <c r="BX786" i="9"/>
  <c r="AY784" i="9" a="1"/>
  <c r="AY784" i="9" s="1"/>
  <c r="AZ784" i="9" s="1"/>
  <c r="BB781" i="9"/>
  <c r="CK779" i="9"/>
  <c r="BQ778" i="9"/>
  <c r="AY778" i="9" a="1"/>
  <c r="AY778" i="9" s="1"/>
  <c r="AZ778" i="9" s="1"/>
  <c r="CG776" i="9"/>
  <c r="AI776" i="9"/>
  <c r="BD775" i="9"/>
  <c r="BI774" i="9"/>
  <c r="BD771" i="9"/>
  <c r="BM763" i="9"/>
  <c r="CK762" i="9"/>
  <c r="BI761" i="9"/>
  <c r="BD760" i="9"/>
  <c r="BX759" i="9"/>
  <c r="AI759" i="9"/>
  <c r="A759" i="9"/>
  <c r="CG757" i="9"/>
  <c r="AI757" i="9"/>
  <c r="CC755" i="9"/>
  <c r="AY755" i="9" a="1"/>
  <c r="AY755" i="9" s="1"/>
  <c r="BM754" i="9"/>
  <c r="BI751" i="9"/>
  <c r="BA751" i="9"/>
  <c r="BX747" i="9"/>
  <c r="CC746" i="9"/>
  <c r="BX744" i="9"/>
  <c r="CC743" i="9"/>
  <c r="AI743" i="9"/>
  <c r="A743" i="9"/>
  <c r="BD741" i="9"/>
  <c r="BI740" i="9"/>
  <c r="A740" i="9"/>
  <c r="BI738" i="9"/>
  <c r="AI736" i="9"/>
  <c r="CK734" i="9"/>
  <c r="BI733" i="9"/>
  <c r="BM732" i="9"/>
  <c r="AI730" i="9"/>
  <c r="BA723" i="9"/>
  <c r="CC722" i="9"/>
  <c r="CC721" i="9"/>
  <c r="AY721" i="9" a="1"/>
  <c r="AY721" i="9" s="1"/>
  <c r="BI720" i="9"/>
  <c r="CC719" i="9"/>
  <c r="AY717" i="9" a="1"/>
  <c r="AY717" i="9" s="1"/>
  <c r="CG717" i="9"/>
  <c r="BQ716" i="9"/>
  <c r="BQ715" i="9"/>
  <c r="BI715" i="9"/>
  <c r="BQ711" i="9"/>
  <c r="AY709" i="9" a="1"/>
  <c r="AY709" i="9" s="1"/>
  <c r="BQ709" i="9"/>
  <c r="AI709" i="9"/>
  <c r="CC709" i="9"/>
  <c r="BQ694" i="9"/>
  <c r="BA824" i="9"/>
  <c r="BX818" i="9"/>
  <c r="A818" i="9"/>
  <c r="BX816" i="9"/>
  <c r="BA816" i="9"/>
  <c r="BB813" i="9"/>
  <c r="CK811" i="9"/>
  <c r="BX810" i="9"/>
  <c r="BB809" i="9"/>
  <c r="BB805" i="9"/>
  <c r="CG803" i="9"/>
  <c r="AY803" i="9" a="1"/>
  <c r="AY803" i="9" s="1"/>
  <c r="CC801" i="9"/>
  <c r="BM799" i="9"/>
  <c r="BX798" i="9"/>
  <c r="BQ795" i="9"/>
  <c r="BB789" i="9"/>
  <c r="BQ786" i="9"/>
  <c r="AY786" i="9" a="1"/>
  <c r="AY786" i="9" s="1"/>
  <c r="AZ786" i="9" s="1"/>
  <c r="CG784" i="9"/>
  <c r="AI784" i="9"/>
  <c r="CG779" i="9"/>
  <c r="AY779" i="9" a="1"/>
  <c r="AY779" i="9" s="1"/>
  <c r="BM778" i="9"/>
  <c r="BA778" i="9"/>
  <c r="BA777" i="9"/>
  <c r="BX776" i="9"/>
  <c r="BA776" i="9"/>
  <c r="CK775" i="9"/>
  <c r="BB773" i="9"/>
  <c r="CG762" i="9"/>
  <c r="BQ759" i="9"/>
  <c r="BM757" i="9"/>
  <c r="BA757" i="9"/>
  <c r="BX755" i="9"/>
  <c r="AI755" i="9"/>
  <c r="CK750" i="9"/>
  <c r="BA748" i="9"/>
  <c r="BQ747" i="9"/>
  <c r="BX746" i="9"/>
  <c r="AY746" i="9" a="1"/>
  <c r="AY746" i="9" s="1"/>
  <c r="AZ746" i="9" s="1"/>
  <c r="BX743" i="9"/>
  <c r="BA743" i="9"/>
  <c r="CK742" i="9"/>
  <c r="BD740" i="9"/>
  <c r="CK739" i="9"/>
  <c r="AI739" i="9"/>
  <c r="CC736" i="9"/>
  <c r="BA736" i="9"/>
  <c r="CG734" i="9"/>
  <c r="BR728" i="9"/>
  <c r="BS728" i="9" s="1"/>
  <c r="BA726" i="9"/>
  <c r="BX721" i="9"/>
  <c r="AI721" i="9"/>
  <c r="A721" i="9"/>
  <c r="A718" i="9"/>
  <c r="BI718" i="9"/>
  <c r="BJ718" i="9" s="1"/>
  <c r="BK718" i="9" s="1"/>
  <c r="AI718" i="9"/>
  <c r="BQ718" i="9"/>
  <c r="BM716" i="9"/>
  <c r="BI711" i="9"/>
  <c r="BX700" i="9"/>
  <c r="BQ699" i="9"/>
  <c r="BI699" i="9"/>
  <c r="CG811" i="9"/>
  <c r="BQ810" i="9"/>
  <c r="AY810" i="9" a="1"/>
  <c r="AY810" i="9" s="1"/>
  <c r="AZ810" i="9" s="1"/>
  <c r="CC803" i="9"/>
  <c r="AI803" i="9"/>
  <c r="BQ798" i="9"/>
  <c r="BM786" i="9"/>
  <c r="BA786" i="9"/>
  <c r="BX784" i="9"/>
  <c r="BA784" i="9"/>
  <c r="BA783" i="9"/>
  <c r="CC779" i="9"/>
  <c r="AI779" i="9"/>
  <c r="BI778" i="9"/>
  <c r="A778" i="9"/>
  <c r="BQ776" i="9"/>
  <c r="CG775" i="9"/>
  <c r="CK771" i="9"/>
  <c r="CC762" i="9"/>
  <c r="BM759" i="9"/>
  <c r="BX758" i="9"/>
  <c r="BI757" i="9"/>
  <c r="BQ755" i="9"/>
  <c r="BA755" i="9"/>
  <c r="A755" i="9"/>
  <c r="AI752" i="9"/>
  <c r="BI750" i="9"/>
  <c r="BI747" i="9"/>
  <c r="BQ746" i="9"/>
  <c r="AI746" i="9"/>
  <c r="BI744" i="9"/>
  <c r="BQ743" i="9"/>
  <c r="BI742" i="9"/>
  <c r="BB741" i="9"/>
  <c r="CC739" i="9"/>
  <c r="BA739" i="9"/>
  <c r="A739" i="9"/>
  <c r="BX736" i="9"/>
  <c r="CC734" i="9"/>
  <c r="BA734" i="9"/>
  <c r="BQ721" i="9"/>
  <c r="BA720" i="9"/>
  <c r="BI716" i="9"/>
  <c r="BD711" i="9"/>
  <c r="BB706" i="9"/>
  <c r="BA703" i="9"/>
  <c r="BI700" i="9"/>
  <c r="BN662" i="9"/>
  <c r="CH662" i="9"/>
  <c r="CI662" i="9" s="1"/>
  <c r="CC811" i="9"/>
  <c r="AY811" i="9" a="1"/>
  <c r="AY811" i="9" s="1"/>
  <c r="BM810" i="9"/>
  <c r="BA810" i="9"/>
  <c r="AY808" i="9" a="1"/>
  <c r="AY808" i="9" s="1"/>
  <c r="CK805" i="9"/>
  <c r="AY805" i="9" a="1"/>
  <c r="AY805" i="9" s="1"/>
  <c r="BX803" i="9"/>
  <c r="A803" i="9"/>
  <c r="BD799" i="9"/>
  <c r="BI798" i="9"/>
  <c r="BB797" i="9"/>
  <c r="BB796" i="9"/>
  <c r="BD795" i="9"/>
  <c r="CC791" i="9"/>
  <c r="BA791" i="9"/>
  <c r="CK789" i="9"/>
  <c r="AY789" i="9" a="1"/>
  <c r="AY789" i="9" s="1"/>
  <c r="BI786" i="9"/>
  <c r="A786" i="9"/>
  <c r="BQ784" i="9"/>
  <c r="BX779" i="9"/>
  <c r="BA779" i="9"/>
  <c r="A779" i="9"/>
  <c r="BA775" i="9"/>
  <c r="AY760" i="9" a="1"/>
  <c r="AY760" i="9" s="1"/>
  <c r="BA752" i="9"/>
  <c r="BM746" i="9"/>
  <c r="BA746" i="9"/>
  <c r="AY741" i="9" a="1"/>
  <c r="AY741" i="9" s="1"/>
  <c r="BX739" i="9"/>
  <c r="BX811" i="9"/>
  <c r="AI811" i="9"/>
  <c r="BI810" i="9"/>
  <c r="A810" i="9"/>
  <c r="CG808" i="9"/>
  <c r="AI808" i="9"/>
  <c r="CG805" i="9"/>
  <c r="AI805" i="9"/>
  <c r="BQ803" i="9"/>
  <c r="BQ779" i="9"/>
  <c r="BX752" i="9"/>
  <c r="BI746" i="9"/>
  <c r="BB712" i="9"/>
  <c r="AY711" i="9" a="1"/>
  <c r="AY711" i="9" s="1"/>
  <c r="AY705" i="9" a="1"/>
  <c r="AY705" i="9" s="1"/>
  <c r="CK705" i="9"/>
  <c r="BI705" i="9"/>
  <c r="AY701" i="9" a="1"/>
  <c r="AY701" i="9" s="1"/>
  <c r="BI701" i="9"/>
  <c r="BX701" i="9"/>
  <c r="CC701" i="9"/>
  <c r="CK701" i="9"/>
  <c r="BI739" i="9"/>
  <c r="BX738" i="9"/>
  <c r="BA738" i="9"/>
  <c r="BD736" i="9"/>
  <c r="BD730" i="9"/>
  <c r="BX725" i="9"/>
  <c r="BM714" i="9"/>
  <c r="AI714" i="9"/>
  <c r="BB711" i="9"/>
  <c r="BA711" i="9"/>
  <c r="BR711" i="9" s="1"/>
  <c r="BS711" i="9" s="1"/>
  <c r="BA710" i="9"/>
  <c r="BM706" i="9"/>
  <c r="AI706" i="9"/>
  <c r="BA700" i="9"/>
  <c r="CK703" i="9"/>
  <c r="CC697" i="9"/>
  <c r="AI697" i="9"/>
  <c r="CG695" i="9"/>
  <c r="BX693" i="9"/>
  <c r="BQ692" i="9"/>
  <c r="BD690" i="9"/>
  <c r="BD689" i="9"/>
  <c r="CG687" i="9"/>
  <c r="CK686" i="9"/>
  <c r="CG685" i="9"/>
  <c r="BQ684" i="9"/>
  <c r="AI684" i="9"/>
  <c r="BM680" i="9"/>
  <c r="BD679" i="9"/>
  <c r="CC678" i="9"/>
  <c r="BQ678" i="9"/>
  <c r="BI677" i="9"/>
  <c r="BX676" i="9"/>
  <c r="AI676" i="9"/>
  <c r="BI674" i="9"/>
  <c r="CK671" i="9"/>
  <c r="AI671" i="9"/>
  <c r="BI670" i="9"/>
  <c r="A670" i="9"/>
  <c r="CK668" i="9"/>
  <c r="BM667" i="9"/>
  <c r="BX663" i="9"/>
  <c r="CH663" i="9" s="1"/>
  <c r="CI663" i="9" s="1"/>
  <c r="CL662" i="9"/>
  <c r="CC660" i="9"/>
  <c r="AY660" i="9" a="1"/>
  <c r="AY660" i="9" s="1"/>
  <c r="BI659" i="9"/>
  <c r="BI657" i="9"/>
  <c r="BI656" i="9"/>
  <c r="BD655" i="9"/>
  <c r="CC654" i="9"/>
  <c r="CD654" i="9" s="1"/>
  <c r="CE654" i="9" s="1"/>
  <c r="CJ654" i="9" s="1" a="1"/>
  <c r="CJ654" i="9" s="1"/>
  <c r="BA654" i="9"/>
  <c r="BM652" i="9"/>
  <c r="A651" i="9"/>
  <c r="BM649" i="9"/>
  <c r="AI649" i="9"/>
  <c r="BD647" i="9"/>
  <c r="BX646" i="9"/>
  <c r="AY646" i="9" a="1"/>
  <c r="AY646" i="9" s="1"/>
  <c r="CK644" i="9"/>
  <c r="A643" i="9"/>
  <c r="BI641" i="9"/>
  <c r="BN638" i="9"/>
  <c r="BX636" i="9"/>
  <c r="AI636" i="9"/>
  <c r="BM635" i="9"/>
  <c r="AI635" i="9"/>
  <c r="BA633" i="9"/>
  <c r="CC632" i="9"/>
  <c r="A632" i="9"/>
  <c r="CC630" i="9"/>
  <c r="AI627" i="9"/>
  <c r="CC625" i="9"/>
  <c r="A620" i="9"/>
  <c r="AI619" i="9"/>
  <c r="CC617" i="9"/>
  <c r="BI615" i="9"/>
  <c r="BI614" i="9"/>
  <c r="AY612" i="9" a="1"/>
  <c r="AY612" i="9" s="1"/>
  <c r="AZ612" i="9" s="1"/>
  <c r="BD610" i="9"/>
  <c r="CG609" i="9"/>
  <c r="BA609" i="9"/>
  <c r="CC607" i="9"/>
  <c r="BB604" i="9"/>
  <c r="BQ602" i="9"/>
  <c r="A602" i="9"/>
  <c r="BM598" i="9"/>
  <c r="AY596" i="9" a="1"/>
  <c r="AY596" i="9" s="1"/>
  <c r="CK593" i="9"/>
  <c r="BM590" i="9"/>
  <c r="AY588" i="9" a="1"/>
  <c r="AY588" i="9" s="1"/>
  <c r="AZ588" i="9" s="1"/>
  <c r="BI586" i="9"/>
  <c r="CG585" i="9"/>
  <c r="BA585" i="9"/>
  <c r="A580" i="9"/>
  <c r="AI579" i="9"/>
  <c r="BX577" i="9"/>
  <c r="AY577" i="9" a="1"/>
  <c r="AY577" i="9" s="1"/>
  <c r="CG575" i="9"/>
  <c r="BB574" i="9"/>
  <c r="CC571" i="9"/>
  <c r="CK570" i="9"/>
  <c r="AY570" i="9" a="1"/>
  <c r="AY570" i="9" s="1"/>
  <c r="CG566" i="9"/>
  <c r="BD560" i="9"/>
  <c r="AY558" i="9" a="1"/>
  <c r="AY558" i="9" s="1"/>
  <c r="AZ558" i="9" s="1"/>
  <c r="CK557" i="9"/>
  <c r="CK553" i="9"/>
  <c r="CC546" i="9"/>
  <c r="A546" i="9"/>
  <c r="CG546" i="9"/>
  <c r="AI546" i="9"/>
  <c r="AY546" i="9" a="1"/>
  <c r="AY546" i="9" s="1"/>
  <c r="AZ546" i="9" s="1"/>
  <c r="BM692" i="9"/>
  <c r="CG686" i="9"/>
  <c r="CH686" i="9" s="1"/>
  <c r="CI686" i="9" s="1"/>
  <c r="BA686" i="9"/>
  <c r="BB673" i="9"/>
  <c r="BA669" i="9"/>
  <c r="BX660" i="9"/>
  <c r="AI660" i="9"/>
  <c r="BQ646" i="9"/>
  <c r="AI646" i="9"/>
  <c r="CK639" i="9"/>
  <c r="AI639" i="9"/>
  <c r="AY625" i="9" a="1"/>
  <c r="AY625" i="9" s="1"/>
  <c r="CK619" i="9"/>
  <c r="A619" i="9"/>
  <c r="BX617" i="9"/>
  <c r="AY617" i="9" a="1"/>
  <c r="AY617" i="9" s="1"/>
  <c r="AI613" i="9"/>
  <c r="CG612" i="9"/>
  <c r="CH612" i="9" s="1"/>
  <c r="CI612" i="9" s="1"/>
  <c r="AI612" i="9"/>
  <c r="A612" i="9"/>
  <c r="AI611" i="9"/>
  <c r="CC609" i="9"/>
  <c r="BX607" i="9"/>
  <c r="AY607" i="9" a="1"/>
  <c r="AY607" i="9" s="1"/>
  <c r="BB603" i="9"/>
  <c r="AI596" i="9"/>
  <c r="BA595" i="9"/>
  <c r="BA593" i="9"/>
  <c r="AI588" i="9"/>
  <c r="CC585" i="9"/>
  <c r="BQ577" i="9"/>
  <c r="AI577" i="9"/>
  <c r="CC575" i="9"/>
  <c r="A567" i="9"/>
  <c r="BM567" i="9"/>
  <c r="AY567" i="9" a="1"/>
  <c r="AY567" i="9" s="1"/>
  <c r="AZ567" i="9" s="1"/>
  <c r="BX567" i="9"/>
  <c r="BQ562" i="9"/>
  <c r="AY562" i="9" a="1"/>
  <c r="AY562" i="9" s="1"/>
  <c r="AZ562" i="9" s="1"/>
  <c r="CG562" i="9"/>
  <c r="CG557" i="9"/>
  <c r="AY557" i="9" a="1"/>
  <c r="AY557" i="9" s="1"/>
  <c r="AZ557" i="9" s="1"/>
  <c r="BB543" i="9"/>
  <c r="BA543" i="9"/>
  <c r="CC538" i="9"/>
  <c r="BD538" i="9"/>
  <c r="A538" i="9"/>
  <c r="BI538" i="9"/>
  <c r="AI538" i="9"/>
  <c r="CG538" i="9"/>
  <c r="AY538" i="9" a="1"/>
  <c r="AY538" i="9" s="1"/>
  <c r="AZ538" i="9" s="1"/>
  <c r="BA717" i="9"/>
  <c r="BI704" i="9"/>
  <c r="CC703" i="9"/>
  <c r="AY703" i="9" a="1"/>
  <c r="AY703" i="9" s="1"/>
  <c r="BA701" i="9"/>
  <c r="BA699" i="9"/>
  <c r="BD698" i="9"/>
  <c r="BI695" i="9"/>
  <c r="BA694" i="9"/>
  <c r="BM693" i="9"/>
  <c r="BI692" i="9"/>
  <c r="AI689" i="9"/>
  <c r="BD687" i="9"/>
  <c r="CC686" i="9"/>
  <c r="CC685" i="9"/>
  <c r="AY685" i="9" a="1"/>
  <c r="AY685" i="9" s="1"/>
  <c r="BI684" i="9"/>
  <c r="BD680" i="9"/>
  <c r="BM678" i="9"/>
  <c r="AY678" i="9" a="1"/>
  <c r="AY678" i="9" s="1"/>
  <c r="BB677" i="9"/>
  <c r="BM676" i="9"/>
  <c r="CG675" i="9"/>
  <c r="BA675" i="9"/>
  <c r="AY673" i="9" a="1"/>
  <c r="AY673" i="9" s="1"/>
  <c r="BX671" i="9"/>
  <c r="CK670" i="9"/>
  <c r="CG669" i="9"/>
  <c r="CC668" i="9"/>
  <c r="AY668" i="9" a="1"/>
  <c r="AY668" i="9" s="1"/>
  <c r="AZ668" i="9" s="1"/>
  <c r="BI663" i="9"/>
  <c r="CK661" i="9"/>
  <c r="BQ660" i="9"/>
  <c r="BA660" i="9"/>
  <c r="BB656" i="9"/>
  <c r="BQ654" i="9"/>
  <c r="BD652" i="9"/>
  <c r="BX650" i="9"/>
  <c r="BD649" i="9"/>
  <c r="BM646" i="9"/>
  <c r="CC644" i="9"/>
  <c r="AY644" i="9" a="1"/>
  <c r="AY644" i="9" s="1"/>
  <c r="CL643" i="9"/>
  <c r="CG639" i="9"/>
  <c r="A639" i="9"/>
  <c r="BM636" i="9"/>
  <c r="BQ633" i="9"/>
  <c r="BQ632" i="9"/>
  <c r="BI630" i="9"/>
  <c r="CC627" i="9"/>
  <c r="CK626" i="9"/>
  <c r="AY626" i="9" a="1"/>
  <c r="AY626" i="9" s="1"/>
  <c r="AZ626" i="9" s="1"/>
  <c r="BQ625" i="9"/>
  <c r="AI625" i="9"/>
  <c r="CK621" i="9"/>
  <c r="CC619" i="9"/>
  <c r="CK618" i="9"/>
  <c r="AY618" i="9" a="1"/>
  <c r="AY618" i="9" s="1"/>
  <c r="BQ617" i="9"/>
  <c r="AI617" i="9"/>
  <c r="BA616" i="9"/>
  <c r="CK615" i="9"/>
  <c r="BA613" i="9"/>
  <c r="BI612" i="9"/>
  <c r="BA612" i="9"/>
  <c r="CK611" i="9"/>
  <c r="A611" i="9"/>
  <c r="BX609" i="9"/>
  <c r="AY609" i="9" a="1"/>
  <c r="AY609" i="9" s="1"/>
  <c r="BQ607" i="9"/>
  <c r="AI607" i="9"/>
  <c r="CG604" i="9"/>
  <c r="AY604" i="9" a="1"/>
  <c r="AY604" i="9" s="1"/>
  <c r="AZ604" i="9" s="1"/>
  <c r="BD602" i="9"/>
  <c r="BA601" i="9"/>
  <c r="BA597" i="9"/>
  <c r="CG596" i="9"/>
  <c r="BA596" i="9"/>
  <c r="A596" i="9"/>
  <c r="AI595" i="9"/>
  <c r="CG588" i="9"/>
  <c r="BA588" i="9"/>
  <c r="A588" i="9"/>
  <c r="AI587" i="9"/>
  <c r="BX585" i="9"/>
  <c r="AY585" i="9" a="1"/>
  <c r="AY585" i="9" s="1"/>
  <c r="CG583" i="9"/>
  <c r="CC579" i="9"/>
  <c r="CK578" i="9"/>
  <c r="AY578" i="9" a="1"/>
  <c r="AY578" i="9" s="1"/>
  <c r="BM577" i="9"/>
  <c r="BX575" i="9"/>
  <c r="AY575" i="9" a="1"/>
  <c r="AY575" i="9" s="1"/>
  <c r="AZ575" i="9" s="1"/>
  <c r="BD571" i="9"/>
  <c r="BX570" i="9"/>
  <c r="A570" i="9"/>
  <c r="BD567" i="9"/>
  <c r="BD562" i="9"/>
  <c r="CC558" i="9"/>
  <c r="CC557" i="9"/>
  <c r="BI553" i="9"/>
  <c r="A549" i="9"/>
  <c r="CG549" i="9"/>
  <c r="CK549" i="9"/>
  <c r="AI549" i="9"/>
  <c r="BQ549" i="9"/>
  <c r="AY549" i="9" a="1"/>
  <c r="AY549" i="9" s="1"/>
  <c r="BX549" i="9"/>
  <c r="CC549" i="9"/>
  <c r="BX703" i="9"/>
  <c r="AI703" i="9"/>
  <c r="BI693" i="9"/>
  <c r="A689" i="9"/>
  <c r="BX686" i="9"/>
  <c r="AY686" i="9" a="1"/>
  <c r="AY686" i="9" s="1"/>
  <c r="AZ686" i="9" s="1"/>
  <c r="BF686" i="9" s="1"/>
  <c r="AY679" i="9" a="1"/>
  <c r="AY679" i="9" s="1"/>
  <c r="AZ679" i="9" s="1"/>
  <c r="AI678" i="9"/>
  <c r="CC675" i="9"/>
  <c r="A675" i="9"/>
  <c r="BB674" i="9"/>
  <c r="AI673" i="9"/>
  <c r="CG670" i="9"/>
  <c r="BA670" i="9"/>
  <c r="BF670" i="9" s="1"/>
  <c r="BG670" i="9" s="1"/>
  <c r="BI669" i="9"/>
  <c r="BX668" i="9"/>
  <c r="AI668" i="9"/>
  <c r="BA666" i="9"/>
  <c r="CG665" i="9"/>
  <c r="AY665" i="9" a="1"/>
  <c r="AY665" i="9" s="1"/>
  <c r="BD663" i="9"/>
  <c r="BM660" i="9"/>
  <c r="CG659" i="9"/>
  <c r="BA659" i="9"/>
  <c r="CK655" i="9"/>
  <c r="AY655" i="9" a="1"/>
  <c r="AY655" i="9" s="1"/>
  <c r="AZ655" i="9" s="1"/>
  <c r="CH655" i="9" s="1"/>
  <c r="CI655" i="9" s="1"/>
  <c r="AY654" i="9" a="1"/>
  <c r="AY654" i="9" s="1"/>
  <c r="AZ654" i="9" s="1"/>
  <c r="CH654" i="9" s="1"/>
  <c r="CI654" i="9" s="1"/>
  <c r="CK652" i="9"/>
  <c r="BQ650" i="9"/>
  <c r="CK647" i="9"/>
  <c r="AI647" i="9"/>
  <c r="BI646" i="9"/>
  <c r="A646" i="9"/>
  <c r="BX644" i="9"/>
  <c r="AI644" i="9"/>
  <c r="BX639" i="9"/>
  <c r="BM633" i="9"/>
  <c r="AY633" i="9" a="1"/>
  <c r="AY633" i="9" s="1"/>
  <c r="BI632" i="9"/>
  <c r="BA631" i="9"/>
  <c r="CG626" i="9"/>
  <c r="AI626" i="9"/>
  <c r="BM625" i="9"/>
  <c r="CG618" i="9"/>
  <c r="AI618" i="9"/>
  <c r="BM617" i="9"/>
  <c r="BB614" i="9"/>
  <c r="BD612" i="9"/>
  <c r="CC611" i="9"/>
  <c r="BQ609" i="9"/>
  <c r="BR609" i="9" s="1"/>
  <c r="BS609" i="9" s="1"/>
  <c r="AI609" i="9"/>
  <c r="BI604" i="9"/>
  <c r="AI604" i="9"/>
  <c r="A604" i="9"/>
  <c r="AI603" i="9"/>
  <c r="BI596" i="9"/>
  <c r="CK595" i="9"/>
  <c r="A595" i="9"/>
  <c r="BI588" i="9"/>
  <c r="CK587" i="9"/>
  <c r="A587" i="9"/>
  <c r="BQ585" i="9"/>
  <c r="AI585" i="9"/>
  <c r="BA582" i="9"/>
  <c r="A582" i="9"/>
  <c r="CG578" i="9"/>
  <c r="BI577" i="9"/>
  <c r="A577" i="9"/>
  <c r="BQ575" i="9"/>
  <c r="AI575" i="9"/>
  <c r="BB572" i="9"/>
  <c r="BX564" i="9"/>
  <c r="AY564" i="9" a="1"/>
  <c r="AY564" i="9" s="1"/>
  <c r="AZ564" i="9" s="1"/>
  <c r="BI540" i="9"/>
  <c r="A540" i="9"/>
  <c r="A603" i="9"/>
  <c r="A557" i="9"/>
  <c r="BI557" i="9"/>
  <c r="AI557" i="9"/>
  <c r="BQ557" i="9"/>
  <c r="BA545" i="9"/>
  <c r="BB545" i="9"/>
  <c r="BA696" i="9"/>
  <c r="CK693" i="9"/>
  <c r="BA692" i="9"/>
  <c r="BB687" i="9"/>
  <c r="BM686" i="9"/>
  <c r="BN686" i="9" s="1"/>
  <c r="BJ686" i="9"/>
  <c r="A686" i="9"/>
  <c r="BD678" i="9"/>
  <c r="BX670" i="9"/>
  <c r="BM668" i="9"/>
  <c r="CC667" i="9"/>
  <c r="BI665" i="9"/>
  <c r="BA665" i="9"/>
  <c r="BD660" i="9"/>
  <c r="BX659" i="9"/>
  <c r="AY657" i="9" a="1"/>
  <c r="AY657" i="9" s="1"/>
  <c r="AZ657" i="9" s="1"/>
  <c r="BX655" i="9"/>
  <c r="A655" i="9"/>
  <c r="CC652" i="9"/>
  <c r="AY652" i="9" a="1"/>
  <c r="AY652" i="9" s="1"/>
  <c r="BB649" i="9"/>
  <c r="BX647" i="9"/>
  <c r="CK646" i="9"/>
  <c r="BM644" i="9"/>
  <c r="CD643" i="9"/>
  <c r="AY641" i="9" a="1"/>
  <c r="AY641" i="9" s="1"/>
  <c r="BI639" i="9"/>
  <c r="CD635" i="9"/>
  <c r="CE635" i="9" s="1"/>
  <c r="BQ626" i="9"/>
  <c r="A626" i="9"/>
  <c r="BQ618" i="9"/>
  <c r="A618" i="9"/>
  <c r="CC616" i="9"/>
  <c r="CK613" i="9"/>
  <c r="BD611" i="9"/>
  <c r="BI609" i="9"/>
  <c r="A609" i="9"/>
  <c r="BD604" i="9"/>
  <c r="CC603" i="9"/>
  <c r="BI585" i="9"/>
  <c r="A585" i="9"/>
  <c r="CK577" i="9"/>
  <c r="BI575" i="9"/>
  <c r="BB573" i="9"/>
  <c r="CK567" i="9"/>
  <c r="BD557" i="9"/>
  <c r="BA553" i="9"/>
  <c r="BB553" i="9"/>
  <c r="AI698" i="9"/>
  <c r="AY695" i="9" a="1"/>
  <c r="AY695" i="9" s="1"/>
  <c r="CG693" i="9"/>
  <c r="A693" i="9"/>
  <c r="AI687" i="9"/>
  <c r="BA684" i="9"/>
  <c r="CK680" i="9"/>
  <c r="AY667" i="9" a="1"/>
  <c r="AY667" i="9" s="1"/>
  <c r="AZ667" i="9" s="1"/>
  <c r="CL667" i="9" s="1"/>
  <c r="BD665" i="9"/>
  <c r="CK660" i="9"/>
  <c r="AI657" i="9"/>
  <c r="CL654" i="9"/>
  <c r="BA648" i="9"/>
  <c r="CG646" i="9"/>
  <c r="BA646" i="9"/>
  <c r="AI641" i="9"/>
  <c r="BD639" i="9"/>
  <c r="CK589" i="9"/>
  <c r="CG577" i="9"/>
  <c r="BA577" i="9"/>
  <c r="AI560" i="9"/>
  <c r="CG560" i="9"/>
  <c r="BB551" i="9"/>
  <c r="BA551" i="9"/>
  <c r="BM682" i="9"/>
  <c r="BA678" i="9"/>
  <c r="BJ670" i="9"/>
  <c r="A663" i="9"/>
  <c r="CG660" i="9"/>
  <c r="BM659" i="9"/>
  <c r="A659" i="9"/>
  <c r="BM657" i="9"/>
  <c r="BA657" i="9"/>
  <c r="CK653" i="9"/>
  <c r="BQ652" i="9"/>
  <c r="BA652" i="9"/>
  <c r="BI647" i="9"/>
  <c r="BD644" i="9"/>
  <c r="BM641" i="9"/>
  <c r="BN641" i="9" s="1"/>
  <c r="BO641" i="9" s="1"/>
  <c r="BA641" i="9"/>
  <c r="CC640" i="9"/>
  <c r="BA632" i="9"/>
  <c r="CG630" i="9"/>
  <c r="A630" i="9"/>
  <c r="BD626" i="9"/>
  <c r="BA625" i="9"/>
  <c r="BD618" i="9"/>
  <c r="BA617" i="9"/>
  <c r="CG607" i="9"/>
  <c r="BD603" i="9"/>
  <c r="BX602" i="9"/>
  <c r="BI597" i="9"/>
  <c r="BI589" i="9"/>
  <c r="BI582" i="9"/>
  <c r="BD578" i="9"/>
  <c r="CK575" i="9"/>
  <c r="CK571" i="9"/>
  <c r="A571" i="9"/>
  <c r="CC567" i="9"/>
  <c r="CK561" i="9"/>
  <c r="BA561" i="9"/>
  <c r="BI560" i="9"/>
  <c r="BA558" i="9"/>
  <c r="CH558" i="9" s="1"/>
  <c r="CI558" i="9" s="1"/>
  <c r="BQ553" i="9"/>
  <c r="AI553" i="9"/>
  <c r="CK551" i="9"/>
  <c r="BQ544" i="9"/>
  <c r="CG543" i="9"/>
  <c r="AI539" i="9"/>
  <c r="BB537" i="9"/>
  <c r="CK535" i="9"/>
  <c r="BQ533" i="9"/>
  <c r="AI533" i="9"/>
  <c r="BD531" i="9"/>
  <c r="BD529" i="9"/>
  <c r="BI527" i="9"/>
  <c r="A527" i="9"/>
  <c r="BQ525" i="9"/>
  <c r="AI525" i="9"/>
  <c r="BD523" i="9"/>
  <c r="BD521" i="9"/>
  <c r="BX520" i="9"/>
  <c r="BI519" i="9"/>
  <c r="A519" i="9"/>
  <c r="BX517" i="9"/>
  <c r="AY517" i="9" a="1"/>
  <c r="AY517" i="9" s="1"/>
  <c r="AZ517" i="9" s="1"/>
  <c r="BI516" i="9"/>
  <c r="BJ516" i="9" s="1"/>
  <c r="BK516" i="9" s="1"/>
  <c r="BL516" i="9" s="1" a="1"/>
  <c r="BL516" i="9" s="1"/>
  <c r="AY516" i="9" a="1"/>
  <c r="AY516" i="9" s="1"/>
  <c r="AZ516" i="9" s="1"/>
  <c r="BX514" i="9"/>
  <c r="AY514" i="9" a="1"/>
  <c r="AY514" i="9" s="1"/>
  <c r="BM512" i="9"/>
  <c r="CC510" i="9"/>
  <c r="BX509" i="9"/>
  <c r="BM508" i="9"/>
  <c r="A508" i="9"/>
  <c r="CG506" i="9"/>
  <c r="BN500" i="9"/>
  <c r="BO500" i="9" s="1"/>
  <c r="CK499" i="9"/>
  <c r="BI498" i="9"/>
  <c r="BA489" i="9"/>
  <c r="BA481" i="9"/>
  <c r="CG472" i="9"/>
  <c r="CK471" i="9"/>
  <c r="A471" i="9"/>
  <c r="AI471" i="9"/>
  <c r="CG471" i="9"/>
  <c r="AY471" i="9" a="1"/>
  <c r="AY471" i="9" s="1"/>
  <c r="AZ471" i="9" s="1"/>
  <c r="BI471" i="9"/>
  <c r="BD466" i="9"/>
  <c r="BI466" i="9"/>
  <c r="A466" i="9"/>
  <c r="AI466" i="9"/>
  <c r="BM466" i="9"/>
  <c r="AY466" i="9" a="1"/>
  <c r="AY466" i="9" s="1"/>
  <c r="AZ466" i="9" s="1"/>
  <c r="BQ466" i="9"/>
  <c r="BX466" i="9"/>
  <c r="CG466" i="9"/>
  <c r="AY446" i="9" a="1"/>
  <c r="AY446" i="9" s="1"/>
  <c r="AZ446" i="9" s="1"/>
  <c r="BQ446" i="9"/>
  <c r="A446" i="9"/>
  <c r="BX446" i="9"/>
  <c r="AI446" i="9"/>
  <c r="CC446" i="9"/>
  <c r="BA446" i="9"/>
  <c r="CG446" i="9"/>
  <c r="CK446" i="9"/>
  <c r="BD446" i="9"/>
  <c r="CC442" i="9"/>
  <c r="AI442" i="9"/>
  <c r="CG442" i="9"/>
  <c r="AY442" i="9" a="1"/>
  <c r="AY442" i="9" s="1"/>
  <c r="AZ442" i="9" s="1"/>
  <c r="CK442" i="9"/>
  <c r="BI442" i="9"/>
  <c r="CG551" i="9"/>
  <c r="BI544" i="9"/>
  <c r="BA539" i="9"/>
  <c r="CG535" i="9"/>
  <c r="BA535" i="9"/>
  <c r="BM533" i="9"/>
  <c r="BA533" i="9"/>
  <c r="BI532" i="9"/>
  <c r="BB530" i="9"/>
  <c r="BM525" i="9"/>
  <c r="BA525" i="9"/>
  <c r="BI524" i="9"/>
  <c r="BB522" i="9"/>
  <c r="BQ517" i="9"/>
  <c r="AI517" i="9"/>
  <c r="BD516" i="9"/>
  <c r="AI516" i="9"/>
  <c r="BQ514" i="9"/>
  <c r="AI514" i="9"/>
  <c r="BD512" i="9"/>
  <c r="AY509" i="9" a="1"/>
  <c r="AY509" i="9" s="1"/>
  <c r="AZ509" i="9" s="1"/>
  <c r="AY505" i="9" a="1"/>
  <c r="AY505" i="9" s="1"/>
  <c r="BQ499" i="9"/>
  <c r="BA567" i="9"/>
  <c r="BA562" i="9"/>
  <c r="CC551" i="9"/>
  <c r="BD544" i="9"/>
  <c r="BX543" i="9"/>
  <c r="BA540" i="9"/>
  <c r="BA538" i="9"/>
  <c r="AI537" i="9"/>
  <c r="CC535" i="9"/>
  <c r="BI533" i="9"/>
  <c r="BB531" i="9"/>
  <c r="BF531" i="9" s="1"/>
  <c r="BG531" i="9" s="1"/>
  <c r="AY530" i="9" a="1"/>
  <c r="AY530" i="9" s="1"/>
  <c r="BB529" i="9"/>
  <c r="CK527" i="9"/>
  <c r="BI525" i="9"/>
  <c r="BB523" i="9"/>
  <c r="AY522" i="9" a="1"/>
  <c r="AY522" i="9" s="1"/>
  <c r="BB521" i="9"/>
  <c r="BM517" i="9"/>
  <c r="BA517" i="9"/>
  <c r="CK516" i="9"/>
  <c r="BM514" i="9"/>
  <c r="BB513" i="9"/>
  <c r="BQ509" i="9"/>
  <c r="BX506" i="9"/>
  <c r="AY506" i="9" a="1"/>
  <c r="AY506" i="9" s="1"/>
  <c r="AZ506" i="9" s="1"/>
  <c r="CK504" i="9"/>
  <c r="BA504" i="9"/>
  <c r="AI503" i="9"/>
  <c r="BI499" i="9"/>
  <c r="CK489" i="9"/>
  <c r="CC489" i="9"/>
  <c r="A489" i="9"/>
  <c r="CG489" i="9"/>
  <c r="CK481" i="9"/>
  <c r="CC481" i="9"/>
  <c r="A481" i="9"/>
  <c r="CG481" i="9"/>
  <c r="BA457" i="9"/>
  <c r="BB457" i="9"/>
  <c r="BA447" i="9"/>
  <c r="BB447" i="9"/>
  <c r="BA546" i="9"/>
  <c r="BJ546" i="9" s="1"/>
  <c r="BK546" i="9" s="1"/>
  <c r="CK537" i="9"/>
  <c r="A537" i="9"/>
  <c r="BX535" i="9"/>
  <c r="AY535" i="9" a="1"/>
  <c r="AY535" i="9" s="1"/>
  <c r="BB534" i="9"/>
  <c r="BA527" i="9"/>
  <c r="BB526" i="9"/>
  <c r="BA519" i="9"/>
  <c r="BF519" i="9" s="1"/>
  <c r="BG519" i="9" s="1"/>
  <c r="BI517" i="9"/>
  <c r="CG516" i="9"/>
  <c r="A516" i="9"/>
  <c r="AY515" i="9" a="1"/>
  <c r="AY515" i="9" s="1"/>
  <c r="AZ515" i="9" s="1"/>
  <c r="BI514" i="9"/>
  <c r="BQ483" i="9"/>
  <c r="BI483" i="9"/>
  <c r="AY478" i="9" a="1"/>
  <c r="AY478" i="9" s="1"/>
  <c r="AZ478" i="9" s="1"/>
  <c r="AI478" i="9"/>
  <c r="CK478" i="9"/>
  <c r="BI478" i="9"/>
  <c r="BQ478" i="9"/>
  <c r="CC478" i="9"/>
  <c r="AY468" i="9" a="1"/>
  <c r="AY468" i="9" s="1"/>
  <c r="CG468" i="9"/>
  <c r="AI461" i="9"/>
  <c r="A461" i="9"/>
  <c r="BM461" i="9"/>
  <c r="BQ461" i="9"/>
  <c r="AY461" i="9" a="1"/>
  <c r="AY461" i="9" s="1"/>
  <c r="BX461" i="9"/>
  <c r="CC461" i="9"/>
  <c r="CG461" i="9"/>
  <c r="BD461" i="9"/>
  <c r="BD450" i="9"/>
  <c r="BI450" i="9"/>
  <c r="A450" i="9"/>
  <c r="AI450" i="9"/>
  <c r="BM450" i="9"/>
  <c r="AY450" i="9" a="1"/>
  <c r="AY450" i="9" s="1"/>
  <c r="AZ450" i="9" s="1"/>
  <c r="BQ450" i="9"/>
  <c r="BX450" i="9"/>
  <c r="CG450" i="9"/>
  <c r="AI424" i="9"/>
  <c r="BM424" i="9"/>
  <c r="AY424" i="9" a="1"/>
  <c r="AY424" i="9" s="1"/>
  <c r="AZ424" i="9" s="1"/>
  <c r="BQ424" i="9"/>
  <c r="BX424" i="9"/>
  <c r="CC424" i="9"/>
  <c r="CG424" i="9"/>
  <c r="CH424" i="9" s="1"/>
  <c r="CI424" i="9" s="1"/>
  <c r="A424" i="9"/>
  <c r="BI424" i="9"/>
  <c r="CC419" i="9"/>
  <c r="BI419" i="9"/>
  <c r="BM419" i="9"/>
  <c r="BQ392" i="9"/>
  <c r="BM392" i="9"/>
  <c r="CK392" i="9"/>
  <c r="A392" i="9"/>
  <c r="BI392" i="9"/>
  <c r="BA455" i="9"/>
  <c r="BB455" i="9"/>
  <c r="BA448" i="9"/>
  <c r="BB448" i="9"/>
  <c r="AI440" i="9"/>
  <c r="BQ440" i="9"/>
  <c r="AY440" i="9" a="1"/>
  <c r="AY440" i="9" s="1"/>
  <c r="AZ440" i="9" s="1"/>
  <c r="BX440" i="9"/>
  <c r="CC440" i="9"/>
  <c r="CG440" i="9"/>
  <c r="CK440" i="9"/>
  <c r="BD440" i="9"/>
  <c r="A440" i="9"/>
  <c r="BM440" i="9"/>
  <c r="AI423" i="9"/>
  <c r="AY423" i="9" a="1"/>
  <c r="AY423" i="9" s="1"/>
  <c r="BI423" i="9"/>
  <c r="CG423" i="9"/>
  <c r="BB413" i="9"/>
  <c r="BA413" i="9"/>
  <c r="BI394" i="9"/>
  <c r="CC394" i="9"/>
  <c r="A532" i="9"/>
  <c r="CK529" i="9"/>
  <c r="A529" i="9"/>
  <c r="BA524" i="9"/>
  <c r="A524" i="9"/>
  <c r="CK521" i="9"/>
  <c r="A521" i="9"/>
  <c r="CK517" i="9"/>
  <c r="BX516" i="9"/>
  <c r="BA516" i="9"/>
  <c r="CK514" i="9"/>
  <c r="CC503" i="9"/>
  <c r="AY503" i="9" a="1"/>
  <c r="AY503" i="9" s="1"/>
  <c r="CG503" i="9"/>
  <c r="BD503" i="9"/>
  <c r="CC487" i="9"/>
  <c r="BI487" i="9"/>
  <c r="A487" i="9"/>
  <c r="BM487" i="9"/>
  <c r="AY487" i="9" a="1"/>
  <c r="AY487" i="9" s="1"/>
  <c r="BX487" i="9"/>
  <c r="CK461" i="9"/>
  <c r="CC450" i="9"/>
  <c r="BI551" i="9"/>
  <c r="CG544" i="9"/>
  <c r="A544" i="9"/>
  <c r="BD537" i="9"/>
  <c r="BI535" i="9"/>
  <c r="CC533" i="9"/>
  <c r="CC529" i="9"/>
  <c r="CC525" i="9"/>
  <c r="CC521" i="9"/>
  <c r="CG517" i="9"/>
  <c r="BQ516" i="9"/>
  <c r="CG514" i="9"/>
  <c r="BA514" i="9"/>
  <c r="BM503" i="9"/>
  <c r="CK498" i="9"/>
  <c r="BD498" i="9"/>
  <c r="A498" i="9"/>
  <c r="BM498" i="9"/>
  <c r="AY498" i="9" a="1"/>
  <c r="AY498" i="9" s="1"/>
  <c r="CC498" i="9"/>
  <c r="BB492" i="9"/>
  <c r="BA492" i="9"/>
  <c r="AY488" i="9" a="1"/>
  <c r="AY488" i="9" s="1"/>
  <c r="AI488" i="9"/>
  <c r="CK488" i="9"/>
  <c r="BD488" i="9"/>
  <c r="BI488" i="9"/>
  <c r="BX488" i="9"/>
  <c r="BD487" i="9"/>
  <c r="CK483" i="9"/>
  <c r="BX478" i="9"/>
  <c r="BA471" i="9"/>
  <c r="BB471" i="9"/>
  <c r="BI461" i="9"/>
  <c r="BI448" i="9"/>
  <c r="CK448" i="9"/>
  <c r="BB439" i="9"/>
  <c r="BA439" i="9"/>
  <c r="A437" i="9"/>
  <c r="BM437" i="9"/>
  <c r="CK424" i="9"/>
  <c r="A409" i="9"/>
  <c r="BM409" i="9"/>
  <c r="AI409" i="9"/>
  <c r="BQ409" i="9"/>
  <c r="AY409" i="9" a="1"/>
  <c r="AY409" i="9" s="1"/>
  <c r="BX409" i="9"/>
  <c r="CC409" i="9"/>
  <c r="CG409" i="9"/>
  <c r="CK409" i="9"/>
  <c r="BI409" i="9"/>
  <c r="CC517" i="9"/>
  <c r="CC514" i="9"/>
  <c r="BB509" i="9"/>
  <c r="BF509" i="9" s="1"/>
  <c r="CC479" i="9"/>
  <c r="BQ479" i="9"/>
  <c r="A479" i="9"/>
  <c r="BX479" i="9"/>
  <c r="BI479" i="9"/>
  <c r="BI468" i="9"/>
  <c r="BD424" i="9"/>
  <c r="AI416" i="9"/>
  <c r="CK416" i="9"/>
  <c r="CC496" i="9"/>
  <c r="BX493" i="9"/>
  <c r="BA493" i="9"/>
  <c r="BA491" i="9"/>
  <c r="BI484" i="9"/>
  <c r="A484" i="9"/>
  <c r="BA473" i="9"/>
  <c r="A473" i="9"/>
  <c r="CG470" i="9"/>
  <c r="A470" i="9"/>
  <c r="BA467" i="9"/>
  <c r="BI463" i="9"/>
  <c r="A463" i="9"/>
  <c r="BM462" i="9"/>
  <c r="A462" i="9"/>
  <c r="BA460" i="9"/>
  <c r="BX453" i="9"/>
  <c r="AY453" i="9" a="1"/>
  <c r="AY453" i="9" s="1"/>
  <c r="BX430" i="9"/>
  <c r="AY430" i="9" a="1"/>
  <c r="AY430" i="9" s="1"/>
  <c r="BX425" i="9"/>
  <c r="BA425" i="9"/>
  <c r="A425" i="9"/>
  <c r="BA415" i="9"/>
  <c r="BX410" i="9"/>
  <c r="AY410" i="9" a="1"/>
  <c r="AY410" i="9" s="1"/>
  <c r="AZ410" i="9" s="1"/>
  <c r="BJ410" i="9" s="1"/>
  <c r="BK410" i="9" s="1"/>
  <c r="BX408" i="9"/>
  <c r="BI405" i="9"/>
  <c r="BX404" i="9"/>
  <c r="BA402" i="9"/>
  <c r="BI395" i="9"/>
  <c r="BM395" i="9"/>
  <c r="BA387" i="9"/>
  <c r="AY387" i="9" a="1"/>
  <c r="AY387" i="9" s="1"/>
  <c r="AZ387" i="9" s="1"/>
  <c r="BI387" i="9"/>
  <c r="CG385" i="9"/>
  <c r="BA384" i="9"/>
  <c r="BB384" i="9"/>
  <c r="BD382" i="9"/>
  <c r="BB350" i="9"/>
  <c r="BA350" i="9"/>
  <c r="CL343" i="9"/>
  <c r="CM343" i="9" s="1"/>
  <c r="BA376" i="9"/>
  <c r="BB376" i="9"/>
  <c r="BB370" i="9"/>
  <c r="BA370" i="9"/>
  <c r="CC369" i="9"/>
  <c r="BI369" i="9"/>
  <c r="BM369" i="9"/>
  <c r="A369" i="9"/>
  <c r="BX369" i="9"/>
  <c r="CG369" i="9"/>
  <c r="BB366" i="9"/>
  <c r="BA366" i="9"/>
  <c r="BA356" i="9"/>
  <c r="BB356" i="9"/>
  <c r="A123" i="9"/>
  <c r="CK123" i="9"/>
  <c r="BD123" i="9"/>
  <c r="AI123" i="9"/>
  <c r="BI123" i="9"/>
  <c r="AY123" i="9" a="1"/>
  <c r="AY123" i="9" s="1"/>
  <c r="BM123" i="9"/>
  <c r="BQ123" i="9"/>
  <c r="BX123" i="9"/>
  <c r="CC123" i="9"/>
  <c r="CG123" i="9"/>
  <c r="BA487" i="9"/>
  <c r="BA475" i="9"/>
  <c r="BA465" i="9"/>
  <c r="BA454" i="9"/>
  <c r="BM453" i="9"/>
  <c r="BA449" i="9"/>
  <c r="A449" i="9"/>
  <c r="BM430" i="9"/>
  <c r="BI410" i="9"/>
  <c r="BM408" i="9"/>
  <c r="CG406" i="9"/>
  <c r="CK405" i="9"/>
  <c r="BI404" i="9"/>
  <c r="AI402" i="9"/>
  <c r="BQ402" i="9"/>
  <c r="CG395" i="9"/>
  <c r="CK390" i="9"/>
  <c r="A390" i="9"/>
  <c r="AI390" i="9"/>
  <c r="CC390" i="9"/>
  <c r="AY390" i="9" a="1"/>
  <c r="AY390" i="9" s="1"/>
  <c r="CG390" i="9"/>
  <c r="CG387" i="9"/>
  <c r="BM385" i="9"/>
  <c r="BB378" i="9"/>
  <c r="BA378" i="9"/>
  <c r="BB374" i="9"/>
  <c r="BA374" i="9"/>
  <c r="CK369" i="9"/>
  <c r="BQ344" i="9"/>
  <c r="AI344" i="9"/>
  <c r="BX344" i="9"/>
  <c r="AY344" i="9" a="1"/>
  <c r="AY344" i="9" s="1"/>
  <c r="AZ344" i="9" s="1"/>
  <c r="CC344" i="9"/>
  <c r="CG344" i="9"/>
  <c r="CK344" i="9"/>
  <c r="BD344" i="9"/>
  <c r="A344" i="9"/>
  <c r="BM344" i="9"/>
  <c r="BM267" i="9"/>
  <c r="CG267" i="9"/>
  <c r="BQ500" i="9"/>
  <c r="BI496" i="9"/>
  <c r="CG484" i="9"/>
  <c r="BA484" i="9"/>
  <c r="CK473" i="9"/>
  <c r="BQ470" i="9"/>
  <c r="A465" i="9"/>
  <c r="CC462" i="9"/>
  <c r="CC458" i="9"/>
  <c r="AI458" i="9"/>
  <c r="A458" i="9"/>
  <c r="BI453" i="9"/>
  <c r="A453" i="9"/>
  <c r="CC451" i="9"/>
  <c r="CK443" i="9"/>
  <c r="AY443" i="9" a="1"/>
  <c r="AY443" i="9" s="1"/>
  <c r="AZ443" i="9" s="1"/>
  <c r="BB442" i="9"/>
  <c r="CC438" i="9"/>
  <c r="AI438" i="9"/>
  <c r="CG432" i="9"/>
  <c r="BA432" i="9"/>
  <c r="BI430" i="9"/>
  <c r="BQ428" i="9"/>
  <c r="BD426" i="9"/>
  <c r="BD425" i="9"/>
  <c r="BA424" i="9"/>
  <c r="BA421" i="9"/>
  <c r="BA414" i="9"/>
  <c r="BM412" i="9"/>
  <c r="BD410" i="9"/>
  <c r="BF410" i="9" s="1"/>
  <c r="BA409" i="9"/>
  <c r="CG405" i="9"/>
  <c r="BA405" i="9"/>
  <c r="BI402" i="9"/>
  <c r="BI390" i="9"/>
  <c r="CC388" i="9"/>
  <c r="BX388" i="9"/>
  <c r="AY388" i="9" a="1"/>
  <c r="AY388" i="9" s="1"/>
  <c r="AZ388" i="9" s="1"/>
  <c r="CG388" i="9"/>
  <c r="BM387" i="9"/>
  <c r="CG371" i="9"/>
  <c r="BQ369" i="9"/>
  <c r="BB316" i="9"/>
  <c r="BA316" i="9"/>
  <c r="BM304" i="9"/>
  <c r="CC304" i="9"/>
  <c r="AI304" i="9"/>
  <c r="CK304" i="9"/>
  <c r="BA304" i="9"/>
  <c r="BD304" i="9"/>
  <c r="BI304" i="9"/>
  <c r="BA301" i="9"/>
  <c r="BB301" i="9"/>
  <c r="CG443" i="9"/>
  <c r="AI443" i="9"/>
  <c r="CC396" i="9"/>
  <c r="BI396" i="9"/>
  <c r="A396" i="9"/>
  <c r="BQ396" i="9"/>
  <c r="BX396" i="9"/>
  <c r="BA360" i="9"/>
  <c r="BB360" i="9"/>
  <c r="BM317" i="9"/>
  <c r="BI317" i="9"/>
  <c r="A317" i="9"/>
  <c r="BQ317" i="9"/>
  <c r="AI317" i="9"/>
  <c r="BX317" i="9"/>
  <c r="AY317" i="9" a="1"/>
  <c r="AY317" i="9" s="1"/>
  <c r="AZ317" i="9" s="1"/>
  <c r="CC317" i="9"/>
  <c r="BD317" i="9"/>
  <c r="CG317" i="9"/>
  <c r="BA499" i="9"/>
  <c r="BX484" i="9"/>
  <c r="BA483" i="9"/>
  <c r="BD482" i="9"/>
  <c r="BA479" i="9"/>
  <c r="BD470" i="9"/>
  <c r="CK465" i="9"/>
  <c r="BQ462" i="9"/>
  <c r="BA462" i="9"/>
  <c r="CH462" i="9" s="1"/>
  <c r="CI462" i="9" s="1"/>
  <c r="AY460" i="9" a="1"/>
  <c r="AY460" i="9" s="1"/>
  <c r="BQ458" i="9"/>
  <c r="BB456" i="9"/>
  <c r="CK453" i="9"/>
  <c r="BA452" i="9"/>
  <c r="CK449" i="9"/>
  <c r="BA444" i="9"/>
  <c r="BI443" i="9"/>
  <c r="BA443" i="9"/>
  <c r="BX432" i="9"/>
  <c r="AY432" i="9" a="1"/>
  <c r="AY432" i="9" s="1"/>
  <c r="AZ432" i="9" s="1"/>
  <c r="BM429" i="9"/>
  <c r="BI428" i="9"/>
  <c r="CK425" i="9"/>
  <c r="CC414" i="9"/>
  <c r="AI414" i="9"/>
  <c r="CK413" i="9"/>
  <c r="AY411" i="9" a="1"/>
  <c r="AY411" i="9" s="1"/>
  <c r="BX405" i="9"/>
  <c r="A405" i="9"/>
  <c r="A404" i="9"/>
  <c r="CK400" i="9"/>
  <c r="AY397" i="9" a="1"/>
  <c r="AY397" i="9" s="1"/>
  <c r="AI397" i="9"/>
  <c r="CC397" i="9"/>
  <c r="CG397" i="9"/>
  <c r="BD397" i="9"/>
  <c r="BI397" i="9"/>
  <c r="CG396" i="9"/>
  <c r="AY395" i="9" a="1"/>
  <c r="AY395" i="9" s="1"/>
  <c r="BM388" i="9"/>
  <c r="BX382" i="9"/>
  <c r="A372" i="9"/>
  <c r="AI372" i="9"/>
  <c r="BD372" i="9"/>
  <c r="BI372" i="9"/>
  <c r="AY338" i="9" a="1"/>
  <c r="AY338" i="9" s="1"/>
  <c r="AZ338" i="9" s="1"/>
  <c r="A338" i="9"/>
  <c r="CG338" i="9"/>
  <c r="BA496" i="9"/>
  <c r="BB493" i="9"/>
  <c r="BI485" i="9"/>
  <c r="BQ484" i="9"/>
  <c r="BA474" i="9"/>
  <c r="BM465" i="9"/>
  <c r="CG463" i="9"/>
  <c r="AY463" i="9" a="1"/>
  <c r="AY463" i="9" s="1"/>
  <c r="BI452" i="9"/>
  <c r="BM449" i="9"/>
  <c r="BQ432" i="9"/>
  <c r="CG430" i="9"/>
  <c r="CG425" i="9"/>
  <c r="AY425" i="9" a="1"/>
  <c r="AY425" i="9" s="1"/>
  <c r="AZ425" i="9" s="1"/>
  <c r="BQ420" i="9"/>
  <c r="CG413" i="9"/>
  <c r="BA410" i="9"/>
  <c r="CK407" i="9"/>
  <c r="BQ405" i="9"/>
  <c r="BB402" i="9"/>
  <c r="BX397" i="9"/>
  <c r="BM396" i="9"/>
  <c r="BI388" i="9"/>
  <c r="AY369" i="9" a="1"/>
  <c r="AY369" i="9" s="1"/>
  <c r="AZ369" i="9" s="1"/>
  <c r="BQ368" i="9"/>
  <c r="CC368" i="9"/>
  <c r="AY368" i="9" a="1"/>
  <c r="AY368" i="9" s="1"/>
  <c r="CG368" i="9"/>
  <c r="BA368" i="9"/>
  <c r="BQ352" i="9"/>
  <c r="BI352" i="9"/>
  <c r="AI352" i="9"/>
  <c r="BM352" i="9"/>
  <c r="AY352" i="9" a="1"/>
  <c r="AY352" i="9" s="1"/>
  <c r="CC352" i="9"/>
  <c r="CG352" i="9"/>
  <c r="CK352" i="9"/>
  <c r="BD352" i="9"/>
  <c r="A348" i="9"/>
  <c r="CC348" i="9"/>
  <c r="AI348" i="9"/>
  <c r="CK348" i="9"/>
  <c r="BD348" i="9"/>
  <c r="BM348" i="9"/>
  <c r="BI344" i="9"/>
  <c r="BA419" i="9"/>
  <c r="CC404" i="9"/>
  <c r="BM404" i="9"/>
  <c r="BA392" i="9"/>
  <c r="BB392" i="9"/>
  <c r="AY385" i="9" a="1"/>
  <c r="AY385" i="9" s="1"/>
  <c r="A385" i="9"/>
  <c r="BX385" i="9"/>
  <c r="AI385" i="9"/>
  <c r="CC385" i="9"/>
  <c r="CK385" i="9"/>
  <c r="BD385" i="9"/>
  <c r="AY382" i="9" a="1"/>
  <c r="AY382" i="9" s="1"/>
  <c r="BI382" i="9"/>
  <c r="CG382" i="9"/>
  <c r="A382" i="9"/>
  <c r="CK382" i="9"/>
  <c r="CK355" i="9"/>
  <c r="A355" i="9"/>
  <c r="AY355" i="9" a="1"/>
  <c r="AY355" i="9" s="1"/>
  <c r="AZ355" i="9" s="1"/>
  <c r="BB308" i="9"/>
  <c r="BA308" i="9"/>
  <c r="BB306" i="9"/>
  <c r="BA306" i="9"/>
  <c r="CK299" i="9"/>
  <c r="A299" i="9"/>
  <c r="CC299" i="9"/>
  <c r="AY299" i="9" a="1"/>
  <c r="AY299" i="9" s="1"/>
  <c r="AZ299" i="9" s="1"/>
  <c r="CG299" i="9"/>
  <c r="BI299" i="9"/>
  <c r="BA294" i="9"/>
  <c r="BB294" i="9"/>
  <c r="BB292" i="9"/>
  <c r="BA292" i="9"/>
  <c r="BA284" i="9"/>
  <c r="BB284" i="9"/>
  <c r="BI269" i="9"/>
  <c r="AI269" i="9"/>
  <c r="BM269" i="9"/>
  <c r="AY269" i="9" a="1"/>
  <c r="AY269" i="9" s="1"/>
  <c r="AZ269" i="9" s="1"/>
  <c r="BQ269" i="9"/>
  <c r="BR269" i="9" s="1"/>
  <c r="BS269" i="9" s="1"/>
  <c r="BU269" i="9" s="1" a="1"/>
  <c r="BU269" i="9" s="1"/>
  <c r="BX269" i="9"/>
  <c r="CC269" i="9"/>
  <c r="CG269" i="9"/>
  <c r="A269" i="9"/>
  <c r="BD269" i="9"/>
  <c r="BJ398" i="9"/>
  <c r="BQ393" i="9"/>
  <c r="AI389" i="9"/>
  <c r="BP389" i="9" s="1" a="1"/>
  <c r="BP389" i="9" s="1"/>
  <c r="A381" i="9"/>
  <c r="AI380" i="9"/>
  <c r="AI379" i="9"/>
  <c r="CG377" i="9"/>
  <c r="AY377" i="9" a="1"/>
  <c r="AY377" i="9" s="1"/>
  <c r="AZ377" i="9" s="1"/>
  <c r="BI374" i="9"/>
  <c r="BM366" i="9"/>
  <c r="BX362" i="9"/>
  <c r="A362" i="9"/>
  <c r="AY361" i="9" a="1"/>
  <c r="AY361" i="9" s="1"/>
  <c r="BD360" i="9"/>
  <c r="BM358" i="9"/>
  <c r="AI358" i="9"/>
  <c r="BX354" i="9"/>
  <c r="A354" i="9"/>
  <c r="BA353" i="9"/>
  <c r="A353" i="9"/>
  <c r="BB352" i="9"/>
  <c r="BI350" i="9"/>
  <c r="CG343" i="9"/>
  <c r="BM341" i="9"/>
  <c r="BD337" i="9"/>
  <c r="CK335" i="9"/>
  <c r="BA335" i="9"/>
  <c r="CD335" i="9" s="1"/>
  <c r="CE335" i="9" s="1"/>
  <c r="CC333" i="9"/>
  <c r="BA333" i="9"/>
  <c r="BB332" i="9"/>
  <c r="BA324" i="9"/>
  <c r="A306" i="9"/>
  <c r="AY306" i="9" a="1"/>
  <c r="AY306" i="9" s="1"/>
  <c r="BX306" i="9"/>
  <c r="CC306" i="9"/>
  <c r="CG306" i="9"/>
  <c r="CK306" i="9"/>
  <c r="BI306" i="9"/>
  <c r="BX299" i="9"/>
  <c r="BI297" i="9"/>
  <c r="BX297" i="9"/>
  <c r="AY297" i="9" a="1"/>
  <c r="AY297" i="9" s="1"/>
  <c r="AZ297" i="9" s="1"/>
  <c r="CG297" i="9"/>
  <c r="BQ294" i="9"/>
  <c r="BD294" i="9"/>
  <c r="BM294" i="9"/>
  <c r="AY292" i="9" a="1"/>
  <c r="AY292" i="9" s="1"/>
  <c r="CC292" i="9"/>
  <c r="CG292" i="9"/>
  <c r="CK292" i="9"/>
  <c r="BD292" i="9"/>
  <c r="A292" i="9"/>
  <c r="BM292" i="9"/>
  <c r="BD254" i="9"/>
  <c r="BM254" i="9"/>
  <c r="BX254" i="9"/>
  <c r="CG254" i="9"/>
  <c r="BQ362" i="9"/>
  <c r="A358" i="9"/>
  <c r="BQ354" i="9"/>
  <c r="CG353" i="9"/>
  <c r="CC343" i="9"/>
  <c r="BI341" i="9"/>
  <c r="CG335" i="9"/>
  <c r="BX333" i="9"/>
  <c r="AY331" i="9" a="1"/>
  <c r="AY331" i="9" s="1"/>
  <c r="AZ331" i="9" s="1"/>
  <c r="AI331" i="9"/>
  <c r="CK331" i="9"/>
  <c r="BB330" i="9"/>
  <c r="BA322" i="9"/>
  <c r="A322" i="9"/>
  <c r="CG322" i="9"/>
  <c r="AY322" i="9" a="1"/>
  <c r="AY322" i="9" s="1"/>
  <c r="AZ322" i="9" s="1"/>
  <c r="A312" i="9"/>
  <c r="BM312" i="9"/>
  <c r="AI312" i="9"/>
  <c r="BQ312" i="9"/>
  <c r="AY312" i="9" a="1"/>
  <c r="AY312" i="9" s="1"/>
  <c r="BX312" i="9"/>
  <c r="CC312" i="9"/>
  <c r="CK312" i="9"/>
  <c r="BQ299" i="9"/>
  <c r="BB270" i="9"/>
  <c r="BA270" i="9"/>
  <c r="CK269" i="9"/>
  <c r="BD133" i="9"/>
  <c r="BI133" i="9"/>
  <c r="AI133" i="9"/>
  <c r="CC133" i="9"/>
  <c r="AY133" i="9" a="1"/>
  <c r="AY133" i="9" s="1"/>
  <c r="AZ133" i="9" s="1"/>
  <c r="CG133" i="9"/>
  <c r="CK133" i="9"/>
  <c r="CC335" i="9"/>
  <c r="BQ333" i="9"/>
  <c r="AY333" i="9" a="1"/>
  <c r="AY333" i="9" s="1"/>
  <c r="AI328" i="9"/>
  <c r="BA302" i="9"/>
  <c r="BB302" i="9"/>
  <c r="CK283" i="9"/>
  <c r="A283" i="9"/>
  <c r="AY283" i="9" a="1"/>
  <c r="AY283" i="9" s="1"/>
  <c r="AZ283" i="9" s="1"/>
  <c r="CG283" i="9"/>
  <c r="BI283" i="9"/>
  <c r="BX283" i="9"/>
  <c r="BB268" i="9"/>
  <c r="BA268" i="9"/>
  <c r="BB249" i="9"/>
  <c r="BA249" i="9"/>
  <c r="BB241" i="9"/>
  <c r="BA241" i="9"/>
  <c r="BA400" i="9"/>
  <c r="CG399" i="9"/>
  <c r="BD393" i="9"/>
  <c r="BX381" i="9"/>
  <c r="CK366" i="9"/>
  <c r="CL366" i="9" s="1"/>
  <c r="CM366" i="9" s="1"/>
  <c r="BI362" i="9"/>
  <c r="CK360" i="9"/>
  <c r="BI354" i="9"/>
  <c r="BQ353" i="9"/>
  <c r="BQ343" i="9"/>
  <c r="BX335" i="9"/>
  <c r="AY335" i="9" a="1"/>
  <c r="AY335" i="9" s="1"/>
  <c r="AZ335" i="9" s="1"/>
  <c r="BM333" i="9"/>
  <c r="AI333" i="9"/>
  <c r="BM331" i="9"/>
  <c r="CK328" i="9"/>
  <c r="BA328" i="9"/>
  <c r="BM322" i="9"/>
  <c r="BA313" i="9"/>
  <c r="CG312" i="9"/>
  <c r="AY286" i="9" a="1"/>
  <c r="AY286" i="9" s="1"/>
  <c r="AZ286" i="9" s="1"/>
  <c r="BQ286" i="9"/>
  <c r="A286" i="9"/>
  <c r="BX286" i="9"/>
  <c r="AI286" i="9"/>
  <c r="CC286" i="9"/>
  <c r="CG286" i="9"/>
  <c r="BD286" i="9"/>
  <c r="BI175" i="9"/>
  <c r="AI175" i="9"/>
  <c r="BD175" i="9"/>
  <c r="CG175" i="9"/>
  <c r="CK175" i="9"/>
  <c r="BM401" i="9"/>
  <c r="CK393" i="9"/>
  <c r="BA382" i="9"/>
  <c r="BM381" i="9"/>
  <c r="BD380" i="9"/>
  <c r="BI377" i="9"/>
  <c r="CC374" i="9"/>
  <c r="CG366" i="9"/>
  <c r="BD362" i="9"/>
  <c r="BQ361" i="9"/>
  <c r="CG360" i="9"/>
  <c r="BD354" i="9"/>
  <c r="BI353" i="9"/>
  <c r="BA349" i="9"/>
  <c r="BA345" i="9"/>
  <c r="BM343" i="9"/>
  <c r="A343" i="9"/>
  <c r="CG341" i="9"/>
  <c r="BQ335" i="9"/>
  <c r="BI333" i="9"/>
  <c r="BJ333" i="9" s="1"/>
  <c r="BK333" i="9" s="1"/>
  <c r="BI331" i="9"/>
  <c r="BI322" i="9"/>
  <c r="BQ314" i="9"/>
  <c r="BI314" i="9"/>
  <c r="A314" i="9"/>
  <c r="BM314" i="9"/>
  <c r="AI314" i="9"/>
  <c r="CC314" i="9"/>
  <c r="AY314" i="9" a="1"/>
  <c r="AY314" i="9" s="1"/>
  <c r="CG314" i="9"/>
  <c r="BI312" i="9"/>
  <c r="BQ302" i="9"/>
  <c r="BD302" i="9"/>
  <c r="BM302" i="9"/>
  <c r="A298" i="9"/>
  <c r="BD298" i="9"/>
  <c r="BI298" i="9"/>
  <c r="AI298" i="9"/>
  <c r="BM298" i="9"/>
  <c r="AY298" i="9" a="1"/>
  <c r="AY298" i="9" s="1"/>
  <c r="BQ298" i="9"/>
  <c r="CC298" i="9"/>
  <c r="CC296" i="9"/>
  <c r="AI296" i="9"/>
  <c r="BD296" i="9"/>
  <c r="AI295" i="9"/>
  <c r="BD295" i="9"/>
  <c r="BX273" i="9"/>
  <c r="CC273" i="9"/>
  <c r="AI273" i="9"/>
  <c r="CK273" i="9"/>
  <c r="BD273" i="9"/>
  <c r="BQ273" i="9"/>
  <c r="CK254" i="9"/>
  <c r="CK198" i="9"/>
  <c r="BI198" i="9"/>
  <c r="BM198" i="9"/>
  <c r="A198" i="9"/>
  <c r="AI198" i="9"/>
  <c r="BQ198" i="9"/>
  <c r="BR198" i="9" s="1"/>
  <c r="BS198" i="9" s="1"/>
  <c r="AY198" i="9" a="1"/>
  <c r="AY198" i="9" s="1"/>
  <c r="AZ198" i="9" s="1"/>
  <c r="BX198" i="9"/>
  <c r="CC198" i="9"/>
  <c r="CG198" i="9"/>
  <c r="BD198" i="9"/>
  <c r="BA180" i="9"/>
  <c r="BB180" i="9"/>
  <c r="BA355" i="9"/>
  <c r="BA341" i="9"/>
  <c r="BA338" i="9"/>
  <c r="BM335" i="9"/>
  <c r="A335" i="9"/>
  <c r="BD333" i="9"/>
  <c r="BD328" i="9"/>
  <c r="A328" i="9"/>
  <c r="BM328" i="9"/>
  <c r="AY328" i="9" a="1"/>
  <c r="AY328" i="9" s="1"/>
  <c r="CC328" i="9"/>
  <c r="BA325" i="9"/>
  <c r="BB325" i="9"/>
  <c r="AY323" i="9" a="1"/>
  <c r="AY323" i="9" s="1"/>
  <c r="BQ323" i="9"/>
  <c r="A323" i="9"/>
  <c r="BX323" i="9"/>
  <c r="AI323" i="9"/>
  <c r="CK323" i="9"/>
  <c r="BD323" i="9"/>
  <c r="A311" i="9"/>
  <c r="AY311" i="9" a="1"/>
  <c r="AY311" i="9" s="1"/>
  <c r="BI311" i="9"/>
  <c r="CC283" i="9"/>
  <c r="AY278" i="9" a="1"/>
  <c r="AY278" i="9" s="1"/>
  <c r="AZ278" i="9" s="1"/>
  <c r="BR278" i="9" s="1"/>
  <c r="BS278" i="9" s="1"/>
  <c r="A278" i="9"/>
  <c r="BX278" i="9"/>
  <c r="AI278" i="9"/>
  <c r="CC278" i="9"/>
  <c r="CK278" i="9"/>
  <c r="BD278" i="9"/>
  <c r="BI278" i="9"/>
  <c r="BQ278" i="9"/>
  <c r="BQ327" i="9"/>
  <c r="CG309" i="9"/>
  <c r="AY309" i="9" a="1"/>
  <c r="AY309" i="9" s="1"/>
  <c r="AZ309" i="9" s="1"/>
  <c r="CG300" i="9"/>
  <c r="BA300" i="9"/>
  <c r="BA298" i="9"/>
  <c r="BA291" i="9"/>
  <c r="BM290" i="9"/>
  <c r="A287" i="9"/>
  <c r="CK282" i="9"/>
  <c r="BI279" i="9"/>
  <c r="CG276" i="9"/>
  <c r="AY276" i="9" a="1"/>
  <c r="AY276" i="9" s="1"/>
  <c r="CG272" i="9"/>
  <c r="BI271" i="9"/>
  <c r="BD262" i="9"/>
  <c r="CC261" i="9"/>
  <c r="BM260" i="9"/>
  <c r="BI259" i="9"/>
  <c r="BI256" i="9"/>
  <c r="A256" i="9"/>
  <c r="CC251" i="9"/>
  <c r="AY251" i="9" a="1"/>
  <c r="AY251" i="9" s="1"/>
  <c r="AZ251" i="9" s="1"/>
  <c r="BI250" i="9"/>
  <c r="A249" i="9"/>
  <c r="BD248" i="9"/>
  <c r="BI247" i="9"/>
  <c r="BA237" i="9"/>
  <c r="BX236" i="9"/>
  <c r="A236" i="9"/>
  <c r="BM233" i="9"/>
  <c r="A233" i="9"/>
  <c r="A232" i="9"/>
  <c r="CK232" i="9"/>
  <c r="AI232" i="9"/>
  <c r="BI232" i="9"/>
  <c r="AY232" i="9" a="1"/>
  <c r="AY232" i="9" s="1"/>
  <c r="AZ232" i="9" s="1"/>
  <c r="BQ232" i="9"/>
  <c r="BX232" i="9"/>
  <c r="BB324" i="9"/>
  <c r="BA286" i="9"/>
  <c r="CC282" i="9"/>
  <c r="CK262" i="9"/>
  <c r="BA262" i="9"/>
  <c r="BQ251" i="9"/>
  <c r="CG248" i="9"/>
  <c r="AI242" i="9"/>
  <c r="BF241" i="9"/>
  <c r="BG241" i="9" s="1"/>
  <c r="BH241" i="9" s="1" a="1"/>
  <c r="BH241" i="9" s="1"/>
  <c r="BM235" i="9"/>
  <c r="BA233" i="9"/>
  <c r="AY191" i="9" a="1"/>
  <c r="AY191" i="9" s="1"/>
  <c r="BI191" i="9"/>
  <c r="CK191" i="9"/>
  <c r="BX326" i="9"/>
  <c r="BA320" i="9"/>
  <c r="BQ309" i="9"/>
  <c r="BQ300" i="9"/>
  <c r="BX291" i="9"/>
  <c r="CK290" i="9"/>
  <c r="BM288" i="9"/>
  <c r="BX282" i="9"/>
  <c r="AY282" i="9" a="1"/>
  <c r="AY282" i="9" s="1"/>
  <c r="BI276" i="9"/>
  <c r="BQ272" i="9"/>
  <c r="BA269" i="9"/>
  <c r="BX265" i="9"/>
  <c r="CG262" i="9"/>
  <c r="AY262" i="9" a="1"/>
  <c r="AY262" i="9" s="1"/>
  <c r="AY259" i="9" a="1"/>
  <c r="AY259" i="9" s="1"/>
  <c r="CG256" i="9"/>
  <c r="BB253" i="9"/>
  <c r="BM251" i="9"/>
  <c r="A251" i="9"/>
  <c r="AI250" i="9"/>
  <c r="CC248" i="9"/>
  <c r="AY248" i="9" a="1"/>
  <c r="AY248" i="9" s="1"/>
  <c r="CK240" i="9"/>
  <c r="BI237" i="9"/>
  <c r="BI236" i="9"/>
  <c r="BD232" i="9"/>
  <c r="BA229" i="9"/>
  <c r="BB229" i="9"/>
  <c r="AI218" i="9"/>
  <c r="BD218" i="9"/>
  <c r="BX218" i="9"/>
  <c r="AY181" i="9" a="1"/>
  <c r="AY181" i="9" s="1"/>
  <c r="AZ181" i="9" s="1"/>
  <c r="BI181" i="9"/>
  <c r="BM181" i="9"/>
  <c r="A181" i="9"/>
  <c r="AI181" i="9"/>
  <c r="BQ181" i="9"/>
  <c r="BX181" i="9"/>
  <c r="CC181" i="9"/>
  <c r="CG181" i="9"/>
  <c r="CK181" i="9"/>
  <c r="CG290" i="9"/>
  <c r="BQ282" i="9"/>
  <c r="AI282" i="9"/>
  <c r="BA281" i="9"/>
  <c r="AI279" i="9"/>
  <c r="A279" i="9"/>
  <c r="BB277" i="9"/>
  <c r="BB273" i="9"/>
  <c r="CK271" i="9"/>
  <c r="AY271" i="9" a="1"/>
  <c r="AY271" i="9" s="1"/>
  <c r="CC262" i="9"/>
  <c r="AI262" i="9"/>
  <c r="CG259" i="9"/>
  <c r="BA259" i="9"/>
  <c r="CC258" i="9"/>
  <c r="AI258" i="9"/>
  <c r="CC256" i="9"/>
  <c r="BA256" i="9"/>
  <c r="CK250" i="9"/>
  <c r="BX248" i="9"/>
  <c r="A248" i="9"/>
  <c r="AY247" i="9" a="1"/>
  <c r="AY247" i="9" s="1"/>
  <c r="CK242" i="9"/>
  <c r="BD236" i="9"/>
  <c r="A132" i="9"/>
  <c r="BD132" i="9"/>
  <c r="BI132" i="9"/>
  <c r="AI132" i="9"/>
  <c r="BM132" i="9"/>
  <c r="AY132" i="9" a="1"/>
  <c r="AY132" i="9" s="1"/>
  <c r="AZ132" i="9" s="1"/>
  <c r="BQ132" i="9"/>
  <c r="BX132" i="9"/>
  <c r="CC132" i="9"/>
  <c r="CG132" i="9"/>
  <c r="CG327" i="9"/>
  <c r="BI326" i="9"/>
  <c r="BA311" i="9"/>
  <c r="BD309" i="9"/>
  <c r="BI291" i="9"/>
  <c r="CC290" i="9"/>
  <c r="CD290" i="9" s="1"/>
  <c r="CE290" i="9" s="1"/>
  <c r="BM282" i="9"/>
  <c r="BA279" i="9"/>
  <c r="BA278" i="9"/>
  <c r="CG271" i="9"/>
  <c r="BX262" i="9"/>
  <c r="BX259" i="9"/>
  <c r="CG250" i="9"/>
  <c r="BQ248" i="9"/>
  <c r="BA247" i="9"/>
  <c r="BA235" i="9"/>
  <c r="BN232" i="9"/>
  <c r="BO232" i="9" s="1"/>
  <c r="CK217" i="9"/>
  <c r="BQ217" i="9"/>
  <c r="BX217" i="9"/>
  <c r="A217" i="9"/>
  <c r="AI217" i="9"/>
  <c r="CC217" i="9"/>
  <c r="BD217" i="9"/>
  <c r="BI217" i="9"/>
  <c r="BA178" i="9"/>
  <c r="AY150" i="9" a="1"/>
  <c r="AY150" i="9" s="1"/>
  <c r="BX150" i="9"/>
  <c r="A150" i="9"/>
  <c r="CC150" i="9"/>
  <c r="CD150" i="9" s="1"/>
  <c r="CE150" i="9" s="1"/>
  <c r="AI150" i="9"/>
  <c r="CK150" i="9"/>
  <c r="BD150" i="9"/>
  <c r="BI150" i="9"/>
  <c r="BI266" i="9"/>
  <c r="BA254" i="9"/>
  <c r="BI248" i="9"/>
  <c r="BI224" i="9"/>
  <c r="A224" i="9"/>
  <c r="BQ224" i="9"/>
  <c r="CK224" i="9"/>
  <c r="BI178" i="9"/>
  <c r="BX178" i="9"/>
  <c r="AI178" i="9"/>
  <c r="CC178" i="9"/>
  <c r="AY178" i="9" a="1"/>
  <c r="AY178" i="9" s="1"/>
  <c r="AZ178" i="9" s="1"/>
  <c r="CG178" i="9"/>
  <c r="BB143" i="9"/>
  <c r="BA143" i="9"/>
  <c r="BA133" i="9"/>
  <c r="BA123" i="9"/>
  <c r="CG221" i="9"/>
  <c r="BA213" i="9"/>
  <c r="BN213" i="9" s="1"/>
  <c r="CC206" i="9"/>
  <c r="CD206" i="9" s="1"/>
  <c r="CE206" i="9" s="1"/>
  <c r="CF206" i="9" s="1" a="1"/>
  <c r="CF206" i="9" s="1"/>
  <c r="BA206" i="9"/>
  <c r="BA202" i="9"/>
  <c r="AY199" i="9" a="1"/>
  <c r="AY199" i="9" s="1"/>
  <c r="BQ197" i="9"/>
  <c r="BD184" i="9"/>
  <c r="BD169" i="9"/>
  <c r="A168" i="9"/>
  <c r="CG165" i="9"/>
  <c r="BM162" i="9"/>
  <c r="AY162" i="9" a="1"/>
  <c r="AY162" i="9" s="1"/>
  <c r="AY160" i="9" a="1"/>
  <c r="AY160" i="9" s="1"/>
  <c r="BQ158" i="9"/>
  <c r="AI158" i="9"/>
  <c r="BQ154" i="9"/>
  <c r="AI154" i="9"/>
  <c r="A154" i="9"/>
  <c r="CC149" i="9"/>
  <c r="BM146" i="9"/>
  <c r="CK143" i="9"/>
  <c r="BD143" i="9"/>
  <c r="A143" i="9"/>
  <c r="CG141" i="9"/>
  <c r="AY140" i="9" a="1"/>
  <c r="AY140" i="9" s="1"/>
  <c r="BI138" i="9"/>
  <c r="BM136" i="9"/>
  <c r="CK134" i="9"/>
  <c r="AI134" i="9"/>
  <c r="BB133" i="9"/>
  <c r="BB132" i="9"/>
  <c r="CG131" i="9"/>
  <c r="BA131" i="9"/>
  <c r="BX130" i="9"/>
  <c r="AY130" i="9" a="1"/>
  <c r="AY130" i="9" s="1"/>
  <c r="BB125" i="9"/>
  <c r="CC124" i="9"/>
  <c r="BB124" i="9"/>
  <c r="BB123" i="9"/>
  <c r="CC221" i="9"/>
  <c r="BA221" i="9"/>
  <c r="CG219" i="9"/>
  <c r="CH219" i="9" s="1"/>
  <c r="CI219" i="9" s="1"/>
  <c r="BB216" i="9"/>
  <c r="BB214" i="9"/>
  <c r="BF214" i="9" s="1"/>
  <c r="BM212" i="9"/>
  <c r="BB208" i="9"/>
  <c r="BX206" i="9"/>
  <c r="AY206" i="9" a="1"/>
  <c r="AY206" i="9" s="1"/>
  <c r="AZ206" i="9" s="1"/>
  <c r="BA205" i="9"/>
  <c r="BB203" i="9"/>
  <c r="BI197" i="9"/>
  <c r="CG194" i="9"/>
  <c r="BF186" i="9"/>
  <c r="CK184" i="9"/>
  <c r="BB178" i="9"/>
  <c r="CG139" i="9"/>
  <c r="AY139" i="9" a="1"/>
  <c r="AY139" i="9" s="1"/>
  <c r="CG134" i="9"/>
  <c r="BA134" i="9"/>
  <c r="CC131" i="9"/>
  <c r="AY131" i="9" a="1"/>
  <c r="AY131" i="9" s="1"/>
  <c r="BB222" i="9"/>
  <c r="BX221" i="9"/>
  <c r="AY221" i="9" a="1"/>
  <c r="AY221" i="9" s="1"/>
  <c r="BA198" i="9"/>
  <c r="BD196" i="9"/>
  <c r="A193" i="9"/>
  <c r="CC189" i="9"/>
  <c r="AI189" i="9"/>
  <c r="A189" i="9"/>
  <c r="CG186" i="9"/>
  <c r="AI186" i="9"/>
  <c r="A186" i="9"/>
  <c r="CG184" i="9"/>
  <c r="BD177" i="9"/>
  <c r="BB174" i="9"/>
  <c r="BR174" i="9" s="1"/>
  <c r="BA173" i="9"/>
  <c r="BB166" i="9"/>
  <c r="BX165" i="9"/>
  <c r="CG163" i="9"/>
  <c r="CK162" i="9"/>
  <c r="BD162" i="9"/>
  <c r="CC159" i="9"/>
  <c r="AY159" i="9" a="1"/>
  <c r="AY159" i="9" s="1"/>
  <c r="AZ159" i="9" s="1"/>
  <c r="BI158" i="9"/>
  <c r="BI154" i="9"/>
  <c r="CG151" i="9"/>
  <c r="AI151" i="9"/>
  <c r="BQ149" i="9"/>
  <c r="CC143" i="9"/>
  <c r="CD143" i="9" s="1"/>
  <c r="CE143" i="9" s="1"/>
  <c r="CG142" i="9"/>
  <c r="BX141" i="9"/>
  <c r="CC139" i="9"/>
  <c r="AI139" i="9"/>
  <c r="BQ134" i="9"/>
  <c r="BX131" i="9"/>
  <c r="AI131" i="9"/>
  <c r="BA130" i="9"/>
  <c r="BB128" i="9"/>
  <c r="A128" i="9"/>
  <c r="CK125" i="9"/>
  <c r="AY125" i="9" a="1"/>
  <c r="AY125" i="9" s="1"/>
  <c r="BQ124" i="9"/>
  <c r="BQ226" i="9"/>
  <c r="BQ221" i="9"/>
  <c r="AI221" i="9"/>
  <c r="BI219" i="9"/>
  <c r="A197" i="9"/>
  <c r="CC184" i="9"/>
  <c r="AY184" i="9" a="1"/>
  <c r="AY184" i="9" s="1"/>
  <c r="BB183" i="9"/>
  <c r="CC169" i="9"/>
  <c r="AI169" i="9"/>
  <c r="A169" i="9"/>
  <c r="BI159" i="9"/>
  <c r="AI159" i="9"/>
  <c r="BI226" i="9"/>
  <c r="CG222" i="9"/>
  <c r="AY222" i="9" a="1"/>
  <c r="AY222" i="9" s="1"/>
  <c r="AZ222" i="9" s="1"/>
  <c r="BF222" i="9" s="1"/>
  <c r="BM221" i="9"/>
  <c r="A221" i="9"/>
  <c r="BI215" i="9"/>
  <c r="CK212" i="9"/>
  <c r="CG208" i="9"/>
  <c r="CG204" i="9"/>
  <c r="AY204" i="9" a="1"/>
  <c r="AY204" i="9" s="1"/>
  <c r="BX201" i="9"/>
  <c r="CG199" i="9"/>
  <c r="CK196" i="9"/>
  <c r="AY196" i="9" a="1"/>
  <c r="AY196" i="9" s="1"/>
  <c r="AZ196" i="9" s="1"/>
  <c r="BX184" i="9"/>
  <c r="BX169" i="9"/>
  <c r="BD159" i="9"/>
  <c r="A159" i="9"/>
  <c r="BB155" i="9"/>
  <c r="BI151" i="9"/>
  <c r="BD142" i="9"/>
  <c r="BI134" i="9"/>
  <c r="BM131" i="9"/>
  <c r="A131" i="9"/>
  <c r="BA129" i="9"/>
  <c r="CC222" i="9"/>
  <c r="AI222" i="9"/>
  <c r="BA218" i="9"/>
  <c r="BJ214" i="9"/>
  <c r="AI214" i="9"/>
  <c r="CG212" i="9"/>
  <c r="AY212" i="9" a="1"/>
  <c r="AY212" i="9" s="1"/>
  <c r="AI210" i="9"/>
  <c r="CC190" i="9"/>
  <c r="BQ184" i="9"/>
  <c r="A184" i="9"/>
  <c r="BA181" i="9"/>
  <c r="BA175" i="9"/>
  <c r="AI174" i="9"/>
  <c r="A174" i="9"/>
  <c r="BM173" i="9"/>
  <c r="BN173" i="9" s="1"/>
  <c r="BO173" i="9" s="1"/>
  <c r="BQ169" i="9"/>
  <c r="CC162" i="9"/>
  <c r="CG160" i="9"/>
  <c r="CK158" i="9"/>
  <c r="CG154" i="9"/>
  <c r="BB153" i="9"/>
  <c r="BA158" i="9"/>
  <c r="AZ1004" i="9"/>
  <c r="BN1004" i="9" s="1"/>
  <c r="BO1004" i="9" s="1"/>
  <c r="AZ985" i="9"/>
  <c r="AZ1020" i="9"/>
  <c r="BN1020" i="9" s="1"/>
  <c r="BO1020" i="9" s="1"/>
  <c r="AZ1010" i="9"/>
  <c r="BJ1010" i="9" s="1"/>
  <c r="BK1010" i="9" s="1"/>
  <c r="AZ991" i="9"/>
  <c r="AZ986" i="9"/>
  <c r="AZ980" i="9"/>
  <c r="BF980" i="9" s="1"/>
  <c r="BG980" i="9" s="1"/>
  <c r="AZ961" i="9"/>
  <c r="BZ1010" i="9"/>
  <c r="CA1010" i="9" s="1"/>
  <c r="CB1010" i="9" s="1" a="1"/>
  <c r="CB1010" i="9" s="1"/>
  <c r="AZ996" i="9"/>
  <c r="AZ969" i="9"/>
  <c r="AZ1007" i="9"/>
  <c r="AZ1002" i="9"/>
  <c r="CH1002" i="9" s="1"/>
  <c r="CI1002" i="9" s="1"/>
  <c r="AZ993" i="9"/>
  <c r="CD993" i="9" s="1"/>
  <c r="CE993" i="9" s="1"/>
  <c r="BF979" i="9"/>
  <c r="BG979" i="9" s="1"/>
  <c r="AZ1012" i="9"/>
  <c r="BJ1012" i="9" s="1"/>
  <c r="BK1012" i="9" s="1"/>
  <c r="BR993" i="9"/>
  <c r="BS993" i="9" s="1"/>
  <c r="BU993" i="9" s="1" a="1"/>
  <c r="BU993" i="9" s="1"/>
  <c r="AZ1009" i="9"/>
  <c r="BF1004" i="9"/>
  <c r="BG1004" i="9" s="1"/>
  <c r="BH1004" i="9" s="1" a="1"/>
  <c r="BH1004" i="9" s="1"/>
  <c r="BJ1004" i="9"/>
  <c r="BK1004" i="9" s="1"/>
  <c r="AZ994" i="9"/>
  <c r="AZ988" i="9"/>
  <c r="BF988" i="9" s="1"/>
  <c r="BG988" i="9" s="1"/>
  <c r="BH988" i="9" s="1" a="1"/>
  <c r="BH988" i="9" s="1"/>
  <c r="BF1020" i="9"/>
  <c r="BG1020" i="9" s="1"/>
  <c r="BH1020" i="9" s="1" a="1"/>
  <c r="BH1020" i="9" s="1"/>
  <c r="BJ1020" i="9"/>
  <c r="BK1020" i="9" s="1"/>
  <c r="CL1010" i="9"/>
  <c r="CM1010" i="9" s="1"/>
  <c r="CG1022" i="9"/>
  <c r="AY1022" i="9" a="1"/>
  <c r="AY1022" i="9" s="1"/>
  <c r="CC1021" i="9"/>
  <c r="BA1021" i="9"/>
  <c r="BX1020" i="9"/>
  <c r="CL1020" i="9" s="1"/>
  <c r="CM1020" i="9" s="1"/>
  <c r="BQ1020" i="9"/>
  <c r="BR1020" i="9" s="1"/>
  <c r="BS1020" i="9" s="1"/>
  <c r="BM1019" i="9"/>
  <c r="AZ1016" i="9"/>
  <c r="A1016" i="9"/>
  <c r="CK1015" i="9"/>
  <c r="CG1014" i="9"/>
  <c r="AY1014" i="9" a="1"/>
  <c r="AY1014" i="9" s="1"/>
  <c r="CC1013" i="9"/>
  <c r="BA1013" i="9"/>
  <c r="BX1012" i="9"/>
  <c r="BQ1012" i="9"/>
  <c r="BR1012" i="9" s="1"/>
  <c r="BS1012" i="9" s="1"/>
  <c r="BM1011" i="9"/>
  <c r="BD1009" i="9"/>
  <c r="AZ1008" i="9"/>
  <c r="CD1008" i="9" s="1"/>
  <c r="CE1008" i="9" s="1"/>
  <c r="A1008" i="9"/>
  <c r="CK1007" i="9"/>
  <c r="CG1006" i="9"/>
  <c r="AY1006" i="9" a="1"/>
  <c r="AY1006" i="9" s="1"/>
  <c r="CC1005" i="9"/>
  <c r="BA1005" i="9"/>
  <c r="BX1004" i="9"/>
  <c r="CL1004" i="9" s="1"/>
  <c r="CM1004" i="9" s="1"/>
  <c r="BQ1004" i="9"/>
  <c r="BR1004" i="9" s="1"/>
  <c r="BS1004" i="9" s="1"/>
  <c r="BM1003" i="9"/>
  <c r="BD1001" i="9"/>
  <c r="AZ1000" i="9"/>
  <c r="CL1000" i="9" s="1"/>
  <c r="CM1000" i="9" s="1"/>
  <c r="A1000" i="9"/>
  <c r="CK999" i="9"/>
  <c r="CG998" i="9"/>
  <c r="AY998" i="9" a="1"/>
  <c r="AY998" i="9" s="1"/>
  <c r="CC997" i="9"/>
  <c r="BA997" i="9"/>
  <c r="BX996" i="9"/>
  <c r="BQ996" i="9"/>
  <c r="BM995" i="9"/>
  <c r="AZ992" i="9"/>
  <c r="CL992" i="9" s="1"/>
  <c r="CM992" i="9" s="1"/>
  <c r="A992" i="9"/>
  <c r="CK991" i="9"/>
  <c r="CG990" i="9"/>
  <c r="AY990" i="9" a="1"/>
  <c r="AY990" i="9" s="1"/>
  <c r="CC989" i="9"/>
  <c r="BA989" i="9"/>
  <c r="BX988" i="9"/>
  <c r="BQ988" i="9"/>
  <c r="BM987" i="9"/>
  <c r="A984" i="9"/>
  <c r="CK983" i="9"/>
  <c r="CG982" i="9"/>
  <c r="AY982" i="9" a="1"/>
  <c r="AY982" i="9" s="1"/>
  <c r="CC981" i="9"/>
  <c r="BA981" i="9"/>
  <c r="BX980" i="9"/>
  <c r="BQ980" i="9"/>
  <c r="BR980" i="9" s="1"/>
  <c r="BS980" i="9" s="1"/>
  <c r="BI979" i="9"/>
  <c r="BI977" i="9"/>
  <c r="BQ965" i="9"/>
  <c r="BM964" i="9"/>
  <c r="A960" i="9"/>
  <c r="BQ960" i="9"/>
  <c r="BX960" i="9"/>
  <c r="AI960" i="9"/>
  <c r="BD960" i="9"/>
  <c r="BM960" i="9"/>
  <c r="BI957" i="9"/>
  <c r="BQ956" i="9"/>
  <c r="BX956" i="9"/>
  <c r="BM956" i="9"/>
  <c r="A956" i="9"/>
  <c r="BA956" i="9"/>
  <c r="CC956" i="9"/>
  <c r="CK956" i="9"/>
  <c r="AZ943" i="9"/>
  <c r="AZ936" i="9"/>
  <c r="AZ906" i="9"/>
  <c r="AZ904" i="9"/>
  <c r="BD1022" i="9"/>
  <c r="AI1022" i="9"/>
  <c r="A1021" i="9"/>
  <c r="CG1019" i="9"/>
  <c r="AY1019" i="9" a="1"/>
  <c r="AY1019" i="9" s="1"/>
  <c r="BB1015" i="9"/>
  <c r="BD1014" i="9"/>
  <c r="AI1014" i="9"/>
  <c r="A1013" i="9"/>
  <c r="CG1011" i="9"/>
  <c r="AY1011" i="9" a="1"/>
  <c r="AY1011" i="9" s="1"/>
  <c r="BB1007" i="9"/>
  <c r="BD1006" i="9"/>
  <c r="AI1006" i="9"/>
  <c r="A1005" i="9"/>
  <c r="CG1003" i="9"/>
  <c r="AY1003" i="9" a="1"/>
  <c r="AY1003" i="9" s="1"/>
  <c r="BB999" i="9"/>
  <c r="BD998" i="9"/>
  <c r="AI998" i="9"/>
  <c r="A997" i="9"/>
  <c r="CG995" i="9"/>
  <c r="AY995" i="9" a="1"/>
  <c r="AY995" i="9" s="1"/>
  <c r="CH992" i="9"/>
  <c r="CI992" i="9" s="1"/>
  <c r="BB991" i="9"/>
  <c r="CH991" i="9" s="1"/>
  <c r="CI991" i="9" s="1"/>
  <c r="BD990" i="9"/>
  <c r="AI990" i="9"/>
  <c r="A989" i="9"/>
  <c r="CG987" i="9"/>
  <c r="AY987" i="9" a="1"/>
  <c r="AY987" i="9" s="1"/>
  <c r="BB983" i="9"/>
  <c r="BD982" i="9"/>
  <c r="AI982" i="9"/>
  <c r="A981" i="9"/>
  <c r="AY978" i="9" a="1"/>
  <c r="AY978" i="9" s="1"/>
  <c r="CG978" i="9"/>
  <c r="CC978" i="9"/>
  <c r="A978" i="9"/>
  <c r="AY977" i="9" a="1"/>
  <c r="AY977" i="9" s="1"/>
  <c r="BQ976" i="9"/>
  <c r="BX976" i="9"/>
  <c r="BM976" i="9"/>
  <c r="A976" i="9"/>
  <c r="CC973" i="9"/>
  <c r="AI973" i="9"/>
  <c r="BD973" i="9"/>
  <c r="AY973" i="9" a="1"/>
  <c r="AY973" i="9" s="1"/>
  <c r="CG973" i="9"/>
  <c r="A973" i="9"/>
  <c r="BM971" i="9"/>
  <c r="CK971" i="9"/>
  <c r="BQ971" i="9"/>
  <c r="BX971" i="9"/>
  <c r="AY971" i="9" a="1"/>
  <c r="AY971" i="9" s="1"/>
  <c r="CG971" i="9"/>
  <c r="AZ970" i="9"/>
  <c r="BA966" i="9"/>
  <c r="CD966" i="9" s="1"/>
  <c r="CE966" i="9" s="1"/>
  <c r="BB962" i="9"/>
  <c r="BA962" i="9"/>
  <c r="AZ952" i="9"/>
  <c r="AZ938" i="9"/>
  <c r="AZ929" i="9"/>
  <c r="AZ913" i="9"/>
  <c r="BF913" i="9" s="1"/>
  <c r="BG913" i="9" s="1"/>
  <c r="BH913" i="9" s="1" a="1"/>
  <c r="BH913" i="9" s="1"/>
  <c r="BX1022" i="9"/>
  <c r="BQ1022" i="9"/>
  <c r="BM1021" i="9"/>
  <c r="BD1019" i="9"/>
  <c r="AI1019" i="9"/>
  <c r="CC1015" i="9"/>
  <c r="BX1014" i="9"/>
  <c r="BQ1014" i="9"/>
  <c r="BM1013" i="9"/>
  <c r="BD1011" i="9"/>
  <c r="AI1011" i="9"/>
  <c r="CC1007" i="9"/>
  <c r="BX1006" i="9"/>
  <c r="BQ1006" i="9"/>
  <c r="BM1005" i="9"/>
  <c r="BD1003" i="9"/>
  <c r="AI1003" i="9"/>
  <c r="CC999" i="9"/>
  <c r="BX998" i="9"/>
  <c r="BQ998" i="9"/>
  <c r="BM997" i="9"/>
  <c r="BD995" i="9"/>
  <c r="AI995" i="9"/>
  <c r="CC991" i="9"/>
  <c r="BX990" i="9"/>
  <c r="BQ990" i="9"/>
  <c r="BM989" i="9"/>
  <c r="BD987" i="9"/>
  <c r="AI987" i="9"/>
  <c r="CC983" i="9"/>
  <c r="BX982" i="9"/>
  <c r="BQ982" i="9"/>
  <c r="BM981" i="9"/>
  <c r="AI977" i="9"/>
  <c r="CD974" i="9"/>
  <c r="BQ972" i="9"/>
  <c r="BX972" i="9"/>
  <c r="A972" i="9"/>
  <c r="BA972" i="9"/>
  <c r="CC972" i="9"/>
  <c r="CK972" i="9"/>
  <c r="CC971" i="9"/>
  <c r="A968" i="9"/>
  <c r="BQ968" i="9"/>
  <c r="BX968" i="9"/>
  <c r="AI968" i="9"/>
  <c r="BD968" i="9"/>
  <c r="BM968" i="9"/>
  <c r="BB965" i="9"/>
  <c r="AZ945" i="9"/>
  <c r="BR943" i="9"/>
  <c r="BS943" i="9" s="1"/>
  <c r="AZ919" i="9"/>
  <c r="CD919" i="9" s="1"/>
  <c r="CE919" i="9" s="1"/>
  <c r="AZ877" i="9"/>
  <c r="CK1022" i="9"/>
  <c r="CG1021" i="9"/>
  <c r="AY1021" i="9" a="1"/>
  <c r="AY1021" i="9" s="1"/>
  <c r="CC1020" i="9"/>
  <c r="BX1019" i="9"/>
  <c r="BQ1019" i="9"/>
  <c r="BD1016" i="9"/>
  <c r="A1015" i="9"/>
  <c r="CK1014" i="9"/>
  <c r="CG1013" i="9"/>
  <c r="AY1013" i="9" a="1"/>
  <c r="AY1013" i="9" s="1"/>
  <c r="CC1012" i="9"/>
  <c r="CD1012" i="9" s="1"/>
  <c r="CE1012" i="9" s="1"/>
  <c r="BX1011" i="9"/>
  <c r="BQ1011" i="9"/>
  <c r="BD1008" i="9"/>
  <c r="BN1008" i="9" s="1"/>
  <c r="BO1008" i="9" s="1"/>
  <c r="A1007" i="9"/>
  <c r="CK1006" i="9"/>
  <c r="CG1005" i="9"/>
  <c r="AY1005" i="9" a="1"/>
  <c r="AY1005" i="9" s="1"/>
  <c r="CC1004" i="9"/>
  <c r="BX1003" i="9"/>
  <c r="BQ1003" i="9"/>
  <c r="BD1000" i="9"/>
  <c r="BF1000" i="9" s="1"/>
  <c r="BG1000" i="9" s="1"/>
  <c r="BH1000" i="9" s="1" a="1"/>
  <c r="BH1000" i="9" s="1"/>
  <c r="A999" i="9"/>
  <c r="CK998" i="9"/>
  <c r="CG997" i="9"/>
  <c r="AY997" i="9" a="1"/>
  <c r="AY997" i="9" s="1"/>
  <c r="CC996" i="9"/>
  <c r="BX995" i="9"/>
  <c r="BQ995" i="9"/>
  <c r="BD992" i="9"/>
  <c r="BF992" i="9" s="1"/>
  <c r="BG992" i="9" s="1"/>
  <c r="BH992" i="9" s="1" a="1"/>
  <c r="BH992" i="9" s="1"/>
  <c r="A991" i="9"/>
  <c r="CK990" i="9"/>
  <c r="CG989" i="9"/>
  <c r="AY989" i="9" a="1"/>
  <c r="AY989" i="9" s="1"/>
  <c r="CC988" i="9"/>
  <c r="BX987" i="9"/>
  <c r="BQ987" i="9"/>
  <c r="BD984" i="9"/>
  <c r="A983" i="9"/>
  <c r="CK982" i="9"/>
  <c r="CG981" i="9"/>
  <c r="AY981" i="9" a="1"/>
  <c r="AY981" i="9" s="1"/>
  <c r="CC980" i="9"/>
  <c r="BX979" i="9"/>
  <c r="AI979" i="9"/>
  <c r="BB978" i="9"/>
  <c r="CG977" i="9"/>
  <c r="BA977" i="9"/>
  <c r="CK976" i="9"/>
  <c r="CC976" i="9"/>
  <c r="BA976" i="9"/>
  <c r="BQ973" i="9"/>
  <c r="BM972" i="9"/>
  <c r="BB970" i="9"/>
  <c r="BA970" i="9"/>
  <c r="CG968" i="9"/>
  <c r="BI964" i="9"/>
  <c r="AY964" i="9" a="1"/>
  <c r="AY964" i="9" s="1"/>
  <c r="BA959" i="9"/>
  <c r="CK957" i="9"/>
  <c r="CG956" i="9"/>
  <c r="AZ935" i="9"/>
  <c r="CH935" i="9" s="1"/>
  <c r="CI935" i="9" s="1"/>
  <c r="AZ930" i="9"/>
  <c r="AZ928" i="9"/>
  <c r="AZ914" i="9"/>
  <c r="AZ903" i="9"/>
  <c r="CH903" i="9" s="1"/>
  <c r="CI903" i="9" s="1"/>
  <c r="BF900" i="9"/>
  <c r="BG900" i="9" s="1"/>
  <c r="BH900" i="9" s="1" a="1"/>
  <c r="BH900" i="9" s="1"/>
  <c r="BD1021" i="9"/>
  <c r="AI1021" i="9"/>
  <c r="CK1019" i="9"/>
  <c r="BD1013" i="9"/>
  <c r="AI1013" i="9"/>
  <c r="CK1011" i="9"/>
  <c r="BD1005" i="9"/>
  <c r="AI1005" i="9"/>
  <c r="CK1003" i="9"/>
  <c r="BD997" i="9"/>
  <c r="AI997" i="9"/>
  <c r="CK995" i="9"/>
  <c r="BD989" i="9"/>
  <c r="AI989" i="9"/>
  <c r="CK987" i="9"/>
  <c r="BD981" i="9"/>
  <c r="AI981" i="9"/>
  <c r="CK978" i="9"/>
  <c r="BM977" i="9"/>
  <c r="BZ974" i="9"/>
  <c r="CA974" i="9" s="1"/>
  <c r="CB974" i="9" s="1" a="1"/>
  <c r="CB974" i="9" s="1"/>
  <c r="AI964" i="9"/>
  <c r="AZ959" i="9"/>
  <c r="AZ956" i="9"/>
  <c r="BA951" i="9"/>
  <c r="AZ921" i="9"/>
  <c r="AZ896" i="9"/>
  <c r="BF887" i="9"/>
  <c r="BG887" i="9" s="1"/>
  <c r="BH887" i="9" s="1" a="1"/>
  <c r="BH887" i="9" s="1"/>
  <c r="CC977" i="9"/>
  <c r="BQ977" i="9"/>
  <c r="BX977" i="9"/>
  <c r="A977" i="9"/>
  <c r="AZ972" i="9"/>
  <c r="AZ960" i="9"/>
  <c r="CH960" i="9" s="1"/>
  <c r="CI960" i="9" s="1"/>
  <c r="BA958" i="9"/>
  <c r="BB958" i="9"/>
  <c r="BA957" i="9"/>
  <c r="AZ951" i="9"/>
  <c r="BA950" i="9"/>
  <c r="BB950" i="9"/>
  <c r="AZ944" i="9"/>
  <c r="BR935" i="9"/>
  <c r="BS935" i="9" s="1"/>
  <c r="CG1020" i="9"/>
  <c r="CH1020" i="9" s="1"/>
  <c r="CI1020" i="9" s="1"/>
  <c r="CC1019" i="9"/>
  <c r="BA1019" i="9"/>
  <c r="BD1015" i="9"/>
  <c r="CG1012" i="9"/>
  <c r="CH1012" i="9" s="1"/>
  <c r="CI1012" i="9" s="1"/>
  <c r="CC1011" i="9"/>
  <c r="BA1011" i="9"/>
  <c r="BD1007" i="9"/>
  <c r="CG1004" i="9"/>
  <c r="CH1004" i="9" s="1"/>
  <c r="CI1004" i="9" s="1"/>
  <c r="CC1003" i="9"/>
  <c r="BA1003" i="9"/>
  <c r="BD999" i="9"/>
  <c r="CG996" i="9"/>
  <c r="CC995" i="9"/>
  <c r="BA995" i="9"/>
  <c r="BD991" i="9"/>
  <c r="CG988" i="9"/>
  <c r="CC987" i="9"/>
  <c r="BA987" i="9"/>
  <c r="BD983" i="9"/>
  <c r="CG980" i="9"/>
  <c r="CH980" i="9" s="1"/>
  <c r="CI980" i="9" s="1"/>
  <c r="A979" i="9"/>
  <c r="AI978" i="9"/>
  <c r="AI976" i="9"/>
  <c r="CE974" i="9"/>
  <c r="CM974" i="9"/>
  <c r="BM973" i="9"/>
  <c r="AI971" i="9"/>
  <c r="AZ967" i="9"/>
  <c r="CC965" i="9"/>
  <c r="AI965" i="9"/>
  <c r="BD965" i="9"/>
  <c r="AY965" i="9" a="1"/>
  <c r="AY965" i="9" s="1"/>
  <c r="CG965" i="9"/>
  <c r="A965" i="9"/>
  <c r="BM963" i="9"/>
  <c r="CK963" i="9"/>
  <c r="BQ963" i="9"/>
  <c r="BX963" i="9"/>
  <c r="AY963" i="9" a="1"/>
  <c r="AY963" i="9" s="1"/>
  <c r="CG963" i="9"/>
  <c r="AZ953" i="9"/>
  <c r="BQ948" i="9"/>
  <c r="BX948" i="9"/>
  <c r="AI948" i="9"/>
  <c r="BD948" i="9"/>
  <c r="AY948" i="9" a="1"/>
  <c r="AY948" i="9" s="1"/>
  <c r="CG948" i="9"/>
  <c r="BM948" i="9"/>
  <c r="A948" i="9"/>
  <c r="BA948" i="9"/>
  <c r="CC948" i="9"/>
  <c r="CK948" i="9"/>
  <c r="AZ927" i="9"/>
  <c r="BN927" i="9" s="1"/>
  <c r="BO927" i="9" s="1"/>
  <c r="AZ922" i="9"/>
  <c r="AZ920" i="9"/>
  <c r="AZ905" i="9"/>
  <c r="CK977" i="9"/>
  <c r="BQ964" i="9"/>
  <c r="BX964" i="9"/>
  <c r="A964" i="9"/>
  <c r="BA964" i="9"/>
  <c r="CC964" i="9"/>
  <c r="CK964" i="9"/>
  <c r="CC957" i="9"/>
  <c r="BQ957" i="9"/>
  <c r="BX957" i="9"/>
  <c r="AI957" i="9"/>
  <c r="BD957" i="9"/>
  <c r="AY957" i="9" a="1"/>
  <c r="AY957" i="9" s="1"/>
  <c r="CG957" i="9"/>
  <c r="A957" i="9"/>
  <c r="AZ937" i="9"/>
  <c r="BN903" i="9"/>
  <c r="BO903" i="9" s="1"/>
  <c r="BD974" i="9"/>
  <c r="BN974" i="9" s="1"/>
  <c r="BO974" i="9" s="1"/>
  <c r="CC970" i="9"/>
  <c r="BX969" i="9"/>
  <c r="CH969" i="9" s="1"/>
  <c r="CI969" i="9" s="1"/>
  <c r="BQ969" i="9"/>
  <c r="CC962" i="9"/>
  <c r="BX961" i="9"/>
  <c r="CH961" i="9" s="1"/>
  <c r="CI961" i="9" s="1"/>
  <c r="BQ961" i="9"/>
  <c r="CG955" i="9"/>
  <c r="AY955" i="9" a="1"/>
  <c r="AY955" i="9" s="1"/>
  <c r="CC954" i="9"/>
  <c r="BA954" i="9"/>
  <c r="BX953" i="9"/>
  <c r="BQ953" i="9"/>
  <c r="BM952" i="9"/>
  <c r="A949" i="9"/>
  <c r="CG947" i="9"/>
  <c r="AY947" i="9" a="1"/>
  <c r="AY947" i="9" s="1"/>
  <c r="CC946" i="9"/>
  <c r="BA946" i="9"/>
  <c r="BR946" i="9" s="1"/>
  <c r="BS946" i="9" s="1"/>
  <c r="BX945" i="9"/>
  <c r="BQ945" i="9"/>
  <c r="BM944" i="9"/>
  <c r="A941" i="9"/>
  <c r="CK940" i="9"/>
  <c r="CG939" i="9"/>
  <c r="AY939" i="9" a="1"/>
  <c r="AY939" i="9" s="1"/>
  <c r="CC938" i="9"/>
  <c r="CD938" i="9" s="1"/>
  <c r="CE938" i="9" s="1"/>
  <c r="BA938" i="9"/>
  <c r="BX937" i="9"/>
  <c r="BQ937" i="9"/>
  <c r="BM936" i="9"/>
  <c r="BD934" i="9"/>
  <c r="A933" i="9"/>
  <c r="CK932" i="9"/>
  <c r="CG931" i="9"/>
  <c r="AY931" i="9" a="1"/>
  <c r="AY931" i="9" s="1"/>
  <c r="CC930" i="9"/>
  <c r="BA930" i="9"/>
  <c r="BX929" i="9"/>
  <c r="BQ929" i="9"/>
  <c r="BM928" i="9"/>
  <c r="BD926" i="9"/>
  <c r="A925" i="9"/>
  <c r="CK924" i="9"/>
  <c r="CG923" i="9"/>
  <c r="AY923" i="9" a="1"/>
  <c r="AY923" i="9" s="1"/>
  <c r="CC922" i="9"/>
  <c r="BA922" i="9"/>
  <c r="BX921" i="9"/>
  <c r="BQ921" i="9"/>
  <c r="BM920" i="9"/>
  <c r="A917" i="9"/>
  <c r="CK916" i="9"/>
  <c r="CG915" i="9"/>
  <c r="AY915" i="9" a="1"/>
  <c r="AY915" i="9" s="1"/>
  <c r="CC914" i="9"/>
  <c r="BA914" i="9"/>
  <c r="BX913" i="9"/>
  <c r="BQ913" i="9"/>
  <c r="BR913" i="9" s="1"/>
  <c r="BS913" i="9" s="1"/>
  <c r="BM912" i="9"/>
  <c r="A909" i="9"/>
  <c r="CK908" i="9"/>
  <c r="CG907" i="9"/>
  <c r="AY907" i="9" a="1"/>
  <c r="AY907" i="9" s="1"/>
  <c r="CC906" i="9"/>
  <c r="BA906" i="9"/>
  <c r="BX905" i="9"/>
  <c r="BQ905" i="9"/>
  <c r="BM904" i="9"/>
  <c r="AI902" i="9"/>
  <c r="AY902" i="9" a="1"/>
  <c r="AY902" i="9" s="1"/>
  <c r="BQ901" i="9"/>
  <c r="BI901" i="9"/>
  <c r="AY901" i="9" a="1"/>
  <c r="AY901" i="9" s="1"/>
  <c r="BD896" i="9"/>
  <c r="AY891" i="9" a="1"/>
  <c r="AY891" i="9" s="1"/>
  <c r="CG891" i="9"/>
  <c r="BM891" i="9"/>
  <c r="A891" i="9"/>
  <c r="CK891" i="9"/>
  <c r="BA890" i="9"/>
  <c r="BB890" i="9"/>
  <c r="CD890" i="9" s="1"/>
  <c r="CE890" i="9" s="1"/>
  <c r="BQ889" i="9"/>
  <c r="BX889" i="9"/>
  <c r="AI889" i="9"/>
  <c r="BD889" i="9"/>
  <c r="AY889" i="9" a="1"/>
  <c r="AY889" i="9" s="1"/>
  <c r="CG889" i="9"/>
  <c r="BA889" i="9"/>
  <c r="CC889" i="9"/>
  <c r="A889" i="9"/>
  <c r="BJ887" i="9"/>
  <c r="BA886" i="9"/>
  <c r="CK884" i="9"/>
  <c r="BQ884" i="9"/>
  <c r="BX884" i="9"/>
  <c r="AI884" i="9"/>
  <c r="BD884" i="9"/>
  <c r="AY884" i="9" a="1"/>
  <c r="AY884" i="9" s="1"/>
  <c r="CG884" i="9"/>
  <c r="A884" i="9"/>
  <c r="BX883" i="9"/>
  <c r="BD883" i="9"/>
  <c r="AZ869" i="9"/>
  <c r="AZ813" i="9"/>
  <c r="BF813" i="9" s="1"/>
  <c r="BG813" i="9" s="1"/>
  <c r="BH813" i="9" s="1" a="1"/>
  <c r="BH813" i="9" s="1"/>
  <c r="AZ812" i="9"/>
  <c r="AY899" i="9" a="1"/>
  <c r="AY899" i="9" s="1"/>
  <c r="CG899" i="9"/>
  <c r="BM899" i="9"/>
  <c r="A899" i="9"/>
  <c r="CK899" i="9"/>
  <c r="BA898" i="9"/>
  <c r="BB898" i="9"/>
  <c r="BQ897" i="9"/>
  <c r="BX897" i="9"/>
  <c r="AI897" i="9"/>
  <c r="BD897" i="9"/>
  <c r="AY897" i="9" a="1"/>
  <c r="AY897" i="9" s="1"/>
  <c r="CG897" i="9"/>
  <c r="BA897" i="9"/>
  <c r="CC897" i="9"/>
  <c r="A897" i="9"/>
  <c r="BK887" i="9"/>
  <c r="CH871" i="9"/>
  <c r="CI871" i="9" s="1"/>
  <c r="AZ853" i="9"/>
  <c r="AZ847" i="9"/>
  <c r="AZ840" i="9"/>
  <c r="BM970" i="9"/>
  <c r="BX955" i="9"/>
  <c r="BQ955" i="9"/>
  <c r="BD952" i="9"/>
  <c r="AI952" i="9"/>
  <c r="CG949" i="9"/>
  <c r="AY949" i="9" a="1"/>
  <c r="AY949" i="9" s="1"/>
  <c r="BX947" i="9"/>
  <c r="BQ947" i="9"/>
  <c r="BD944" i="9"/>
  <c r="BF944" i="9" s="1"/>
  <c r="BG944" i="9" s="1"/>
  <c r="AI944" i="9"/>
  <c r="CG941" i="9"/>
  <c r="AY941" i="9" a="1"/>
  <c r="AY941" i="9" s="1"/>
  <c r="CC940" i="9"/>
  <c r="BX939" i="9"/>
  <c r="BQ939" i="9"/>
  <c r="BM938" i="9"/>
  <c r="BN938" i="9" s="1"/>
  <c r="BO938" i="9" s="1"/>
  <c r="BD936" i="9"/>
  <c r="AI936" i="9"/>
  <c r="CG933" i="9"/>
  <c r="AY933" i="9" a="1"/>
  <c r="AY933" i="9" s="1"/>
  <c r="CC932" i="9"/>
  <c r="BX931" i="9"/>
  <c r="BQ931" i="9"/>
  <c r="BM930" i="9"/>
  <c r="BD928" i="9"/>
  <c r="AI928" i="9"/>
  <c r="CG925" i="9"/>
  <c r="AY925" i="9" a="1"/>
  <c r="AY925" i="9" s="1"/>
  <c r="CC924" i="9"/>
  <c r="BX923" i="9"/>
  <c r="BQ923" i="9"/>
  <c r="BM922" i="9"/>
  <c r="BN922" i="9" s="1"/>
  <c r="BO922" i="9" s="1"/>
  <c r="BD920" i="9"/>
  <c r="BF920" i="9" s="1"/>
  <c r="BG920" i="9" s="1"/>
  <c r="AI920" i="9"/>
  <c r="BN919" i="9"/>
  <c r="BO919" i="9" s="1"/>
  <c r="CG917" i="9"/>
  <c r="AY917" i="9" a="1"/>
  <c r="AY917" i="9" s="1"/>
  <c r="CC916" i="9"/>
  <c r="BX915" i="9"/>
  <c r="BQ915" i="9"/>
  <c r="BM914" i="9"/>
  <c r="BD912" i="9"/>
  <c r="AI912" i="9"/>
  <c r="CG909" i="9"/>
  <c r="AY909" i="9" a="1"/>
  <c r="AY909" i="9" s="1"/>
  <c r="CC908" i="9"/>
  <c r="BX907" i="9"/>
  <c r="BQ907" i="9"/>
  <c r="BM906" i="9"/>
  <c r="BN906" i="9" s="1"/>
  <c r="BO906" i="9" s="1"/>
  <c r="BD904" i="9"/>
  <c r="BF904" i="9" s="1"/>
  <c r="BG904" i="9" s="1"/>
  <c r="AI904" i="9"/>
  <c r="BB902" i="9"/>
  <c r="CG901" i="9"/>
  <c r="BX901" i="9"/>
  <c r="BA901" i="9"/>
  <c r="BQ899" i="9"/>
  <c r="BZ895" i="9"/>
  <c r="CA895" i="9" s="1"/>
  <c r="CB895" i="9" s="1" a="1"/>
  <c r="CB895" i="9" s="1"/>
  <c r="CK892" i="9"/>
  <c r="BQ892" i="9"/>
  <c r="BX892" i="9"/>
  <c r="AI892" i="9"/>
  <c r="BD892" i="9"/>
  <c r="A892" i="9"/>
  <c r="AY888" i="9" a="1"/>
  <c r="AY888" i="9" s="1"/>
  <c r="AZ885" i="9"/>
  <c r="BQ875" i="9"/>
  <c r="CD871" i="9"/>
  <c r="CL871" i="9"/>
  <c r="AZ863" i="9"/>
  <c r="CH863" i="9" s="1"/>
  <c r="CI863" i="9" s="1"/>
  <c r="AZ861" i="9"/>
  <c r="AZ832" i="9"/>
  <c r="AZ830" i="9"/>
  <c r="CH830" i="9" s="1"/>
  <c r="CI830" i="9" s="1"/>
  <c r="CG970" i="9"/>
  <c r="CC969" i="9"/>
  <c r="CG962" i="9"/>
  <c r="CH962" i="9" s="1"/>
  <c r="CI962" i="9" s="1"/>
  <c r="CC961" i="9"/>
  <c r="CK955" i="9"/>
  <c r="CG954" i="9"/>
  <c r="CC953" i="9"/>
  <c r="BX952" i="9"/>
  <c r="BQ952" i="9"/>
  <c r="BD949" i="9"/>
  <c r="AI949" i="9"/>
  <c r="CK947" i="9"/>
  <c r="CG946" i="9"/>
  <c r="CC945" i="9"/>
  <c r="BA945" i="9"/>
  <c r="CL945" i="9" s="1"/>
  <c r="CM945" i="9" s="1"/>
  <c r="BX944" i="9"/>
  <c r="CH944" i="9" s="1"/>
  <c r="CI944" i="9" s="1"/>
  <c r="BQ944" i="9"/>
  <c r="BR944" i="9" s="1"/>
  <c r="BS944" i="9" s="1"/>
  <c r="BB942" i="9"/>
  <c r="BD941" i="9"/>
  <c r="AI941" i="9"/>
  <c r="A940" i="9"/>
  <c r="CK939" i="9"/>
  <c r="CG938" i="9"/>
  <c r="CH938" i="9" s="1"/>
  <c r="CI938" i="9" s="1"/>
  <c r="CJ938" i="9" s="1" a="1"/>
  <c r="CJ938" i="9" s="1"/>
  <c r="CC937" i="9"/>
  <c r="BX936" i="9"/>
  <c r="BQ936" i="9"/>
  <c r="BB934" i="9"/>
  <c r="BD933" i="9"/>
  <c r="AI933" i="9"/>
  <c r="A932" i="9"/>
  <c r="CK931" i="9"/>
  <c r="CG930" i="9"/>
  <c r="BX928" i="9"/>
  <c r="BZ928" i="9" s="1"/>
  <c r="CA928" i="9" s="1"/>
  <c r="BQ928" i="9"/>
  <c r="BB926" i="9"/>
  <c r="BD925" i="9"/>
  <c r="AI925" i="9"/>
  <c r="A924" i="9"/>
  <c r="CK923" i="9"/>
  <c r="CG922" i="9"/>
  <c r="CH922" i="9" s="1"/>
  <c r="CI922" i="9" s="1"/>
  <c r="BX920" i="9"/>
  <c r="BZ920" i="9" s="1"/>
  <c r="CA920" i="9" s="1"/>
  <c r="BQ920" i="9"/>
  <c r="BB918" i="9"/>
  <c r="BD917" i="9"/>
  <c r="AI917" i="9"/>
  <c r="A916" i="9"/>
  <c r="CK915" i="9"/>
  <c r="CG914" i="9"/>
  <c r="BX912" i="9"/>
  <c r="BQ912" i="9"/>
  <c r="BB910" i="9"/>
  <c r="BD909" i="9"/>
  <c r="AI909" i="9"/>
  <c r="A908" i="9"/>
  <c r="CK907" i="9"/>
  <c r="CG906" i="9"/>
  <c r="BX904" i="9"/>
  <c r="CH904" i="9" s="1"/>
  <c r="CI904" i="9" s="1"/>
  <c r="BQ904" i="9"/>
  <c r="BI902" i="9"/>
  <c r="BM901" i="9"/>
  <c r="BJ900" i="9"/>
  <c r="CK900" i="9"/>
  <c r="CL900" i="9" s="1"/>
  <c r="CM900" i="9" s="1"/>
  <c r="BQ900" i="9"/>
  <c r="BR900" i="9" s="1"/>
  <c r="BS900" i="9" s="1"/>
  <c r="BX900" i="9"/>
  <c r="A900" i="9"/>
  <c r="CC892" i="9"/>
  <c r="BB891" i="9"/>
  <c r="AI888" i="9"/>
  <c r="BB883" i="9"/>
  <c r="BQ881" i="9"/>
  <c r="BX881" i="9"/>
  <c r="AI881" i="9"/>
  <c r="BD881" i="9"/>
  <c r="AY881" i="9" a="1"/>
  <c r="AY881" i="9" s="1"/>
  <c r="CG881" i="9"/>
  <c r="BM881" i="9"/>
  <c r="BA881" i="9"/>
  <c r="CC881" i="9"/>
  <c r="BA877" i="9"/>
  <c r="BB877" i="9"/>
  <c r="AI875" i="9"/>
  <c r="A873" i="9"/>
  <c r="AZ872" i="9"/>
  <c r="BF847" i="9"/>
  <c r="BG847" i="9" s="1"/>
  <c r="BH847" i="9" s="1" a="1"/>
  <c r="BH847" i="9" s="1"/>
  <c r="AZ845" i="9"/>
  <c r="CK952" i="9"/>
  <c r="CL952" i="9" s="1"/>
  <c r="CM952" i="9" s="1"/>
  <c r="BX949" i="9"/>
  <c r="BQ949" i="9"/>
  <c r="CK944" i="9"/>
  <c r="BF943" i="9"/>
  <c r="BG943" i="9" s="1"/>
  <c r="BH943" i="9" s="1" a="1"/>
  <c r="BH943" i="9" s="1"/>
  <c r="BX941" i="9"/>
  <c r="BQ941" i="9"/>
  <c r="BM940" i="9"/>
  <c r="CK936" i="9"/>
  <c r="BF935" i="9"/>
  <c r="BG935" i="9" s="1"/>
  <c r="BH935" i="9" s="1" a="1"/>
  <c r="BH935" i="9" s="1"/>
  <c r="BX933" i="9"/>
  <c r="BQ933" i="9"/>
  <c r="BM932" i="9"/>
  <c r="CK928" i="9"/>
  <c r="BF927" i="9"/>
  <c r="BG927" i="9" s="1"/>
  <c r="BH927" i="9" s="1" a="1"/>
  <c r="BH927" i="9" s="1"/>
  <c r="BX925" i="9"/>
  <c r="BQ925" i="9"/>
  <c r="BM924" i="9"/>
  <c r="CK920" i="9"/>
  <c r="CL920" i="9" s="1"/>
  <c r="CM920" i="9" s="1"/>
  <c r="BF919" i="9"/>
  <c r="BG919" i="9" s="1"/>
  <c r="BH919" i="9" s="1" a="1"/>
  <c r="BH919" i="9" s="1"/>
  <c r="BX917" i="9"/>
  <c r="BQ917" i="9"/>
  <c r="BM916" i="9"/>
  <c r="CK912" i="9"/>
  <c r="BX909" i="9"/>
  <c r="BQ909" i="9"/>
  <c r="BM908" i="9"/>
  <c r="CK904" i="9"/>
  <c r="BF903" i="9"/>
  <c r="BG903" i="9" s="1"/>
  <c r="BH903" i="9" s="1" a="1"/>
  <c r="BH903" i="9" s="1"/>
  <c r="A901" i="9"/>
  <c r="CC901" i="9"/>
  <c r="CC899" i="9"/>
  <c r="BA894" i="9"/>
  <c r="CK888" i="9"/>
  <c r="BA885" i="9"/>
  <c r="BB885" i="9"/>
  <c r="BA875" i="9"/>
  <c r="BJ871" i="9"/>
  <c r="BK871" i="9" s="1"/>
  <c r="CE871" i="9"/>
  <c r="CM871" i="9"/>
  <c r="BJ847" i="9"/>
  <c r="BK847" i="9" s="1"/>
  <c r="AZ839" i="9"/>
  <c r="BN839" i="9" s="1"/>
  <c r="BO839" i="9" s="1"/>
  <c r="AZ802" i="9"/>
  <c r="AZ950" i="9"/>
  <c r="CK949" i="9"/>
  <c r="BZ943" i="9"/>
  <c r="CA943" i="9" s="1"/>
  <c r="CB943" i="9" s="1" a="1"/>
  <c r="CB943" i="9" s="1"/>
  <c r="CK941" i="9"/>
  <c r="CG940" i="9"/>
  <c r="AY940" i="9" a="1"/>
  <c r="AY940" i="9" s="1"/>
  <c r="BZ935" i="9"/>
  <c r="CA935" i="9" s="1"/>
  <c r="CB935" i="9" s="1" a="1"/>
  <c r="CB935" i="9" s="1"/>
  <c r="AZ934" i="9"/>
  <c r="CK933" i="9"/>
  <c r="CG932" i="9"/>
  <c r="AY932" i="9" a="1"/>
  <c r="AY932" i="9" s="1"/>
  <c r="BZ927" i="9"/>
  <c r="CA927" i="9" s="1"/>
  <c r="CB927" i="9" s="1" a="1"/>
  <c r="CB927" i="9" s="1"/>
  <c r="AZ926" i="9"/>
  <c r="CK925" i="9"/>
  <c r="CG924" i="9"/>
  <c r="AY924" i="9" a="1"/>
  <c r="AY924" i="9" s="1"/>
  <c r="BZ919" i="9"/>
  <c r="CA919" i="9" s="1"/>
  <c r="CB919" i="9" s="1" a="1"/>
  <c r="CB919" i="9" s="1"/>
  <c r="AZ918" i="9"/>
  <c r="CK917" i="9"/>
  <c r="CG916" i="9"/>
  <c r="AY916" i="9" a="1"/>
  <c r="AY916" i="9" s="1"/>
  <c r="AZ910" i="9"/>
  <c r="CK909" i="9"/>
  <c r="CG908" i="9"/>
  <c r="AY908" i="9" a="1"/>
  <c r="AY908" i="9" s="1"/>
  <c r="BZ903" i="9"/>
  <c r="CA903" i="9" s="1"/>
  <c r="CB903" i="9" s="1" a="1"/>
  <c r="CB903" i="9" s="1"/>
  <c r="BA899" i="9"/>
  <c r="CL895" i="9"/>
  <c r="CM895" i="9" s="1"/>
  <c r="BA878" i="9"/>
  <c r="CK873" i="9"/>
  <c r="BQ873" i="9"/>
  <c r="BX873" i="9"/>
  <c r="AI873" i="9"/>
  <c r="BD873" i="9"/>
  <c r="AY873" i="9" a="1"/>
  <c r="AY873" i="9" s="1"/>
  <c r="CG873" i="9"/>
  <c r="BM873" i="9"/>
  <c r="BA873" i="9"/>
  <c r="CC873" i="9"/>
  <c r="AZ864" i="9"/>
  <c r="AZ848" i="9"/>
  <c r="BN847" i="9"/>
  <c r="BO847" i="9" s="1"/>
  <c r="AZ846" i="9"/>
  <c r="AZ837" i="9"/>
  <c r="BJ831" i="9"/>
  <c r="BK831" i="9" s="1"/>
  <c r="AZ818" i="9"/>
  <c r="CL943" i="9"/>
  <c r="CM943" i="9" s="1"/>
  <c r="BD940" i="9"/>
  <c r="AI940" i="9"/>
  <c r="CL935" i="9"/>
  <c r="CM935" i="9" s="1"/>
  <c r="BD932" i="9"/>
  <c r="AI932" i="9"/>
  <c r="CL927" i="9"/>
  <c r="CM927" i="9" s="1"/>
  <c r="BD924" i="9"/>
  <c r="AI924" i="9"/>
  <c r="CL919" i="9"/>
  <c r="CM919" i="9" s="1"/>
  <c r="BD916" i="9"/>
  <c r="AI916" i="9"/>
  <c r="BD908" i="9"/>
  <c r="AI908" i="9"/>
  <c r="BK900" i="9"/>
  <c r="BX899" i="9"/>
  <c r="AI899" i="9"/>
  <c r="BM888" i="9"/>
  <c r="A888" i="9"/>
  <c r="BA888" i="9"/>
  <c r="CC888" i="9"/>
  <c r="BQ888" i="9"/>
  <c r="BX888" i="9"/>
  <c r="AY875" i="9" a="1"/>
  <c r="AY875" i="9" s="1"/>
  <c r="CG875" i="9"/>
  <c r="BM875" i="9"/>
  <c r="A875" i="9"/>
  <c r="CC875" i="9"/>
  <c r="CK875" i="9"/>
  <c r="AZ856" i="9"/>
  <c r="AZ831" i="9"/>
  <c r="BN831" i="9" s="1"/>
  <c r="BO831" i="9" s="1"/>
  <c r="BD969" i="9"/>
  <c r="BJ969" i="9" s="1"/>
  <c r="BK969" i="9" s="1"/>
  <c r="BD961" i="9"/>
  <c r="BN961" i="9" s="1"/>
  <c r="BO961" i="9" s="1"/>
  <c r="BD953" i="9"/>
  <c r="BD945" i="9"/>
  <c r="BX940" i="9"/>
  <c r="BX932" i="9"/>
  <c r="BX924" i="9"/>
  <c r="BX916" i="9"/>
  <c r="BX908" i="9"/>
  <c r="CK901" i="9"/>
  <c r="BI899" i="9"/>
  <c r="CK897" i="9"/>
  <c r="BM896" i="9"/>
  <c r="A896" i="9"/>
  <c r="BA896" i="9"/>
  <c r="CC896" i="9"/>
  <c r="BQ896" i="9"/>
  <c r="BR896" i="9" s="1"/>
  <c r="BS896" i="9" s="1"/>
  <c r="BX896" i="9"/>
  <c r="BK895" i="9"/>
  <c r="BG895" i="9"/>
  <c r="BH895" i="9" s="1" a="1"/>
  <c r="BH895" i="9" s="1"/>
  <c r="BA893" i="9"/>
  <c r="BB893" i="9"/>
  <c r="AY892" i="9" a="1"/>
  <c r="AY892" i="9" s="1"/>
  <c r="BD888" i="9"/>
  <c r="BR887" i="9"/>
  <c r="BS887" i="9" s="1"/>
  <c r="BZ887" i="9"/>
  <c r="CA887" i="9" s="1"/>
  <c r="CB887" i="9" s="1" a="1"/>
  <c r="CB887" i="9" s="1"/>
  <c r="AY883" i="9" a="1"/>
  <c r="AY883" i="9" s="1"/>
  <c r="CG883" i="9"/>
  <c r="BM883" i="9"/>
  <c r="A883" i="9"/>
  <c r="CC883" i="9"/>
  <c r="CK883" i="9"/>
  <c r="AZ880" i="9"/>
  <c r="CK876" i="9"/>
  <c r="BQ876" i="9"/>
  <c r="BX876" i="9"/>
  <c r="AI876" i="9"/>
  <c r="BD876" i="9"/>
  <c r="AY876" i="9" a="1"/>
  <c r="AY876" i="9" s="1"/>
  <c r="CG876" i="9"/>
  <c r="A876" i="9"/>
  <c r="BX875" i="9"/>
  <c r="BD875" i="9"/>
  <c r="AZ829" i="9"/>
  <c r="AI885" i="9"/>
  <c r="BX880" i="9"/>
  <c r="BQ880" i="9"/>
  <c r="BX872" i="9"/>
  <c r="BQ872" i="9"/>
  <c r="A868" i="9"/>
  <c r="CK867" i="9"/>
  <c r="CC865" i="9"/>
  <c r="BA865" i="9"/>
  <c r="BX864" i="9"/>
  <c r="BQ864" i="9"/>
  <c r="AI861" i="9"/>
  <c r="A860" i="9"/>
  <c r="CK859" i="9"/>
  <c r="CC857" i="9"/>
  <c r="BA857" i="9"/>
  <c r="BX856" i="9"/>
  <c r="BQ856" i="9"/>
  <c r="AI853" i="9"/>
  <c r="A852" i="9"/>
  <c r="CK851" i="9"/>
  <c r="CC849" i="9"/>
  <c r="BX848" i="9"/>
  <c r="BQ848" i="9"/>
  <c r="AI845" i="9"/>
  <c r="A844" i="9"/>
  <c r="CK843" i="9"/>
  <c r="CG842" i="9"/>
  <c r="AY842" i="9" a="1"/>
  <c r="AY842" i="9" s="1"/>
  <c r="CC841" i="9"/>
  <c r="BX840" i="9"/>
  <c r="BQ840" i="9"/>
  <c r="BD837" i="9"/>
  <c r="AI837" i="9"/>
  <c r="A836" i="9"/>
  <c r="CK835" i="9"/>
  <c r="CG834" i="9"/>
  <c r="AY834" i="9" a="1"/>
  <c r="AY834" i="9" s="1"/>
  <c r="CC833" i="9"/>
  <c r="BA833" i="9"/>
  <c r="BX832" i="9"/>
  <c r="BQ832" i="9"/>
  <c r="A828" i="9"/>
  <c r="CK827" i="9"/>
  <c r="CG826" i="9"/>
  <c r="AY826" i="9" a="1"/>
  <c r="AY826" i="9" s="1"/>
  <c r="BA822" i="9"/>
  <c r="BM821" i="9"/>
  <c r="BA817" i="9"/>
  <c r="CK814" i="9"/>
  <c r="CC804" i="9"/>
  <c r="BI804" i="9"/>
  <c r="BA803" i="9"/>
  <c r="BB803" i="9"/>
  <c r="BQ801" i="9"/>
  <c r="BX801" i="9"/>
  <c r="AI801" i="9"/>
  <c r="BD801" i="9"/>
  <c r="AY801" i="9" a="1"/>
  <c r="AY801" i="9" s="1"/>
  <c r="CG801" i="9"/>
  <c r="BM801" i="9"/>
  <c r="A801" i="9"/>
  <c r="BA793" i="9"/>
  <c r="CC793" i="9"/>
  <c r="BQ793" i="9"/>
  <c r="BX793" i="9"/>
  <c r="AI793" i="9"/>
  <c r="BD793" i="9"/>
  <c r="AY793" i="9" a="1"/>
  <c r="AY793" i="9" s="1"/>
  <c r="CG793" i="9"/>
  <c r="BM793" i="9"/>
  <c r="A793" i="9"/>
  <c r="AZ792" i="9"/>
  <c r="BB790" i="9"/>
  <c r="BA790" i="9"/>
  <c r="AZ787" i="9"/>
  <c r="AZ768" i="9"/>
  <c r="AZ748" i="9"/>
  <c r="BB867" i="9"/>
  <c r="A865" i="9"/>
  <c r="A824" i="9"/>
  <c r="CK824" i="9"/>
  <c r="AI814" i="9"/>
  <c r="BD814" i="9"/>
  <c r="AY814" i="9" a="1"/>
  <c r="AY814" i="9" s="1"/>
  <c r="CG814" i="9"/>
  <c r="BM814" i="9"/>
  <c r="CC814" i="9"/>
  <c r="BN813" i="9"/>
  <c r="BO813" i="9" s="1"/>
  <c r="AZ808" i="9"/>
  <c r="CK804" i="9"/>
  <c r="BQ804" i="9"/>
  <c r="BX804" i="9"/>
  <c r="AI804" i="9"/>
  <c r="BD804" i="9"/>
  <c r="AY804" i="9" a="1"/>
  <c r="AY804" i="9" s="1"/>
  <c r="CG804" i="9"/>
  <c r="BM804" i="9"/>
  <c r="AZ771" i="9"/>
  <c r="AZ760" i="9"/>
  <c r="BJ759" i="9"/>
  <c r="BK759" i="9" s="1"/>
  <c r="AZ759" i="9"/>
  <c r="AZ743" i="9"/>
  <c r="AZ741" i="9"/>
  <c r="BF741" i="9" s="1"/>
  <c r="BG741" i="9" s="1"/>
  <c r="BH741" i="9" s="1" a="1"/>
  <c r="BH741" i="9" s="1"/>
  <c r="AZ736" i="9"/>
  <c r="BZ871" i="9"/>
  <c r="CA871" i="9" s="1"/>
  <c r="CB871" i="9" s="1" a="1"/>
  <c r="CB871" i="9" s="1"/>
  <c r="CG868" i="9"/>
  <c r="AY868" i="9" a="1"/>
  <c r="AY868" i="9" s="1"/>
  <c r="CC867" i="9"/>
  <c r="BM865" i="9"/>
  <c r="BZ863" i="9"/>
  <c r="CA863" i="9" s="1"/>
  <c r="CB863" i="9" s="1" a="1"/>
  <c r="CB863" i="9" s="1"/>
  <c r="BR863" i="9"/>
  <c r="BS863" i="9" s="1"/>
  <c r="CG860" i="9"/>
  <c r="AY860" i="9" a="1"/>
  <c r="AY860" i="9" s="1"/>
  <c r="CC859" i="9"/>
  <c r="BM857" i="9"/>
  <c r="CG852" i="9"/>
  <c r="AY852" i="9" a="1"/>
  <c r="AY852" i="9" s="1"/>
  <c r="CC851" i="9"/>
  <c r="BM849" i="9"/>
  <c r="BR847" i="9"/>
  <c r="BS847" i="9" s="1"/>
  <c r="CG844" i="9"/>
  <c r="AY844" i="9" a="1"/>
  <c r="AY844" i="9" s="1"/>
  <c r="CC843" i="9"/>
  <c r="BM841" i="9"/>
  <c r="CG836" i="9"/>
  <c r="AY836" i="9" a="1"/>
  <c r="AY836" i="9" s="1"/>
  <c r="CC835" i="9"/>
  <c r="BM833" i="9"/>
  <c r="BR831" i="9"/>
  <c r="BS831" i="9" s="1"/>
  <c r="CG828" i="9"/>
  <c r="AY828" i="9" a="1"/>
  <c r="AY828" i="9" s="1"/>
  <c r="CC827" i="9"/>
  <c r="CC824" i="9"/>
  <c r="BB824" i="9"/>
  <c r="AI822" i="9"/>
  <c r="BD822" i="9"/>
  <c r="AY822" i="9" a="1"/>
  <c r="AY822" i="9" s="1"/>
  <c r="CG822" i="9"/>
  <c r="CC822" i="9"/>
  <c r="A822" i="9"/>
  <c r="CG821" i="9"/>
  <c r="BA812" i="9"/>
  <c r="CD812" i="9" s="1"/>
  <c r="CE812" i="9" s="1"/>
  <c r="AZ811" i="9"/>
  <c r="BR811" i="9" s="1"/>
  <c r="BS811" i="9" s="1"/>
  <c r="BB798" i="9"/>
  <c r="BA798" i="9"/>
  <c r="A796" i="9"/>
  <c r="CK796" i="9"/>
  <c r="BQ796" i="9"/>
  <c r="BX796" i="9"/>
  <c r="AI796" i="9"/>
  <c r="BD796" i="9"/>
  <c r="AY796" i="9" a="1"/>
  <c r="AY796" i="9" s="1"/>
  <c r="CG796" i="9"/>
  <c r="BM796" i="9"/>
  <c r="CK793" i="9"/>
  <c r="AZ739" i="9"/>
  <c r="BM894" i="9"/>
  <c r="BM886" i="9"/>
  <c r="CC880" i="9"/>
  <c r="BA880" i="9"/>
  <c r="BM878" i="9"/>
  <c r="CC872" i="9"/>
  <c r="BA872" i="9"/>
  <c r="BN872" i="9" s="1"/>
  <c r="BO872" i="9" s="1"/>
  <c r="BM870" i="9"/>
  <c r="BB869" i="9"/>
  <c r="BJ869" i="9" s="1"/>
  <c r="BK869" i="9" s="1"/>
  <c r="BD868" i="9"/>
  <c r="AI868" i="9"/>
  <c r="A867" i="9"/>
  <c r="CG865" i="9"/>
  <c r="AY865" i="9" a="1"/>
  <c r="AY865" i="9" s="1"/>
  <c r="CC864" i="9"/>
  <c r="BA864" i="9"/>
  <c r="CL863" i="9"/>
  <c r="CM863" i="9" s="1"/>
  <c r="BM862" i="9"/>
  <c r="BB861" i="9"/>
  <c r="BD860" i="9"/>
  <c r="AI860" i="9"/>
  <c r="A859" i="9"/>
  <c r="CG857" i="9"/>
  <c r="AY857" i="9" a="1"/>
  <c r="AY857" i="9" s="1"/>
  <c r="CC856" i="9"/>
  <c r="BA856" i="9"/>
  <c r="BM854" i="9"/>
  <c r="BB853" i="9"/>
  <c r="BD852" i="9"/>
  <c r="AI852" i="9"/>
  <c r="A851" i="9"/>
  <c r="CG849" i="9"/>
  <c r="AY849" i="9" a="1"/>
  <c r="AY849" i="9" s="1"/>
  <c r="CC848" i="9"/>
  <c r="BA848" i="9"/>
  <c r="BB845" i="9"/>
  <c r="BD844" i="9"/>
  <c r="AI844" i="9"/>
  <c r="A843" i="9"/>
  <c r="CG841" i="9"/>
  <c r="AY841" i="9" a="1"/>
  <c r="AY841" i="9" s="1"/>
  <c r="CC840" i="9"/>
  <c r="BA840" i="9"/>
  <c r="CL840" i="9" s="1"/>
  <c r="CM840" i="9" s="1"/>
  <c r="BM838" i="9"/>
  <c r="BB837" i="9"/>
  <c r="BD836" i="9"/>
  <c r="AI836" i="9"/>
  <c r="A835" i="9"/>
  <c r="CK834" i="9"/>
  <c r="CG833" i="9"/>
  <c r="AY833" i="9" a="1"/>
  <c r="AY833" i="9" s="1"/>
  <c r="CC832" i="9"/>
  <c r="BM830" i="9"/>
  <c r="BB829" i="9"/>
  <c r="BD828" i="9"/>
  <c r="AI828" i="9"/>
  <c r="A827" i="9"/>
  <c r="CK826" i="9"/>
  <c r="AI825" i="9"/>
  <c r="BD825" i="9"/>
  <c r="A825" i="9"/>
  <c r="BI824" i="9"/>
  <c r="CK822" i="9"/>
  <c r="AY821" i="9" a="1"/>
  <c r="AY821" i="9" s="1"/>
  <c r="CG817" i="9"/>
  <c r="BM816" i="9"/>
  <c r="A816" i="9"/>
  <c r="CC816" i="9"/>
  <c r="CK816" i="9"/>
  <c r="BQ814" i="9"/>
  <c r="BA808" i="9"/>
  <c r="BJ808" i="9" s="1"/>
  <c r="BK808" i="9" s="1"/>
  <c r="BB808" i="9"/>
  <c r="BI793" i="9"/>
  <c r="AZ752" i="9"/>
  <c r="BJ741" i="9"/>
  <c r="BK741" i="9" s="1"/>
  <c r="CG894" i="9"/>
  <c r="AY894" i="9" a="1"/>
  <c r="AY894" i="9" s="1"/>
  <c r="CC893" i="9"/>
  <c r="CG886" i="9"/>
  <c r="AY886" i="9" a="1"/>
  <c r="AY886" i="9" s="1"/>
  <c r="CC885" i="9"/>
  <c r="BB882" i="9"/>
  <c r="BJ882" i="9" s="1"/>
  <c r="BK882" i="9" s="1"/>
  <c r="A880" i="9"/>
  <c r="CG878" i="9"/>
  <c r="AY878" i="9" a="1"/>
  <c r="AY878" i="9" s="1"/>
  <c r="CC877" i="9"/>
  <c r="BB874" i="9"/>
  <c r="BN874" i="9" s="1"/>
  <c r="BO874" i="9" s="1"/>
  <c r="A872" i="9"/>
  <c r="CG870" i="9"/>
  <c r="AY870" i="9" a="1"/>
  <c r="AY870" i="9" s="1"/>
  <c r="BX868" i="9"/>
  <c r="BQ868" i="9"/>
  <c r="BM867" i="9"/>
  <c r="BB866" i="9"/>
  <c r="CL866" i="9" s="1"/>
  <c r="CM866" i="9" s="1"/>
  <c r="BD865" i="9"/>
  <c r="AI865" i="9"/>
  <c r="A864" i="9"/>
  <c r="AY862" i="9" a="1"/>
  <c r="AY862" i="9" s="1"/>
  <c r="BX860" i="9"/>
  <c r="BQ860" i="9"/>
  <c r="BM859" i="9"/>
  <c r="BB858" i="9"/>
  <c r="BD857" i="9"/>
  <c r="AI857" i="9"/>
  <c r="A856" i="9"/>
  <c r="AY854" i="9" a="1"/>
  <c r="AY854" i="9" s="1"/>
  <c r="BX852" i="9"/>
  <c r="BQ852" i="9"/>
  <c r="BM851" i="9"/>
  <c r="BB850" i="9"/>
  <c r="BF850" i="9" s="1"/>
  <c r="BG850" i="9" s="1"/>
  <c r="BD849" i="9"/>
  <c r="AI849" i="9"/>
  <c r="A848" i="9"/>
  <c r="BX844" i="9"/>
  <c r="BQ844" i="9"/>
  <c r="BM843" i="9"/>
  <c r="BB842" i="9"/>
  <c r="BD841" i="9"/>
  <c r="AI841" i="9"/>
  <c r="A840" i="9"/>
  <c r="BX836" i="9"/>
  <c r="BQ836" i="9"/>
  <c r="BM835" i="9"/>
  <c r="BB834" i="9"/>
  <c r="BD833" i="9"/>
  <c r="AI833" i="9"/>
  <c r="A832" i="9"/>
  <c r="BX828" i="9"/>
  <c r="BQ828" i="9"/>
  <c r="BM827" i="9"/>
  <c r="BB826" i="9"/>
  <c r="BQ824" i="9"/>
  <c r="BX822" i="9"/>
  <c r="BI821" i="9"/>
  <c r="AI821" i="9"/>
  <c r="BQ817" i="9"/>
  <c r="BX817" i="9"/>
  <c r="AI817" i="9"/>
  <c r="BD817" i="9"/>
  <c r="AY817" i="9" a="1"/>
  <c r="AY817" i="9" s="1"/>
  <c r="A817" i="9"/>
  <c r="BJ813" i="9"/>
  <c r="BK813" i="9" s="1"/>
  <c r="BL813" i="9" s="1" a="1"/>
  <c r="BL813" i="9" s="1"/>
  <c r="BI812" i="9"/>
  <c r="CK806" i="9"/>
  <c r="AZ805" i="9"/>
  <c r="BF805" i="9" s="1"/>
  <c r="BG805" i="9" s="1"/>
  <c r="BH805" i="9" s="1" a="1"/>
  <c r="BH805" i="9" s="1"/>
  <c r="CK801" i="9"/>
  <c r="AZ800" i="9"/>
  <c r="AZ797" i="9"/>
  <c r="BA795" i="9"/>
  <c r="BB795" i="9"/>
  <c r="A788" i="9"/>
  <c r="BA788" i="9"/>
  <c r="CC788" i="9"/>
  <c r="CK788" i="9"/>
  <c r="BQ788" i="9"/>
  <c r="BX788" i="9"/>
  <c r="AI788" i="9"/>
  <c r="BD788" i="9"/>
  <c r="AY788" i="9" a="1"/>
  <c r="AY788" i="9" s="1"/>
  <c r="CG788" i="9"/>
  <c r="BM788" i="9"/>
  <c r="AZ724" i="9"/>
  <c r="BD894" i="9"/>
  <c r="BD886" i="9"/>
  <c r="BD878" i="9"/>
  <c r="BD870" i="9"/>
  <c r="CG867" i="9"/>
  <c r="AY867" i="9" a="1"/>
  <c r="AY867" i="9" s="1"/>
  <c r="BX865" i="9"/>
  <c r="BQ865" i="9"/>
  <c r="BD862" i="9"/>
  <c r="CG859" i="9"/>
  <c r="AY859" i="9" a="1"/>
  <c r="AY859" i="9" s="1"/>
  <c r="BX857" i="9"/>
  <c r="BQ857" i="9"/>
  <c r="CG851" i="9"/>
  <c r="AY851" i="9" a="1"/>
  <c r="AY851" i="9" s="1"/>
  <c r="BX849" i="9"/>
  <c r="BQ849" i="9"/>
  <c r="BZ846" i="9"/>
  <c r="CA846" i="9" s="1"/>
  <c r="CB846" i="9" s="1" a="1"/>
  <c r="CB846" i="9" s="1"/>
  <c r="CG843" i="9"/>
  <c r="AY843" i="9" a="1"/>
  <c r="AY843" i="9" s="1"/>
  <c r="BX841" i="9"/>
  <c r="BQ841" i="9"/>
  <c r="CG835" i="9"/>
  <c r="AY835" i="9" a="1"/>
  <c r="AY835" i="9" s="1"/>
  <c r="BX833" i="9"/>
  <c r="BQ833" i="9"/>
  <c r="BZ830" i="9"/>
  <c r="CA830" i="9" s="1"/>
  <c r="CB830" i="9" s="1" a="1"/>
  <c r="CB830" i="9" s="1"/>
  <c r="BD830" i="9"/>
  <c r="CG827" i="9"/>
  <c r="AY827" i="9" a="1"/>
  <c r="AY827" i="9" s="1"/>
  <c r="BX825" i="9"/>
  <c r="BQ825" i="9"/>
  <c r="BB825" i="9"/>
  <c r="CL825" i="9" s="1"/>
  <c r="CM825" i="9" s="1"/>
  <c r="AY824" i="9" a="1"/>
  <c r="AY824" i="9" s="1"/>
  <c r="BM822" i="9"/>
  <c r="BB822" i="9"/>
  <c r="BA821" i="9"/>
  <c r="CK820" i="9"/>
  <c r="BQ820" i="9"/>
  <c r="BX820" i="9"/>
  <c r="BM820" i="9"/>
  <c r="BN820" i="9" s="1"/>
  <c r="BO820" i="9" s="1"/>
  <c r="BA819" i="9"/>
  <c r="CD819" i="9" s="1"/>
  <c r="CE819" i="9" s="1"/>
  <c r="BQ809" i="9"/>
  <c r="BX809" i="9"/>
  <c r="AI809" i="9"/>
  <c r="BD809" i="9"/>
  <c r="AY809" i="9" a="1"/>
  <c r="AY809" i="9" s="1"/>
  <c r="CG809" i="9"/>
  <c r="BM809" i="9"/>
  <c r="A809" i="9"/>
  <c r="BA806" i="9"/>
  <c r="BA804" i="9"/>
  <c r="BA801" i="9"/>
  <c r="AZ789" i="9"/>
  <c r="AZ776" i="9"/>
  <c r="AZ775" i="9"/>
  <c r="CD775" i="9" s="1"/>
  <c r="CE775" i="9" s="1"/>
  <c r="CD759" i="9"/>
  <c r="CE759" i="9" s="1"/>
  <c r="CH759" i="9"/>
  <c r="CI759" i="9" s="1"/>
  <c r="BN741" i="9"/>
  <c r="BO741" i="9" s="1"/>
  <c r="BD867" i="9"/>
  <c r="BD859" i="9"/>
  <c r="AI859" i="9"/>
  <c r="BD851" i="9"/>
  <c r="AI851" i="9"/>
  <c r="BD843" i="9"/>
  <c r="AI843" i="9"/>
  <c r="BD835" i="9"/>
  <c r="AI835" i="9"/>
  <c r="BD827" i="9"/>
  <c r="AI827" i="9"/>
  <c r="CG824" i="9"/>
  <c r="BX824" i="9"/>
  <c r="AI824" i="9"/>
  <c r="BB816" i="9"/>
  <c r="BN811" i="9"/>
  <c r="BO811" i="9" s="1"/>
  <c r="AZ803" i="9"/>
  <c r="AZ755" i="9"/>
  <c r="BX859" i="9"/>
  <c r="BX851" i="9"/>
  <c r="BX843" i="9"/>
  <c r="BX835" i="9"/>
  <c r="BX827" i="9"/>
  <c r="BM824" i="9"/>
  <c r="BD824" i="9"/>
  <c r="A821" i="9"/>
  <c r="CC821" i="9"/>
  <c r="BQ821" i="9"/>
  <c r="BX821" i="9"/>
  <c r="BA818" i="9"/>
  <c r="BB818" i="9"/>
  <c r="BX814" i="9"/>
  <c r="BA814" i="9"/>
  <c r="CK812" i="9"/>
  <c r="BQ812" i="9"/>
  <c r="BX812" i="9"/>
  <c r="AI812" i="9"/>
  <c r="BD812" i="9"/>
  <c r="BM812" i="9"/>
  <c r="AI806" i="9"/>
  <c r="BD806" i="9"/>
  <c r="AY806" i="9" a="1"/>
  <c r="AY806" i="9" s="1"/>
  <c r="CG806" i="9"/>
  <c r="BM806" i="9"/>
  <c r="A806" i="9"/>
  <c r="CC806" i="9"/>
  <c r="AZ779" i="9"/>
  <c r="BN748" i="9"/>
  <c r="BO748" i="9" s="1"/>
  <c r="AZ744" i="9"/>
  <c r="CG823" i="9"/>
  <c r="AY823" i="9" a="1"/>
  <c r="AY823" i="9" s="1"/>
  <c r="BD818" i="9"/>
  <c r="CG815" i="9"/>
  <c r="AY815" i="9" a="1"/>
  <c r="AY815" i="9" s="1"/>
  <c r="BX813" i="9"/>
  <c r="BZ813" i="9" s="1"/>
  <c r="CA813" i="9" s="1"/>
  <c r="CB813" i="9" s="1" a="1"/>
  <c r="CB813" i="9" s="1"/>
  <c r="BQ813" i="9"/>
  <c r="BR813" i="9" s="1"/>
  <c r="BS813" i="9" s="1"/>
  <c r="CK808" i="9"/>
  <c r="CG807" i="9"/>
  <c r="AY807" i="9" a="1"/>
  <c r="AY807" i="9" s="1"/>
  <c r="BX805" i="9"/>
  <c r="BQ805" i="9"/>
  <c r="CK800" i="9"/>
  <c r="CG799" i="9"/>
  <c r="AY799" i="9" a="1"/>
  <c r="AY799" i="9" s="1"/>
  <c r="CC798" i="9"/>
  <c r="BX797" i="9"/>
  <c r="BQ797" i="9"/>
  <c r="CK792" i="9"/>
  <c r="CG791" i="9"/>
  <c r="AY791" i="9" a="1"/>
  <c r="AY791" i="9" s="1"/>
  <c r="CC790" i="9"/>
  <c r="BX789" i="9"/>
  <c r="BQ789" i="9"/>
  <c r="BB787" i="9"/>
  <c r="A785" i="9"/>
  <c r="CK784" i="9"/>
  <c r="CG783" i="9"/>
  <c r="AY783" i="9" a="1"/>
  <c r="AY783" i="9" s="1"/>
  <c r="CC782" i="9"/>
  <c r="BA782" i="9"/>
  <c r="BX781" i="9"/>
  <c r="BQ781" i="9"/>
  <c r="BM780" i="9"/>
  <c r="BB779" i="9"/>
  <c r="A777" i="9"/>
  <c r="CK776" i="9"/>
  <c r="CC774" i="9"/>
  <c r="BA774" i="9"/>
  <c r="BX773" i="9"/>
  <c r="BQ773" i="9"/>
  <c r="BM772" i="9"/>
  <c r="BB771" i="9"/>
  <c r="BJ771" i="9" s="1"/>
  <c r="BK771" i="9" s="1"/>
  <c r="A769" i="9"/>
  <c r="CK768" i="9"/>
  <c r="CG767" i="9"/>
  <c r="AY767" i="9" a="1"/>
  <c r="AY767" i="9" s="1"/>
  <c r="CC766" i="9"/>
  <c r="BA766" i="9"/>
  <c r="BX765" i="9"/>
  <c r="BQ765" i="9"/>
  <c r="BM764" i="9"/>
  <c r="BB763" i="9"/>
  <c r="A761" i="9"/>
  <c r="CK760" i="9"/>
  <c r="BF759" i="9"/>
  <c r="BG759" i="9" s="1"/>
  <c r="BH759" i="9" s="1" a="1"/>
  <c r="BH759" i="9" s="1"/>
  <c r="CC758" i="9"/>
  <c r="BA758" i="9"/>
  <c r="BX757" i="9"/>
  <c r="BQ757" i="9"/>
  <c r="BM756" i="9"/>
  <c r="BB755" i="9"/>
  <c r="BD754" i="9"/>
  <c r="AI754" i="9"/>
  <c r="A753" i="9"/>
  <c r="CK752" i="9"/>
  <c r="CC750" i="9"/>
  <c r="BA750" i="9"/>
  <c r="BX749" i="9"/>
  <c r="BQ749" i="9"/>
  <c r="BB747" i="9"/>
  <c r="A745" i="9"/>
  <c r="CK744" i="9"/>
  <c r="CC742" i="9"/>
  <c r="BX741" i="9"/>
  <c r="CH741" i="9" s="1"/>
  <c r="CI741" i="9" s="1"/>
  <c r="BQ741" i="9"/>
  <c r="BR741" i="9" s="1"/>
  <c r="BS741" i="9" s="1"/>
  <c r="BM740" i="9"/>
  <c r="BB739" i="9"/>
  <c r="BD738" i="9"/>
  <c r="AI738" i="9"/>
  <c r="A737" i="9"/>
  <c r="CK736" i="9"/>
  <c r="BA725" i="9"/>
  <c r="BB725" i="9"/>
  <c r="AZ702" i="9"/>
  <c r="CD702" i="9" s="1"/>
  <c r="CE702" i="9" s="1"/>
  <c r="AZ697" i="9"/>
  <c r="AZ684" i="9"/>
  <c r="BB800" i="9"/>
  <c r="A798" i="9"/>
  <c r="BB792" i="9"/>
  <c r="A790" i="9"/>
  <c r="BM785" i="9"/>
  <c r="BB784" i="9"/>
  <c r="A782" i="9"/>
  <c r="CG780" i="9"/>
  <c r="AY780" i="9" a="1"/>
  <c r="AY780" i="9" s="1"/>
  <c r="BM777" i="9"/>
  <c r="BB776" i="9"/>
  <c r="BZ775" i="9"/>
  <c r="CA775" i="9" s="1"/>
  <c r="CB775" i="9" s="1" a="1"/>
  <c r="CB775" i="9" s="1"/>
  <c r="BR775" i="9"/>
  <c r="BS775" i="9" s="1"/>
  <c r="A774" i="9"/>
  <c r="CG772" i="9"/>
  <c r="AY772" i="9" a="1"/>
  <c r="AY772" i="9" s="1"/>
  <c r="BM769" i="9"/>
  <c r="BB768" i="9"/>
  <c r="CH768" i="9" s="1"/>
  <c r="CI768" i="9" s="1"/>
  <c r="A766" i="9"/>
  <c r="CG764" i="9"/>
  <c r="AY764" i="9" a="1"/>
  <c r="AY764" i="9" s="1"/>
  <c r="BM761" i="9"/>
  <c r="BB760" i="9"/>
  <c r="BZ759" i="9"/>
  <c r="CA759" i="9" s="1"/>
  <c r="CB759" i="9" s="1" a="1"/>
  <c r="CB759" i="9" s="1"/>
  <c r="BR759" i="9"/>
  <c r="BS759" i="9" s="1"/>
  <c r="A758" i="9"/>
  <c r="CG756" i="9"/>
  <c r="AY756" i="9" a="1"/>
  <c r="AY756" i="9" s="1"/>
  <c r="BM753" i="9"/>
  <c r="BB752" i="9"/>
  <c r="BR752" i="9" s="1"/>
  <c r="BS752" i="9" s="1"/>
  <c r="BU752" i="9" s="1" a="1"/>
  <c r="BU752" i="9" s="1"/>
  <c r="A750" i="9"/>
  <c r="BF748" i="9"/>
  <c r="BG748" i="9" s="1"/>
  <c r="BH748" i="9" s="1" a="1"/>
  <c r="BH748" i="9" s="1"/>
  <c r="BM745" i="9"/>
  <c r="BB744" i="9"/>
  <c r="A742" i="9"/>
  <c r="BM737" i="9"/>
  <c r="BB736" i="9"/>
  <c r="A735" i="9"/>
  <c r="BM735" i="9"/>
  <c r="BA733" i="9"/>
  <c r="BB733" i="9"/>
  <c r="AZ732" i="9"/>
  <c r="AZ720" i="9"/>
  <c r="BZ720" i="9" s="1"/>
  <c r="CA720" i="9" s="1"/>
  <c r="CH638" i="9"/>
  <c r="CI638" i="9" s="1"/>
  <c r="CC808" i="9"/>
  <c r="CC800" i="9"/>
  <c r="BM798" i="9"/>
  <c r="CC792" i="9"/>
  <c r="BM790" i="9"/>
  <c r="CG785" i="9"/>
  <c r="AY785" i="9" a="1"/>
  <c r="AY785" i="9" s="1"/>
  <c r="CC784" i="9"/>
  <c r="BM782" i="9"/>
  <c r="BD780" i="9"/>
  <c r="AI780" i="9"/>
  <c r="CG777" i="9"/>
  <c r="AY777" i="9" a="1"/>
  <c r="AY777" i="9" s="1"/>
  <c r="CC776" i="9"/>
  <c r="CL775" i="9"/>
  <c r="CM775" i="9" s="1"/>
  <c r="BM774" i="9"/>
  <c r="BD772" i="9"/>
  <c r="AI772" i="9"/>
  <c r="CG769" i="9"/>
  <c r="AY769" i="9" a="1"/>
  <c r="AY769" i="9" s="1"/>
  <c r="CC768" i="9"/>
  <c r="BM766" i="9"/>
  <c r="BD764" i="9"/>
  <c r="AI764" i="9"/>
  <c r="CG761" i="9"/>
  <c r="AY761" i="9" a="1"/>
  <c r="AY761" i="9" s="1"/>
  <c r="CC760" i="9"/>
  <c r="CL759" i="9"/>
  <c r="CM759" i="9" s="1"/>
  <c r="BM758" i="9"/>
  <c r="BD756" i="9"/>
  <c r="AI756" i="9"/>
  <c r="CG753" i="9"/>
  <c r="AY753" i="9" a="1"/>
  <c r="AY753" i="9" s="1"/>
  <c r="CC752" i="9"/>
  <c r="CD752" i="9" s="1"/>
  <c r="CE752" i="9" s="1"/>
  <c r="BM750" i="9"/>
  <c r="BR748" i="9"/>
  <c r="BS748" i="9" s="1"/>
  <c r="CG745" i="9"/>
  <c r="AY745" i="9" a="1"/>
  <c r="AY745" i="9" s="1"/>
  <c r="CC744" i="9"/>
  <c r="BM742" i="9"/>
  <c r="CG737" i="9"/>
  <c r="AY737" i="9" a="1"/>
  <c r="AY737" i="9" s="1"/>
  <c r="A736" i="9"/>
  <c r="AZ727" i="9"/>
  <c r="AZ725" i="9"/>
  <c r="CD720" i="9"/>
  <c r="CE720" i="9" s="1"/>
  <c r="CF720" i="9" s="1" a="1"/>
  <c r="CF720" i="9" s="1"/>
  <c r="AZ711" i="9"/>
  <c r="AZ693" i="9"/>
  <c r="AZ687" i="9"/>
  <c r="CC813" i="9"/>
  <c r="BB810" i="9"/>
  <c r="A808" i="9"/>
  <c r="CC805" i="9"/>
  <c r="BB802" i="9"/>
  <c r="A800" i="9"/>
  <c r="CG798" i="9"/>
  <c r="AY798" i="9" a="1"/>
  <c r="AY798" i="9" s="1"/>
  <c r="CC797" i="9"/>
  <c r="BB794" i="9"/>
  <c r="BF794" i="9" s="1"/>
  <c r="BG794" i="9" s="1"/>
  <c r="BH794" i="9" s="1" a="1"/>
  <c r="BH794" i="9" s="1"/>
  <c r="A792" i="9"/>
  <c r="CG790" i="9"/>
  <c r="AY790" i="9" a="1"/>
  <c r="AY790" i="9" s="1"/>
  <c r="CC789" i="9"/>
  <c r="BB786" i="9"/>
  <c r="BD785" i="9"/>
  <c r="AI785" i="9"/>
  <c r="A784" i="9"/>
  <c r="CG782" i="9"/>
  <c r="AY782" i="9" a="1"/>
  <c r="AY782" i="9" s="1"/>
  <c r="CC781" i="9"/>
  <c r="BX780" i="9"/>
  <c r="BQ780" i="9"/>
  <c r="BB778" i="9"/>
  <c r="BD777" i="9"/>
  <c r="AI777" i="9"/>
  <c r="A776" i="9"/>
  <c r="CG774" i="9"/>
  <c r="AY774" i="9" a="1"/>
  <c r="AY774" i="9" s="1"/>
  <c r="CC773" i="9"/>
  <c r="BX772" i="9"/>
  <c r="BQ772" i="9"/>
  <c r="BB770" i="9"/>
  <c r="CH770" i="9" s="1"/>
  <c r="CI770" i="9" s="1"/>
  <c r="BD769" i="9"/>
  <c r="AI769" i="9"/>
  <c r="A768" i="9"/>
  <c r="CG766" i="9"/>
  <c r="AY766" i="9" a="1"/>
  <c r="AY766" i="9" s="1"/>
  <c r="CC765" i="9"/>
  <c r="BX764" i="9"/>
  <c r="BQ764" i="9"/>
  <c r="BB762" i="9"/>
  <c r="BF762" i="9" s="1"/>
  <c r="BG762" i="9" s="1"/>
  <c r="BH762" i="9" s="1" a="1"/>
  <c r="BH762" i="9" s="1"/>
  <c r="BD761" i="9"/>
  <c r="AI761" i="9"/>
  <c r="A760" i="9"/>
  <c r="CG758" i="9"/>
  <c r="AY758" i="9" a="1"/>
  <c r="AY758" i="9" s="1"/>
  <c r="CC757" i="9"/>
  <c r="BX756" i="9"/>
  <c r="BQ756" i="9"/>
  <c r="BB754" i="9"/>
  <c r="BR754" i="9" s="1"/>
  <c r="BS754" i="9" s="1"/>
  <c r="BD753" i="9"/>
  <c r="AI753" i="9"/>
  <c r="A752" i="9"/>
  <c r="CG750" i="9"/>
  <c r="AY750" i="9" a="1"/>
  <c r="AY750" i="9" s="1"/>
  <c r="CC749" i="9"/>
  <c r="BA749" i="9"/>
  <c r="BM747" i="9"/>
  <c r="BB746" i="9"/>
  <c r="BD745" i="9"/>
  <c r="AI745" i="9"/>
  <c r="A744" i="9"/>
  <c r="CG742" i="9"/>
  <c r="AY742" i="9" a="1"/>
  <c r="AY742" i="9" s="1"/>
  <c r="CC741" i="9"/>
  <c r="CD741" i="9" s="1"/>
  <c r="CE741" i="9" s="1"/>
  <c r="BX740" i="9"/>
  <c r="BQ740" i="9"/>
  <c r="BM739" i="9"/>
  <c r="BB738" i="9"/>
  <c r="BD737" i="9"/>
  <c r="AI737" i="9"/>
  <c r="AZ733" i="9"/>
  <c r="AZ719" i="9"/>
  <c r="AZ703" i="9"/>
  <c r="AZ673" i="9"/>
  <c r="BD798" i="9"/>
  <c r="BD790" i="9"/>
  <c r="BX785" i="9"/>
  <c r="BQ785" i="9"/>
  <c r="BD782" i="9"/>
  <c r="CK780" i="9"/>
  <c r="BX777" i="9"/>
  <c r="BQ777" i="9"/>
  <c r="BD774" i="9"/>
  <c r="AZ773" i="9"/>
  <c r="BJ773" i="9" s="1"/>
  <c r="BK773" i="9" s="1"/>
  <c r="CK772" i="9"/>
  <c r="BX769" i="9"/>
  <c r="BQ769" i="9"/>
  <c r="BD766" i="9"/>
  <c r="AZ765" i="9"/>
  <c r="CK764" i="9"/>
  <c r="BX761" i="9"/>
  <c r="BQ761" i="9"/>
  <c r="BD758" i="9"/>
  <c r="AZ757" i="9"/>
  <c r="CK756" i="9"/>
  <c r="BX753" i="9"/>
  <c r="BQ753" i="9"/>
  <c r="BM752" i="9"/>
  <c r="BN752" i="9" s="1"/>
  <c r="BO752" i="9" s="1"/>
  <c r="BB751" i="9"/>
  <c r="BD750" i="9"/>
  <c r="AI750" i="9"/>
  <c r="A749" i="9"/>
  <c r="AY747" i="9" a="1"/>
  <c r="AY747" i="9" s="1"/>
  <c r="BX745" i="9"/>
  <c r="BQ745" i="9"/>
  <c r="BM744" i="9"/>
  <c r="BB743" i="9"/>
  <c r="BD742" i="9"/>
  <c r="AI742" i="9"/>
  <c r="A741" i="9"/>
  <c r="CG739" i="9"/>
  <c r="CC738" i="9"/>
  <c r="BX737" i="9"/>
  <c r="BQ737" i="9"/>
  <c r="BM736" i="9"/>
  <c r="BA735" i="9"/>
  <c r="CH728" i="9"/>
  <c r="CI728" i="9" s="1"/>
  <c r="BN728" i="9"/>
  <c r="BO728" i="9" s="1"/>
  <c r="BT728" i="9" s="1" a="1"/>
  <c r="BT728" i="9" s="1"/>
  <c r="AZ726" i="9"/>
  <c r="CL726" i="9" s="1"/>
  <c r="CM726" i="9" s="1"/>
  <c r="AZ709" i="9"/>
  <c r="AZ696" i="9"/>
  <c r="AZ694" i="9"/>
  <c r="CD694" i="9" s="1"/>
  <c r="CE694" i="9" s="1"/>
  <c r="CK753" i="9"/>
  <c r="CG752" i="9"/>
  <c r="CH752" i="9" s="1"/>
  <c r="CI752" i="9" s="1"/>
  <c r="BX750" i="9"/>
  <c r="BD747" i="9"/>
  <c r="CK745" i="9"/>
  <c r="CG744" i="9"/>
  <c r="CH744" i="9" s="1"/>
  <c r="CI744" i="9" s="1"/>
  <c r="BX742" i="9"/>
  <c r="CK737" i="9"/>
  <c r="CG736" i="9"/>
  <c r="CG735" i="9"/>
  <c r="BQ735" i="9"/>
  <c r="BI735" i="9"/>
  <c r="AY735" i="9" a="1"/>
  <c r="AY735" i="9" s="1"/>
  <c r="BA731" i="9"/>
  <c r="BN726" i="9"/>
  <c r="BO726" i="9" s="1"/>
  <c r="AZ717" i="9"/>
  <c r="AZ701" i="9"/>
  <c r="CL684" i="9"/>
  <c r="CM684" i="9" s="1"/>
  <c r="CC780" i="9"/>
  <c r="BA780" i="9"/>
  <c r="CC772" i="9"/>
  <c r="BA772" i="9"/>
  <c r="CC764" i="9"/>
  <c r="BA764" i="9"/>
  <c r="BN759" i="9"/>
  <c r="BO759" i="9" s="1"/>
  <c r="BP759" i="9" s="1" a="1"/>
  <c r="BP759" i="9" s="1"/>
  <c r="CC756" i="9"/>
  <c r="BA756" i="9"/>
  <c r="CB728" i="9" a="1"/>
  <c r="CB728" i="9" s="1"/>
  <c r="BU728" i="9" a="1"/>
  <c r="BU728" i="9" s="1"/>
  <c r="BJ726" i="9"/>
  <c r="BK726" i="9" s="1"/>
  <c r="AZ721" i="9"/>
  <c r="AZ710" i="9"/>
  <c r="CL710" i="9" s="1"/>
  <c r="CM710" i="9" s="1"/>
  <c r="AZ708" i="9"/>
  <c r="AZ704" i="9"/>
  <c r="AZ689" i="9"/>
  <c r="AZ641" i="9"/>
  <c r="BF641" i="9" s="1"/>
  <c r="BG641" i="9" s="1"/>
  <c r="CC785" i="9"/>
  <c r="CC777" i="9"/>
  <c r="CC769" i="9"/>
  <c r="CC761" i="9"/>
  <c r="CC753" i="9"/>
  <c r="CC745" i="9"/>
  <c r="CC737" i="9"/>
  <c r="BQ731" i="9"/>
  <c r="BX731" i="9"/>
  <c r="AI731" i="9"/>
  <c r="BD731" i="9"/>
  <c r="AY731" i="9" a="1"/>
  <c r="AY731" i="9" s="1"/>
  <c r="CG731" i="9"/>
  <c r="BM731" i="9"/>
  <c r="A731" i="9"/>
  <c r="CC731" i="9"/>
  <c r="CK731" i="9"/>
  <c r="CB720" i="9" a="1"/>
  <c r="CB720" i="9" s="1"/>
  <c r="AZ705" i="9"/>
  <c r="CL702" i="9"/>
  <c r="CM702" i="9" s="1"/>
  <c r="CO702" i="9" s="1" a="1"/>
  <c r="CO702" i="9" s="1"/>
  <c r="AZ695" i="9"/>
  <c r="BJ694" i="9"/>
  <c r="BK694" i="9" s="1"/>
  <c r="BF684" i="9"/>
  <c r="BG684" i="9" s="1"/>
  <c r="BD733" i="9"/>
  <c r="AI733" i="9"/>
  <c r="A732" i="9"/>
  <c r="CG730" i="9"/>
  <c r="AY730" i="9" a="1"/>
  <c r="AY730" i="9" s="1"/>
  <c r="BA729" i="9"/>
  <c r="CH729" i="9" s="1"/>
  <c r="CI729" i="9" s="1"/>
  <c r="BM727" i="9"/>
  <c r="BD725" i="9"/>
  <c r="AI725" i="9"/>
  <c r="A724" i="9"/>
  <c r="CK723" i="9"/>
  <c r="CG722" i="9"/>
  <c r="AY722" i="9" a="1"/>
  <c r="AY722" i="9" s="1"/>
  <c r="BA721" i="9"/>
  <c r="BM719" i="9"/>
  <c r="BD717" i="9"/>
  <c r="AI717" i="9"/>
  <c r="A716" i="9"/>
  <c r="CK715" i="9"/>
  <c r="CG714" i="9"/>
  <c r="AY714" i="9" a="1"/>
  <c r="AY714" i="9" s="1"/>
  <c r="BA713" i="9"/>
  <c r="CD713" i="9" s="1"/>
  <c r="CE713" i="9" s="1"/>
  <c r="BX712" i="9"/>
  <c r="BQ712" i="9"/>
  <c r="BM711" i="9"/>
  <c r="A708" i="9"/>
  <c r="CK707" i="9"/>
  <c r="CG706" i="9"/>
  <c r="AY706" i="9" a="1"/>
  <c r="AY706" i="9" s="1"/>
  <c r="BA705" i="9"/>
  <c r="CL705" i="9" s="1"/>
  <c r="CM705" i="9" s="1"/>
  <c r="AI701" i="9"/>
  <c r="A700" i="9"/>
  <c r="CK699" i="9"/>
  <c r="CG698" i="9"/>
  <c r="AY698" i="9" a="1"/>
  <c r="AY698" i="9" s="1"/>
  <c r="BA697" i="9"/>
  <c r="BM695" i="9"/>
  <c r="AI693" i="9"/>
  <c r="A692" i="9"/>
  <c r="CK691" i="9"/>
  <c r="CG690" i="9"/>
  <c r="AY690" i="9" a="1"/>
  <c r="AY690" i="9" s="1"/>
  <c r="CC689" i="9"/>
  <c r="BA689" i="9"/>
  <c r="CD684" i="9"/>
  <c r="CE684" i="9" s="1"/>
  <c r="BQ683" i="9"/>
  <c r="BI681" i="9"/>
  <c r="CK679" i="9"/>
  <c r="BF673" i="9"/>
  <c r="BG673" i="9" s="1"/>
  <c r="BH673" i="9" s="1" a="1"/>
  <c r="BH673" i="9" s="1"/>
  <c r="CK672" i="9"/>
  <c r="BQ672" i="9"/>
  <c r="BX672" i="9"/>
  <c r="AY672" i="9" a="1"/>
  <c r="AY672" i="9" s="1"/>
  <c r="CG672" i="9"/>
  <c r="BM672" i="9"/>
  <c r="CL670" i="9"/>
  <c r="AI666" i="9"/>
  <c r="BD666" i="9"/>
  <c r="AY666" i="9" a="1"/>
  <c r="AY666" i="9" s="1"/>
  <c r="CG666" i="9"/>
  <c r="BM666" i="9"/>
  <c r="A666" i="9"/>
  <c r="CC666" i="9"/>
  <c r="BA663" i="9"/>
  <c r="BB663" i="9"/>
  <c r="CD662" i="9"/>
  <c r="CE662" i="9" s="1"/>
  <c r="BO662" i="9"/>
  <c r="CM662" i="9"/>
  <c r="AZ660" i="9"/>
  <c r="CK656" i="9"/>
  <c r="BQ656" i="9"/>
  <c r="BX656" i="9"/>
  <c r="AI656" i="9"/>
  <c r="BD656" i="9"/>
  <c r="AY656" i="9" a="1"/>
  <c r="AY656" i="9" s="1"/>
  <c r="CG656" i="9"/>
  <c r="BM656" i="9"/>
  <c r="A656" i="9"/>
  <c r="BA655" i="9"/>
  <c r="BB655" i="9"/>
  <c r="CM654" i="9"/>
  <c r="AZ652" i="9"/>
  <c r="CL638" i="9"/>
  <c r="BK686" i="9"/>
  <c r="AY682" i="9" a="1"/>
  <c r="AY682" i="9" s="1"/>
  <c r="CG682" i="9"/>
  <c r="A682" i="9"/>
  <c r="CK664" i="9"/>
  <c r="BQ664" i="9"/>
  <c r="BX664" i="9"/>
  <c r="AI664" i="9"/>
  <c r="BD664" i="9"/>
  <c r="AY664" i="9" a="1"/>
  <c r="AY664" i="9" s="1"/>
  <c r="CG664" i="9"/>
  <c r="BM664" i="9"/>
  <c r="A664" i="9"/>
  <c r="BA658" i="9"/>
  <c r="BB658" i="9"/>
  <c r="AZ649" i="9"/>
  <c r="BJ641" i="9"/>
  <c r="BK641" i="9" s="1"/>
  <c r="BQ637" i="9"/>
  <c r="BX637" i="9"/>
  <c r="AI637" i="9"/>
  <c r="BD637" i="9"/>
  <c r="AY637" i="9" a="1"/>
  <c r="AY637" i="9" s="1"/>
  <c r="CG637" i="9"/>
  <c r="BM637" i="9"/>
  <c r="A637" i="9"/>
  <c r="BA637" i="9"/>
  <c r="CC637" i="9"/>
  <c r="BQ600" i="9"/>
  <c r="BX600" i="9"/>
  <c r="AI600" i="9"/>
  <c r="BD600" i="9"/>
  <c r="AY600" i="9" a="1"/>
  <c r="AY600" i="9" s="1"/>
  <c r="CG600" i="9"/>
  <c r="BM600" i="9"/>
  <c r="A600" i="9"/>
  <c r="CK600" i="9"/>
  <c r="BA600" i="9"/>
  <c r="CC600" i="9"/>
  <c r="BA594" i="9"/>
  <c r="BB594" i="9"/>
  <c r="CK733" i="9"/>
  <c r="BX730" i="9"/>
  <c r="BQ730" i="9"/>
  <c r="BD727" i="9"/>
  <c r="AI727" i="9"/>
  <c r="CK725" i="9"/>
  <c r="CC723" i="9"/>
  <c r="BX722" i="9"/>
  <c r="BQ722" i="9"/>
  <c r="BD719" i="9"/>
  <c r="AI719" i="9"/>
  <c r="AY716" i="9" a="1"/>
  <c r="AY716" i="9" s="1"/>
  <c r="CC715" i="9"/>
  <c r="BX714" i="9"/>
  <c r="BQ714" i="9"/>
  <c r="A710" i="9"/>
  <c r="CC707" i="9"/>
  <c r="BX706" i="9"/>
  <c r="BQ706" i="9"/>
  <c r="BB704" i="9"/>
  <c r="A702" i="9"/>
  <c r="CG700" i="9"/>
  <c r="AY700" i="9" a="1"/>
  <c r="AY700" i="9" s="1"/>
  <c r="CC699" i="9"/>
  <c r="BX698" i="9"/>
  <c r="BQ698" i="9"/>
  <c r="BB696" i="9"/>
  <c r="CL696" i="9" s="1"/>
  <c r="CM696" i="9" s="1"/>
  <c r="BD695" i="9"/>
  <c r="AI695" i="9"/>
  <c r="BN694" i="9"/>
  <c r="BO694" i="9" s="1"/>
  <c r="CG692" i="9"/>
  <c r="AY692" i="9" a="1"/>
  <c r="AY692" i="9" s="1"/>
  <c r="CC691" i="9"/>
  <c r="BX690" i="9"/>
  <c r="BQ690" i="9"/>
  <c r="BM689" i="9"/>
  <c r="CC688" i="9"/>
  <c r="BM688" i="9"/>
  <c r="CK687" i="9"/>
  <c r="BO686" i="9"/>
  <c r="BP686" i="9" s="1" a="1"/>
  <c r="BP686" i="9" s="1"/>
  <c r="AI685" i="9"/>
  <c r="BD685" i="9"/>
  <c r="BM685" i="9"/>
  <c r="BX683" i="9"/>
  <c r="AY683" i="9" a="1"/>
  <c r="AY683" i="9" s="1"/>
  <c r="AY681" i="9" a="1"/>
  <c r="AY681" i="9" s="1"/>
  <c r="BQ680" i="9"/>
  <c r="BX680" i="9"/>
  <c r="AY680" i="9" a="1"/>
  <c r="AY680" i="9" s="1"/>
  <c r="CG680" i="9"/>
  <c r="A680" i="9"/>
  <c r="AI679" i="9"/>
  <c r="BQ677" i="9"/>
  <c r="BX677" i="9"/>
  <c r="AI677" i="9"/>
  <c r="BD677" i="9"/>
  <c r="BM677" i="9"/>
  <c r="A677" i="9"/>
  <c r="AI674" i="9"/>
  <c r="BD674" i="9"/>
  <c r="AY674" i="9" a="1"/>
  <c r="AY674" i="9" s="1"/>
  <c r="CG674" i="9"/>
  <c r="A674" i="9"/>
  <c r="CC674" i="9"/>
  <c r="A673" i="9"/>
  <c r="CC673" i="9"/>
  <c r="CK673" i="9"/>
  <c r="BQ673" i="9"/>
  <c r="BR673" i="9" s="1"/>
  <c r="BS673" i="9" s="1"/>
  <c r="BX673" i="9"/>
  <c r="CH673" i="9" s="1"/>
  <c r="CI673" i="9" s="1"/>
  <c r="CC672" i="9"/>
  <c r="CH670" i="9"/>
  <c r="CI670" i="9" s="1"/>
  <c r="CD667" i="9"/>
  <c r="BX666" i="9"/>
  <c r="BI666" i="9"/>
  <c r="BI664" i="9"/>
  <c r="AZ663" i="9"/>
  <c r="CC648" i="9"/>
  <c r="BQ645" i="9"/>
  <c r="BX645" i="9"/>
  <c r="AI645" i="9"/>
  <c r="BD645" i="9"/>
  <c r="AY645" i="9" a="1"/>
  <c r="AY645" i="9" s="1"/>
  <c r="CG645" i="9"/>
  <c r="BM645" i="9"/>
  <c r="A645" i="9"/>
  <c r="BA645" i="9"/>
  <c r="CC645" i="9"/>
  <c r="CL635" i="9"/>
  <c r="BZ635" i="9"/>
  <c r="CA635" i="9" s="1"/>
  <c r="CH635" i="9"/>
  <c r="CI635" i="9" s="1"/>
  <c r="CC628" i="9"/>
  <c r="CK628" i="9"/>
  <c r="A628" i="9"/>
  <c r="BD628" i="9"/>
  <c r="BM628" i="9"/>
  <c r="AI628" i="9"/>
  <c r="BX628" i="9"/>
  <c r="CG628" i="9"/>
  <c r="AY628" i="9" a="1"/>
  <c r="AY628" i="9" s="1"/>
  <c r="BQ628" i="9"/>
  <c r="BI628" i="9"/>
  <c r="BA624" i="9"/>
  <c r="CK730" i="9"/>
  <c r="A723" i="9"/>
  <c r="CK722" i="9"/>
  <c r="BB717" i="9"/>
  <c r="A715" i="9"/>
  <c r="CK714" i="9"/>
  <c r="CC712" i="9"/>
  <c r="BM710" i="9"/>
  <c r="BB709" i="9"/>
  <c r="A707" i="9"/>
  <c r="CK706" i="9"/>
  <c r="BB701" i="9"/>
  <c r="BD700" i="9"/>
  <c r="AI700" i="9"/>
  <c r="A699" i="9"/>
  <c r="CK698" i="9"/>
  <c r="BX695" i="9"/>
  <c r="BQ695" i="9"/>
  <c r="BB693" i="9"/>
  <c r="BJ693" i="9" s="1"/>
  <c r="BK693" i="9" s="1"/>
  <c r="BD692" i="9"/>
  <c r="AI692" i="9"/>
  <c r="A691" i="9"/>
  <c r="CK690" i="9"/>
  <c r="CG689" i="9"/>
  <c r="BQ687" i="9"/>
  <c r="BR687" i="9" s="1"/>
  <c r="BS687" i="9" s="1"/>
  <c r="BU687" i="9" s="1" a="1"/>
  <c r="BU687" i="9" s="1"/>
  <c r="BI687" i="9"/>
  <c r="BG686" i="9"/>
  <c r="BH686" i="9" s="1" a="1"/>
  <c r="BH686" i="9" s="1"/>
  <c r="BZ684" i="9"/>
  <c r="CA684" i="9" s="1"/>
  <c r="CB684" i="9" s="1" a="1"/>
  <c r="CB684" i="9" s="1"/>
  <c r="CG681" i="9"/>
  <c r="BX681" i="9"/>
  <c r="AI681" i="9"/>
  <c r="CG679" i="9"/>
  <c r="BA679" i="9"/>
  <c r="BR679" i="9" s="1"/>
  <c r="BS679" i="9" s="1"/>
  <c r="CG677" i="9"/>
  <c r="BM673" i="9"/>
  <c r="BN673" i="9" s="1"/>
  <c r="BO673" i="9" s="1"/>
  <c r="BA672" i="9"/>
  <c r="BA671" i="9"/>
  <c r="BB671" i="9"/>
  <c r="CC669" i="9"/>
  <c r="BA668" i="9"/>
  <c r="BJ662" i="9"/>
  <c r="BK662" i="9" s="1"/>
  <c r="BR662" i="9"/>
  <c r="BS662" i="9" s="1"/>
  <c r="BZ662" i="9"/>
  <c r="CA662" i="9" s="1"/>
  <c r="CB662" i="9" s="1" a="1"/>
  <c r="CB662" i="9" s="1"/>
  <c r="BF662" i="9"/>
  <c r="BG662" i="9" s="1"/>
  <c r="BH662" i="9" s="1" a="1"/>
  <c r="BH662" i="9" s="1"/>
  <c r="BZ643" i="9"/>
  <c r="CA643" i="9" s="1"/>
  <c r="CH643" i="9"/>
  <c r="CI643" i="9" s="1"/>
  <c r="CK637" i="9"/>
  <c r="BB623" i="9"/>
  <c r="BN623" i="9" s="1"/>
  <c r="BO623" i="9" s="1"/>
  <c r="BA623" i="9"/>
  <c r="BI600" i="9"/>
  <c r="BM723" i="9"/>
  <c r="BM715" i="9"/>
  <c r="BM707" i="9"/>
  <c r="BM699" i="9"/>
  <c r="BF694" i="9"/>
  <c r="BG694" i="9" s="1"/>
  <c r="BH694" i="9" s="1" a="1"/>
  <c r="BH694" i="9" s="1"/>
  <c r="BM691" i="9"/>
  <c r="AY688" i="9" a="1"/>
  <c r="AY688" i="9" s="1"/>
  <c r="CG688" i="9"/>
  <c r="A688" i="9"/>
  <c r="CK682" i="9"/>
  <c r="CC682" i="9"/>
  <c r="BA682" i="9"/>
  <c r="BK670" i="9"/>
  <c r="CM670" i="9"/>
  <c r="AZ669" i="9"/>
  <c r="AZ665" i="9"/>
  <c r="BF665" i="9" s="1"/>
  <c r="BG665" i="9" s="1"/>
  <c r="BH665" i="9" s="1" a="1"/>
  <c r="BH665" i="9" s="1"/>
  <c r="BA639" i="9"/>
  <c r="BB639" i="9"/>
  <c r="CD638" i="9"/>
  <c r="CE638" i="9" s="1"/>
  <c r="BO638" i="9"/>
  <c r="CM638" i="9"/>
  <c r="CN638" i="9" s="1" a="1"/>
  <c r="CN638" i="9" s="1"/>
  <c r="BI637" i="9"/>
  <c r="AI624" i="9"/>
  <c r="BD624" i="9"/>
  <c r="BM624" i="9"/>
  <c r="A624" i="9"/>
  <c r="CK624" i="9"/>
  <c r="BI624" i="9"/>
  <c r="AY624" i="9" a="1"/>
  <c r="AY624" i="9" s="1"/>
  <c r="BX624" i="9"/>
  <c r="CC624" i="9"/>
  <c r="BQ624" i="9"/>
  <c r="BA607" i="9"/>
  <c r="BB607" i="9"/>
  <c r="A733" i="9"/>
  <c r="BA730" i="9"/>
  <c r="A725" i="9"/>
  <c r="CG723" i="9"/>
  <c r="AY723" i="9" a="1"/>
  <c r="AY723" i="9" s="1"/>
  <c r="CH720" i="9"/>
  <c r="CI720" i="9" s="1"/>
  <c r="BB719" i="9"/>
  <c r="A717" i="9"/>
  <c r="CG715" i="9"/>
  <c r="AY715" i="9" a="1"/>
  <c r="AY715" i="9" s="1"/>
  <c r="CC714" i="9"/>
  <c r="BA714" i="9"/>
  <c r="BM712" i="9"/>
  <c r="BZ710" i="9"/>
  <c r="CA710" i="9" s="1"/>
  <c r="CB710" i="9" s="1" a="1"/>
  <c r="CB710" i="9" s="1"/>
  <c r="BD710" i="9"/>
  <c r="BR710" i="9" s="1"/>
  <c r="BS710" i="9" s="1"/>
  <c r="A709" i="9"/>
  <c r="CG707" i="9"/>
  <c r="AY707" i="9" a="1"/>
  <c r="AY707" i="9" s="1"/>
  <c r="CC706" i="9"/>
  <c r="BM704" i="9"/>
  <c r="BZ702" i="9"/>
  <c r="CA702" i="9" s="1"/>
  <c r="CB702" i="9" s="1" a="1"/>
  <c r="CB702" i="9" s="1"/>
  <c r="BD702" i="9"/>
  <c r="BR702" i="9" s="1"/>
  <c r="BS702" i="9" s="1"/>
  <c r="BU702" i="9" s="1" a="1"/>
  <c r="BU702" i="9" s="1"/>
  <c r="A701" i="9"/>
  <c r="CK700" i="9"/>
  <c r="CG699" i="9"/>
  <c r="AY699" i="9" a="1"/>
  <c r="AY699" i="9" s="1"/>
  <c r="CC698" i="9"/>
  <c r="BA698" i="9"/>
  <c r="BZ694" i="9"/>
  <c r="CA694" i="9" s="1"/>
  <c r="CB694" i="9" s="1" a="1"/>
  <c r="CB694" i="9" s="1"/>
  <c r="CK692" i="9"/>
  <c r="CG691" i="9"/>
  <c r="AY691" i="9" a="1"/>
  <c r="AY691" i="9" s="1"/>
  <c r="CC690" i="9"/>
  <c r="BA690" i="9"/>
  <c r="BQ688" i="9"/>
  <c r="CL686" i="9"/>
  <c r="CM686" i="9" s="1"/>
  <c r="CK683" i="9"/>
  <c r="AI683" i="9"/>
  <c r="BD683" i="9"/>
  <c r="BQ682" i="9"/>
  <c r="BI682" i="9"/>
  <c r="BM679" i="9"/>
  <c r="CC679" i="9"/>
  <c r="A679" i="9"/>
  <c r="BZ673" i="9"/>
  <c r="CA673" i="9" s="1"/>
  <c r="CB673" i="9" s="1" a="1"/>
  <c r="CB673" i="9" s="1"/>
  <c r="CD670" i="9"/>
  <c r="CE670" i="9" s="1"/>
  <c r="BB666" i="9"/>
  <c r="CC664" i="9"/>
  <c r="BQ661" i="9"/>
  <c r="BX661" i="9"/>
  <c r="AI661" i="9"/>
  <c r="BD661" i="9"/>
  <c r="AY661" i="9" a="1"/>
  <c r="AY661" i="9" s="1"/>
  <c r="CG661" i="9"/>
  <c r="BM661" i="9"/>
  <c r="A661" i="9"/>
  <c r="BA661" i="9"/>
  <c r="CC661" i="9"/>
  <c r="BQ653" i="9"/>
  <c r="BX653" i="9"/>
  <c r="AI653" i="9"/>
  <c r="BD653" i="9"/>
  <c r="AY653" i="9" a="1"/>
  <c r="AY653" i="9" s="1"/>
  <c r="CG653" i="9"/>
  <c r="BM653" i="9"/>
  <c r="A653" i="9"/>
  <c r="BA653" i="9"/>
  <c r="CC653" i="9"/>
  <c r="BA647" i="9"/>
  <c r="BB647" i="9"/>
  <c r="AZ644" i="9"/>
  <c r="CE643" i="9"/>
  <c r="CK640" i="9"/>
  <c r="BQ640" i="9"/>
  <c r="BX640" i="9"/>
  <c r="AI640" i="9"/>
  <c r="BD640" i="9"/>
  <c r="AY640" i="9" a="1"/>
  <c r="AY640" i="9" s="1"/>
  <c r="CG640" i="9"/>
  <c r="BM640" i="9"/>
  <c r="A640" i="9"/>
  <c r="AZ615" i="9"/>
  <c r="AZ609" i="9"/>
  <c r="BF609" i="9" s="1"/>
  <c r="BG609" i="9" s="1"/>
  <c r="BH609" i="9" s="1" a="1"/>
  <c r="BH609" i="9" s="1"/>
  <c r="AZ601" i="9"/>
  <c r="AZ586" i="9"/>
  <c r="BM733" i="9"/>
  <c r="BB732" i="9"/>
  <c r="A730" i="9"/>
  <c r="BF728" i="9"/>
  <c r="BG728" i="9" s="1"/>
  <c r="CC727" i="9"/>
  <c r="BM725" i="9"/>
  <c r="BB724" i="9"/>
  <c r="CH724" i="9" s="1"/>
  <c r="CI724" i="9" s="1"/>
  <c r="BD723" i="9"/>
  <c r="AI723" i="9"/>
  <c r="A722" i="9"/>
  <c r="BB716" i="9"/>
  <c r="BD715" i="9"/>
  <c r="AI715" i="9"/>
  <c r="A714" i="9"/>
  <c r="AY712" i="9" a="1"/>
  <c r="AY712" i="9" s="1"/>
  <c r="BB708" i="9"/>
  <c r="BJ708" i="9" s="1"/>
  <c r="BK708" i="9" s="1"/>
  <c r="BD707" i="9"/>
  <c r="AI707" i="9"/>
  <c r="A706" i="9"/>
  <c r="BB700" i="9"/>
  <c r="BD699" i="9"/>
  <c r="AI699" i="9"/>
  <c r="A698" i="9"/>
  <c r="BB692" i="9"/>
  <c r="BD691" i="9"/>
  <c r="AI691" i="9"/>
  <c r="A690" i="9"/>
  <c r="BX688" i="9"/>
  <c r="BI688" i="9"/>
  <c r="BA688" i="9"/>
  <c r="AI682" i="9"/>
  <c r="CC681" i="9"/>
  <c r="CK681" i="9"/>
  <c r="A681" i="9"/>
  <c r="BA676" i="9"/>
  <c r="BJ673" i="9"/>
  <c r="BK673" i="9" s="1"/>
  <c r="BL673" i="9" s="1" a="1"/>
  <c r="BL673" i="9" s="1"/>
  <c r="BA664" i="9"/>
  <c r="CH659" i="9"/>
  <c r="CI659" i="9" s="1"/>
  <c r="CK648" i="9"/>
  <c r="BQ648" i="9"/>
  <c r="BX648" i="9"/>
  <c r="AI648" i="9"/>
  <c r="BD648" i="9"/>
  <c r="AY648" i="9" a="1"/>
  <c r="AY648" i="9" s="1"/>
  <c r="CG648" i="9"/>
  <c r="BM648" i="9"/>
  <c r="A648" i="9"/>
  <c r="BA642" i="9"/>
  <c r="BB642" i="9"/>
  <c r="BI640" i="9"/>
  <c r="AZ639" i="9"/>
  <c r="CO638" i="9" a="1"/>
  <c r="CO638" i="9" s="1"/>
  <c r="AZ631" i="9"/>
  <c r="BJ631" i="9" s="1"/>
  <c r="BK631" i="9" s="1"/>
  <c r="CG733" i="9"/>
  <c r="CG725" i="9"/>
  <c r="BX723" i="9"/>
  <c r="BD720" i="9"/>
  <c r="BJ720" i="9" s="1"/>
  <c r="BK720" i="9" s="1"/>
  <c r="BX715" i="9"/>
  <c r="BD712" i="9"/>
  <c r="BX707" i="9"/>
  <c r="BX699" i="9"/>
  <c r="BX691" i="9"/>
  <c r="BM687" i="9"/>
  <c r="BN687" i="9" s="1"/>
  <c r="BO687" i="9" s="1"/>
  <c r="CC687" i="9"/>
  <c r="A687" i="9"/>
  <c r="BH684" i="9" a="1"/>
  <c r="BH684" i="9" s="1"/>
  <c r="CO684" i="9" a="1"/>
  <c r="CO684" i="9" s="1"/>
  <c r="BI683" i="9"/>
  <c r="BA683" i="9"/>
  <c r="BX682" i="9"/>
  <c r="BB681" i="9"/>
  <c r="AZ676" i="9"/>
  <c r="BR670" i="9"/>
  <c r="BS670" i="9" s="1"/>
  <c r="BZ670" i="9"/>
  <c r="CA670" i="9" s="1"/>
  <c r="BQ669" i="9"/>
  <c r="BX669" i="9"/>
  <c r="AI669" i="9"/>
  <c r="BD669" i="9"/>
  <c r="BM669" i="9"/>
  <c r="A669" i="9"/>
  <c r="BA650" i="9"/>
  <c r="BB650" i="9"/>
  <c r="AZ647" i="9"/>
  <c r="BJ638" i="9"/>
  <c r="BK638" i="9" s="1"/>
  <c r="BR638" i="9"/>
  <c r="BS638" i="9" s="1"/>
  <c r="BZ638" i="9"/>
  <c r="CA638" i="9" s="1"/>
  <c r="CB638" i="9" s="1" a="1"/>
  <c r="CB638" i="9" s="1"/>
  <c r="BF638" i="9"/>
  <c r="BG638" i="9" s="1"/>
  <c r="BH638" i="9" s="1" a="1"/>
  <c r="BH638" i="9" s="1"/>
  <c r="AZ636" i="9"/>
  <c r="BM634" i="9"/>
  <c r="CC634" i="9"/>
  <c r="A634" i="9"/>
  <c r="CK622" i="9"/>
  <c r="AI622" i="9"/>
  <c r="BD622" i="9"/>
  <c r="AY622" i="9" a="1"/>
  <c r="AY622" i="9" s="1"/>
  <c r="CG622" i="9"/>
  <c r="CC622" i="9"/>
  <c r="AI616" i="9"/>
  <c r="BD616" i="9"/>
  <c r="AY616" i="9" a="1"/>
  <c r="AY616" i="9" s="1"/>
  <c r="CG616" i="9"/>
  <c r="BM616" i="9"/>
  <c r="A616" i="9"/>
  <c r="CK616" i="9"/>
  <c r="BJ612" i="9"/>
  <c r="BK612" i="9" s="1"/>
  <c r="AY605" i="9" a="1"/>
  <c r="AY605" i="9" s="1"/>
  <c r="CG605" i="9"/>
  <c r="BM605" i="9"/>
  <c r="A605" i="9"/>
  <c r="CC605" i="9"/>
  <c r="BQ605" i="9"/>
  <c r="BX605" i="9"/>
  <c r="BA602" i="9"/>
  <c r="BB602" i="9"/>
  <c r="AZ596" i="9"/>
  <c r="BA586" i="9"/>
  <c r="CH586" i="9" s="1"/>
  <c r="CI586" i="9" s="1"/>
  <c r="BB586" i="9"/>
  <c r="AZ578" i="9"/>
  <c r="BA528" i="9"/>
  <c r="BB528" i="9"/>
  <c r="CK497" i="9"/>
  <c r="BQ497" i="9"/>
  <c r="BX497" i="9"/>
  <c r="AI497" i="9"/>
  <c r="BD497" i="9"/>
  <c r="BM497" i="9"/>
  <c r="AY497" i="9" a="1"/>
  <c r="AY497" i="9" s="1"/>
  <c r="BI497" i="9"/>
  <c r="BA497" i="9"/>
  <c r="CC497" i="9"/>
  <c r="A497" i="9"/>
  <c r="CG497" i="9"/>
  <c r="BQ622" i="9"/>
  <c r="BX616" i="9"/>
  <c r="BI605" i="9"/>
  <c r="AZ593" i="9"/>
  <c r="BA578" i="9"/>
  <c r="BB578" i="9"/>
  <c r="AZ570" i="9"/>
  <c r="BA564" i="9"/>
  <c r="BB564" i="9"/>
  <c r="AY675" i="9" a="1"/>
  <c r="AY675" i="9" s="1"/>
  <c r="BX665" i="9"/>
  <c r="BZ665" i="9" s="1"/>
  <c r="CA665" i="9" s="1"/>
  <c r="CB665" i="9" s="1" a="1"/>
  <c r="CB665" i="9" s="1"/>
  <c r="BQ665" i="9"/>
  <c r="CC658" i="9"/>
  <c r="BX657" i="9"/>
  <c r="BQ657" i="9"/>
  <c r="BZ654" i="9"/>
  <c r="CA654" i="9" s="1"/>
  <c r="AY651" i="9" a="1"/>
  <c r="AY651" i="9" s="1"/>
  <c r="CC650" i="9"/>
  <c r="BX649" i="9"/>
  <c r="CH649" i="9" s="1"/>
  <c r="CI649" i="9" s="1"/>
  <c r="BQ649" i="9"/>
  <c r="CC642" i="9"/>
  <c r="BX641" i="9"/>
  <c r="CH641" i="9" s="1"/>
  <c r="CI641" i="9" s="1"/>
  <c r="BQ641" i="9"/>
  <c r="BR641" i="9" s="1"/>
  <c r="BS641" i="9" s="1"/>
  <c r="AY629" i="9" a="1"/>
  <c r="AY629" i="9" s="1"/>
  <c r="CG629" i="9"/>
  <c r="A629" i="9"/>
  <c r="BA626" i="9"/>
  <c r="BB626" i="9"/>
  <c r="AZ625" i="9"/>
  <c r="AZ617" i="9"/>
  <c r="CD617" i="9" s="1"/>
  <c r="CE617" i="9" s="1"/>
  <c r="BA615" i="9"/>
  <c r="BN615" i="9" s="1"/>
  <c r="BO615" i="9" s="1"/>
  <c r="BB615" i="9"/>
  <c r="CK606" i="9"/>
  <c r="BQ606" i="9"/>
  <c r="BX606" i="9"/>
  <c r="AI606" i="9"/>
  <c r="BD606" i="9"/>
  <c r="AY606" i="9" a="1"/>
  <c r="AY606" i="9" s="1"/>
  <c r="CG606" i="9"/>
  <c r="CC606" i="9"/>
  <c r="BD605" i="9"/>
  <c r="BQ592" i="9"/>
  <c r="BX592" i="9"/>
  <c r="AI592" i="9"/>
  <c r="BD592" i="9"/>
  <c r="AY592" i="9" a="1"/>
  <c r="AY592" i="9" s="1"/>
  <c r="CG592" i="9"/>
  <c r="BM592" i="9"/>
  <c r="A592" i="9"/>
  <c r="BA592" i="9"/>
  <c r="CC592" i="9"/>
  <c r="CK592" i="9"/>
  <c r="BA570" i="9"/>
  <c r="BB570" i="9"/>
  <c r="AZ565" i="9"/>
  <c r="BF565" i="9" s="1"/>
  <c r="BG565" i="9" s="1"/>
  <c r="BA542" i="9"/>
  <c r="BD675" i="9"/>
  <c r="AI675" i="9"/>
  <c r="CC671" i="9"/>
  <c r="CD671" i="9" s="1"/>
  <c r="CE671" i="9" s="1"/>
  <c r="BD667" i="9"/>
  <c r="AI667" i="9"/>
  <c r="CK665" i="9"/>
  <c r="CC663" i="9"/>
  <c r="BB660" i="9"/>
  <c r="BD659" i="9"/>
  <c r="BJ659" i="9" s="1"/>
  <c r="BK659" i="9" s="1"/>
  <c r="AI659" i="9"/>
  <c r="A658" i="9"/>
  <c r="CK657" i="9"/>
  <c r="CC655" i="9"/>
  <c r="BB652" i="9"/>
  <c r="BD651" i="9"/>
  <c r="AI651" i="9"/>
  <c r="A650" i="9"/>
  <c r="CK649" i="9"/>
  <c r="CC647" i="9"/>
  <c r="BB644" i="9"/>
  <c r="CM643" i="9"/>
  <c r="BD643" i="9"/>
  <c r="BN643" i="9" s="1"/>
  <c r="BO643" i="9" s="1"/>
  <c r="AI643" i="9"/>
  <c r="A642" i="9"/>
  <c r="CK641" i="9"/>
  <c r="CC639" i="9"/>
  <c r="BB636" i="9"/>
  <c r="CM635" i="9"/>
  <c r="BD635" i="9"/>
  <c r="BN635" i="9" s="1"/>
  <c r="BO635" i="9" s="1"/>
  <c r="CK634" i="9"/>
  <c r="AI632" i="9"/>
  <c r="BD632" i="9"/>
  <c r="BM632" i="9"/>
  <c r="BX630" i="9"/>
  <c r="AY630" i="9" a="1"/>
  <c r="AY630" i="9" s="1"/>
  <c r="BR626" i="9"/>
  <c r="BS626" i="9" s="1"/>
  <c r="AY613" i="9" a="1"/>
  <c r="AY613" i="9" s="1"/>
  <c r="CG613" i="9"/>
  <c r="BM613" i="9"/>
  <c r="A613" i="9"/>
  <c r="CC613" i="9"/>
  <c r="BQ613" i="9"/>
  <c r="BX613" i="9"/>
  <c r="BA610" i="9"/>
  <c r="BB610" i="9"/>
  <c r="BA599" i="9"/>
  <c r="CD599" i="9" s="1"/>
  <c r="CE599" i="9" s="1"/>
  <c r="BB599" i="9"/>
  <c r="BN593" i="9"/>
  <c r="BO593" i="9" s="1"/>
  <c r="BQ584" i="9"/>
  <c r="BX584" i="9"/>
  <c r="AI584" i="9"/>
  <c r="BD584" i="9"/>
  <c r="AY584" i="9" a="1"/>
  <c r="AY584" i="9" s="1"/>
  <c r="CG584" i="9"/>
  <c r="BM584" i="9"/>
  <c r="A584" i="9"/>
  <c r="BA584" i="9"/>
  <c r="CC584" i="9"/>
  <c r="CK584" i="9"/>
  <c r="AZ577" i="9"/>
  <c r="CH577" i="9" s="1"/>
  <c r="CI577" i="9" s="1"/>
  <c r="CL565" i="9"/>
  <c r="CM565" i="9" s="1"/>
  <c r="BB557" i="9"/>
  <c r="BA557" i="9"/>
  <c r="AZ552" i="9"/>
  <c r="BM658" i="9"/>
  <c r="BM650" i="9"/>
  <c r="BM642" i="9"/>
  <c r="BQ634" i="9"/>
  <c r="BI634" i="9"/>
  <c r="AY634" i="9" a="1"/>
  <c r="AY634" i="9" s="1"/>
  <c r="BB629" i="9"/>
  <c r="AZ623" i="9"/>
  <c r="BM622" i="9"/>
  <c r="AZ618" i="9"/>
  <c r="BQ616" i="9"/>
  <c r="AZ607" i="9"/>
  <c r="CK605" i="9"/>
  <c r="BQ576" i="9"/>
  <c r="BX576" i="9"/>
  <c r="AI576" i="9"/>
  <c r="BD576" i="9"/>
  <c r="AY576" i="9" a="1"/>
  <c r="AY576" i="9" s="1"/>
  <c r="CG576" i="9"/>
  <c r="BM576" i="9"/>
  <c r="A576" i="9"/>
  <c r="BA576" i="9"/>
  <c r="CC576" i="9"/>
  <c r="CK576" i="9"/>
  <c r="AZ572" i="9"/>
  <c r="BF572" i="9" s="1"/>
  <c r="BG572" i="9" s="1"/>
  <c r="BH572" i="9" s="1" a="1"/>
  <c r="BH572" i="9" s="1"/>
  <c r="AZ569" i="9"/>
  <c r="CD569" i="9" s="1"/>
  <c r="CE569" i="9" s="1"/>
  <c r="BA560" i="9"/>
  <c r="CH560" i="9" s="1"/>
  <c r="CI560" i="9" s="1"/>
  <c r="BB560" i="9"/>
  <c r="AI542" i="9"/>
  <c r="BD542" i="9"/>
  <c r="AY542" i="9" a="1"/>
  <c r="AY542" i="9" s="1"/>
  <c r="CG542" i="9"/>
  <c r="BM542" i="9"/>
  <c r="A542" i="9"/>
  <c r="CK542" i="9"/>
  <c r="BQ542" i="9"/>
  <c r="BX542" i="9"/>
  <c r="AZ531" i="9"/>
  <c r="CD516" i="9"/>
  <c r="CE516" i="9" s="1"/>
  <c r="BN516" i="9"/>
  <c r="BO516" i="9" s="1"/>
  <c r="BU673" i="9" a="1"/>
  <c r="BU673" i="9" s="1"/>
  <c r="BM671" i="9"/>
  <c r="CC665" i="9"/>
  <c r="BM663" i="9"/>
  <c r="BN663" i="9" s="1"/>
  <c r="BO663" i="9" s="1"/>
  <c r="CG658" i="9"/>
  <c r="AY658" i="9" a="1"/>
  <c r="AY658" i="9" s="1"/>
  <c r="CC657" i="9"/>
  <c r="CG650" i="9"/>
  <c r="AY650" i="9" a="1"/>
  <c r="AY650" i="9" s="1"/>
  <c r="CC649" i="9"/>
  <c r="BM647" i="9"/>
  <c r="CG642" i="9"/>
  <c r="AY642" i="9" a="1"/>
  <c r="AY642" i="9" s="1"/>
  <c r="CC641" i="9"/>
  <c r="BM639" i="9"/>
  <c r="BN639" i="9" s="1"/>
  <c r="BO639" i="9" s="1"/>
  <c r="A635" i="9"/>
  <c r="AI634" i="9"/>
  <c r="BB632" i="9"/>
  <c r="CK629" i="9"/>
  <c r="CC629" i="9"/>
  <c r="BA628" i="9"/>
  <c r="BX622" i="9"/>
  <c r="CK614" i="9"/>
  <c r="BQ614" i="9"/>
  <c r="BX614" i="9"/>
  <c r="AI614" i="9"/>
  <c r="BD614" i="9"/>
  <c r="AY614" i="9" a="1"/>
  <c r="AY614" i="9" s="1"/>
  <c r="CG614" i="9"/>
  <c r="CC614" i="9"/>
  <c r="BD613" i="9"/>
  <c r="CD609" i="9"/>
  <c r="CE609" i="9" s="1"/>
  <c r="AI608" i="9"/>
  <c r="BD608" i="9"/>
  <c r="AY608" i="9" a="1"/>
  <c r="AY608" i="9" s="1"/>
  <c r="CG608" i="9"/>
  <c r="BM608" i="9"/>
  <c r="A608" i="9"/>
  <c r="CK608" i="9"/>
  <c r="AI605" i="9"/>
  <c r="BJ604" i="9"/>
  <c r="BK604" i="9" s="1"/>
  <c r="CL601" i="9"/>
  <c r="CM601" i="9" s="1"/>
  <c r="AZ594" i="9"/>
  <c r="BN594" i="9" s="1"/>
  <c r="BO594" i="9" s="1"/>
  <c r="BI584" i="9"/>
  <c r="CL577" i="9"/>
  <c r="CM577" i="9" s="1"/>
  <c r="BQ568" i="9"/>
  <c r="BX568" i="9"/>
  <c r="AI568" i="9"/>
  <c r="BD568" i="9"/>
  <c r="AY568" i="9" a="1"/>
  <c r="AY568" i="9" s="1"/>
  <c r="CG568" i="9"/>
  <c r="BM568" i="9"/>
  <c r="A568" i="9"/>
  <c r="BA568" i="9"/>
  <c r="CC568" i="9"/>
  <c r="CK568" i="9"/>
  <c r="CH559" i="9"/>
  <c r="CI559" i="9" s="1"/>
  <c r="BD658" i="9"/>
  <c r="BD650" i="9"/>
  <c r="BD642" i="9"/>
  <c r="CG634" i="9"/>
  <c r="BX634" i="9"/>
  <c r="BA634" i="9"/>
  <c r="CK630" i="9"/>
  <c r="AI630" i="9"/>
  <c r="BD630" i="9"/>
  <c r="BQ629" i="9"/>
  <c r="BI629" i="9"/>
  <c r="BI622" i="9"/>
  <c r="BA622" i="9"/>
  <c r="AY621" i="9" a="1"/>
  <c r="AY621" i="9" s="1"/>
  <c r="CG621" i="9"/>
  <c r="BM621" i="9"/>
  <c r="A621" i="9"/>
  <c r="CC621" i="9"/>
  <c r="BQ621" i="9"/>
  <c r="BX621" i="9"/>
  <c r="BA618" i="9"/>
  <c r="BB618" i="9"/>
  <c r="BF617" i="9"/>
  <c r="BG617" i="9" s="1"/>
  <c r="BH617" i="9" s="1" a="1"/>
  <c r="BH617" i="9" s="1"/>
  <c r="BN609" i="9"/>
  <c r="BO609" i="9" s="1"/>
  <c r="BP609" i="9" s="1" a="1"/>
  <c r="BP609" i="9" s="1"/>
  <c r="BJ609" i="9"/>
  <c r="BK609" i="9" s="1"/>
  <c r="BZ609" i="9"/>
  <c r="CA609" i="9" s="1"/>
  <c r="CB609" i="9" s="1" a="1"/>
  <c r="CB609" i="9" s="1"/>
  <c r="BA605" i="9"/>
  <c r="AZ602" i="9"/>
  <c r="BF577" i="9"/>
  <c r="BG577" i="9" s="1"/>
  <c r="BH577" i="9" s="1" a="1"/>
  <c r="BH577" i="9" s="1"/>
  <c r="BI576" i="9"/>
  <c r="BJ559" i="9"/>
  <c r="BK559" i="9" s="1"/>
  <c r="BR559" i="9"/>
  <c r="BS559" i="9" s="1"/>
  <c r="CC542" i="9"/>
  <c r="BM620" i="9"/>
  <c r="BM612" i="9"/>
  <c r="BN612" i="9" s="1"/>
  <c r="BO612" i="9" s="1"/>
  <c r="BM604" i="9"/>
  <c r="BN604" i="9" s="1"/>
  <c r="BO604" i="9" s="1"/>
  <c r="CC598" i="9"/>
  <c r="BX597" i="9"/>
  <c r="BQ597" i="9"/>
  <c r="BM596" i="9"/>
  <c r="CC590" i="9"/>
  <c r="BX589" i="9"/>
  <c r="BQ589" i="9"/>
  <c r="BM588" i="9"/>
  <c r="AI586" i="9"/>
  <c r="CC582" i="9"/>
  <c r="BX581" i="9"/>
  <c r="BQ581" i="9"/>
  <c r="BM580" i="9"/>
  <c r="AI578" i="9"/>
  <c r="CC574" i="9"/>
  <c r="BX573" i="9"/>
  <c r="BQ573" i="9"/>
  <c r="BM572" i="9"/>
  <c r="AI570" i="9"/>
  <c r="AI566" i="9"/>
  <c r="BD566" i="9"/>
  <c r="BF566" i="9" s="1"/>
  <c r="BG566" i="9" s="1"/>
  <c r="BM566" i="9"/>
  <c r="BQ561" i="9"/>
  <c r="BX561" i="9"/>
  <c r="AY561" i="9" a="1"/>
  <c r="AY561" i="9" s="1"/>
  <c r="CG561" i="9"/>
  <c r="A561" i="9"/>
  <c r="CD559" i="9"/>
  <c r="CE559" i="9" s="1"/>
  <c r="BF559" i="9"/>
  <c r="BG559" i="9" s="1"/>
  <c r="BA556" i="9"/>
  <c r="AY555" i="9" a="1"/>
  <c r="AY555" i="9" s="1"/>
  <c r="CG555" i="9"/>
  <c r="A555" i="9"/>
  <c r="CC555" i="9"/>
  <c r="BQ555" i="9"/>
  <c r="BX555" i="9"/>
  <c r="BA548" i="9"/>
  <c r="AY547" i="9" a="1"/>
  <c r="AY547" i="9" s="1"/>
  <c r="CG547" i="9"/>
  <c r="BM547" i="9"/>
  <c r="A547" i="9"/>
  <c r="CC547" i="9"/>
  <c r="BQ547" i="9"/>
  <c r="BX547" i="9"/>
  <c r="AZ541" i="9"/>
  <c r="BZ516" i="9"/>
  <c r="AZ508" i="9"/>
  <c r="CL508" i="9" s="1"/>
  <c r="CM508" i="9" s="1"/>
  <c r="CD484" i="9"/>
  <c r="CK556" i="9"/>
  <c r="AI556" i="9"/>
  <c r="BD556" i="9"/>
  <c r="AY556" i="9" a="1"/>
  <c r="AY556" i="9" s="1"/>
  <c r="CG556" i="9"/>
  <c r="CC556" i="9"/>
  <c r="A556" i="9"/>
  <c r="CK548" i="9"/>
  <c r="BQ548" i="9"/>
  <c r="BX548" i="9"/>
  <c r="AI548" i="9"/>
  <c r="BD548" i="9"/>
  <c r="AY548" i="9" a="1"/>
  <c r="AY548" i="9" s="1"/>
  <c r="CG548" i="9"/>
  <c r="CC548" i="9"/>
  <c r="AZ530" i="9"/>
  <c r="AZ520" i="9"/>
  <c r="AZ501" i="9"/>
  <c r="BM627" i="9"/>
  <c r="BX620" i="9"/>
  <c r="BQ620" i="9"/>
  <c r="BM619" i="9"/>
  <c r="BX612" i="9"/>
  <c r="BZ612" i="9" s="1"/>
  <c r="CA612" i="9" s="1"/>
  <c r="CB612" i="9" s="1" a="1"/>
  <c r="CB612" i="9" s="1"/>
  <c r="BQ612" i="9"/>
  <c r="BR612" i="9" s="1"/>
  <c r="BS612" i="9" s="1"/>
  <c r="BM611" i="9"/>
  <c r="BX604" i="9"/>
  <c r="CH604" i="9" s="1"/>
  <c r="CI604" i="9" s="1"/>
  <c r="BQ604" i="9"/>
  <c r="BR604" i="9" s="1"/>
  <c r="BS604" i="9" s="1"/>
  <c r="BU604" i="9" s="1" a="1"/>
  <c r="BU604" i="9" s="1"/>
  <c r="BM603" i="9"/>
  <c r="BZ601" i="9"/>
  <c r="CA601" i="9" s="1"/>
  <c r="CB601" i="9" s="1" a="1"/>
  <c r="CB601" i="9" s="1"/>
  <c r="CG598" i="9"/>
  <c r="AY598" i="9" a="1"/>
  <c r="AY598" i="9" s="1"/>
  <c r="CC597" i="9"/>
  <c r="BX596" i="9"/>
  <c r="BQ596" i="9"/>
  <c r="BM595" i="9"/>
  <c r="CG590" i="9"/>
  <c r="AY590" i="9" a="1"/>
  <c r="AY590" i="9" s="1"/>
  <c r="CC589" i="9"/>
  <c r="BA589" i="9"/>
  <c r="BX588" i="9"/>
  <c r="BQ588" i="9"/>
  <c r="BM587" i="9"/>
  <c r="CG582" i="9"/>
  <c r="AY582" i="9" a="1"/>
  <c r="AY582" i="9" s="1"/>
  <c r="CC581" i="9"/>
  <c r="BX580" i="9"/>
  <c r="BQ580" i="9"/>
  <c r="BM579" i="9"/>
  <c r="BZ577" i="9"/>
  <c r="CA577" i="9" s="1"/>
  <c r="CB577" i="9" s="1" a="1"/>
  <c r="CB577" i="9" s="1"/>
  <c r="BR577" i="9"/>
  <c r="BS577" i="9" s="1"/>
  <c r="CG574" i="9"/>
  <c r="AY574" i="9" a="1"/>
  <c r="AY574" i="9" s="1"/>
  <c r="CC573" i="9"/>
  <c r="BX572" i="9"/>
  <c r="BZ572" i="9" s="1"/>
  <c r="CA572" i="9" s="1"/>
  <c r="CB572" i="9" s="1" a="1"/>
  <c r="CB572" i="9" s="1"/>
  <c r="BQ572" i="9"/>
  <c r="BR572" i="9" s="1"/>
  <c r="BS572" i="9" s="1"/>
  <c r="BM571" i="9"/>
  <c r="BZ569" i="9"/>
  <c r="CA569" i="9" s="1"/>
  <c r="CB569" i="9" s="1" a="1"/>
  <c r="CB569" i="9" s="1"/>
  <c r="BN565" i="9"/>
  <c r="BO565" i="9" s="1"/>
  <c r="CK564" i="9"/>
  <c r="AI564" i="9"/>
  <c r="BD564" i="9"/>
  <c r="BQ563" i="9"/>
  <c r="BI563" i="9"/>
  <c r="BI561" i="9"/>
  <c r="BM560" i="9"/>
  <c r="CC560" i="9"/>
  <c r="A560" i="9"/>
  <c r="CA559" i="9"/>
  <c r="CF559" i="9" s="1" a="1"/>
  <c r="CF559" i="9" s="1"/>
  <c r="BQ556" i="9"/>
  <c r="BI554" i="9"/>
  <c r="AY554" i="9" a="1"/>
  <c r="AY554" i="9" s="1"/>
  <c r="BA552" i="9"/>
  <c r="BB552" i="9"/>
  <c r="BR552" i="9" s="1"/>
  <c r="BS552" i="9" s="1"/>
  <c r="AZ543" i="9"/>
  <c r="BZ543" i="9" s="1"/>
  <c r="CA543" i="9" s="1"/>
  <c r="AZ527" i="9"/>
  <c r="CH527" i="9" s="1"/>
  <c r="CI527" i="9" s="1"/>
  <c r="BA515" i="9"/>
  <c r="CH515" i="9" s="1"/>
  <c r="CI515" i="9" s="1"/>
  <c r="BB515" i="9"/>
  <c r="CG627" i="9"/>
  <c r="AY627" i="9" a="1"/>
  <c r="AY627" i="9" s="1"/>
  <c r="CC626" i="9"/>
  <c r="CK620" i="9"/>
  <c r="CG619" i="9"/>
  <c r="AY619" i="9" a="1"/>
  <c r="AY619" i="9" s="1"/>
  <c r="CC618" i="9"/>
  <c r="CK612" i="9"/>
  <c r="CG611" i="9"/>
  <c r="AY611" i="9" a="1"/>
  <c r="AY611" i="9" s="1"/>
  <c r="CC610" i="9"/>
  <c r="CK604" i="9"/>
  <c r="CG603" i="9"/>
  <c r="AY603" i="9" a="1"/>
  <c r="AY603" i="9" s="1"/>
  <c r="CC602" i="9"/>
  <c r="BD598" i="9"/>
  <c r="AI598" i="9"/>
  <c r="A597" i="9"/>
  <c r="CK596" i="9"/>
  <c r="CG595" i="9"/>
  <c r="AY595" i="9" a="1"/>
  <c r="AY595" i="9" s="1"/>
  <c r="CC594" i="9"/>
  <c r="BB591" i="9"/>
  <c r="BD590" i="9"/>
  <c r="AI590" i="9"/>
  <c r="A589" i="9"/>
  <c r="CK588" i="9"/>
  <c r="CG587" i="9"/>
  <c r="AY587" i="9" a="1"/>
  <c r="AY587" i="9" s="1"/>
  <c r="CC586" i="9"/>
  <c r="BB583" i="9"/>
  <c r="BD582" i="9"/>
  <c r="AI582" i="9"/>
  <c r="A581" i="9"/>
  <c r="CK580" i="9"/>
  <c r="CG579" i="9"/>
  <c r="AY579" i="9" a="1"/>
  <c r="AY579" i="9" s="1"/>
  <c r="CC578" i="9"/>
  <c r="BB575" i="9"/>
  <c r="BZ575" i="9" s="1"/>
  <c r="CA575" i="9" s="1"/>
  <c r="CB575" i="9" s="1" a="1"/>
  <c r="CB575" i="9" s="1"/>
  <c r="BD574" i="9"/>
  <c r="AI574" i="9"/>
  <c r="A573" i="9"/>
  <c r="CK572" i="9"/>
  <c r="CG571" i="9"/>
  <c r="AY571" i="9" a="1"/>
  <c r="AY571" i="9" s="1"/>
  <c r="CC570" i="9"/>
  <c r="BB567" i="9"/>
  <c r="BQ566" i="9"/>
  <c r="BI566" i="9"/>
  <c r="CC564" i="9"/>
  <c r="A564" i="9"/>
  <c r="AI563" i="9"/>
  <c r="CC562" i="9"/>
  <c r="CK562" i="9"/>
  <c r="A562" i="9"/>
  <c r="BM555" i="9"/>
  <c r="AI554" i="9"/>
  <c r="AZ549" i="9"/>
  <c r="CK547" i="9"/>
  <c r="AZ536" i="9"/>
  <c r="AI534" i="9"/>
  <c r="BD534" i="9"/>
  <c r="AY534" i="9" a="1"/>
  <c r="AY534" i="9" s="1"/>
  <c r="CG534" i="9"/>
  <c r="BM534" i="9"/>
  <c r="A534" i="9"/>
  <c r="CC534" i="9"/>
  <c r="CK534" i="9"/>
  <c r="BQ526" i="9"/>
  <c r="BX526" i="9"/>
  <c r="AI526" i="9"/>
  <c r="BD526" i="9"/>
  <c r="AY526" i="9" a="1"/>
  <c r="AY526" i="9" s="1"/>
  <c r="CG526" i="9"/>
  <c r="BM526" i="9"/>
  <c r="A526" i="9"/>
  <c r="CC526" i="9"/>
  <c r="CK526" i="9"/>
  <c r="BJ523" i="9"/>
  <c r="BK523" i="9" s="1"/>
  <c r="AZ523" i="9"/>
  <c r="BF523" i="9" s="1"/>
  <c r="BG523" i="9" s="1"/>
  <c r="BA520" i="9"/>
  <c r="BB520" i="9"/>
  <c r="BA507" i="9"/>
  <c r="BB507" i="9"/>
  <c r="AZ503" i="9"/>
  <c r="CH492" i="9"/>
  <c r="BX598" i="9"/>
  <c r="BQ598" i="9"/>
  <c r="BM597" i="9"/>
  <c r="BX590" i="9"/>
  <c r="BQ590" i="9"/>
  <c r="BM589" i="9"/>
  <c r="BX582" i="9"/>
  <c r="BQ582" i="9"/>
  <c r="BM581" i="9"/>
  <c r="BX574" i="9"/>
  <c r="BQ574" i="9"/>
  <c r="BM573" i="9"/>
  <c r="BX563" i="9"/>
  <c r="BB562" i="9"/>
  <c r="CG554" i="9"/>
  <c r="BA554" i="9"/>
  <c r="A554" i="9"/>
  <c r="AI550" i="9"/>
  <c r="BD550" i="9"/>
  <c r="AY550" i="9" a="1"/>
  <c r="AY550" i="9" s="1"/>
  <c r="CG550" i="9"/>
  <c r="BM550" i="9"/>
  <c r="A550" i="9"/>
  <c r="CK550" i="9"/>
  <c r="BB542" i="9"/>
  <c r="AZ535" i="9"/>
  <c r="CH535" i="9" s="1"/>
  <c r="CI535" i="9" s="1"/>
  <c r="CL527" i="9"/>
  <c r="CM527" i="9" s="1"/>
  <c r="AZ522" i="9"/>
  <c r="BF522" i="9" s="1"/>
  <c r="BG522" i="9" s="1"/>
  <c r="BH522" i="9" s="1" a="1"/>
  <c r="BH522" i="9" s="1"/>
  <c r="BA518" i="9"/>
  <c r="AZ505" i="9"/>
  <c r="BR484" i="9"/>
  <c r="BS484" i="9" s="1"/>
  <c r="BT484" i="9" s="1" a="1"/>
  <c r="BT484" i="9" s="1"/>
  <c r="BZ484" i="9"/>
  <c r="CH484" i="9"/>
  <c r="CI484" i="9" s="1"/>
  <c r="BN484" i="9"/>
  <c r="BO484" i="9" s="1"/>
  <c r="AZ482" i="9"/>
  <c r="BX627" i="9"/>
  <c r="BX619" i="9"/>
  <c r="BX611" i="9"/>
  <c r="BX603" i="9"/>
  <c r="CG597" i="9"/>
  <c r="AY597" i="9" a="1"/>
  <c r="AY597" i="9" s="1"/>
  <c r="BX595" i="9"/>
  <c r="CG589" i="9"/>
  <c r="AY589" i="9" a="1"/>
  <c r="AY589" i="9" s="1"/>
  <c r="BX587" i="9"/>
  <c r="CG581" i="9"/>
  <c r="AY581" i="9" a="1"/>
  <c r="AY581" i="9" s="1"/>
  <c r="BX579" i="9"/>
  <c r="CG573" i="9"/>
  <c r="AY573" i="9" a="1"/>
  <c r="AY573" i="9" s="1"/>
  <c r="BX571" i="9"/>
  <c r="BX566" i="9"/>
  <c r="CD565" i="9"/>
  <c r="CE565" i="9" s="1"/>
  <c r="BQ564" i="9"/>
  <c r="BI562" i="9"/>
  <c r="CK560" i="9"/>
  <c r="BH559" i="9" a="1"/>
  <c r="BH559" i="9" s="1"/>
  <c r="AI558" i="9"/>
  <c r="BD558" i="9"/>
  <c r="BM558" i="9"/>
  <c r="A558" i="9"/>
  <c r="BM556" i="9"/>
  <c r="CK555" i="9"/>
  <c r="BA555" i="9"/>
  <c r="BX550" i="9"/>
  <c r="BA547" i="9"/>
  <c r="AZ544" i="9"/>
  <c r="CK540" i="9"/>
  <c r="BQ540" i="9"/>
  <c r="BX540" i="9"/>
  <c r="AI540" i="9"/>
  <c r="BD540" i="9"/>
  <c r="AY540" i="9" a="1"/>
  <c r="AY540" i="9" s="1"/>
  <c r="CG540" i="9"/>
  <c r="BM540" i="9"/>
  <c r="CC540" i="9"/>
  <c r="AZ539" i="9"/>
  <c r="BJ539" i="9" s="1"/>
  <c r="BK539" i="9" s="1"/>
  <c r="BJ538" i="9"/>
  <c r="BK538" i="9" s="1"/>
  <c r="BA536" i="9"/>
  <c r="BB536" i="9"/>
  <c r="BI534" i="9"/>
  <c r="BI526" i="9"/>
  <c r="CD525" i="9"/>
  <c r="CE525" i="9" s="1"/>
  <c r="AZ519" i="9"/>
  <c r="AZ480" i="9"/>
  <c r="BD597" i="9"/>
  <c r="BD589" i="9"/>
  <c r="BD581" i="9"/>
  <c r="BD573" i="9"/>
  <c r="CH566" i="9"/>
  <c r="CI566" i="9" s="1"/>
  <c r="AY563" i="9" a="1"/>
  <c r="AY563" i="9" s="1"/>
  <c r="CG563" i="9"/>
  <c r="A563" i="9"/>
  <c r="BU559" i="9" a="1"/>
  <c r="BU559" i="9" s="1"/>
  <c r="BX556" i="9"/>
  <c r="CC554" i="9"/>
  <c r="CK554" i="9"/>
  <c r="BQ554" i="9"/>
  <c r="BX554" i="9"/>
  <c r="BM554" i="9"/>
  <c r="AZ551" i="9"/>
  <c r="BA549" i="9"/>
  <c r="BB549" i="9"/>
  <c r="BM548" i="9"/>
  <c r="BA544" i="9"/>
  <c r="BB544" i="9"/>
  <c r="CD535" i="9"/>
  <c r="CE535" i="9" s="1"/>
  <c r="AZ528" i="9"/>
  <c r="BN528" i="9" s="1"/>
  <c r="BO528" i="9" s="1"/>
  <c r="BJ522" i="9"/>
  <c r="BK522" i="9" s="1"/>
  <c r="BL522" i="9" s="1" a="1"/>
  <c r="BL522" i="9" s="1"/>
  <c r="BQ518" i="9"/>
  <c r="BX518" i="9"/>
  <c r="AI518" i="9"/>
  <c r="BD518" i="9"/>
  <c r="AY518" i="9" a="1"/>
  <c r="AY518" i="9" s="1"/>
  <c r="CG518" i="9"/>
  <c r="BM518" i="9"/>
  <c r="A518" i="9"/>
  <c r="CC518" i="9"/>
  <c r="CK518" i="9"/>
  <c r="BR516" i="9"/>
  <c r="BS516" i="9" s="1"/>
  <c r="CL516" i="9"/>
  <c r="AZ489" i="9"/>
  <c r="BM546" i="9"/>
  <c r="AI544" i="9"/>
  <c r="BX539" i="9"/>
  <c r="BQ539" i="9"/>
  <c r="BR539" i="9" s="1"/>
  <c r="BS539" i="9" s="1"/>
  <c r="BM538" i="9"/>
  <c r="BN538" i="9" s="1"/>
  <c r="BO538" i="9" s="1"/>
  <c r="CC532" i="9"/>
  <c r="BX531" i="9"/>
  <c r="BQ531" i="9"/>
  <c r="BM530" i="9"/>
  <c r="CC524" i="9"/>
  <c r="BX523" i="9"/>
  <c r="BZ523" i="9" s="1"/>
  <c r="CA523" i="9" s="1"/>
  <c r="CB523" i="9" s="1" a="1"/>
  <c r="CB523" i="9" s="1"/>
  <c r="BQ523" i="9"/>
  <c r="BR523" i="9" s="1"/>
  <c r="BS523" i="9" s="1"/>
  <c r="BM522" i="9"/>
  <c r="BN522" i="9" s="1"/>
  <c r="BO522" i="9" s="1"/>
  <c r="BA506" i="9"/>
  <c r="BB506" i="9"/>
  <c r="AZ504" i="9"/>
  <c r="CK494" i="9"/>
  <c r="BQ494" i="9"/>
  <c r="BX494" i="9"/>
  <c r="AI494" i="9"/>
  <c r="BD494" i="9"/>
  <c r="AY494" i="9" a="1"/>
  <c r="AY494" i="9" s="1"/>
  <c r="CG494" i="9"/>
  <c r="A494" i="9"/>
  <c r="CI492" i="9"/>
  <c r="BA488" i="9"/>
  <c r="BB488" i="9"/>
  <c r="AZ485" i="9"/>
  <c r="AZ481" i="9"/>
  <c r="BB429" i="9"/>
  <c r="BA429" i="9"/>
  <c r="BM532" i="9"/>
  <c r="BF527" i="9"/>
  <c r="BG527" i="9" s="1"/>
  <c r="BH527" i="9" s="1" a="1"/>
  <c r="BH527" i="9" s="1"/>
  <c r="BM524" i="9"/>
  <c r="CH516" i="9"/>
  <c r="CI516" i="9" s="1"/>
  <c r="AY512" i="9" a="1"/>
  <c r="AY512" i="9" s="1"/>
  <c r="CG512" i="9"/>
  <c r="A512" i="9"/>
  <c r="BQ511" i="9"/>
  <c r="BG509" i="9"/>
  <c r="BH509" i="9" s="1" a="1"/>
  <c r="BH509" i="9" s="1"/>
  <c r="CK505" i="9"/>
  <c r="BQ505" i="9"/>
  <c r="BX505" i="9"/>
  <c r="AI505" i="9"/>
  <c r="BD505" i="9"/>
  <c r="A505" i="9"/>
  <c r="BJ500" i="9"/>
  <c r="BK500" i="9" s="1"/>
  <c r="BF500" i="9"/>
  <c r="BG500" i="9" s="1"/>
  <c r="BH500" i="9" s="1" a="1"/>
  <c r="BH500" i="9" s="1"/>
  <c r="AZ488" i="9"/>
  <c r="AZ477" i="9"/>
  <c r="AZ452" i="9"/>
  <c r="BM553" i="9"/>
  <c r="BX546" i="9"/>
  <c r="BQ546" i="9"/>
  <c r="BM545" i="9"/>
  <c r="CC539" i="9"/>
  <c r="BX538" i="9"/>
  <c r="BZ538" i="9" s="1"/>
  <c r="CA538" i="9" s="1"/>
  <c r="BQ538" i="9"/>
  <c r="BR538" i="9" s="1"/>
  <c r="BS538" i="9" s="1"/>
  <c r="BM537" i="9"/>
  <c r="CG532" i="9"/>
  <c r="AY532" i="9" a="1"/>
  <c r="AY532" i="9" s="1"/>
  <c r="CC531" i="9"/>
  <c r="BX530" i="9"/>
  <c r="BQ530" i="9"/>
  <c r="BM529" i="9"/>
  <c r="BZ527" i="9"/>
  <c r="CA527" i="9" s="1"/>
  <c r="CB527" i="9" s="1" a="1"/>
  <c r="CB527" i="9" s="1"/>
  <c r="CG524" i="9"/>
  <c r="AY524" i="9" a="1"/>
  <c r="AY524" i="9" s="1"/>
  <c r="CC523" i="9"/>
  <c r="BX522" i="9"/>
  <c r="BQ522" i="9"/>
  <c r="BR522" i="9" s="1"/>
  <c r="BS522" i="9" s="1"/>
  <c r="BM521" i="9"/>
  <c r="CA516" i="9"/>
  <c r="BF516" i="9"/>
  <c r="BG516" i="9" s="1"/>
  <c r="AI515" i="9"/>
  <c r="BD515" i="9"/>
  <c r="BM515" i="9"/>
  <c r="AZ514" i="9"/>
  <c r="CL514" i="9" s="1"/>
  <c r="CM514" i="9" s="1"/>
  <c r="CO514" i="9" s="1" a="1"/>
  <c r="CO514" i="9" s="1"/>
  <c r="CH513" i="9"/>
  <c r="CI513" i="9" s="1"/>
  <c r="AY511" i="9" a="1"/>
  <c r="AY511" i="9" s="1"/>
  <c r="BQ510" i="9"/>
  <c r="BX510" i="9"/>
  <c r="AY510" i="9" a="1"/>
  <c r="AY510" i="9" s="1"/>
  <c r="CG510" i="9"/>
  <c r="A510" i="9"/>
  <c r="BZ509" i="9"/>
  <c r="CA509" i="9" s="1"/>
  <c r="CB509" i="9" s="1" a="1"/>
  <c r="CB509" i="9" s="1"/>
  <c r="CD508" i="9"/>
  <c r="CE508" i="9" s="1"/>
  <c r="AI507" i="9"/>
  <c r="BD507" i="9"/>
  <c r="AY507" i="9" a="1"/>
  <c r="AY507" i="9" s="1"/>
  <c r="CG507" i="9"/>
  <c r="BM507" i="9"/>
  <c r="CC502" i="9"/>
  <c r="BA502" i="9"/>
  <c r="BI501" i="9"/>
  <c r="BJ501" i="9" s="1"/>
  <c r="BK501" i="9" s="1"/>
  <c r="BA501" i="9"/>
  <c r="CH501" i="9" s="1"/>
  <c r="CI501" i="9" s="1"/>
  <c r="CH500" i="9"/>
  <c r="CI500" i="9" s="1"/>
  <c r="AZ498" i="9"/>
  <c r="BR492" i="9"/>
  <c r="BS492" i="9" s="1"/>
  <c r="BU492" i="9" s="1" a="1"/>
  <c r="BU492" i="9" s="1"/>
  <c r="BQ491" i="9"/>
  <c r="BX491" i="9"/>
  <c r="AI491" i="9"/>
  <c r="BD491" i="9"/>
  <c r="AY491" i="9" a="1"/>
  <c r="AY491" i="9" s="1"/>
  <c r="CG491" i="9"/>
  <c r="BM491" i="9"/>
  <c r="A491" i="9"/>
  <c r="CC491" i="9"/>
  <c r="CG553" i="9"/>
  <c r="AY553" i="9" a="1"/>
  <c r="AY553" i="9" s="1"/>
  <c r="CC552" i="9"/>
  <c r="CK546" i="9"/>
  <c r="CG545" i="9"/>
  <c r="AY545" i="9" a="1"/>
  <c r="AY545" i="9" s="1"/>
  <c r="CC544" i="9"/>
  <c r="BB541" i="9"/>
  <c r="A539" i="9"/>
  <c r="CK538" i="9"/>
  <c r="CG537" i="9"/>
  <c r="AY537" i="9" a="1"/>
  <c r="AY537" i="9" s="1"/>
  <c r="CC536" i="9"/>
  <c r="BB533" i="9"/>
  <c r="BD532" i="9"/>
  <c r="AI532" i="9"/>
  <c r="A531" i="9"/>
  <c r="CK530" i="9"/>
  <c r="CG529" i="9"/>
  <c r="AY529" i="9" a="1"/>
  <c r="AY529" i="9" s="1"/>
  <c r="CC528" i="9"/>
  <c r="BB525" i="9"/>
  <c r="BD524" i="9"/>
  <c r="AI524" i="9"/>
  <c r="A523" i="9"/>
  <c r="CK522" i="9"/>
  <c r="CG521" i="9"/>
  <c r="AY521" i="9" a="1"/>
  <c r="AY521" i="9" s="1"/>
  <c r="CC520" i="9"/>
  <c r="BB517" i="9"/>
  <c r="CM516" i="9"/>
  <c r="CO516" i="9" s="1" a="1"/>
  <c r="CO516" i="9" s="1"/>
  <c r="A515" i="9"/>
  <c r="CG511" i="9"/>
  <c r="BX511" i="9"/>
  <c r="AI511" i="9"/>
  <c r="CH509" i="9"/>
  <c r="CI509" i="9" s="1"/>
  <c r="CK507" i="9"/>
  <c r="A507" i="9"/>
  <c r="CG505" i="9"/>
  <c r="BI505" i="9"/>
  <c r="BA505" i="9"/>
  <c r="BM502" i="9"/>
  <c r="CA500" i="9"/>
  <c r="CB500" i="9" s="1" a="1"/>
  <c r="CB500" i="9" s="1"/>
  <c r="BA494" i="9"/>
  <c r="CD492" i="9"/>
  <c r="BJ484" i="9"/>
  <c r="BK484" i="9" s="1"/>
  <c r="BL484" i="9" s="1" a="1"/>
  <c r="BL484" i="9" s="1"/>
  <c r="AZ479" i="9"/>
  <c r="AI464" i="9"/>
  <c r="BD464" i="9"/>
  <c r="BM464" i="9"/>
  <c r="A464" i="9"/>
  <c r="BA464" i="9"/>
  <c r="CC464" i="9"/>
  <c r="BQ464" i="9"/>
  <c r="BX464" i="9"/>
  <c r="CG464" i="9"/>
  <c r="AY464" i="9" a="1"/>
  <c r="AY464" i="9" s="1"/>
  <c r="CK464" i="9"/>
  <c r="BI464" i="9"/>
  <c r="AZ438" i="9"/>
  <c r="BM539" i="9"/>
  <c r="BX532" i="9"/>
  <c r="BQ532" i="9"/>
  <c r="BM531" i="9"/>
  <c r="BX524" i="9"/>
  <c r="BQ524" i="9"/>
  <c r="BM523" i="9"/>
  <c r="BN523" i="9" s="1"/>
  <c r="BO523" i="9" s="1"/>
  <c r="CK512" i="9"/>
  <c r="CC512" i="9"/>
  <c r="BA512" i="9"/>
  <c r="BM511" i="9"/>
  <c r="BD511" i="9"/>
  <c r="BA511" i="9"/>
  <c r="CK502" i="9"/>
  <c r="BM501" i="9"/>
  <c r="A501" i="9"/>
  <c r="CC501" i="9"/>
  <c r="CD501" i="9" s="1"/>
  <c r="CE501" i="9" s="1"/>
  <c r="CK501" i="9"/>
  <c r="CL501" i="9" s="1"/>
  <c r="CM501" i="9" s="1"/>
  <c r="CO501" i="9" s="1" a="1"/>
  <c r="CO501" i="9" s="1"/>
  <c r="BA495" i="9"/>
  <c r="BB495" i="9"/>
  <c r="BJ492" i="9"/>
  <c r="BK492" i="9" s="1"/>
  <c r="AZ490" i="9"/>
  <c r="BN490" i="9" s="1"/>
  <c r="BO490" i="9" s="1"/>
  <c r="CK486" i="9"/>
  <c r="BQ486" i="9"/>
  <c r="BX486" i="9"/>
  <c r="AI486" i="9"/>
  <c r="BD486" i="9"/>
  <c r="AY486" i="9" a="1"/>
  <c r="AY486" i="9" s="1"/>
  <c r="CG486" i="9"/>
  <c r="BM486" i="9"/>
  <c r="A486" i="9"/>
  <c r="BA486" i="9"/>
  <c r="CC486" i="9"/>
  <c r="AZ444" i="9"/>
  <c r="BX553" i="9"/>
  <c r="BX545" i="9"/>
  <c r="CG539" i="9"/>
  <c r="BX537" i="9"/>
  <c r="CG531" i="9"/>
  <c r="BX529" i="9"/>
  <c r="CG523" i="9"/>
  <c r="BX521" i="9"/>
  <c r="CK515" i="9"/>
  <c r="CC515" i="9"/>
  <c r="CK513" i="9"/>
  <c r="CL513" i="9" s="1"/>
  <c r="CM513" i="9" s="1"/>
  <c r="AI513" i="9"/>
  <c r="BD513" i="9"/>
  <c r="BQ512" i="9"/>
  <c r="BI512" i="9"/>
  <c r="BI510" i="9"/>
  <c r="BM509" i="9"/>
  <c r="BN509" i="9" s="1"/>
  <c r="BO509" i="9" s="1"/>
  <c r="CC509" i="9"/>
  <c r="CD509" i="9" s="1"/>
  <c r="CE509" i="9" s="1"/>
  <c r="A509" i="9"/>
  <c r="CC505" i="9"/>
  <c r="BJ504" i="9"/>
  <c r="BK504" i="9" s="1"/>
  <c r="BQ501" i="9"/>
  <c r="CD500" i="9"/>
  <c r="CE500" i="9" s="1"/>
  <c r="CF500" i="9" s="1" a="1"/>
  <c r="CF500" i="9" s="1"/>
  <c r="BR500" i="9"/>
  <c r="BS500" i="9" s="1"/>
  <c r="AI499" i="9"/>
  <c r="BD499" i="9"/>
  <c r="AY499" i="9" a="1"/>
  <c r="AY499" i="9" s="1"/>
  <c r="CG499" i="9"/>
  <c r="BM499" i="9"/>
  <c r="CC499" i="9"/>
  <c r="A499" i="9"/>
  <c r="CA496" i="9"/>
  <c r="CB496" i="9" s="1" a="1"/>
  <c r="CB496" i="9" s="1"/>
  <c r="AZ496" i="9"/>
  <c r="BZ496" i="9" s="1"/>
  <c r="BM494" i="9"/>
  <c r="AY493" i="9" a="1"/>
  <c r="AY493" i="9" s="1"/>
  <c r="CG493" i="9"/>
  <c r="BM493" i="9"/>
  <c r="A493" i="9"/>
  <c r="CC493" i="9"/>
  <c r="CK493" i="9"/>
  <c r="BI491" i="9"/>
  <c r="AZ487" i="9"/>
  <c r="BA469" i="9"/>
  <c r="BB469" i="9"/>
  <c r="AZ468" i="9"/>
  <c r="BA466" i="9"/>
  <c r="BB466" i="9"/>
  <c r="BQ459" i="9"/>
  <c r="BX459" i="9"/>
  <c r="AI459" i="9"/>
  <c r="BD459" i="9"/>
  <c r="AY459" i="9" a="1"/>
  <c r="AY459" i="9" s="1"/>
  <c r="CG459" i="9"/>
  <c r="BM459" i="9"/>
  <c r="A459" i="9"/>
  <c r="CK459" i="9"/>
  <c r="BA459" i="9"/>
  <c r="CC459" i="9"/>
  <c r="CC511" i="9"/>
  <c r="CK511" i="9"/>
  <c r="A511" i="9"/>
  <c r="BA503" i="9"/>
  <c r="BB503" i="9"/>
  <c r="BQ502" i="9"/>
  <c r="BX502" i="9"/>
  <c r="AI502" i="9"/>
  <c r="BD502" i="9"/>
  <c r="AY502" i="9" a="1"/>
  <c r="AY502" i="9" s="1"/>
  <c r="CG502" i="9"/>
  <c r="A502" i="9"/>
  <c r="CL492" i="9"/>
  <c r="CM492" i="9" s="1"/>
  <c r="CE492" i="9"/>
  <c r="BA480" i="9"/>
  <c r="BB480" i="9"/>
  <c r="BB441" i="9"/>
  <c r="BA441" i="9"/>
  <c r="CL441" i="9" s="1"/>
  <c r="CM441" i="9" s="1"/>
  <c r="AZ475" i="9"/>
  <c r="BM472" i="9"/>
  <c r="A472" i="9"/>
  <c r="CC472" i="9"/>
  <c r="BQ472" i="9"/>
  <c r="BX472" i="9"/>
  <c r="AY467" i="9" a="1"/>
  <c r="AY467" i="9" s="1"/>
  <c r="CG467" i="9"/>
  <c r="BM467" i="9"/>
  <c r="A467" i="9"/>
  <c r="CK467" i="9"/>
  <c r="BJ462" i="9"/>
  <c r="BK462" i="9" s="1"/>
  <c r="BZ462" i="9"/>
  <c r="CA462" i="9" s="1"/>
  <c r="CB462" i="9" s="1" a="1"/>
  <c r="CB462" i="9" s="1"/>
  <c r="BF462" i="9"/>
  <c r="BG462" i="9" s="1"/>
  <c r="BA461" i="9"/>
  <c r="BB461" i="9"/>
  <c r="BA458" i="9"/>
  <c r="BB458" i="9"/>
  <c r="CD458" i="9" s="1"/>
  <c r="CE458" i="9" s="1"/>
  <c r="BA450" i="9"/>
  <c r="BB450" i="9"/>
  <c r="BA436" i="9"/>
  <c r="BB436" i="9"/>
  <c r="BF492" i="9"/>
  <c r="BG492" i="9" s="1"/>
  <c r="BH492" i="9" s="1" a="1"/>
  <c r="BH492" i="9" s="1"/>
  <c r="BM489" i="9"/>
  <c r="CK485" i="9"/>
  <c r="CA484" i="9"/>
  <c r="CB484" i="9" s="1" a="1"/>
  <c r="CB484" i="9" s="1"/>
  <c r="BF484" i="9"/>
  <c r="BG484" i="9" s="1"/>
  <c r="BH484" i="9" s="1" a="1"/>
  <c r="BH484" i="9" s="1"/>
  <c r="CC483" i="9"/>
  <c r="BM481" i="9"/>
  <c r="BD479" i="9"/>
  <c r="AI479" i="9"/>
  <c r="BA476" i="9"/>
  <c r="AI475" i="9"/>
  <c r="BD472" i="9"/>
  <c r="BQ467" i="9"/>
  <c r="CD462" i="9"/>
  <c r="CE462" i="9" s="1"/>
  <c r="BA435" i="9"/>
  <c r="CC435" i="9"/>
  <c r="CK435" i="9"/>
  <c r="BQ435" i="9"/>
  <c r="BX435" i="9"/>
  <c r="AI435" i="9"/>
  <c r="AY435" i="9" a="1"/>
  <c r="AY435" i="9" s="1"/>
  <c r="BI435" i="9"/>
  <c r="CG435" i="9"/>
  <c r="A435" i="9"/>
  <c r="BD435" i="9"/>
  <c r="AZ428" i="9"/>
  <c r="BB485" i="9"/>
  <c r="A483" i="9"/>
  <c r="CK468" i="9"/>
  <c r="BQ468" i="9"/>
  <c r="BX468" i="9"/>
  <c r="AI468" i="9"/>
  <c r="BD468" i="9"/>
  <c r="A468" i="9"/>
  <c r="AZ460" i="9"/>
  <c r="AZ458" i="9"/>
  <c r="BQ434" i="9"/>
  <c r="BX434" i="9"/>
  <c r="AY434" i="9" a="1"/>
  <c r="AY434" i="9" s="1"/>
  <c r="CG434" i="9"/>
  <c r="BM434" i="9"/>
  <c r="AI434" i="9"/>
  <c r="BI434" i="9"/>
  <c r="BA434" i="9"/>
  <c r="CK434" i="9"/>
  <c r="CC434" i="9"/>
  <c r="A434" i="9"/>
  <c r="A504" i="9"/>
  <c r="CK503" i="9"/>
  <c r="CL503" i="9" s="1"/>
  <c r="CM503" i="9" s="1"/>
  <c r="BB498" i="9"/>
  <c r="A496" i="9"/>
  <c r="CK495" i="9"/>
  <c r="BB490" i="9"/>
  <c r="BD489" i="9"/>
  <c r="AI489" i="9"/>
  <c r="A488" i="9"/>
  <c r="CK487" i="9"/>
  <c r="CC485" i="9"/>
  <c r="CD485" i="9" s="1"/>
  <c r="CE485" i="9" s="1"/>
  <c r="BM483" i="9"/>
  <c r="BB482" i="9"/>
  <c r="BD481" i="9"/>
  <c r="AI481" i="9"/>
  <c r="A480" i="9"/>
  <c r="CK479" i="9"/>
  <c r="BA478" i="9"/>
  <c r="BI476" i="9"/>
  <c r="AY476" i="9" a="1"/>
  <c r="AY476" i="9" s="1"/>
  <c r="BQ473" i="9"/>
  <c r="BX473" i="9"/>
  <c r="AI473" i="9"/>
  <c r="BD473" i="9"/>
  <c r="AY473" i="9" a="1"/>
  <c r="AY473" i="9" s="1"/>
  <c r="CG473" i="9"/>
  <c r="CC473" i="9"/>
  <c r="BA470" i="9"/>
  <c r="CC467" i="9"/>
  <c r="BB467" i="9"/>
  <c r="CL462" i="9"/>
  <c r="CM462" i="9" s="1"/>
  <c r="BM435" i="9"/>
  <c r="BM504" i="9"/>
  <c r="BM496" i="9"/>
  <c r="BX489" i="9"/>
  <c r="BQ489" i="9"/>
  <c r="BM488" i="9"/>
  <c r="BN488" i="9" s="1"/>
  <c r="BO488" i="9" s="1"/>
  <c r="BB487" i="9"/>
  <c r="A485" i="9"/>
  <c r="CE484" i="9"/>
  <c r="CJ484" i="9" s="1" a="1"/>
  <c r="CJ484" i="9" s="1"/>
  <c r="CG483" i="9"/>
  <c r="AY483" i="9" a="1"/>
  <c r="AY483" i="9" s="1"/>
  <c r="BX481" i="9"/>
  <c r="BQ481" i="9"/>
  <c r="BR481" i="9" s="1"/>
  <c r="BS481" i="9" s="1"/>
  <c r="BM480" i="9"/>
  <c r="BB479" i="9"/>
  <c r="BM475" i="9"/>
  <c r="A475" i="9"/>
  <c r="CK475" i="9"/>
  <c r="AY472" i="9" a="1"/>
  <c r="AY472" i="9" s="1"/>
  <c r="AZ470" i="9"/>
  <c r="AZ469" i="9"/>
  <c r="BN469" i="9" s="1"/>
  <c r="BO469" i="9" s="1"/>
  <c r="CC468" i="9"/>
  <c r="AI456" i="9"/>
  <c r="BD456" i="9"/>
  <c r="AY456" i="9" a="1"/>
  <c r="AY456" i="9" s="1"/>
  <c r="CG456" i="9"/>
  <c r="BM456" i="9"/>
  <c r="A456" i="9"/>
  <c r="CC456" i="9"/>
  <c r="BQ456" i="9"/>
  <c r="BX456" i="9"/>
  <c r="BQ451" i="9"/>
  <c r="BX451" i="9"/>
  <c r="AI451" i="9"/>
  <c r="BD451" i="9"/>
  <c r="AY451" i="9" a="1"/>
  <c r="AY451" i="9" s="1"/>
  <c r="CG451" i="9"/>
  <c r="BM451" i="9"/>
  <c r="A451" i="9"/>
  <c r="CK451" i="9"/>
  <c r="AI448" i="9"/>
  <c r="BD448" i="9"/>
  <c r="AY448" i="9" a="1"/>
  <c r="AY448" i="9" s="1"/>
  <c r="CG448" i="9"/>
  <c r="BM448" i="9"/>
  <c r="A448" i="9"/>
  <c r="CC448" i="9"/>
  <c r="BQ448" i="9"/>
  <c r="BX448" i="9"/>
  <c r="AZ447" i="9"/>
  <c r="BA445" i="9"/>
  <c r="BB445" i="9"/>
  <c r="BA437" i="9"/>
  <c r="BJ389" i="9"/>
  <c r="CL389" i="9"/>
  <c r="CM389" i="9" s="1"/>
  <c r="BZ389" i="9"/>
  <c r="CA389" i="9" s="1"/>
  <c r="CB389" i="9" s="1" a="1"/>
  <c r="CB389" i="9" s="1"/>
  <c r="BF389" i="9"/>
  <c r="BN389" i="9"/>
  <c r="CG504" i="9"/>
  <c r="CH504" i="9" s="1"/>
  <c r="CI504" i="9" s="1"/>
  <c r="CG496" i="9"/>
  <c r="CG488" i="9"/>
  <c r="BM485" i="9"/>
  <c r="BN485" i="9" s="1"/>
  <c r="BO485" i="9" s="1"/>
  <c r="BD483" i="9"/>
  <c r="AI483" i="9"/>
  <c r="CG480" i="9"/>
  <c r="BX475" i="9"/>
  <c r="AI472" i="9"/>
  <c r="BM468" i="9"/>
  <c r="BA468" i="9"/>
  <c r="BX467" i="9"/>
  <c r="AI467" i="9"/>
  <c r="AZ463" i="9"/>
  <c r="BF463" i="9" s="1"/>
  <c r="BG463" i="9" s="1"/>
  <c r="BH463" i="9" s="1" a="1"/>
  <c r="BH463" i="9" s="1"/>
  <c r="AZ454" i="9"/>
  <c r="BA453" i="9"/>
  <c r="BB453" i="9"/>
  <c r="BD434" i="9"/>
  <c r="CG485" i="9"/>
  <c r="BX483" i="9"/>
  <c r="BA477" i="9"/>
  <c r="BB477" i="9"/>
  <c r="BQ476" i="9"/>
  <c r="BX476" i="9"/>
  <c r="AI476" i="9"/>
  <c r="BD476" i="9"/>
  <c r="A476" i="9"/>
  <c r="BF474" i="9"/>
  <c r="BG474" i="9" s="1"/>
  <c r="BH474" i="9" s="1" a="1"/>
  <c r="BH474" i="9" s="1"/>
  <c r="CK472" i="9"/>
  <c r="BA472" i="9"/>
  <c r="BI467" i="9"/>
  <c r="BR462" i="9"/>
  <c r="BS462" i="9" s="1"/>
  <c r="CK437" i="9"/>
  <c r="AY437" i="9" a="1"/>
  <c r="AY437" i="9" s="1"/>
  <c r="CG437" i="9"/>
  <c r="AI437" i="9"/>
  <c r="BX437" i="9"/>
  <c r="BQ437" i="9"/>
  <c r="BI437" i="9"/>
  <c r="CC437" i="9"/>
  <c r="BD437" i="9"/>
  <c r="BM471" i="9"/>
  <c r="CC465" i="9"/>
  <c r="BM463" i="9"/>
  <c r="A460" i="9"/>
  <c r="CC457" i="9"/>
  <c r="BM455" i="9"/>
  <c r="A452" i="9"/>
  <c r="CC449" i="9"/>
  <c r="BM447" i="9"/>
  <c r="A444" i="9"/>
  <c r="BQ442" i="9"/>
  <c r="BX442" i="9"/>
  <c r="BM442" i="9"/>
  <c r="A442" i="9"/>
  <c r="BQ438" i="9"/>
  <c r="CK436" i="9"/>
  <c r="BA433" i="9"/>
  <c r="BB433" i="9"/>
  <c r="AI431" i="9"/>
  <c r="BD431" i="9"/>
  <c r="BM431" i="9"/>
  <c r="A431" i="9"/>
  <c r="BA431" i="9"/>
  <c r="CC431" i="9"/>
  <c r="BQ431" i="9"/>
  <c r="BX431" i="9"/>
  <c r="AZ430" i="9"/>
  <c r="BI426" i="9"/>
  <c r="BJ424" i="9"/>
  <c r="BK424" i="9" s="1"/>
  <c r="BF424" i="9"/>
  <c r="BG424" i="9" s="1"/>
  <c r="BH424" i="9" s="1" a="1"/>
  <c r="BH424" i="9" s="1"/>
  <c r="AZ420" i="9"/>
  <c r="BM478" i="9"/>
  <c r="BX471" i="9"/>
  <c r="BQ471" i="9"/>
  <c r="BM470" i="9"/>
  <c r="CG465" i="9"/>
  <c r="AY465" i="9" a="1"/>
  <c r="AY465" i="9" s="1"/>
  <c r="BX463" i="9"/>
  <c r="BQ463" i="9"/>
  <c r="BD460" i="9"/>
  <c r="BJ460" i="9" s="1"/>
  <c r="BK460" i="9" s="1"/>
  <c r="AI460" i="9"/>
  <c r="CG457" i="9"/>
  <c r="AY457" i="9" a="1"/>
  <c r="AY457" i="9" s="1"/>
  <c r="BX455" i="9"/>
  <c r="BQ455" i="9"/>
  <c r="BM454" i="9"/>
  <c r="BD452" i="9"/>
  <c r="AI452" i="9"/>
  <c r="CG449" i="9"/>
  <c r="AY449" i="9" a="1"/>
  <c r="AY449" i="9" s="1"/>
  <c r="BX447" i="9"/>
  <c r="BQ447" i="9"/>
  <c r="BM446" i="9"/>
  <c r="BD444" i="9"/>
  <c r="AI444" i="9"/>
  <c r="BM443" i="9"/>
  <c r="BN443" i="9" s="1"/>
  <c r="BO443" i="9" s="1"/>
  <c r="BQ439" i="9"/>
  <c r="BI439" i="9"/>
  <c r="BM438" i="9"/>
  <c r="BD438" i="9"/>
  <c r="AY436" i="9" a="1"/>
  <c r="AY436" i="9" s="1"/>
  <c r="CG436" i="9"/>
  <c r="A436" i="9"/>
  <c r="CC436" i="9"/>
  <c r="AZ423" i="9"/>
  <c r="AZ404" i="9"/>
  <c r="BF398" i="9"/>
  <c r="BA381" i="9"/>
  <c r="BB381" i="9"/>
  <c r="BD465" i="9"/>
  <c r="AI465" i="9"/>
  <c r="BX460" i="9"/>
  <c r="CH460" i="9" s="1"/>
  <c r="CI460" i="9" s="1"/>
  <c r="BQ460" i="9"/>
  <c r="BD457" i="9"/>
  <c r="AI457" i="9"/>
  <c r="BX452" i="9"/>
  <c r="BQ452" i="9"/>
  <c r="BD449" i="9"/>
  <c r="AI449" i="9"/>
  <c r="BX444" i="9"/>
  <c r="BQ444" i="9"/>
  <c r="CC443" i="9"/>
  <c r="BQ443" i="9"/>
  <c r="BR443" i="9" s="1"/>
  <c r="BS443" i="9" s="1"/>
  <c r="BU443" i="9" s="1" a="1"/>
  <c r="BU443" i="9" s="1"/>
  <c r="BX443" i="9"/>
  <c r="CL443" i="9" s="1"/>
  <c r="CM443" i="9" s="1"/>
  <c r="A443" i="9"/>
  <c r="BA440" i="9"/>
  <c r="AY439" i="9" a="1"/>
  <c r="AY439" i="9" s="1"/>
  <c r="BA428" i="9"/>
  <c r="BB428" i="9"/>
  <c r="BN428" i="9" s="1"/>
  <c r="BO428" i="9" s="1"/>
  <c r="BZ424" i="9"/>
  <c r="AZ422" i="9"/>
  <c r="BQ418" i="9"/>
  <c r="BX418" i="9"/>
  <c r="AI418" i="9"/>
  <c r="BD418" i="9"/>
  <c r="AY418" i="9" a="1"/>
  <c r="AY418" i="9" s="1"/>
  <c r="CG418" i="9"/>
  <c r="BM418" i="9"/>
  <c r="A418" i="9"/>
  <c r="BA418" i="9"/>
  <c r="CC418" i="9"/>
  <c r="CK418" i="9"/>
  <c r="BA404" i="9"/>
  <c r="BB404" i="9"/>
  <c r="AZ395" i="9"/>
  <c r="BQ394" i="9"/>
  <c r="BX394" i="9"/>
  <c r="AI394" i="9"/>
  <c r="BD394" i="9"/>
  <c r="AY394" i="9" a="1"/>
  <c r="AY394" i="9" s="1"/>
  <c r="CG394" i="9"/>
  <c r="BM394" i="9"/>
  <c r="A394" i="9"/>
  <c r="CK394" i="9"/>
  <c r="BA394" i="9"/>
  <c r="AZ380" i="9"/>
  <c r="BX465" i="9"/>
  <c r="AZ461" i="9"/>
  <c r="CK460" i="9"/>
  <c r="BX457" i="9"/>
  <c r="AZ453" i="9"/>
  <c r="CK452" i="9"/>
  <c r="BX449" i="9"/>
  <c r="AZ445" i="9"/>
  <c r="CK444" i="9"/>
  <c r="A438" i="9"/>
  <c r="CK438" i="9"/>
  <c r="AZ431" i="9"/>
  <c r="CD430" i="9"/>
  <c r="CE430" i="9" s="1"/>
  <c r="BA427" i="9"/>
  <c r="AZ413" i="9"/>
  <c r="AZ411" i="9"/>
  <c r="AZ390" i="9"/>
  <c r="BF390" i="9" s="1"/>
  <c r="BG390" i="9" s="1"/>
  <c r="BH390" i="9" s="1" a="1"/>
  <c r="BH390" i="9" s="1"/>
  <c r="AZ367" i="9"/>
  <c r="BN430" i="9"/>
  <c r="BO430" i="9" s="1"/>
  <c r="BA420" i="9"/>
  <c r="BB420" i="9"/>
  <c r="BA408" i="9"/>
  <c r="BB408" i="9"/>
  <c r="BQ403" i="9"/>
  <c r="BX403" i="9"/>
  <c r="AI403" i="9"/>
  <c r="BD403" i="9"/>
  <c r="A403" i="9"/>
  <c r="AY403" i="9" a="1"/>
  <c r="AY403" i="9" s="1"/>
  <c r="BI403" i="9"/>
  <c r="CG403" i="9"/>
  <c r="BA403" i="9"/>
  <c r="BM403" i="9"/>
  <c r="CC403" i="9"/>
  <c r="BJ401" i="9"/>
  <c r="BK401" i="9" s="1"/>
  <c r="BP401" i="9" s="1" a="1"/>
  <c r="BP401" i="9" s="1"/>
  <c r="BF401" i="9"/>
  <c r="BG401" i="9" s="1"/>
  <c r="BH401" i="9" s="1" a="1"/>
  <c r="BH401" i="9" s="1"/>
  <c r="CH401" i="9"/>
  <c r="CI401" i="9" s="1"/>
  <c r="BN401" i="9"/>
  <c r="BO401" i="9" s="1"/>
  <c r="BZ401" i="9"/>
  <c r="CA401" i="9" s="1"/>
  <c r="CB401" i="9" s="1" a="1"/>
  <c r="CB401" i="9" s="1"/>
  <c r="BR401" i="9"/>
  <c r="CL401" i="9"/>
  <c r="CM401" i="9" s="1"/>
  <c r="CO401" i="9" s="1" a="1"/>
  <c r="CO401" i="9" s="1"/>
  <c r="AZ385" i="9"/>
  <c r="BA361" i="9"/>
  <c r="BB361" i="9"/>
  <c r="CC460" i="9"/>
  <c r="CC452" i="9"/>
  <c r="CC444" i="9"/>
  <c r="AI439" i="9"/>
  <c r="BD439" i="9"/>
  <c r="A439" i="9"/>
  <c r="BJ438" i="9"/>
  <c r="BK438" i="9" s="1"/>
  <c r="CC427" i="9"/>
  <c r="CK427" i="9"/>
  <c r="BQ427" i="9"/>
  <c r="BX427" i="9"/>
  <c r="AI427" i="9"/>
  <c r="BD427" i="9"/>
  <c r="AY427" i="9" a="1"/>
  <c r="AY427" i="9" s="1"/>
  <c r="CG427" i="9"/>
  <c r="A427" i="9"/>
  <c r="BQ426" i="9"/>
  <c r="BX426" i="9"/>
  <c r="AY426" i="9" a="1"/>
  <c r="AY426" i="9" s="1"/>
  <c r="CG426" i="9"/>
  <c r="BM426" i="9"/>
  <c r="A426" i="9"/>
  <c r="BA426" i="9"/>
  <c r="CC426" i="9"/>
  <c r="CK426" i="9"/>
  <c r="AZ417" i="9"/>
  <c r="A407" i="9"/>
  <c r="BA407" i="9"/>
  <c r="CC407" i="9"/>
  <c r="BQ407" i="9"/>
  <c r="BX407" i="9"/>
  <c r="AI407" i="9"/>
  <c r="BI407" i="9"/>
  <c r="AY407" i="9" a="1"/>
  <c r="AY407" i="9" s="1"/>
  <c r="CG407" i="9"/>
  <c r="BM407" i="9"/>
  <c r="BD428" i="9"/>
  <c r="AI428" i="9"/>
  <c r="BX423" i="9"/>
  <c r="BQ423" i="9"/>
  <c r="BD420" i="9"/>
  <c r="AI420" i="9"/>
  <c r="A419" i="9"/>
  <c r="CC416" i="9"/>
  <c r="BA416" i="9"/>
  <c r="A416" i="9"/>
  <c r="CK412" i="9"/>
  <c r="CK406" i="9"/>
  <c r="BQ406" i="9"/>
  <c r="BX406" i="9"/>
  <c r="BM406" i="9"/>
  <c r="BQ400" i="9"/>
  <c r="BX400" i="9"/>
  <c r="AI400" i="9"/>
  <c r="BD400" i="9"/>
  <c r="AY400" i="9" a="1"/>
  <c r="AY400" i="9" s="1"/>
  <c r="CG400" i="9"/>
  <c r="CC400" i="9"/>
  <c r="A400" i="9"/>
  <c r="AI391" i="9"/>
  <c r="BD391" i="9"/>
  <c r="AY391" i="9" a="1"/>
  <c r="AY391" i="9" s="1"/>
  <c r="CG391" i="9"/>
  <c r="BM391" i="9"/>
  <c r="A391" i="9"/>
  <c r="BA391" i="9"/>
  <c r="CC391" i="9"/>
  <c r="BQ391" i="9"/>
  <c r="BX391" i="9"/>
  <c r="BO389" i="9"/>
  <c r="AZ381" i="9"/>
  <c r="AZ361" i="9"/>
  <c r="CG419" i="9"/>
  <c r="AY419" i="9" a="1"/>
  <c r="AY419" i="9" s="1"/>
  <c r="BM416" i="9"/>
  <c r="AZ415" i="9"/>
  <c r="BJ415" i="9" s="1"/>
  <c r="BK415" i="9" s="1"/>
  <c r="AY412" i="9" a="1"/>
  <c r="AY412" i="9" s="1"/>
  <c r="BQ411" i="9"/>
  <c r="BX411" i="9"/>
  <c r="A411" i="9"/>
  <c r="AZ405" i="9"/>
  <c r="BN405" i="9" s="1"/>
  <c r="BO405" i="9" s="1"/>
  <c r="AY399" i="9" a="1"/>
  <c r="AY399" i="9" s="1"/>
  <c r="BA393" i="9"/>
  <c r="BB393" i="9"/>
  <c r="BJ390" i="9"/>
  <c r="BK390" i="9" s="1"/>
  <c r="BL390" i="9" s="1" a="1"/>
  <c r="BL390" i="9" s="1"/>
  <c r="CD389" i="9"/>
  <c r="AZ374" i="9"/>
  <c r="BJ374" i="9" s="1"/>
  <c r="BK374" i="9" s="1"/>
  <c r="BA367" i="9"/>
  <c r="BB367" i="9"/>
  <c r="AZ366" i="9"/>
  <c r="BZ366" i="9" s="1"/>
  <c r="CA366" i="9" s="1"/>
  <c r="CB366" i="9" s="1" a="1"/>
  <c r="CB366" i="9" s="1"/>
  <c r="BQ357" i="9"/>
  <c r="BX357" i="9"/>
  <c r="AI357" i="9"/>
  <c r="BD357" i="9"/>
  <c r="AY357" i="9" a="1"/>
  <c r="AY357" i="9" s="1"/>
  <c r="CG357" i="9"/>
  <c r="BM357" i="9"/>
  <c r="CC357" i="9"/>
  <c r="CK357" i="9"/>
  <c r="A357" i="9"/>
  <c r="CA424" i="9"/>
  <c r="CB424" i="9" s="1" a="1"/>
  <c r="CB424" i="9" s="1"/>
  <c r="CC423" i="9"/>
  <c r="BA423" i="9"/>
  <c r="BD419" i="9"/>
  <c r="AI419" i="9"/>
  <c r="CG416" i="9"/>
  <c r="AY416" i="9" a="1"/>
  <c r="AY416" i="9" s="1"/>
  <c r="BX412" i="9"/>
  <c r="BA412" i="9"/>
  <c r="AI408" i="9"/>
  <c r="BD408" i="9"/>
  <c r="AY408" i="9" a="1"/>
  <c r="AY408" i="9" s="1"/>
  <c r="CG408" i="9"/>
  <c r="CC408" i="9"/>
  <c r="AZ402" i="9"/>
  <c r="CD402" i="9" s="1"/>
  <c r="CE402" i="9" s="1"/>
  <c r="CD401" i="9"/>
  <c r="CE401" i="9" s="1"/>
  <c r="BS401" i="9"/>
  <c r="AI399" i="9"/>
  <c r="BK398" i="9"/>
  <c r="BG398" i="9"/>
  <c r="BA397" i="9"/>
  <c r="BA395" i="9"/>
  <c r="CC395" i="9"/>
  <c r="CK395" i="9"/>
  <c r="BQ395" i="9"/>
  <c r="BX395" i="9"/>
  <c r="AI395" i="9"/>
  <c r="BD395" i="9"/>
  <c r="A395" i="9"/>
  <c r="BA386" i="9"/>
  <c r="AI365" i="9"/>
  <c r="BD365" i="9"/>
  <c r="AY365" i="9" a="1"/>
  <c r="AY365" i="9" s="1"/>
  <c r="CG365" i="9"/>
  <c r="BM365" i="9"/>
  <c r="CC365" i="9"/>
  <c r="CK365" i="9"/>
  <c r="BQ365" i="9"/>
  <c r="A365" i="9"/>
  <c r="BI357" i="9"/>
  <c r="CK430" i="9"/>
  <c r="CL430" i="9" s="1"/>
  <c r="CM430" i="9" s="1"/>
  <c r="CO430" i="9" s="1" a="1"/>
  <c r="CO430" i="9" s="1"/>
  <c r="CG429" i="9"/>
  <c r="AY429" i="9" a="1"/>
  <c r="AY429" i="9" s="1"/>
  <c r="CC428" i="9"/>
  <c r="BB425" i="9"/>
  <c r="A423" i="9"/>
  <c r="CK422" i="9"/>
  <c r="CL422" i="9" s="1"/>
  <c r="CM422" i="9" s="1"/>
  <c r="CG421" i="9"/>
  <c r="AY421" i="9" a="1"/>
  <c r="AY421" i="9" s="1"/>
  <c r="CC420" i="9"/>
  <c r="BX419" i="9"/>
  <c r="BQ419" i="9"/>
  <c r="BB417" i="9"/>
  <c r="BD416" i="9"/>
  <c r="CK414" i="9"/>
  <c r="BM414" i="9"/>
  <c r="A414" i="9"/>
  <c r="CK411" i="9"/>
  <c r="CC411" i="9"/>
  <c r="BA411" i="9"/>
  <c r="CK408" i="9"/>
  <c r="A408" i="9"/>
  <c r="CC406" i="9"/>
  <c r="AY406" i="9" a="1"/>
  <c r="AY406" i="9" s="1"/>
  <c r="CK399" i="9"/>
  <c r="AZ397" i="9"/>
  <c r="AZ393" i="9"/>
  <c r="AZ379" i="9"/>
  <c r="BF379" i="9" s="1"/>
  <c r="BG379" i="9" s="1"/>
  <c r="BH379" i="9" s="1" a="1"/>
  <c r="BH379" i="9" s="1"/>
  <c r="CH374" i="9"/>
  <c r="CI374" i="9" s="1"/>
  <c r="BX365" i="9"/>
  <c r="BD429" i="9"/>
  <c r="AI429" i="9"/>
  <c r="A428" i="9"/>
  <c r="BM423" i="9"/>
  <c r="BD421" i="9"/>
  <c r="AI421" i="9"/>
  <c r="A420" i="9"/>
  <c r="CK419" i="9"/>
  <c r="BX416" i="9"/>
  <c r="BQ416" i="9"/>
  <c r="CC412" i="9"/>
  <c r="AI412" i="9"/>
  <c r="BD412" i="9"/>
  <c r="AZ396" i="9"/>
  <c r="AI383" i="9"/>
  <c r="BD383" i="9"/>
  <c r="AY383" i="9" a="1"/>
  <c r="AY383" i="9" s="1"/>
  <c r="CG383" i="9"/>
  <c r="BM383" i="9"/>
  <c r="A383" i="9"/>
  <c r="BA383" i="9"/>
  <c r="CC383" i="9"/>
  <c r="BQ383" i="9"/>
  <c r="BX383" i="9"/>
  <c r="BM399" i="9"/>
  <c r="A399" i="9"/>
  <c r="BA399" i="9"/>
  <c r="CC399" i="9"/>
  <c r="BQ399" i="9"/>
  <c r="BX399" i="9"/>
  <c r="CE389" i="9"/>
  <c r="BK389" i="9"/>
  <c r="BG389" i="9"/>
  <c r="BQ386" i="9"/>
  <c r="BX386" i="9"/>
  <c r="AI386" i="9"/>
  <c r="BD386" i="9"/>
  <c r="AY386" i="9" a="1"/>
  <c r="AY386" i="9" s="1"/>
  <c r="CG386" i="9"/>
  <c r="BM386" i="9"/>
  <c r="A386" i="9"/>
  <c r="CK386" i="9"/>
  <c r="CH366" i="9"/>
  <c r="CI366" i="9" s="1"/>
  <c r="BQ310" i="9"/>
  <c r="BX310" i="9"/>
  <c r="AY310" i="9" a="1"/>
  <c r="AY310" i="9" s="1"/>
  <c r="CG310" i="9"/>
  <c r="BM310" i="9"/>
  <c r="BI310" i="9"/>
  <c r="A310" i="9"/>
  <c r="CK310" i="9"/>
  <c r="AI310" i="9"/>
  <c r="BA310" i="9"/>
  <c r="CC310" i="9"/>
  <c r="BD310" i="9"/>
  <c r="CG428" i="9"/>
  <c r="BD423" i="9"/>
  <c r="CG420" i="9"/>
  <c r="BI416" i="9"/>
  <c r="A415" i="9"/>
  <c r="BQ415" i="9"/>
  <c r="BR415" i="9" s="1"/>
  <c r="BS415" i="9" s="1"/>
  <c r="BU415" i="9" s="1" a="1"/>
  <c r="BU415" i="9" s="1"/>
  <c r="BQ414" i="9"/>
  <c r="AZ414" i="9"/>
  <c r="BF414" i="9" s="1"/>
  <c r="BG414" i="9" s="1"/>
  <c r="BH414" i="9" s="1" a="1"/>
  <c r="BH414" i="9" s="1"/>
  <c r="BB412" i="9"/>
  <c r="AI411" i="9"/>
  <c r="BM410" i="9"/>
  <c r="CK410" i="9"/>
  <c r="A410" i="9"/>
  <c r="AZ409" i="9"/>
  <c r="BN409" i="9" s="1"/>
  <c r="BO409" i="9" s="1"/>
  <c r="A406" i="9"/>
  <c r="BM402" i="9"/>
  <c r="A402" i="9"/>
  <c r="CK402" i="9"/>
  <c r="BI400" i="9"/>
  <c r="BD399" i="9"/>
  <c r="BA396" i="9"/>
  <c r="BB396" i="9"/>
  <c r="BR389" i="9"/>
  <c r="BS389" i="9" s="1"/>
  <c r="BU389" i="9" s="1" a="1"/>
  <c r="BU389" i="9" s="1"/>
  <c r="BA388" i="9"/>
  <c r="BB388" i="9"/>
  <c r="BA385" i="9"/>
  <c r="BB385" i="9"/>
  <c r="CK383" i="9"/>
  <c r="AZ378" i="9"/>
  <c r="CL378" i="9" s="1"/>
  <c r="CM378" i="9" s="1"/>
  <c r="CK363" i="9"/>
  <c r="BQ363" i="9"/>
  <c r="BX363" i="9"/>
  <c r="AI363" i="9"/>
  <c r="BD363" i="9"/>
  <c r="BM363" i="9"/>
  <c r="CC363" i="9"/>
  <c r="A363" i="9"/>
  <c r="BI363" i="9"/>
  <c r="AY363" i="9" a="1"/>
  <c r="AY363" i="9" s="1"/>
  <c r="CG363" i="9"/>
  <c r="BD404" i="9"/>
  <c r="AI404" i="9"/>
  <c r="BM398" i="9"/>
  <c r="BN398" i="9" s="1"/>
  <c r="BO398" i="9" s="1"/>
  <c r="BD396" i="9"/>
  <c r="AI396" i="9"/>
  <c r="CC392" i="9"/>
  <c r="BM390" i="9"/>
  <c r="BN390" i="9" s="1"/>
  <c r="BO390" i="9" s="1"/>
  <c r="BD388" i="9"/>
  <c r="AI388" i="9"/>
  <c r="A387" i="9"/>
  <c r="CC384" i="9"/>
  <c r="BQ381" i="9"/>
  <c r="CC379" i="9"/>
  <c r="BM375" i="9"/>
  <c r="A375" i="9"/>
  <c r="CC375" i="9"/>
  <c r="CK375" i="9"/>
  <c r="AI375" i="9"/>
  <c r="BD375" i="9"/>
  <c r="BN374" i="9"/>
  <c r="BO374" i="9" s="1"/>
  <c r="CL374" i="9"/>
  <c r="CM374" i="9" s="1"/>
  <c r="BF374" i="9"/>
  <c r="BG374" i="9" s="1"/>
  <c r="BH374" i="9" s="1" a="1"/>
  <c r="BH374" i="9" s="1"/>
  <c r="AZ368" i="9"/>
  <c r="AZ360" i="9"/>
  <c r="BI359" i="9"/>
  <c r="BA331" i="9"/>
  <c r="BB331" i="9"/>
  <c r="BA326" i="9"/>
  <c r="BB326" i="9"/>
  <c r="BX398" i="9"/>
  <c r="CH398" i="9" s="1"/>
  <c r="CI398" i="9" s="1"/>
  <c r="BQ398" i="9"/>
  <c r="BR398" i="9" s="1"/>
  <c r="BS398" i="9" s="1"/>
  <c r="CG392" i="9"/>
  <c r="AY392" i="9" a="1"/>
  <c r="AY392" i="9" s="1"/>
  <c r="BX390" i="9"/>
  <c r="BZ390" i="9" s="1"/>
  <c r="CA390" i="9" s="1"/>
  <c r="CB390" i="9" s="1" a="1"/>
  <c r="CB390" i="9" s="1"/>
  <c r="BQ390" i="9"/>
  <c r="BR390" i="9" s="1"/>
  <c r="BS390" i="9" s="1"/>
  <c r="BD387" i="9"/>
  <c r="AI387" i="9"/>
  <c r="CG384" i="9"/>
  <c r="AY384" i="9" a="1"/>
  <c r="AY384" i="9" s="1"/>
  <c r="CK380" i="9"/>
  <c r="BA373" i="9"/>
  <c r="BI371" i="9"/>
  <c r="A371" i="9"/>
  <c r="AZ362" i="9"/>
  <c r="BJ362" i="9" s="1"/>
  <c r="BK362" i="9" s="1"/>
  <c r="BX359" i="9"/>
  <c r="BA351" i="9"/>
  <c r="BB351" i="9"/>
  <c r="AZ350" i="9"/>
  <c r="BQ349" i="9"/>
  <c r="BX349" i="9"/>
  <c r="AI349" i="9"/>
  <c r="BD349" i="9"/>
  <c r="AY349" i="9" a="1"/>
  <c r="AY349" i="9" s="1"/>
  <c r="CG349" i="9"/>
  <c r="BM349" i="9"/>
  <c r="A349" i="9"/>
  <c r="CC349" i="9"/>
  <c r="CK349" i="9"/>
  <c r="BD392" i="9"/>
  <c r="AI392" i="9"/>
  <c r="BX387" i="9"/>
  <c r="BQ387" i="9"/>
  <c r="BD384" i="9"/>
  <c r="AI384" i="9"/>
  <c r="AI381" i="9"/>
  <c r="BD381" i="9"/>
  <c r="CC381" i="9"/>
  <c r="CK379" i="9"/>
  <c r="CL379" i="9" s="1"/>
  <c r="CM379" i="9" s="1"/>
  <c r="CO379" i="9" s="1" a="1"/>
  <c r="CO379" i="9" s="1"/>
  <c r="BQ379" i="9"/>
  <c r="BR379" i="9" s="1"/>
  <c r="BS379" i="9" s="1"/>
  <c r="BX379" i="9"/>
  <c r="BM379" i="9"/>
  <c r="BN379" i="9" s="1"/>
  <c r="BO379" i="9" s="1"/>
  <c r="BB375" i="9"/>
  <c r="BM367" i="9"/>
  <c r="BN367" i="9" s="1"/>
  <c r="BO367" i="9" s="1"/>
  <c r="A367" i="9"/>
  <c r="CC367" i="9"/>
  <c r="CK367" i="9"/>
  <c r="AI367" i="9"/>
  <c r="BD367" i="9"/>
  <c r="BA359" i="9"/>
  <c r="BA340" i="9"/>
  <c r="BX392" i="9"/>
  <c r="CK387" i="9"/>
  <c r="BX384" i="9"/>
  <c r="A380" i="9"/>
  <c r="BA380" i="9"/>
  <c r="BN380" i="9" s="1"/>
  <c r="BO380" i="9" s="1"/>
  <c r="BQ380" i="9"/>
  <c r="BX380" i="9"/>
  <c r="CH379" i="9"/>
  <c r="CI379" i="9" s="1"/>
  <c r="BA377" i="9"/>
  <c r="BB377" i="9"/>
  <c r="AZ375" i="9"/>
  <c r="AI373" i="9"/>
  <c r="BD373" i="9"/>
  <c r="AY373" i="9" a="1"/>
  <c r="AY373" i="9" s="1"/>
  <c r="CG373" i="9"/>
  <c r="BM373" i="9"/>
  <c r="CC373" i="9"/>
  <c r="CK373" i="9"/>
  <c r="CK371" i="9"/>
  <c r="BQ371" i="9"/>
  <c r="BX371" i="9"/>
  <c r="AI371" i="9"/>
  <c r="BD371" i="9"/>
  <c r="BM371" i="9"/>
  <c r="BA371" i="9"/>
  <c r="CC371" i="9"/>
  <c r="AZ354" i="9"/>
  <c r="BJ354" i="9" s="1"/>
  <c r="BK354" i="9" s="1"/>
  <c r="AZ351" i="9"/>
  <c r="AZ341" i="9"/>
  <c r="AY359" i="9" a="1"/>
  <c r="AY359" i="9" s="1"/>
  <c r="CG359" i="9"/>
  <c r="BM359" i="9"/>
  <c r="A359" i="9"/>
  <c r="CC359" i="9"/>
  <c r="CK359" i="9"/>
  <c r="AI359" i="9"/>
  <c r="BD359" i="9"/>
  <c r="CK340" i="9"/>
  <c r="AI340" i="9"/>
  <c r="BD340" i="9"/>
  <c r="AY340" i="9" a="1"/>
  <c r="AY340" i="9" s="1"/>
  <c r="CG340" i="9"/>
  <c r="BM340" i="9"/>
  <c r="BI340" i="9"/>
  <c r="BX340" i="9"/>
  <c r="CC340" i="9"/>
  <c r="BQ340" i="9"/>
  <c r="A340" i="9"/>
  <c r="AZ325" i="9"/>
  <c r="BJ325" i="9" s="1"/>
  <c r="BK325" i="9" s="1"/>
  <c r="CC387" i="9"/>
  <c r="CD374" i="9"/>
  <c r="CE374" i="9" s="1"/>
  <c r="AZ370" i="9"/>
  <c r="CH370" i="9" s="1"/>
  <c r="CI370" i="9" s="1"/>
  <c r="BA369" i="9"/>
  <c r="BB369" i="9"/>
  <c r="BA365" i="9"/>
  <c r="BA363" i="9"/>
  <c r="CH362" i="9"/>
  <c r="CI362" i="9" s="1"/>
  <c r="BA357" i="9"/>
  <c r="AZ353" i="9"/>
  <c r="CG372" i="9"/>
  <c r="AY372" i="9" a="1"/>
  <c r="AY372" i="9" s="1"/>
  <c r="CG364" i="9"/>
  <c r="AY364" i="9" a="1"/>
  <c r="AY364" i="9" s="1"/>
  <c r="BM361" i="9"/>
  <c r="CG356" i="9"/>
  <c r="AY356" i="9" a="1"/>
  <c r="AY356" i="9" s="1"/>
  <c r="CC355" i="9"/>
  <c r="BM353" i="9"/>
  <c r="BD351" i="9"/>
  <c r="AI351" i="9"/>
  <c r="CG348" i="9"/>
  <c r="AY348" i="9" a="1"/>
  <c r="AY348" i="9" s="1"/>
  <c r="BQ347" i="9"/>
  <c r="BI347" i="9"/>
  <c r="CC346" i="9"/>
  <c r="BQ346" i="9"/>
  <c r="BX346" i="9"/>
  <c r="AI342" i="9"/>
  <c r="BD342" i="9"/>
  <c r="BM342" i="9"/>
  <c r="A342" i="9"/>
  <c r="CC342" i="9"/>
  <c r="BM338" i="9"/>
  <c r="CD327" i="9"/>
  <c r="CE327" i="9" s="1"/>
  <c r="AZ311" i="9"/>
  <c r="AZ259" i="9"/>
  <c r="BD377" i="9"/>
  <c r="AI377" i="9"/>
  <c r="A376" i="9"/>
  <c r="BX372" i="9"/>
  <c r="BQ372" i="9"/>
  <c r="BD369" i="9"/>
  <c r="AI369" i="9"/>
  <c r="A368" i="9"/>
  <c r="BX364" i="9"/>
  <c r="BQ364" i="9"/>
  <c r="BD361" i="9"/>
  <c r="AI361" i="9"/>
  <c r="A360" i="9"/>
  <c r="BX356" i="9"/>
  <c r="BQ356" i="9"/>
  <c r="BM355" i="9"/>
  <c r="BD353" i="9"/>
  <c r="AI353" i="9"/>
  <c r="AZ352" i="9"/>
  <c r="BN352" i="9" s="1"/>
  <c r="BO352" i="9" s="1"/>
  <c r="A352" i="9"/>
  <c r="CK351" i="9"/>
  <c r="BX348" i="9"/>
  <c r="BQ348" i="9"/>
  <c r="BA347" i="9"/>
  <c r="CK346" i="9"/>
  <c r="BQ342" i="9"/>
  <c r="AZ339" i="9"/>
  <c r="BI338" i="9"/>
  <c r="BQ337" i="9"/>
  <c r="BX337" i="9"/>
  <c r="AY337" i="9" a="1"/>
  <c r="AY337" i="9" s="1"/>
  <c r="CG337" i="9"/>
  <c r="BM337" i="9"/>
  <c r="A337" i="9"/>
  <c r="CK332" i="9"/>
  <c r="BQ332" i="9"/>
  <c r="BX332" i="9"/>
  <c r="AI332" i="9"/>
  <c r="BD332" i="9"/>
  <c r="AY332" i="9" a="1"/>
  <c r="AY332" i="9" s="1"/>
  <c r="CG332" i="9"/>
  <c r="BM332" i="9"/>
  <c r="A332" i="9"/>
  <c r="BQ321" i="9"/>
  <c r="BX321" i="9"/>
  <c r="AI321" i="9"/>
  <c r="BD321" i="9"/>
  <c r="AY321" i="9" a="1"/>
  <c r="AY321" i="9" s="1"/>
  <c r="CG321" i="9"/>
  <c r="BM321" i="9"/>
  <c r="A321" i="9"/>
  <c r="BA321" i="9"/>
  <c r="CC321" i="9"/>
  <c r="AZ319" i="9"/>
  <c r="BQ318" i="9"/>
  <c r="AY318" i="9" a="1"/>
  <c r="AY318" i="9" s="1"/>
  <c r="CG318" i="9"/>
  <c r="BM318" i="9"/>
  <c r="A318" i="9"/>
  <c r="BI318" i="9"/>
  <c r="AI318" i="9"/>
  <c r="BX318" i="9"/>
  <c r="BA318" i="9"/>
  <c r="CK318" i="9"/>
  <c r="CC318" i="9"/>
  <c r="AZ315" i="9"/>
  <c r="CL315" i="9" s="1"/>
  <c r="CM315" i="9" s="1"/>
  <c r="CK313" i="9"/>
  <c r="AI313" i="9"/>
  <c r="BD313" i="9"/>
  <c r="AY313" i="9" a="1"/>
  <c r="AY313" i="9" s="1"/>
  <c r="CG313" i="9"/>
  <c r="BM313" i="9"/>
  <c r="BI313" i="9"/>
  <c r="BX313" i="9"/>
  <c r="CC313" i="9"/>
  <c r="BQ313" i="9"/>
  <c r="A289" i="9"/>
  <c r="CC289" i="9"/>
  <c r="CK289" i="9"/>
  <c r="AI289" i="9"/>
  <c r="BD289" i="9"/>
  <c r="AY289" i="9" a="1"/>
  <c r="AY289" i="9" s="1"/>
  <c r="BX289" i="9"/>
  <c r="BM289" i="9"/>
  <c r="CG289" i="9"/>
  <c r="BI289" i="9"/>
  <c r="BQ289" i="9"/>
  <c r="CG376" i="9"/>
  <c r="AY376" i="9" a="1"/>
  <c r="AY376" i="9" s="1"/>
  <c r="BD355" i="9"/>
  <c r="BF355" i="9" s="1"/>
  <c r="BG355" i="9" s="1"/>
  <c r="AI355" i="9"/>
  <c r="CK353" i="9"/>
  <c r="CC351" i="9"/>
  <c r="AY347" i="9" a="1"/>
  <c r="AY347" i="9" s="1"/>
  <c r="CG347" i="9"/>
  <c r="A347" i="9"/>
  <c r="BZ343" i="9"/>
  <c r="CA343" i="9" s="1"/>
  <c r="CB343" i="9" s="1" a="1"/>
  <c r="CB343" i="9" s="1"/>
  <c r="BB340" i="9"/>
  <c r="BA339" i="9"/>
  <c r="BB339" i="9"/>
  <c r="AZ333" i="9"/>
  <c r="BF333" i="9" s="1"/>
  <c r="BG333" i="9" s="1"/>
  <c r="BH333" i="9" s="1" a="1"/>
  <c r="BH333" i="9" s="1"/>
  <c r="BQ329" i="9"/>
  <c r="BX329" i="9"/>
  <c r="AI329" i="9"/>
  <c r="BD329" i="9"/>
  <c r="AY329" i="9" a="1"/>
  <c r="AY329" i="9" s="1"/>
  <c r="CG329" i="9"/>
  <c r="BM329" i="9"/>
  <c r="A329" i="9"/>
  <c r="BA329" i="9"/>
  <c r="CC329" i="9"/>
  <c r="CL327" i="9"/>
  <c r="CM327" i="9" s="1"/>
  <c r="CO327" i="9" s="1" a="1"/>
  <c r="CO327" i="9" s="1"/>
  <c r="BA319" i="9"/>
  <c r="BB319" i="9"/>
  <c r="BJ316" i="9"/>
  <c r="BK316" i="9" s="1"/>
  <c r="BN316" i="9"/>
  <c r="BO316" i="9" s="1"/>
  <c r="BA312" i="9"/>
  <c r="BB312" i="9"/>
  <c r="BD376" i="9"/>
  <c r="AI376" i="9"/>
  <c r="CC372" i="9"/>
  <c r="BA372" i="9"/>
  <c r="BD368" i="9"/>
  <c r="BJ368" i="9" s="1"/>
  <c r="BK368" i="9" s="1"/>
  <c r="AI368" i="9"/>
  <c r="CC364" i="9"/>
  <c r="BA364" i="9"/>
  <c r="BX355" i="9"/>
  <c r="BQ355" i="9"/>
  <c r="BB353" i="9"/>
  <c r="A351" i="9"/>
  <c r="BA344" i="9"/>
  <c r="BB344" i="9"/>
  <c r="AZ342" i="9"/>
  <c r="CC338" i="9"/>
  <c r="CK338" i="9"/>
  <c r="BQ338" i="9"/>
  <c r="BX338" i="9"/>
  <c r="BZ338" i="9" s="1"/>
  <c r="CA338" i="9" s="1"/>
  <c r="AI338" i="9"/>
  <c r="BD338" i="9"/>
  <c r="AZ334" i="9"/>
  <c r="BZ327" i="9"/>
  <c r="CA327" i="9" s="1"/>
  <c r="CB327" i="9" s="1" a="1"/>
  <c r="CB327" i="9" s="1"/>
  <c r="CH327" i="9"/>
  <c r="CI327" i="9" s="1"/>
  <c r="BA323" i="9"/>
  <c r="BB323" i="9"/>
  <c r="CK321" i="9"/>
  <c r="CC305" i="9"/>
  <c r="CK305" i="9"/>
  <c r="AI305" i="9"/>
  <c r="BD305" i="9"/>
  <c r="BM305" i="9"/>
  <c r="BX305" i="9"/>
  <c r="BQ305" i="9"/>
  <c r="AY305" i="9" a="1"/>
  <c r="AY305" i="9" s="1"/>
  <c r="A305" i="9"/>
  <c r="CG305" i="9"/>
  <c r="BX376" i="9"/>
  <c r="BX368" i="9"/>
  <c r="BX360" i="9"/>
  <c r="CG354" i="9"/>
  <c r="BX352" i="9"/>
  <c r="BM351" i="9"/>
  <c r="CC347" i="9"/>
  <c r="BB347" i="9"/>
  <c r="CG346" i="9"/>
  <c r="BA346" i="9"/>
  <c r="BQ345" i="9"/>
  <c r="BX345" i="9"/>
  <c r="AY345" i="9" a="1"/>
  <c r="AY345" i="9" s="1"/>
  <c r="CG345" i="9"/>
  <c r="BM345" i="9"/>
  <c r="A345" i="9"/>
  <c r="BX342" i="9"/>
  <c r="BA342" i="9"/>
  <c r="CC337" i="9"/>
  <c r="BA337" i="9"/>
  <c r="BA334" i="9"/>
  <c r="BB334" i="9"/>
  <c r="CK329" i="9"/>
  <c r="AZ328" i="9"/>
  <c r="CK324" i="9"/>
  <c r="BQ324" i="9"/>
  <c r="BX324" i="9"/>
  <c r="AI324" i="9"/>
  <c r="BD324" i="9"/>
  <c r="AY324" i="9" a="1"/>
  <c r="AY324" i="9" s="1"/>
  <c r="CG324" i="9"/>
  <c r="BM324" i="9"/>
  <c r="A324" i="9"/>
  <c r="BI321" i="9"/>
  <c r="BD318" i="9"/>
  <c r="AZ314" i="9"/>
  <c r="BF314" i="9" s="1"/>
  <c r="BG314" i="9" s="1"/>
  <c r="CG351" i="9"/>
  <c r="CH351" i="9" s="1"/>
  <c r="CI351" i="9" s="1"/>
  <c r="AZ323" i="9"/>
  <c r="BA309" i="9"/>
  <c r="BB309" i="9"/>
  <c r="CK307" i="9"/>
  <c r="AI307" i="9"/>
  <c r="BD307" i="9"/>
  <c r="BM307" i="9"/>
  <c r="BQ307" i="9"/>
  <c r="CC307" i="9"/>
  <c r="BI307" i="9"/>
  <c r="BA307" i="9"/>
  <c r="CG307" i="9"/>
  <c r="A307" i="9"/>
  <c r="BM303" i="9"/>
  <c r="CC303" i="9"/>
  <c r="CK303" i="9"/>
  <c r="A303" i="9"/>
  <c r="BD303" i="9"/>
  <c r="AI303" i="9"/>
  <c r="AY303" i="9" a="1"/>
  <c r="AY303" i="9" s="1"/>
  <c r="BI303" i="9"/>
  <c r="AZ300" i="9"/>
  <c r="CL300" i="9" s="1"/>
  <c r="CM300" i="9" s="1"/>
  <c r="AZ271" i="9"/>
  <c r="CL271" i="9" s="1"/>
  <c r="CM271" i="9" s="1"/>
  <c r="CG330" i="9"/>
  <c r="AY330" i="9" a="1"/>
  <c r="AY330" i="9" s="1"/>
  <c r="AZ308" i="9"/>
  <c r="CG303" i="9"/>
  <c r="BQ293" i="9"/>
  <c r="BX293" i="9"/>
  <c r="AI293" i="9"/>
  <c r="BD293" i="9"/>
  <c r="BM293" i="9"/>
  <c r="CC293" i="9"/>
  <c r="CG293" i="9"/>
  <c r="A293" i="9"/>
  <c r="BI293" i="9"/>
  <c r="CK293" i="9"/>
  <c r="AY293" i="9" a="1"/>
  <c r="AY293" i="9" s="1"/>
  <c r="AZ279" i="9"/>
  <c r="AZ277" i="9"/>
  <c r="CC334" i="9"/>
  <c r="BD330" i="9"/>
  <c r="AI330" i="9"/>
  <c r="CC326" i="9"/>
  <c r="BD322" i="9"/>
  <c r="BN322" i="9" s="1"/>
  <c r="BO322" i="9" s="1"/>
  <c r="AI322" i="9"/>
  <c r="AI319" i="9"/>
  <c r="BD319" i="9"/>
  <c r="BB315" i="9"/>
  <c r="CC311" i="9"/>
  <c r="CK311" i="9"/>
  <c r="BQ311" i="9"/>
  <c r="BX311" i="9"/>
  <c r="AI311" i="9"/>
  <c r="BD311" i="9"/>
  <c r="BD343" i="9"/>
  <c r="BN343" i="9" s="1"/>
  <c r="BO343" i="9" s="1"/>
  <c r="CK341" i="9"/>
  <c r="CC339" i="9"/>
  <c r="BB336" i="9"/>
  <c r="BJ336" i="9" s="1"/>
  <c r="BK336" i="9" s="1"/>
  <c r="BD335" i="9"/>
  <c r="BF335" i="9" s="1"/>
  <c r="BG335" i="9" s="1"/>
  <c r="BH335" i="9" s="1" a="1"/>
  <c r="BH335" i="9" s="1"/>
  <c r="A334" i="9"/>
  <c r="CK333" i="9"/>
  <c r="CC331" i="9"/>
  <c r="BX330" i="9"/>
  <c r="BQ330" i="9"/>
  <c r="BB328" i="9"/>
  <c r="BD327" i="9"/>
  <c r="BN327" i="9" s="1"/>
  <c r="BO327" i="9" s="1"/>
  <c r="A326" i="9"/>
  <c r="CK325" i="9"/>
  <c r="CC323" i="9"/>
  <c r="BX322" i="9"/>
  <c r="BZ322" i="9" s="1"/>
  <c r="CA322" i="9" s="1"/>
  <c r="BQ322" i="9"/>
  <c r="BB320" i="9"/>
  <c r="BQ319" i="9"/>
  <c r="BZ316" i="9"/>
  <c r="CA316" i="9" s="1"/>
  <c r="BF316" i="9"/>
  <c r="BG316" i="9" s="1"/>
  <c r="BB313" i="9"/>
  <c r="BX295" i="9"/>
  <c r="A339" i="9"/>
  <c r="BM334" i="9"/>
  <c r="A331" i="9"/>
  <c r="CK330" i="9"/>
  <c r="BM326" i="9"/>
  <c r="CK322" i="9"/>
  <c r="BA317" i="9"/>
  <c r="BB317" i="9"/>
  <c r="AZ312" i="9"/>
  <c r="BX307" i="9"/>
  <c r="BX303" i="9"/>
  <c r="BB283" i="9"/>
  <c r="BA283" i="9"/>
  <c r="BA282" i="9"/>
  <c r="BB282" i="9"/>
  <c r="AZ281" i="9"/>
  <c r="CG326" i="9"/>
  <c r="AY326" i="9" a="1"/>
  <c r="AY326" i="9" s="1"/>
  <c r="AY307" i="9" a="1"/>
  <c r="AY307" i="9" s="1"/>
  <c r="BJ306" i="9"/>
  <c r="BK306" i="9" s="1"/>
  <c r="BA289" i="9"/>
  <c r="BB289" i="9"/>
  <c r="CG339" i="9"/>
  <c r="BD334" i="9"/>
  <c r="CG331" i="9"/>
  <c r="CH331" i="9" s="1"/>
  <c r="CI331" i="9" s="1"/>
  <c r="BD326" i="9"/>
  <c r="CG323" i="9"/>
  <c r="CC322" i="9"/>
  <c r="CD316" i="9"/>
  <c r="CE316" i="9" s="1"/>
  <c r="BH316" i="9" a="1"/>
  <c r="BH316" i="9" s="1"/>
  <c r="AI315" i="9"/>
  <c r="BD315" i="9"/>
  <c r="BM315" i="9"/>
  <c r="A315" i="9"/>
  <c r="CC315" i="9"/>
  <c r="BQ303" i="9"/>
  <c r="BA303" i="9"/>
  <c r="AZ301" i="9"/>
  <c r="AZ298" i="9"/>
  <c r="AY295" i="9" a="1"/>
  <c r="AY295" i="9" s="1"/>
  <c r="CG295" i="9"/>
  <c r="BM295" i="9"/>
  <c r="CC295" i="9"/>
  <c r="CK295" i="9"/>
  <c r="A295" i="9"/>
  <c r="BI295" i="9"/>
  <c r="BQ295" i="9"/>
  <c r="BA287" i="9"/>
  <c r="BB287" i="9"/>
  <c r="BZ291" i="9"/>
  <c r="CA291" i="9" s="1"/>
  <c r="AZ285" i="9"/>
  <c r="AZ274" i="9"/>
  <c r="CK317" i="9"/>
  <c r="CG316" i="9"/>
  <c r="CH316" i="9" s="1"/>
  <c r="CI316" i="9" s="1"/>
  <c r="CJ316" i="9" s="1" a="1"/>
  <c r="CJ316" i="9" s="1"/>
  <c r="BX314" i="9"/>
  <c r="A309" i="9"/>
  <c r="AZ306" i="9"/>
  <c r="CL306" i="9" s="1"/>
  <c r="CM306" i="9" s="1"/>
  <c r="BQ304" i="9"/>
  <c r="BX304" i="9"/>
  <c r="AY304" i="9" a="1"/>
  <c r="AY304" i="9" s="1"/>
  <c r="CG304" i="9"/>
  <c r="A304" i="9"/>
  <c r="BQ301" i="9"/>
  <c r="BX301" i="9"/>
  <c r="AI301" i="9"/>
  <c r="BD301" i="9"/>
  <c r="BM301" i="9"/>
  <c r="CC301" i="9"/>
  <c r="BA297" i="9"/>
  <c r="AZ292" i="9"/>
  <c r="BA290" i="9"/>
  <c r="BA285" i="9"/>
  <c r="BA305" i="9"/>
  <c r="CK296" i="9"/>
  <c r="BQ296" i="9"/>
  <c r="BX296" i="9"/>
  <c r="AY296" i="9" a="1"/>
  <c r="AY296" i="9" s="1"/>
  <c r="CG296" i="9"/>
  <c r="A296" i="9"/>
  <c r="BA293" i="9"/>
  <c r="AZ290" i="9"/>
  <c r="BN290" i="9" s="1"/>
  <c r="BO290" i="9" s="1"/>
  <c r="AZ284" i="9"/>
  <c r="BN284" i="9" s="1"/>
  <c r="BO284" i="9" s="1"/>
  <c r="A297" i="9"/>
  <c r="CC297" i="9"/>
  <c r="CK297" i="9"/>
  <c r="AI297" i="9"/>
  <c r="BD297" i="9"/>
  <c r="BQ285" i="9"/>
  <c r="BX285" i="9"/>
  <c r="AI285" i="9"/>
  <c r="BD285" i="9"/>
  <c r="BM285" i="9"/>
  <c r="A285" i="9"/>
  <c r="CC285" i="9"/>
  <c r="AZ282" i="9"/>
  <c r="BA280" i="9"/>
  <c r="CC280" i="9"/>
  <c r="CK280" i="9"/>
  <c r="BQ280" i="9"/>
  <c r="BX280" i="9"/>
  <c r="AI280" i="9"/>
  <c r="BD280" i="9"/>
  <c r="AY280" i="9" a="1"/>
  <c r="AY280" i="9" s="1"/>
  <c r="CG280" i="9"/>
  <c r="BM280" i="9"/>
  <c r="A280" i="9"/>
  <c r="AZ276" i="9"/>
  <c r="BF276" i="9" s="1"/>
  <c r="BG276" i="9" s="1"/>
  <c r="BH276" i="9" s="1" a="1"/>
  <c r="BH276" i="9" s="1"/>
  <c r="AZ272" i="9"/>
  <c r="BA299" i="9"/>
  <c r="BA295" i="9"/>
  <c r="CK288" i="9"/>
  <c r="BQ288" i="9"/>
  <c r="BX288" i="9"/>
  <c r="AY288" i="9" a="1"/>
  <c r="AY288" i="9" s="1"/>
  <c r="CG288" i="9"/>
  <c r="A288" i="9"/>
  <c r="CG302" i="9"/>
  <c r="AY302" i="9" a="1"/>
  <c r="AY302" i="9" s="1"/>
  <c r="BM299" i="9"/>
  <c r="CG294" i="9"/>
  <c r="AY294" i="9" a="1"/>
  <c r="AY294" i="9" s="1"/>
  <c r="BM291" i="9"/>
  <c r="CK287" i="9"/>
  <c r="BX284" i="9"/>
  <c r="BZ284" i="9" s="1"/>
  <c r="CA284" i="9" s="1"/>
  <c r="CB284" i="9" s="1" a="1"/>
  <c r="CB284" i="9" s="1"/>
  <c r="BQ284" i="9"/>
  <c r="BM283" i="9"/>
  <c r="BD281" i="9"/>
  <c r="AI281" i="9"/>
  <c r="CK279" i="9"/>
  <c r="CG278" i="9"/>
  <c r="CC277" i="9"/>
  <c r="BX276" i="9"/>
  <c r="BQ276" i="9"/>
  <c r="A275" i="9"/>
  <c r="CC275" i="9"/>
  <c r="BA274" i="9"/>
  <c r="CH269" i="9"/>
  <c r="CI269" i="9" s="1"/>
  <c r="BX267" i="9"/>
  <c r="AY267" i="9" a="1"/>
  <c r="AY267" i="9" s="1"/>
  <c r="AI266" i="9"/>
  <c r="AY265" i="9" a="1"/>
  <c r="AY265" i="9" s="1"/>
  <c r="CG265" i="9"/>
  <c r="BM265" i="9"/>
  <c r="CC265" i="9"/>
  <c r="CK265" i="9"/>
  <c r="A259" i="9"/>
  <c r="CC259" i="9"/>
  <c r="CK259" i="9"/>
  <c r="AI259" i="9"/>
  <c r="BD259" i="9"/>
  <c r="CK258" i="9"/>
  <c r="BQ258" i="9"/>
  <c r="BX258" i="9"/>
  <c r="AY258" i="9" a="1"/>
  <c r="AY258" i="9" s="1"/>
  <c r="CG258" i="9"/>
  <c r="A258" i="9"/>
  <c r="BB257" i="9"/>
  <c r="BX281" i="9"/>
  <c r="BQ281" i="9"/>
  <c r="BB279" i="9"/>
  <c r="BR279" i="9" s="1"/>
  <c r="BS279" i="9" s="1"/>
  <c r="A277" i="9"/>
  <c r="BI267" i="9"/>
  <c r="BA267" i="9"/>
  <c r="BA252" i="9"/>
  <c r="BB252" i="9"/>
  <c r="BX302" i="9"/>
  <c r="BD299" i="9"/>
  <c r="AI299" i="9"/>
  <c r="BX294" i="9"/>
  <c r="BD291" i="9"/>
  <c r="BJ291" i="9" s="1"/>
  <c r="BK291" i="9" s="1"/>
  <c r="AI291" i="9"/>
  <c r="CC287" i="9"/>
  <c r="BD283" i="9"/>
  <c r="AI283" i="9"/>
  <c r="CK281" i="9"/>
  <c r="CL281" i="9" s="1"/>
  <c r="CM281" i="9" s="1"/>
  <c r="CC279" i="9"/>
  <c r="BM277" i="9"/>
  <c r="BB275" i="9"/>
  <c r="AY273" i="9" a="1"/>
  <c r="AY273" i="9" s="1"/>
  <c r="CG273" i="9"/>
  <c r="BM273" i="9"/>
  <c r="A273" i="9"/>
  <c r="CD269" i="9"/>
  <c r="CE269" i="9" s="1"/>
  <c r="CF269" i="9" s="1" a="1"/>
  <c r="CF269" i="9" s="1"/>
  <c r="BF269" i="9"/>
  <c r="BG269" i="9" s="1"/>
  <c r="BH269" i="9" s="1" a="1"/>
  <c r="BH269" i="9" s="1"/>
  <c r="AZ262" i="9"/>
  <c r="CL262" i="9" s="1"/>
  <c r="CM262" i="9" s="1"/>
  <c r="BX257" i="9"/>
  <c r="AZ275" i="9"/>
  <c r="BZ275" i="9" s="1"/>
  <c r="CA275" i="9" s="1"/>
  <c r="CB275" i="9" s="1" a="1"/>
  <c r="CB275" i="9" s="1"/>
  <c r="BN269" i="9"/>
  <c r="BO269" i="9" s="1"/>
  <c r="A267" i="9"/>
  <c r="CC267" i="9"/>
  <c r="CK267" i="9"/>
  <c r="AI267" i="9"/>
  <c r="BD267" i="9"/>
  <c r="CK266" i="9"/>
  <c r="BQ266" i="9"/>
  <c r="BX266" i="9"/>
  <c r="AY266" i="9" a="1"/>
  <c r="AY266" i="9" s="1"/>
  <c r="CG266" i="9"/>
  <c r="A266" i="9"/>
  <c r="BB265" i="9"/>
  <c r="AY263" i="9" a="1"/>
  <c r="AY263" i="9" s="1"/>
  <c r="BA261" i="9"/>
  <c r="CH261" i="9" s="1"/>
  <c r="CI261" i="9" s="1"/>
  <c r="BB259" i="9"/>
  <c r="CH259" i="9" s="1"/>
  <c r="CI259" i="9" s="1"/>
  <c r="AY252" i="9" a="1"/>
  <c r="AY252" i="9" s="1"/>
  <c r="CG252" i="9"/>
  <c r="BM252" i="9"/>
  <c r="AI252" i="9"/>
  <c r="BI252" i="9"/>
  <c r="BQ252" i="9"/>
  <c r="CC252" i="9"/>
  <c r="CK252" i="9"/>
  <c r="A252" i="9"/>
  <c r="BD252" i="9"/>
  <c r="BM287" i="9"/>
  <c r="CC281" i="9"/>
  <c r="CD281" i="9" s="1"/>
  <c r="CE281" i="9" s="1"/>
  <c r="BM279" i="9"/>
  <c r="BD277" i="9"/>
  <c r="AI277" i="9"/>
  <c r="BM274" i="9"/>
  <c r="BD274" i="9"/>
  <c r="AI274" i="9"/>
  <c r="BQ271" i="9"/>
  <c r="BX271" i="9"/>
  <c r="CH271" i="9" s="1"/>
  <c r="CI271" i="9" s="1"/>
  <c r="AI271" i="9"/>
  <c r="BD271" i="9"/>
  <c r="BQ267" i="9"/>
  <c r="CC266" i="9"/>
  <c r="CK263" i="9"/>
  <c r="BA260" i="9"/>
  <c r="CG287" i="9"/>
  <c r="A281" i="9"/>
  <c r="CG279" i="9"/>
  <c r="BX277" i="9"/>
  <c r="BA272" i="9"/>
  <c r="BB272" i="9"/>
  <c r="CD272" i="9" s="1"/>
  <c r="CE272" i="9" s="1"/>
  <c r="AZ270" i="9"/>
  <c r="BM266" i="9"/>
  <c r="BI263" i="9"/>
  <c r="A257" i="9"/>
  <c r="AY257" i="9" a="1"/>
  <c r="AY257" i="9" s="1"/>
  <c r="CG257" i="9"/>
  <c r="BM257" i="9"/>
  <c r="CC257" i="9"/>
  <c r="CK257" i="9"/>
  <c r="BJ269" i="9"/>
  <c r="BK269" i="9" s="1"/>
  <c r="BZ269" i="9"/>
  <c r="CA269" i="9" s="1"/>
  <c r="CB269" i="9" s="1" a="1"/>
  <c r="CB269" i="9" s="1"/>
  <c r="BQ263" i="9"/>
  <c r="BX263" i="9"/>
  <c r="AI263" i="9"/>
  <c r="BD263" i="9"/>
  <c r="BM263" i="9"/>
  <c r="BA263" i="9"/>
  <c r="CC263" i="9"/>
  <c r="CG281" i="9"/>
  <c r="CK274" i="9"/>
  <c r="BQ274" i="9"/>
  <c r="BX274" i="9"/>
  <c r="A274" i="9"/>
  <c r="CD261" i="9"/>
  <c r="CE261" i="9" s="1"/>
  <c r="AZ256" i="9"/>
  <c r="BJ256" i="9" s="1"/>
  <c r="BK256" i="9" s="1"/>
  <c r="A254" i="9"/>
  <c r="CC254" i="9"/>
  <c r="BA245" i="9"/>
  <c r="BB245" i="9"/>
  <c r="CH241" i="9"/>
  <c r="CI241" i="9" s="1"/>
  <c r="BA239" i="9"/>
  <c r="BB239" i="9"/>
  <c r="BA231" i="9"/>
  <c r="BB231" i="9"/>
  <c r="AZ230" i="9"/>
  <c r="BA244" i="9"/>
  <c r="BB244" i="9"/>
  <c r="AZ242" i="9"/>
  <c r="A268" i="9"/>
  <c r="A260" i="9"/>
  <c r="BB254" i="9"/>
  <c r="AY253" i="9" a="1"/>
  <c r="AY253" i="9" s="1"/>
  <c r="CK246" i="9"/>
  <c r="BQ246" i="9"/>
  <c r="BX246" i="9"/>
  <c r="AI246" i="9"/>
  <c r="BD246" i="9"/>
  <c r="A246" i="9"/>
  <c r="BM246" i="9"/>
  <c r="CC246" i="9"/>
  <c r="CG246" i="9"/>
  <c r="AY246" i="9" a="1"/>
  <c r="AY246" i="9" s="1"/>
  <c r="AY245" i="9" a="1"/>
  <c r="AY245" i="9" s="1"/>
  <c r="CG245" i="9"/>
  <c r="BM245" i="9"/>
  <c r="A245" i="9"/>
  <c r="CK245" i="9"/>
  <c r="CC245" i="9"/>
  <c r="BQ245" i="9"/>
  <c r="BZ241" i="9"/>
  <c r="CA241" i="9" s="1"/>
  <c r="CB241" i="9" s="1" a="1"/>
  <c r="CB241" i="9" s="1"/>
  <c r="BM234" i="9"/>
  <c r="A234" i="9"/>
  <c r="BA234" i="9"/>
  <c r="CC234" i="9"/>
  <c r="BQ234" i="9"/>
  <c r="BX234" i="9"/>
  <c r="BD234" i="9"/>
  <c r="BI234" i="9"/>
  <c r="AI234" i="9"/>
  <c r="AZ247" i="9"/>
  <c r="AZ244" i="9"/>
  <c r="BQ243" i="9"/>
  <c r="BX243" i="9"/>
  <c r="AI243" i="9"/>
  <c r="BD243" i="9"/>
  <c r="AY243" i="9" a="1"/>
  <c r="AY243" i="9" s="1"/>
  <c r="CG243" i="9"/>
  <c r="CC243" i="9"/>
  <c r="CK243" i="9"/>
  <c r="BM243" i="9"/>
  <c r="A270" i="9"/>
  <c r="CG268" i="9"/>
  <c r="AY268" i="9" a="1"/>
  <c r="AY268" i="9" s="1"/>
  <c r="BB264" i="9"/>
  <c r="BR264" i="9" s="1"/>
  <c r="BS264" i="9" s="1"/>
  <c r="A262" i="9"/>
  <c r="CG260" i="9"/>
  <c r="AY260" i="9" a="1"/>
  <c r="AY260" i="9" s="1"/>
  <c r="AI255" i="9"/>
  <c r="BD255" i="9"/>
  <c r="AY255" i="9" a="1"/>
  <c r="AY255" i="9" s="1"/>
  <c r="CG255" i="9"/>
  <c r="BQ254" i="9"/>
  <c r="BI254" i="9"/>
  <c r="AY254" i="9" a="1"/>
  <c r="AY254" i="9" s="1"/>
  <c r="BM253" i="9"/>
  <c r="BD253" i="9"/>
  <c r="BA251" i="9"/>
  <c r="BB251" i="9"/>
  <c r="BR251" i="9" s="1"/>
  <c r="BS251" i="9" s="1"/>
  <c r="AZ249" i="9"/>
  <c r="BD245" i="9"/>
  <c r="BI243" i="9"/>
  <c r="CG234" i="9"/>
  <c r="BD268" i="9"/>
  <c r="BD260" i="9"/>
  <c r="BM255" i="9"/>
  <c r="A255" i="9"/>
  <c r="AI254" i="9"/>
  <c r="A250" i="9"/>
  <c r="BQ250" i="9"/>
  <c r="BX250" i="9"/>
  <c r="BD250" i="9"/>
  <c r="AY250" i="9" a="1"/>
  <c r="AY250" i="9" s="1"/>
  <c r="BA250" i="9"/>
  <c r="BA248" i="9"/>
  <c r="CK253" i="9"/>
  <c r="BQ253" i="9"/>
  <c r="BX253" i="9"/>
  <c r="A253" i="9"/>
  <c r="AZ248" i="9"/>
  <c r="BZ232" i="9"/>
  <c r="BF232" i="9"/>
  <c r="BG232" i="9" s="1"/>
  <c r="BH232" i="9" s="1" a="1"/>
  <c r="BH232" i="9" s="1"/>
  <c r="CH232" i="9"/>
  <c r="CI232" i="9" s="1"/>
  <c r="CJ232" i="9" s="1" a="1"/>
  <c r="CJ232" i="9" s="1"/>
  <c r="BJ232" i="9"/>
  <c r="BK232" i="9" s="1"/>
  <c r="BP232" i="9" s="1" a="1"/>
  <c r="BP232" i="9" s="1"/>
  <c r="AZ239" i="9"/>
  <c r="AZ234" i="9"/>
  <c r="AZ231" i="9"/>
  <c r="AY237" i="9" a="1"/>
  <c r="AY237" i="9" s="1"/>
  <c r="CG237" i="9"/>
  <c r="BM237" i="9"/>
  <c r="A237" i="9"/>
  <c r="CK237" i="9"/>
  <c r="CL233" i="9"/>
  <c r="CM233" i="9" s="1"/>
  <c r="CD232" i="9"/>
  <c r="CE232" i="9" s="1"/>
  <c r="AI227" i="9"/>
  <c r="BD227" i="9"/>
  <c r="A227" i="9"/>
  <c r="BX227" i="9"/>
  <c r="BI227" i="9"/>
  <c r="BQ227" i="9"/>
  <c r="CC227" i="9"/>
  <c r="CK227" i="9"/>
  <c r="CG227" i="9"/>
  <c r="AZ221" i="9"/>
  <c r="BF221" i="9" s="1"/>
  <c r="BG221" i="9" s="1"/>
  <c r="A247" i="9"/>
  <c r="CC247" i="9"/>
  <c r="AI247" i="9"/>
  <c r="BD247" i="9"/>
  <c r="BJ241" i="9"/>
  <c r="BK241" i="9" s="1"/>
  <c r="CL241" i="9"/>
  <c r="CM241" i="9" s="1"/>
  <c r="CK238" i="9"/>
  <c r="BQ238" i="9"/>
  <c r="BX238" i="9"/>
  <c r="AI238" i="9"/>
  <c r="BD238" i="9"/>
  <c r="A238" i="9"/>
  <c r="CK230" i="9"/>
  <c r="BQ230" i="9"/>
  <c r="BX230" i="9"/>
  <c r="AI230" i="9"/>
  <c r="BD230" i="9"/>
  <c r="A230" i="9"/>
  <c r="BM227" i="9"/>
  <c r="AZ219" i="9"/>
  <c r="BX247" i="9"/>
  <c r="BM247" i="9"/>
  <c r="BA240" i="9"/>
  <c r="CD240" i="9" s="1"/>
  <c r="CE240" i="9" s="1"/>
  <c r="BM238" i="9"/>
  <c r="BM230" i="9"/>
  <c r="BQ229" i="9"/>
  <c r="BX229" i="9"/>
  <c r="AY229" i="9" a="1"/>
  <c r="AY229" i="9" s="1"/>
  <c r="CG229" i="9"/>
  <c r="BM229" i="9"/>
  <c r="A229" i="9"/>
  <c r="CK229" i="9"/>
  <c r="BB247" i="9"/>
  <c r="BA243" i="9"/>
  <c r="BM242" i="9"/>
  <c r="A242" i="9"/>
  <c r="BA242" i="9"/>
  <c r="CC242" i="9"/>
  <c r="BQ242" i="9"/>
  <c r="BX242" i="9"/>
  <c r="CD241" i="9"/>
  <c r="CE241" i="9" s="1"/>
  <c r="BR241" i="9"/>
  <c r="BS241" i="9" s="1"/>
  <c r="BU241" i="9" s="1" a="1"/>
  <c r="BU241" i="9" s="1"/>
  <c r="BA238" i="9"/>
  <c r="BX237" i="9"/>
  <c r="AI237" i="9"/>
  <c r="BA236" i="9"/>
  <c r="BB236" i="9"/>
  <c r="BQ235" i="9"/>
  <c r="BX235" i="9"/>
  <c r="AI235" i="9"/>
  <c r="BD235" i="9"/>
  <c r="AY235" i="9" a="1"/>
  <c r="AY235" i="9" s="1"/>
  <c r="CG235" i="9"/>
  <c r="CC235" i="9"/>
  <c r="A235" i="9"/>
  <c r="BA230" i="9"/>
  <c r="CD230" i="9" s="1"/>
  <c r="CE230" i="9" s="1"/>
  <c r="AY227" i="9" a="1"/>
  <c r="AY227" i="9" s="1"/>
  <c r="AZ212" i="9"/>
  <c r="AZ208" i="9"/>
  <c r="BA227" i="9"/>
  <c r="AZ220" i="9"/>
  <c r="CG244" i="9"/>
  <c r="BD239" i="9"/>
  <c r="AI239" i="9"/>
  <c r="CG236" i="9"/>
  <c r="AY236" i="9" a="1"/>
  <c r="AY236" i="9" s="1"/>
  <c r="BD231" i="9"/>
  <c r="AI231" i="9"/>
  <c r="CG228" i="9"/>
  <c r="AY228" i="9" a="1"/>
  <c r="AY228" i="9" s="1"/>
  <c r="CC226" i="9"/>
  <c r="BA224" i="9"/>
  <c r="BD223" i="9"/>
  <c r="BJ213" i="9"/>
  <c r="BK213" i="9" s="1"/>
  <c r="CH206" i="9"/>
  <c r="BF198" i="9"/>
  <c r="BG198" i="9" s="1"/>
  <c r="BH198" i="9" s="1" a="1"/>
  <c r="BH198" i="9" s="1"/>
  <c r="AY218" i="9" a="1"/>
  <c r="AY218" i="9" s="1"/>
  <c r="CG218" i="9"/>
  <c r="BM218" i="9"/>
  <c r="A218" i="9"/>
  <c r="CK218" i="9"/>
  <c r="CH213" i="9"/>
  <c r="CI213" i="9" s="1"/>
  <c r="AI224" i="9"/>
  <c r="BD224" i="9"/>
  <c r="AY224" i="9" a="1"/>
  <c r="AY224" i="9" s="1"/>
  <c r="CG224" i="9"/>
  <c r="CC224" i="9"/>
  <c r="BQ218" i="9"/>
  <c r="BM215" i="9"/>
  <c r="A215" i="9"/>
  <c r="BA215" i="9"/>
  <c r="CC215" i="9"/>
  <c r="BQ215" i="9"/>
  <c r="BX215" i="9"/>
  <c r="BR213" i="9"/>
  <c r="BS213" i="9" s="1"/>
  <c r="BT213" i="9" s="1" a="1"/>
  <c r="BT213" i="9" s="1"/>
  <c r="BA212" i="9"/>
  <c r="BB212" i="9"/>
  <c r="BA211" i="9"/>
  <c r="BB227" i="9"/>
  <c r="AY226" i="9" a="1"/>
  <c r="AY226" i="9" s="1"/>
  <c r="AY223" i="9" a="1"/>
  <c r="AY223" i="9" s="1"/>
  <c r="BJ222" i="9"/>
  <c r="BK222" i="9" s="1"/>
  <c r="CK219" i="9"/>
  <c r="BQ219" i="9"/>
  <c r="BX219" i="9"/>
  <c r="AI219" i="9"/>
  <c r="BD219" i="9"/>
  <c r="A219" i="9"/>
  <c r="BD215" i="9"/>
  <c r="CG211" i="9"/>
  <c r="AY211" i="9" a="1"/>
  <c r="AY211" i="9" s="1"/>
  <c r="AZ209" i="9"/>
  <c r="CC239" i="9"/>
  <c r="CA232" i="9"/>
  <c r="CB232" i="9" s="1" a="1"/>
  <c r="CB232" i="9" s="1"/>
  <c r="CC231" i="9"/>
  <c r="BB228" i="9"/>
  <c r="CG226" i="9"/>
  <c r="BX226" i="9"/>
  <c r="AI226" i="9"/>
  <c r="CK225" i="9"/>
  <c r="AY225" i="9" a="1"/>
  <c r="AY225" i="9" s="1"/>
  <c r="CG225" i="9"/>
  <c r="A225" i="9"/>
  <c r="BX224" i="9"/>
  <c r="AI223" i="9"/>
  <c r="BG222" i="9"/>
  <c r="BH222" i="9" s="1" a="1"/>
  <c r="BH222" i="9" s="1"/>
  <c r="CC218" i="9"/>
  <c r="BB218" i="9"/>
  <c r="CD213" i="9"/>
  <c r="CE213" i="9" s="1"/>
  <c r="CF213" i="9" s="1" a="1"/>
  <c r="CF213" i="9" s="1"/>
  <c r="BO213" i="9"/>
  <c r="BR206" i="9"/>
  <c r="BN198" i="9"/>
  <c r="BO198" i="9" s="1"/>
  <c r="BZ198" i="9"/>
  <c r="CA198" i="9" s="1"/>
  <c r="CB198" i="9" s="1" a="1"/>
  <c r="CB198" i="9" s="1"/>
  <c r="BD240" i="9"/>
  <c r="BM226" i="9"/>
  <c r="CC225" i="9"/>
  <c r="BM224" i="9"/>
  <c r="BJ221" i="9"/>
  <c r="BK221" i="9" s="1"/>
  <c r="BM219" i="9"/>
  <c r="BQ216" i="9"/>
  <c r="BX216" i="9"/>
  <c r="AI216" i="9"/>
  <c r="BD216" i="9"/>
  <c r="AY216" i="9" a="1"/>
  <c r="AY216" i="9" s="1"/>
  <c r="CG216" i="9"/>
  <c r="CC216" i="9"/>
  <c r="CC211" i="9"/>
  <c r="AZ204" i="9"/>
  <c r="BA217" i="9"/>
  <c r="BB217" i="9"/>
  <c r="CK211" i="9"/>
  <c r="BQ211" i="9"/>
  <c r="BX211" i="9"/>
  <c r="AI211" i="9"/>
  <c r="BD211" i="9"/>
  <c r="BM211" i="9"/>
  <c r="A211" i="9"/>
  <c r="BA210" i="9"/>
  <c r="BB210" i="9"/>
  <c r="A226" i="9"/>
  <c r="CK226" i="9"/>
  <c r="BM223" i="9"/>
  <c r="A223" i="9"/>
  <c r="BA223" i="9"/>
  <c r="CC223" i="9"/>
  <c r="BQ223" i="9"/>
  <c r="BX223" i="9"/>
  <c r="BA220" i="9"/>
  <c r="BB220" i="9"/>
  <c r="BI218" i="9"/>
  <c r="AI215" i="9"/>
  <c r="BK214" i="9"/>
  <c r="BG214" i="9"/>
  <c r="BH214" i="9" s="1" a="1"/>
  <c r="BH214" i="9" s="1"/>
  <c r="BZ213" i="9"/>
  <c r="CA213" i="9" s="1"/>
  <c r="CB213" i="9" s="1" a="1"/>
  <c r="CB213" i="9" s="1"/>
  <c r="BF213" i="9"/>
  <c r="BG213" i="9" s="1"/>
  <c r="BH213" i="9" s="1" a="1"/>
  <c r="BH213" i="9" s="1"/>
  <c r="BM222" i="9"/>
  <c r="BN222" i="9" s="1"/>
  <c r="BO222" i="9" s="1"/>
  <c r="BD220" i="9"/>
  <c r="CG217" i="9"/>
  <c r="AY217" i="9" a="1"/>
  <c r="AY217" i="9" s="1"/>
  <c r="BM214" i="9"/>
  <c r="BN214" i="9" s="1"/>
  <c r="BO214" i="9" s="1"/>
  <c r="BD212" i="9"/>
  <c r="CK210" i="9"/>
  <c r="CI206" i="9"/>
  <c r="BZ206" i="9"/>
  <c r="CA206" i="9" s="1"/>
  <c r="CB206" i="9" s="1" a="1"/>
  <c r="CB206" i="9" s="1"/>
  <c r="CC203" i="9"/>
  <c r="CC202" i="9"/>
  <c r="CH198" i="9"/>
  <c r="CI198" i="9" s="1"/>
  <c r="BI195" i="9"/>
  <c r="AY210" i="9" a="1"/>
  <c r="AY210" i="9" s="1"/>
  <c r="BM210" i="9"/>
  <c r="A210" i="9"/>
  <c r="BM203" i="9"/>
  <c r="BJ198" i="9"/>
  <c r="BK198" i="9" s="1"/>
  <c r="BA196" i="9"/>
  <c r="BB196" i="9"/>
  <c r="BQ191" i="9"/>
  <c r="BX191" i="9"/>
  <c r="AI191" i="9"/>
  <c r="BD191" i="9"/>
  <c r="A191" i="9"/>
  <c r="CG191" i="9"/>
  <c r="BA191" i="9"/>
  <c r="BM191" i="9"/>
  <c r="CC191" i="9"/>
  <c r="AZ189" i="9"/>
  <c r="CK207" i="9"/>
  <c r="CC207" i="9"/>
  <c r="BA207" i="9"/>
  <c r="CD198" i="9"/>
  <c r="CE198" i="9" s="1"/>
  <c r="A195" i="9"/>
  <c r="BA195" i="9"/>
  <c r="CK195" i="9"/>
  <c r="BQ195" i="9"/>
  <c r="BX195" i="9"/>
  <c r="AI195" i="9"/>
  <c r="BD195" i="9"/>
  <c r="BX222" i="9"/>
  <c r="BZ222" i="9" s="1"/>
  <c r="CA222" i="9" s="1"/>
  <c r="CB222" i="9" s="1" a="1"/>
  <c r="CB222" i="9" s="1"/>
  <c r="BX214" i="9"/>
  <c r="BZ214" i="9" s="1"/>
  <c r="CA214" i="9" s="1"/>
  <c r="BQ208" i="9"/>
  <c r="BX208" i="9"/>
  <c r="AI208" i="9"/>
  <c r="BD208" i="9"/>
  <c r="BQ207" i="9"/>
  <c r="BI207" i="9"/>
  <c r="AY207" i="9" a="1"/>
  <c r="AY207" i="9" s="1"/>
  <c r="BI203" i="9"/>
  <c r="CK200" i="9"/>
  <c r="BM199" i="9"/>
  <c r="A199" i="9"/>
  <c r="CC199" i="9"/>
  <c r="BQ199" i="9"/>
  <c r="BX199" i="9"/>
  <c r="CG195" i="9"/>
  <c r="CK194" i="9"/>
  <c r="BA209" i="9"/>
  <c r="BB209" i="9"/>
  <c r="A208" i="9"/>
  <c r="AI207" i="9"/>
  <c r="BS206" i="9"/>
  <c r="BA204" i="9"/>
  <c r="BB204" i="9"/>
  <c r="AY203" i="9" a="1"/>
  <c r="AY203" i="9" s="1"/>
  <c r="BD199" i="9"/>
  <c r="CG210" i="9"/>
  <c r="BQ210" i="9"/>
  <c r="BI210" i="9"/>
  <c r="CG207" i="9"/>
  <c r="BX207" i="9"/>
  <c r="CL206" i="9"/>
  <c r="CM206" i="9" s="1"/>
  <c r="AY202" i="9" a="1"/>
  <c r="AY202" i="9" s="1"/>
  <c r="CG202" i="9"/>
  <c r="BM202" i="9"/>
  <c r="A202" i="9"/>
  <c r="CK202" i="9"/>
  <c r="BA201" i="9"/>
  <c r="BB201" i="9"/>
  <c r="BQ200" i="9"/>
  <c r="BX200" i="9"/>
  <c r="AI200" i="9"/>
  <c r="BD200" i="9"/>
  <c r="AY200" i="9" a="1"/>
  <c r="AY200" i="9" s="1"/>
  <c r="CG200" i="9"/>
  <c r="BA200" i="9"/>
  <c r="CC200" i="9"/>
  <c r="A200" i="9"/>
  <c r="CC195" i="9"/>
  <c r="BQ194" i="9"/>
  <c r="BM194" i="9"/>
  <c r="CC194" i="9"/>
  <c r="BD194" i="9"/>
  <c r="AI194" i="9"/>
  <c r="BX194" i="9"/>
  <c r="BA194" i="9"/>
  <c r="CL198" i="9"/>
  <c r="CM198" i="9" s="1"/>
  <c r="BM195" i="9"/>
  <c r="AZ191" i="9"/>
  <c r="AZ183" i="9"/>
  <c r="BM207" i="9"/>
  <c r="A207" i="9"/>
  <c r="CK203" i="9"/>
  <c r="BQ203" i="9"/>
  <c r="BX203" i="9"/>
  <c r="AI203" i="9"/>
  <c r="BD203" i="9"/>
  <c r="A203" i="9"/>
  <c r="AZ199" i="9"/>
  <c r="BA197" i="9"/>
  <c r="AY195" i="9" a="1"/>
  <c r="AY195" i="9" s="1"/>
  <c r="BA192" i="9"/>
  <c r="BB192" i="9"/>
  <c r="BM187" i="9"/>
  <c r="A187" i="9"/>
  <c r="CC187" i="9"/>
  <c r="BQ187" i="9"/>
  <c r="BX187" i="9"/>
  <c r="CK187" i="9"/>
  <c r="AI187" i="9"/>
  <c r="AY187" i="9" a="1"/>
  <c r="AY187" i="9" s="1"/>
  <c r="BD187" i="9"/>
  <c r="BI187" i="9"/>
  <c r="BQ190" i="9"/>
  <c r="AI179" i="9"/>
  <c r="BD179" i="9"/>
  <c r="A179" i="9"/>
  <c r="CG179" i="9"/>
  <c r="BM179" i="9"/>
  <c r="AY179" i="9" a="1"/>
  <c r="AY179" i="9" s="1"/>
  <c r="CC179" i="9"/>
  <c r="BA179" i="9"/>
  <c r="BI179" i="9"/>
  <c r="BQ179" i="9"/>
  <c r="BX179" i="9"/>
  <c r="BB177" i="9"/>
  <c r="BA177" i="9"/>
  <c r="BA184" i="9"/>
  <c r="BB184" i="9"/>
  <c r="AY182" i="9" a="1"/>
  <c r="AY182" i="9" s="1"/>
  <c r="CG182" i="9"/>
  <c r="BM182" i="9"/>
  <c r="A182" i="9"/>
  <c r="CK182" i="9"/>
  <c r="BM205" i="9"/>
  <c r="BM197" i="9"/>
  <c r="BA190" i="9"/>
  <c r="BQ182" i="9"/>
  <c r="CK180" i="9"/>
  <c r="BQ180" i="9"/>
  <c r="BX180" i="9"/>
  <c r="AI180" i="9"/>
  <c r="BD180" i="9"/>
  <c r="AY180" i="9" a="1"/>
  <c r="AY180" i="9" s="1"/>
  <c r="CG180" i="9"/>
  <c r="BM180" i="9"/>
  <c r="CC180" i="9"/>
  <c r="CG205" i="9"/>
  <c r="AY205" i="9" a="1"/>
  <c r="AY205" i="9" s="1"/>
  <c r="CC204" i="9"/>
  <c r="CG197" i="9"/>
  <c r="AY197" i="9" a="1"/>
  <c r="AY197" i="9" s="1"/>
  <c r="CC196" i="9"/>
  <c r="BX190" i="9"/>
  <c r="AI190" i="9"/>
  <c r="BQ188" i="9"/>
  <c r="BX188" i="9"/>
  <c r="AI188" i="9"/>
  <c r="BD188" i="9"/>
  <c r="AY188" i="9" a="1"/>
  <c r="AY188" i="9" s="1"/>
  <c r="CG188" i="9"/>
  <c r="CC188" i="9"/>
  <c r="BJ186" i="9"/>
  <c r="BK186" i="9" s="1"/>
  <c r="CK183" i="9"/>
  <c r="BQ183" i="9"/>
  <c r="BX183" i="9"/>
  <c r="AI183" i="9"/>
  <c r="BD183" i="9"/>
  <c r="A183" i="9"/>
  <c r="BI180" i="9"/>
  <c r="BF174" i="9"/>
  <c r="BG174" i="9" s="1"/>
  <c r="BH174" i="9" s="1" a="1"/>
  <c r="BH174" i="9" s="1"/>
  <c r="BD205" i="9"/>
  <c r="BD197" i="9"/>
  <c r="BA189" i="9"/>
  <c r="BB189" i="9"/>
  <c r="BG186" i="9"/>
  <c r="BH186" i="9" s="1" a="1"/>
  <c r="BH186" i="9" s="1"/>
  <c r="BA185" i="9"/>
  <c r="CH185" i="9" s="1"/>
  <c r="CI185" i="9" s="1"/>
  <c r="CC182" i="9"/>
  <c r="BA182" i="9"/>
  <c r="AY190" i="9" a="1"/>
  <c r="AY190" i="9" s="1"/>
  <c r="CG190" i="9"/>
  <c r="BM190" i="9"/>
  <c r="A190" i="9"/>
  <c r="CK190" i="9"/>
  <c r="BA187" i="9"/>
  <c r="AZ184" i="9"/>
  <c r="BX182" i="9"/>
  <c r="AI182" i="9"/>
  <c r="BQ176" i="9"/>
  <c r="BX176" i="9"/>
  <c r="AI176" i="9"/>
  <c r="BD176" i="9"/>
  <c r="AY176" i="9" a="1"/>
  <c r="AY176" i="9" s="1"/>
  <c r="CG176" i="9"/>
  <c r="CC176" i="9"/>
  <c r="A176" i="9"/>
  <c r="BI176" i="9"/>
  <c r="CK176" i="9"/>
  <c r="BM176" i="9"/>
  <c r="BD192" i="9"/>
  <c r="CG189" i="9"/>
  <c r="BM186" i="9"/>
  <c r="BN186" i="9" s="1"/>
  <c r="BO186" i="9" s="1"/>
  <c r="BP186" i="9" s="1" a="1"/>
  <c r="BP186" i="9" s="1"/>
  <c r="BQ178" i="9"/>
  <c r="AY175" i="9" a="1"/>
  <c r="AY175" i="9" s="1"/>
  <c r="BJ174" i="9"/>
  <c r="BK174" i="9" s="1"/>
  <c r="BQ170" i="9"/>
  <c r="BF159" i="9"/>
  <c r="BG159" i="9" s="1"/>
  <c r="BH159" i="9" s="1" a="1"/>
  <c r="BH159" i="9" s="1"/>
  <c r="AZ156" i="9"/>
  <c r="BZ173" i="9"/>
  <c r="CA173" i="9" s="1"/>
  <c r="CB173" i="9" s="1" a="1"/>
  <c r="CB173" i="9" s="1"/>
  <c r="BF173" i="9"/>
  <c r="BG173" i="9" s="1"/>
  <c r="BH173" i="9" s="1" a="1"/>
  <c r="BH173" i="9" s="1"/>
  <c r="CK171" i="9"/>
  <c r="BQ171" i="9"/>
  <c r="BX171" i="9"/>
  <c r="AI171" i="9"/>
  <c r="BD171" i="9"/>
  <c r="A171" i="9"/>
  <c r="AI167" i="9"/>
  <c r="BD167" i="9"/>
  <c r="BM167" i="9"/>
  <c r="A167" i="9"/>
  <c r="BA167" i="9"/>
  <c r="CC167" i="9"/>
  <c r="BQ167" i="9"/>
  <c r="BX167" i="9"/>
  <c r="AZ164" i="9"/>
  <c r="BS174" i="9"/>
  <c r="BJ173" i="9"/>
  <c r="BK173" i="9" s="1"/>
  <c r="BP173" i="9" s="1" a="1"/>
  <c r="BP173" i="9" s="1"/>
  <c r="CC171" i="9"/>
  <c r="CC170" i="9"/>
  <c r="BI167" i="9"/>
  <c r="BX186" i="9"/>
  <c r="BQ186" i="9"/>
  <c r="BR186" i="9" s="1"/>
  <c r="BS186" i="9" s="1"/>
  <c r="BM178" i="9"/>
  <c r="BD178" i="9"/>
  <c r="CH173" i="9"/>
  <c r="CI173" i="9" s="1"/>
  <c r="CJ173" i="9" s="1" a="1"/>
  <c r="CJ173" i="9" s="1"/>
  <c r="BM171" i="9"/>
  <c r="BA170" i="9"/>
  <c r="BQ168" i="9"/>
  <c r="BX168" i="9"/>
  <c r="AI168" i="9"/>
  <c r="BD168" i="9"/>
  <c r="AY168" i="9" a="1"/>
  <c r="AY168" i="9" s="1"/>
  <c r="CG168" i="9"/>
  <c r="CC168" i="9"/>
  <c r="BA164" i="9"/>
  <c r="BB164" i="9"/>
  <c r="AZ163" i="9"/>
  <c r="BB181" i="9"/>
  <c r="BN181" i="9" s="1"/>
  <c r="BO181" i="9" s="1"/>
  <c r="BM175" i="9"/>
  <c r="A175" i="9"/>
  <c r="CC175" i="9"/>
  <c r="BQ175" i="9"/>
  <c r="BX175" i="9"/>
  <c r="BR173" i="9"/>
  <c r="BS173" i="9" s="1"/>
  <c r="BU173" i="9" s="1" a="1"/>
  <c r="BU173" i="9" s="1"/>
  <c r="BA171" i="9"/>
  <c r="BX170" i="9"/>
  <c r="AI170" i="9"/>
  <c r="BA169" i="9"/>
  <c r="BB169" i="9"/>
  <c r="CD165" i="9"/>
  <c r="CE165" i="9" s="1"/>
  <c r="BA165" i="9"/>
  <c r="A178" i="9"/>
  <c r="CK178" i="9"/>
  <c r="BA176" i="9"/>
  <c r="BA172" i="9"/>
  <c r="BB172" i="9"/>
  <c r="BI171" i="9"/>
  <c r="BI170" i="9"/>
  <c r="CK167" i="9"/>
  <c r="AZ160" i="9"/>
  <c r="CD173" i="9"/>
  <c r="CE173" i="9" s="1"/>
  <c r="AY171" i="9" a="1"/>
  <c r="AY171" i="9" s="1"/>
  <c r="AY167" i="9" a="1"/>
  <c r="AY167" i="9" s="1"/>
  <c r="AY170" i="9" a="1"/>
  <c r="AY170" i="9" s="1"/>
  <c r="CG170" i="9"/>
  <c r="BM170" i="9"/>
  <c r="A170" i="9"/>
  <c r="CK170" i="9"/>
  <c r="AZ166" i="9"/>
  <c r="BR166" i="9" s="1"/>
  <c r="BS166" i="9" s="1"/>
  <c r="CG177" i="9"/>
  <c r="AY177" i="9" a="1"/>
  <c r="AY177" i="9" s="1"/>
  <c r="BM174" i="9"/>
  <c r="BN174" i="9" s="1"/>
  <c r="BO174" i="9" s="1"/>
  <c r="CG169" i="9"/>
  <c r="AY169" i="9" a="1"/>
  <c r="AY169" i="9" s="1"/>
  <c r="BM166" i="9"/>
  <c r="BD164" i="9"/>
  <c r="BX161" i="9"/>
  <c r="CK156" i="9"/>
  <c r="BQ156" i="9"/>
  <c r="BX156" i="9"/>
  <c r="AI156" i="9"/>
  <c r="BD156" i="9"/>
  <c r="BF156" i="9" s="1"/>
  <c r="BG156" i="9" s="1"/>
  <c r="BH156" i="9" s="1" a="1"/>
  <c r="BH156" i="9" s="1"/>
  <c r="A156" i="9"/>
  <c r="BA148" i="9"/>
  <c r="CC148" i="9"/>
  <c r="CK148" i="9"/>
  <c r="BQ148" i="9"/>
  <c r="BX148" i="9"/>
  <c r="AI148" i="9"/>
  <c r="BD148" i="9"/>
  <c r="BM148" i="9"/>
  <c r="A148" i="9"/>
  <c r="BJ159" i="9"/>
  <c r="BK159" i="9" s="1"/>
  <c r="BZ158" i="9"/>
  <c r="CA158" i="9" s="1"/>
  <c r="CB158" i="9" s="1" a="1"/>
  <c r="CB158" i="9" s="1"/>
  <c r="BF158" i="9"/>
  <c r="BG158" i="9" s="1"/>
  <c r="BM152" i="9"/>
  <c r="A152" i="9"/>
  <c r="CC152" i="9"/>
  <c r="BQ152" i="9"/>
  <c r="BX152" i="9"/>
  <c r="AZ157" i="9"/>
  <c r="BX174" i="9"/>
  <c r="BX166" i="9"/>
  <c r="BD163" i="9"/>
  <c r="AI163" i="9"/>
  <c r="CK160" i="9"/>
  <c r="AI160" i="9"/>
  <c r="BX155" i="9"/>
  <c r="AI155" i="9"/>
  <c r="AZ151" i="9"/>
  <c r="BJ151" i="9" s="1"/>
  <c r="BK151" i="9" s="1"/>
  <c r="BX163" i="9"/>
  <c r="BQ163" i="9"/>
  <c r="BI161" i="9"/>
  <c r="BA161" i="9"/>
  <c r="BA160" i="9"/>
  <c r="BQ153" i="9"/>
  <c r="BX153" i="9"/>
  <c r="AI153" i="9"/>
  <c r="BD153" i="9"/>
  <c r="AY153" i="9" a="1"/>
  <c r="AY153" i="9" s="1"/>
  <c r="CG153" i="9"/>
  <c r="CC153" i="9"/>
  <c r="CK163" i="9"/>
  <c r="BR158" i="9"/>
  <c r="BS158" i="9" s="1"/>
  <c r="BA157" i="9"/>
  <c r="BB157" i="9"/>
  <c r="BA154" i="9"/>
  <c r="BB154" i="9"/>
  <c r="AY152" i="9" a="1"/>
  <c r="AY152" i="9" s="1"/>
  <c r="BA150" i="9"/>
  <c r="AZ148" i="9"/>
  <c r="AI161" i="9"/>
  <c r="BD161" i="9"/>
  <c r="AY161" i="9" a="1"/>
  <c r="AY161" i="9" s="1"/>
  <c r="CG161" i="9"/>
  <c r="CC161" i="9"/>
  <c r="A161" i="9"/>
  <c r="BM160" i="9"/>
  <c r="A160" i="9"/>
  <c r="CC160" i="9"/>
  <c r="BQ160" i="9"/>
  <c r="BX160" i="9"/>
  <c r="AY155" i="9" a="1"/>
  <c r="AY155" i="9" s="1"/>
  <c r="CG155" i="9"/>
  <c r="BM155" i="9"/>
  <c r="A155" i="9"/>
  <c r="CK155" i="9"/>
  <c r="AI152" i="9"/>
  <c r="AZ150" i="9"/>
  <c r="CC163" i="9"/>
  <c r="BA163" i="9"/>
  <c r="CK161" i="9"/>
  <c r="BD160" i="9"/>
  <c r="CD158" i="9"/>
  <c r="CE158" i="9" s="1"/>
  <c r="BQ155" i="9"/>
  <c r="CK152" i="9"/>
  <c r="BA152" i="9"/>
  <c r="BM159" i="9"/>
  <c r="BN159" i="9" s="1"/>
  <c r="BO159" i="9" s="1"/>
  <c r="BM151" i="9"/>
  <c r="CK147" i="9"/>
  <c r="CC147" i="9"/>
  <c r="BX146" i="9"/>
  <c r="BA146" i="9"/>
  <c r="CK145" i="9"/>
  <c r="CG144" i="9"/>
  <c r="BA142" i="9"/>
  <c r="CC140" i="9"/>
  <c r="BM140" i="9"/>
  <c r="BA140" i="9"/>
  <c r="AI137" i="9"/>
  <c r="BD137" i="9"/>
  <c r="AY137" i="9" a="1"/>
  <c r="AY137" i="9" s="1"/>
  <c r="CG137" i="9"/>
  <c r="CC137" i="9"/>
  <c r="BX137" i="9"/>
  <c r="BI145" i="9"/>
  <c r="AZ140" i="9"/>
  <c r="AY146" i="9" a="1"/>
  <c r="AY146" i="9" s="1"/>
  <c r="CG146" i="9"/>
  <c r="CC146" i="9"/>
  <c r="A146" i="9"/>
  <c r="AY145" i="9" a="1"/>
  <c r="AY145" i="9" s="1"/>
  <c r="BQ144" i="9"/>
  <c r="BX144" i="9"/>
  <c r="BM144" i="9"/>
  <c r="A144" i="9"/>
  <c r="BJ133" i="9"/>
  <c r="BK133" i="9" s="1"/>
  <c r="BX159" i="9"/>
  <c r="CH159" i="9" s="1"/>
  <c r="CI159" i="9" s="1"/>
  <c r="BQ159" i="9"/>
  <c r="BR159" i="9" s="1"/>
  <c r="BS159" i="9" s="1"/>
  <c r="BM158" i="9"/>
  <c r="BN158" i="9" s="1"/>
  <c r="BO158" i="9" s="1"/>
  <c r="BX151" i="9"/>
  <c r="BQ151" i="9"/>
  <c r="BM150" i="9"/>
  <c r="BB149" i="9"/>
  <c r="AI145" i="9"/>
  <c r="BM142" i="9"/>
  <c r="A142" i="9"/>
  <c r="CK140" i="9"/>
  <c r="BI140" i="9"/>
  <c r="A136" i="9"/>
  <c r="BA136" i="9"/>
  <c r="CC136" i="9"/>
  <c r="BQ136" i="9"/>
  <c r="BX136" i="9"/>
  <c r="AY136" i="9" a="1"/>
  <c r="AY136" i="9" s="1"/>
  <c r="CG158" i="9"/>
  <c r="CH158" i="9" s="1"/>
  <c r="CI158" i="9" s="1"/>
  <c r="CG150" i="9"/>
  <c r="CH150" i="9" s="1"/>
  <c r="CI150" i="9" s="1"/>
  <c r="BX147" i="9"/>
  <c r="AI147" i="9"/>
  <c r="BB146" i="9"/>
  <c r="CG145" i="9"/>
  <c r="CK144" i="9"/>
  <c r="CC144" i="9"/>
  <c r="BA144" i="9"/>
  <c r="BN143" i="9"/>
  <c r="BO143" i="9" s="1"/>
  <c r="BB142" i="9"/>
  <c r="BA141" i="9"/>
  <c r="BB141" i="9"/>
  <c r="BB139" i="9"/>
  <c r="BB137" i="9"/>
  <c r="BD136" i="9"/>
  <c r="BA135" i="9"/>
  <c r="CH135" i="9" s="1"/>
  <c r="CI135" i="9" s="1"/>
  <c r="CK146" i="9"/>
  <c r="BM145" i="9"/>
  <c r="BI144" i="9"/>
  <c r="CC142" i="9"/>
  <c r="BQ140" i="9"/>
  <c r="BX140" i="9"/>
  <c r="AI140" i="9"/>
  <c r="BD140" i="9"/>
  <c r="A140" i="9"/>
  <c r="AZ139" i="9"/>
  <c r="BA138" i="9"/>
  <c r="CG136" i="9"/>
  <c r="BA145" i="9"/>
  <c r="CC145" i="9"/>
  <c r="BQ145" i="9"/>
  <c r="BX145" i="9"/>
  <c r="A145" i="9"/>
  <c r="AZ138" i="9"/>
  <c r="AY147" i="9" a="1"/>
  <c r="AY147" i="9" s="1"/>
  <c r="CG147" i="9"/>
  <c r="A147" i="9"/>
  <c r="AI146" i="9"/>
  <c r="AI144" i="9"/>
  <c r="BQ142" i="9"/>
  <c r="AI142" i="9"/>
  <c r="BF133" i="9"/>
  <c r="BG133" i="9" s="1"/>
  <c r="BH133" i="9" s="1" a="1"/>
  <c r="BH133" i="9" s="1"/>
  <c r="BM139" i="9"/>
  <c r="A139" i="9"/>
  <c r="CK139" i="9"/>
  <c r="BJ132" i="9"/>
  <c r="BK132" i="9" s="1"/>
  <c r="BF132" i="9"/>
  <c r="BN132" i="9"/>
  <c r="BO132" i="9" s="1"/>
  <c r="AZ131" i="9"/>
  <c r="BF131" i="9" s="1"/>
  <c r="BG131" i="9" s="1"/>
  <c r="BH131" i="9" s="1" a="1"/>
  <c r="BH131" i="9" s="1"/>
  <c r="AZ129" i="9"/>
  <c r="BR129" i="9" s="1"/>
  <c r="BS129" i="9" s="1"/>
  <c r="AZ130" i="9"/>
  <c r="BZ131" i="9"/>
  <c r="CA131" i="9" s="1"/>
  <c r="CB131" i="9" s="1" a="1"/>
  <c r="CB131" i="9" s="1"/>
  <c r="BM135" i="9"/>
  <c r="AI135" i="9"/>
  <c r="BX134" i="9"/>
  <c r="AY134" i="9" a="1"/>
  <c r="AY134" i="9" s="1"/>
  <c r="BQ133" i="9"/>
  <c r="BR133" i="9" s="1"/>
  <c r="BS133" i="9" s="1"/>
  <c r="BX133" i="9"/>
  <c r="CL133" i="9" s="1"/>
  <c r="CM133" i="9" s="1"/>
  <c r="CO133" i="9" s="1" a="1"/>
  <c r="CO133" i="9" s="1"/>
  <c r="BM133" i="9"/>
  <c r="BN133" i="9" s="1"/>
  <c r="BO133" i="9" s="1"/>
  <c r="A133" i="9"/>
  <c r="CC128" i="9"/>
  <c r="CK128" i="9"/>
  <c r="BQ128" i="9"/>
  <c r="BX128" i="9"/>
  <c r="AI128" i="9"/>
  <c r="BD128" i="9"/>
  <c r="AY128" i="9" a="1"/>
  <c r="AY128" i="9" s="1"/>
  <c r="CG128" i="9"/>
  <c r="AZ125" i="9"/>
  <c r="BF125" i="9" s="1"/>
  <c r="BG125" i="9" s="1"/>
  <c r="BH125" i="9" s="1" a="1"/>
  <c r="BH125" i="9" s="1"/>
  <c r="BG132" i="9"/>
  <c r="BH132" i="9" s="1" a="1"/>
  <c r="BH132" i="9" s="1"/>
  <c r="AZ123" i="9"/>
  <c r="BJ123" i="9" s="1"/>
  <c r="BK123" i="9" s="1"/>
  <c r="AI127" i="9"/>
  <c r="A135" i="9"/>
  <c r="A134" i="9"/>
  <c r="CD131" i="9"/>
  <c r="CE131" i="9" s="1"/>
  <c r="CF131" i="9" s="1" a="1"/>
  <c r="CF131" i="9" s="1"/>
  <c r="BA127" i="9"/>
  <c r="AZ124" i="9"/>
  <c r="BQ127" i="9"/>
  <c r="BX127" i="9"/>
  <c r="AY127" i="9" a="1"/>
  <c r="AY127" i="9" s="1"/>
  <c r="CG127" i="9"/>
  <c r="BM127" i="9"/>
  <c r="A127" i="9"/>
  <c r="CC127" i="9"/>
  <c r="BD127" i="9"/>
  <c r="AZ126" i="9"/>
  <c r="CK129" i="9"/>
  <c r="BX126" i="9"/>
  <c r="BQ126" i="9"/>
  <c r="BM125" i="9"/>
  <c r="A129" i="9"/>
  <c r="CC126" i="9"/>
  <c r="BA126" i="9"/>
  <c r="BX125" i="9"/>
  <c r="CH125" i="9" s="1"/>
  <c r="CI125" i="9" s="1"/>
  <c r="CG129" i="9"/>
  <c r="BA25" i="9"/>
  <c r="A24" i="9"/>
  <c r="BD24" i="9"/>
  <c r="BM26" i="9"/>
  <c r="BI29" i="9"/>
  <c r="CC30" i="9"/>
  <c r="AI31" i="9"/>
  <c r="BX31" i="9"/>
  <c r="A33" i="9"/>
  <c r="BI38" i="9"/>
  <c r="CC41" i="9"/>
  <c r="AI42" i="9"/>
  <c r="CC43" i="9"/>
  <c r="CK44" i="9"/>
  <c r="BX46" i="9"/>
  <c r="AY47" i="9" a="1"/>
  <c r="AY47" i="9" s="1"/>
  <c r="AZ47" i="9" s="1"/>
  <c r="BQ49" i="9"/>
  <c r="BM50" i="9"/>
  <c r="AI51" i="9"/>
  <c r="A52" i="9"/>
  <c r="A54" i="9"/>
  <c r="AY54" i="9" a="1"/>
  <c r="AY54" i="9" s="1"/>
  <c r="AZ54" i="9" s="1"/>
  <c r="BI56" i="9"/>
  <c r="CK57" i="9"/>
  <c r="BX58" i="9"/>
  <c r="BI59" i="9"/>
  <c r="CG61" i="9"/>
  <c r="A66" i="9"/>
  <c r="AI66" i="9"/>
  <c r="CC66" i="9"/>
  <c r="AI67" i="9"/>
  <c r="BX67" i="9"/>
  <c r="AY72" i="9" a="1"/>
  <c r="AY72" i="9" s="1"/>
  <c r="AZ72" i="9" s="1"/>
  <c r="CK74" i="9"/>
  <c r="BA79" i="9"/>
  <c r="BA82" i="9"/>
  <c r="CC85" i="9"/>
  <c r="BD85" i="9"/>
  <c r="CG85" i="9"/>
  <c r="AI85" i="9"/>
  <c r="BM85" i="9"/>
  <c r="CK85" i="9"/>
  <c r="AI90" i="9"/>
  <c r="A97" i="9"/>
  <c r="BD97" i="9"/>
  <c r="BD114" i="9"/>
  <c r="CC114" i="9"/>
  <c r="BQ114" i="9"/>
  <c r="BM80" i="9"/>
  <c r="CC80" i="9"/>
  <c r="A80" i="9"/>
  <c r="AI80" i="9"/>
  <c r="A99" i="9"/>
  <c r="BM99" i="9"/>
  <c r="BC23" i="9" a="1"/>
  <c r="BC23" i="9" s="1"/>
  <c r="BM24" i="9"/>
  <c r="BI25" i="9"/>
  <c r="BX26" i="9"/>
  <c r="CK29" i="9"/>
  <c r="AI30" i="9"/>
  <c r="A31" i="9"/>
  <c r="BX33" i="9"/>
  <c r="BM34" i="9"/>
  <c r="BM36" i="9"/>
  <c r="BQ38" i="9"/>
  <c r="BI39" i="9"/>
  <c r="BD40" i="9"/>
  <c r="A44" i="9"/>
  <c r="BB44" i="9"/>
  <c r="BD45" i="9"/>
  <c r="BD47" i="9"/>
  <c r="AY48" i="9" a="1"/>
  <c r="AY48" i="9" s="1"/>
  <c r="AZ48" i="9" s="1"/>
  <c r="CC49" i="9"/>
  <c r="AI50" i="9"/>
  <c r="CK50" i="9"/>
  <c r="AI56" i="9"/>
  <c r="CC56" i="9"/>
  <c r="AI57" i="9"/>
  <c r="BA58" i="9"/>
  <c r="CK58" i="9"/>
  <c r="BX59" i="9"/>
  <c r="CG60" i="9"/>
  <c r="AI64" i="9"/>
  <c r="A67" i="9"/>
  <c r="CK67" i="9"/>
  <c r="BA68" i="9"/>
  <c r="BD69" i="9"/>
  <c r="BQ70" i="9"/>
  <c r="A72" i="9"/>
  <c r="CC73" i="9"/>
  <c r="AY74" i="9" a="1"/>
  <c r="AY74" i="9" s="1"/>
  <c r="AZ74" i="9" s="1"/>
  <c r="BA76" i="9"/>
  <c r="BB76" i="9"/>
  <c r="BB82" i="9"/>
  <c r="CK88" i="9"/>
  <c r="BQ88" i="9"/>
  <c r="A89" i="9"/>
  <c r="BA90" i="9"/>
  <c r="CG92" i="9"/>
  <c r="CK92" i="9"/>
  <c r="AI92" i="9"/>
  <c r="BM92" i="9"/>
  <c r="CC92" i="9"/>
  <c r="BD94" i="9"/>
  <c r="CC96" i="9"/>
  <c r="BM96" i="9"/>
  <c r="AY102" i="9" a="1"/>
  <c r="AY102" i="9" s="1"/>
  <c r="AZ102" i="9" s="1"/>
  <c r="CK103" i="9"/>
  <c r="BD103" i="9"/>
  <c r="AI103" i="9"/>
  <c r="CK105" i="9"/>
  <c r="BX105" i="9"/>
  <c r="BD105" i="9"/>
  <c r="BD25" i="9"/>
  <c r="CG81" i="9"/>
  <c r="BD81" i="9"/>
  <c r="BX81" i="9"/>
  <c r="BM81" i="9"/>
  <c r="A81" i="9"/>
  <c r="BI81" i="9"/>
  <c r="BA95" i="9"/>
  <c r="BB95" i="9"/>
  <c r="BI23" i="9"/>
  <c r="CC25" i="9"/>
  <c r="BQ34" i="9"/>
  <c r="BQ39" i="9"/>
  <c r="BQ45" i="9"/>
  <c r="A50" i="9"/>
  <c r="BD52" i="9"/>
  <c r="BA57" i="9"/>
  <c r="A59" i="9"/>
  <c r="CC59" i="9"/>
  <c r="BA60" i="9"/>
  <c r="CK60" i="9"/>
  <c r="BQ72" i="9"/>
  <c r="BB80" i="9"/>
  <c r="BA80" i="9"/>
  <c r="BA81" i="9"/>
  <c r="CC81" i="9"/>
  <c r="BD84" i="9"/>
  <c r="BA91" i="9"/>
  <c r="CK97" i="9"/>
  <c r="CG97" i="9"/>
  <c r="CC97" i="9"/>
  <c r="AY97" i="9" a="1"/>
  <c r="AY97" i="9" s="1"/>
  <c r="AZ97" i="9" s="1"/>
  <c r="BM97" i="9"/>
  <c r="BX49" i="9"/>
  <c r="BB102" i="9"/>
  <c r="BA102" i="9"/>
  <c r="BM23" i="9"/>
  <c r="BX24" i="9"/>
  <c r="AI25" i="9"/>
  <c r="CK25" i="9"/>
  <c r="BD27" i="9"/>
  <c r="A34" i="9"/>
  <c r="BX34" i="9"/>
  <c r="BM37" i="9"/>
  <c r="AI39" i="9"/>
  <c r="BX39" i="9"/>
  <c r="CG40" i="9"/>
  <c r="AI41" i="9"/>
  <c r="BI42" i="9"/>
  <c r="BI44" i="9"/>
  <c r="BX45" i="9"/>
  <c r="AI49" i="9"/>
  <c r="BI51" i="9"/>
  <c r="BI52" i="9"/>
  <c r="BD54" i="9"/>
  <c r="CK59" i="9"/>
  <c r="A61" i="9"/>
  <c r="BI65" i="9"/>
  <c r="BI66" i="9"/>
  <c r="BM69" i="9"/>
  <c r="BX72" i="9"/>
  <c r="BQ80" i="9"/>
  <c r="AI81" i="9"/>
  <c r="CC90" i="9"/>
  <c r="AY99" i="9" a="1"/>
  <c r="AY99" i="9" s="1"/>
  <c r="CC106" i="9"/>
  <c r="CG106" i="9"/>
  <c r="A106" i="9"/>
  <c r="BX106" i="9"/>
  <c r="AY106" i="9" a="1"/>
  <c r="AY106" i="9" s="1"/>
  <c r="AZ106" i="9" s="1"/>
  <c r="BI106" i="9"/>
  <c r="CK106" i="9"/>
  <c r="BQ26" i="9"/>
  <c r="A26" i="9"/>
  <c r="BD31" i="9"/>
  <c r="BD32" i="9"/>
  <c r="BA39" i="9"/>
  <c r="CC39" i="9"/>
  <c r="A41" i="9"/>
  <c r="CC42" i="9"/>
  <c r="CK45" i="9"/>
  <c r="A49" i="9"/>
  <c r="BQ51" i="9"/>
  <c r="BM54" i="9"/>
  <c r="A60" i="9"/>
  <c r="AY60" i="9" a="1"/>
  <c r="AY60" i="9" s="1"/>
  <c r="BM66" i="9"/>
  <c r="BD67" i="9"/>
  <c r="CC72" i="9"/>
  <c r="BD74" i="9"/>
  <c r="BX80" i="9"/>
  <c r="BA89" i="9"/>
  <c r="CC89" i="9"/>
  <c r="AY89" i="9" a="1"/>
  <c r="AY89" i="9" s="1"/>
  <c r="AZ89" i="9" s="1"/>
  <c r="CK90" i="9"/>
  <c r="BX91" i="9"/>
  <c r="BD34" i="9"/>
  <c r="BD39" i="9"/>
  <c r="BI31" i="9"/>
  <c r="A39" i="9"/>
  <c r="CK39" i="9"/>
  <c r="A46" i="9"/>
  <c r="BD46" i="9"/>
  <c r="CC51" i="9"/>
  <c r="BA56" i="9"/>
  <c r="BM58" i="9"/>
  <c r="BQ66" i="9"/>
  <c r="BI67" i="9"/>
  <c r="BI74" i="9"/>
  <c r="CG79" i="9"/>
  <c r="BD79" i="9"/>
  <c r="BM79" i="9"/>
  <c r="CK79" i="9"/>
  <c r="CK80" i="9"/>
  <c r="CG84" i="9"/>
  <c r="AI84" i="9"/>
  <c r="BM84" i="9"/>
  <c r="A84" i="9"/>
  <c r="A91" i="9"/>
  <c r="BI99" i="9"/>
  <c r="BD111" i="9"/>
  <c r="CK111" i="9"/>
  <c r="AY111" i="9" a="1"/>
  <c r="AY111" i="9" s="1"/>
  <c r="CG111" i="9"/>
  <c r="AI111" i="9"/>
  <c r="A111" i="9"/>
  <c r="CC111" i="9"/>
  <c r="BM111" i="9"/>
  <c r="CK23" i="9"/>
  <c r="A25" i="9"/>
  <c r="BD26" i="9"/>
  <c r="BX30" i="9"/>
  <c r="BQ31" i="9"/>
  <c r="BA32" i="9"/>
  <c r="CK32" i="9"/>
  <c r="BM41" i="9"/>
  <c r="BX44" i="9"/>
  <c r="BQ46" i="9"/>
  <c r="BM49" i="9"/>
  <c r="BI50" i="9"/>
  <c r="CK51" i="9"/>
  <c r="CC57" i="9"/>
  <c r="BQ58" i="9"/>
  <c r="BD59" i="9"/>
  <c r="BA66" i="9"/>
  <c r="BX66" i="9"/>
  <c r="BQ67" i="9"/>
  <c r="CG99" i="9"/>
  <c r="BX102" i="9"/>
  <c r="CK102" i="9"/>
  <c r="AI102" i="9"/>
  <c r="CC102" i="9"/>
  <c r="CC107" i="9"/>
  <c r="BI107" i="9"/>
  <c r="BD107" i="9"/>
  <c r="A107" i="9"/>
  <c r="AY95" i="9" a="1"/>
  <c r="AY95" i="9" s="1"/>
  <c r="AZ95" i="9" s="1"/>
  <c r="BM112" i="9"/>
  <c r="BM118" i="9"/>
  <c r="CC119" i="9"/>
  <c r="BI116" i="9"/>
  <c r="BQ118" i="9"/>
  <c r="CK119" i="9"/>
  <c r="BD121" i="9"/>
  <c r="BA122" i="9"/>
  <c r="BI76" i="9"/>
  <c r="BM87" i="9"/>
  <c r="BD93" i="9"/>
  <c r="A100" i="9"/>
  <c r="AY100" i="9" a="1"/>
  <c r="AY100" i="9" s="1"/>
  <c r="AZ100" i="9" s="1"/>
  <c r="CG100" i="9"/>
  <c r="BA110" i="9"/>
  <c r="A113" i="9"/>
  <c r="CC116" i="9"/>
  <c r="CG117" i="9"/>
  <c r="BX118" i="9"/>
  <c r="A120" i="9"/>
  <c r="AY120" i="9" a="1"/>
  <c r="AY120" i="9" s="1"/>
  <c r="AZ120" i="9" s="1"/>
  <c r="BI121" i="9"/>
  <c r="BB122" i="9"/>
  <c r="CG116" i="9"/>
  <c r="CK121" i="9"/>
  <c r="CK116" i="9"/>
  <c r="A122" i="9"/>
  <c r="BM122" i="9"/>
  <c r="BM95" i="9"/>
  <c r="AY118" i="9" a="1"/>
  <c r="AY118" i="9" s="1"/>
  <c r="AZ118" i="9" s="1"/>
  <c r="A119" i="9"/>
  <c r="BA119" i="9"/>
  <c r="BA121" i="9"/>
  <c r="BD100" i="9"/>
  <c r="BM108" i="9"/>
  <c r="BX110" i="9"/>
  <c r="BA117" i="9"/>
  <c r="BD120" i="9"/>
  <c r="BA116" i="9"/>
  <c r="AZ36" i="9"/>
  <c r="BA24" i="9"/>
  <c r="BB26" i="9"/>
  <c r="BA26" i="9"/>
  <c r="AI23" i="9"/>
  <c r="BA23" i="9"/>
  <c r="CC23" i="9"/>
  <c r="BC25" i="9" a="1"/>
  <c r="BC25" i="9" s="1"/>
  <c r="AY28" i="9" a="1"/>
  <c r="AY28" i="9" s="1"/>
  <c r="CC28" i="9"/>
  <c r="BA30" i="9"/>
  <c r="BB37" i="9"/>
  <c r="BA37" i="9"/>
  <c r="BA38" i="9"/>
  <c r="BQ25" i="9"/>
  <c r="BX25" i="9"/>
  <c r="BM28" i="9"/>
  <c r="CK35" i="9"/>
  <c r="BI35" i="9"/>
  <c r="CC35" i="9"/>
  <c r="AI35" i="9"/>
  <c r="BM35" i="9"/>
  <c r="BX35" i="9"/>
  <c r="BQ35" i="9"/>
  <c r="A35" i="9"/>
  <c r="CG35" i="9"/>
  <c r="BX36" i="9"/>
  <c r="BQ36" i="9"/>
  <c r="A36" i="9"/>
  <c r="CK36" i="9"/>
  <c r="BI36" i="9"/>
  <c r="CC36" i="9"/>
  <c r="BA36" i="9"/>
  <c r="AI36" i="9"/>
  <c r="BD36" i="9"/>
  <c r="BB27" i="9"/>
  <c r="BA27" i="9"/>
  <c r="BX28" i="9"/>
  <c r="BQ28" i="9"/>
  <c r="A28" i="9"/>
  <c r="CK28" i="9"/>
  <c r="BI28" i="9"/>
  <c r="BD28" i="9"/>
  <c r="BA28" i="9"/>
  <c r="BB50" i="9"/>
  <c r="BA50" i="9"/>
  <c r="BX63" i="9"/>
  <c r="BQ63" i="9"/>
  <c r="A63" i="9"/>
  <c r="CK63" i="9"/>
  <c r="BI63" i="9"/>
  <c r="AY63" i="9" a="1"/>
  <c r="AY63" i="9" s="1"/>
  <c r="BD63" i="9"/>
  <c r="BM63" i="9"/>
  <c r="AI63" i="9"/>
  <c r="CG63" i="9"/>
  <c r="CC63" i="9"/>
  <c r="AY25" i="9" a="1"/>
  <c r="AY25" i="9" s="1"/>
  <c r="CG25" i="9"/>
  <c r="CG36" i="9"/>
  <c r="AZ56" i="9"/>
  <c r="BD23" i="9"/>
  <c r="AY24" i="9" a="1"/>
  <c r="AY24" i="9" s="1"/>
  <c r="CK27" i="9"/>
  <c r="BI27" i="9"/>
  <c r="CC27" i="9"/>
  <c r="AI27" i="9"/>
  <c r="BM27" i="9"/>
  <c r="BX27" i="9"/>
  <c r="BQ27" i="9"/>
  <c r="A27" i="9"/>
  <c r="BB29" i="9"/>
  <c r="AY23" i="9" a="1"/>
  <c r="AY23" i="9" s="1"/>
  <c r="AI28" i="9"/>
  <c r="AZ35" i="9"/>
  <c r="CK26" i="9"/>
  <c r="AY29" i="9" a="1"/>
  <c r="AY29" i="9" s="1"/>
  <c r="CG29" i="9"/>
  <c r="AI32" i="9"/>
  <c r="CC32" i="9"/>
  <c r="BB33" i="9"/>
  <c r="BI33" i="9"/>
  <c r="CK34" i="9"/>
  <c r="AY37" i="9" a="1"/>
  <c r="AY37" i="9" s="1"/>
  <c r="CG37" i="9"/>
  <c r="AI40" i="9"/>
  <c r="BA40" i="9"/>
  <c r="AY26" i="9" a="1"/>
  <c r="AY26" i="9" s="1"/>
  <c r="CG26" i="9"/>
  <c r="AI29" i="9"/>
  <c r="CC29" i="9"/>
  <c r="BI30" i="9"/>
  <c r="CK31" i="9"/>
  <c r="A32" i="9"/>
  <c r="BQ32" i="9"/>
  <c r="BX32" i="9"/>
  <c r="BD33" i="9"/>
  <c r="AY34" i="9" a="1"/>
  <c r="AY34" i="9" s="1"/>
  <c r="CG34" i="9"/>
  <c r="AI37" i="9"/>
  <c r="CC37" i="9"/>
  <c r="A40" i="9"/>
  <c r="BA41" i="9"/>
  <c r="AY33" i="9" a="1"/>
  <c r="AY33" i="9" s="1"/>
  <c r="CG33" i="9"/>
  <c r="BB49" i="9"/>
  <c r="BA49" i="9"/>
  <c r="AY32" i="9" a="1"/>
  <c r="AY32" i="9" s="1"/>
  <c r="CG32" i="9"/>
  <c r="BM33" i="9"/>
  <c r="BA35" i="9"/>
  <c r="BX40" i="9"/>
  <c r="CC40" i="9"/>
  <c r="AY40" i="9" a="1"/>
  <c r="AY40" i="9" s="1"/>
  <c r="CK40" i="9"/>
  <c r="BB54" i="9"/>
  <c r="BA54" i="9"/>
  <c r="AZ64" i="9"/>
  <c r="AI26" i="9"/>
  <c r="CC26" i="9"/>
  <c r="BQ29" i="9"/>
  <c r="BX29" i="9"/>
  <c r="BD30" i="9"/>
  <c r="AY31" i="9" a="1"/>
  <c r="AY31" i="9" s="1"/>
  <c r="CG31" i="9"/>
  <c r="AI34" i="9"/>
  <c r="BA34" i="9"/>
  <c r="CC34" i="9"/>
  <c r="A37" i="9"/>
  <c r="BQ37" i="9"/>
  <c r="BX37" i="9"/>
  <c r="BD38" i="9"/>
  <c r="AY39" i="9" a="1"/>
  <c r="AY39" i="9" s="1"/>
  <c r="CG39" i="9"/>
  <c r="BM40" i="9"/>
  <c r="CK62" i="9"/>
  <c r="BI62" i="9"/>
  <c r="CC62" i="9"/>
  <c r="AI62" i="9"/>
  <c r="AY62" i="9" a="1"/>
  <c r="AY62" i="9" s="1"/>
  <c r="BQ62" i="9"/>
  <c r="BD62" i="9"/>
  <c r="BM62" i="9"/>
  <c r="BX62" i="9"/>
  <c r="AY30" i="9" a="1"/>
  <c r="AY30" i="9" s="1"/>
  <c r="AI33" i="9"/>
  <c r="AY38" i="9" a="1"/>
  <c r="AY38" i="9" s="1"/>
  <c r="BX47" i="9"/>
  <c r="BQ47" i="9"/>
  <c r="A47" i="9"/>
  <c r="CK47" i="9"/>
  <c r="BI47" i="9"/>
  <c r="CC47" i="9"/>
  <c r="AI47" i="9"/>
  <c r="BM47" i="9"/>
  <c r="BD48" i="9"/>
  <c r="BX48" i="9"/>
  <c r="BQ48" i="9"/>
  <c r="A48" i="9"/>
  <c r="CK48" i="9"/>
  <c r="BI48" i="9"/>
  <c r="CC48" i="9"/>
  <c r="AI48" i="9"/>
  <c r="CG48" i="9"/>
  <c r="AZ61" i="9"/>
  <c r="AY46" i="9" a="1"/>
  <c r="AY46" i="9" s="1"/>
  <c r="CG46" i="9"/>
  <c r="BI61" i="9"/>
  <c r="CC61" i="9"/>
  <c r="AI61" i="9"/>
  <c r="BX61" i="9"/>
  <c r="BA63" i="9"/>
  <c r="BM64" i="9"/>
  <c r="BD64" i="9"/>
  <c r="BX64" i="9"/>
  <c r="BQ64" i="9"/>
  <c r="A64" i="9"/>
  <c r="CK64" i="9"/>
  <c r="BI64" i="9"/>
  <c r="BD78" i="9"/>
  <c r="BX78" i="9"/>
  <c r="BQ78" i="9"/>
  <c r="CK78" i="9"/>
  <c r="BA78" i="9"/>
  <c r="BI78" i="9"/>
  <c r="AY78" i="9" a="1"/>
  <c r="AY78" i="9" s="1"/>
  <c r="BM78" i="9"/>
  <c r="AI78" i="9"/>
  <c r="A78" i="9"/>
  <c r="BI41" i="9"/>
  <c r="CK42" i="9"/>
  <c r="A43" i="9"/>
  <c r="BQ43" i="9"/>
  <c r="BX43" i="9"/>
  <c r="BD44" i="9"/>
  <c r="AY45" i="9" a="1"/>
  <c r="AY45" i="9" s="1"/>
  <c r="CG45" i="9"/>
  <c r="BM46" i="9"/>
  <c r="BA48" i="9"/>
  <c r="BI49" i="9"/>
  <c r="A51" i="9"/>
  <c r="CC60" i="9"/>
  <c r="AI60" i="9"/>
  <c r="BM60" i="9"/>
  <c r="BX60" i="9"/>
  <c r="BM61" i="9"/>
  <c r="CK61" i="9"/>
  <c r="BB62" i="9"/>
  <c r="BA62" i="9"/>
  <c r="BD68" i="9"/>
  <c r="AY68" i="9" a="1"/>
  <c r="AY68" i="9" s="1"/>
  <c r="CK68" i="9"/>
  <c r="CC68" i="9"/>
  <c r="BM68" i="9"/>
  <c r="AI68" i="9"/>
  <c r="BQ68" i="9"/>
  <c r="CC78" i="9"/>
  <c r="CK41" i="9"/>
  <c r="BQ42" i="9"/>
  <c r="BX42" i="9"/>
  <c r="BD43" i="9"/>
  <c r="AY44" i="9" a="1"/>
  <c r="AY44" i="9" s="1"/>
  <c r="CG44" i="9"/>
  <c r="BM45" i="9"/>
  <c r="BA47" i="9"/>
  <c r="CK49" i="9"/>
  <c r="BQ50" i="9"/>
  <c r="BX50" i="9"/>
  <c r="AY55" i="9" a="1"/>
  <c r="AY55" i="9" s="1"/>
  <c r="BD61" i="9"/>
  <c r="BA64" i="9"/>
  <c r="BX68" i="9"/>
  <c r="CG78" i="9"/>
  <c r="BQ41" i="9"/>
  <c r="BX41" i="9"/>
  <c r="BD42" i="9"/>
  <c r="AY43" i="9" a="1"/>
  <c r="AY43" i="9" s="1"/>
  <c r="CG43" i="9"/>
  <c r="AI46" i="9"/>
  <c r="BA46" i="9"/>
  <c r="CC46" i="9"/>
  <c r="BM51" i="9"/>
  <c r="CG51" i="9"/>
  <c r="AY51" i="9" a="1"/>
  <c r="AY51" i="9" s="1"/>
  <c r="AZ52" i="9"/>
  <c r="AZ53" i="9"/>
  <c r="BX55" i="9"/>
  <c r="BQ55" i="9"/>
  <c r="A55" i="9"/>
  <c r="CK55" i="9"/>
  <c r="BI55" i="9"/>
  <c r="CC55" i="9"/>
  <c r="BQ61" i="9"/>
  <c r="BD41" i="9"/>
  <c r="AY42" i="9" a="1"/>
  <c r="AY42" i="9" s="1"/>
  <c r="CG42" i="9"/>
  <c r="AI45" i="9"/>
  <c r="BA45" i="9"/>
  <c r="CC45" i="9"/>
  <c r="BI46" i="9"/>
  <c r="BD49" i="9"/>
  <c r="AY50" i="9" a="1"/>
  <c r="AY50" i="9" s="1"/>
  <c r="BX51" i="9"/>
  <c r="BI53" i="9"/>
  <c r="CC53" i="9"/>
  <c r="AI53" i="9"/>
  <c r="CG53" i="9"/>
  <c r="CK54" i="9"/>
  <c r="BI54" i="9"/>
  <c r="CC54" i="9"/>
  <c r="AI54" i="9"/>
  <c r="CG54" i="9"/>
  <c r="BQ60" i="9"/>
  <c r="BB66" i="9"/>
  <c r="BI68" i="9"/>
  <c r="CG68" i="9"/>
  <c r="AY41" i="9" a="1"/>
  <c r="AY41" i="9" s="1"/>
  <c r="AI44" i="9"/>
  <c r="AY49" i="9" a="1"/>
  <c r="AY49" i="9" s="1"/>
  <c r="CC52" i="9"/>
  <c r="BA52" i="9"/>
  <c r="AI52" i="9"/>
  <c r="BM52" i="9"/>
  <c r="BX52" i="9"/>
  <c r="BX53" i="9"/>
  <c r="BX54" i="9"/>
  <c r="BA55" i="9"/>
  <c r="CG55" i="9"/>
  <c r="BD56" i="9"/>
  <c r="BX56" i="9"/>
  <c r="BQ56" i="9"/>
  <c r="A56" i="9"/>
  <c r="CK56" i="9"/>
  <c r="BI60" i="9"/>
  <c r="CG64" i="9"/>
  <c r="A57" i="9"/>
  <c r="BQ57" i="9"/>
  <c r="BX57" i="9"/>
  <c r="BD58" i="9"/>
  <c r="AY59" i="9" a="1"/>
  <c r="AY59" i="9" s="1"/>
  <c r="CG59" i="9"/>
  <c r="A65" i="9"/>
  <c r="BQ65" i="9"/>
  <c r="BX65" i="9"/>
  <c r="BD66" i="9"/>
  <c r="AY67" i="9" a="1"/>
  <c r="AY67" i="9" s="1"/>
  <c r="CG67" i="9"/>
  <c r="CK70" i="9"/>
  <c r="CC70" i="9"/>
  <c r="BI70" i="9"/>
  <c r="BA70" i="9"/>
  <c r="AY70" i="9" a="1"/>
  <c r="AY70" i="9" s="1"/>
  <c r="A70" i="9"/>
  <c r="BD70" i="9"/>
  <c r="CG70" i="9"/>
  <c r="BA71" i="9"/>
  <c r="BB71" i="9"/>
  <c r="BI75" i="9"/>
  <c r="BD75" i="9"/>
  <c r="AY75" i="9" a="1"/>
  <c r="AY75" i="9" s="1"/>
  <c r="CC75" i="9"/>
  <c r="BQ75" i="9"/>
  <c r="CK75" i="9"/>
  <c r="AI75" i="9"/>
  <c r="A75" i="9"/>
  <c r="BX75" i="9"/>
  <c r="BD57" i="9"/>
  <c r="AY58" i="9" a="1"/>
  <c r="AY58" i="9" s="1"/>
  <c r="BA61" i="9"/>
  <c r="BD65" i="9"/>
  <c r="AY66" i="9" a="1"/>
  <c r="AY66" i="9" s="1"/>
  <c r="BX77" i="9"/>
  <c r="BQ77" i="9"/>
  <c r="A77" i="9"/>
  <c r="BI77" i="9"/>
  <c r="BM77" i="9"/>
  <c r="CC77" i="9"/>
  <c r="CK77" i="9"/>
  <c r="BD77" i="9"/>
  <c r="AI77" i="9"/>
  <c r="AY57" i="9" a="1"/>
  <c r="AY57" i="9" s="1"/>
  <c r="AY65" i="9" a="1"/>
  <c r="AY65" i="9" s="1"/>
  <c r="BB77" i="9"/>
  <c r="BA77" i="9"/>
  <c r="AZ71" i="9"/>
  <c r="BA85" i="9"/>
  <c r="BB85" i="9"/>
  <c r="AZ90" i="9"/>
  <c r="AZ85" i="9"/>
  <c r="AZ112" i="9"/>
  <c r="BD72" i="9"/>
  <c r="BI72" i="9"/>
  <c r="CK72" i="9"/>
  <c r="CC74" i="9"/>
  <c r="AI74" i="9"/>
  <c r="BM74" i="9"/>
  <c r="BX74" i="9"/>
  <c r="BQ74" i="9"/>
  <c r="A74" i="9"/>
  <c r="AZ87" i="9"/>
  <c r="BX71" i="9"/>
  <c r="BQ71" i="9"/>
  <c r="A71" i="9"/>
  <c r="CC71" i="9"/>
  <c r="AI71" i="9"/>
  <c r="CK71" i="9"/>
  <c r="BA74" i="9"/>
  <c r="CK82" i="9"/>
  <c r="BI82" i="9"/>
  <c r="CC82" i="9"/>
  <c r="AI82" i="9"/>
  <c r="BM82" i="9"/>
  <c r="BX82" i="9"/>
  <c r="BQ82" i="9"/>
  <c r="A82" i="9"/>
  <c r="CG82" i="9"/>
  <c r="A83" i="9"/>
  <c r="BM83" i="9"/>
  <c r="CG83" i="9"/>
  <c r="AY83" i="9" a="1"/>
  <c r="AY83" i="9" s="1"/>
  <c r="BD83" i="9"/>
  <c r="AI83" i="9"/>
  <c r="BX83" i="9"/>
  <c r="BQ83" i="9"/>
  <c r="CC83" i="9"/>
  <c r="CG86" i="9"/>
  <c r="AY86" i="9" a="1"/>
  <c r="AY86" i="9" s="1"/>
  <c r="BD86" i="9"/>
  <c r="AI86" i="9"/>
  <c r="BX86" i="9"/>
  <c r="BQ86" i="9"/>
  <c r="BM86" i="9"/>
  <c r="BA86" i="9"/>
  <c r="BI86" i="9"/>
  <c r="AY69" i="9" a="1"/>
  <c r="AY69" i="9" s="1"/>
  <c r="AI72" i="9"/>
  <c r="BM72" i="9"/>
  <c r="CK73" i="9"/>
  <c r="AY76" i="9" a="1"/>
  <c r="AY76" i="9" s="1"/>
  <c r="CG76" i="9"/>
  <c r="AI79" i="9"/>
  <c r="CC79" i="9"/>
  <c r="BI80" i="9"/>
  <c r="CK81" i="9"/>
  <c r="AY84" i="9" a="1"/>
  <c r="AY84" i="9" s="1"/>
  <c r="CK84" i="9"/>
  <c r="BB87" i="9"/>
  <c r="BA87" i="9"/>
  <c r="AY73" i="9" a="1"/>
  <c r="AY73" i="9" s="1"/>
  <c r="AI76" i="9"/>
  <c r="A79" i="9"/>
  <c r="BQ79" i="9"/>
  <c r="BX79" i="9"/>
  <c r="BD80" i="9"/>
  <c r="AY81" i="9" a="1"/>
  <c r="AY81" i="9" s="1"/>
  <c r="BA84" i="9"/>
  <c r="BI84" i="9"/>
  <c r="BX85" i="9"/>
  <c r="A88" i="9"/>
  <c r="BM88" i="9"/>
  <c r="CG88" i="9"/>
  <c r="AY88" i="9" a="1"/>
  <c r="AY88" i="9" s="1"/>
  <c r="BD88" i="9"/>
  <c r="CC88" i="9"/>
  <c r="A94" i="9"/>
  <c r="BM94" i="9"/>
  <c r="BX94" i="9"/>
  <c r="BQ94" i="9"/>
  <c r="CG94" i="9"/>
  <c r="BA94" i="9"/>
  <c r="AY94" i="9" a="1"/>
  <c r="AY94" i="9" s="1"/>
  <c r="CC94" i="9"/>
  <c r="BI94" i="9"/>
  <c r="AY80" i="9" a="1"/>
  <c r="AY80" i="9" s="1"/>
  <c r="CG80" i="9"/>
  <c r="BX84" i="9"/>
  <c r="BQ84" i="9"/>
  <c r="BI89" i="9"/>
  <c r="CG89" i="9"/>
  <c r="BA107" i="9"/>
  <c r="BB107" i="9"/>
  <c r="AY79" i="9" a="1"/>
  <c r="AY79" i="9" s="1"/>
  <c r="BB91" i="9"/>
  <c r="CC101" i="9"/>
  <c r="BM101" i="9"/>
  <c r="CK101" i="9"/>
  <c r="AY101" i="9" a="1"/>
  <c r="AY101" i="9" s="1"/>
  <c r="BD101" i="9"/>
  <c r="AI101" i="9"/>
  <c r="BQ101" i="9"/>
  <c r="CG101" i="9"/>
  <c r="BX101" i="9"/>
  <c r="A101" i="9"/>
  <c r="BA106" i="9"/>
  <c r="BB106" i="9"/>
  <c r="BB97" i="9"/>
  <c r="BA97" i="9"/>
  <c r="CK89" i="9"/>
  <c r="BD89" i="9"/>
  <c r="AI89" i="9"/>
  <c r="BX89" i="9"/>
  <c r="BQ89" i="9"/>
  <c r="AZ93" i="9"/>
  <c r="CH93" i="9" s="1"/>
  <c r="CI93" i="9" s="1"/>
  <c r="BB96" i="9"/>
  <c r="BA96" i="9"/>
  <c r="AZ99" i="9"/>
  <c r="CC91" i="9"/>
  <c r="BD91" i="9"/>
  <c r="AI91" i="9"/>
  <c r="BM91" i="9"/>
  <c r="AZ98" i="9"/>
  <c r="CC87" i="9"/>
  <c r="CD87" i="9" s="1"/>
  <c r="CE87" i="9" s="1"/>
  <c r="BX90" i="9"/>
  <c r="BQ90" i="9"/>
  <c r="A90" i="9"/>
  <c r="AY91" i="9" a="1"/>
  <c r="AY91" i="9" s="1"/>
  <c r="BB100" i="9"/>
  <c r="BA100" i="9"/>
  <c r="BI87" i="9"/>
  <c r="BD90" i="9"/>
  <c r="BM90" i="9"/>
  <c r="BI91" i="9"/>
  <c r="BQ91" i="9"/>
  <c r="BD95" i="9"/>
  <c r="AI95" i="9"/>
  <c r="BX95" i="9"/>
  <c r="BQ95" i="9"/>
  <c r="CK95" i="9"/>
  <c r="CC95" i="9"/>
  <c r="A98" i="9"/>
  <c r="BM98" i="9"/>
  <c r="BX98" i="9"/>
  <c r="CG98" i="9"/>
  <c r="BD98" i="9"/>
  <c r="BA101" i="9"/>
  <c r="CG90" i="9"/>
  <c r="CK91" i="9"/>
  <c r="CK98" i="9"/>
  <c r="BI92" i="9"/>
  <c r="BM93" i="9"/>
  <c r="CG96" i="9"/>
  <c r="AY96" i="9" a="1"/>
  <c r="AY96" i="9" s="1"/>
  <c r="BD96" i="9"/>
  <c r="AI96" i="9"/>
  <c r="CC103" i="9"/>
  <c r="BM103" i="9"/>
  <c r="BX103" i="9"/>
  <c r="BQ103" i="9"/>
  <c r="CG103" i="9"/>
  <c r="AY103" i="9" a="1"/>
  <c r="AY103" i="9" s="1"/>
  <c r="BI103" i="9"/>
  <c r="BA113" i="9"/>
  <c r="BB113" i="9"/>
  <c r="BA115" i="9"/>
  <c r="BB115" i="9"/>
  <c r="BI93" i="9"/>
  <c r="BD99" i="9"/>
  <c r="AI99" i="9"/>
  <c r="BX99" i="9"/>
  <c r="BQ99" i="9"/>
  <c r="CC99" i="9"/>
  <c r="BA99" i="9"/>
  <c r="CK99" i="9"/>
  <c r="BA108" i="9"/>
  <c r="BB108" i="9"/>
  <c r="AZ110" i="9"/>
  <c r="AY92" i="9" a="1"/>
  <c r="AY92" i="9" s="1"/>
  <c r="BI96" i="9"/>
  <c r="BQ96" i="9"/>
  <c r="BD109" i="9"/>
  <c r="AI109" i="9"/>
  <c r="CK109" i="9"/>
  <c r="A109" i="9"/>
  <c r="BI109" i="9"/>
  <c r="AY109" i="9" a="1"/>
  <c r="AY109" i="9" s="1"/>
  <c r="CC109" i="9"/>
  <c r="BQ109" i="9"/>
  <c r="BX109" i="9"/>
  <c r="BM109" i="9"/>
  <c r="BA109" i="9"/>
  <c r="BA103" i="9"/>
  <c r="BB105" i="9"/>
  <c r="BA105" i="9"/>
  <c r="AZ111" i="9"/>
  <c r="AI113" i="9"/>
  <c r="AZ117" i="9"/>
  <c r="CL117" i="9" s="1"/>
  <c r="CM117" i="9" s="1"/>
  <c r="CG104" i="9"/>
  <c r="AY104" i="9" a="1"/>
  <c r="AY104" i="9" s="1"/>
  <c r="BX104" i="9"/>
  <c r="BQ104" i="9"/>
  <c r="CC104" i="9"/>
  <c r="BD104" i="9"/>
  <c r="CK104" i="9"/>
  <c r="BZ117" i="9"/>
  <c r="CA117" i="9" s="1"/>
  <c r="BI97" i="9"/>
  <c r="CC100" i="9"/>
  <c r="A104" i="9"/>
  <c r="BA104" i="9"/>
  <c r="A108" i="9"/>
  <c r="CG108" i="9"/>
  <c r="CK108" i="9"/>
  <c r="CC108" i="9"/>
  <c r="BI108" i="9"/>
  <c r="BQ108" i="9"/>
  <c r="AY108" i="9" a="1"/>
  <c r="AY108" i="9" s="1"/>
  <c r="BX108" i="9"/>
  <c r="CK114" i="9"/>
  <c r="CG114" i="9"/>
  <c r="AY114" i="9" a="1"/>
  <c r="AY114" i="9" s="1"/>
  <c r="BX114" i="9"/>
  <c r="AI114" i="9"/>
  <c r="BM114" i="9"/>
  <c r="BI114" i="9"/>
  <c r="A114" i="9"/>
  <c r="A115" i="9"/>
  <c r="CK115" i="9"/>
  <c r="BI115" i="9"/>
  <c r="AY115" i="9" a="1"/>
  <c r="AY115" i="9" s="1"/>
  <c r="CC115" i="9"/>
  <c r="BM115" i="9"/>
  <c r="CG113" i="9"/>
  <c r="AY113" i="9" a="1"/>
  <c r="AY113" i="9" s="1"/>
  <c r="CC113" i="9"/>
  <c r="BQ113" i="9"/>
  <c r="BI113" i="9"/>
  <c r="BD113" i="9"/>
  <c r="BX113" i="9"/>
  <c r="BM113" i="9"/>
  <c r="BM102" i="9"/>
  <c r="AY105" i="9" a="1"/>
  <c r="AY105" i="9" s="1"/>
  <c r="CG105" i="9"/>
  <c r="CK107" i="9"/>
  <c r="CG107" i="9"/>
  <c r="AY107" i="9" a="1"/>
  <c r="AY107" i="9" s="1"/>
  <c r="BI102" i="9"/>
  <c r="CC105" i="9"/>
  <c r="AI107" i="9"/>
  <c r="BI105" i="9"/>
  <c r="BA114" i="9"/>
  <c r="BQ102" i="9"/>
  <c r="BX107" i="9"/>
  <c r="AI110" i="9"/>
  <c r="BD110" i="9"/>
  <c r="BX111" i="9"/>
  <c r="BQ111" i="9"/>
  <c r="BI111" i="9"/>
  <c r="AY116" i="9" a="1"/>
  <c r="AY116" i="9" s="1"/>
  <c r="A121" i="9"/>
  <c r="BM121" i="9"/>
  <c r="CG121" i="9"/>
  <c r="AY121" i="9" a="1"/>
  <c r="AY121" i="9" s="1"/>
  <c r="BX121" i="9"/>
  <c r="BQ121" i="9"/>
  <c r="CC121" i="9"/>
  <c r="CC112" i="9"/>
  <c r="BX112" i="9"/>
  <c r="BQ112" i="9"/>
  <c r="BA118" i="9"/>
  <c r="BB118" i="9"/>
  <c r="BA112" i="9"/>
  <c r="CG112" i="9"/>
  <c r="BM116" i="9"/>
  <c r="BD116" i="9"/>
  <c r="AI116" i="9"/>
  <c r="A116" i="9"/>
  <c r="BX116" i="9"/>
  <c r="AI117" i="9"/>
  <c r="BD117" i="9"/>
  <c r="BI118" i="9"/>
  <c r="BM119" i="9"/>
  <c r="BQ120" i="9"/>
  <c r="BX120" i="9"/>
  <c r="AY122" i="9" a="1"/>
  <c r="AY122" i="9" s="1"/>
  <c r="CG122" i="9"/>
  <c r="BI119" i="9"/>
  <c r="BM120" i="9"/>
  <c r="CC122" i="9"/>
  <c r="BI122" i="9"/>
  <c r="BI117" i="9"/>
  <c r="BQ119" i="9"/>
  <c r="BX119" i="9"/>
  <c r="CC120" i="9"/>
  <c r="CK122" i="9"/>
  <c r="BI120" i="9"/>
  <c r="BQ122" i="9"/>
  <c r="BX122" i="9"/>
  <c r="BQ117" i="9"/>
  <c r="AY119" i="9" a="1"/>
  <c r="AY119" i="9" s="1"/>
  <c r="AI122" i="9"/>
  <c r="CD838" i="9" l="1"/>
  <c r="CE838" i="9" s="1"/>
  <c r="BF838" i="9"/>
  <c r="BG838" i="9" s="1"/>
  <c r="CL838" i="9"/>
  <c r="CM838" i="9" s="1"/>
  <c r="BZ838" i="9"/>
  <c r="CA838" i="9" s="1"/>
  <c r="BJ1017" i="9"/>
  <c r="BK1017" i="9" s="1"/>
  <c r="BN1017" i="9"/>
  <c r="BO1017" i="9" s="1"/>
  <c r="CL1017" i="9"/>
  <c r="CM1017" i="9" s="1"/>
  <c r="BR1017" i="9"/>
  <c r="BS1017" i="9" s="1"/>
  <c r="CJ748" i="9" a="1"/>
  <c r="CJ748" i="9" s="1"/>
  <c r="CL286" i="9"/>
  <c r="CM286" i="9" s="1"/>
  <c r="BZ286" i="9"/>
  <c r="CA286" i="9" s="1"/>
  <c r="CB286" i="9" s="1" a="1"/>
  <c r="CB286" i="9" s="1"/>
  <c r="CN343" i="9" a="1"/>
  <c r="CN343" i="9" s="1"/>
  <c r="BF580" i="9"/>
  <c r="BG580" i="9" s="1"/>
  <c r="BH580" i="9" s="1" a="1"/>
  <c r="BH580" i="9" s="1"/>
  <c r="BJ580" i="9"/>
  <c r="BK580" i="9" s="1"/>
  <c r="CD911" i="9"/>
  <c r="CE911" i="9" s="1"/>
  <c r="BF911" i="9"/>
  <c r="BG911" i="9" s="1"/>
  <c r="BH911" i="9" s="1" a="1"/>
  <c r="BH911" i="9" s="1"/>
  <c r="CL911" i="9"/>
  <c r="CM911" i="9" s="1"/>
  <c r="BR110" i="9"/>
  <c r="BS110" i="9" s="1"/>
  <c r="BR150" i="9"/>
  <c r="BS150" i="9" s="1"/>
  <c r="BR165" i="9"/>
  <c r="BS165" i="9" s="1"/>
  <c r="BU165" i="9" s="1" a="1"/>
  <c r="BU165" i="9" s="1"/>
  <c r="CL212" i="9"/>
  <c r="CM212" i="9" s="1"/>
  <c r="CD233" i="9"/>
  <c r="CE233" i="9" s="1"/>
  <c r="BR233" i="9"/>
  <c r="BS233" i="9" s="1"/>
  <c r="BU233" i="9" s="1" a="1"/>
  <c r="BU233" i="9" s="1"/>
  <c r="BJ259" i="9"/>
  <c r="BK259" i="9" s="1"/>
  <c r="CH279" i="9"/>
  <c r="CI279" i="9" s="1"/>
  <c r="CL342" i="9"/>
  <c r="CM342" i="9" s="1"/>
  <c r="CD352" i="9"/>
  <c r="CE352" i="9" s="1"/>
  <c r="CD378" i="9"/>
  <c r="CE378" i="9" s="1"/>
  <c r="BG410" i="9"/>
  <c r="BH410" i="9" s="1" a="1"/>
  <c r="BH410" i="9" s="1"/>
  <c r="CD361" i="9"/>
  <c r="CE361" i="9" s="1"/>
  <c r="BJ430" i="9"/>
  <c r="BK430" i="9" s="1"/>
  <c r="BP523" i="9" a="1"/>
  <c r="BP523" i="9" s="1"/>
  <c r="BR519" i="9"/>
  <c r="BS519" i="9" s="1"/>
  <c r="BR580" i="9"/>
  <c r="BS580" i="9" s="1"/>
  <c r="BU580" i="9" s="1" a="1"/>
  <c r="BU580" i="9" s="1"/>
  <c r="BH565" i="9" a="1"/>
  <c r="BH565" i="9" s="1"/>
  <c r="BJ687" i="9"/>
  <c r="BK687" i="9" s="1"/>
  <c r="BL687" i="9" s="1" a="1"/>
  <c r="BL687" i="9" s="1"/>
  <c r="BJ776" i="9"/>
  <c r="BK776" i="9" s="1"/>
  <c r="BJ816" i="9"/>
  <c r="BK816" i="9" s="1"/>
  <c r="BF820" i="9"/>
  <c r="BG820" i="9" s="1"/>
  <c r="BH820" i="9" s="1" a="1"/>
  <c r="BH820" i="9" s="1"/>
  <c r="CD887" i="9"/>
  <c r="CE887" i="9" s="1"/>
  <c r="BH920" i="9" a="1"/>
  <c r="BH920" i="9" s="1"/>
  <c r="BH944" i="9" a="1"/>
  <c r="BH944" i="9" s="1"/>
  <c r="CD879" i="9"/>
  <c r="CH951" i="9"/>
  <c r="CI951" i="9" s="1"/>
  <c r="CD979" i="9"/>
  <c r="CE979" i="9" s="1"/>
  <c r="BJ979" i="9"/>
  <c r="BK979" i="9" s="1"/>
  <c r="CH986" i="9"/>
  <c r="CI986" i="9" s="1"/>
  <c r="BJ740" i="9"/>
  <c r="BK740" i="9" s="1"/>
  <c r="BR112" i="9"/>
  <c r="BS112" i="9" s="1"/>
  <c r="BN85" i="9"/>
  <c r="BO85" i="9" s="1"/>
  <c r="BF120" i="9"/>
  <c r="BG120" i="9" s="1"/>
  <c r="BH120" i="9" s="1" a="1"/>
  <c r="BH120" i="9" s="1"/>
  <c r="BR154" i="9"/>
  <c r="BS154" i="9" s="1"/>
  <c r="BL214" i="9" a="1"/>
  <c r="BL214" i="9" s="1"/>
  <c r="BO233" i="9"/>
  <c r="BJ233" i="9"/>
  <c r="BK233" i="9" s="1"/>
  <c r="BF281" i="9"/>
  <c r="BG281" i="9" s="1"/>
  <c r="CH360" i="9"/>
  <c r="CI360" i="9" s="1"/>
  <c r="CL367" i="9"/>
  <c r="CM367" i="9" s="1"/>
  <c r="CO389" i="9" a="1"/>
  <c r="CO389" i="9" s="1"/>
  <c r="CL560" i="9"/>
  <c r="CM560" i="9" s="1"/>
  <c r="BH523" i="9" a="1"/>
  <c r="BH523" i="9" s="1"/>
  <c r="CL612" i="9"/>
  <c r="CM612" i="9" s="1"/>
  <c r="BR601" i="9"/>
  <c r="BS601" i="9" s="1"/>
  <c r="CF609" i="9" a="1"/>
  <c r="CF609" i="9" s="1"/>
  <c r="BN671" i="9"/>
  <c r="BO671" i="9" s="1"/>
  <c r="CD655" i="9"/>
  <c r="CE655" i="9" s="1"/>
  <c r="BR570" i="9"/>
  <c r="BS570" i="9" s="1"/>
  <c r="CH725" i="9"/>
  <c r="CI725" i="9" s="1"/>
  <c r="BZ558" i="9"/>
  <c r="CA558" i="9" s="1"/>
  <c r="BL641" i="9" a="1"/>
  <c r="BL641" i="9" s="1"/>
  <c r="CN662" i="9" a="1"/>
  <c r="CN662" i="9" s="1"/>
  <c r="CL689" i="9"/>
  <c r="CM689" i="9" s="1"/>
  <c r="CL748" i="9"/>
  <c r="CM748" i="9" s="1"/>
  <c r="CD768" i="9"/>
  <c r="CE768" i="9" s="1"/>
  <c r="CD820" i="9"/>
  <c r="CE820" i="9" s="1"/>
  <c r="BJ879" i="9"/>
  <c r="BK879" i="9" s="1"/>
  <c r="CH906" i="9"/>
  <c r="CI906" i="9" s="1"/>
  <c r="CH914" i="9"/>
  <c r="CI914" i="9" s="1"/>
  <c r="BN233" i="9"/>
  <c r="CH291" i="9"/>
  <c r="CI291" i="9" s="1"/>
  <c r="BR350" i="9"/>
  <c r="BS350" i="9" s="1"/>
  <c r="BJ471" i="9"/>
  <c r="BK471" i="9" s="1"/>
  <c r="CD506" i="9"/>
  <c r="CE506" i="9" s="1"/>
  <c r="BJ530" i="9"/>
  <c r="BK530" i="9" s="1"/>
  <c r="CD446" i="9"/>
  <c r="CE446" i="9" s="1"/>
  <c r="BR625" i="9"/>
  <c r="BS625" i="9" s="1"/>
  <c r="CH564" i="9"/>
  <c r="CI564" i="9" s="1"/>
  <c r="CD686" i="9"/>
  <c r="CE686" i="9" s="1"/>
  <c r="BN871" i="9"/>
  <c r="BO871" i="9" s="1"/>
  <c r="BZ120" i="9"/>
  <c r="CA120" i="9" s="1"/>
  <c r="CB120" i="9" s="1" a="1"/>
  <c r="CB120" i="9" s="1"/>
  <c r="CB214" i="9" a="1"/>
  <c r="CB214" i="9" s="1"/>
  <c r="CD274" i="9"/>
  <c r="CE274" i="9" s="1"/>
  <c r="BZ281" i="9"/>
  <c r="CA281" i="9" s="1"/>
  <c r="CH335" i="9"/>
  <c r="CI335" i="9" s="1"/>
  <c r="BJ343" i="9"/>
  <c r="BK343" i="9" s="1"/>
  <c r="BN346" i="9"/>
  <c r="BO346" i="9" s="1"/>
  <c r="CL338" i="9"/>
  <c r="CM338" i="9" s="1"/>
  <c r="CH355" i="9"/>
  <c r="CI355" i="9" s="1"/>
  <c r="CF389" i="9" a="1"/>
  <c r="CF389" i="9" s="1"/>
  <c r="BF425" i="9"/>
  <c r="BG425" i="9" s="1"/>
  <c r="BH425" i="9" s="1" a="1"/>
  <c r="BH425" i="9" s="1"/>
  <c r="BF452" i="9"/>
  <c r="BG452" i="9" s="1"/>
  <c r="BR410" i="9"/>
  <c r="BS410" i="9" s="1"/>
  <c r="BU410" i="9" s="1" a="1"/>
  <c r="BU410" i="9" s="1"/>
  <c r="BN531" i="9"/>
  <c r="BO531" i="9" s="1"/>
  <c r="CD522" i="9"/>
  <c r="CE522" i="9" s="1"/>
  <c r="BR546" i="9"/>
  <c r="BS546" i="9" s="1"/>
  <c r="CL504" i="9"/>
  <c r="CM504" i="9" s="1"/>
  <c r="CO504" i="9" s="1" a="1"/>
  <c r="CO504" i="9" s="1"/>
  <c r="BN546" i="9"/>
  <c r="BO546" i="9" s="1"/>
  <c r="BP546" i="9" s="1" a="1"/>
  <c r="BP546" i="9" s="1"/>
  <c r="BL523" i="9" a="1"/>
  <c r="BL523" i="9" s="1"/>
  <c r="CO635" i="9" a="1"/>
  <c r="CO635" i="9" s="1"/>
  <c r="CD644" i="9"/>
  <c r="CE644" i="9" s="1"/>
  <c r="BN667" i="9"/>
  <c r="BO667" i="9" s="1"/>
  <c r="BR649" i="9"/>
  <c r="BS649" i="9" s="1"/>
  <c r="BU649" i="9" s="1" a="1"/>
  <c r="BU649" i="9" s="1"/>
  <c r="CL732" i="9"/>
  <c r="CM732" i="9" s="1"/>
  <c r="BF649" i="9"/>
  <c r="BG649" i="9" s="1"/>
  <c r="BH649" i="9" s="1" a="1"/>
  <c r="BH649" i="9" s="1"/>
  <c r="BZ748" i="9"/>
  <c r="CA748" i="9" s="1"/>
  <c r="CB748" i="9" s="1" a="1"/>
  <c r="CB748" i="9" s="1"/>
  <c r="BR820" i="9"/>
  <c r="BS820" i="9" s="1"/>
  <c r="BU820" i="9" s="1" a="1"/>
  <c r="BU820" i="9" s="1"/>
  <c r="CL887" i="9"/>
  <c r="CM887" i="9" s="1"/>
  <c r="BF953" i="9"/>
  <c r="BG953" i="9" s="1"/>
  <c r="BH953" i="9" s="1" a="1"/>
  <c r="BH953" i="9" s="1"/>
  <c r="BJ846" i="9"/>
  <c r="BK846" i="9" s="1"/>
  <c r="BZ879" i="9"/>
  <c r="CA879" i="9" s="1"/>
  <c r="CB879" i="9" s="1" a="1"/>
  <c r="CB879" i="9" s="1"/>
  <c r="CL936" i="9"/>
  <c r="CM936" i="9" s="1"/>
  <c r="CD953" i="9"/>
  <c r="CE953" i="9" s="1"/>
  <c r="BJ832" i="9"/>
  <c r="BK832" i="9" s="1"/>
  <c r="BF130" i="9"/>
  <c r="BG130" i="9" s="1"/>
  <c r="BH130" i="9" s="1" a="1"/>
  <c r="BH130" i="9" s="1"/>
  <c r="BJ139" i="9"/>
  <c r="BK139" i="9" s="1"/>
  <c r="CH199" i="9"/>
  <c r="CI199" i="9" s="1"/>
  <c r="BP198" i="9" a="1"/>
  <c r="BP198" i="9" s="1"/>
  <c r="CD248" i="9"/>
  <c r="CE248" i="9" s="1"/>
  <c r="CD249" i="9"/>
  <c r="CE249" i="9" s="1"/>
  <c r="BJ270" i="9"/>
  <c r="BK270" i="9" s="1"/>
  <c r="BJ274" i="9"/>
  <c r="BK274" i="9" s="1"/>
  <c r="BP269" i="9" a="1"/>
  <c r="BP269" i="9" s="1"/>
  <c r="CD287" i="9"/>
  <c r="CE287" i="9" s="1"/>
  <c r="BR290" i="9"/>
  <c r="BS290" i="9" s="1"/>
  <c r="BZ314" i="9"/>
  <c r="CA314" i="9" s="1"/>
  <c r="CD312" i="9"/>
  <c r="CE312" i="9" s="1"/>
  <c r="BJ314" i="9"/>
  <c r="BK314" i="9" s="1"/>
  <c r="BL314" i="9" s="1" a="1"/>
  <c r="BL314" i="9" s="1"/>
  <c r="BZ335" i="9"/>
  <c r="CA335" i="9" s="1"/>
  <c r="CB335" i="9" s="1" a="1"/>
  <c r="CB335" i="9" s="1"/>
  <c r="CD338" i="9"/>
  <c r="CE338" i="9" s="1"/>
  <c r="BJ381" i="9"/>
  <c r="BK381" i="9" s="1"/>
  <c r="BH398" i="9" a="1"/>
  <c r="BH398" i="9" s="1"/>
  <c r="BR461" i="9"/>
  <c r="BS461" i="9" s="1"/>
  <c r="CH496" i="9"/>
  <c r="CI496" i="9" s="1"/>
  <c r="BN480" i="9"/>
  <c r="BO480" i="9" s="1"/>
  <c r="BJ481" i="9"/>
  <c r="BK481" i="9" s="1"/>
  <c r="CD466" i="9"/>
  <c r="CE466" i="9" s="1"/>
  <c r="BR541" i="9"/>
  <c r="BS541" i="9" s="1"/>
  <c r="CD546" i="9"/>
  <c r="CE546" i="9" s="1"/>
  <c r="BR531" i="9"/>
  <c r="BS531" i="9" s="1"/>
  <c r="CH519" i="9"/>
  <c r="CI519" i="9" s="1"/>
  <c r="CD578" i="9"/>
  <c r="CE578" i="9" s="1"/>
  <c r="CD594" i="9"/>
  <c r="CE594" i="9" s="1"/>
  <c r="CL719" i="9"/>
  <c r="CM719" i="9" s="1"/>
  <c r="CL725" i="9"/>
  <c r="CM725" i="9" s="1"/>
  <c r="CN728" i="9" a="1"/>
  <c r="CN728" i="9" s="1"/>
  <c r="BR879" i="9"/>
  <c r="BS879" i="9" s="1"/>
  <c r="CL954" i="9"/>
  <c r="CM954" i="9" s="1"/>
  <c r="CL132" i="9"/>
  <c r="CM132" i="9" s="1"/>
  <c r="BF871" i="9"/>
  <c r="BG871" i="9" s="1"/>
  <c r="BH871" i="9" s="1" a="1"/>
  <c r="BH871" i="9" s="1"/>
  <c r="CJ150" i="9" a="1"/>
  <c r="CJ150" i="9" s="1"/>
  <c r="BF143" i="9"/>
  <c r="BG143" i="9" s="1"/>
  <c r="BH143" i="9" s="1" a="1"/>
  <c r="BH143" i="9" s="1"/>
  <c r="BL221" i="9" a="1"/>
  <c r="BL221" i="9" s="1"/>
  <c r="BR322" i="9"/>
  <c r="BS322" i="9" s="1"/>
  <c r="CH405" i="9"/>
  <c r="CI405" i="9" s="1"/>
  <c r="BZ531" i="9"/>
  <c r="CA531" i="9" s="1"/>
  <c r="CB531" i="9" s="1" a="1"/>
  <c r="CB531" i="9" s="1"/>
  <c r="CD513" i="9"/>
  <c r="CE513" i="9" s="1"/>
  <c r="CB543" i="9" a="1"/>
  <c r="CB543" i="9" s="1"/>
  <c r="BN580" i="9"/>
  <c r="BO580" i="9" s="1"/>
  <c r="BN838" i="9"/>
  <c r="BO838" i="9" s="1"/>
  <c r="CH845" i="9"/>
  <c r="CI845" i="9" s="1"/>
  <c r="BZ853" i="9"/>
  <c r="CA853" i="9" s="1"/>
  <c r="CB853" i="9" s="1" a="1"/>
  <c r="CB853" i="9" s="1"/>
  <c r="CL879" i="9"/>
  <c r="CM879" i="9" s="1"/>
  <c r="CH847" i="9"/>
  <c r="CI847" i="9" s="1"/>
  <c r="BR966" i="9"/>
  <c r="BS966" i="9" s="1"/>
  <c r="BF921" i="9"/>
  <c r="BG921" i="9" s="1"/>
  <c r="BH921" i="9" s="1" a="1"/>
  <c r="BH921" i="9" s="1"/>
  <c r="BR877" i="9"/>
  <c r="BS877" i="9" s="1"/>
  <c r="CD983" i="9"/>
  <c r="CE983" i="9" s="1"/>
  <c r="BF1001" i="9"/>
  <c r="BG1001" i="9" s="1"/>
  <c r="BH1001" i="9" s="1" a="1"/>
  <c r="BH1001" i="9" s="1"/>
  <c r="CD1002" i="9"/>
  <c r="CE1002" i="9" s="1"/>
  <c r="BR979" i="9"/>
  <c r="BS979" i="9" s="1"/>
  <c r="CH974" i="9"/>
  <c r="CI974" i="9" s="1"/>
  <c r="CH387" i="9"/>
  <c r="CI387" i="9" s="1"/>
  <c r="CH580" i="9"/>
  <c r="CI580" i="9" s="1"/>
  <c r="CH117" i="9"/>
  <c r="CI117" i="9" s="1"/>
  <c r="BL133" i="9" a="1"/>
  <c r="BL133" i="9" s="1"/>
  <c r="BR220" i="9"/>
  <c r="BS220" i="9" s="1"/>
  <c r="BZ208" i="9"/>
  <c r="CA208" i="9" s="1"/>
  <c r="BH221" i="9" a="1"/>
  <c r="BH221" i="9" s="1"/>
  <c r="CH281" i="9"/>
  <c r="CI281" i="9" s="1"/>
  <c r="CJ281" i="9" s="1" a="1"/>
  <c r="CJ281" i="9" s="1"/>
  <c r="CH297" i="9"/>
  <c r="CI297" i="9" s="1"/>
  <c r="BN282" i="9"/>
  <c r="BO282" i="9" s="1"/>
  <c r="BJ311" i="9"/>
  <c r="BK311" i="9" s="1"/>
  <c r="BJ309" i="9"/>
  <c r="BK309" i="9" s="1"/>
  <c r="BN410" i="9"/>
  <c r="BO410" i="9" s="1"/>
  <c r="CH367" i="9"/>
  <c r="CI367" i="9" s="1"/>
  <c r="BL424" i="9" a="1"/>
  <c r="BL424" i="9" s="1"/>
  <c r="CH533" i="9"/>
  <c r="CI533" i="9" s="1"/>
  <c r="BN558" i="9"/>
  <c r="BO558" i="9" s="1"/>
  <c r="BJ531" i="9"/>
  <c r="BK531" i="9" s="1"/>
  <c r="CM667" i="9"/>
  <c r="BF601" i="9"/>
  <c r="BG601" i="9" s="1"/>
  <c r="BH601" i="9" s="1" a="1"/>
  <c r="BH601" i="9" s="1"/>
  <c r="BZ667" i="9"/>
  <c r="CA667" i="9" s="1"/>
  <c r="CL673" i="9"/>
  <c r="CM673" i="9" s="1"/>
  <c r="BJ725" i="9"/>
  <c r="BK725" i="9" s="1"/>
  <c r="BH641" i="9" a="1"/>
  <c r="BH641" i="9" s="1"/>
  <c r="BN803" i="9"/>
  <c r="BO803" i="9" s="1"/>
  <c r="BJ830" i="9"/>
  <c r="BK830" i="9" s="1"/>
  <c r="CD885" i="9"/>
  <c r="CE885" i="9" s="1"/>
  <c r="CL861" i="9"/>
  <c r="CM861" i="9" s="1"/>
  <c r="BG879" i="9"/>
  <c r="BH879" i="9" s="1" a="1"/>
  <c r="BH879" i="9" s="1"/>
  <c r="BF879" i="9"/>
  <c r="BZ1020" i="9"/>
  <c r="CA1020" i="9" s="1"/>
  <c r="CB1020" i="9" s="1" a="1"/>
  <c r="CB1020" i="9" s="1"/>
  <c r="CL173" i="9"/>
  <c r="CM173" i="9" s="1"/>
  <c r="CO173" i="9" s="1" a="1"/>
  <c r="CO173" i="9" s="1"/>
  <c r="BZ233" i="9"/>
  <c r="CA233" i="9" s="1"/>
  <c r="CD343" i="9"/>
  <c r="CE343" i="9" s="1"/>
  <c r="CJ343" i="9" s="1" a="1"/>
  <c r="CJ343" i="9" s="1"/>
  <c r="CD994" i="9"/>
  <c r="CE994" i="9" s="1"/>
  <c r="BR141" i="9"/>
  <c r="BS141" i="9" s="1"/>
  <c r="BU141" i="9" s="1" a="1"/>
  <c r="BU141" i="9" s="1"/>
  <c r="BF370" i="9"/>
  <c r="BG370" i="9" s="1"/>
  <c r="BH370" i="9" s="1" a="1"/>
  <c r="BH370" i="9" s="1"/>
  <c r="BF366" i="9"/>
  <c r="BG366" i="9" s="1"/>
  <c r="BH366" i="9" s="1" a="1"/>
  <c r="BH366" i="9" s="1"/>
  <c r="CD432" i="9"/>
  <c r="CE432" i="9" s="1"/>
  <c r="CH478" i="9"/>
  <c r="CI478" i="9" s="1"/>
  <c r="BJ206" i="9"/>
  <c r="BK206" i="9" s="1"/>
  <c r="CL215" i="9"/>
  <c r="CM215" i="9" s="1"/>
  <c r="CH378" i="9"/>
  <c r="CI378" i="9" s="1"/>
  <c r="BF442" i="9"/>
  <c r="BG442" i="9" s="1"/>
  <c r="BH442" i="9" s="1" a="1"/>
  <c r="BH442" i="9" s="1"/>
  <c r="CL193" i="9"/>
  <c r="CM193" i="9" s="1"/>
  <c r="CH298" i="9"/>
  <c r="CI298" i="9" s="1"/>
  <c r="CL370" i="9"/>
  <c r="CM370" i="9" s="1"/>
  <c r="CL558" i="9"/>
  <c r="CM558" i="9" s="1"/>
  <c r="BN514" i="9"/>
  <c r="BO514" i="9" s="1"/>
  <c r="CH684" i="9"/>
  <c r="CI684" i="9" s="1"/>
  <c r="BR686" i="9"/>
  <c r="BS686" i="9" s="1"/>
  <c r="BP559" i="9" a="1"/>
  <c r="BP559" i="9" s="1"/>
  <c r="CH895" i="9"/>
  <c r="CI895" i="9" s="1"/>
  <c r="CD847" i="9"/>
  <c r="CE847" i="9" s="1"/>
  <c r="BJ797" i="9"/>
  <c r="BK797" i="9" s="1"/>
  <c r="BJ183" i="9"/>
  <c r="BK183" i="9" s="1"/>
  <c r="BR231" i="9"/>
  <c r="BS231" i="9" s="1"/>
  <c r="BZ259" i="9"/>
  <c r="CA259" i="9" s="1"/>
  <c r="BJ271" i="9"/>
  <c r="BK271" i="9" s="1"/>
  <c r="BR277" i="9"/>
  <c r="BS277" i="9" s="1"/>
  <c r="BN351" i="9"/>
  <c r="BO351" i="9" s="1"/>
  <c r="BF338" i="9"/>
  <c r="BG338" i="9" s="1"/>
  <c r="BU398" i="9" a="1"/>
  <c r="BU398" i="9" s="1"/>
  <c r="CL402" i="9"/>
  <c r="CM402" i="9" s="1"/>
  <c r="BH389" i="9" a="1"/>
  <c r="BH389" i="9" s="1"/>
  <c r="BF422" i="9"/>
  <c r="BG422" i="9" s="1"/>
  <c r="BH422" i="9" s="1" a="1"/>
  <c r="BH422" i="9" s="1"/>
  <c r="CD520" i="9"/>
  <c r="CE520" i="9" s="1"/>
  <c r="CH544" i="9"/>
  <c r="CI544" i="9" s="1"/>
  <c r="BR558" i="9"/>
  <c r="BS558" i="9" s="1"/>
  <c r="BL559" i="9" a="1"/>
  <c r="BL559" i="9" s="1"/>
  <c r="CH594" i="9"/>
  <c r="CI594" i="9" s="1"/>
  <c r="CD660" i="9"/>
  <c r="CE660" i="9" s="1"/>
  <c r="BN617" i="9"/>
  <c r="BO617" i="9" s="1"/>
  <c r="CE667" i="9"/>
  <c r="BN725" i="9"/>
  <c r="BO725" i="9" s="1"/>
  <c r="BP725" i="9" s="1" a="1"/>
  <c r="BP725" i="9" s="1"/>
  <c r="BN744" i="9"/>
  <c r="BO744" i="9" s="1"/>
  <c r="CE879" i="9"/>
  <c r="CD914" i="9"/>
  <c r="CE914" i="9" s="1"/>
  <c r="BJ956" i="9"/>
  <c r="BK956" i="9" s="1"/>
  <c r="CH233" i="9"/>
  <c r="CI233" i="9" s="1"/>
  <c r="CD1017" i="9"/>
  <c r="CE1017" i="9" s="1"/>
  <c r="BJ929" i="9"/>
  <c r="BK929" i="9" s="1"/>
  <c r="BN921" i="9"/>
  <c r="BO921" i="9" s="1"/>
  <c r="CH943" i="9"/>
  <c r="CI943" i="9" s="1"/>
  <c r="BR895" i="9"/>
  <c r="BS895" i="9" s="1"/>
  <c r="BU895" i="9" s="1" a="1"/>
  <c r="BU895" i="9" s="1"/>
  <c r="CL1018" i="9"/>
  <c r="CM1018" i="9" s="1"/>
  <c r="CD1018" i="9"/>
  <c r="CE1018" i="9" s="1"/>
  <c r="BF1018" i="9"/>
  <c r="BG1018" i="9" s="1"/>
  <c r="BH1018" i="9" s="1" a="1"/>
  <c r="BH1018" i="9" s="1"/>
  <c r="BJ1018" i="9"/>
  <c r="BK1018" i="9" s="1"/>
  <c r="BR120" i="9"/>
  <c r="BS120" i="9" s="1"/>
  <c r="CL112" i="9"/>
  <c r="CM112" i="9" s="1"/>
  <c r="CH111" i="9"/>
  <c r="CI111" i="9" s="1"/>
  <c r="BN126" i="9"/>
  <c r="BO126" i="9" s="1"/>
  <c r="CH131" i="9"/>
  <c r="CI131" i="9" s="1"/>
  <c r="CJ131" i="9" s="1" a="1"/>
  <c r="CJ131" i="9" s="1"/>
  <c r="BZ133" i="9"/>
  <c r="CA133" i="9" s="1"/>
  <c r="CB133" i="9" s="1" a="1"/>
  <c r="CB133" i="9" s="1"/>
  <c r="CJ158" i="9" a="1"/>
  <c r="CJ158" i="9" s="1"/>
  <c r="BN166" i="9"/>
  <c r="BO166" i="9" s="1"/>
  <c r="BZ221" i="9"/>
  <c r="CA221" i="9" s="1"/>
  <c r="CB221" i="9" s="1" a="1"/>
  <c r="CB221" i="9" s="1"/>
  <c r="CD208" i="9"/>
  <c r="CE208" i="9" s="1"/>
  <c r="CD219" i="9"/>
  <c r="CE219" i="9" s="1"/>
  <c r="CL234" i="9"/>
  <c r="CM234" i="9" s="1"/>
  <c r="CF281" i="9" a="1"/>
  <c r="CF281" i="9" s="1"/>
  <c r="CL317" i="9"/>
  <c r="CM317" i="9" s="1"/>
  <c r="BJ298" i="9"/>
  <c r="BK298" i="9" s="1"/>
  <c r="CL298" i="9"/>
  <c r="CM298" i="9" s="1"/>
  <c r="BR283" i="9"/>
  <c r="BS283" i="9" s="1"/>
  <c r="CB338" i="9" a="1"/>
  <c r="CB338" i="9" s="1"/>
  <c r="CO343" i="9" a="1"/>
  <c r="CO343" i="9" s="1"/>
  <c r="CD905" i="9"/>
  <c r="CE905" i="9" s="1"/>
  <c r="CH994" i="9"/>
  <c r="CI994" i="9" s="1"/>
  <c r="BN238" i="9"/>
  <c r="BO238" i="9" s="1"/>
  <c r="BJ341" i="9"/>
  <c r="BK341" i="9" s="1"/>
  <c r="BZ341" i="9"/>
  <c r="CA341" i="9" s="1"/>
  <c r="CB341" i="9" s="1" a="1"/>
  <c r="CB341" i="9" s="1"/>
  <c r="BF657" i="9"/>
  <c r="BG657" i="9" s="1"/>
  <c r="BH657" i="9" s="1" a="1"/>
  <c r="BH657" i="9" s="1"/>
  <c r="BJ657" i="9"/>
  <c r="BK657" i="9" s="1"/>
  <c r="AZ358" i="9"/>
  <c r="CH687" i="9"/>
  <c r="CI687" i="9" s="1"/>
  <c r="BZ687" i="9"/>
  <c r="CA687" i="9" s="1"/>
  <c r="CB687" i="9" s="1" a="1"/>
  <c r="CB687" i="9" s="1"/>
  <c r="BZ123" i="9"/>
  <c r="CA123" i="9" s="1"/>
  <c r="CB123" i="9" s="1" a="1"/>
  <c r="CB123" i="9" s="1"/>
  <c r="BR124" i="9"/>
  <c r="BS124" i="9" s="1"/>
  <c r="BF181" i="9"/>
  <c r="BG181" i="9" s="1"/>
  <c r="BH181" i="9" s="1" a="1"/>
  <c r="BH181" i="9" s="1"/>
  <c r="CD201" i="9"/>
  <c r="CE201" i="9" s="1"/>
  <c r="CB208" i="9" a="1"/>
  <c r="CB208" i="9" s="1"/>
  <c r="BJ238" i="9"/>
  <c r="BK238" i="9" s="1"/>
  <c r="CH276" i="9"/>
  <c r="CI276" i="9" s="1"/>
  <c r="BN334" i="9"/>
  <c r="BO334" i="9" s="1"/>
  <c r="CD339" i="9"/>
  <c r="CE339" i="9" s="1"/>
  <c r="BN413" i="9"/>
  <c r="BO413" i="9" s="1"/>
  <c r="BF413" i="9"/>
  <c r="BG413" i="9" s="1"/>
  <c r="BH413" i="9" s="1" a="1"/>
  <c r="BH413" i="9" s="1"/>
  <c r="BN470" i="9"/>
  <c r="BO470" i="9" s="1"/>
  <c r="CD544" i="9"/>
  <c r="CE544" i="9" s="1"/>
  <c r="BR975" i="9"/>
  <c r="BS975" i="9" s="1"/>
  <c r="BZ1001" i="9"/>
  <c r="CA1001" i="9" s="1"/>
  <c r="CB1001" i="9" s="1" a="1"/>
  <c r="CB1001" i="9" s="1"/>
  <c r="CL1001" i="9"/>
  <c r="CM1001" i="9" s="1"/>
  <c r="AZ975" i="9"/>
  <c r="BF975" i="9" s="1"/>
  <c r="BG975" i="9" s="1"/>
  <c r="BH975" i="9" s="1" a="1"/>
  <c r="BH975" i="9" s="1"/>
  <c r="CD839" i="9"/>
  <c r="CE839" i="9" s="1"/>
  <c r="BZ839" i="9"/>
  <c r="CA839" i="9" s="1"/>
  <c r="CB839" i="9" s="1" a="1"/>
  <c r="CB839" i="9" s="1"/>
  <c r="CH975" i="9"/>
  <c r="CI975" i="9" s="1"/>
  <c r="CH985" i="9"/>
  <c r="CI985" i="9" s="1"/>
  <c r="BZ985" i="9"/>
  <c r="CA985" i="9" s="1"/>
  <c r="CB985" i="9" s="1" a="1"/>
  <c r="CB985" i="9" s="1"/>
  <c r="CL985" i="9"/>
  <c r="CM985" i="9" s="1"/>
  <c r="CD985" i="9"/>
  <c r="CE985" i="9" s="1"/>
  <c r="BF985" i="9"/>
  <c r="BG985" i="9" s="1"/>
  <c r="BH985" i="9" s="1" a="1"/>
  <c r="BH985" i="9" s="1"/>
  <c r="BJ985" i="9"/>
  <c r="BK985" i="9" s="1"/>
  <c r="BL985" i="9" s="1" a="1"/>
  <c r="BL985" i="9" s="1"/>
  <c r="BN985" i="9"/>
  <c r="BO985" i="9" s="1"/>
  <c r="BJ120" i="9"/>
  <c r="BK120" i="9" s="1"/>
  <c r="BN120" i="9"/>
  <c r="BO120" i="9" s="1"/>
  <c r="CH77" i="9"/>
  <c r="CI77" i="9" s="1"/>
  <c r="BL132" i="9" a="1"/>
  <c r="BL132" i="9" s="1"/>
  <c r="BZ166" i="9"/>
  <c r="CA166" i="9" s="1"/>
  <c r="CB166" i="9" s="1" a="1"/>
  <c r="CB166" i="9" s="1"/>
  <c r="BP174" i="9" a="1"/>
  <c r="BP174" i="9" s="1"/>
  <c r="CD183" i="9"/>
  <c r="CE183" i="9" s="1"/>
  <c r="CD209" i="9"/>
  <c r="CE209" i="9" s="1"/>
  <c r="CH221" i="9"/>
  <c r="CI221" i="9" s="1"/>
  <c r="CD262" i="9"/>
  <c r="CE262" i="9" s="1"/>
  <c r="CD277" i="9"/>
  <c r="CE277" i="9" s="1"/>
  <c r="BN281" i="9"/>
  <c r="BO281" i="9" s="1"/>
  <c r="BJ320" i="9"/>
  <c r="BK320" i="9" s="1"/>
  <c r="CL341" i="9"/>
  <c r="CM341" i="9" s="1"/>
  <c r="CF338" i="9" a="1"/>
  <c r="CF338" i="9" s="1"/>
  <c r="BZ438" i="9"/>
  <c r="CA438" i="9" s="1"/>
  <c r="CB438" i="9" s="1" a="1"/>
  <c r="CB438" i="9" s="1"/>
  <c r="CD438" i="9"/>
  <c r="CE438" i="9" s="1"/>
  <c r="CL657" i="9"/>
  <c r="CM657" i="9" s="1"/>
  <c r="CH593" i="9"/>
  <c r="CI593" i="9" s="1"/>
  <c r="BF593" i="9"/>
  <c r="BG593" i="9" s="1"/>
  <c r="BH593" i="9" s="1" a="1"/>
  <c r="BH593" i="9" s="1"/>
  <c r="BZ593" i="9"/>
  <c r="CA593" i="9" s="1"/>
  <c r="CB593" i="9" s="1" a="1"/>
  <c r="CB593" i="9" s="1"/>
  <c r="BR593" i="9"/>
  <c r="BS593" i="9" s="1"/>
  <c r="BJ593" i="9"/>
  <c r="BK593" i="9" s="1"/>
  <c r="CL593" i="9"/>
  <c r="CM593" i="9" s="1"/>
  <c r="CD593" i="9"/>
  <c r="CE593" i="9" s="1"/>
  <c r="BF912" i="9"/>
  <c r="BG912" i="9" s="1"/>
  <c r="BL979" i="9" a="1"/>
  <c r="BL979" i="9" s="1"/>
  <c r="CD718" i="9"/>
  <c r="CE718" i="9" s="1"/>
  <c r="BN718" i="9"/>
  <c r="BO718" i="9" s="1"/>
  <c r="BF718" i="9"/>
  <c r="BG718" i="9" s="1"/>
  <c r="BH718" i="9" s="1" a="1"/>
  <c r="BH718" i="9" s="1"/>
  <c r="BZ718" i="9"/>
  <c r="CA718" i="9" s="1"/>
  <c r="CB718" i="9" s="1" a="1"/>
  <c r="CB718" i="9" s="1"/>
  <c r="CL718" i="9"/>
  <c r="CM718" i="9" s="1"/>
  <c r="BR718" i="9"/>
  <c r="BS718" i="9" s="1"/>
  <c r="CH976" i="9"/>
  <c r="CI976" i="9" s="1"/>
  <c r="CH98" i="9"/>
  <c r="CI98" i="9" s="1"/>
  <c r="CD157" i="9"/>
  <c r="CE157" i="9" s="1"/>
  <c r="CD184" i="9"/>
  <c r="CE184" i="9" s="1"/>
  <c r="CL209" i="9"/>
  <c r="CM209" i="9" s="1"/>
  <c r="CD315" i="9"/>
  <c r="CE315" i="9" s="1"/>
  <c r="CH323" i="9"/>
  <c r="CI323" i="9" s="1"/>
  <c r="BF308" i="9"/>
  <c r="BG308" i="9" s="1"/>
  <c r="BH308" i="9" s="1" a="1"/>
  <c r="BH308" i="9" s="1"/>
  <c r="BZ308" i="9"/>
  <c r="CA308" i="9" s="1"/>
  <c r="CB308" i="9" s="1" a="1"/>
  <c r="CB308" i="9" s="1"/>
  <c r="CJ544" i="9" a="1"/>
  <c r="CJ544" i="9" s="1"/>
  <c r="CD787" i="9"/>
  <c r="CE787" i="9" s="1"/>
  <c r="CL797" i="9"/>
  <c r="CM797" i="9" s="1"/>
  <c r="BZ797" i="9"/>
  <c r="CA797" i="9" s="1"/>
  <c r="CB797" i="9" s="1" a="1"/>
  <c r="CB797" i="9" s="1"/>
  <c r="BJ588" i="9"/>
  <c r="BK588" i="9" s="1"/>
  <c r="BF588" i="9"/>
  <c r="BG588" i="9" s="1"/>
  <c r="BH588" i="9" s="1" a="1"/>
  <c r="BH588" i="9" s="1"/>
  <c r="AZ646" i="9"/>
  <c r="CH811" i="9"/>
  <c r="CI811" i="9" s="1"/>
  <c r="BN278" i="9"/>
  <c r="BO278" i="9" s="1"/>
  <c r="CL278" i="9"/>
  <c r="CM278" i="9" s="1"/>
  <c r="BZ454" i="9"/>
  <c r="CA454" i="9" s="1"/>
  <c r="CB454" i="9" s="1" a="1"/>
  <c r="CB454" i="9" s="1"/>
  <c r="CH454" i="9"/>
  <c r="CI454" i="9" s="1"/>
  <c r="CD454" i="9"/>
  <c r="CE454" i="9" s="1"/>
  <c r="AZ620" i="9"/>
  <c r="AZ855" i="9"/>
  <c r="CH118" i="9"/>
  <c r="CI118" i="9" s="1"/>
  <c r="BJ230" i="9"/>
  <c r="BK230" i="9" s="1"/>
  <c r="BF249" i="9"/>
  <c r="BG249" i="9" s="1"/>
  <c r="BH249" i="9" s="1" a="1"/>
  <c r="BH249" i="9" s="1"/>
  <c r="CD244" i="9"/>
  <c r="CE244" i="9" s="1"/>
  <c r="BN536" i="9"/>
  <c r="BO536" i="9" s="1"/>
  <c r="CH536" i="9"/>
  <c r="CI536" i="9" s="1"/>
  <c r="CD657" i="9"/>
  <c r="CE657" i="9" s="1"/>
  <c r="BF286" i="9"/>
  <c r="BG286" i="9" s="1"/>
  <c r="BH286" i="9" s="1" a="1"/>
  <c r="BH286" i="9" s="1"/>
  <c r="BN366" i="9"/>
  <c r="BO366" i="9" s="1"/>
  <c r="CH474" i="9"/>
  <c r="CI474" i="9" s="1"/>
  <c r="BN474" i="9"/>
  <c r="BO474" i="9" s="1"/>
  <c r="BR474" i="9"/>
  <c r="BS474" i="9" s="1"/>
  <c r="BU474" i="9" s="1" a="1"/>
  <c r="BU474" i="9" s="1"/>
  <c r="BJ474" i="9"/>
  <c r="BK474" i="9" s="1"/>
  <c r="BL474" i="9" s="1" a="1"/>
  <c r="BL474" i="9" s="1"/>
  <c r="CD474" i="9"/>
  <c r="CE474" i="9" s="1"/>
  <c r="CL474" i="9"/>
  <c r="CM474" i="9" s="1"/>
  <c r="CO474" i="9" s="1" a="1"/>
  <c r="CO474" i="9" s="1"/>
  <c r="BZ474" i="9"/>
  <c r="CA474" i="9" s="1"/>
  <c r="CB474" i="9" s="1" a="1"/>
  <c r="CB474" i="9" s="1"/>
  <c r="BJ360" i="9"/>
  <c r="BK360" i="9" s="1"/>
  <c r="BR360" i="9"/>
  <c r="BS360" i="9" s="1"/>
  <c r="BF360" i="9"/>
  <c r="BG360" i="9" s="1"/>
  <c r="BH360" i="9" s="1" a="1"/>
  <c r="BH360" i="9" s="1"/>
  <c r="BN360" i="9"/>
  <c r="BO360" i="9" s="1"/>
  <c r="BJ432" i="9"/>
  <c r="BK432" i="9" s="1"/>
  <c r="CL432" i="9"/>
  <c r="CM432" i="9" s="1"/>
  <c r="BN432" i="9"/>
  <c r="BO432" i="9" s="1"/>
  <c r="BZ432" i="9"/>
  <c r="CA432" i="9" s="1"/>
  <c r="BF432" i="9"/>
  <c r="BG432" i="9" s="1"/>
  <c r="BH432" i="9" s="1" a="1"/>
  <c r="BH432" i="9" s="1"/>
  <c r="BZ410" i="9"/>
  <c r="CA410" i="9" s="1"/>
  <c r="CB410" i="9" s="1" a="1"/>
  <c r="CB410" i="9" s="1"/>
  <c r="CD410" i="9"/>
  <c r="CE410" i="9" s="1"/>
  <c r="CF410" i="9" s="1" a="1"/>
  <c r="CF410" i="9" s="1"/>
  <c r="CH410" i="9"/>
  <c r="CI410" i="9" s="1"/>
  <c r="CJ410" i="9" s="1" a="1"/>
  <c r="CJ410" i="9" s="1"/>
  <c r="CH447" i="9"/>
  <c r="CI447" i="9" s="1"/>
  <c r="BJ466" i="9"/>
  <c r="BK466" i="9" s="1"/>
  <c r="BJ646" i="9"/>
  <c r="BK646" i="9" s="1"/>
  <c r="BL646" i="9" s="1" a="1"/>
  <c r="BL646" i="9" s="1"/>
  <c r="CD646" i="9"/>
  <c r="CE646" i="9" s="1"/>
  <c r="BR646" i="9"/>
  <c r="BS646" i="9" s="1"/>
  <c r="BZ646" i="9"/>
  <c r="CA646" i="9" s="1"/>
  <c r="BF646" i="9"/>
  <c r="BG646" i="9" s="1"/>
  <c r="BH646" i="9" s="1" a="1"/>
  <c r="BH646" i="9" s="1"/>
  <c r="CL646" i="9"/>
  <c r="CM646" i="9" s="1"/>
  <c r="CO646" i="9" s="1" a="1"/>
  <c r="CO646" i="9" s="1"/>
  <c r="CD659" i="9"/>
  <c r="CE659" i="9" s="1"/>
  <c r="BZ659" i="9"/>
  <c r="CA659" i="9" s="1"/>
  <c r="CL659" i="9"/>
  <c r="CM659" i="9" s="1"/>
  <c r="CN659" i="9" s="1" a="1"/>
  <c r="CN659" i="9" s="1"/>
  <c r="AZ585" i="9"/>
  <c r="BF596" i="9"/>
  <c r="BG596" i="9" s="1"/>
  <c r="BH596" i="9" s="1" a="1"/>
  <c r="BH596" i="9" s="1"/>
  <c r="BJ596" i="9"/>
  <c r="BK596" i="9" s="1"/>
  <c r="BJ654" i="9"/>
  <c r="BK654" i="9" s="1"/>
  <c r="BR654" i="9"/>
  <c r="BS654" i="9" s="1"/>
  <c r="BF654" i="9"/>
  <c r="BG654" i="9" s="1"/>
  <c r="BH654" i="9" s="1" a="1"/>
  <c r="BH654" i="9" s="1"/>
  <c r="BJ149" i="9"/>
  <c r="BK149" i="9" s="1"/>
  <c r="BJ148" i="9"/>
  <c r="BK148" i="9" s="1"/>
  <c r="BR178" i="9"/>
  <c r="BS178" i="9" s="1"/>
  <c r="CH196" i="9"/>
  <c r="CI196" i="9" s="1"/>
  <c r="CH244" i="9"/>
  <c r="CI244" i="9" s="1"/>
  <c r="BF219" i="9"/>
  <c r="BG219" i="9" s="1"/>
  <c r="BT241" i="9" a="1"/>
  <c r="BT241" i="9" s="1"/>
  <c r="CH287" i="9"/>
  <c r="CI287" i="9" s="1"/>
  <c r="CJ287" i="9" s="1" a="1"/>
  <c r="CJ287" i="9" s="1"/>
  <c r="BN315" i="9"/>
  <c r="BO315" i="9" s="1"/>
  <c r="BN306" i="9"/>
  <c r="BO306" i="9" s="1"/>
  <c r="BP306" i="9" s="1" a="1"/>
  <c r="BP306" i="9" s="1"/>
  <c r="BJ286" i="9"/>
  <c r="BK286" i="9" s="1"/>
  <c r="CD286" i="9"/>
  <c r="CE286" i="9" s="1"/>
  <c r="BL316" i="9" a="1"/>
  <c r="BL316" i="9" s="1"/>
  <c r="CN462" i="9" a="1"/>
  <c r="CN462" i="9" s="1"/>
  <c r="CO662" i="9" a="1"/>
  <c r="CO662" i="9" s="1"/>
  <c r="BJ156" i="9"/>
  <c r="BK156" i="9" s="1"/>
  <c r="BL156" i="9" s="1" a="1"/>
  <c r="BL156" i="9" s="1"/>
  <c r="CB117" i="9" a="1"/>
  <c r="CB117" i="9" s="1"/>
  <c r="CL98" i="9"/>
  <c r="CM98" i="9" s="1"/>
  <c r="CO98" i="9" s="1" a="1"/>
  <c r="CO98" i="9" s="1"/>
  <c r="BR53" i="9"/>
  <c r="BS53" i="9" s="1"/>
  <c r="CL192" i="9"/>
  <c r="CM192" i="9" s="1"/>
  <c r="CD221" i="9"/>
  <c r="CE221" i="9" s="1"/>
  <c r="CF241" i="9" a="1"/>
  <c r="CF241" i="9" s="1"/>
  <c r="BJ247" i="9"/>
  <c r="BK247" i="9" s="1"/>
  <c r="BJ281" i="9"/>
  <c r="BK281" i="9" s="1"/>
  <c r="BZ292" i="9"/>
  <c r="CA292" i="9" s="1"/>
  <c r="CB292" i="9" s="1" a="1"/>
  <c r="CB292" i="9" s="1"/>
  <c r="BR292" i="9"/>
  <c r="BS292" i="9" s="1"/>
  <c r="BR315" i="9"/>
  <c r="BS315" i="9" s="1"/>
  <c r="CL325" i="9"/>
  <c r="CM325" i="9" s="1"/>
  <c r="CO654" i="9" a="1"/>
  <c r="CO654" i="9" s="1"/>
  <c r="CN654" i="9" a="1"/>
  <c r="CN654" i="9" s="1"/>
  <c r="BZ1016" i="9"/>
  <c r="CA1016" i="9" s="1"/>
  <c r="CB1016" i="9" s="1" a="1"/>
  <c r="CB1016" i="9" s="1"/>
  <c r="CB314" i="9" a="1"/>
  <c r="CB314" i="9" s="1"/>
  <c r="BJ287" i="9"/>
  <c r="BK287" i="9" s="1"/>
  <c r="CH317" i="9"/>
  <c r="CI317" i="9" s="1"/>
  <c r="BP316" i="9" a="1"/>
  <c r="BP316" i="9" s="1"/>
  <c r="BN339" i="9"/>
  <c r="BO339" i="9" s="1"/>
  <c r="CD362" i="9"/>
  <c r="CE362" i="9" s="1"/>
  <c r="CD387" i="9"/>
  <c r="CE387" i="9" s="1"/>
  <c r="BJ367" i="9"/>
  <c r="BK367" i="9" s="1"/>
  <c r="BP367" i="9" s="1" a="1"/>
  <c r="BP367" i="9" s="1"/>
  <c r="BR387" i="9"/>
  <c r="BS387" i="9" s="1"/>
  <c r="CH417" i="9"/>
  <c r="CI417" i="9" s="1"/>
  <c r="CD397" i="9"/>
  <c r="CE397" i="9" s="1"/>
  <c r="CD423" i="9"/>
  <c r="CE423" i="9" s="1"/>
  <c r="CN401" i="9" a="1"/>
  <c r="CN401" i="9" s="1"/>
  <c r="CL438" i="9"/>
  <c r="CM438" i="9" s="1"/>
  <c r="CO438" i="9" s="1" a="1"/>
  <c r="CO438" i="9" s="1"/>
  <c r="BF438" i="9"/>
  <c r="BG438" i="9" s="1"/>
  <c r="BH438" i="9" s="1" a="1"/>
  <c r="BH438" i="9" s="1"/>
  <c r="BF447" i="9"/>
  <c r="BG447" i="9" s="1"/>
  <c r="BH447" i="9" s="1" a="1"/>
  <c r="BH447" i="9" s="1"/>
  <c r="BH462" i="9" a="1"/>
  <c r="BH462" i="9" s="1"/>
  <c r="CD441" i="9"/>
  <c r="CE441" i="9" s="1"/>
  <c r="CF509" i="9" a="1"/>
  <c r="CF509" i="9" s="1"/>
  <c r="BJ505" i="9"/>
  <c r="BK505" i="9" s="1"/>
  <c r="BR488" i="9"/>
  <c r="BS488" i="9" s="1"/>
  <c r="BJ562" i="9"/>
  <c r="BK562" i="9" s="1"/>
  <c r="BR562" i="9"/>
  <c r="BS562" i="9" s="1"/>
  <c r="CL564" i="9"/>
  <c r="CM564" i="9" s="1"/>
  <c r="CO564" i="9" s="1" a="1"/>
  <c r="CO564" i="9" s="1"/>
  <c r="BN596" i="9"/>
  <c r="BO596" i="9" s="1"/>
  <c r="CO643" i="9" a="1"/>
  <c r="CO643" i="9" s="1"/>
  <c r="CL665" i="9"/>
  <c r="CM665" i="9" s="1"/>
  <c r="CO665" i="9" s="1" a="1"/>
  <c r="CO665" i="9" s="1"/>
  <c r="CH570" i="9"/>
  <c r="CI570" i="9" s="1"/>
  <c r="BR665" i="9"/>
  <c r="BS665" i="9" s="1"/>
  <c r="BU665" i="9" s="1" a="1"/>
  <c r="BU665" i="9" s="1"/>
  <c r="CL687" i="9"/>
  <c r="CM687" i="9" s="1"/>
  <c r="CL733" i="9"/>
  <c r="CM733" i="9" s="1"/>
  <c r="CH710" i="9"/>
  <c r="CI710" i="9" s="1"/>
  <c r="CH727" i="9"/>
  <c r="CI727" i="9" s="1"/>
  <c r="BR797" i="9"/>
  <c r="BS797" i="9" s="1"/>
  <c r="BJ789" i="9"/>
  <c r="BK789" i="9" s="1"/>
  <c r="BH850" i="9" a="1"/>
  <c r="BH850" i="9" s="1"/>
  <c r="BZ858" i="9"/>
  <c r="CA858" i="9" s="1"/>
  <c r="CB858" i="9" s="1" a="1"/>
  <c r="CB858" i="9" s="1"/>
  <c r="CD877" i="9"/>
  <c r="CE877" i="9" s="1"/>
  <c r="BN808" i="9"/>
  <c r="BO808" i="9" s="1"/>
  <c r="BP808" i="9" s="1" a="1"/>
  <c r="BP808" i="9" s="1"/>
  <c r="BL900" i="9" a="1"/>
  <c r="BL900" i="9" s="1"/>
  <c r="BN877" i="9"/>
  <c r="BO877" i="9" s="1"/>
  <c r="CD937" i="9"/>
  <c r="CE937" i="9" s="1"/>
  <c r="BZ952" i="9"/>
  <c r="CA952" i="9" s="1"/>
  <c r="BF952" i="9"/>
  <c r="BG952" i="9" s="1"/>
  <c r="CD951" i="9"/>
  <c r="CE951" i="9" s="1"/>
  <c r="CJ951" i="9" s="1" a="1"/>
  <c r="CJ951" i="9" s="1"/>
  <c r="BF1015" i="9"/>
  <c r="BG1015" i="9" s="1"/>
  <c r="BH1015" i="9" s="1" a="1"/>
  <c r="BH1015" i="9" s="1"/>
  <c r="BF994" i="9"/>
  <c r="BG994" i="9" s="1"/>
  <c r="BH994" i="9" s="1" a="1"/>
  <c r="BH994" i="9" s="1"/>
  <c r="BN654" i="9"/>
  <c r="BO654" i="9" s="1"/>
  <c r="BN396" i="9"/>
  <c r="BO396" i="9" s="1"/>
  <c r="BR471" i="9"/>
  <c r="BS471" i="9" s="1"/>
  <c r="BN442" i="9"/>
  <c r="BO442" i="9" s="1"/>
  <c r="BN455" i="9"/>
  <c r="BO455" i="9" s="1"/>
  <c r="CH485" i="9"/>
  <c r="CI485" i="9" s="1"/>
  <c r="CJ485" i="9" s="1" a="1"/>
  <c r="CJ485" i="9" s="1"/>
  <c r="BL462" i="9" a="1"/>
  <c r="BL462" i="9" s="1"/>
  <c r="BZ517" i="9"/>
  <c r="CA517" i="9" s="1"/>
  <c r="CB517" i="9" s="1" a="1"/>
  <c r="CB517" i="9" s="1"/>
  <c r="BR569" i="9"/>
  <c r="BS569" i="9" s="1"/>
  <c r="BN572" i="9"/>
  <c r="BO572" i="9" s="1"/>
  <c r="BL638" i="9" a="1"/>
  <c r="BL638" i="9" s="1"/>
  <c r="BZ677" i="9"/>
  <c r="CA677" i="9" s="1"/>
  <c r="CB677" i="9" s="1" a="1"/>
  <c r="CB677" i="9" s="1"/>
  <c r="CB635" i="9" a="1"/>
  <c r="CB635" i="9" s="1"/>
  <c r="CL808" i="9"/>
  <c r="CM808" i="9" s="1"/>
  <c r="CO808" i="9" s="1" a="1"/>
  <c r="CO808" i="9" s="1"/>
  <c r="CH820" i="9"/>
  <c r="CI820" i="9" s="1"/>
  <c r="BP741" i="9" a="1"/>
  <c r="BP741" i="9" s="1"/>
  <c r="CL912" i="9"/>
  <c r="CM912" i="9" s="1"/>
  <c r="CH954" i="9"/>
  <c r="CI954" i="9" s="1"/>
  <c r="BF936" i="9"/>
  <c r="BG936" i="9" s="1"/>
  <c r="BH936" i="9" s="1" a="1"/>
  <c r="BH936" i="9" s="1"/>
  <c r="BF905" i="9"/>
  <c r="BG905" i="9" s="1"/>
  <c r="BH905" i="9" s="1" a="1"/>
  <c r="BH905" i="9" s="1"/>
  <c r="CH988" i="9"/>
  <c r="CI988" i="9" s="1"/>
  <c r="BN984" i="9"/>
  <c r="BO984" i="9" s="1"/>
  <c r="BJ1016" i="9"/>
  <c r="BK1016" i="9" s="1"/>
  <c r="CH999" i="9"/>
  <c r="CI999" i="9" s="1"/>
  <c r="CD943" i="9"/>
  <c r="CE943" i="9" s="1"/>
  <c r="CJ943" i="9" s="1" a="1"/>
  <c r="CJ943" i="9" s="1"/>
  <c r="BR996" i="9"/>
  <c r="BS996" i="9" s="1"/>
  <c r="BL1017" i="9" a="1"/>
  <c r="BL1017" i="9" s="1"/>
  <c r="BJ980" i="9"/>
  <c r="BK980" i="9" s="1"/>
  <c r="BR232" i="9"/>
  <c r="BS232" i="9" s="1"/>
  <c r="BT232" i="9" s="1" a="1"/>
  <c r="BT232" i="9" s="1"/>
  <c r="CH432" i="9"/>
  <c r="CI432" i="9" s="1"/>
  <c r="CJ432" i="9" s="1" a="1"/>
  <c r="CJ432" i="9" s="1"/>
  <c r="BZ315" i="9"/>
  <c r="CA315" i="9" s="1"/>
  <c r="CB315" i="9" s="1" a="1"/>
  <c r="CB315" i="9" s="1"/>
  <c r="BH314" i="9" a="1"/>
  <c r="BH314" i="9" s="1"/>
  <c r="BJ353" i="9"/>
  <c r="BK353" i="9" s="1"/>
  <c r="CL319" i="9"/>
  <c r="CM319" i="9" s="1"/>
  <c r="BF343" i="9"/>
  <c r="BG343" i="9" s="1"/>
  <c r="BH343" i="9" s="1" a="1"/>
  <c r="BH343" i="9" s="1"/>
  <c r="CD367" i="9"/>
  <c r="CE367" i="9" s="1"/>
  <c r="CD381" i="9"/>
  <c r="CE381" i="9" s="1"/>
  <c r="CL411" i="9"/>
  <c r="CM411" i="9" s="1"/>
  <c r="CH471" i="9"/>
  <c r="CI471" i="9" s="1"/>
  <c r="CH442" i="9"/>
  <c r="CI442" i="9" s="1"/>
  <c r="BJ455" i="9"/>
  <c r="BK455" i="9" s="1"/>
  <c r="BZ490" i="9"/>
  <c r="CA490" i="9" s="1"/>
  <c r="CB490" i="9" s="1" a="1"/>
  <c r="CB490" i="9" s="1"/>
  <c r="CL469" i="9"/>
  <c r="CM469" i="9" s="1"/>
  <c r="BR501" i="9"/>
  <c r="BS501" i="9" s="1"/>
  <c r="CD536" i="9"/>
  <c r="CE536" i="9" s="1"/>
  <c r="BH516" i="9" a="1"/>
  <c r="BH516" i="9" s="1"/>
  <c r="CD564" i="9"/>
  <c r="CE564" i="9" s="1"/>
  <c r="CJ564" i="9" s="1" a="1"/>
  <c r="CJ564" i="9" s="1"/>
  <c r="BF530" i="9"/>
  <c r="BG530" i="9" s="1"/>
  <c r="BH530" i="9" s="1" a="1"/>
  <c r="BH530" i="9" s="1"/>
  <c r="BN733" i="9"/>
  <c r="BO733" i="9" s="1"/>
  <c r="CD710" i="9"/>
  <c r="CE710" i="9" s="1"/>
  <c r="CN684" i="9" a="1"/>
  <c r="CN684" i="9" s="1"/>
  <c r="CD800" i="9"/>
  <c r="CE800" i="9" s="1"/>
  <c r="CH760" i="9"/>
  <c r="CI760" i="9" s="1"/>
  <c r="CL789" i="9"/>
  <c r="CM789" i="9" s="1"/>
  <c r="BJ896" i="9"/>
  <c r="BK896" i="9" s="1"/>
  <c r="CJ887" i="9" a="1"/>
  <c r="CJ887" i="9" s="1"/>
  <c r="BN970" i="9"/>
  <c r="BO970" i="9" s="1"/>
  <c r="BR890" i="9"/>
  <c r="BS890" i="9" s="1"/>
  <c r="BR914" i="9"/>
  <c r="BS914" i="9" s="1"/>
  <c r="CL921" i="9"/>
  <c r="CM921" i="9" s="1"/>
  <c r="CL903" i="9"/>
  <c r="CM903" i="9" s="1"/>
  <c r="CH959" i="9"/>
  <c r="CI959" i="9" s="1"/>
  <c r="BJ976" i="9"/>
  <c r="BK976" i="9" s="1"/>
  <c r="BP979" i="9" a="1"/>
  <c r="BP979" i="9" s="1"/>
  <c r="BF929" i="9"/>
  <c r="BG929" i="9" s="1"/>
  <c r="BH929" i="9" s="1" a="1"/>
  <c r="BH929" i="9" s="1"/>
  <c r="CH1000" i="9"/>
  <c r="CI1000" i="9" s="1"/>
  <c r="BZ996" i="9"/>
  <c r="CA996" i="9" s="1"/>
  <c r="CB996" i="9" s="1" a="1"/>
  <c r="CB996" i="9" s="1"/>
  <c r="BR985" i="9"/>
  <c r="BS985" i="9" s="1"/>
  <c r="BR222" i="9"/>
  <c r="BS222" i="9" s="1"/>
  <c r="BU222" i="9" s="1" a="1"/>
  <c r="BU222" i="9" s="1"/>
  <c r="BR432" i="9"/>
  <c r="BS432" i="9" s="1"/>
  <c r="BZ492" i="9"/>
  <c r="CA492" i="9" s="1"/>
  <c r="BF546" i="9"/>
  <c r="BG546" i="9" s="1"/>
  <c r="BH546" i="9" s="1" a="1"/>
  <c r="BH546" i="9" s="1"/>
  <c r="BZ362" i="9"/>
  <c r="CA362" i="9" s="1"/>
  <c r="CL410" i="9"/>
  <c r="CM410" i="9" s="1"/>
  <c r="CL362" i="9"/>
  <c r="CM362" i="9" s="1"/>
  <c r="CO362" i="9" s="1" a="1"/>
  <c r="CO362" i="9" s="1"/>
  <c r="BR366" i="9"/>
  <c r="BS366" i="9" s="1"/>
  <c r="BR452" i="9"/>
  <c r="BS452" i="9" s="1"/>
  <c r="BR442" i="9"/>
  <c r="BS442" i="9" s="1"/>
  <c r="BU442" i="9" s="1" a="1"/>
  <c r="BU442" i="9" s="1"/>
  <c r="BJ458" i="9"/>
  <c r="BK458" i="9" s="1"/>
  <c r="CL546" i="9"/>
  <c r="CM546" i="9" s="1"/>
  <c r="CB516" i="9" a="1"/>
  <c r="CB516" i="9" s="1"/>
  <c r="BU538" i="9" a="1"/>
  <c r="BU538" i="9" s="1"/>
  <c r="BN530" i="9"/>
  <c r="BO530" i="9" s="1"/>
  <c r="BN535" i="9"/>
  <c r="BO535" i="9" s="1"/>
  <c r="BR620" i="9"/>
  <c r="BS620" i="9" s="1"/>
  <c r="BU620" i="9" s="1" a="1"/>
  <c r="BU620" i="9" s="1"/>
  <c r="BN588" i="9"/>
  <c r="BO588" i="9" s="1"/>
  <c r="BN569" i="9"/>
  <c r="BO569" i="9" s="1"/>
  <c r="BN599" i="9"/>
  <c r="BO599" i="9" s="1"/>
  <c r="BR657" i="9"/>
  <c r="BS657" i="9" s="1"/>
  <c r="CD687" i="9"/>
  <c r="CE687" i="9" s="1"/>
  <c r="CD704" i="9"/>
  <c r="CE704" i="9" s="1"/>
  <c r="BJ733" i="9"/>
  <c r="BK733" i="9" s="1"/>
  <c r="BR694" i="9"/>
  <c r="BS694" i="9" s="1"/>
  <c r="BU694" i="9" s="1" a="1"/>
  <c r="BU694" i="9" s="1"/>
  <c r="CH703" i="9"/>
  <c r="CI703" i="9" s="1"/>
  <c r="BN739" i="9"/>
  <c r="BO739" i="9" s="1"/>
  <c r="BN784" i="9"/>
  <c r="BO784" i="9" s="1"/>
  <c r="CD739" i="9"/>
  <c r="CE739" i="9" s="1"/>
  <c r="CD831" i="9"/>
  <c r="CE831" i="9" s="1"/>
  <c r="BN950" i="9"/>
  <c r="BO950" i="9" s="1"/>
  <c r="BR929" i="9"/>
  <c r="BS929" i="9" s="1"/>
  <c r="CN974" i="9" a="1"/>
  <c r="CN974" i="9" s="1"/>
  <c r="BR903" i="9"/>
  <c r="BS903" i="9" s="1"/>
  <c r="CD976" i="9"/>
  <c r="CE976" i="9" s="1"/>
  <c r="CD1015" i="9"/>
  <c r="CE1015" i="9" s="1"/>
  <c r="BN983" i="9"/>
  <c r="BO983" i="9" s="1"/>
  <c r="CH1001" i="9"/>
  <c r="CI1001" i="9" s="1"/>
  <c r="BH670" i="9" a="1"/>
  <c r="BH670" i="9" s="1"/>
  <c r="CD368" i="9"/>
  <c r="CE368" i="9" s="1"/>
  <c r="BF387" i="9"/>
  <c r="BG387" i="9" s="1"/>
  <c r="CD385" i="9"/>
  <c r="CE385" i="9" s="1"/>
  <c r="CH420" i="9"/>
  <c r="CI420" i="9" s="1"/>
  <c r="CF401" i="9" a="1"/>
  <c r="CF401" i="9" s="1"/>
  <c r="BR463" i="9"/>
  <c r="BS463" i="9" s="1"/>
  <c r="CH433" i="9"/>
  <c r="CI433" i="9" s="1"/>
  <c r="CB538" i="9" a="1"/>
  <c r="CB538" i="9" s="1"/>
  <c r="BF551" i="9"/>
  <c r="BG551" i="9" s="1"/>
  <c r="BH551" i="9" s="1" a="1"/>
  <c r="BH551" i="9" s="1"/>
  <c r="BN527" i="9"/>
  <c r="BO527" i="9" s="1"/>
  <c r="BR588" i="9"/>
  <c r="BS588" i="9" s="1"/>
  <c r="BZ620" i="9"/>
  <c r="CA620" i="9" s="1"/>
  <c r="CB620" i="9" s="1" a="1"/>
  <c r="CB620" i="9" s="1"/>
  <c r="CL569" i="9"/>
  <c r="CM569" i="9" s="1"/>
  <c r="BN647" i="9"/>
  <c r="BO647" i="9" s="1"/>
  <c r="CH657" i="9"/>
  <c r="CI657" i="9" s="1"/>
  <c r="CO670" i="9" a="1"/>
  <c r="CO670" i="9" s="1"/>
  <c r="CH739" i="9"/>
  <c r="CI739" i="9" s="1"/>
  <c r="CJ739" i="9" s="1" a="1"/>
  <c r="CJ739" i="9" s="1"/>
  <c r="BR740" i="9"/>
  <c r="BS740" i="9" s="1"/>
  <c r="BJ711" i="9"/>
  <c r="BK711" i="9" s="1"/>
  <c r="BJ763" i="9"/>
  <c r="BK763" i="9" s="1"/>
  <c r="CL768" i="9"/>
  <c r="CM768" i="9" s="1"/>
  <c r="CL832" i="9"/>
  <c r="CM832" i="9" s="1"/>
  <c r="BN896" i="9"/>
  <c r="BO896" i="9" s="1"/>
  <c r="BP847" i="9" a="1"/>
  <c r="BP847" i="9" s="1"/>
  <c r="CL910" i="9"/>
  <c r="CM910" i="9" s="1"/>
  <c r="CL934" i="9"/>
  <c r="CM934" i="9" s="1"/>
  <c r="CL929" i="9"/>
  <c r="CM929" i="9" s="1"/>
  <c r="BJ921" i="9"/>
  <c r="BK921" i="9" s="1"/>
  <c r="BP921" i="9" s="1" a="1"/>
  <c r="BP921" i="9" s="1"/>
  <c r="CF974" i="9" a="1"/>
  <c r="CF974" i="9" s="1"/>
  <c r="CD988" i="9"/>
  <c r="CE988" i="9" s="1"/>
  <c r="CD996" i="9"/>
  <c r="CE996" i="9" s="1"/>
  <c r="CF996" i="9" s="1" a="1"/>
  <c r="CF996" i="9" s="1"/>
  <c r="CD1004" i="9"/>
  <c r="CE1004" i="9" s="1"/>
  <c r="CJ1004" i="9" s="1" a="1"/>
  <c r="CJ1004" i="9" s="1"/>
  <c r="CD1009" i="9"/>
  <c r="CE1009" i="9" s="1"/>
  <c r="BF996" i="9"/>
  <c r="BG996" i="9" s="1"/>
  <c r="BH996" i="9" s="1" a="1"/>
  <c r="BH996" i="9" s="1"/>
  <c r="CH1010" i="9"/>
  <c r="CI1010" i="9" s="1"/>
  <c r="BR143" i="9"/>
  <c r="BS143" i="9" s="1"/>
  <c r="CD291" i="9"/>
  <c r="CE291" i="9" s="1"/>
  <c r="CJ291" i="9" s="1" a="1"/>
  <c r="CJ291" i="9" s="1"/>
  <c r="BF375" i="9"/>
  <c r="BG375" i="9" s="1"/>
  <c r="CH350" i="9"/>
  <c r="CI350" i="9" s="1"/>
  <c r="CD444" i="9"/>
  <c r="CE444" i="9" s="1"/>
  <c r="CD453" i="9"/>
  <c r="CE453" i="9" s="1"/>
  <c r="CH470" i="9"/>
  <c r="CI470" i="9" s="1"/>
  <c r="CO462" i="9" a="1"/>
  <c r="CO462" i="9" s="1"/>
  <c r="BR530" i="9"/>
  <c r="BS530" i="9" s="1"/>
  <c r="BU530" i="9" s="1" a="1"/>
  <c r="BU530" i="9" s="1"/>
  <c r="CJ516" i="9" a="1"/>
  <c r="CJ516" i="9" s="1"/>
  <c r="BN583" i="9"/>
  <c r="BO583" i="9" s="1"/>
  <c r="BR591" i="9"/>
  <c r="BS591" i="9" s="1"/>
  <c r="BJ564" i="9"/>
  <c r="BK564" i="9" s="1"/>
  <c r="CH588" i="9"/>
  <c r="CI588" i="9" s="1"/>
  <c r="BR596" i="9"/>
  <c r="BS596" i="9" s="1"/>
  <c r="BU596" i="9" s="1" a="1"/>
  <c r="BU596" i="9" s="1"/>
  <c r="BN620" i="9"/>
  <c r="BO620" i="9" s="1"/>
  <c r="BJ632" i="9"/>
  <c r="BK632" i="9" s="1"/>
  <c r="CD665" i="9"/>
  <c r="CE665" i="9" s="1"/>
  <c r="CF665" i="9" s="1" a="1"/>
  <c r="CF665" i="9" s="1"/>
  <c r="CD623" i="9"/>
  <c r="CE623" i="9" s="1"/>
  <c r="BN552" i="9"/>
  <c r="BO552" i="9" s="1"/>
  <c r="CL625" i="9"/>
  <c r="CM625" i="9" s="1"/>
  <c r="CD725" i="9"/>
  <c r="CE725" i="9" s="1"/>
  <c r="BR805" i="9"/>
  <c r="BS805" i="9" s="1"/>
  <c r="BF797" i="9"/>
  <c r="BG797" i="9" s="1"/>
  <c r="BH797" i="9" s="1" a="1"/>
  <c r="BH797" i="9" s="1"/>
  <c r="BP871" i="9" a="1"/>
  <c r="BP871" i="9" s="1"/>
  <c r="BR920" i="9"/>
  <c r="BS920" i="9" s="1"/>
  <c r="BR928" i="9"/>
  <c r="BS928" i="9" s="1"/>
  <c r="BR936" i="9"/>
  <c r="BS936" i="9" s="1"/>
  <c r="BR930" i="9"/>
  <c r="BS930" i="9" s="1"/>
  <c r="BR937" i="9"/>
  <c r="BS937" i="9" s="1"/>
  <c r="BN944" i="9"/>
  <c r="BO944" i="9" s="1"/>
  <c r="BN937" i="9"/>
  <c r="BO937" i="9" s="1"/>
  <c r="CH996" i="9"/>
  <c r="CI996" i="9" s="1"/>
  <c r="CL980" i="9"/>
  <c r="CM980" i="9" s="1"/>
  <c r="BF1010" i="9"/>
  <c r="BG1010" i="9" s="1"/>
  <c r="BH1010" i="9" s="1" a="1"/>
  <c r="BH1010" i="9" s="1"/>
  <c r="BN980" i="9"/>
  <c r="BO980" i="9" s="1"/>
  <c r="CL232" i="9"/>
  <c r="CM232" i="9" s="1"/>
  <c r="CO232" i="9" s="1" a="1"/>
  <c r="CO232" i="9" s="1"/>
  <c r="CD728" i="9"/>
  <c r="CE728" i="9" s="1"/>
  <c r="BL333" i="9" a="1"/>
  <c r="BL333" i="9" s="1"/>
  <c r="BJ322" i="9"/>
  <c r="BK322" i="9" s="1"/>
  <c r="BF362" i="9"/>
  <c r="BG362" i="9" s="1"/>
  <c r="BH362" i="9" s="1" a="1"/>
  <c r="BH362" i="9" s="1"/>
  <c r="CH395" i="9"/>
  <c r="CI395" i="9" s="1"/>
  <c r="CL423" i="9"/>
  <c r="CM423" i="9" s="1"/>
  <c r="BN446" i="9"/>
  <c r="BO446" i="9" s="1"/>
  <c r="BN471" i="9"/>
  <c r="BO471" i="9" s="1"/>
  <c r="CH530" i="9"/>
  <c r="CI530" i="9" s="1"/>
  <c r="BH519" i="9" a="1"/>
  <c r="BH519" i="9" s="1"/>
  <c r="CD570" i="9"/>
  <c r="CE570" i="9" s="1"/>
  <c r="CD586" i="9"/>
  <c r="CE586" i="9" s="1"/>
  <c r="CD596" i="9"/>
  <c r="CE596" i="9" s="1"/>
  <c r="CD663" i="9"/>
  <c r="CE663" i="9" s="1"/>
  <c r="CH626" i="9"/>
  <c r="CI626" i="9" s="1"/>
  <c r="CH578" i="9"/>
  <c r="CI578" i="9" s="1"/>
  <c r="CB670" i="9" a="1"/>
  <c r="CB670" i="9" s="1"/>
  <c r="CH733" i="9"/>
  <c r="CI733" i="9" s="1"/>
  <c r="CJ733" i="9" s="1" a="1"/>
  <c r="CJ733" i="9" s="1"/>
  <c r="CD727" i="9"/>
  <c r="CE727" i="9" s="1"/>
  <c r="BP670" i="9" a="1"/>
  <c r="BP670" i="9" s="1"/>
  <c r="CD733" i="9"/>
  <c r="CE733" i="9" s="1"/>
  <c r="CD805" i="9"/>
  <c r="CE805" i="9" s="1"/>
  <c r="CL831" i="9"/>
  <c r="CM831" i="9" s="1"/>
  <c r="CD912" i="9"/>
  <c r="CE912" i="9" s="1"/>
  <c r="BZ936" i="9"/>
  <c r="CA936" i="9" s="1"/>
  <c r="BR952" i="9"/>
  <c r="BS952" i="9" s="1"/>
  <c r="CH970" i="9"/>
  <c r="CI970" i="9" s="1"/>
  <c r="CL937" i="9"/>
  <c r="CM937" i="9" s="1"/>
  <c r="BZ968" i="9"/>
  <c r="CA968" i="9" s="1"/>
  <c r="CB968" i="9" s="1" a="1"/>
  <c r="CB968" i="9" s="1"/>
  <c r="BJ968" i="9"/>
  <c r="BK968" i="9" s="1"/>
  <c r="CH972" i="9"/>
  <c r="CI972" i="9" s="1"/>
  <c r="BN206" i="9"/>
  <c r="BO206" i="9" s="1"/>
  <c r="BH158" i="9" a="1"/>
  <c r="BH158" i="9" s="1"/>
  <c r="BU158" i="9" a="1"/>
  <c r="BU158" i="9" s="1"/>
  <c r="BT158" i="9" a="1"/>
  <c r="BT158" i="9" s="1"/>
  <c r="CB316" i="9" a="1"/>
  <c r="CB316" i="9" s="1"/>
  <c r="CF316" i="9" a="1"/>
  <c r="CF316" i="9" s="1"/>
  <c r="CO300" i="9" a="1"/>
  <c r="CO300" i="9" s="1"/>
  <c r="CH110" i="9"/>
  <c r="CI110" i="9" s="1"/>
  <c r="BJ98" i="9"/>
  <c r="BK98" i="9" s="1"/>
  <c r="BJ71" i="9"/>
  <c r="BK71" i="9" s="1"/>
  <c r="CH61" i="9"/>
  <c r="CI61" i="9" s="1"/>
  <c r="BF95" i="9"/>
  <c r="BG95" i="9" s="1"/>
  <c r="CL125" i="9"/>
  <c r="CM125" i="9" s="1"/>
  <c r="CN125" i="9" s="1" a="1"/>
  <c r="CN125" i="9" s="1"/>
  <c r="BR123" i="9"/>
  <c r="BS123" i="9" s="1"/>
  <c r="CD138" i="9"/>
  <c r="CE138" i="9" s="1"/>
  <c r="BR151" i="9"/>
  <c r="BS151" i="9" s="1"/>
  <c r="BU151" i="9" s="1" a="1"/>
  <c r="BU151" i="9" s="1"/>
  <c r="BR163" i="9"/>
  <c r="BS163" i="9" s="1"/>
  <c r="BU163" i="9" s="1" a="1"/>
  <c r="BU163" i="9" s="1"/>
  <c r="BN149" i="9"/>
  <c r="BO149" i="9" s="1"/>
  <c r="BP149" i="9" s="1" a="1"/>
  <c r="BP149" i="9" s="1"/>
  <c r="BL159" i="9" a="1"/>
  <c r="BL159" i="9" s="1"/>
  <c r="BJ166" i="9"/>
  <c r="BK166" i="9" s="1"/>
  <c r="CL166" i="9"/>
  <c r="CM166" i="9" s="1"/>
  <c r="CO166" i="9" s="1" a="1"/>
  <c r="CO166" i="9" s="1"/>
  <c r="BT174" i="9" a="1"/>
  <c r="BT174" i="9" s="1"/>
  <c r="BF166" i="9"/>
  <c r="BG166" i="9" s="1"/>
  <c r="BH166" i="9" s="1" a="1"/>
  <c r="BH166" i="9" s="1"/>
  <c r="BN184" i="9"/>
  <c r="BO184" i="9" s="1"/>
  <c r="BP213" i="9" a="1"/>
  <c r="BP213" i="9" s="1"/>
  <c r="CH215" i="9"/>
  <c r="CI215" i="9" s="1"/>
  <c r="CL242" i="9"/>
  <c r="CM242" i="9" s="1"/>
  <c r="BU213" i="9" a="1"/>
  <c r="BU213" i="9" s="1"/>
  <c r="BN244" i="9"/>
  <c r="BO244" i="9" s="1"/>
  <c r="BT244" i="9" s="1" a="1"/>
  <c r="BT244" i="9" s="1"/>
  <c r="BN262" i="9"/>
  <c r="BO262" i="9" s="1"/>
  <c r="CH270" i="9"/>
  <c r="CI270" i="9" s="1"/>
  <c r="BN279" i="9"/>
  <c r="BO279" i="9" s="1"/>
  <c r="BR259" i="9"/>
  <c r="BS259" i="9" s="1"/>
  <c r="BR281" i="9"/>
  <c r="BS281" i="9" s="1"/>
  <c r="CD283" i="9"/>
  <c r="CE283" i="9" s="1"/>
  <c r="BN298" i="9"/>
  <c r="BO298" i="9" s="1"/>
  <c r="BP298" i="9" s="1" a="1"/>
  <c r="BP298" i="9" s="1"/>
  <c r="BF301" i="9"/>
  <c r="BG301" i="9" s="1"/>
  <c r="BH301" i="9" s="1" a="1"/>
  <c r="BH301" i="9" s="1"/>
  <c r="CH339" i="9"/>
  <c r="CI339" i="9" s="1"/>
  <c r="CJ339" i="9" s="1" a="1"/>
  <c r="CJ339" i="9" s="1"/>
  <c r="BF298" i="9"/>
  <c r="BG298" i="9" s="1"/>
  <c r="BL298" i="9" s="1" a="1"/>
  <c r="BL298" i="9" s="1"/>
  <c r="CH320" i="9"/>
  <c r="CI320" i="9" s="1"/>
  <c r="BJ328" i="9"/>
  <c r="BK328" i="9" s="1"/>
  <c r="CH311" i="9"/>
  <c r="CI311" i="9" s="1"/>
  <c r="BN300" i="9"/>
  <c r="BO300" i="9" s="1"/>
  <c r="BN323" i="9"/>
  <c r="BO323" i="9" s="1"/>
  <c r="BN325" i="9"/>
  <c r="BO325" i="9" s="1"/>
  <c r="BP325" i="9" s="1" a="1"/>
  <c r="BP325" i="9" s="1"/>
  <c r="CJ335" i="9" a="1"/>
  <c r="CJ335" i="9" s="1"/>
  <c r="CH354" i="9"/>
  <c r="CI354" i="9" s="1"/>
  <c r="BR333" i="9"/>
  <c r="BS333" i="9" s="1"/>
  <c r="BR361" i="9"/>
  <c r="BS361" i="9" s="1"/>
  <c r="CD341" i="9"/>
  <c r="CE341" i="9" s="1"/>
  <c r="BR341" i="9"/>
  <c r="BS341" i="9" s="1"/>
  <c r="CH371" i="9"/>
  <c r="CI371" i="9" s="1"/>
  <c r="CD377" i="9"/>
  <c r="CE377" i="9" s="1"/>
  <c r="CL387" i="9"/>
  <c r="CM387" i="9" s="1"/>
  <c r="BJ366" i="9"/>
  <c r="BK366" i="9" s="1"/>
  <c r="BL366" i="9" s="1" a="1"/>
  <c r="BL366" i="9" s="1"/>
  <c r="BZ370" i="9"/>
  <c r="CA370" i="9" s="1"/>
  <c r="CB370" i="9" s="1" a="1"/>
  <c r="CB370" i="9" s="1"/>
  <c r="CD379" i="9"/>
  <c r="CE379" i="9" s="1"/>
  <c r="CJ379" i="9" s="1" a="1"/>
  <c r="CJ379" i="9" s="1"/>
  <c r="BF341" i="9"/>
  <c r="BG341" i="9" s="1"/>
  <c r="BH341" i="9" s="1" a="1"/>
  <c r="BH341" i="9" s="1"/>
  <c r="CH413" i="9"/>
  <c r="CI413" i="9" s="1"/>
  <c r="CD422" i="9"/>
  <c r="CE422" i="9" s="1"/>
  <c r="BJ422" i="9"/>
  <c r="BK422" i="9" s="1"/>
  <c r="BL422" i="9" s="1" a="1"/>
  <c r="BL422" i="9" s="1"/>
  <c r="BR455" i="9"/>
  <c r="BS455" i="9" s="1"/>
  <c r="BJ487" i="9"/>
  <c r="BK487" i="9" s="1"/>
  <c r="CD480" i="9"/>
  <c r="CE480" i="9" s="1"/>
  <c r="CF635" i="9" a="1"/>
  <c r="CF635" i="9" s="1"/>
  <c r="BZ82" i="9"/>
  <c r="CA82" i="9" s="1"/>
  <c r="CB82" i="9" s="1" a="1"/>
  <c r="CB82" i="9" s="1"/>
  <c r="BJ56" i="9"/>
  <c r="BK56" i="9" s="1"/>
  <c r="CH52" i="9"/>
  <c r="CI52" i="9" s="1"/>
  <c r="BF151" i="9"/>
  <c r="BG151" i="9" s="1"/>
  <c r="BH151" i="9" s="1" a="1"/>
  <c r="BH151" i="9" s="1"/>
  <c r="CH230" i="9"/>
  <c r="CI230" i="9" s="1"/>
  <c r="CH234" i="9"/>
  <c r="CI234" i="9" s="1"/>
  <c r="BR234" i="9"/>
  <c r="BS234" i="9" s="1"/>
  <c r="BR275" i="9"/>
  <c r="BS275" i="9" s="1"/>
  <c r="CD264" i="9"/>
  <c r="CE264" i="9" s="1"/>
  <c r="BJ299" i="9"/>
  <c r="BK299" i="9" s="1"/>
  <c r="BF277" i="9"/>
  <c r="BG277" i="9" s="1"/>
  <c r="CH300" i="9"/>
  <c r="CI300" i="9" s="1"/>
  <c r="CN300" i="9" s="1" a="1"/>
  <c r="CN300" i="9" s="1"/>
  <c r="BZ360" i="9"/>
  <c r="CA360" i="9" s="1"/>
  <c r="CB360" i="9" s="1" a="1"/>
  <c r="CB360" i="9" s="1"/>
  <c r="BR381" i="9"/>
  <c r="BS381" i="9" s="1"/>
  <c r="BR388" i="9"/>
  <c r="BS388" i="9" s="1"/>
  <c r="BN414" i="9"/>
  <c r="BO414" i="9" s="1"/>
  <c r="BP484" i="9" a="1"/>
  <c r="BP484" i="9" s="1"/>
  <c r="BN117" i="9"/>
  <c r="BO117" i="9" s="1"/>
  <c r="BF117" i="9"/>
  <c r="BG117" i="9" s="1"/>
  <c r="BH117" i="9" s="1" a="1"/>
  <c r="BH117" i="9" s="1"/>
  <c r="BJ77" i="9"/>
  <c r="BK77" i="9" s="1"/>
  <c r="BN27" i="9"/>
  <c r="BO27" i="9" s="1"/>
  <c r="CD126" i="9"/>
  <c r="CE126" i="9" s="1"/>
  <c r="BZ125" i="9"/>
  <c r="CA125" i="9" s="1"/>
  <c r="CB125" i="9" s="1" a="1"/>
  <c r="CB125" i="9" s="1"/>
  <c r="CD222" i="9"/>
  <c r="CE222" i="9" s="1"/>
  <c r="CF222" i="9" s="1" a="1"/>
  <c r="CF222" i="9" s="1"/>
  <c r="CD247" i="9"/>
  <c r="CE247" i="9" s="1"/>
  <c r="CD234" i="9"/>
  <c r="CE234" i="9" s="1"/>
  <c r="BN231" i="9"/>
  <c r="BO231" i="9" s="1"/>
  <c r="CH264" i="9"/>
  <c r="CI264" i="9" s="1"/>
  <c r="CN264" i="9" s="1" a="1"/>
  <c r="CN264" i="9" s="1"/>
  <c r="BN287" i="9"/>
  <c r="BO287" i="9" s="1"/>
  <c r="BP287" i="9" s="1" a="1"/>
  <c r="BP287" i="9" s="1"/>
  <c r="CL264" i="9"/>
  <c r="CM264" i="9" s="1"/>
  <c r="CO264" i="9" s="1" a="1"/>
  <c r="CO264" i="9" s="1"/>
  <c r="BN277" i="9"/>
  <c r="BO277" i="9" s="1"/>
  <c r="BZ270" i="9"/>
  <c r="CA270" i="9" s="1"/>
  <c r="CB270" i="9" s="1" a="1"/>
  <c r="CB270" i="9" s="1"/>
  <c r="CH283" i="9"/>
  <c r="CI283" i="9" s="1"/>
  <c r="CD299" i="9"/>
  <c r="CE299" i="9" s="1"/>
  <c r="BR298" i="9"/>
  <c r="BS298" i="9" s="1"/>
  <c r="BZ301" i="9"/>
  <c r="CA301" i="9" s="1"/>
  <c r="CB301" i="9" s="1" a="1"/>
  <c r="CB301" i="9" s="1"/>
  <c r="BR287" i="9"/>
  <c r="BS287" i="9" s="1"/>
  <c r="BU287" i="9" s="1" a="1"/>
  <c r="BU287" i="9" s="1"/>
  <c r="BR306" i="9"/>
  <c r="BS306" i="9" s="1"/>
  <c r="BZ354" i="9"/>
  <c r="CA354" i="9" s="1"/>
  <c r="CJ327" i="9" a="1"/>
  <c r="CJ327" i="9" s="1"/>
  <c r="CD344" i="9"/>
  <c r="CE344" i="9" s="1"/>
  <c r="BN341" i="9"/>
  <c r="BO341" i="9" s="1"/>
  <c r="CH341" i="9"/>
  <c r="CI341" i="9" s="1"/>
  <c r="CH369" i="9"/>
  <c r="CI369" i="9" s="1"/>
  <c r="BP379" i="9" a="1"/>
  <c r="BP379" i="9" s="1"/>
  <c r="BL389" i="9" a="1"/>
  <c r="BL389" i="9" s="1"/>
  <c r="CL414" i="9"/>
  <c r="CM414" i="9" s="1"/>
  <c r="BN567" i="9"/>
  <c r="BO567" i="9" s="1"/>
  <c r="BF567" i="9"/>
  <c r="BG567" i="9" s="1"/>
  <c r="BH567" i="9" s="1" a="1"/>
  <c r="BH567" i="9" s="1"/>
  <c r="BN112" i="9"/>
  <c r="BO112" i="9" s="1"/>
  <c r="CH27" i="9"/>
  <c r="CI27" i="9" s="1"/>
  <c r="BJ125" i="9"/>
  <c r="BK125" i="9" s="1"/>
  <c r="BL125" i="9" s="1" a="1"/>
  <c r="BL125" i="9" s="1"/>
  <c r="BJ144" i="9"/>
  <c r="BK144" i="9" s="1"/>
  <c r="BN151" i="9"/>
  <c r="BO151" i="9" s="1"/>
  <c r="BP151" i="9" s="1" a="1"/>
  <c r="BP151" i="9" s="1"/>
  <c r="BJ163" i="9"/>
  <c r="BK163" i="9" s="1"/>
  <c r="CF173" i="9" a="1"/>
  <c r="CF173" i="9" s="1"/>
  <c r="CH165" i="9"/>
  <c r="CI165" i="9" s="1"/>
  <c r="CJ165" i="9" s="1" a="1"/>
  <c r="CJ165" i="9" s="1"/>
  <c r="CL181" i="9"/>
  <c r="CM181" i="9" s="1"/>
  <c r="BL186" i="9" a="1"/>
  <c r="BL186" i="9" s="1"/>
  <c r="CH192" i="9"/>
  <c r="CI192" i="9" s="1"/>
  <c r="BN204" i="9"/>
  <c r="BO204" i="9" s="1"/>
  <c r="CL194" i="9"/>
  <c r="CM194" i="9" s="1"/>
  <c r="CL214" i="9"/>
  <c r="CM214" i="9" s="1"/>
  <c r="CD239" i="9"/>
  <c r="CE239" i="9" s="1"/>
  <c r="CH208" i="9"/>
  <c r="CI208" i="9" s="1"/>
  <c r="CH238" i="9"/>
  <c r="CI238" i="9" s="1"/>
  <c r="CF232" i="9" a="1"/>
  <c r="CF232" i="9" s="1"/>
  <c r="BR247" i="9"/>
  <c r="BS247" i="9" s="1"/>
  <c r="CL274" i="9"/>
  <c r="CM274" i="9" s="1"/>
  <c r="BZ271" i="9"/>
  <c r="CA271" i="9" s="1"/>
  <c r="CB271" i="9" s="1" a="1"/>
  <c r="CB271" i="9" s="1"/>
  <c r="CL277" i="9"/>
  <c r="CM277" i="9" s="1"/>
  <c r="CL259" i="9"/>
  <c r="CM259" i="9" s="1"/>
  <c r="BR276" i="9"/>
  <c r="BS276" i="9" s="1"/>
  <c r="BR284" i="9"/>
  <c r="BS284" i="9" s="1"/>
  <c r="CD285" i="9"/>
  <c r="CE285" i="9" s="1"/>
  <c r="BR286" i="9"/>
  <c r="BS286" i="9" s="1"/>
  <c r="CD306" i="9"/>
  <c r="CE306" i="9" s="1"/>
  <c r="BR301" i="9"/>
  <c r="BS301" i="9" s="1"/>
  <c r="BF306" i="9"/>
  <c r="BG306" i="9" s="1"/>
  <c r="BH306" i="9" s="1" a="1"/>
  <c r="BH306" i="9" s="1"/>
  <c r="CD323" i="9"/>
  <c r="CE323" i="9" s="1"/>
  <c r="CD331" i="9"/>
  <c r="CE331" i="9" s="1"/>
  <c r="CJ331" i="9" s="1" a="1"/>
  <c r="CJ331" i="9" s="1"/>
  <c r="BP343" i="9" a="1"/>
  <c r="BP343" i="9" s="1"/>
  <c r="BF327" i="9"/>
  <c r="BG327" i="9" s="1"/>
  <c r="BH327" i="9" s="1" a="1"/>
  <c r="BH327" i="9" s="1"/>
  <c r="CH338" i="9"/>
  <c r="CI338" i="9" s="1"/>
  <c r="BN362" i="9"/>
  <c r="BO362" i="9" s="1"/>
  <c r="BP362" i="9" s="1" a="1"/>
  <c r="BP362" i="9" s="1"/>
  <c r="BZ350" i="9"/>
  <c r="CA350" i="9" s="1"/>
  <c r="CB350" i="9" s="1" a="1"/>
  <c r="CB350" i="9" s="1"/>
  <c r="CH353" i="9"/>
  <c r="CI353" i="9" s="1"/>
  <c r="BZ379" i="9"/>
  <c r="CA379" i="9" s="1"/>
  <c r="CD366" i="9"/>
  <c r="CE366" i="9" s="1"/>
  <c r="CF366" i="9" s="1" a="1"/>
  <c r="CF366" i="9" s="1"/>
  <c r="CH428" i="9"/>
  <c r="CI428" i="9" s="1"/>
  <c r="BR397" i="9"/>
  <c r="BS397" i="9" s="1"/>
  <c r="BF409" i="9"/>
  <c r="BG409" i="9" s="1"/>
  <c r="BH409" i="9" s="1" a="1"/>
  <c r="BH409" i="9" s="1"/>
  <c r="BZ387" i="9"/>
  <c r="CA387" i="9" s="1"/>
  <c r="BJ358" i="9"/>
  <c r="BK358" i="9" s="1"/>
  <c r="BZ422" i="9"/>
  <c r="CA422" i="9" s="1"/>
  <c r="CB422" i="9" s="1" a="1"/>
  <c r="CB422" i="9" s="1"/>
  <c r="CD452" i="9"/>
  <c r="CE452" i="9" s="1"/>
  <c r="BF405" i="9"/>
  <c r="BG405" i="9" s="1"/>
  <c r="BH405" i="9" s="1" a="1"/>
  <c r="BH405" i="9" s="1"/>
  <c r="CL460" i="9"/>
  <c r="CM460" i="9" s="1"/>
  <c r="CO460" i="9" s="1" a="1"/>
  <c r="CO460" i="9" s="1"/>
  <c r="CD404" i="9"/>
  <c r="CE404" i="9" s="1"/>
  <c r="CH488" i="9"/>
  <c r="CI488" i="9" s="1"/>
  <c r="CN474" i="9" a="1"/>
  <c r="CN474" i="9" s="1"/>
  <c r="CL481" i="9"/>
  <c r="CM481" i="9" s="1"/>
  <c r="CH481" i="9"/>
  <c r="CI481" i="9" s="1"/>
  <c r="CL487" i="9"/>
  <c r="CM487" i="9" s="1"/>
  <c r="CO487" i="9" s="1" a="1"/>
  <c r="CO487" i="9" s="1"/>
  <c r="CH475" i="9"/>
  <c r="CI475" i="9" s="1"/>
  <c r="BR160" i="9"/>
  <c r="BS160" i="9" s="1"/>
  <c r="BL281" i="9" a="1"/>
  <c r="BL281" i="9" s="1"/>
  <c r="BJ264" i="9"/>
  <c r="BK264" i="9" s="1"/>
  <c r="CJ323" i="9" a="1"/>
  <c r="CJ323" i="9" s="1"/>
  <c r="CF286" i="9" a="1"/>
  <c r="CF286" i="9" s="1"/>
  <c r="BZ300" i="9"/>
  <c r="CA300" i="9" s="1"/>
  <c r="CB300" i="9" s="1" a="1"/>
  <c r="CB300" i="9" s="1"/>
  <c r="BJ513" i="9"/>
  <c r="BK513" i="9" s="1"/>
  <c r="BF513" i="9"/>
  <c r="BG513" i="9" s="1"/>
  <c r="CD118" i="9"/>
  <c r="CE118" i="9" s="1"/>
  <c r="CD117" i="9"/>
  <c r="CE117" i="9" s="1"/>
  <c r="CF117" i="9" s="1" a="1"/>
  <c r="CF117" i="9" s="1"/>
  <c r="CD97" i="9"/>
  <c r="CE97" i="9" s="1"/>
  <c r="BN123" i="9"/>
  <c r="BO123" i="9" s="1"/>
  <c r="BP123" i="9" s="1" a="1"/>
  <c r="BP123" i="9" s="1"/>
  <c r="CL139" i="9"/>
  <c r="CM139" i="9" s="1"/>
  <c r="CO139" i="9" s="1" a="1"/>
  <c r="CO139" i="9" s="1"/>
  <c r="CD133" i="9"/>
  <c r="CE133" i="9" s="1"/>
  <c r="CF133" i="9" s="1" a="1"/>
  <c r="CF133" i="9" s="1"/>
  <c r="BZ183" i="9"/>
  <c r="CA183" i="9" s="1"/>
  <c r="CF183" i="9" s="1" a="1"/>
  <c r="CF183" i="9" s="1"/>
  <c r="BF183" i="9"/>
  <c r="BG183" i="9" s="1"/>
  <c r="BL183" i="9" s="1" a="1"/>
  <c r="BL183" i="9" s="1"/>
  <c r="CH194" i="9"/>
  <c r="CI194" i="9" s="1"/>
  <c r="BZ199" i="9"/>
  <c r="CA199" i="9" s="1"/>
  <c r="CB199" i="9" s="1" a="1"/>
  <c r="CB199" i="9" s="1"/>
  <c r="CJ198" i="9" a="1"/>
  <c r="CJ198" i="9" s="1"/>
  <c r="CD212" i="9"/>
  <c r="CE212" i="9" s="1"/>
  <c r="CF221" i="9" a="1"/>
  <c r="CF221" i="9" s="1"/>
  <c r="BH219" i="9" a="1"/>
  <c r="BH219" i="9" s="1"/>
  <c r="BL233" i="9" a="1"/>
  <c r="BL233" i="9" s="1"/>
  <c r="BN256" i="9"/>
  <c r="BO256" i="9" s="1"/>
  <c r="BT269" i="9" a="1"/>
  <c r="BT269" i="9" s="1"/>
  <c r="BN270" i="9"/>
  <c r="BO270" i="9" s="1"/>
  <c r="BP270" i="9" s="1" a="1"/>
  <c r="BP270" i="9" s="1"/>
  <c r="BJ278" i="9"/>
  <c r="BK278" i="9" s="1"/>
  <c r="CD271" i="9"/>
  <c r="CE271" i="9" s="1"/>
  <c r="CJ271" i="9" s="1" a="1"/>
  <c r="CJ271" i="9" s="1"/>
  <c r="CD300" i="9"/>
  <c r="CE300" i="9" s="1"/>
  <c r="BF300" i="9"/>
  <c r="BG300" i="9" s="1"/>
  <c r="BH300" i="9" s="1" a="1"/>
  <c r="BH300" i="9" s="1"/>
  <c r="CL314" i="9"/>
  <c r="CM314" i="9" s="1"/>
  <c r="CL320" i="9"/>
  <c r="CM320" i="9" s="1"/>
  <c r="CD320" i="9"/>
  <c r="CE320" i="9" s="1"/>
  <c r="CH334" i="9"/>
  <c r="CI334" i="9" s="1"/>
  <c r="CH342" i="9"/>
  <c r="CI342" i="9" s="1"/>
  <c r="BJ327" i="9"/>
  <c r="BK327" i="9" s="1"/>
  <c r="BL327" i="9" s="1" a="1"/>
  <c r="BL327" i="9" s="1"/>
  <c r="CH306" i="9"/>
  <c r="CI306" i="9" s="1"/>
  <c r="CJ306" i="9" s="1" a="1"/>
  <c r="CJ306" i="9" s="1"/>
  <c r="CJ387" i="9" a="1"/>
  <c r="CJ387" i="9" s="1"/>
  <c r="BR396" i="9"/>
  <c r="BS396" i="9" s="1"/>
  <c r="BR414" i="9"/>
  <c r="BS414" i="9" s="1"/>
  <c r="BU414" i="9" s="1" a="1"/>
  <c r="BU414" i="9" s="1"/>
  <c r="BN415" i="9"/>
  <c r="BO415" i="9" s="1"/>
  <c r="BP415" i="9" s="1" a="1"/>
  <c r="BP415" i="9" s="1"/>
  <c r="CD395" i="9"/>
  <c r="CE395" i="9" s="1"/>
  <c r="BL410" i="9" a="1"/>
  <c r="BL410" i="9" s="1"/>
  <c r="CL444" i="9"/>
  <c r="CM444" i="9" s="1"/>
  <c r="CO444" i="9" s="1" a="1"/>
  <c r="CO444" i="9" s="1"/>
  <c r="BN478" i="9"/>
  <c r="BO478" i="9" s="1"/>
  <c r="BF430" i="9"/>
  <c r="BG430" i="9" s="1"/>
  <c r="BH430" i="9" s="1" a="1"/>
  <c r="BH430" i="9" s="1"/>
  <c r="CH430" i="9"/>
  <c r="CI430" i="9" s="1"/>
  <c r="CJ430" i="9" s="1" a="1"/>
  <c r="CJ430" i="9" s="1"/>
  <c r="BR430" i="9"/>
  <c r="BS430" i="9" s="1"/>
  <c r="BJ447" i="9"/>
  <c r="BK447" i="9" s="1"/>
  <c r="BN111" i="9"/>
  <c r="BO111" i="9" s="1"/>
  <c r="BR99" i="9"/>
  <c r="BS99" i="9" s="1"/>
  <c r="CH90" i="9"/>
  <c r="CI90" i="9" s="1"/>
  <c r="CD123" i="9"/>
  <c r="CE123" i="9" s="1"/>
  <c r="CD149" i="9"/>
  <c r="CE149" i="9" s="1"/>
  <c r="BT173" i="9" a="1"/>
  <c r="BT173" i="9" s="1"/>
  <c r="BR239" i="9"/>
  <c r="BS239" i="9" s="1"/>
  <c r="BP281" i="9" a="1"/>
  <c r="BP281" i="9" s="1"/>
  <c r="CN317" i="9" a="1"/>
  <c r="CN317" i="9" s="1"/>
  <c r="CD282" i="9"/>
  <c r="CE282" i="9" s="1"/>
  <c r="BR327" i="9"/>
  <c r="BS327" i="9" s="1"/>
  <c r="BU327" i="9" s="1" a="1"/>
  <c r="BU327" i="9" s="1"/>
  <c r="BJ338" i="9"/>
  <c r="BK338" i="9" s="1"/>
  <c r="BL338" i="9" s="1" a="1"/>
  <c r="BL338" i="9" s="1"/>
  <c r="CD354" i="9"/>
  <c r="CE354" i="9" s="1"/>
  <c r="CF387" i="9" a="1"/>
  <c r="CF387" i="9" s="1"/>
  <c r="BJ351" i="9"/>
  <c r="BK351" i="9" s="1"/>
  <c r="BP351" i="9" s="1" a="1"/>
  <c r="BP351" i="9" s="1"/>
  <c r="BN331" i="9"/>
  <c r="BO331" i="9" s="1"/>
  <c r="CJ374" i="9" a="1"/>
  <c r="CJ374" i="9" s="1"/>
  <c r="CD393" i="9"/>
  <c r="CE393" i="9" s="1"/>
  <c r="CD413" i="9"/>
  <c r="CE413" i="9" s="1"/>
  <c r="CH361" i="9"/>
  <c r="CI361" i="9" s="1"/>
  <c r="BR420" i="9"/>
  <c r="BS420" i="9" s="1"/>
  <c r="BJ463" i="9"/>
  <c r="BK463" i="9" s="1"/>
  <c r="BL463" i="9" s="1" a="1"/>
  <c r="BL463" i="9" s="1"/>
  <c r="BR117" i="9"/>
  <c r="BS117" i="9" s="1"/>
  <c r="BJ117" i="9"/>
  <c r="BK117" i="9" s="1"/>
  <c r="BL117" i="9" s="1" a="1"/>
  <c r="BL117" i="9" s="1"/>
  <c r="BJ87" i="9"/>
  <c r="BK87" i="9" s="1"/>
  <c r="CL87" i="9"/>
  <c r="CM87" i="9" s="1"/>
  <c r="CO87" i="9" s="1" a="1"/>
  <c r="CO87" i="9" s="1"/>
  <c r="CH102" i="9"/>
  <c r="CI102" i="9" s="1"/>
  <c r="CH126" i="9"/>
  <c r="CI126" i="9" s="1"/>
  <c r="CJ126" i="9" s="1" a="1"/>
  <c r="CJ126" i="9" s="1"/>
  <c r="BN139" i="9"/>
  <c r="BO139" i="9" s="1"/>
  <c r="CD163" i="9"/>
  <c r="CE163" i="9" s="1"/>
  <c r="CL157" i="9"/>
  <c r="CM157" i="9" s="1"/>
  <c r="CO157" i="9" s="1" a="1"/>
  <c r="CO157" i="9" s="1"/>
  <c r="CD166" i="9"/>
  <c r="CE166" i="9" s="1"/>
  <c r="CH166" i="9"/>
  <c r="CI166" i="9" s="1"/>
  <c r="BR201" i="9"/>
  <c r="BS201" i="9" s="1"/>
  <c r="BL198" i="9" a="1"/>
  <c r="BL198" i="9" s="1"/>
  <c r="CJ244" i="9" a="1"/>
  <c r="CJ244" i="9" s="1"/>
  <c r="CD242" i="9"/>
  <c r="CE242" i="9" s="1"/>
  <c r="BN239" i="9"/>
  <c r="BO239" i="9" s="1"/>
  <c r="BL241" i="9" a="1"/>
  <c r="BL241" i="9" s="1"/>
  <c r="BU232" i="9" a="1"/>
  <c r="BU232" i="9" s="1"/>
  <c r="BR244" i="9"/>
  <c r="BS244" i="9" s="1"/>
  <c r="CH262" i="9"/>
  <c r="CI262" i="9" s="1"/>
  <c r="CJ262" i="9" s="1" a="1"/>
  <c r="CJ262" i="9" s="1"/>
  <c r="CH256" i="9"/>
  <c r="CI256" i="9" s="1"/>
  <c r="CL279" i="9"/>
  <c r="CM279" i="9" s="1"/>
  <c r="CL297" i="9"/>
  <c r="CM297" i="9" s="1"/>
  <c r="BJ284" i="9"/>
  <c r="BK284" i="9" s="1"/>
  <c r="BP284" i="9" s="1" a="1"/>
  <c r="BP284" i="9" s="1"/>
  <c r="BJ317" i="9"/>
  <c r="BK317" i="9" s="1"/>
  <c r="BF354" i="9"/>
  <c r="BG354" i="9" s="1"/>
  <c r="BH354" i="9" s="1" a="1"/>
  <c r="BH354" i="9" s="1"/>
  <c r="CL312" i="9"/>
  <c r="CM312" i="9" s="1"/>
  <c r="CH315" i="9"/>
  <c r="CI315" i="9" s="1"/>
  <c r="BN338" i="9"/>
  <c r="BO338" i="9" s="1"/>
  <c r="BN353" i="9"/>
  <c r="BO353" i="9" s="1"/>
  <c r="BZ409" i="9"/>
  <c r="CA409" i="9" s="1"/>
  <c r="CB409" i="9" s="1" a="1"/>
  <c r="CB409" i="9" s="1"/>
  <c r="BR422" i="9"/>
  <c r="BS422" i="9" s="1"/>
  <c r="BU422" i="9" s="1" a="1"/>
  <c r="BU422" i="9" s="1"/>
  <c r="BL455" i="9" a="1"/>
  <c r="BL455" i="9" s="1"/>
  <c r="BZ482" i="9"/>
  <c r="CA482" i="9" s="1"/>
  <c r="CB482" i="9" s="1" a="1"/>
  <c r="CB482" i="9" s="1"/>
  <c r="BN482" i="9"/>
  <c r="BO482" i="9" s="1"/>
  <c r="CL482" i="9"/>
  <c r="CM482" i="9" s="1"/>
  <c r="CL506" i="9"/>
  <c r="CM506" i="9" s="1"/>
  <c r="CO506" i="9" s="1" a="1"/>
  <c r="CO506" i="9" s="1"/>
  <c r="BN549" i="9"/>
  <c r="BO549" i="9" s="1"/>
  <c r="CJ662" i="9" a="1"/>
  <c r="CJ662" i="9" s="1"/>
  <c r="CF662" i="9" a="1"/>
  <c r="CF662" i="9" s="1"/>
  <c r="CJ492" i="9" a="1"/>
  <c r="CJ492" i="9" s="1"/>
  <c r="CH531" i="9"/>
  <c r="CI531" i="9" s="1"/>
  <c r="CD504" i="9"/>
  <c r="CE504" i="9" s="1"/>
  <c r="BT522" i="9" a="1"/>
  <c r="BT522" i="9" s="1"/>
  <c r="CN500" i="9" a="1"/>
  <c r="CN500" i="9" s="1"/>
  <c r="BN557" i="9"/>
  <c r="BO557" i="9" s="1"/>
  <c r="BR564" i="9"/>
  <c r="BS564" i="9" s="1"/>
  <c r="BU564" i="9" s="1" a="1"/>
  <c r="BU564" i="9" s="1"/>
  <c r="BR520" i="9"/>
  <c r="BS520" i="9" s="1"/>
  <c r="BF535" i="9"/>
  <c r="BG535" i="9" s="1"/>
  <c r="BH535" i="9" s="1" a="1"/>
  <c r="BH535" i="9" s="1"/>
  <c r="CD527" i="9"/>
  <c r="CE527" i="9" s="1"/>
  <c r="BP588" i="9" a="1"/>
  <c r="BP588" i="9" s="1"/>
  <c r="BP604" i="9" a="1"/>
  <c r="BP604" i="9" s="1"/>
  <c r="CH602" i="9"/>
  <c r="CI602" i="9" s="1"/>
  <c r="CH618" i="9"/>
  <c r="CI618" i="9" s="1"/>
  <c r="BN631" i="9"/>
  <c r="BO631" i="9" s="1"/>
  <c r="BP631" i="9" s="1" a="1"/>
  <c r="BP631" i="9" s="1"/>
  <c r="BN577" i="9"/>
  <c r="BO577" i="9" s="1"/>
  <c r="CD649" i="9"/>
  <c r="CE649" i="9" s="1"/>
  <c r="BJ560" i="9"/>
  <c r="BK560" i="9" s="1"/>
  <c r="BN607" i="9"/>
  <c r="BO607" i="9" s="1"/>
  <c r="CD557" i="9"/>
  <c r="CE557" i="9" s="1"/>
  <c r="BN636" i="9"/>
  <c r="BO636" i="9" s="1"/>
  <c r="CD647" i="9"/>
  <c r="CE647" i="9" s="1"/>
  <c r="BR578" i="9"/>
  <c r="BS578" i="9" s="1"/>
  <c r="CH625" i="9"/>
  <c r="CI625" i="9" s="1"/>
  <c r="CH639" i="9"/>
  <c r="CI639" i="9" s="1"/>
  <c r="CH676" i="9"/>
  <c r="CI676" i="9" s="1"/>
  <c r="BR639" i="9"/>
  <c r="BS639" i="9" s="1"/>
  <c r="BL670" i="9" a="1"/>
  <c r="BL670" i="9" s="1"/>
  <c r="CJ635" i="9" a="1"/>
  <c r="CJ635" i="9" s="1"/>
  <c r="CD673" i="9"/>
  <c r="CE673" i="9" s="1"/>
  <c r="BZ703" i="9"/>
  <c r="CA703" i="9" s="1"/>
  <c r="CB703" i="9" s="1" a="1"/>
  <c r="CB703" i="9" s="1"/>
  <c r="BN711" i="9"/>
  <c r="BO711" i="9" s="1"/>
  <c r="BP711" i="9" s="1" a="1"/>
  <c r="BP711" i="9" s="1"/>
  <c r="CD696" i="9"/>
  <c r="CE696" i="9" s="1"/>
  <c r="CD711" i="9"/>
  <c r="CE711" i="9" s="1"/>
  <c r="CD749" i="9"/>
  <c r="CE749" i="9" s="1"/>
  <c r="CD760" i="9"/>
  <c r="CE760" i="9" s="1"/>
  <c r="BF740" i="9"/>
  <c r="BG740" i="9" s="1"/>
  <c r="BH740" i="9" s="1" a="1"/>
  <c r="BH740" i="9" s="1"/>
  <c r="CL720" i="9"/>
  <c r="CM720" i="9" s="1"/>
  <c r="CO720" i="9" s="1" a="1"/>
  <c r="CO720" i="9" s="1"/>
  <c r="BN740" i="9"/>
  <c r="BO740" i="9" s="1"/>
  <c r="BP740" i="9" s="1" a="1"/>
  <c r="BP740" i="9" s="1"/>
  <c r="CL776" i="9"/>
  <c r="CM776" i="9" s="1"/>
  <c r="CF748" i="9" a="1"/>
  <c r="CF748" i="9" s="1"/>
  <c r="BJ805" i="9"/>
  <c r="BK805" i="9" s="1"/>
  <c r="BL805" i="9" s="1" a="1"/>
  <c r="BL805" i="9" s="1"/>
  <c r="CH812" i="9"/>
  <c r="CI812" i="9" s="1"/>
  <c r="CJ812" i="9" s="1" a="1"/>
  <c r="CJ812" i="9" s="1"/>
  <c r="BF830" i="9"/>
  <c r="BG830" i="9" s="1"/>
  <c r="BH830" i="9" s="1" a="1"/>
  <c r="BH830" i="9" s="1"/>
  <c r="BJ811" i="9"/>
  <c r="BK811" i="9" s="1"/>
  <c r="CL864" i="9"/>
  <c r="CM864" i="9" s="1"/>
  <c r="BP813" i="9" a="1"/>
  <c r="BP813" i="9" s="1"/>
  <c r="BR832" i="9"/>
  <c r="BS832" i="9" s="1"/>
  <c r="BP900" i="9" a="1"/>
  <c r="BP900" i="9" s="1"/>
  <c r="BF839" i="9"/>
  <c r="BG839" i="9" s="1"/>
  <c r="BH839" i="9" s="1" a="1"/>
  <c r="BH839" i="9" s="1"/>
  <c r="BR838" i="9"/>
  <c r="BS838" i="9" s="1"/>
  <c r="BR885" i="9"/>
  <c r="BS885" i="9" s="1"/>
  <c r="CL928" i="9"/>
  <c r="CM928" i="9" s="1"/>
  <c r="CD961" i="9"/>
  <c r="CE961" i="9" s="1"/>
  <c r="BH904" i="9" a="1"/>
  <c r="BH904" i="9" s="1"/>
  <c r="BH912" i="9" a="1"/>
  <c r="BH912" i="9" s="1"/>
  <c r="CH838" i="9"/>
  <c r="CI838" i="9" s="1"/>
  <c r="CJ838" i="9" s="1" a="1"/>
  <c r="CJ838" i="9" s="1"/>
  <c r="CJ871" i="9" a="1"/>
  <c r="CJ871" i="9" s="1"/>
  <c r="CD898" i="9"/>
  <c r="CE898" i="9" s="1"/>
  <c r="BJ838" i="9"/>
  <c r="BK838" i="9" s="1"/>
  <c r="BR905" i="9"/>
  <c r="BS905" i="9" s="1"/>
  <c r="CL953" i="9"/>
  <c r="CM953" i="9" s="1"/>
  <c r="BF983" i="9"/>
  <c r="BG983" i="9" s="1"/>
  <c r="BH983" i="9" s="1" a="1"/>
  <c r="BH983" i="9" s="1"/>
  <c r="BR950" i="9"/>
  <c r="BS950" i="9" s="1"/>
  <c r="BN913" i="9"/>
  <c r="BO913" i="9" s="1"/>
  <c r="CD903" i="9"/>
  <c r="CE903" i="9" s="1"/>
  <c r="CD1007" i="9"/>
  <c r="CE1007" i="9" s="1"/>
  <c r="CL993" i="9"/>
  <c r="CM993" i="9" s="1"/>
  <c r="CL1009" i="9"/>
  <c r="CM1009" i="9" s="1"/>
  <c r="CL988" i="9"/>
  <c r="CM988" i="9" s="1"/>
  <c r="BZ993" i="9"/>
  <c r="CA993" i="9" s="1"/>
  <c r="CB993" i="9" s="1" a="1"/>
  <c r="CB993" i="9" s="1"/>
  <c r="BR1002" i="9"/>
  <c r="BS1002" i="9" s="1"/>
  <c r="BF993" i="9"/>
  <c r="BG993" i="9" s="1"/>
  <c r="BF1012" i="9"/>
  <c r="BG1012" i="9" s="1"/>
  <c r="BH1012" i="9" s="1" a="1"/>
  <c r="BH1012" i="9" s="1"/>
  <c r="BP1004" i="9" a="1"/>
  <c r="BP1004" i="9" s="1"/>
  <c r="BF206" i="9"/>
  <c r="BG206" i="9" s="1"/>
  <c r="BH206" i="9" s="1" a="1"/>
  <c r="BH206" i="9" s="1"/>
  <c r="BR132" i="9"/>
  <c r="BS132" i="9" s="1"/>
  <c r="BU132" i="9" s="1" a="1"/>
  <c r="BU132" i="9" s="1"/>
  <c r="CL291" i="9"/>
  <c r="CM291" i="9" s="1"/>
  <c r="CN291" i="9" s="1" a="1"/>
  <c r="CN291" i="9" s="1"/>
  <c r="CL213" i="9"/>
  <c r="CM213" i="9" s="1"/>
  <c r="CO213" i="9" s="1" a="1"/>
  <c r="CO213" i="9" s="1"/>
  <c r="BJ443" i="9"/>
  <c r="BK443" i="9" s="1"/>
  <c r="BF443" i="9"/>
  <c r="BG443" i="9" s="1"/>
  <c r="BH443" i="9" s="1" a="1"/>
  <c r="BH443" i="9" s="1"/>
  <c r="CD424" i="9"/>
  <c r="CE424" i="9" s="1"/>
  <c r="CF424" i="9" s="1" a="1"/>
  <c r="CF424" i="9" s="1"/>
  <c r="BF612" i="9"/>
  <c r="BG612" i="9" s="1"/>
  <c r="BH612" i="9" s="1" a="1"/>
  <c r="BH612" i="9" s="1"/>
  <c r="CD488" i="9"/>
  <c r="CE488" i="9" s="1"/>
  <c r="CL620" i="9"/>
  <c r="CM620" i="9" s="1"/>
  <c r="CL649" i="9"/>
  <c r="CM649" i="9" s="1"/>
  <c r="BL657" i="9" a="1"/>
  <c r="BL657" i="9" s="1"/>
  <c r="BF776" i="9"/>
  <c r="BG776" i="9" s="1"/>
  <c r="BH776" i="9" s="1" a="1"/>
  <c r="BH776" i="9" s="1"/>
  <c r="BR918" i="9"/>
  <c r="BS918" i="9" s="1"/>
  <c r="BZ926" i="9"/>
  <c r="CA926" i="9" s="1"/>
  <c r="CB926" i="9" s="1" a="1"/>
  <c r="CB926" i="9" s="1"/>
  <c r="BJ158" i="9"/>
  <c r="BK158" i="9" s="1"/>
  <c r="BL158" i="9" s="1" a="1"/>
  <c r="BL158" i="9" s="1"/>
  <c r="BR214" i="9"/>
  <c r="BS214" i="9" s="1"/>
  <c r="BU214" i="9" s="1" a="1"/>
  <c r="BU214" i="9" s="1"/>
  <c r="BJ509" i="9"/>
  <c r="BK509" i="9" s="1"/>
  <c r="BL509" i="9" s="1" a="1"/>
  <c r="BL509" i="9" s="1"/>
  <c r="BL432" i="9" a="1"/>
  <c r="BL432" i="9" s="1"/>
  <c r="CD443" i="9"/>
  <c r="CE443" i="9" s="1"/>
  <c r="BR447" i="9"/>
  <c r="BS447" i="9" s="1"/>
  <c r="CH455" i="9"/>
  <c r="CI455" i="9" s="1"/>
  <c r="CJ424" i="9" a="1"/>
  <c r="CJ424" i="9" s="1"/>
  <c r="BR433" i="9"/>
  <c r="BS433" i="9" s="1"/>
  <c r="CH480" i="9"/>
  <c r="CI480" i="9" s="1"/>
  <c r="CJ480" i="9" s="1" a="1"/>
  <c r="CJ480" i="9" s="1"/>
  <c r="CD445" i="9"/>
  <c r="CE445" i="9" s="1"/>
  <c r="BN496" i="9"/>
  <c r="BO496" i="9" s="1"/>
  <c r="BR458" i="9"/>
  <c r="BS458" i="9" s="1"/>
  <c r="BU458" i="9" s="1" a="1"/>
  <c r="BU458" i="9" s="1"/>
  <c r="CD552" i="9"/>
  <c r="CE552" i="9" s="1"/>
  <c r="BR515" i="9"/>
  <c r="BS515" i="9" s="1"/>
  <c r="BU515" i="9" s="1" a="1"/>
  <c r="BU515" i="9" s="1"/>
  <c r="CD531" i="9"/>
  <c r="CE531" i="9" s="1"/>
  <c r="BF496" i="9"/>
  <c r="BG496" i="9" s="1"/>
  <c r="BH496" i="9" s="1" a="1"/>
  <c r="BH496" i="9" s="1"/>
  <c r="BR514" i="9"/>
  <c r="BS514" i="9" s="1"/>
  <c r="BT514" i="9" s="1" a="1"/>
  <c r="BT514" i="9" s="1"/>
  <c r="CH543" i="9"/>
  <c r="CI543" i="9" s="1"/>
  <c r="CL580" i="9"/>
  <c r="CM580" i="9" s="1"/>
  <c r="CL588" i="9"/>
  <c r="CM588" i="9" s="1"/>
  <c r="CD610" i="9"/>
  <c r="CE610" i="9" s="1"/>
  <c r="CD626" i="9"/>
  <c r="CE626" i="9" s="1"/>
  <c r="CD560" i="9"/>
  <c r="CE560" i="9" s="1"/>
  <c r="BJ572" i="9"/>
  <c r="BK572" i="9" s="1"/>
  <c r="BL572" i="9" s="1" a="1"/>
  <c r="BL572" i="9" s="1"/>
  <c r="BF625" i="9"/>
  <c r="BG625" i="9" s="1"/>
  <c r="BH625" i="9" s="1" a="1"/>
  <c r="BH625" i="9" s="1"/>
  <c r="CD625" i="9"/>
  <c r="CE625" i="9" s="1"/>
  <c r="CF569" i="9" a="1"/>
  <c r="CF569" i="9" s="1"/>
  <c r="CL617" i="9"/>
  <c r="CM617" i="9" s="1"/>
  <c r="CL610" i="9"/>
  <c r="CM610" i="9" s="1"/>
  <c r="CD631" i="9"/>
  <c r="CE631" i="9" s="1"/>
  <c r="CL602" i="9"/>
  <c r="CM602" i="9" s="1"/>
  <c r="BP641" i="9" a="1"/>
  <c r="BP641" i="9" s="1"/>
  <c r="BN669" i="9"/>
  <c r="BO669" i="9" s="1"/>
  <c r="BN676" i="9"/>
  <c r="BO676" i="9" s="1"/>
  <c r="CH668" i="9"/>
  <c r="CI668" i="9" s="1"/>
  <c r="BP718" i="9" a="1"/>
  <c r="BP718" i="9" s="1"/>
  <c r="BJ727" i="9"/>
  <c r="BK727" i="9" s="1"/>
  <c r="CH734" i="9"/>
  <c r="CI734" i="9" s="1"/>
  <c r="CJ718" i="9" a="1"/>
  <c r="CJ718" i="9" s="1"/>
  <c r="BF703" i="9"/>
  <c r="BG703" i="9" s="1"/>
  <c r="BH703" i="9" s="1" a="1"/>
  <c r="BH703" i="9" s="1"/>
  <c r="CD797" i="9"/>
  <c r="CE797" i="9" s="1"/>
  <c r="CF797" i="9" s="1" a="1"/>
  <c r="CF797" i="9" s="1"/>
  <c r="CD813" i="9"/>
  <c r="CE813" i="9" s="1"/>
  <c r="CF813" i="9" s="1" a="1"/>
  <c r="CF813" i="9" s="1"/>
  <c r="CH711" i="9"/>
  <c r="CI711" i="9" s="1"/>
  <c r="CD808" i="9"/>
  <c r="CE808" i="9" s="1"/>
  <c r="CD779" i="9"/>
  <c r="CE779" i="9" s="1"/>
  <c r="BZ805" i="9"/>
  <c r="CA805" i="9" s="1"/>
  <c r="CB805" i="9" s="1" a="1"/>
  <c r="CB805" i="9" s="1"/>
  <c r="BZ776" i="9"/>
  <c r="CA776" i="9" s="1"/>
  <c r="CB776" i="9" s="1" a="1"/>
  <c r="CB776" i="9" s="1"/>
  <c r="BN812" i="9"/>
  <c r="BO812" i="9" s="1"/>
  <c r="CH787" i="9"/>
  <c r="CI787" i="9" s="1"/>
  <c r="CJ787" i="9" s="1" a="1"/>
  <c r="CJ787" i="9" s="1"/>
  <c r="BN829" i="9"/>
  <c r="BO829" i="9" s="1"/>
  <c r="CD872" i="9"/>
  <c r="CE872" i="9" s="1"/>
  <c r="BR893" i="9"/>
  <c r="BS893" i="9" s="1"/>
  <c r="CD896" i="9"/>
  <c r="CE896" i="9" s="1"/>
  <c r="BL879" i="9" a="1"/>
  <c r="BL879" i="9" s="1"/>
  <c r="BL847" i="9" a="1"/>
  <c r="BL847" i="9" s="1"/>
  <c r="BL871" i="9" a="1"/>
  <c r="BL871" i="9" s="1"/>
  <c r="CF887" i="9" a="1"/>
  <c r="CF887" i="9" s="1"/>
  <c r="CL944" i="9"/>
  <c r="CM944" i="9" s="1"/>
  <c r="BR904" i="9"/>
  <c r="BS904" i="9" s="1"/>
  <c r="BR912" i="9"/>
  <c r="BS912" i="9" s="1"/>
  <c r="BR942" i="9"/>
  <c r="BS942" i="9" s="1"/>
  <c r="CD969" i="9"/>
  <c r="CE969" i="9" s="1"/>
  <c r="BN914" i="9"/>
  <c r="BO914" i="9" s="1"/>
  <c r="BF928" i="9"/>
  <c r="BG928" i="9" s="1"/>
  <c r="BH928" i="9" s="1" a="1"/>
  <c r="BH928" i="9" s="1"/>
  <c r="CL913" i="9"/>
  <c r="CM913" i="9" s="1"/>
  <c r="BR921" i="9"/>
  <c r="BS921" i="9" s="1"/>
  <c r="CD954" i="9"/>
  <c r="CE954" i="9" s="1"/>
  <c r="CD970" i="9"/>
  <c r="CE970" i="9" s="1"/>
  <c r="CJ970" i="9" s="1" a="1"/>
  <c r="CJ970" i="9" s="1"/>
  <c r="BJ943" i="9"/>
  <c r="BK943" i="9" s="1"/>
  <c r="BN929" i="9"/>
  <c r="BO929" i="9" s="1"/>
  <c r="BP929" i="9" s="1" a="1"/>
  <c r="BP929" i="9" s="1"/>
  <c r="BJ913" i="9"/>
  <c r="BK913" i="9" s="1"/>
  <c r="BL913" i="9" s="1" a="1"/>
  <c r="BL913" i="9" s="1"/>
  <c r="BT979" i="9" a="1"/>
  <c r="BT979" i="9" s="1"/>
  <c r="CD999" i="9"/>
  <c r="CE999" i="9" s="1"/>
  <c r="CL983" i="9"/>
  <c r="CM983" i="9" s="1"/>
  <c r="BZ1012" i="9"/>
  <c r="CA1012" i="9" s="1"/>
  <c r="CB1012" i="9" s="1" a="1"/>
  <c r="CB1012" i="9" s="1"/>
  <c r="BZ1018" i="9"/>
  <c r="CA1018" i="9" s="1"/>
  <c r="CB1018" i="9" s="1" a="1"/>
  <c r="CB1018" i="9" s="1"/>
  <c r="BN988" i="9"/>
  <c r="BO988" i="9" s="1"/>
  <c r="CL994" i="9"/>
  <c r="CM994" i="9" s="1"/>
  <c r="CN994" i="9" s="1" a="1"/>
  <c r="CN994" i="9" s="1"/>
  <c r="BJ993" i="9"/>
  <c r="BK993" i="9" s="1"/>
  <c r="CH1017" i="9"/>
  <c r="CI1017" i="9" s="1"/>
  <c r="CJ1017" i="9" s="1" a="1"/>
  <c r="CJ1017" i="9" s="1"/>
  <c r="BJ143" i="9"/>
  <c r="BK143" i="9" s="1"/>
  <c r="BP143" i="9" s="1" a="1"/>
  <c r="BP143" i="9" s="1"/>
  <c r="BJ442" i="9"/>
  <c r="BK442" i="9" s="1"/>
  <c r="BN462" i="9"/>
  <c r="BO462" i="9" s="1"/>
  <c r="BP462" i="9" s="1" a="1"/>
  <c r="BP462" i="9" s="1"/>
  <c r="BN492" i="9"/>
  <c r="BO492" i="9" s="1"/>
  <c r="BP492" i="9" s="1" a="1"/>
  <c r="BP492" i="9" s="1"/>
  <c r="CL509" i="9"/>
  <c r="CM509" i="9" s="1"/>
  <c r="CO509" i="9" s="1" a="1"/>
  <c r="CO509" i="9" s="1"/>
  <c r="BR424" i="9"/>
  <c r="BS424" i="9" s="1"/>
  <c r="BN646" i="9"/>
  <c r="BO646" i="9" s="1"/>
  <c r="AZ685" i="9"/>
  <c r="BF685" i="9" s="1"/>
  <c r="BG685" i="9" s="1"/>
  <c r="BH685" i="9" s="1" a="1"/>
  <c r="BH685" i="9" s="1"/>
  <c r="BF538" i="9"/>
  <c r="BG538" i="9" s="1"/>
  <c r="BH538" i="9" s="1" a="1"/>
  <c r="BH538" i="9" s="1"/>
  <c r="BN438" i="9"/>
  <c r="BO438" i="9" s="1"/>
  <c r="BP438" i="9" s="1" a="1"/>
  <c r="BP438" i="9" s="1"/>
  <c r="CL431" i="9"/>
  <c r="CM431" i="9" s="1"/>
  <c r="BN504" i="9"/>
  <c r="BO504" i="9" s="1"/>
  <c r="BP504" i="9" s="1" a="1"/>
  <c r="BP504" i="9" s="1"/>
  <c r="BF481" i="9"/>
  <c r="BG481" i="9" s="1"/>
  <c r="CD515" i="9"/>
  <c r="CE515" i="9" s="1"/>
  <c r="BN501" i="9"/>
  <c r="BO501" i="9" s="1"/>
  <c r="BP501" i="9" s="1" a="1"/>
  <c r="BP501" i="9" s="1"/>
  <c r="BZ514" i="9"/>
  <c r="CA514" i="9" s="1"/>
  <c r="CB514" i="9" s="1" a="1"/>
  <c r="CB514" i="9" s="1"/>
  <c r="CL522" i="9"/>
  <c r="CM522" i="9" s="1"/>
  <c r="CL530" i="9"/>
  <c r="CM530" i="9" s="1"/>
  <c r="CL538" i="9"/>
  <c r="CM538" i="9" s="1"/>
  <c r="BN506" i="9"/>
  <c r="BO506" i="9" s="1"/>
  <c r="CH552" i="9"/>
  <c r="CI552" i="9" s="1"/>
  <c r="BJ644" i="9"/>
  <c r="BK644" i="9" s="1"/>
  <c r="BN657" i="9"/>
  <c r="BO657" i="9" s="1"/>
  <c r="BP657" i="9" s="1" a="1"/>
  <c r="BP657" i="9" s="1"/>
  <c r="CJ670" i="9" a="1"/>
  <c r="CJ670" i="9" s="1"/>
  <c r="BL694" i="9" a="1"/>
  <c r="BL694" i="9" s="1"/>
  <c r="BZ696" i="9"/>
  <c r="CA696" i="9" s="1"/>
  <c r="CB696" i="9" s="1" a="1"/>
  <c r="CB696" i="9" s="1"/>
  <c r="BJ703" i="9"/>
  <c r="BK703" i="9" s="1"/>
  <c r="BL703" i="9" s="1" a="1"/>
  <c r="BL703" i="9" s="1"/>
  <c r="CL734" i="9"/>
  <c r="CM734" i="9" s="1"/>
  <c r="BZ727" i="9"/>
  <c r="CA727" i="9" s="1"/>
  <c r="CF727" i="9" s="1" a="1"/>
  <c r="CF727" i="9" s="1"/>
  <c r="CD744" i="9"/>
  <c r="CE744" i="9" s="1"/>
  <c r="CJ744" i="9" s="1" a="1"/>
  <c r="CJ744" i="9" s="1"/>
  <c r="BF800" i="9"/>
  <c r="BG800" i="9" s="1"/>
  <c r="BH800" i="9" s="1" a="1"/>
  <c r="BH800" i="9" s="1"/>
  <c r="CL752" i="9"/>
  <c r="CM752" i="9" s="1"/>
  <c r="CL765" i="9"/>
  <c r="CM765" i="9" s="1"/>
  <c r="BL830" i="9" a="1"/>
  <c r="BL830" i="9" s="1"/>
  <c r="BN830" i="9"/>
  <c r="BO830" i="9" s="1"/>
  <c r="BN837" i="9"/>
  <c r="BO837" i="9" s="1"/>
  <c r="BL759" i="9" a="1"/>
  <c r="BL759" i="9" s="1"/>
  <c r="BN930" i="9"/>
  <c r="BO930" i="9" s="1"/>
  <c r="BZ921" i="9"/>
  <c r="CA921" i="9" s="1"/>
  <c r="CB921" i="9" s="1" a="1"/>
  <c r="CB921" i="9" s="1"/>
  <c r="CL960" i="9"/>
  <c r="CM960" i="9" s="1"/>
  <c r="BJ972" i="9"/>
  <c r="BK972" i="9" s="1"/>
  <c r="BN943" i="9"/>
  <c r="BO943" i="9" s="1"/>
  <c r="BJ960" i="9"/>
  <c r="BK960" i="9" s="1"/>
  <c r="CH983" i="9"/>
  <c r="CI983" i="9" s="1"/>
  <c r="BL1018" i="9" a="1"/>
  <c r="BL1018" i="9" s="1"/>
  <c r="BF986" i="9"/>
  <c r="BG986" i="9" s="1"/>
  <c r="BH986" i="9" s="1" a="1"/>
  <c r="BH986" i="9" s="1"/>
  <c r="CJ1002" i="9" a="1"/>
  <c r="CJ1002" i="9" s="1"/>
  <c r="CH993" i="9"/>
  <c r="CI993" i="9" s="1"/>
  <c r="BP1020" i="9" a="1"/>
  <c r="BP1020" i="9" s="1"/>
  <c r="CD685" i="9"/>
  <c r="CE685" i="9" s="1"/>
  <c r="BZ686" i="9"/>
  <c r="CA686" i="9" s="1"/>
  <c r="CB686" i="9" s="1" a="1"/>
  <c r="CB686" i="9" s="1"/>
  <c r="BF604" i="9"/>
  <c r="BG604" i="9" s="1"/>
  <c r="BH604" i="9" s="1" a="1"/>
  <c r="BH604" i="9" s="1"/>
  <c r="BN879" i="9"/>
  <c r="BO879" i="9" s="1"/>
  <c r="BP471" i="9" a="1"/>
  <c r="BP471" i="9" s="1"/>
  <c r="CD469" i="9"/>
  <c r="CE469" i="9" s="1"/>
  <c r="BJ490" i="9"/>
  <c r="BK490" i="9" s="1"/>
  <c r="CL515" i="9"/>
  <c r="CM515" i="9" s="1"/>
  <c r="BJ527" i="9"/>
  <c r="BK527" i="9" s="1"/>
  <c r="BL527" i="9" s="1" a="1"/>
  <c r="BL527" i="9" s="1"/>
  <c r="BP596" i="9" a="1"/>
  <c r="BP596" i="9" s="1"/>
  <c r="CJ725" i="9" a="1"/>
  <c r="CJ725" i="9" s="1"/>
  <c r="BJ643" i="9"/>
  <c r="BK643" i="9" s="1"/>
  <c r="BP643" i="9" s="1" a="1"/>
  <c r="BP643" i="9" s="1"/>
  <c r="CN667" i="9" a="1"/>
  <c r="CN667" i="9" s="1"/>
  <c r="CL677" i="9"/>
  <c r="CM677" i="9" s="1"/>
  <c r="BR703" i="9"/>
  <c r="BS703" i="9" s="1"/>
  <c r="BF711" i="9"/>
  <c r="BG711" i="9" s="1"/>
  <c r="BH711" i="9" s="1" a="1"/>
  <c r="BH711" i="9" s="1"/>
  <c r="BF746" i="9"/>
  <c r="BG746" i="9" s="1"/>
  <c r="BH746" i="9" s="1" a="1"/>
  <c r="BH746" i="9" s="1"/>
  <c r="CD773" i="9"/>
  <c r="CE773" i="9" s="1"/>
  <c r="CL703" i="9"/>
  <c r="CM703" i="9" s="1"/>
  <c r="CO703" i="9" s="1" a="1"/>
  <c r="CO703" i="9" s="1"/>
  <c r="BN789" i="9"/>
  <c r="BO789" i="9" s="1"/>
  <c r="BP789" i="9" s="1" a="1"/>
  <c r="BP789" i="9" s="1"/>
  <c r="CD893" i="9"/>
  <c r="CE893" i="9" s="1"/>
  <c r="CD832" i="9"/>
  <c r="CE832" i="9" s="1"/>
  <c r="BP838" i="9" a="1"/>
  <c r="BP838" i="9" s="1"/>
  <c r="BR839" i="9"/>
  <c r="BS839" i="9" s="1"/>
  <c r="BT895" i="9" a="1"/>
  <c r="BT895" i="9" s="1"/>
  <c r="BF863" i="9"/>
  <c r="BG863" i="9" s="1"/>
  <c r="BH863" i="9" s="1" a="1"/>
  <c r="BH863" i="9" s="1"/>
  <c r="CH930" i="9"/>
  <c r="CI930" i="9" s="1"/>
  <c r="BL887" i="9" a="1"/>
  <c r="BL887" i="9" s="1"/>
  <c r="CD991" i="9"/>
  <c r="CE991" i="9" s="1"/>
  <c r="BZ986" i="9"/>
  <c r="CA986" i="9" s="1"/>
  <c r="CB986" i="9" s="1" a="1"/>
  <c r="CB986" i="9" s="1"/>
  <c r="AZ162" i="9"/>
  <c r="CL143" i="9"/>
  <c r="CM143" i="9" s="1"/>
  <c r="BZ143" i="9"/>
  <c r="CA143" i="9" s="1"/>
  <c r="CL335" i="9"/>
  <c r="CM335" i="9" s="1"/>
  <c r="CO335" i="9" s="1" a="1"/>
  <c r="CO335" i="9" s="1"/>
  <c r="BN424" i="9"/>
  <c r="BO424" i="9" s="1"/>
  <c r="BP424" i="9" s="1" a="1"/>
  <c r="BP424" i="9" s="1"/>
  <c r="BR509" i="9"/>
  <c r="BS509" i="9" s="1"/>
  <c r="BT509" i="9" s="1" a="1"/>
  <c r="BT509" i="9" s="1"/>
  <c r="CH646" i="9"/>
  <c r="CI646" i="9" s="1"/>
  <c r="BJ728" i="9"/>
  <c r="BK728" i="9" s="1"/>
  <c r="BP728" i="9" s="1" a="1"/>
  <c r="BP728" i="9" s="1"/>
  <c r="BF504" i="9"/>
  <c r="BG504" i="9" s="1"/>
  <c r="BR527" i="9"/>
  <c r="BS527" i="9" s="1"/>
  <c r="BJ515" i="9"/>
  <c r="BK515" i="9" s="1"/>
  <c r="BN578" i="9"/>
  <c r="BO578" i="9" s="1"/>
  <c r="BZ617" i="9"/>
  <c r="CA617" i="9" s="1"/>
  <c r="CB617" i="9" s="1" a="1"/>
  <c r="CB617" i="9" s="1"/>
  <c r="BZ669" i="9"/>
  <c r="CA669" i="9" s="1"/>
  <c r="CB669" i="9" s="1" a="1"/>
  <c r="CB669" i="9" s="1"/>
  <c r="BN644" i="9"/>
  <c r="BO644" i="9" s="1"/>
  <c r="CH647" i="9"/>
  <c r="CI647" i="9" s="1"/>
  <c r="BP638" i="9" a="1"/>
  <c r="BP638" i="9" s="1"/>
  <c r="CH671" i="9"/>
  <c r="CI671" i="9" s="1"/>
  <c r="CJ671" i="9" s="1" a="1"/>
  <c r="CJ671" i="9" s="1"/>
  <c r="CJ673" i="9" a="1"/>
  <c r="CJ673" i="9" s="1"/>
  <c r="BT694" i="9" a="1"/>
  <c r="BT694" i="9" s="1"/>
  <c r="CH736" i="9"/>
  <c r="CI736" i="9" s="1"/>
  <c r="BZ711" i="9"/>
  <c r="CA711" i="9" s="1"/>
  <c r="CB711" i="9" s="1" a="1"/>
  <c r="CB711" i="9" s="1"/>
  <c r="CD789" i="9"/>
  <c r="CE789" i="9" s="1"/>
  <c r="BN703" i="9"/>
  <c r="BO703" i="9" s="1"/>
  <c r="CD776" i="9"/>
  <c r="CE776" i="9" s="1"/>
  <c r="CF776" i="9" s="1" a="1"/>
  <c r="CF776" i="9" s="1"/>
  <c r="CL711" i="9"/>
  <c r="CM711" i="9" s="1"/>
  <c r="CH773" i="9"/>
  <c r="CI773" i="9" s="1"/>
  <c r="CJ773" i="9" s="1" a="1"/>
  <c r="CJ773" i="9" s="1"/>
  <c r="BR789" i="9"/>
  <c r="BS789" i="9" s="1"/>
  <c r="BR818" i="9"/>
  <c r="BS818" i="9" s="1"/>
  <c r="BN805" i="9"/>
  <c r="BO805" i="9" s="1"/>
  <c r="BT805" i="9" s="1" a="1"/>
  <c r="BT805" i="9" s="1"/>
  <c r="CD880" i="9"/>
  <c r="CE880" i="9" s="1"/>
  <c r="BP831" i="9" a="1"/>
  <c r="BP831" i="9" s="1"/>
  <c r="BN863" i="9"/>
  <c r="BO863" i="9" s="1"/>
  <c r="CL830" i="9"/>
  <c r="CM830" i="9" s="1"/>
  <c r="CL905" i="9"/>
  <c r="CM905" i="9" s="1"/>
  <c r="CD960" i="9"/>
  <c r="CE960" i="9" s="1"/>
  <c r="CJ960" i="9" s="1" a="1"/>
  <c r="CJ960" i="9" s="1"/>
  <c r="CF985" i="9" a="1"/>
  <c r="CF985" i="9" s="1"/>
  <c r="BR986" i="9"/>
  <c r="BS986" i="9" s="1"/>
  <c r="BP985" i="9" a="1"/>
  <c r="BP985" i="9" s="1"/>
  <c r="CL158" i="9"/>
  <c r="CM158" i="9" s="1"/>
  <c r="CO158" i="9" s="1" a="1"/>
  <c r="CO158" i="9" s="1"/>
  <c r="BN162" i="9"/>
  <c r="BO162" i="9" s="1"/>
  <c r="CH132" i="9"/>
  <c r="CI132" i="9" s="1"/>
  <c r="CH685" i="9"/>
  <c r="CI685" i="9" s="1"/>
  <c r="BT572" i="9" a="1"/>
  <c r="BT572" i="9" s="1"/>
  <c r="CF686" i="9" a="1"/>
  <c r="CF686" i="9" s="1"/>
  <c r="CJ954" i="9" a="1"/>
  <c r="CJ954" i="9" s="1"/>
  <c r="CJ991" i="9" a="1"/>
  <c r="CJ991" i="9" s="1"/>
  <c r="CJ999" i="9" a="1"/>
  <c r="CJ999" i="9" s="1"/>
  <c r="BF1007" i="9"/>
  <c r="BG1007" i="9" s="1"/>
  <c r="BH1007" i="9" s="1" a="1"/>
  <c r="BH1007" i="9" s="1"/>
  <c r="CD132" i="9"/>
  <c r="CE132" i="9" s="1"/>
  <c r="CL424" i="9"/>
  <c r="CM424" i="9" s="1"/>
  <c r="AZ678" i="9"/>
  <c r="BF678" i="9" s="1"/>
  <c r="BG678" i="9" s="1"/>
  <c r="BH678" i="9" s="1" a="1"/>
  <c r="BH678" i="9" s="1"/>
  <c r="CL975" i="9"/>
  <c r="CM975" i="9" s="1"/>
  <c r="BL538" i="9" a="1"/>
  <c r="BL538" i="9" s="1"/>
  <c r="CJ527" i="9" a="1"/>
  <c r="CJ527" i="9" s="1"/>
  <c r="BL580" i="9" a="1"/>
  <c r="BL580" i="9" s="1"/>
  <c r="BL593" i="9" a="1"/>
  <c r="BL593" i="9" s="1"/>
  <c r="CJ655" i="9" a="1"/>
  <c r="CJ655" i="9" s="1"/>
  <c r="BN704" i="9"/>
  <c r="BO704" i="9" s="1"/>
  <c r="CN720" i="9" a="1"/>
  <c r="CN720" i="9" s="1"/>
  <c r="BF701" i="9"/>
  <c r="BG701" i="9" s="1"/>
  <c r="BH701" i="9" s="1" a="1"/>
  <c r="BH701" i="9" s="1"/>
  <c r="BR717" i="9"/>
  <c r="BS717" i="9" s="1"/>
  <c r="BR594" i="9"/>
  <c r="BS594" i="9" s="1"/>
  <c r="CF659" i="9" a="1"/>
  <c r="CF659" i="9" s="1"/>
  <c r="BZ704" i="9"/>
  <c r="CA704" i="9" s="1"/>
  <c r="CB704" i="9" s="1" a="1"/>
  <c r="CB704" i="9" s="1"/>
  <c r="CL727" i="9"/>
  <c r="CM727" i="9" s="1"/>
  <c r="CJ684" i="9" a="1"/>
  <c r="CJ684" i="9" s="1"/>
  <c r="BP726" i="9" a="1"/>
  <c r="BP726" i="9" s="1"/>
  <c r="BT752" i="9" a="1"/>
  <c r="BT752" i="9" s="1"/>
  <c r="CD703" i="9"/>
  <c r="CE703" i="9" s="1"/>
  <c r="CJ703" i="9" s="1" a="1"/>
  <c r="CJ703" i="9" s="1"/>
  <c r="CF805" i="9" a="1"/>
  <c r="CF805" i="9" s="1"/>
  <c r="CD792" i="9"/>
  <c r="CE792" i="9" s="1"/>
  <c r="BJ755" i="9"/>
  <c r="BK755" i="9" s="1"/>
  <c r="BP748" i="9" a="1"/>
  <c r="BP748" i="9" s="1"/>
  <c r="BJ800" i="9"/>
  <c r="BK800" i="9" s="1"/>
  <c r="CL812" i="9"/>
  <c r="CM812" i="9" s="1"/>
  <c r="BL741" i="9" a="1"/>
  <c r="BL741" i="9" s="1"/>
  <c r="CD856" i="9"/>
  <c r="CE856" i="9" s="1"/>
  <c r="BZ831" i="9"/>
  <c r="CA831" i="9" s="1"/>
  <c r="CB831" i="9" s="1" a="1"/>
  <c r="CB831" i="9" s="1"/>
  <c r="BF811" i="9"/>
  <c r="BG811" i="9" s="1"/>
  <c r="BH811" i="9" s="1" a="1"/>
  <c r="BH811" i="9" s="1"/>
  <c r="BN832" i="9"/>
  <c r="BO832" i="9" s="1"/>
  <c r="BP832" i="9" s="1" a="1"/>
  <c r="BP832" i="9" s="1"/>
  <c r="CH832" i="9"/>
  <c r="CI832" i="9" s="1"/>
  <c r="CJ832" i="9" s="1" a="1"/>
  <c r="CJ832" i="9" s="1"/>
  <c r="BF832" i="9"/>
  <c r="BG832" i="9" s="1"/>
  <c r="BH832" i="9" s="1" a="1"/>
  <c r="BH832" i="9" s="1"/>
  <c r="CH946" i="9"/>
  <c r="CI946" i="9" s="1"/>
  <c r="CB952" i="9" a="1"/>
  <c r="CB952" i="9" s="1"/>
  <c r="CD863" i="9"/>
  <c r="CE863" i="9" s="1"/>
  <c r="CJ863" i="9" s="1" a="1"/>
  <c r="CJ863" i="9" s="1"/>
  <c r="CD962" i="9"/>
  <c r="CE962" i="9" s="1"/>
  <c r="CJ962" i="9" s="1" a="1"/>
  <c r="CJ962" i="9" s="1"/>
  <c r="BN935" i="9"/>
  <c r="BO935" i="9" s="1"/>
  <c r="CJ903" i="9" a="1"/>
  <c r="CJ903" i="9" s="1"/>
  <c r="CL976" i="9"/>
  <c r="CM976" i="9" s="1"/>
  <c r="CD980" i="9"/>
  <c r="CE980" i="9" s="1"/>
  <c r="CF1012" i="9" a="1"/>
  <c r="CF1012" i="9" s="1"/>
  <c r="CD1020" i="9"/>
  <c r="CE1020" i="9" s="1"/>
  <c r="CF1020" i="9" s="1" a="1"/>
  <c r="CF1020" i="9" s="1"/>
  <c r="CH984" i="9"/>
  <c r="CI984" i="9" s="1"/>
  <c r="CH1008" i="9"/>
  <c r="CI1008" i="9" s="1"/>
  <c r="CH1016" i="9"/>
  <c r="CI1016" i="9" s="1"/>
  <c r="BF1009" i="9"/>
  <c r="BG1009" i="9" s="1"/>
  <c r="BH1009" i="9" s="1" a="1"/>
  <c r="BH1009" i="9" s="1"/>
  <c r="CL1015" i="9"/>
  <c r="CM1015" i="9" s="1"/>
  <c r="BF1002" i="9"/>
  <c r="BG1002" i="9" s="1"/>
  <c r="BH1002" i="9" s="1" a="1"/>
  <c r="BH1002" i="9" s="1"/>
  <c r="BN993" i="9"/>
  <c r="BO993" i="9" s="1"/>
  <c r="BP993" i="9" s="1" a="1"/>
  <c r="BP993" i="9" s="1"/>
  <c r="BN1012" i="9"/>
  <c r="BO1012" i="9" s="1"/>
  <c r="BP1012" i="9" s="1" a="1"/>
  <c r="BP1012" i="9" s="1"/>
  <c r="BZ132" i="9"/>
  <c r="CA132" i="9" s="1"/>
  <c r="CB132" i="9" s="1" a="1"/>
  <c r="CB132" i="9" s="1"/>
  <c r="CL269" i="9"/>
  <c r="CM269" i="9" s="1"/>
  <c r="AZ382" i="9"/>
  <c r="BJ382" i="9" s="1"/>
  <c r="BK382" i="9" s="1"/>
  <c r="BF471" i="9"/>
  <c r="BG471" i="9" s="1"/>
  <c r="BH471" i="9" s="1" a="1"/>
  <c r="BH471" i="9" s="1"/>
  <c r="AZ633" i="9"/>
  <c r="BF633" i="9" s="1"/>
  <c r="BG633" i="9" s="1"/>
  <c r="BH633" i="9" s="1" a="1"/>
  <c r="BH633" i="9" s="1"/>
  <c r="CD558" i="9"/>
  <c r="CE558" i="9" s="1"/>
  <c r="CJ558" i="9" s="1" a="1"/>
  <c r="CJ558" i="9" s="1"/>
  <c r="BN678" i="9"/>
  <c r="BO678" i="9" s="1"/>
  <c r="BR678" i="9"/>
  <c r="BS678" i="9" s="1"/>
  <c r="CH678" i="9"/>
  <c r="CI678" i="9" s="1"/>
  <c r="BN887" i="9"/>
  <c r="BO887" i="9" s="1"/>
  <c r="BP887" i="9" s="1" a="1"/>
  <c r="BP887" i="9" s="1"/>
  <c r="BU124" i="9" a="1"/>
  <c r="BU124" i="9" s="1"/>
  <c r="BP139" i="9" a="1"/>
  <c r="BP139" i="9" s="1"/>
  <c r="CO125" i="9" a="1"/>
  <c r="CO125" i="9" s="1"/>
  <c r="BU154" i="9" a="1"/>
  <c r="BU154" i="9" s="1"/>
  <c r="BU150" i="9" a="1"/>
  <c r="BU150" i="9" s="1"/>
  <c r="BU129" i="9" a="1"/>
  <c r="BU129" i="9" s="1"/>
  <c r="BF124" i="9"/>
  <c r="BG124" i="9" s="1"/>
  <c r="BH124" i="9" s="1" a="1"/>
  <c r="BH124" i="9" s="1"/>
  <c r="BJ124" i="9"/>
  <c r="BK124" i="9" s="1"/>
  <c r="CL124" i="9"/>
  <c r="CM124" i="9" s="1"/>
  <c r="CD124" i="9"/>
  <c r="CE124" i="9" s="1"/>
  <c r="CF124" i="9" s="1" a="1"/>
  <c r="CF124" i="9" s="1"/>
  <c r="BN124" i="9"/>
  <c r="BO124" i="9" s="1"/>
  <c r="AZ128" i="9"/>
  <c r="AZ134" i="9"/>
  <c r="BZ134" i="9" s="1"/>
  <c r="CA134" i="9" s="1"/>
  <c r="CB134" i="9" s="1" a="1"/>
  <c r="CB134" i="9" s="1"/>
  <c r="CH130" i="9"/>
  <c r="CI130" i="9" s="1"/>
  <c r="BN142" i="9"/>
  <c r="BO142" i="9" s="1"/>
  <c r="CH144" i="9"/>
  <c r="CI144" i="9" s="1"/>
  <c r="BJ150" i="9"/>
  <c r="BK150" i="9" s="1"/>
  <c r="BZ150" i="9"/>
  <c r="CA150" i="9" s="1"/>
  <c r="CB150" i="9" s="1" a="1"/>
  <c r="CB150" i="9" s="1"/>
  <c r="BF150" i="9"/>
  <c r="BG150" i="9" s="1"/>
  <c r="BH150" i="9" s="1" a="1"/>
  <c r="BH150" i="9" s="1"/>
  <c r="CL150" i="9"/>
  <c r="CM150" i="9" s="1"/>
  <c r="CL148" i="9"/>
  <c r="CM148" i="9" s="1"/>
  <c r="BU166" i="9" a="1"/>
  <c r="BU166" i="9" s="1"/>
  <c r="BT166" i="9" a="1"/>
  <c r="BT166" i="9" s="1"/>
  <c r="CO212" i="9" a="1"/>
  <c r="CO212" i="9" s="1"/>
  <c r="BU244" i="9" a="1"/>
  <c r="BU244" i="9" s="1"/>
  <c r="BT277" i="9" a="1"/>
  <c r="BT277" i="9" s="1"/>
  <c r="BU277" i="9" a="1"/>
  <c r="BU277" i="9" s="1"/>
  <c r="BU279" i="9" a="1"/>
  <c r="BU279" i="9" s="1"/>
  <c r="BT279" i="9" a="1"/>
  <c r="BT279" i="9" s="1"/>
  <c r="CO279" i="9" a="1"/>
  <c r="CO279" i="9" s="1"/>
  <c r="CN279" i="9" a="1"/>
  <c r="CN279" i="9" s="1"/>
  <c r="CN297" i="9" a="1"/>
  <c r="CN297" i="9" s="1"/>
  <c r="CO297" i="9" a="1"/>
  <c r="CO297" i="9" s="1"/>
  <c r="BT315" i="9" a="1"/>
  <c r="BT315" i="9" s="1"/>
  <c r="BU315" i="9" a="1"/>
  <c r="BU315" i="9" s="1"/>
  <c r="BP320" i="9" a="1"/>
  <c r="BP320" i="9" s="1"/>
  <c r="CO312" i="9" a="1"/>
  <c r="CO312" i="9" s="1"/>
  <c r="CJ315" i="9" a="1"/>
  <c r="CJ315" i="9" s="1"/>
  <c r="BP338" i="9" a="1"/>
  <c r="BP338" i="9" s="1"/>
  <c r="BP353" i="9" a="1"/>
  <c r="BP353" i="9" s="1"/>
  <c r="CO366" i="9" a="1"/>
  <c r="CO366" i="9" s="1"/>
  <c r="CN366" i="9" a="1"/>
  <c r="CN366" i="9" s="1"/>
  <c r="CO374" i="9" a="1"/>
  <c r="CO374" i="9" s="1"/>
  <c r="CN374" i="9" a="1"/>
  <c r="CN374" i="9" s="1"/>
  <c r="BP390" i="9" a="1"/>
  <c r="BP390" i="9" s="1"/>
  <c r="CO411" i="9" a="1"/>
  <c r="CO411" i="9" s="1"/>
  <c r="CJ367" i="9" a="1"/>
  <c r="CJ367" i="9" s="1"/>
  <c r="BT432" i="9" a="1"/>
  <c r="BT432" i="9" s="1"/>
  <c r="CH129" i="9"/>
  <c r="CI129" i="9" s="1"/>
  <c r="AZ127" i="9"/>
  <c r="BR127" i="9" s="1"/>
  <c r="BS127" i="9" s="1"/>
  <c r="BN129" i="9"/>
  <c r="BO129" i="9" s="1"/>
  <c r="AZ147" i="9"/>
  <c r="BZ147" i="9" s="1"/>
  <c r="CA147" i="9" s="1"/>
  <c r="CB147" i="9" s="1" a="1"/>
  <c r="CB147" i="9" s="1"/>
  <c r="BR139" i="9"/>
  <c r="BS139" i="9" s="1"/>
  <c r="CD139" i="9"/>
  <c r="CE139" i="9" s="1"/>
  <c r="CH139" i="9"/>
  <c r="CI139" i="9" s="1"/>
  <c r="BZ139" i="9"/>
  <c r="CA139" i="9" s="1"/>
  <c r="CB139" i="9" s="1" a="1"/>
  <c r="CB139" i="9" s="1"/>
  <c r="BF139" i="9"/>
  <c r="BG139" i="9" s="1"/>
  <c r="BH139" i="9" s="1" a="1"/>
  <c r="BH139" i="9" s="1"/>
  <c r="BZ140" i="9"/>
  <c r="CA140" i="9" s="1"/>
  <c r="CB140" i="9" s="1" a="1"/>
  <c r="CB140" i="9" s="1"/>
  <c r="BF140" i="9"/>
  <c r="BG140" i="9" s="1"/>
  <c r="CH140" i="9"/>
  <c r="CI140" i="9" s="1"/>
  <c r="BZ157" i="9"/>
  <c r="CA157" i="9" s="1"/>
  <c r="CB157" i="9" s="1" a="1"/>
  <c r="CB157" i="9" s="1"/>
  <c r="BF157" i="9"/>
  <c r="BG157" i="9" s="1"/>
  <c r="BH157" i="9" s="1" a="1"/>
  <c r="BH157" i="9" s="1"/>
  <c r="BJ157" i="9"/>
  <c r="BK157" i="9" s="1"/>
  <c r="CH157" i="9"/>
  <c r="CI157" i="9" s="1"/>
  <c r="CJ157" i="9" s="1" a="1"/>
  <c r="CJ157" i="9" s="1"/>
  <c r="BN157" i="9"/>
  <c r="BO157" i="9" s="1"/>
  <c r="BR157" i="9"/>
  <c r="BS157" i="9" s="1"/>
  <c r="BN156" i="9"/>
  <c r="BO156" i="9" s="1"/>
  <c r="BP156" i="9" s="1" a="1"/>
  <c r="BP156" i="9" s="1"/>
  <c r="BP132" i="9" a="1"/>
  <c r="BP132" i="9" s="1"/>
  <c r="CH156" i="9"/>
  <c r="CI156" i="9" s="1"/>
  <c r="CD156" i="9"/>
  <c r="CE156" i="9" s="1"/>
  <c r="BZ156" i="9"/>
  <c r="CA156" i="9" s="1"/>
  <c r="CB156" i="9" s="1" a="1"/>
  <c r="CB156" i="9" s="1"/>
  <c r="AZ177" i="9"/>
  <c r="BN177" i="9" s="1"/>
  <c r="BO177" i="9" s="1"/>
  <c r="BN163" i="9"/>
  <c r="BO163" i="9" s="1"/>
  <c r="BP163" i="9" s="1" a="1"/>
  <c r="BP163" i="9" s="1"/>
  <c r="BJ199" i="9"/>
  <c r="BK199" i="9" s="1"/>
  <c r="BF199" i="9"/>
  <c r="BG199" i="9" s="1"/>
  <c r="BH199" i="9" s="1" a="1"/>
  <c r="BH199" i="9" s="1"/>
  <c r="BL222" i="9" a="1"/>
  <c r="BL222" i="9" s="1"/>
  <c r="BP222" i="9" a="1"/>
  <c r="BP222" i="9" s="1"/>
  <c r="CO209" i="9" a="1"/>
  <c r="CO209" i="9" s="1"/>
  <c r="CO242" i="9" a="1"/>
  <c r="CO242" i="9" s="1"/>
  <c r="BU259" i="9" a="1"/>
  <c r="BU259" i="9" s="1"/>
  <c r="BT281" i="9" a="1"/>
  <c r="BT281" i="9" s="1"/>
  <c r="BU281" i="9" a="1"/>
  <c r="BU281" i="9" s="1"/>
  <c r="CF271" i="9" a="1"/>
  <c r="CF271" i="9" s="1"/>
  <c r="BU361" i="9" a="1"/>
  <c r="BU361" i="9" s="1"/>
  <c r="BT341" i="9" a="1"/>
  <c r="BT341" i="9" s="1"/>
  <c r="BU341" i="9" a="1"/>
  <c r="BU341" i="9" s="1"/>
  <c r="CN387" i="9" a="1"/>
  <c r="CN387" i="9" s="1"/>
  <c r="CO387" i="9" a="1"/>
  <c r="CO387" i="9" s="1"/>
  <c r="BL374" i="9" a="1"/>
  <c r="BL374" i="9" s="1"/>
  <c r="BP374" i="9" a="1"/>
  <c r="BP374" i="9" s="1"/>
  <c r="CN410" i="9" a="1"/>
  <c r="CN410" i="9" s="1"/>
  <c r="CO410" i="9" a="1"/>
  <c r="CO410" i="9" s="1"/>
  <c r="BU433" i="9" a="1"/>
  <c r="BU433" i="9" s="1"/>
  <c r="CO492" i="9" a="1"/>
  <c r="CO492" i="9" s="1"/>
  <c r="CN492" i="9" a="1"/>
  <c r="CN492" i="9" s="1"/>
  <c r="CN132" i="9" a="1"/>
  <c r="CN132" i="9" s="1"/>
  <c r="CO132" i="9" a="1"/>
  <c r="CO132" i="9" s="1"/>
  <c r="CD129" i="9"/>
  <c r="CE129" i="9" s="1"/>
  <c r="CD130" i="9"/>
  <c r="CE130" i="9" s="1"/>
  <c r="BR142" i="9"/>
  <c r="BS142" i="9" s="1"/>
  <c r="BZ144" i="9"/>
  <c r="CA144" i="9" s="1"/>
  <c r="CB144" i="9" s="1" a="1"/>
  <c r="CB144" i="9" s="1"/>
  <c r="BF144" i="9"/>
  <c r="BG144" i="9" s="1"/>
  <c r="BL144" i="9" s="1" a="1"/>
  <c r="BL144" i="9" s="1"/>
  <c r="CJ143" i="9" a="1"/>
  <c r="CJ143" i="9" s="1"/>
  <c r="BN140" i="9"/>
  <c r="BO140" i="9" s="1"/>
  <c r="AZ153" i="9"/>
  <c r="CL153" i="9" s="1"/>
  <c r="CM153" i="9" s="1"/>
  <c r="BF160" i="9"/>
  <c r="BG160" i="9" s="1"/>
  <c r="BH160" i="9" s="1" a="1"/>
  <c r="BH160" i="9" s="1"/>
  <c r="BZ160" i="9"/>
  <c r="CA160" i="9" s="1"/>
  <c r="CH160" i="9"/>
  <c r="CI160" i="9" s="1"/>
  <c r="BJ160" i="9"/>
  <c r="BK160" i="9" s="1"/>
  <c r="BL173" i="9" a="1"/>
  <c r="BL173" i="9" s="1"/>
  <c r="BV173" i="9" s="1"/>
  <c r="Q173" i="9" s="1"/>
  <c r="CL164" i="9"/>
  <c r="CM164" i="9" s="1"/>
  <c r="BR164" i="9"/>
  <c r="BS164" i="9" s="1"/>
  <c r="BN164" i="9"/>
  <c r="BO164" i="9" s="1"/>
  <c r="CD164" i="9"/>
  <c r="CE164" i="9" s="1"/>
  <c r="CO181" i="9" a="1"/>
  <c r="CO181" i="9" s="1"/>
  <c r="AZ187" i="9"/>
  <c r="BN187" i="9" s="1"/>
  <c r="BO187" i="9" s="1"/>
  <c r="BF194" i="9"/>
  <c r="BG194" i="9" s="1"/>
  <c r="BH194" i="9" s="1" a="1"/>
  <c r="BH194" i="9" s="1"/>
  <c r="BZ194" i="9"/>
  <c r="CA194" i="9" s="1"/>
  <c r="CB194" i="9" s="1" a="1"/>
  <c r="CB194" i="9" s="1"/>
  <c r="BJ194" i="9"/>
  <c r="BK194" i="9" s="1"/>
  <c r="BJ191" i="9"/>
  <c r="BK191" i="9" s="1"/>
  <c r="BU220" i="9" a="1"/>
  <c r="BU220" i="9" s="1"/>
  <c r="CJ230" i="9" a="1"/>
  <c r="CJ230" i="9" s="1"/>
  <c r="BU234" i="9" a="1"/>
  <c r="BU234" i="9" s="1"/>
  <c r="CN262" i="9" a="1"/>
  <c r="CN262" i="9" s="1"/>
  <c r="CO262" i="9" a="1"/>
  <c r="CO262" i="9" s="1"/>
  <c r="BU275" i="9" a="1"/>
  <c r="BU275" i="9" s="1"/>
  <c r="CO286" i="9" a="1"/>
  <c r="CO286" i="9" s="1"/>
  <c r="BT322" i="9" a="1"/>
  <c r="BT322" i="9" s="1"/>
  <c r="BU322" i="9" a="1"/>
  <c r="BU322" i="9" s="1"/>
  <c r="CJ378" i="9" a="1"/>
  <c r="CJ378" i="9" s="1"/>
  <c r="BU381" i="9" a="1"/>
  <c r="BU381" i="9" s="1"/>
  <c r="BU388" i="9" a="1"/>
  <c r="BU388" i="9" s="1"/>
  <c r="BP410" i="9" a="1"/>
  <c r="BP410" i="9" s="1"/>
  <c r="BT410" i="9" a="1"/>
  <c r="BT410" i="9" s="1"/>
  <c r="CO432" i="9" a="1"/>
  <c r="CO432" i="9" s="1"/>
  <c r="CN432" i="9" a="1"/>
  <c r="CN432" i="9" s="1"/>
  <c r="CO431" i="9" a="1"/>
  <c r="CO431" i="9" s="1"/>
  <c r="BU462" i="9" a="1"/>
  <c r="BU462" i="9" s="1"/>
  <c r="BV462" i="9" s="1"/>
  <c r="Q462" i="9" s="1"/>
  <c r="BT462" i="9" a="1"/>
  <c r="BT462" i="9" s="1"/>
  <c r="CD125" i="9"/>
  <c r="CE125" i="9" s="1"/>
  <c r="CF125" i="9" s="1" a="1"/>
  <c r="CF125" i="9" s="1"/>
  <c r="BZ128" i="9"/>
  <c r="CA128" i="9" s="1"/>
  <c r="CB128" i="9" s="1" a="1"/>
  <c r="CB128" i="9" s="1"/>
  <c r="BP133" i="9" a="1"/>
  <c r="BP133" i="9" s="1"/>
  <c r="BJ135" i="9"/>
  <c r="BK135" i="9" s="1"/>
  <c r="CJ132" i="9" a="1"/>
  <c r="CJ132" i="9" s="1"/>
  <c r="CH133" i="9"/>
  <c r="CI133" i="9" s="1"/>
  <c r="BZ151" i="9"/>
  <c r="CA151" i="9" s="1"/>
  <c r="CB151" i="9" s="1" a="1"/>
  <c r="CB151" i="9" s="1"/>
  <c r="CD151" i="9"/>
  <c r="CE151" i="9" s="1"/>
  <c r="CH151" i="9"/>
  <c r="CI151" i="9" s="1"/>
  <c r="BR144" i="9"/>
  <c r="BS144" i="9" s="1"/>
  <c r="CF158" i="9" a="1"/>
  <c r="CF158" i="9" s="1"/>
  <c r="BN160" i="9"/>
  <c r="BO160" i="9" s="1"/>
  <c r="BZ149" i="9"/>
  <c r="CA149" i="9" s="1"/>
  <c r="CB149" i="9" s="1" a="1"/>
  <c r="CB149" i="9" s="1"/>
  <c r="BJ153" i="9"/>
  <c r="BK153" i="9" s="1"/>
  <c r="BT151" i="9" a="1"/>
  <c r="BT151" i="9" s="1"/>
  <c r="BP166" i="9" a="1"/>
  <c r="BP166" i="9" s="1"/>
  <c r="CD189" i="9"/>
  <c r="CE189" i="9" s="1"/>
  <c r="BN189" i="9"/>
  <c r="BO189" i="9" s="1"/>
  <c r="BJ189" i="9"/>
  <c r="BK189" i="9" s="1"/>
  <c r="BL269" i="9" a="1"/>
  <c r="BL269" i="9" s="1"/>
  <c r="BV269" i="9" s="1"/>
  <c r="Q269" i="9" s="1"/>
  <c r="BT298" i="9" a="1"/>
  <c r="BT298" i="9" s="1"/>
  <c r="BU298" i="9" a="1"/>
  <c r="BU298" i="9" s="1"/>
  <c r="BT290" i="9" a="1"/>
  <c r="BT290" i="9" s="1"/>
  <c r="BU290" i="9" a="1"/>
  <c r="BU290" i="9" s="1"/>
  <c r="CO306" i="9" a="1"/>
  <c r="CO306" i="9" s="1"/>
  <c r="CN306" i="9" a="1"/>
  <c r="CN306" i="9" s="1"/>
  <c r="BP278" i="9" a="1"/>
  <c r="BP278" i="9" s="1"/>
  <c r="BT306" i="9" a="1"/>
  <c r="BT306" i="9" s="1"/>
  <c r="BU306" i="9" a="1"/>
  <c r="BU306" i="9" s="1"/>
  <c r="CN341" i="9" a="1"/>
  <c r="CN341" i="9" s="1"/>
  <c r="CO341" i="9" a="1"/>
  <c r="CO341" i="9" s="1"/>
  <c r="BP322" i="9" a="1"/>
  <c r="BP322" i="9" s="1"/>
  <c r="CF354" i="9" a="1"/>
  <c r="CF354" i="9" s="1"/>
  <c r="CB354" i="9" a="1"/>
  <c r="CB354" i="9" s="1"/>
  <c r="BP341" i="9" a="1"/>
  <c r="BP341" i="9" s="1"/>
  <c r="CJ366" i="9" a="1"/>
  <c r="CJ366" i="9" s="1"/>
  <c r="CO414" i="9" a="1"/>
  <c r="CO414" i="9" s="1"/>
  <c r="CO422" i="9" a="1"/>
  <c r="CO422" i="9" s="1"/>
  <c r="CJ405" i="9" a="1"/>
  <c r="CJ405" i="9" s="1"/>
  <c r="CF432" i="9" a="1"/>
  <c r="CF432" i="9" s="1"/>
  <c r="CB432" i="9" a="1"/>
  <c r="CB432" i="9" s="1"/>
  <c r="BR126" i="9"/>
  <c r="BS126" i="9" s="1"/>
  <c r="BN130" i="9"/>
  <c r="BO130" i="9" s="1"/>
  <c r="BR125" i="9"/>
  <c r="BS125" i="9" s="1"/>
  <c r="BR128" i="9"/>
  <c r="BS128" i="9" s="1"/>
  <c r="BN135" i="9"/>
  <c r="BO135" i="9" s="1"/>
  <c r="BP135" i="9" s="1" a="1"/>
  <c r="BP135" i="9" s="1"/>
  <c r="BJ131" i="9"/>
  <c r="BK131" i="9" s="1"/>
  <c r="BL131" i="9" s="1" a="1"/>
  <c r="BL131" i="9" s="1"/>
  <c r="BN131" i="9"/>
  <c r="BO131" i="9" s="1"/>
  <c r="BP131" i="9" s="1" a="1"/>
  <c r="BP131" i="9" s="1"/>
  <c r="BR131" i="9"/>
  <c r="BS131" i="9" s="1"/>
  <c r="BZ141" i="9"/>
  <c r="CA141" i="9" s="1"/>
  <c r="CB141" i="9" s="1" a="1"/>
  <c r="CB141" i="9" s="1"/>
  <c r="BF141" i="9"/>
  <c r="BG141" i="9" s="1"/>
  <c r="BH141" i="9" s="1" a="1"/>
  <c r="BH141" i="9" s="1"/>
  <c r="CL141" i="9"/>
  <c r="CM141" i="9" s="1"/>
  <c r="BJ141" i="9"/>
  <c r="BK141" i="9" s="1"/>
  <c r="CH141" i="9"/>
  <c r="CI141" i="9" s="1"/>
  <c r="BN141" i="9"/>
  <c r="BO141" i="9" s="1"/>
  <c r="BP141" i="9" s="1" a="1"/>
  <c r="BP141" i="9" s="1"/>
  <c r="CD141" i="9"/>
  <c r="CE141" i="9" s="1"/>
  <c r="CF141" i="9" s="1" a="1"/>
  <c r="CF141" i="9" s="1"/>
  <c r="CD144" i="9"/>
  <c r="CE144" i="9" s="1"/>
  <c r="CF144" i="9" s="1" a="1"/>
  <c r="CF144" i="9" s="1"/>
  <c r="CL131" i="9"/>
  <c r="CM131" i="9" s="1"/>
  <c r="CL140" i="9"/>
  <c r="CM140" i="9" s="1"/>
  <c r="CL142" i="9"/>
  <c r="CM142" i="9" s="1"/>
  <c r="CD147" i="9"/>
  <c r="CE147" i="9" s="1"/>
  <c r="CF147" i="9" s="1" a="1"/>
  <c r="CF147" i="9" s="1"/>
  <c r="CL151" i="9"/>
  <c r="CM151" i="9" s="1"/>
  <c r="CL159" i="9"/>
  <c r="CM159" i="9" s="1"/>
  <c r="BJ154" i="9"/>
  <c r="BK154" i="9" s="1"/>
  <c r="CD154" i="9"/>
  <c r="CE154" i="9" s="1"/>
  <c r="CD159" i="9"/>
  <c r="CE159" i="9" s="1"/>
  <c r="BZ174" i="9"/>
  <c r="CA174" i="9" s="1"/>
  <c r="CB174" i="9" s="1" a="1"/>
  <c r="CB174" i="9" s="1"/>
  <c r="CD174" i="9"/>
  <c r="CE174" i="9" s="1"/>
  <c r="CH174" i="9"/>
  <c r="CI174" i="9" s="1"/>
  <c r="CL174" i="9"/>
  <c r="CM174" i="9" s="1"/>
  <c r="BZ159" i="9"/>
  <c r="CA159" i="9" s="1"/>
  <c r="CB159" i="9" s="1" a="1"/>
  <c r="CB159" i="9" s="1"/>
  <c r="BR172" i="9"/>
  <c r="BS172" i="9" s="1"/>
  <c r="CH172" i="9"/>
  <c r="CI172" i="9" s="1"/>
  <c r="CD172" i="9"/>
  <c r="CE172" i="9" s="1"/>
  <c r="CN166" i="9" a="1"/>
  <c r="CN166" i="9" s="1"/>
  <c r="BJ178" i="9"/>
  <c r="BK178" i="9" s="1"/>
  <c r="BL174" i="9" a="1"/>
  <c r="BL174" i="9" s="1"/>
  <c r="CN198" i="9" a="1"/>
  <c r="CN198" i="9" s="1"/>
  <c r="CO198" i="9" a="1"/>
  <c r="CO198" i="9" s="1"/>
  <c r="BN208" i="9"/>
  <c r="BO208" i="9" s="1"/>
  <c r="BF208" i="9"/>
  <c r="BG208" i="9" s="1"/>
  <c r="BJ208" i="9"/>
  <c r="BK208" i="9" s="1"/>
  <c r="BL208" i="9" s="1" a="1"/>
  <c r="BL208" i="9" s="1"/>
  <c r="CL191" i="9"/>
  <c r="CM191" i="9" s="1"/>
  <c r="BL213" i="9" a="1"/>
  <c r="BL213" i="9" s="1"/>
  <c r="CO214" i="9" a="1"/>
  <c r="CO214" i="9" s="1"/>
  <c r="CO192" i="9" a="1"/>
  <c r="CO192" i="9" s="1"/>
  <c r="CN192" i="9" a="1"/>
  <c r="CN192" i="9" s="1"/>
  <c r="CJ208" i="9" a="1"/>
  <c r="CJ208" i="9" s="1"/>
  <c r="BP233" i="9" a="1"/>
  <c r="BP233" i="9" s="1"/>
  <c r="BU247" i="9" a="1"/>
  <c r="BU247" i="9" s="1"/>
  <c r="CO274" i="9" a="1"/>
  <c r="CO274" i="9" s="1"/>
  <c r="CO277" i="9" a="1"/>
  <c r="CO277" i="9" s="1"/>
  <c r="CO259" i="9" a="1"/>
  <c r="CO259" i="9" s="1"/>
  <c r="CN259" i="9" a="1"/>
  <c r="CN259" i="9" s="1"/>
  <c r="BU276" i="9" a="1"/>
  <c r="BU276" i="9" s="1"/>
  <c r="BU284" i="9" a="1"/>
  <c r="BU284" i="9" s="1"/>
  <c r="BT284" i="9" a="1"/>
  <c r="BT284" i="9" s="1"/>
  <c r="BU286" i="9" a="1"/>
  <c r="BU286" i="9" s="1"/>
  <c r="BU301" i="9" a="1"/>
  <c r="BU301" i="9" s="1"/>
  <c r="BL286" i="9" a="1"/>
  <c r="BL286" i="9" s="1"/>
  <c r="CJ338" i="9" a="1"/>
  <c r="CJ338" i="9" s="1"/>
  <c r="CO342" i="9" a="1"/>
  <c r="CO342" i="9" s="1"/>
  <c r="CN342" i="9" a="1"/>
  <c r="CN342" i="9" s="1"/>
  <c r="CB379" i="9" a="1"/>
  <c r="CB379" i="9" s="1"/>
  <c r="CF379" i="9" a="1"/>
  <c r="CF379" i="9" s="1"/>
  <c r="CO378" i="9" a="1"/>
  <c r="CO378" i="9" s="1"/>
  <c r="CN378" i="9" a="1"/>
  <c r="CN378" i="9" s="1"/>
  <c r="BU397" i="9" a="1"/>
  <c r="BU397" i="9" s="1"/>
  <c r="CL126" i="9"/>
  <c r="CM126" i="9" s="1"/>
  <c r="BU123" i="9" a="1"/>
  <c r="BU123" i="9" s="1"/>
  <c r="BT123" i="9" a="1"/>
  <c r="BT123" i="9" s="1"/>
  <c r="CL128" i="9"/>
  <c r="CM128" i="9" s="1"/>
  <c r="BU133" i="9" a="1"/>
  <c r="BU133" i="9" s="1"/>
  <c r="BT133" i="9" a="1"/>
  <c r="BT133" i="9" s="1"/>
  <c r="BF129" i="9"/>
  <c r="BG129" i="9" s="1"/>
  <c r="BH129" i="9" s="1" a="1"/>
  <c r="BH129" i="9" s="1"/>
  <c r="BJ129" i="9"/>
  <c r="BK129" i="9" s="1"/>
  <c r="CL130" i="9"/>
  <c r="CM130" i="9" s="1"/>
  <c r="BF135" i="9"/>
  <c r="BG135" i="9" s="1"/>
  <c r="BH135" i="9" s="1" a="1"/>
  <c r="BH135" i="9" s="1"/>
  <c r="CL135" i="9"/>
  <c r="CM135" i="9" s="1"/>
  <c r="BR135" i="9"/>
  <c r="BS135" i="9" s="1"/>
  <c r="BZ135" i="9"/>
  <c r="CA135" i="9" s="1"/>
  <c r="CB135" i="9" s="1" a="1"/>
  <c r="CB135" i="9" s="1"/>
  <c r="CD135" i="9"/>
  <c r="CE135" i="9" s="1"/>
  <c r="AZ136" i="9"/>
  <c r="BF136" i="9" s="1"/>
  <c r="BG136" i="9" s="1"/>
  <c r="BH136" i="9" s="1" a="1"/>
  <c r="BH136" i="9" s="1"/>
  <c r="BU159" i="9" a="1"/>
  <c r="BU159" i="9" s="1"/>
  <c r="BT159" i="9" a="1"/>
  <c r="BT159" i="9" s="1"/>
  <c r="AZ145" i="9"/>
  <c r="BF145" i="9" s="1"/>
  <c r="BG145" i="9" s="1"/>
  <c r="BH145" i="9" s="1" a="1"/>
  <c r="BH145" i="9" s="1"/>
  <c r="CB160" i="9" a="1"/>
  <c r="CB160" i="9" s="1"/>
  <c r="BL206" i="9" a="1"/>
  <c r="BL206" i="9" s="1"/>
  <c r="BP206" i="9" a="1"/>
  <c r="BP206" i="9" s="1"/>
  <c r="CO215" i="9" a="1"/>
  <c r="CO215" i="9" s="1"/>
  <c r="CN215" i="9" a="1"/>
  <c r="CN215" i="9" s="1"/>
  <c r="BT198" i="9" a="1"/>
  <c r="BT198" i="9" s="1"/>
  <c r="BU198" i="9" a="1"/>
  <c r="BU198" i="9" s="1"/>
  <c r="CF208" i="9" a="1"/>
  <c r="CF208" i="9" s="1"/>
  <c r="CJ219" i="9" a="1"/>
  <c r="CJ219" i="9" s="1"/>
  <c r="CN234" i="9" a="1"/>
  <c r="CN234" i="9" s="1"/>
  <c r="CO234" i="9" a="1"/>
  <c r="CO234" i="9" s="1"/>
  <c r="CO271" i="9" a="1"/>
  <c r="CO271" i="9" s="1"/>
  <c r="CN271" i="9" a="1"/>
  <c r="CN271" i="9" s="1"/>
  <c r="CN281" i="9" a="1"/>
  <c r="CN281" i="9" s="1"/>
  <c r="CO281" i="9" a="1"/>
  <c r="CO281" i="9" s="1"/>
  <c r="BU278" i="9" a="1"/>
  <c r="BU278" i="9" s="1"/>
  <c r="BT278" i="9" a="1"/>
  <c r="BT278" i="9" s="1"/>
  <c r="CF315" i="9" a="1"/>
  <c r="CF315" i="9" s="1"/>
  <c r="CO325" i="9" a="1"/>
  <c r="CO325" i="9" s="1"/>
  <c r="CO315" i="9" a="1"/>
  <c r="CO315" i="9" s="1"/>
  <c r="CN315" i="9" a="1"/>
  <c r="CN315" i="9" s="1"/>
  <c r="CO319" i="9" a="1"/>
  <c r="CO319" i="9" s="1"/>
  <c r="CJ362" i="9" a="1"/>
  <c r="CJ362" i="9" s="1"/>
  <c r="CN362" i="9" a="1"/>
  <c r="CN362" i="9" s="1"/>
  <c r="BU350" i="9" a="1"/>
  <c r="BU350" i="9" s="1"/>
  <c r="CN367" i="9" a="1"/>
  <c r="CN367" i="9" s="1"/>
  <c r="CO367" i="9" a="1"/>
  <c r="CO367" i="9" s="1"/>
  <c r="BU379" i="9" a="1"/>
  <c r="BU379" i="9" s="1"/>
  <c r="BT379" i="9" a="1"/>
  <c r="BT379" i="9" s="1"/>
  <c r="BU387" i="9" a="1"/>
  <c r="BU387" i="9" s="1"/>
  <c r="CF362" i="9" a="1"/>
  <c r="CF362" i="9" s="1"/>
  <c r="CB362" i="9" a="1"/>
  <c r="CB362" i="9" s="1"/>
  <c r="BP366" i="9" a="1"/>
  <c r="BP366" i="9" s="1"/>
  <c r="BL430" i="9" a="1"/>
  <c r="BL430" i="9" s="1"/>
  <c r="BP430" i="9" a="1"/>
  <c r="BP430" i="9" s="1"/>
  <c r="CL129" i="9"/>
  <c r="CM129" i="9" s="1"/>
  <c r="BZ130" i="9"/>
  <c r="CA130" i="9" s="1"/>
  <c r="CB130" i="9" s="1" a="1"/>
  <c r="CB130" i="9" s="1"/>
  <c r="CN139" i="9" a="1"/>
  <c r="CN139" i="9" s="1"/>
  <c r="BJ138" i="9"/>
  <c r="BK138" i="9" s="1"/>
  <c r="BF138" i="9"/>
  <c r="BG138" i="9" s="1"/>
  <c r="BH138" i="9" s="1" a="1"/>
  <c r="BH138" i="9" s="1"/>
  <c r="CH138" i="9"/>
  <c r="CI138" i="9" s="1"/>
  <c r="CJ138" i="9" s="1" a="1"/>
  <c r="CJ138" i="9" s="1"/>
  <c r="BR138" i="9"/>
  <c r="BS138" i="9" s="1"/>
  <c r="BZ138" i="9"/>
  <c r="CA138" i="9" s="1"/>
  <c r="CB138" i="9" s="1" a="1"/>
  <c r="CB138" i="9" s="1"/>
  <c r="BN138" i="9"/>
  <c r="BO138" i="9" s="1"/>
  <c r="CL138" i="9"/>
  <c r="CM138" i="9" s="1"/>
  <c r="CJ159" i="9" a="1"/>
  <c r="CJ159" i="9" s="1"/>
  <c r="BT163" i="9" a="1"/>
  <c r="BT163" i="9" s="1"/>
  <c r="CF149" i="9" a="1"/>
  <c r="CF149" i="9" s="1"/>
  <c r="CH148" i="9"/>
  <c r="CI148" i="9" s="1"/>
  <c r="BU160" i="9" a="1"/>
  <c r="BU160" i="9" s="1"/>
  <c r="BU186" i="9" a="1"/>
  <c r="BU186" i="9" s="1"/>
  <c r="BT186" i="9" a="1"/>
  <c r="BT186" i="9" s="1"/>
  <c r="BU178" i="9" a="1"/>
  <c r="BU178" i="9" s="1"/>
  <c r="CH178" i="9"/>
  <c r="CI178" i="9" s="1"/>
  <c r="CD178" i="9"/>
  <c r="CE178" i="9" s="1"/>
  <c r="BZ178" i="9"/>
  <c r="CA178" i="9" s="1"/>
  <c r="CB178" i="9" s="1" a="1"/>
  <c r="CB178" i="9" s="1"/>
  <c r="BF178" i="9"/>
  <c r="BG178" i="9" s="1"/>
  <c r="BH178" i="9" s="1" a="1"/>
  <c r="BH178" i="9" s="1"/>
  <c r="AZ197" i="9"/>
  <c r="CL197" i="9" s="1"/>
  <c r="CM197" i="9" s="1"/>
  <c r="BU201" i="9" a="1"/>
  <c r="BU201" i="9" s="1"/>
  <c r="CN206" i="9" a="1"/>
  <c r="CN206" i="9" s="1"/>
  <c r="CO206" i="9" a="1"/>
  <c r="CO206" i="9" s="1"/>
  <c r="CO194" i="9" a="1"/>
  <c r="CO194" i="9" s="1"/>
  <c r="CN194" i="9" a="1"/>
  <c r="CN194" i="9" s="1"/>
  <c r="CJ221" i="9" a="1"/>
  <c r="CJ221" i="9" s="1"/>
  <c r="BU231" i="9" a="1"/>
  <c r="BU231" i="9" s="1"/>
  <c r="BT231" i="9" a="1"/>
  <c r="BT231" i="9" s="1"/>
  <c r="BP256" i="9" a="1"/>
  <c r="BP256" i="9" s="1"/>
  <c r="BU283" i="9" a="1"/>
  <c r="BU283" i="9" s="1"/>
  <c r="CJ300" i="9" a="1"/>
  <c r="CJ300" i="9" s="1"/>
  <c r="CF300" i="9" a="1"/>
  <c r="CF300" i="9" s="1"/>
  <c r="CO314" i="9" a="1"/>
  <c r="CO314" i="9" s="1"/>
  <c r="CN320" i="9" a="1"/>
  <c r="CN320" i="9" s="1"/>
  <c r="CO320" i="9" a="1"/>
  <c r="CO320" i="9" s="1"/>
  <c r="CO338" i="9" a="1"/>
  <c r="CO338" i="9" s="1"/>
  <c r="CN338" i="9" a="1"/>
  <c r="CN338" i="9" s="1"/>
  <c r="BU390" i="9" a="1"/>
  <c r="BU390" i="9" s="1"/>
  <c r="BT390" i="9" a="1"/>
  <c r="BT390" i="9" s="1"/>
  <c r="BT396" i="9" a="1"/>
  <c r="BT396" i="9" s="1"/>
  <c r="BU396" i="9" a="1"/>
  <c r="BU396" i="9" s="1"/>
  <c r="BU366" i="9" a="1"/>
  <c r="BU366" i="9" s="1"/>
  <c r="BT366" i="9" a="1"/>
  <c r="BT366" i="9" s="1"/>
  <c r="BU461" i="9" a="1"/>
  <c r="BU461" i="9" s="1"/>
  <c r="CF123" i="9" a="1"/>
  <c r="CF123" i="9" s="1"/>
  <c r="BR130" i="9"/>
  <c r="BS130" i="9" s="1"/>
  <c r="CH128" i="9"/>
  <c r="CI128" i="9" s="1"/>
  <c r="BZ129" i="9"/>
  <c r="CA129" i="9" s="1"/>
  <c r="CB129" i="9" s="1" a="1"/>
  <c r="CB129" i="9" s="1"/>
  <c r="BH140" i="9" a="1"/>
  <c r="BH140" i="9" s="1"/>
  <c r="BJ130" i="9"/>
  <c r="BK130" i="9" s="1"/>
  <c r="BL130" i="9" s="1" a="1"/>
  <c r="BL130" i="9" s="1"/>
  <c r="BP159" i="9" a="1"/>
  <c r="BP159" i="9" s="1"/>
  <c r="BV159" i="9" s="1"/>
  <c r="Q159" i="9" s="1"/>
  <c r="CF150" i="9" a="1"/>
  <c r="CF150" i="9" s="1"/>
  <c r="AZ161" i="9"/>
  <c r="BN161" i="9" s="1"/>
  <c r="BO161" i="9" s="1"/>
  <c r="BZ186" i="9"/>
  <c r="CA186" i="9" s="1"/>
  <c r="CB186" i="9" s="1" a="1"/>
  <c r="CB186" i="9" s="1"/>
  <c r="CL186" i="9"/>
  <c r="CM186" i="9" s="1"/>
  <c r="CD186" i="9"/>
  <c r="CE186" i="9" s="1"/>
  <c r="CH186" i="9"/>
  <c r="CI186" i="9" s="1"/>
  <c r="CH197" i="9"/>
  <c r="CI197" i="9" s="1"/>
  <c r="BU251" i="9" a="1"/>
  <c r="BU251" i="9" s="1"/>
  <c r="BT239" i="9" a="1"/>
  <c r="BT239" i="9" s="1"/>
  <c r="BU239" i="9" a="1"/>
  <c r="BU239" i="9" s="1"/>
  <c r="CJ261" i="9" a="1"/>
  <c r="CJ261" i="9" s="1"/>
  <c r="CO278" i="9" a="1"/>
  <c r="CO278" i="9" s="1"/>
  <c r="CN298" i="9" a="1"/>
  <c r="CN298" i="9" s="1"/>
  <c r="CO298" i="9" a="1"/>
  <c r="CO298" i="9" s="1"/>
  <c r="CN370" i="9" a="1"/>
  <c r="CN370" i="9" s="1"/>
  <c r="CO370" i="9" a="1"/>
  <c r="CO370" i="9" s="1"/>
  <c r="CJ395" i="9" a="1"/>
  <c r="CJ395" i="9" s="1"/>
  <c r="CO423" i="9" a="1"/>
  <c r="CO423" i="9" s="1"/>
  <c r="CJ361" i="9" a="1"/>
  <c r="CJ361" i="9" s="1"/>
  <c r="BU420" i="9" a="1"/>
  <c r="BU420" i="9" s="1"/>
  <c r="CD128" i="9"/>
  <c r="CE128" i="9" s="1"/>
  <c r="CF128" i="9" s="1" a="1"/>
  <c r="CF128" i="9" s="1"/>
  <c r="CD134" i="9"/>
  <c r="CE134" i="9" s="1"/>
  <c r="BR140" i="9"/>
  <c r="BS140" i="9" s="1"/>
  <c r="CL144" i="9"/>
  <c r="CM144" i="9" s="1"/>
  <c r="BJ140" i="9"/>
  <c r="BK140" i="9" s="1"/>
  <c r="BL140" i="9" s="1" a="1"/>
  <c r="BL140" i="9" s="1"/>
  <c r="BN144" i="9"/>
  <c r="BO144" i="9" s="1"/>
  <c r="BP144" i="9" s="1" a="1"/>
  <c r="BP144" i="9" s="1"/>
  <c r="CL147" i="9"/>
  <c r="CM147" i="9" s="1"/>
  <c r="BZ163" i="9"/>
  <c r="CA163" i="9" s="1"/>
  <c r="CF163" i="9" s="1" a="1"/>
  <c r="CF163" i="9" s="1"/>
  <c r="BF163" i="9"/>
  <c r="BG163" i="9" s="1"/>
  <c r="BH163" i="9" s="1" a="1"/>
  <c r="BH163" i="9" s="1"/>
  <c r="CH163" i="9"/>
  <c r="CI163" i="9" s="1"/>
  <c r="CJ163" i="9" s="1" a="1"/>
  <c r="CJ163" i="9" s="1"/>
  <c r="CD160" i="9"/>
  <c r="CE160" i="9" s="1"/>
  <c r="CF160" i="9" s="1" a="1"/>
  <c r="CF160" i="9" s="1"/>
  <c r="AZ152" i="9"/>
  <c r="BN152" i="9" s="1"/>
  <c r="BO152" i="9" s="1"/>
  <c r="BF149" i="9"/>
  <c r="BG149" i="9" s="1"/>
  <c r="BH149" i="9" s="1" a="1"/>
  <c r="BH149" i="9" s="1"/>
  <c r="CH153" i="9"/>
  <c r="CI153" i="9" s="1"/>
  <c r="BR148" i="9"/>
  <c r="BS148" i="9" s="1"/>
  <c r="CN173" i="9" a="1"/>
  <c r="CN173" i="9" s="1"/>
  <c r="CP173" i="9" s="1"/>
  <c r="V173" i="9" s="1"/>
  <c r="AZ171" i="9"/>
  <c r="BJ171" i="9" s="1"/>
  <c r="BK171" i="9" s="1"/>
  <c r="BZ172" i="9"/>
  <c r="CA172" i="9" s="1"/>
  <c r="CB172" i="9" s="1" a="1"/>
  <c r="CB172" i="9" s="1"/>
  <c r="BF172" i="9"/>
  <c r="BG172" i="9" s="1"/>
  <c r="BH172" i="9" s="1" a="1"/>
  <c r="BH172" i="9" s="1"/>
  <c r="BJ172" i="9"/>
  <c r="BK172" i="9" s="1"/>
  <c r="CL172" i="9"/>
  <c r="CM172" i="9" s="1"/>
  <c r="CL178" i="9"/>
  <c r="CM178" i="9" s="1"/>
  <c r="BJ165" i="9"/>
  <c r="BK165" i="9" s="1"/>
  <c r="BZ165" i="9"/>
  <c r="CA165" i="9" s="1"/>
  <c r="CB165" i="9" s="1" a="1"/>
  <c r="CB165" i="9" s="1"/>
  <c r="BF165" i="9"/>
  <c r="BG165" i="9" s="1"/>
  <c r="BH165" i="9" s="1" a="1"/>
  <c r="BH165" i="9" s="1"/>
  <c r="CL165" i="9"/>
  <c r="CM165" i="9" s="1"/>
  <c r="BN165" i="9"/>
  <c r="BO165" i="9" s="1"/>
  <c r="BZ171" i="9"/>
  <c r="CA171" i="9" s="1"/>
  <c r="CB171" i="9" s="1" a="1"/>
  <c r="CB171" i="9" s="1"/>
  <c r="BF164" i="9"/>
  <c r="BG164" i="9" s="1"/>
  <c r="BH164" i="9" s="1" a="1"/>
  <c r="BH164" i="9" s="1"/>
  <c r="BZ164" i="9"/>
  <c r="CA164" i="9" s="1"/>
  <c r="CB164" i="9" s="1" a="1"/>
  <c r="CB164" i="9" s="1"/>
  <c r="CH164" i="9"/>
  <c r="CI164" i="9" s="1"/>
  <c r="CJ164" i="9" s="1" a="1"/>
  <c r="CJ164" i="9" s="1"/>
  <c r="BJ164" i="9"/>
  <c r="BK164" i="9" s="1"/>
  <c r="AZ168" i="9"/>
  <c r="CH189" i="9"/>
  <c r="CI189" i="9" s="1"/>
  <c r="CJ189" i="9" s="1" a="1"/>
  <c r="CJ189" i="9" s="1"/>
  <c r="BN183" i="9"/>
  <c r="BO183" i="9" s="1"/>
  <c r="BP183" i="9" s="1" a="1"/>
  <c r="BP183" i="9" s="1"/>
  <c r="BF189" i="9"/>
  <c r="BG189" i="9" s="1"/>
  <c r="BH189" i="9" s="1" a="1"/>
  <c r="BH189" i="9" s="1"/>
  <c r="BR189" i="9"/>
  <c r="BS189" i="9" s="1"/>
  <c r="BZ189" i="9"/>
  <c r="CA189" i="9" s="1"/>
  <c r="CB189" i="9" s="1" a="1"/>
  <c r="CB189" i="9" s="1"/>
  <c r="CL189" i="9"/>
  <c r="CM189" i="9" s="1"/>
  <c r="CD204" i="9"/>
  <c r="CE204" i="9" s="1"/>
  <c r="BR221" i="9"/>
  <c r="BS221" i="9" s="1"/>
  <c r="CH222" i="9"/>
  <c r="CI222" i="9" s="1"/>
  <c r="CJ222" i="9" s="1" a="1"/>
  <c r="CJ222" i="9" s="1"/>
  <c r="BP214" i="9" a="1"/>
  <c r="BP214" i="9" s="1"/>
  <c r="BZ215" i="9"/>
  <c r="CA215" i="9" s="1"/>
  <c r="CB215" i="9" s="1" a="1"/>
  <c r="CB215" i="9" s="1"/>
  <c r="BF215" i="9"/>
  <c r="BG215" i="9" s="1"/>
  <c r="BH215" i="9" s="1" a="1"/>
  <c r="BH215" i="9" s="1"/>
  <c r="CH214" i="9"/>
  <c r="CI214" i="9" s="1"/>
  <c r="BJ215" i="9"/>
  <c r="BK215" i="9" s="1"/>
  <c r="BZ238" i="9"/>
  <c r="CA238" i="9" s="1"/>
  <c r="CB238" i="9" s="1" a="1"/>
  <c r="CB238" i="9" s="1"/>
  <c r="BF238" i="9"/>
  <c r="BG238" i="9" s="1"/>
  <c r="BH238" i="9" s="1" a="1"/>
  <c r="BH238" i="9" s="1"/>
  <c r="BN230" i="9"/>
  <c r="BO230" i="9" s="1"/>
  <c r="BP230" i="9" s="1" a="1"/>
  <c r="BP230" i="9" s="1"/>
  <c r="BR238" i="9"/>
  <c r="BS238" i="9" s="1"/>
  <c r="BR240" i="9"/>
  <c r="BS240" i="9" s="1"/>
  <c r="CH247" i="9"/>
  <c r="CI247" i="9" s="1"/>
  <c r="CJ247" i="9" s="1" a="1"/>
  <c r="CJ247" i="9" s="1"/>
  <c r="BF251" i="9"/>
  <c r="BG251" i="9" s="1"/>
  <c r="BH251" i="9" s="1" a="1"/>
  <c r="BH251" i="9" s="1"/>
  <c r="BN251" i="9"/>
  <c r="BO251" i="9" s="1"/>
  <c r="BZ251" i="9"/>
  <c r="CA251" i="9" s="1"/>
  <c r="CB251" i="9" s="1" a="1"/>
  <c r="CB251" i="9" s="1"/>
  <c r="CH251" i="9"/>
  <c r="CI251" i="9" s="1"/>
  <c r="BJ251" i="9"/>
  <c r="BK251" i="9" s="1"/>
  <c r="AZ255" i="9"/>
  <c r="BJ255" i="9" s="1"/>
  <c r="BK255" i="9" s="1"/>
  <c r="BZ234" i="9"/>
  <c r="CA234" i="9" s="1"/>
  <c r="CB234" i="9" s="1" a="1"/>
  <c r="CB234" i="9" s="1"/>
  <c r="BF234" i="9"/>
  <c r="BG234" i="9" s="1"/>
  <c r="BH234" i="9" s="1" a="1"/>
  <c r="BH234" i="9" s="1"/>
  <c r="CH231" i="9"/>
  <c r="CI231" i="9" s="1"/>
  <c r="BZ231" i="9"/>
  <c r="CA231" i="9" s="1"/>
  <c r="CB231" i="9" s="1" a="1"/>
  <c r="CB231" i="9" s="1"/>
  <c r="BF231" i="9"/>
  <c r="BG231" i="9" s="1"/>
  <c r="CL231" i="9"/>
  <c r="CM231" i="9" s="1"/>
  <c r="BJ231" i="9"/>
  <c r="BK231" i="9" s="1"/>
  <c r="CJ241" i="9" a="1"/>
  <c r="CJ241" i="9" s="1"/>
  <c r="BF264" i="9"/>
  <c r="BG264" i="9" s="1"/>
  <c r="BH264" i="9" s="1" a="1"/>
  <c r="BH264" i="9" s="1"/>
  <c r="BN275" i="9"/>
  <c r="BO275" i="9" s="1"/>
  <c r="BT275" i="9" s="1" a="1"/>
  <c r="BT275" i="9" s="1"/>
  <c r="BF256" i="9"/>
  <c r="BG256" i="9" s="1"/>
  <c r="BH256" i="9" s="1" a="1"/>
  <c r="BH256" i="9" s="1"/>
  <c r="BR261" i="9"/>
  <c r="BS261" i="9" s="1"/>
  <c r="AZ257" i="9"/>
  <c r="BF257" i="9" s="1"/>
  <c r="BG257" i="9" s="1"/>
  <c r="BH257" i="9" s="1" a="1"/>
  <c r="BH257" i="9" s="1"/>
  <c r="BJ262" i="9"/>
  <c r="BK262" i="9" s="1"/>
  <c r="CD279" i="9"/>
  <c r="CE279" i="9" s="1"/>
  <c r="CJ279" i="9" s="1" a="1"/>
  <c r="CJ279" i="9" s="1"/>
  <c r="AZ258" i="9"/>
  <c r="CD259" i="9"/>
  <c r="CE259" i="9" s="1"/>
  <c r="CF259" i="9" s="1" a="1"/>
  <c r="CF259" i="9" s="1"/>
  <c r="BZ262" i="9"/>
  <c r="CA262" i="9" s="1"/>
  <c r="CB262" i="9" s="1" a="1"/>
  <c r="CB262" i="9" s="1"/>
  <c r="AZ267" i="9"/>
  <c r="BN267" i="9" s="1"/>
  <c r="BO267" i="9" s="1"/>
  <c r="BF274" i="9"/>
  <c r="BG274" i="9" s="1"/>
  <c r="BH274" i="9" s="1" a="1"/>
  <c r="BH274" i="9" s="1"/>
  <c r="BZ274" i="9"/>
  <c r="CA274" i="9" s="1"/>
  <c r="CB274" i="9" s="1" a="1"/>
  <c r="CB274" i="9" s="1"/>
  <c r="CH278" i="9"/>
  <c r="CI278" i="9" s="1"/>
  <c r="CL287" i="9"/>
  <c r="CM287" i="9" s="1"/>
  <c r="BN276" i="9"/>
  <c r="BO276" i="9" s="1"/>
  <c r="BF262" i="9"/>
  <c r="BG262" i="9" s="1"/>
  <c r="BH262" i="9" s="1" a="1"/>
  <c r="BH262" i="9" s="1"/>
  <c r="BJ277" i="9"/>
  <c r="BK277" i="9" s="1"/>
  <c r="BL277" i="9" s="1" a="1"/>
  <c r="BL277" i="9" s="1"/>
  <c r="BN285" i="9"/>
  <c r="BO285" i="9" s="1"/>
  <c r="CD297" i="9"/>
  <c r="CE297" i="9" s="1"/>
  <c r="CJ297" i="9" s="1" a="1"/>
  <c r="CJ297" i="9" s="1"/>
  <c r="CH309" i="9"/>
  <c r="CI309" i="9" s="1"/>
  <c r="CH274" i="9"/>
  <c r="CI274" i="9" s="1"/>
  <c r="CJ274" i="9" s="1" a="1"/>
  <c r="CJ274" i="9" s="1"/>
  <c r="CH301" i="9"/>
  <c r="CI301" i="9" s="1"/>
  <c r="CD284" i="9"/>
  <c r="CE284" i="9" s="1"/>
  <c r="CF284" i="9" s="1" a="1"/>
  <c r="CF284" i="9" s="1"/>
  <c r="CH299" i="9"/>
  <c r="CI299" i="9" s="1"/>
  <c r="CJ299" i="9" s="1" a="1"/>
  <c r="CJ299" i="9" s="1"/>
  <c r="BZ277" i="9"/>
  <c r="CA277" i="9" s="1"/>
  <c r="CB277" i="9" s="1" a="1"/>
  <c r="CB277" i="9" s="1"/>
  <c r="BF292" i="9"/>
  <c r="BG292" i="9" s="1"/>
  <c r="BH292" i="9" s="1" a="1"/>
  <c r="BH292" i="9" s="1"/>
  <c r="CH277" i="9"/>
  <c r="CI277" i="9" s="1"/>
  <c r="CJ277" i="9" s="1" a="1"/>
  <c r="CJ277" i="9" s="1"/>
  <c r="BU292" i="9" a="1"/>
  <c r="BU292" i="9" s="1"/>
  <c r="BZ306" i="9"/>
  <c r="CA306" i="9" s="1"/>
  <c r="CB306" i="9" s="1" a="1"/>
  <c r="CB306" i="9" s="1"/>
  <c r="BJ282" i="9"/>
  <c r="BK282" i="9" s="1"/>
  <c r="BL282" i="9" s="1" a="1"/>
  <c r="BL282" i="9" s="1"/>
  <c r="BZ282" i="9"/>
  <c r="CA282" i="9" s="1"/>
  <c r="CB282" i="9" s="1" a="1"/>
  <c r="CB282" i="9" s="1"/>
  <c r="BF282" i="9"/>
  <c r="BG282" i="9" s="1"/>
  <c r="BH282" i="9" s="1" a="1"/>
  <c r="BH282" i="9" s="1"/>
  <c r="CH282" i="9"/>
  <c r="CI282" i="9" s="1"/>
  <c r="CJ282" i="9" s="1" a="1"/>
  <c r="CJ282" i="9" s="1"/>
  <c r="CL282" i="9"/>
  <c r="CM282" i="9" s="1"/>
  <c r="CL322" i="9"/>
  <c r="CM322" i="9" s="1"/>
  <c r="BN312" i="9"/>
  <c r="BO312" i="9" s="1"/>
  <c r="BJ315" i="9"/>
  <c r="BK315" i="9" s="1"/>
  <c r="BF315" i="9"/>
  <c r="BG315" i="9" s="1"/>
  <c r="BH315" i="9" s="1" a="1"/>
  <c r="BH315" i="9" s="1"/>
  <c r="CD278" i="9"/>
  <c r="CE278" i="9" s="1"/>
  <c r="BF311" i="9"/>
  <c r="BG311" i="9" s="1"/>
  <c r="BL311" i="9" s="1" a="1"/>
  <c r="BL311" i="9" s="1"/>
  <c r="BF259" i="9"/>
  <c r="BG259" i="9" s="1"/>
  <c r="BH259" i="9" s="1" a="1"/>
  <c r="BH259" i="9" s="1"/>
  <c r="BF284" i="9"/>
  <c r="BG284" i="9" s="1"/>
  <c r="BH284" i="9" s="1" a="1"/>
  <c r="BH284" i="9" s="1"/>
  <c r="BR300" i="9"/>
  <c r="BS300" i="9" s="1"/>
  <c r="BJ300" i="9"/>
  <c r="BK300" i="9" s="1"/>
  <c r="BL300" i="9" s="1" a="1"/>
  <c r="BL300" i="9" s="1"/>
  <c r="CD325" i="9"/>
  <c r="CE325" i="9" s="1"/>
  <c r="CH346" i="9"/>
  <c r="CI346" i="9" s="1"/>
  <c r="CN327" i="9" a="1"/>
  <c r="CN327" i="9" s="1"/>
  <c r="CD333" i="9"/>
  <c r="CE333" i="9" s="1"/>
  <c r="CD351" i="9"/>
  <c r="CE351" i="9" s="1"/>
  <c r="CJ351" i="9" s="1" a="1"/>
  <c r="CJ351" i="9" s="1"/>
  <c r="AZ313" i="9"/>
  <c r="BZ313" i="9" s="1"/>
  <c r="CA313" i="9" s="1"/>
  <c r="CB313" i="9" s="1" a="1"/>
  <c r="CB313" i="9" s="1"/>
  <c r="BF328" i="9"/>
  <c r="BG328" i="9" s="1"/>
  <c r="BH328" i="9" s="1" a="1"/>
  <c r="BH328" i="9" s="1"/>
  <c r="BR342" i="9"/>
  <c r="BS342" i="9" s="1"/>
  <c r="BN314" i="9"/>
  <c r="BO314" i="9" s="1"/>
  <c r="BP314" i="9" s="1" a="1"/>
  <c r="BP314" i="9" s="1"/>
  <c r="BN361" i="9"/>
  <c r="BO361" i="9" s="1"/>
  <c r="BR351" i="9"/>
  <c r="BS351" i="9" s="1"/>
  <c r="CL354" i="9"/>
  <c r="CM354" i="9" s="1"/>
  <c r="BL360" i="9" a="1"/>
  <c r="BL360" i="9" s="1"/>
  <c r="BF378" i="9"/>
  <c r="BG378" i="9" s="1"/>
  <c r="BH378" i="9" s="1" a="1"/>
  <c r="BH378" i="9" s="1"/>
  <c r="BR375" i="9"/>
  <c r="BS375" i="9" s="1"/>
  <c r="AZ349" i="9"/>
  <c r="BF349" i="9" s="1"/>
  <c r="BG349" i="9" s="1"/>
  <c r="BH349" i="9" s="1" a="1"/>
  <c r="BH349" i="9" s="1"/>
  <c r="CD370" i="9"/>
  <c r="CE370" i="9" s="1"/>
  <c r="CF370" i="9" s="1" a="1"/>
  <c r="CF370" i="9" s="1"/>
  <c r="CB387" i="9" a="1"/>
  <c r="CB387" i="9" s="1"/>
  <c r="CP387" i="9" s="1"/>
  <c r="V387" i="9" s="1"/>
  <c r="CH358" i="9"/>
  <c r="CI358" i="9" s="1"/>
  <c r="AZ363" i="9"/>
  <c r="BH387" i="9" a="1"/>
  <c r="BH387" i="9" s="1"/>
  <c r="BN388" i="9"/>
  <c r="BO388" i="9" s="1"/>
  <c r="BT388" i="9" s="1" a="1"/>
  <c r="BT388" i="9" s="1"/>
  <c r="AZ310" i="9"/>
  <c r="CD310" i="9" s="1"/>
  <c r="CE310" i="9" s="1"/>
  <c r="BJ350" i="9"/>
  <c r="BK350" i="9" s="1"/>
  <c r="BT398" i="9" a="1"/>
  <c r="BT398" i="9" s="1"/>
  <c r="BJ414" i="9"/>
  <c r="BK414" i="9" s="1"/>
  <c r="BL414" i="9" s="1" a="1"/>
  <c r="BL414" i="9" s="1"/>
  <c r="CD398" i="9"/>
  <c r="CE398" i="9" s="1"/>
  <c r="AZ406" i="9"/>
  <c r="BR406" i="9" s="1"/>
  <c r="BS406" i="9" s="1"/>
  <c r="CD369" i="9"/>
  <c r="CE369" i="9" s="1"/>
  <c r="CJ369" i="9" s="1" a="1"/>
  <c r="CJ369" i="9" s="1"/>
  <c r="AZ408" i="9"/>
  <c r="BN408" i="9" s="1"/>
  <c r="BO408" i="9" s="1"/>
  <c r="BR377" i="9"/>
  <c r="BS377" i="9" s="1"/>
  <c r="BJ395" i="9"/>
  <c r="BK395" i="9" s="1"/>
  <c r="BR370" i="9"/>
  <c r="BS370" i="9" s="1"/>
  <c r="BN395" i="9"/>
  <c r="BO395" i="9" s="1"/>
  <c r="AZ400" i="9"/>
  <c r="BF400" i="9" s="1"/>
  <c r="BG400" i="9" s="1"/>
  <c r="BH400" i="9" s="1" a="1"/>
  <c r="BH400" i="9" s="1"/>
  <c r="CJ401" i="9" a="1"/>
  <c r="CJ401" i="9" s="1"/>
  <c r="CP401" i="9" s="1"/>
  <c r="V401" i="9" s="1"/>
  <c r="BR404" i="9"/>
  <c r="BS404" i="9" s="1"/>
  <c r="BF420" i="9"/>
  <c r="BG420" i="9" s="1"/>
  <c r="BJ420" i="9"/>
  <c r="BK420" i="9" s="1"/>
  <c r="BZ420" i="9"/>
  <c r="CA420" i="9" s="1"/>
  <c r="CB420" i="9" s="1" a="1"/>
  <c r="CB420" i="9" s="1"/>
  <c r="CL420" i="9"/>
  <c r="CM420" i="9" s="1"/>
  <c r="BJ413" i="9"/>
  <c r="BK413" i="9" s="1"/>
  <c r="BL413" i="9" s="1" a="1"/>
  <c r="BL413" i="9" s="1"/>
  <c r="BR413" i="9"/>
  <c r="BS413" i="9" s="1"/>
  <c r="CL413" i="9"/>
  <c r="CM413" i="9" s="1"/>
  <c r="AZ394" i="9"/>
  <c r="BJ394" i="9" s="1"/>
  <c r="BK394" i="9" s="1"/>
  <c r="BH420" i="9" a="1"/>
  <c r="BH420" i="9" s="1"/>
  <c r="BZ413" i="9"/>
  <c r="CA413" i="9" s="1"/>
  <c r="CB413" i="9" s="1" a="1"/>
  <c r="CB413" i="9" s="1"/>
  <c r="BR438" i="9"/>
  <c r="BS438" i="9" s="1"/>
  <c r="BN463" i="9"/>
  <c r="BO463" i="9" s="1"/>
  <c r="BP463" i="9" s="1" a="1"/>
  <c r="BP463" i="9" s="1"/>
  <c r="CH415" i="9"/>
  <c r="CI415" i="9" s="1"/>
  <c r="BZ430" i="9"/>
  <c r="CA430" i="9" s="1"/>
  <c r="CB430" i="9" s="1" a="1"/>
  <c r="CB430" i="9" s="1"/>
  <c r="CO441" i="9" a="1"/>
  <c r="CO441" i="9" s="1"/>
  <c r="CF462" i="9" a="1"/>
  <c r="CF462" i="9" s="1"/>
  <c r="CJ462" i="9" a="1"/>
  <c r="CJ462" i="9" s="1"/>
  <c r="CD433" i="9"/>
  <c r="CE433" i="9" s="1"/>
  <c r="CH446" i="9"/>
  <c r="CI446" i="9" s="1"/>
  <c r="CJ446" i="9" s="1" a="1"/>
  <c r="CJ446" i="9" s="1"/>
  <c r="CL475" i="9"/>
  <c r="CM475" i="9" s="1"/>
  <c r="CH479" i="9"/>
  <c r="CI479" i="9" s="1"/>
  <c r="CD479" i="9"/>
  <c r="CE479" i="9" s="1"/>
  <c r="BR479" i="9"/>
  <c r="BS479" i="9" s="1"/>
  <c r="BZ479" i="9"/>
  <c r="CA479" i="9" s="1"/>
  <c r="BF479" i="9"/>
  <c r="BG479" i="9" s="1"/>
  <c r="BH479" i="9" s="1" a="1"/>
  <c r="BH479" i="9" s="1"/>
  <c r="BJ479" i="9"/>
  <c r="BK479" i="9" s="1"/>
  <c r="CF484" i="9" a="1"/>
  <c r="CF484" i="9" s="1"/>
  <c r="CL446" i="9"/>
  <c r="CM446" i="9" s="1"/>
  <c r="BL481" i="9" a="1"/>
  <c r="BL481" i="9" s="1"/>
  <c r="BN445" i="9"/>
  <c r="BO445" i="9" s="1"/>
  <c r="BR468" i="9"/>
  <c r="BS468" i="9" s="1"/>
  <c r="BF461" i="9"/>
  <c r="BG461" i="9" s="1"/>
  <c r="BH461" i="9" s="1" a="1"/>
  <c r="BH461" i="9" s="1"/>
  <c r="CH461" i="9"/>
  <c r="CI461" i="9" s="1"/>
  <c r="BZ461" i="9"/>
  <c r="CA461" i="9" s="1"/>
  <c r="CB461" i="9" s="1" a="1"/>
  <c r="CB461" i="9" s="1"/>
  <c r="BJ461" i="9"/>
  <c r="BK461" i="9" s="1"/>
  <c r="BN461" i="9"/>
  <c r="BO461" i="9" s="1"/>
  <c r="BT461" i="9" s="1" a="1"/>
  <c r="BT461" i="9" s="1"/>
  <c r="CL461" i="9"/>
  <c r="CM461" i="9" s="1"/>
  <c r="CD461" i="9"/>
  <c r="CE461" i="9" s="1"/>
  <c r="CJ531" i="9" a="1"/>
  <c r="CJ531" i="9" s="1"/>
  <c r="BF417" i="9"/>
  <c r="BG417" i="9" s="1"/>
  <c r="BH417" i="9" s="1" a="1"/>
  <c r="BH417" i="9" s="1"/>
  <c r="BU541" i="9" a="1"/>
  <c r="BU541" i="9" s="1"/>
  <c r="BP522" i="9" a="1"/>
  <c r="BP522" i="9" s="1"/>
  <c r="CJ536" i="9" a="1"/>
  <c r="CJ536" i="9" s="1"/>
  <c r="BU552" i="9" a="1"/>
  <c r="BU552" i="9" s="1"/>
  <c r="BT552" i="9" a="1"/>
  <c r="BT552" i="9" s="1"/>
  <c r="BP612" i="9" a="1"/>
  <c r="BP612" i="9" s="1"/>
  <c r="CO569" i="9" a="1"/>
  <c r="CO569" i="9" s="1"/>
  <c r="CN577" i="9" a="1"/>
  <c r="CN577" i="9" s="1"/>
  <c r="CO577" i="9" a="1"/>
  <c r="CO577" i="9" s="1"/>
  <c r="CO601" i="9" a="1"/>
  <c r="CO601" i="9" s="1"/>
  <c r="CJ560" i="9" a="1"/>
  <c r="CJ560" i="9" s="1"/>
  <c r="CO565" i="9" a="1"/>
  <c r="CO565" i="9" s="1"/>
  <c r="CN649" i="9" a="1"/>
  <c r="CN649" i="9" s="1"/>
  <c r="CO649" i="9" a="1"/>
  <c r="CO649" i="9" s="1"/>
  <c r="BL596" i="9" a="1"/>
  <c r="BL596" i="9" s="1"/>
  <c r="BT641" i="9" a="1"/>
  <c r="BT641" i="9" s="1"/>
  <c r="BU641" i="9" a="1"/>
  <c r="BU641" i="9" s="1"/>
  <c r="CB654" i="9" a="1"/>
  <c r="CB654" i="9" s="1"/>
  <c r="CF654" i="9" a="1"/>
  <c r="CF654" i="9" s="1"/>
  <c r="BP593" i="9" a="1"/>
  <c r="BP593" i="9" s="1"/>
  <c r="CF704" i="9" a="1"/>
  <c r="CF704" i="9" s="1"/>
  <c r="CF710" i="9" a="1"/>
  <c r="CF710" i="9" s="1"/>
  <c r="BJ168" i="9"/>
  <c r="BK168" i="9" s="1"/>
  <c r="AZ190" i="9"/>
  <c r="CH190" i="9" s="1"/>
  <c r="CI190" i="9" s="1"/>
  <c r="BZ185" i="9"/>
  <c r="CA185" i="9" s="1"/>
  <c r="CB185" i="9" s="1" a="1"/>
  <c r="CB185" i="9" s="1"/>
  <c r="BF185" i="9"/>
  <c r="BG185" i="9" s="1"/>
  <c r="BH185" i="9" s="1" a="1"/>
  <c r="BH185" i="9" s="1"/>
  <c r="BJ185" i="9"/>
  <c r="BK185" i="9" s="1"/>
  <c r="BN185" i="9"/>
  <c r="BO185" i="9" s="1"/>
  <c r="CL185" i="9"/>
  <c r="CM185" i="9" s="1"/>
  <c r="AZ205" i="9"/>
  <c r="CH205" i="9" s="1"/>
  <c r="CI205" i="9" s="1"/>
  <c r="BZ184" i="9"/>
  <c r="CA184" i="9" s="1"/>
  <c r="CB184" i="9" s="1" a="1"/>
  <c r="CB184" i="9" s="1"/>
  <c r="CL184" i="9"/>
  <c r="CM184" i="9" s="1"/>
  <c r="BF184" i="9"/>
  <c r="BG184" i="9" s="1"/>
  <c r="BH184" i="9" s="1" a="1"/>
  <c r="BH184" i="9" s="1"/>
  <c r="BJ184" i="9"/>
  <c r="BK184" i="9" s="1"/>
  <c r="BJ181" i="9"/>
  <c r="BK181" i="9" s="1"/>
  <c r="BL181" i="9" s="1" a="1"/>
  <c r="BL181" i="9" s="1"/>
  <c r="BZ192" i="9"/>
  <c r="CA192" i="9" s="1"/>
  <c r="CB192" i="9" s="1" a="1"/>
  <c r="CB192" i="9" s="1"/>
  <c r="BJ192" i="9"/>
  <c r="BK192" i="9" s="1"/>
  <c r="BF192" i="9"/>
  <c r="BG192" i="9" s="1"/>
  <c r="BH192" i="9" s="1" a="1"/>
  <c r="BH192" i="9" s="1"/>
  <c r="BN192" i="9"/>
  <c r="BO192" i="9" s="1"/>
  <c r="AZ202" i="9"/>
  <c r="CH202" i="9" s="1"/>
  <c r="CI202" i="9" s="1"/>
  <c r="BF209" i="9"/>
  <c r="BG209" i="9" s="1"/>
  <c r="BH209" i="9" s="1" a="1"/>
  <c r="BH209" i="9" s="1"/>
  <c r="BN209" i="9"/>
  <c r="BO209" i="9" s="1"/>
  <c r="BJ209" i="9"/>
  <c r="BK209" i="9" s="1"/>
  <c r="BZ209" i="9"/>
  <c r="CA209" i="9" s="1"/>
  <c r="CB209" i="9" s="1" a="1"/>
  <c r="CB209" i="9" s="1"/>
  <c r="BR208" i="9"/>
  <c r="BS208" i="9" s="1"/>
  <c r="BR196" i="9"/>
  <c r="BS196" i="9" s="1"/>
  <c r="CL199" i="9"/>
  <c r="CM199" i="9" s="1"/>
  <c r="AZ211" i="9"/>
  <c r="BJ211" i="9" s="1"/>
  <c r="BK211" i="9" s="1"/>
  <c r="BN242" i="9"/>
  <c r="BO242" i="9" s="1"/>
  <c r="CL238" i="9"/>
  <c r="CM238" i="9" s="1"/>
  <c r="BP241" i="9" a="1"/>
  <c r="BP241" i="9" s="1"/>
  <c r="BV241" i="9" s="1"/>
  <c r="Q241" i="9" s="1"/>
  <c r="BH231" i="9" a="1"/>
  <c r="BH231" i="9" s="1"/>
  <c r="BZ248" i="9"/>
  <c r="CA248" i="9" s="1"/>
  <c r="CB248" i="9" s="1" a="1"/>
  <c r="CB248" i="9" s="1"/>
  <c r="BF248" i="9"/>
  <c r="BG248" i="9" s="1"/>
  <c r="BH248" i="9" s="1" a="1"/>
  <c r="BH248" i="9" s="1"/>
  <c r="CH248" i="9"/>
  <c r="CI248" i="9" s="1"/>
  <c r="CJ248" i="9" s="1" a="1"/>
  <c r="CJ248" i="9" s="1"/>
  <c r="BJ248" i="9"/>
  <c r="BK248" i="9" s="1"/>
  <c r="CL248" i="9"/>
  <c r="CM248" i="9" s="1"/>
  <c r="AZ268" i="9"/>
  <c r="CH239" i="9"/>
  <c r="CI239" i="9" s="1"/>
  <c r="CJ239" i="9" s="1" a="1"/>
  <c r="CJ239" i="9" s="1"/>
  <c r="CL272" i="9"/>
  <c r="CM272" i="9" s="1"/>
  <c r="BF272" i="9"/>
  <c r="BG272" i="9" s="1"/>
  <c r="BH272" i="9" s="1" a="1"/>
  <c r="BH272" i="9" s="1"/>
  <c r="BZ272" i="9"/>
  <c r="CA272" i="9" s="1"/>
  <c r="CB272" i="9" s="1" a="1"/>
  <c r="CB272" i="9" s="1"/>
  <c r="BJ272" i="9"/>
  <c r="BK272" i="9" s="1"/>
  <c r="BR272" i="9"/>
  <c r="BS272" i="9" s="1"/>
  <c r="BR271" i="9"/>
  <c r="BS271" i="9" s="1"/>
  <c r="AZ266" i="9"/>
  <c r="CD266" i="9" s="1"/>
  <c r="CE266" i="9" s="1"/>
  <c r="BN271" i="9"/>
  <c r="BO271" i="9" s="1"/>
  <c r="BP271" i="9" s="1" a="1"/>
  <c r="BP271" i="9" s="1"/>
  <c r="CJ264" i="9" a="1"/>
  <c r="CJ264" i="9" s="1"/>
  <c r="BN291" i="9"/>
  <c r="BO291" i="9" s="1"/>
  <c r="BP291" i="9" s="1" a="1"/>
  <c r="BP291" i="9" s="1"/>
  <c r="BF291" i="9"/>
  <c r="BG291" i="9" s="1"/>
  <c r="BL291" i="9" s="1" a="1"/>
  <c r="BL291" i="9" s="1"/>
  <c r="BZ276" i="9"/>
  <c r="CA276" i="9" s="1"/>
  <c r="CB276" i="9" s="1" a="1"/>
  <c r="CB276" i="9" s="1"/>
  <c r="BT287" i="9" a="1"/>
  <c r="BT287" i="9" s="1"/>
  <c r="BZ285" i="9"/>
  <c r="CA285" i="9" s="1"/>
  <c r="CF285" i="9" s="1" a="1"/>
  <c r="CF285" i="9" s="1"/>
  <c r="BF285" i="9"/>
  <c r="BG285" i="9" s="1"/>
  <c r="BH285" i="9" s="1" a="1"/>
  <c r="BH285" i="9" s="1"/>
  <c r="CD308" i="9"/>
  <c r="CE308" i="9" s="1"/>
  <c r="CF308" i="9" s="1" a="1"/>
  <c r="CF308" i="9" s="1"/>
  <c r="BZ283" i="9"/>
  <c r="CA283" i="9" s="1"/>
  <c r="CB283" i="9" s="1" a="1"/>
  <c r="CB283" i="9" s="1"/>
  <c r="BF283" i="9"/>
  <c r="BG283" i="9" s="1"/>
  <c r="CL283" i="9"/>
  <c r="CM283" i="9" s="1"/>
  <c r="BN297" i="9"/>
  <c r="BO297" i="9" s="1"/>
  <c r="CB322" i="9" a="1"/>
  <c r="CB322" i="9" s="1"/>
  <c r="CL285" i="9"/>
  <c r="CM285" i="9" s="1"/>
  <c r="BZ311" i="9"/>
  <c r="CA311" i="9" s="1"/>
  <c r="BZ334" i="9"/>
  <c r="CA334" i="9" s="1"/>
  <c r="CB334" i="9" s="1" a="1"/>
  <c r="CB334" i="9" s="1"/>
  <c r="BF334" i="9"/>
  <c r="BG334" i="9" s="1"/>
  <c r="BH334" i="9" s="1" a="1"/>
  <c r="BH334" i="9" s="1"/>
  <c r="BJ334" i="9"/>
  <c r="BK334" i="9" s="1"/>
  <c r="CH336" i="9"/>
  <c r="CI336" i="9" s="1"/>
  <c r="AZ305" i="9"/>
  <c r="CD305" i="9" s="1"/>
  <c r="CE305" i="9" s="1"/>
  <c r="CN335" i="9" a="1"/>
  <c r="CN335" i="9" s="1"/>
  <c r="BZ319" i="9"/>
  <c r="CA319" i="9" s="1"/>
  <c r="CH319" i="9"/>
  <c r="CI319" i="9" s="1"/>
  <c r="BF319" i="9"/>
  <c r="BG319" i="9" s="1"/>
  <c r="BH319" i="9" s="1" a="1"/>
  <c r="BH319" i="9" s="1"/>
  <c r="BR335" i="9"/>
  <c r="BS335" i="9" s="1"/>
  <c r="CF343" i="9" a="1"/>
  <c r="CF343" i="9" s="1"/>
  <c r="BZ279" i="9"/>
  <c r="CA279" i="9" s="1"/>
  <c r="CB279" i="9" s="1" a="1"/>
  <c r="CB279" i="9" s="1"/>
  <c r="BN311" i="9"/>
  <c r="BO311" i="9" s="1"/>
  <c r="BP311" i="9" s="1" a="1"/>
  <c r="BP311" i="9" s="1"/>
  <c r="BF271" i="9"/>
  <c r="BG271" i="9" s="1"/>
  <c r="BL271" i="9" s="1" a="1"/>
  <c r="BL271" i="9" s="1"/>
  <c r="CD342" i="9"/>
  <c r="CE342" i="9" s="1"/>
  <c r="BZ363" i="9"/>
  <c r="CA363" i="9" s="1"/>
  <c r="CB363" i="9" s="1" a="1"/>
  <c r="CB363" i="9" s="1"/>
  <c r="BF363" i="9"/>
  <c r="BG363" i="9" s="1"/>
  <c r="BH363" i="9" s="1" a="1"/>
  <c r="BH363" i="9" s="1"/>
  <c r="CH352" i="9"/>
  <c r="CI352" i="9" s="1"/>
  <c r="CJ352" i="9" s="1" a="1"/>
  <c r="CJ352" i="9" s="1"/>
  <c r="BZ375" i="9"/>
  <c r="CA375" i="9" s="1"/>
  <c r="CB375" i="9" s="1" a="1"/>
  <c r="CB375" i="9" s="1"/>
  <c r="BJ355" i="9"/>
  <c r="BK355" i="9" s="1"/>
  <c r="BL355" i="9" s="1" a="1"/>
  <c r="BL355" i="9" s="1"/>
  <c r="AZ373" i="9"/>
  <c r="BJ373" i="9" s="1"/>
  <c r="BK373" i="9" s="1"/>
  <c r="BR352" i="9"/>
  <c r="BS352" i="9" s="1"/>
  <c r="CL349" i="9"/>
  <c r="CM349" i="9" s="1"/>
  <c r="BJ363" i="9"/>
  <c r="BK363" i="9" s="1"/>
  <c r="CL398" i="9"/>
  <c r="CM398" i="9" s="1"/>
  <c r="BN402" i="9"/>
  <c r="BO402" i="9" s="1"/>
  <c r="BP402" i="9" s="1" a="1"/>
  <c r="BP402" i="9" s="1"/>
  <c r="BJ370" i="9"/>
  <c r="BK370" i="9" s="1"/>
  <c r="BL370" i="9" s="1" a="1"/>
  <c r="BL370" i="9" s="1"/>
  <c r="CL390" i="9"/>
  <c r="CM390" i="9" s="1"/>
  <c r="BN378" i="9"/>
  <c r="BO378" i="9" s="1"/>
  <c r="BJ387" i="9"/>
  <c r="BK387" i="9" s="1"/>
  <c r="BL387" i="9" s="1" a="1"/>
  <c r="BL387" i="9" s="1"/>
  <c r="BR425" i="9"/>
  <c r="BS425" i="9" s="1"/>
  <c r="BN425" i="9"/>
  <c r="BO425" i="9" s="1"/>
  <c r="BJ402" i="9"/>
  <c r="BK402" i="9" s="1"/>
  <c r="BN319" i="9"/>
  <c r="BO319" i="9" s="1"/>
  <c r="BR378" i="9"/>
  <c r="BS378" i="9" s="1"/>
  <c r="AZ399" i="9"/>
  <c r="CH399" i="9" s="1"/>
  <c r="CI399" i="9" s="1"/>
  <c r="BR411" i="9"/>
  <c r="BS411" i="9" s="1"/>
  <c r="CL406" i="9"/>
  <c r="CM406" i="9" s="1"/>
  <c r="AZ403" i="9"/>
  <c r="CL403" i="9" s="1"/>
  <c r="CM403" i="9" s="1"/>
  <c r="BR405" i="9"/>
  <c r="BS405" i="9" s="1"/>
  <c r="BF428" i="9"/>
  <c r="BG428" i="9" s="1"/>
  <c r="BJ428" i="9"/>
  <c r="BK428" i="9" s="1"/>
  <c r="BZ428" i="9"/>
  <c r="CA428" i="9" s="1"/>
  <c r="CL428" i="9"/>
  <c r="CM428" i="9" s="1"/>
  <c r="BR444" i="9"/>
  <c r="BS444" i="9" s="1"/>
  <c r="BR460" i="9"/>
  <c r="BS460" i="9" s="1"/>
  <c r="BZ378" i="9"/>
  <c r="CA378" i="9" s="1"/>
  <c r="CB378" i="9" s="1" a="1"/>
  <c r="CB378" i="9" s="1"/>
  <c r="BN417" i="9"/>
  <c r="BO417" i="9" s="1"/>
  <c r="BU424" i="9" a="1"/>
  <c r="BU424" i="9" s="1"/>
  <c r="CL425" i="9"/>
  <c r="CM425" i="9" s="1"/>
  <c r="AZ457" i="9"/>
  <c r="BZ457" i="9" s="1"/>
  <c r="CA457" i="9" s="1"/>
  <c r="CB457" i="9" s="1" a="1"/>
  <c r="CB457" i="9" s="1"/>
  <c r="BU463" i="9" a="1"/>
  <c r="BU463" i="9" s="1"/>
  <c r="BT463" i="9" a="1"/>
  <c r="BT463" i="9" s="1"/>
  <c r="BZ471" i="9"/>
  <c r="CA471" i="9" s="1"/>
  <c r="CB471" i="9" s="1" a="1"/>
  <c r="CB471" i="9" s="1"/>
  <c r="CL471" i="9"/>
  <c r="CM471" i="9" s="1"/>
  <c r="CD471" i="9"/>
  <c r="CE471" i="9" s="1"/>
  <c r="BF402" i="9"/>
  <c r="BG402" i="9" s="1"/>
  <c r="BH402" i="9" s="1" a="1"/>
  <c r="BH402" i="9" s="1"/>
  <c r="BZ414" i="9"/>
  <c r="CA414" i="9" s="1"/>
  <c r="CB414" i="9" s="1" a="1"/>
  <c r="CB414" i="9" s="1"/>
  <c r="CF430" i="9" a="1"/>
  <c r="CF430" i="9" s="1"/>
  <c r="BN431" i="9"/>
  <c r="BO431" i="9" s="1"/>
  <c r="BZ415" i="9"/>
  <c r="CA415" i="9" s="1"/>
  <c r="CB415" i="9" s="1" a="1"/>
  <c r="CB415" i="9" s="1"/>
  <c r="BN420" i="9"/>
  <c r="BO420" i="9" s="1"/>
  <c r="BP420" i="9" s="1" a="1"/>
  <c r="BP420" i="9" s="1"/>
  <c r="BJ489" i="9"/>
  <c r="BK489" i="9" s="1"/>
  <c r="BF489" i="9"/>
  <c r="BG489" i="9" s="1"/>
  <c r="CL468" i="9"/>
  <c r="CM468" i="9" s="1"/>
  <c r="CO484" i="9" a="1"/>
  <c r="CO484" i="9" s="1"/>
  <c r="CN484" i="9" a="1"/>
  <c r="CN484" i="9" s="1"/>
  <c r="BT474" i="9" a="1"/>
  <c r="BT474" i="9" s="1"/>
  <c r="BZ503" i="9"/>
  <c r="CA503" i="9" s="1"/>
  <c r="CB503" i="9" s="1" a="1"/>
  <c r="CB503" i="9" s="1"/>
  <c r="BF503" i="9"/>
  <c r="BG503" i="9" s="1"/>
  <c r="BH503" i="9" s="1" a="1"/>
  <c r="BH503" i="9" s="1"/>
  <c r="CH503" i="9"/>
  <c r="CI503" i="9" s="1"/>
  <c r="BJ503" i="9"/>
  <c r="BK503" i="9" s="1"/>
  <c r="BN503" i="9"/>
  <c r="BO503" i="9" s="1"/>
  <c r="CD503" i="9"/>
  <c r="CE503" i="9" s="1"/>
  <c r="BR503" i="9"/>
  <c r="BS503" i="9" s="1"/>
  <c r="BU501" i="9" a="1"/>
  <c r="BU501" i="9" s="1"/>
  <c r="BT501" i="9" a="1"/>
  <c r="BT501" i="9" s="1"/>
  <c r="CO482" i="9" a="1"/>
  <c r="CO482" i="9" s="1"/>
  <c r="CJ500" i="9" a="1"/>
  <c r="CJ500" i="9" s="1"/>
  <c r="CF531" i="9" a="1"/>
  <c r="CF531" i="9" s="1"/>
  <c r="BU546" i="9" a="1"/>
  <c r="BU546" i="9" s="1"/>
  <c r="BT546" i="9" a="1"/>
  <c r="BT546" i="9" s="1"/>
  <c r="BT523" i="9" a="1"/>
  <c r="BT523" i="9" s="1"/>
  <c r="BU523" i="9" a="1"/>
  <c r="BU523" i="9" s="1"/>
  <c r="BU539" i="9" a="1"/>
  <c r="BU539" i="9" s="1"/>
  <c r="BT516" i="9" a="1"/>
  <c r="BT516" i="9" s="1"/>
  <c r="BU516" i="9" a="1"/>
  <c r="BU516" i="9" s="1"/>
  <c r="CO580" i="9" a="1"/>
  <c r="CO580" i="9" s="1"/>
  <c r="CN580" i="9" a="1"/>
  <c r="CN580" i="9" s="1"/>
  <c r="CO588" i="9" a="1"/>
  <c r="CO588" i="9" s="1"/>
  <c r="CN588" i="9" a="1"/>
  <c r="CN588" i="9" s="1"/>
  <c r="BU612" i="9" a="1"/>
  <c r="BU612" i="9" s="1"/>
  <c r="BT612" i="9" a="1"/>
  <c r="BT612" i="9" s="1"/>
  <c r="CN559" i="9" a="1"/>
  <c r="CN559" i="9" s="1"/>
  <c r="CJ559" i="9" a="1"/>
  <c r="CJ559" i="9" s="1"/>
  <c r="CO617" i="9" a="1"/>
  <c r="CO617" i="9" s="1"/>
  <c r="BU570" i="9" a="1"/>
  <c r="BU570" i="9" s="1"/>
  <c r="CO610" i="9" a="1"/>
  <c r="CO610" i="9" s="1"/>
  <c r="BT657" i="9" a="1"/>
  <c r="BT657" i="9" s="1"/>
  <c r="BU657" i="9" a="1"/>
  <c r="BU657" i="9" s="1"/>
  <c r="CN602" i="9" a="1"/>
  <c r="CN602" i="9" s="1"/>
  <c r="CO602" i="9" a="1"/>
  <c r="CO602" i="9" s="1"/>
  <c r="CF670" i="9" a="1"/>
  <c r="CF670" i="9" s="1"/>
  <c r="BU679" i="9" a="1"/>
  <c r="BU679" i="9" s="1"/>
  <c r="CD148" i="9"/>
  <c r="CE148" i="9" s="1"/>
  <c r="BR156" i="9"/>
  <c r="BS156" i="9" s="1"/>
  <c r="CH177" i="9"/>
  <c r="CI177" i="9" s="1"/>
  <c r="BZ181" i="9"/>
  <c r="CA181" i="9" s="1"/>
  <c r="CB181" i="9" s="1" a="1"/>
  <c r="CB181" i="9" s="1"/>
  <c r="BR181" i="9"/>
  <c r="BS181" i="9" s="1"/>
  <c r="BR171" i="9"/>
  <c r="BS171" i="9" s="1"/>
  <c r="AZ176" i="9"/>
  <c r="BZ176" i="9" s="1"/>
  <c r="CA176" i="9" s="1"/>
  <c r="CB176" i="9" s="1" a="1"/>
  <c r="CB176" i="9" s="1"/>
  <c r="BZ187" i="9"/>
  <c r="CA187" i="9" s="1"/>
  <c r="CB187" i="9" s="1" a="1"/>
  <c r="CB187" i="9" s="1"/>
  <c r="BF187" i="9"/>
  <c r="BG187" i="9" s="1"/>
  <c r="BH187" i="9" s="1" a="1"/>
  <c r="BH187" i="9" s="1"/>
  <c r="CB183" i="9" a="1"/>
  <c r="CB183" i="9" s="1"/>
  <c r="CD181" i="9"/>
  <c r="CE181" i="9" s="1"/>
  <c r="CH183" i="9"/>
  <c r="CI183" i="9" s="1"/>
  <c r="CJ183" i="9" s="1" a="1"/>
  <c r="CJ183" i="9" s="1"/>
  <c r="AZ182" i="9"/>
  <c r="BF182" i="9" s="1"/>
  <c r="BG182" i="9" s="1"/>
  <c r="BH182" i="9" s="1" a="1"/>
  <c r="BH182" i="9" s="1"/>
  <c r="BR185" i="9"/>
  <c r="BS185" i="9" s="1"/>
  <c r="CD192" i="9"/>
  <c r="CE192" i="9" s="1"/>
  <c r="CF192" i="9" s="1" a="1"/>
  <c r="CF192" i="9" s="1"/>
  <c r="CL187" i="9"/>
  <c r="CM187" i="9" s="1"/>
  <c r="AZ195" i="9"/>
  <c r="BJ195" i="9" s="1"/>
  <c r="BK195" i="9" s="1"/>
  <c r="CD194" i="9"/>
  <c r="CE194" i="9" s="1"/>
  <c r="CF194" i="9" s="1" a="1"/>
  <c r="CF194" i="9" s="1"/>
  <c r="BR192" i="9"/>
  <c r="BS192" i="9" s="1"/>
  <c r="BN196" i="9"/>
  <c r="BO196" i="9" s="1"/>
  <c r="BT206" i="9" a="1"/>
  <c r="BT206" i="9" s="1"/>
  <c r="BU206" i="9" a="1"/>
  <c r="BU206" i="9" s="1"/>
  <c r="BR199" i="9"/>
  <c r="BS199" i="9" s="1"/>
  <c r="CD191" i="9"/>
  <c r="CE191" i="9" s="1"/>
  <c r="BR191" i="9"/>
  <c r="BS191" i="9" s="1"/>
  <c r="CJ206" i="9" a="1"/>
  <c r="CJ206" i="9" s="1"/>
  <c r="CP206" i="9" s="1"/>
  <c r="V206" i="9" s="1"/>
  <c r="BN212" i="9"/>
  <c r="BO212" i="9" s="1"/>
  <c r="BR211" i="9"/>
  <c r="BS211" i="9" s="1"/>
  <c r="BZ219" i="9"/>
  <c r="CA219" i="9" s="1"/>
  <c r="CF219" i="9" s="1" a="1"/>
  <c r="CF219" i="9" s="1"/>
  <c r="BN219" i="9"/>
  <c r="BO219" i="9" s="1"/>
  <c r="BH208" i="9" a="1"/>
  <c r="BH208" i="9" s="1"/>
  <c r="AZ225" i="9"/>
  <c r="CH211" i="9"/>
  <c r="CI211" i="9" s="1"/>
  <c r="BZ212" i="9"/>
  <c r="CA212" i="9" s="1"/>
  <c r="CB212" i="9" s="1" a="1"/>
  <c r="CB212" i="9" s="1"/>
  <c r="BF212" i="9"/>
  <c r="BG212" i="9" s="1"/>
  <c r="BH212" i="9" s="1" a="1"/>
  <c r="BH212" i="9" s="1"/>
  <c r="BJ212" i="9"/>
  <c r="BK212" i="9" s="1"/>
  <c r="CH212" i="9"/>
  <c r="CI212" i="9" s="1"/>
  <c r="CJ212" i="9" s="1" a="1"/>
  <c r="CJ212" i="9" s="1"/>
  <c r="BN215" i="9"/>
  <c r="BO215" i="9" s="1"/>
  <c r="BP215" i="9" s="1" a="1"/>
  <c r="BP215" i="9" s="1"/>
  <c r="CL220" i="9"/>
  <c r="CM220" i="9" s="1"/>
  <c r="CN233" i="9" a="1"/>
  <c r="CN233" i="9" s="1"/>
  <c r="CO233" i="9" a="1"/>
  <c r="CO233" i="9" s="1"/>
  <c r="CH242" i="9"/>
  <c r="CI242" i="9" s="1"/>
  <c r="CJ242" i="9" s="1" a="1"/>
  <c r="CJ242" i="9" s="1"/>
  <c r="CD251" i="9"/>
  <c r="CE251" i="9" s="1"/>
  <c r="CF251" i="9" s="1" a="1"/>
  <c r="CF251" i="9" s="1"/>
  <c r="BN248" i="9"/>
  <c r="BO248" i="9" s="1"/>
  <c r="CL247" i="9"/>
  <c r="CM247" i="9" s="1"/>
  <c r="CH268" i="9"/>
  <c r="CI268" i="9" s="1"/>
  <c r="BN234" i="9"/>
  <c r="BO234" i="9" s="1"/>
  <c r="BT234" i="9" s="1" a="1"/>
  <c r="BT234" i="9" s="1"/>
  <c r="AZ246" i="9"/>
  <c r="BZ246" i="9" s="1"/>
  <c r="CA246" i="9" s="1"/>
  <c r="CB246" i="9" s="1" a="1"/>
  <c r="CB246" i="9" s="1"/>
  <c r="AZ253" i="9"/>
  <c r="BN253" i="9" s="1"/>
  <c r="BO253" i="9" s="1"/>
  <c r="BR255" i="9"/>
  <c r="BS255" i="9" s="1"/>
  <c r="BJ257" i="9"/>
  <c r="BK257" i="9" s="1"/>
  <c r="AZ263" i="9"/>
  <c r="CH263" i="9" s="1"/>
  <c r="CI263" i="9" s="1"/>
  <c r="BU264" i="9" a="1"/>
  <c r="BU264" i="9" s="1"/>
  <c r="BF270" i="9"/>
  <c r="BG270" i="9" s="1"/>
  <c r="BZ258" i="9"/>
  <c r="CA258" i="9" s="1"/>
  <c r="CB258" i="9" s="1" a="1"/>
  <c r="CB258" i="9" s="1"/>
  <c r="CB281" i="9" a="1"/>
  <c r="CB281" i="9" s="1"/>
  <c r="AZ294" i="9"/>
  <c r="BR262" i="9"/>
  <c r="BS262" i="9" s="1"/>
  <c r="BR291" i="9"/>
  <c r="BS291" i="9" s="1"/>
  <c r="CH272" i="9"/>
  <c r="CI272" i="9" s="1"/>
  <c r="CJ272" i="9" s="1" a="1"/>
  <c r="CJ272" i="9" s="1"/>
  <c r="CL276" i="9"/>
  <c r="CM276" i="9" s="1"/>
  <c r="AZ296" i="9"/>
  <c r="CH296" i="9" s="1"/>
  <c r="CI296" i="9" s="1"/>
  <c r="BN264" i="9"/>
  <c r="BO264" i="9" s="1"/>
  <c r="BP264" i="9" s="1" a="1"/>
  <c r="BP264" i="9" s="1"/>
  <c r="CD301" i="9"/>
  <c r="CE301" i="9" s="1"/>
  <c r="CF301" i="9" s="1" a="1"/>
  <c r="CF301" i="9" s="1"/>
  <c r="AZ304" i="9"/>
  <c r="BZ304" i="9" s="1"/>
  <c r="CA304" i="9" s="1"/>
  <c r="CB304" i="9" s="1" a="1"/>
  <c r="CB304" i="9" s="1"/>
  <c r="BJ283" i="9"/>
  <c r="BK283" i="9" s="1"/>
  <c r="BL283" i="9" s="1" a="1"/>
  <c r="BL283" i="9" s="1"/>
  <c r="BH298" i="9" a="1"/>
  <c r="BH298" i="9" s="1"/>
  <c r="BR319" i="9"/>
  <c r="BS319" i="9" s="1"/>
  <c r="BR311" i="9"/>
  <c r="BS311" i="9" s="1"/>
  <c r="BR297" i="9"/>
  <c r="BS297" i="9" s="1"/>
  <c r="CH286" i="9"/>
  <c r="CI286" i="9" s="1"/>
  <c r="CJ286" i="9" s="1" a="1"/>
  <c r="CJ286" i="9" s="1"/>
  <c r="BN286" i="9"/>
  <c r="BO286" i="9" s="1"/>
  <c r="BP286" i="9" s="1" a="1"/>
  <c r="BP286" i="9" s="1"/>
  <c r="BT316" i="9" a="1"/>
  <c r="BT316" i="9" s="1"/>
  <c r="BV316" i="9" s="1"/>
  <c r="Q316" i="9" s="1"/>
  <c r="BR334" i="9"/>
  <c r="BS334" i="9" s="1"/>
  <c r="AZ345" i="9"/>
  <c r="CH345" i="9" s="1"/>
  <c r="CI345" i="9" s="1"/>
  <c r="BH338" i="9" a="1"/>
  <c r="BH338" i="9" s="1"/>
  <c r="CF327" i="9" a="1"/>
  <c r="CF327" i="9" s="1"/>
  <c r="CP327" i="9" s="1"/>
  <c r="V327" i="9" s="1"/>
  <c r="BF339" i="9"/>
  <c r="BG339" i="9" s="1"/>
  <c r="BH339" i="9" s="1" a="1"/>
  <c r="BH339" i="9" s="1"/>
  <c r="BJ339" i="9"/>
  <c r="BK339" i="9" s="1"/>
  <c r="CL339" i="9"/>
  <c r="CM339" i="9" s="1"/>
  <c r="BZ339" i="9"/>
  <c r="CA339" i="9" s="1"/>
  <c r="CB339" i="9" s="1" a="1"/>
  <c r="CB339" i="9" s="1"/>
  <c r="AZ376" i="9"/>
  <c r="CL376" i="9" s="1"/>
  <c r="CM376" i="9" s="1"/>
  <c r="AZ289" i="9"/>
  <c r="BN289" i="9" s="1"/>
  <c r="BO289" i="9" s="1"/>
  <c r="BR313" i="9"/>
  <c r="BS313" i="9" s="1"/>
  <c r="AZ337" i="9"/>
  <c r="BJ337" i="9" s="1"/>
  <c r="BK337" i="9" s="1"/>
  <c r="BR346" i="9"/>
  <c r="BS346" i="9" s="1"/>
  <c r="AZ348" i="9"/>
  <c r="CD355" i="9"/>
  <c r="CE355" i="9" s="1"/>
  <c r="CJ355" i="9" s="1" a="1"/>
  <c r="CJ355" i="9" s="1"/>
  <c r="AZ364" i="9"/>
  <c r="BF364" i="9" s="1"/>
  <c r="BG364" i="9" s="1"/>
  <c r="BH364" i="9" s="1" a="1"/>
  <c r="BH364" i="9" s="1"/>
  <c r="BF352" i="9"/>
  <c r="BG352" i="9" s="1"/>
  <c r="BH352" i="9" s="1" a="1"/>
  <c r="BH352" i="9" s="1"/>
  <c r="BJ349" i="9"/>
  <c r="BK349" i="9" s="1"/>
  <c r="BL349" i="9" s="1" a="1"/>
  <c r="BL349" i="9" s="1"/>
  <c r="CD371" i="9"/>
  <c r="CE371" i="9" s="1"/>
  <c r="BZ376" i="9"/>
  <c r="CA376" i="9" s="1"/>
  <c r="CB376" i="9" s="1" a="1"/>
  <c r="CB376" i="9" s="1"/>
  <c r="CN389" i="9" a="1"/>
  <c r="CN389" i="9" s="1"/>
  <c r="CH322" i="9"/>
  <c r="CI322" i="9" s="1"/>
  <c r="CD349" i="9"/>
  <c r="CE349" i="9" s="1"/>
  <c r="BR369" i="9"/>
  <c r="BS369" i="9" s="1"/>
  <c r="BJ371" i="9"/>
  <c r="BK371" i="9" s="1"/>
  <c r="BT389" i="9" a="1"/>
  <c r="BT389" i="9" s="1"/>
  <c r="CD350" i="9"/>
  <c r="CE350" i="9" s="1"/>
  <c r="CF350" i="9" s="1" a="1"/>
  <c r="CF350" i="9" s="1"/>
  <c r="CO402" i="9" a="1"/>
  <c r="CO402" i="9" s="1"/>
  <c r="BR310" i="9"/>
  <c r="BS310" i="9" s="1"/>
  <c r="BR399" i="9"/>
  <c r="BS399" i="9" s="1"/>
  <c r="AZ383" i="9"/>
  <c r="BN383" i="9" s="1"/>
  <c r="BO383" i="9" s="1"/>
  <c r="CD406" i="9"/>
  <c r="CE406" i="9" s="1"/>
  <c r="BZ411" i="9"/>
  <c r="CA411" i="9" s="1"/>
  <c r="CB411" i="9" s="1" a="1"/>
  <c r="CB411" i="9" s="1"/>
  <c r="BF411" i="9"/>
  <c r="BG411" i="9" s="1"/>
  <c r="BH411" i="9" s="1" a="1"/>
  <c r="BH411" i="9" s="1"/>
  <c r="BJ411" i="9"/>
  <c r="BK411" i="9" s="1"/>
  <c r="CD420" i="9"/>
  <c r="CE420" i="9" s="1"/>
  <c r="CF420" i="9" s="1" a="1"/>
  <c r="CF420" i="9" s="1"/>
  <c r="BL398" i="9" a="1"/>
  <c r="BL398" i="9" s="1"/>
  <c r="BT401" i="9" a="1"/>
  <c r="BT401" i="9" s="1"/>
  <c r="BU401" i="9" a="1"/>
  <c r="BU401" i="9" s="1"/>
  <c r="CH333" i="9"/>
  <c r="CI333" i="9" s="1"/>
  <c r="CJ333" i="9" s="1" a="1"/>
  <c r="CJ333" i="9" s="1"/>
  <c r="BJ378" i="9"/>
  <c r="BK378" i="9" s="1"/>
  <c r="CB428" i="9" a="1"/>
  <c r="CB428" i="9" s="1"/>
  <c r="CH377" i="9"/>
  <c r="CI377" i="9" s="1"/>
  <c r="CJ377" i="9" s="1" a="1"/>
  <c r="CJ377" i="9" s="1"/>
  <c r="BL401" i="9" a="1"/>
  <c r="BL401" i="9" s="1"/>
  <c r="BJ405" i="9"/>
  <c r="BK405" i="9" s="1"/>
  <c r="BL405" i="9" s="1" a="1"/>
  <c r="BL405" i="9" s="1"/>
  <c r="BR393" i="9"/>
  <c r="BS393" i="9" s="1"/>
  <c r="BR428" i="9"/>
  <c r="BS428" i="9" s="1"/>
  <c r="AZ439" i="9"/>
  <c r="BF439" i="9" s="1"/>
  <c r="BG439" i="9" s="1"/>
  <c r="BH439" i="9" s="1" a="1"/>
  <c r="BH439" i="9" s="1"/>
  <c r="BZ443" i="9"/>
  <c r="CA443" i="9" s="1"/>
  <c r="CB443" i="9" s="1" a="1"/>
  <c r="CB443" i="9" s="1"/>
  <c r="CH443" i="9"/>
  <c r="CI443" i="9" s="1"/>
  <c r="CJ443" i="9" s="1" a="1"/>
  <c r="CJ443" i="9" s="1"/>
  <c r="CH444" i="9"/>
  <c r="CI444" i="9" s="1"/>
  <c r="CJ444" i="9" s="1" a="1"/>
  <c r="CJ444" i="9" s="1"/>
  <c r="BZ444" i="9"/>
  <c r="CA444" i="9" s="1"/>
  <c r="CF444" i="9" s="1" a="1"/>
  <c r="CF444" i="9" s="1"/>
  <c r="CH452" i="9"/>
  <c r="CI452" i="9" s="1"/>
  <c r="CJ452" i="9" s="1" a="1"/>
  <c r="CJ452" i="9" s="1"/>
  <c r="BZ452" i="9"/>
  <c r="CA452" i="9" s="1"/>
  <c r="CB452" i="9" s="1" a="1"/>
  <c r="CB452" i="9" s="1"/>
  <c r="BZ398" i="9"/>
  <c r="CA398" i="9" s="1"/>
  <c r="CB398" i="9" s="1" a="1"/>
  <c r="CB398" i="9" s="1"/>
  <c r="BJ425" i="9"/>
  <c r="BK425" i="9" s="1"/>
  <c r="BL425" i="9" s="1" a="1"/>
  <c r="BL425" i="9" s="1"/>
  <c r="BU447" i="9" a="1"/>
  <c r="BU447" i="9" s="1"/>
  <c r="CH457" i="9"/>
  <c r="CI457" i="9" s="1"/>
  <c r="BZ463" i="9"/>
  <c r="CA463" i="9" s="1"/>
  <c r="CB463" i="9" s="1" a="1"/>
  <c r="CB463" i="9" s="1"/>
  <c r="CL463" i="9"/>
  <c r="CM463" i="9" s="1"/>
  <c r="CD463" i="9"/>
  <c r="CE463" i="9" s="1"/>
  <c r="CH463" i="9"/>
  <c r="CI463" i="9" s="1"/>
  <c r="BZ402" i="9"/>
  <c r="CA402" i="9" s="1"/>
  <c r="CB402" i="9" s="1" a="1"/>
  <c r="CB402" i="9" s="1"/>
  <c r="CD414" i="9"/>
  <c r="CE414" i="9" s="1"/>
  <c r="CF414" i="9" s="1" a="1"/>
  <c r="CF414" i="9" s="1"/>
  <c r="BF415" i="9"/>
  <c r="BG415" i="9" s="1"/>
  <c r="BH415" i="9" s="1" a="1"/>
  <c r="BH415" i="9" s="1"/>
  <c r="BZ477" i="9"/>
  <c r="CA477" i="9" s="1"/>
  <c r="CB477" i="9" s="1" a="1"/>
  <c r="CB477" i="9" s="1"/>
  <c r="BF477" i="9"/>
  <c r="BG477" i="9" s="1"/>
  <c r="BH477" i="9" s="1" a="1"/>
  <c r="BH477" i="9" s="1"/>
  <c r="CL477" i="9"/>
  <c r="CM477" i="9" s="1"/>
  <c r="BJ477" i="9"/>
  <c r="BK477" i="9" s="1"/>
  <c r="CH477" i="9"/>
  <c r="CI477" i="9" s="1"/>
  <c r="BN477" i="9"/>
  <c r="BO477" i="9" s="1"/>
  <c r="BP477" i="9" s="1" a="1"/>
  <c r="BP477" i="9" s="1"/>
  <c r="CD477" i="9"/>
  <c r="CE477" i="9" s="1"/>
  <c r="CL442" i="9"/>
  <c r="CM442" i="9" s="1"/>
  <c r="BU452" i="9" a="1"/>
  <c r="BU452" i="9" s="1"/>
  <c r="BZ468" i="9"/>
  <c r="CA468" i="9" s="1"/>
  <c r="CB468" i="9" s="1" a="1"/>
  <c r="CB468" i="9" s="1"/>
  <c r="BF468" i="9"/>
  <c r="BG468" i="9" s="1"/>
  <c r="BH468" i="9" s="1" a="1"/>
  <c r="BH468" i="9" s="1"/>
  <c r="CH468" i="9"/>
  <c r="CI468" i="9" s="1"/>
  <c r="BJ468" i="9"/>
  <c r="BK468" i="9" s="1"/>
  <c r="CJ504" i="9" a="1"/>
  <c r="CJ504" i="9" s="1"/>
  <c r="CN504" i="9" a="1"/>
  <c r="CN504" i="9" s="1"/>
  <c r="AZ476" i="9"/>
  <c r="CL476" i="9" s="1"/>
  <c r="CM476" i="9" s="1"/>
  <c r="AZ435" i="9"/>
  <c r="BN435" i="9" s="1"/>
  <c r="BO435" i="9" s="1"/>
  <c r="AZ499" i="9"/>
  <c r="BF499" i="9" s="1"/>
  <c r="BG499" i="9" s="1"/>
  <c r="BH499" i="9" s="1" a="1"/>
  <c r="BH499" i="9" s="1"/>
  <c r="AZ507" i="9"/>
  <c r="AZ510" i="9"/>
  <c r="CJ515" i="9" a="1"/>
  <c r="CJ515" i="9" s="1"/>
  <c r="BU558" i="9" a="1"/>
  <c r="BU558" i="9" s="1"/>
  <c r="BT558" i="9" a="1"/>
  <c r="BT558" i="9" s="1"/>
  <c r="BU562" i="9" a="1"/>
  <c r="BU562" i="9" s="1"/>
  <c r="BV523" i="9"/>
  <c r="Q523" i="9" s="1"/>
  <c r="CJ552" i="9" a="1"/>
  <c r="CJ552" i="9" s="1"/>
  <c r="BT569" i="9" a="1"/>
  <c r="BT569" i="9" s="1"/>
  <c r="BU569" i="9" a="1"/>
  <c r="BU569" i="9" s="1"/>
  <c r="BU577" i="9" a="1"/>
  <c r="BU577" i="9" s="1"/>
  <c r="BT577" i="9" a="1"/>
  <c r="BT577" i="9" s="1"/>
  <c r="BP580" i="9" a="1"/>
  <c r="BP580" i="9" s="1"/>
  <c r="BT580" i="9" a="1"/>
  <c r="BT580" i="9" s="1"/>
  <c r="BT609" i="9" a="1"/>
  <c r="BT609" i="9" s="1"/>
  <c r="BU609" i="9" a="1"/>
  <c r="BU609" i="9" s="1"/>
  <c r="CJ626" i="9" a="1"/>
  <c r="CJ626" i="9" s="1"/>
  <c r="CJ657" i="9" a="1"/>
  <c r="CJ657" i="9" s="1"/>
  <c r="BT687" i="9" a="1"/>
  <c r="BT687" i="9" s="1"/>
  <c r="BP687" i="9" a="1"/>
  <c r="BP687" i="9" s="1"/>
  <c r="CO732" i="9" a="1"/>
  <c r="CO732" i="9" s="1"/>
  <c r="CO705" i="9" a="1"/>
  <c r="CO705" i="9" s="1"/>
  <c r="BJ126" i="9"/>
  <c r="BK126" i="9" s="1"/>
  <c r="BZ126" i="9"/>
  <c r="CA126" i="9" s="1"/>
  <c r="CB126" i="9" s="1" a="1"/>
  <c r="CB126" i="9" s="1"/>
  <c r="BF126" i="9"/>
  <c r="BG126" i="9" s="1"/>
  <c r="BH126" i="9" s="1" a="1"/>
  <c r="BH126" i="9" s="1"/>
  <c r="BN125" i="9"/>
  <c r="BO125" i="9" s="1"/>
  <c r="BP125" i="9" s="1" a="1"/>
  <c r="BP125" i="9" s="1"/>
  <c r="BN127" i="9"/>
  <c r="BO127" i="9" s="1"/>
  <c r="BF127" i="9"/>
  <c r="BG127" i="9" s="1"/>
  <c r="BH127" i="9" s="1" a="1"/>
  <c r="BH127" i="9" s="1"/>
  <c r="BZ127" i="9"/>
  <c r="CA127" i="9" s="1"/>
  <c r="CB127" i="9" s="1" a="1"/>
  <c r="CB127" i="9" s="1"/>
  <c r="CL123" i="9"/>
  <c r="CM123" i="9" s="1"/>
  <c r="BF123" i="9"/>
  <c r="BG123" i="9" s="1"/>
  <c r="BH123" i="9" s="1" a="1"/>
  <c r="BH123" i="9" s="1"/>
  <c r="CH123" i="9"/>
  <c r="CI123" i="9" s="1"/>
  <c r="CJ123" i="9" s="1" a="1"/>
  <c r="CJ123" i="9" s="1"/>
  <c r="CD145" i="9"/>
  <c r="CE145" i="9" s="1"/>
  <c r="CD142" i="9"/>
  <c r="CE142" i="9" s="1"/>
  <c r="CD140" i="9"/>
  <c r="CE140" i="9" s="1"/>
  <c r="CF140" i="9" s="1" a="1"/>
  <c r="CF140" i="9" s="1"/>
  <c r="CL145" i="9"/>
  <c r="CM145" i="9" s="1"/>
  <c r="CN158" i="9" a="1"/>
  <c r="CN158" i="9" s="1"/>
  <c r="BF154" i="9"/>
  <c r="BG154" i="9" s="1"/>
  <c r="BH154" i="9" s="1" a="1"/>
  <c r="BH154" i="9" s="1"/>
  <c r="BN154" i="9"/>
  <c r="BO154" i="9" s="1"/>
  <c r="BP154" i="9" s="1" a="1"/>
  <c r="BP154" i="9" s="1"/>
  <c r="CH154" i="9"/>
  <c r="CI154" i="9" s="1"/>
  <c r="CJ154" i="9" s="1" a="1"/>
  <c r="CJ154" i="9" s="1"/>
  <c r="BZ154" i="9"/>
  <c r="CA154" i="9" s="1"/>
  <c r="CB154" i="9" s="1" a="1"/>
  <c r="CB154" i="9" s="1"/>
  <c r="CL163" i="9"/>
  <c r="CM163" i="9" s="1"/>
  <c r="BZ161" i="9"/>
  <c r="CA161" i="9" s="1"/>
  <c r="CB161" i="9" s="1" a="1"/>
  <c r="CB161" i="9" s="1"/>
  <c r="BF161" i="9"/>
  <c r="BG161" i="9" s="1"/>
  <c r="BH161" i="9" s="1" a="1"/>
  <c r="BH161" i="9" s="1"/>
  <c r="CL160" i="9"/>
  <c r="CM160" i="9" s="1"/>
  <c r="BR152" i="9"/>
  <c r="BS152" i="9" s="1"/>
  <c r="BZ148" i="9"/>
  <c r="CA148" i="9" s="1"/>
  <c r="CB148" i="9" s="1" a="1"/>
  <c r="CB148" i="9" s="1"/>
  <c r="BF148" i="9"/>
  <c r="BG148" i="9" s="1"/>
  <c r="BH148" i="9" s="1" a="1"/>
  <c r="BH148" i="9" s="1"/>
  <c r="CL156" i="9"/>
  <c r="CM156" i="9" s="1"/>
  <c r="AZ170" i="9"/>
  <c r="BR170" i="9" s="1"/>
  <c r="BS170" i="9" s="1"/>
  <c r="CL154" i="9"/>
  <c r="CM154" i="9" s="1"/>
  <c r="CL171" i="9"/>
  <c r="CM171" i="9" s="1"/>
  <c r="BN172" i="9"/>
  <c r="BO172" i="9" s="1"/>
  <c r="BP172" i="9" s="1" a="1"/>
  <c r="BP172" i="9" s="1"/>
  <c r="BU174" i="9" a="1"/>
  <c r="BU174" i="9" s="1"/>
  <c r="AZ188" i="9"/>
  <c r="BN188" i="9" s="1"/>
  <c r="BO188" i="9" s="1"/>
  <c r="BN168" i="9"/>
  <c r="BO168" i="9" s="1"/>
  <c r="AZ180" i="9"/>
  <c r="BF180" i="9" s="1"/>
  <c r="BG180" i="9" s="1"/>
  <c r="BH180" i="9" s="1" a="1"/>
  <c r="BH180" i="9" s="1"/>
  <c r="BR184" i="9"/>
  <c r="BS184" i="9" s="1"/>
  <c r="BN197" i="9"/>
  <c r="BO197" i="9" s="1"/>
  <c r="CD185" i="9"/>
  <c r="CE185" i="9" s="1"/>
  <c r="BF177" i="9"/>
  <c r="BG177" i="9" s="1"/>
  <c r="BH177" i="9" s="1" a="1"/>
  <c r="BH177" i="9" s="1"/>
  <c r="BZ177" i="9"/>
  <c r="CA177" i="9" s="1"/>
  <c r="CB177" i="9" s="1" a="1"/>
  <c r="CB177" i="9" s="1"/>
  <c r="CD177" i="9"/>
  <c r="CE177" i="9" s="1"/>
  <c r="AZ179" i="9"/>
  <c r="BF179" i="9" s="1"/>
  <c r="BG179" i="9" s="1"/>
  <c r="BH179" i="9" s="1" a="1"/>
  <c r="BH179" i="9" s="1"/>
  <c r="BJ193" i="9"/>
  <c r="BK193" i="9" s="1"/>
  <c r="CD197" i="9"/>
  <c r="CE197" i="9" s="1"/>
  <c r="BJ190" i="9"/>
  <c r="BK190" i="9" s="1"/>
  <c r="BN194" i="9"/>
  <c r="BO194" i="9" s="1"/>
  <c r="BP194" i="9" s="1" a="1"/>
  <c r="BP194" i="9" s="1"/>
  <c r="BJ201" i="9"/>
  <c r="BK201" i="9" s="1"/>
  <c r="BF201" i="9"/>
  <c r="BG201" i="9" s="1"/>
  <c r="BH201" i="9" s="1" a="1"/>
  <c r="BH201" i="9" s="1"/>
  <c r="BN201" i="9"/>
  <c r="BO201" i="9" s="1"/>
  <c r="CL201" i="9"/>
  <c r="CM201" i="9" s="1"/>
  <c r="CH201" i="9"/>
  <c r="CI201" i="9" s="1"/>
  <c r="CJ201" i="9" s="1" a="1"/>
  <c r="CJ201" i="9" s="1"/>
  <c r="BZ201" i="9"/>
  <c r="CA201" i="9" s="1"/>
  <c r="CB201" i="9" s="1" a="1"/>
  <c r="CB201" i="9" s="1"/>
  <c r="BR204" i="9"/>
  <c r="BS204" i="9" s="1"/>
  <c r="CL208" i="9"/>
  <c r="CM208" i="9" s="1"/>
  <c r="BN193" i="9"/>
  <c r="BO193" i="9" s="1"/>
  <c r="AZ203" i="9"/>
  <c r="BJ203" i="9" s="1"/>
  <c r="BK203" i="9" s="1"/>
  <c r="CD199" i="9"/>
  <c r="CE199" i="9" s="1"/>
  <c r="CF199" i="9" s="1" a="1"/>
  <c r="CF199" i="9" s="1"/>
  <c r="AZ207" i="9"/>
  <c r="CH207" i="9" s="1"/>
  <c r="CI207" i="9" s="1"/>
  <c r="CD193" i="9"/>
  <c r="CE193" i="9" s="1"/>
  <c r="BF205" i="9"/>
  <c r="BG205" i="9" s="1"/>
  <c r="BH205" i="9" s="1" a="1"/>
  <c r="BH205" i="9" s="1"/>
  <c r="BN191" i="9"/>
  <c r="BO191" i="9" s="1"/>
  <c r="BP191" i="9" s="1" a="1"/>
  <c r="BP191" i="9" s="1"/>
  <c r="CL211" i="9"/>
  <c r="CM211" i="9" s="1"/>
  <c r="CH187" i="9"/>
  <c r="CI187" i="9" s="1"/>
  <c r="AZ216" i="9"/>
  <c r="BF216" i="9" s="1"/>
  <c r="BG216" i="9" s="1"/>
  <c r="BH216" i="9" s="1" a="1"/>
  <c r="BH216" i="9" s="1"/>
  <c r="CD225" i="9"/>
  <c r="CE225" i="9" s="1"/>
  <c r="CL225" i="9"/>
  <c r="CM225" i="9" s="1"/>
  <c r="CD231" i="9"/>
  <c r="CE231" i="9" s="1"/>
  <c r="CF231" i="9" s="1" a="1"/>
  <c r="CF231" i="9" s="1"/>
  <c r="BT233" i="9" a="1"/>
  <c r="BT233" i="9" s="1"/>
  <c r="BV233" i="9" s="1"/>
  <c r="Q233" i="9" s="1"/>
  <c r="AZ227" i="9"/>
  <c r="BZ227" i="9" s="1"/>
  <c r="CA227" i="9" s="1"/>
  <c r="CB227" i="9" s="1" a="1"/>
  <c r="CB227" i="9" s="1"/>
  <c r="BR230" i="9"/>
  <c r="BS230" i="9" s="1"/>
  <c r="CJ213" i="9" a="1"/>
  <c r="CJ213" i="9" s="1"/>
  <c r="CN232" i="9" a="1"/>
  <c r="CN232" i="9" s="1"/>
  <c r="CP232" i="9" s="1"/>
  <c r="V232" i="9" s="1"/>
  <c r="AZ243" i="9"/>
  <c r="CD243" i="9" s="1"/>
  <c r="CE243" i="9" s="1"/>
  <c r="BR248" i="9"/>
  <c r="BS248" i="9" s="1"/>
  <c r="BJ234" i="9"/>
  <c r="BK234" i="9" s="1"/>
  <c r="BL234" i="9" s="1" a="1"/>
  <c r="BL234" i="9" s="1"/>
  <c r="CH246" i="9"/>
  <c r="CI246" i="9" s="1"/>
  <c r="BJ244" i="9"/>
  <c r="BK244" i="9" s="1"/>
  <c r="BL244" i="9" s="1" a="1"/>
  <c r="BL244" i="9" s="1"/>
  <c r="BF244" i="9"/>
  <c r="BG244" i="9" s="1"/>
  <c r="BH244" i="9" s="1" a="1"/>
  <c r="BH244" i="9" s="1"/>
  <c r="BZ244" i="9"/>
  <c r="CA244" i="9" s="1"/>
  <c r="CB244" i="9" s="1" a="1"/>
  <c r="CB244" i="9" s="1"/>
  <c r="CL244" i="9"/>
  <c r="CM244" i="9" s="1"/>
  <c r="BZ256" i="9"/>
  <c r="CA256" i="9" s="1"/>
  <c r="CB256" i="9" s="1" a="1"/>
  <c r="CB256" i="9" s="1"/>
  <c r="CL256" i="9"/>
  <c r="CM256" i="9" s="1"/>
  <c r="CD256" i="9"/>
  <c r="CE256" i="9" s="1"/>
  <c r="BR249" i="9"/>
  <c r="BS249" i="9" s="1"/>
  <c r="BZ266" i="9"/>
  <c r="CA266" i="9" s="1"/>
  <c r="CB266" i="9" s="1" a="1"/>
  <c r="CB266" i="9" s="1"/>
  <c r="BZ264" i="9"/>
  <c r="CA264" i="9" s="1"/>
  <c r="AZ273" i="9"/>
  <c r="BH283" i="9" a="1"/>
  <c r="BH283" i="9" s="1"/>
  <c r="CD270" i="9"/>
  <c r="CE270" i="9" s="1"/>
  <c r="CF270" i="9" s="1" a="1"/>
  <c r="CF270" i="9" s="1"/>
  <c r="BJ276" i="9"/>
  <c r="BK276" i="9" s="1"/>
  <c r="BL276" i="9" s="1" a="1"/>
  <c r="BL276" i="9" s="1"/>
  <c r="CL251" i="9"/>
  <c r="CM251" i="9" s="1"/>
  <c r="BR258" i="9"/>
  <c r="BS258" i="9" s="1"/>
  <c r="CN269" i="9" a="1"/>
  <c r="CN269" i="9" s="1"/>
  <c r="CO269" i="9" a="1"/>
  <c r="CO269" i="9" s="1"/>
  <c r="CD275" i="9"/>
  <c r="CE275" i="9" s="1"/>
  <c r="CF275" i="9" s="1" a="1"/>
  <c r="CF275" i="9" s="1"/>
  <c r="CH294" i="9"/>
  <c r="CI294" i="9" s="1"/>
  <c r="BZ278" i="9"/>
  <c r="CA278" i="9" s="1"/>
  <c r="CB278" i="9" s="1" a="1"/>
  <c r="CB278" i="9" s="1"/>
  <c r="BZ257" i="9"/>
  <c r="CA257" i="9" s="1"/>
  <c r="CB257" i="9" s="1" a="1"/>
  <c r="CB257" i="9" s="1"/>
  <c r="CD276" i="9"/>
  <c r="CE276" i="9" s="1"/>
  <c r="BZ296" i="9"/>
  <c r="CA296" i="9" s="1"/>
  <c r="CB296" i="9" s="1" a="1"/>
  <c r="CB296" i="9" s="1"/>
  <c r="CL270" i="9"/>
  <c r="CM270" i="9" s="1"/>
  <c r="CH292" i="9"/>
  <c r="CI292" i="9" s="1"/>
  <c r="BN301" i="9"/>
  <c r="BO301" i="9" s="1"/>
  <c r="BT301" i="9" s="1" a="1"/>
  <c r="BT301" i="9" s="1"/>
  <c r="CD304" i="9"/>
  <c r="CE304" i="9" s="1"/>
  <c r="CF304" i="9" s="1" a="1"/>
  <c r="CF304" i="9" s="1"/>
  <c r="AZ295" i="9"/>
  <c r="CH295" i="9" s="1"/>
  <c r="CI295" i="9" s="1"/>
  <c r="BZ298" i="9"/>
  <c r="CA298" i="9" s="1"/>
  <c r="CB298" i="9" s="1" a="1"/>
  <c r="CB298" i="9" s="1"/>
  <c r="AZ307" i="9"/>
  <c r="BR307" i="9" s="1"/>
  <c r="BS307" i="9" s="1"/>
  <c r="AZ326" i="9"/>
  <c r="BR326" i="9" s="1"/>
  <c r="BS326" i="9" s="1"/>
  <c r="CD317" i="9"/>
  <c r="CE317" i="9" s="1"/>
  <c r="CJ317" i="9" s="1" a="1"/>
  <c r="CJ317" i="9" s="1"/>
  <c r="BF317" i="9"/>
  <c r="BG317" i="9" s="1"/>
  <c r="BH317" i="9" s="1" a="1"/>
  <c r="BH317" i="9" s="1"/>
  <c r="BR317" i="9"/>
  <c r="BS317" i="9" s="1"/>
  <c r="BZ317" i="9"/>
  <c r="CA317" i="9" s="1"/>
  <c r="CB317" i="9" s="1" a="1"/>
  <c r="CB317" i="9" s="1"/>
  <c r="BN317" i="9"/>
  <c r="BO317" i="9" s="1"/>
  <c r="BP317" i="9" s="1" a="1"/>
  <c r="BP317" i="9" s="1"/>
  <c r="BJ297" i="9"/>
  <c r="BK297" i="9" s="1"/>
  <c r="BR308" i="9"/>
  <c r="BS308" i="9" s="1"/>
  <c r="BR320" i="9"/>
  <c r="BS320" i="9" s="1"/>
  <c r="BF320" i="9"/>
  <c r="BG320" i="9" s="1"/>
  <c r="BH320" i="9" s="1" a="1"/>
  <c r="BH320" i="9" s="1"/>
  <c r="CL333" i="9"/>
  <c r="CM333" i="9" s="1"/>
  <c r="CL311" i="9"/>
  <c r="CM311" i="9" s="1"/>
  <c r="CH285" i="9"/>
  <c r="CI285" i="9" s="1"/>
  <c r="CJ285" i="9" s="1" a="1"/>
  <c r="CJ285" i="9" s="1"/>
  <c r="CD298" i="9"/>
  <c r="CE298" i="9" s="1"/>
  <c r="BZ333" i="9"/>
  <c r="CA333" i="9" s="1"/>
  <c r="CB333" i="9" s="1" a="1"/>
  <c r="CB333" i="9" s="1"/>
  <c r="CD294" i="9"/>
  <c r="CE294" i="9" s="1"/>
  <c r="CD337" i="9"/>
  <c r="CE337" i="9" s="1"/>
  <c r="BZ342" i="9"/>
  <c r="CA342" i="9" s="1"/>
  <c r="CB342" i="9" s="1" a="1"/>
  <c r="CB342" i="9" s="1"/>
  <c r="BJ342" i="9"/>
  <c r="BK342" i="9" s="1"/>
  <c r="BF342" i="9"/>
  <c r="BG342" i="9" s="1"/>
  <c r="BH342" i="9" s="1" a="1"/>
  <c r="BH342" i="9" s="1"/>
  <c r="CD314" i="9"/>
  <c r="CE314" i="9" s="1"/>
  <c r="CF314" i="9" s="1" a="1"/>
  <c r="CF314" i="9" s="1"/>
  <c r="CF335" i="9" a="1"/>
  <c r="CF335" i="9" s="1"/>
  <c r="CP335" i="9" s="1"/>
  <c r="V335" i="9" s="1"/>
  <c r="BF353" i="9"/>
  <c r="BG353" i="9" s="1"/>
  <c r="BH353" i="9" s="1" a="1"/>
  <c r="BH353" i="9" s="1"/>
  <c r="CD353" i="9"/>
  <c r="CE353" i="9" s="1"/>
  <c r="CJ353" i="9" s="1" a="1"/>
  <c r="CJ353" i="9" s="1"/>
  <c r="BF312" i="9"/>
  <c r="BG312" i="9" s="1"/>
  <c r="BH312" i="9" s="1" a="1"/>
  <c r="BH312" i="9" s="1"/>
  <c r="BJ312" i="9"/>
  <c r="BK312" i="9" s="1"/>
  <c r="CH312" i="9"/>
  <c r="CI312" i="9" s="1"/>
  <c r="CJ312" i="9" s="1" a="1"/>
  <c r="CJ312" i="9" s="1"/>
  <c r="BZ312" i="9"/>
  <c r="CA312" i="9" s="1"/>
  <c r="CB312" i="9" s="1" a="1"/>
  <c r="CB312" i="9" s="1"/>
  <c r="BR312" i="9"/>
  <c r="BS312" i="9" s="1"/>
  <c r="BF322" i="9"/>
  <c r="BG322" i="9" s="1"/>
  <c r="BL322" i="9" s="1" a="1"/>
  <c r="BL322" i="9" s="1"/>
  <c r="AZ329" i="9"/>
  <c r="BJ329" i="9" s="1"/>
  <c r="BK329" i="9" s="1"/>
  <c r="CL353" i="9"/>
  <c r="CM353" i="9" s="1"/>
  <c r="CH376" i="9"/>
  <c r="CI376" i="9" s="1"/>
  <c r="CD313" i="9"/>
  <c r="CE313" i="9" s="1"/>
  <c r="CF313" i="9" s="1" a="1"/>
  <c r="CF313" i="9" s="1"/>
  <c r="CL313" i="9"/>
  <c r="CM313" i="9" s="1"/>
  <c r="BR314" i="9"/>
  <c r="BS314" i="9" s="1"/>
  <c r="BF350" i="9"/>
  <c r="BG350" i="9" s="1"/>
  <c r="BH350" i="9" s="1" a="1"/>
  <c r="BH350" i="9" s="1"/>
  <c r="BN355" i="9"/>
  <c r="BO355" i="9" s="1"/>
  <c r="BP355" i="9" s="1" a="1"/>
  <c r="BP355" i="9" s="1"/>
  <c r="CL328" i="9"/>
  <c r="CM328" i="9" s="1"/>
  <c r="BN342" i="9"/>
  <c r="BO342" i="9" s="1"/>
  <c r="CD346" i="9"/>
  <c r="CE346" i="9" s="1"/>
  <c r="CH348" i="9"/>
  <c r="CI348" i="9" s="1"/>
  <c r="CH364" i="9"/>
  <c r="CI364" i="9" s="1"/>
  <c r="BR339" i="9"/>
  <c r="BS339" i="9" s="1"/>
  <c r="CL360" i="9"/>
  <c r="CM360" i="9" s="1"/>
  <c r="BF368" i="9"/>
  <c r="BG368" i="9" s="1"/>
  <c r="BH368" i="9" s="1" a="1"/>
  <c r="BH368" i="9" s="1"/>
  <c r="BZ352" i="9"/>
  <c r="CA352" i="9" s="1"/>
  <c r="CB352" i="9" s="1" a="1"/>
  <c r="CB352" i="9" s="1"/>
  <c r="BF313" i="9"/>
  <c r="BG313" i="9" s="1"/>
  <c r="BH313" i="9" s="1" a="1"/>
  <c r="BH313" i="9" s="1"/>
  <c r="BN350" i="9"/>
  <c r="BO350" i="9" s="1"/>
  <c r="BP350" i="9" s="1" a="1"/>
  <c r="BP350" i="9" s="1"/>
  <c r="BR371" i="9"/>
  <c r="BS371" i="9" s="1"/>
  <c r="CH375" i="9"/>
  <c r="CI375" i="9" s="1"/>
  <c r="BR380" i="9"/>
  <c r="BS380" i="9" s="1"/>
  <c r="BR343" i="9"/>
  <c r="BS343" i="9" s="1"/>
  <c r="BZ355" i="9"/>
  <c r="CA355" i="9" s="1"/>
  <c r="BR368" i="9"/>
  <c r="BS368" i="9" s="1"/>
  <c r="CL380" i="9"/>
  <c r="CM380" i="9" s="1"/>
  <c r="BN368" i="9"/>
  <c r="BO368" i="9" s="1"/>
  <c r="BP368" i="9" s="1" a="1"/>
  <c r="BP368" i="9" s="1"/>
  <c r="CL375" i="9"/>
  <c r="CM375" i="9" s="1"/>
  <c r="BP398" i="9" a="1"/>
  <c r="BP398" i="9" s="1"/>
  <c r="BR363" i="9"/>
  <c r="BS363" i="9" s="1"/>
  <c r="BJ409" i="9"/>
  <c r="BK409" i="9" s="1"/>
  <c r="BL409" i="9" s="1" a="1"/>
  <c r="BL409" i="9" s="1"/>
  <c r="BR409" i="9"/>
  <c r="BS409" i="9" s="1"/>
  <c r="CL310" i="9"/>
  <c r="CM310" i="9" s="1"/>
  <c r="BN358" i="9"/>
  <c r="BO358" i="9" s="1"/>
  <c r="BP358" i="9" s="1" a="1"/>
  <c r="BP358" i="9" s="1"/>
  <c r="CD399" i="9"/>
  <c r="CE399" i="9" s="1"/>
  <c r="CD409" i="9"/>
  <c r="CE409" i="9" s="1"/>
  <c r="CF409" i="9" s="1" a="1"/>
  <c r="CF409" i="9" s="1"/>
  <c r="BZ320" i="9"/>
  <c r="CA320" i="9" s="1"/>
  <c r="CB320" i="9" s="1" a="1"/>
  <c r="CB320" i="9" s="1"/>
  <c r="CD411" i="9"/>
  <c r="CE411" i="9" s="1"/>
  <c r="CF411" i="9" s="1" a="1"/>
  <c r="CF411" i="9" s="1"/>
  <c r="AZ421" i="9"/>
  <c r="BJ421" i="9" s="1"/>
  <c r="BK421" i="9" s="1"/>
  <c r="CD428" i="9"/>
  <c r="CE428" i="9" s="1"/>
  <c r="CF428" i="9" s="1" a="1"/>
  <c r="CF428" i="9" s="1"/>
  <c r="BR362" i="9"/>
  <c r="BS362" i="9" s="1"/>
  <c r="BR374" i="9"/>
  <c r="BS374" i="9" s="1"/>
  <c r="BZ374" i="9"/>
  <c r="CA374" i="9" s="1"/>
  <c r="CB374" i="9" s="1" a="1"/>
  <c r="CB374" i="9" s="1"/>
  <c r="BN387" i="9"/>
  <c r="BO387" i="9" s="1"/>
  <c r="BP387" i="9" s="1" a="1"/>
  <c r="BP387" i="9" s="1"/>
  <c r="AZ419" i="9"/>
  <c r="BJ419" i="9" s="1"/>
  <c r="BK419" i="9" s="1"/>
  <c r="BT415" i="9" a="1"/>
  <c r="BT415" i="9" s="1"/>
  <c r="AZ427" i="9"/>
  <c r="BF427" i="9" s="1"/>
  <c r="BG427" i="9" s="1"/>
  <c r="BH427" i="9" s="1" a="1"/>
  <c r="BH427" i="9" s="1"/>
  <c r="BN439" i="9"/>
  <c r="BO439" i="9" s="1"/>
  <c r="CD460" i="9"/>
  <c r="CE460" i="9" s="1"/>
  <c r="CD403" i="9"/>
  <c r="CE403" i="9" s="1"/>
  <c r="CL405" i="9"/>
  <c r="CM405" i="9" s="1"/>
  <c r="BZ408" i="9"/>
  <c r="CA408" i="9" s="1"/>
  <c r="CB408" i="9" s="1" a="1"/>
  <c r="CB408" i="9" s="1"/>
  <c r="BF408" i="9"/>
  <c r="BG408" i="9" s="1"/>
  <c r="BH408" i="9" s="1" a="1"/>
  <c r="BH408" i="9" s="1"/>
  <c r="CH422" i="9"/>
  <c r="CI422" i="9" s="1"/>
  <c r="CJ422" i="9" s="1" a="1"/>
  <c r="CJ422" i="9" s="1"/>
  <c r="CL452" i="9"/>
  <c r="CM452" i="9" s="1"/>
  <c r="BF394" i="9"/>
  <c r="BG394" i="9" s="1"/>
  <c r="BH394" i="9" s="1" a="1"/>
  <c r="BH394" i="9" s="1"/>
  <c r="BZ394" i="9"/>
  <c r="CA394" i="9" s="1"/>
  <c r="CB394" i="9" s="1" a="1"/>
  <c r="CB394" i="9" s="1"/>
  <c r="CH402" i="9"/>
  <c r="CI402" i="9" s="1"/>
  <c r="CJ402" i="9" s="1" a="1"/>
  <c r="CJ402" i="9" s="1"/>
  <c r="BN422" i="9"/>
  <c r="BO422" i="9" s="1"/>
  <c r="BT443" i="9" a="1"/>
  <c r="BT443" i="9" s="1"/>
  <c r="CD419" i="9"/>
  <c r="CE419" i="9" s="1"/>
  <c r="BZ447" i="9"/>
  <c r="CA447" i="9" s="1"/>
  <c r="CB447" i="9" s="1" a="1"/>
  <c r="CB447" i="9" s="1"/>
  <c r="CL447" i="9"/>
  <c r="CM447" i="9" s="1"/>
  <c r="CD447" i="9"/>
  <c r="CE447" i="9" s="1"/>
  <c r="CJ447" i="9" s="1" a="1"/>
  <c r="CJ447" i="9" s="1"/>
  <c r="BN454" i="9"/>
  <c r="BO454" i="9" s="1"/>
  <c r="BR402" i="9"/>
  <c r="BS402" i="9" s="1"/>
  <c r="CD415" i="9"/>
  <c r="CE415" i="9" s="1"/>
  <c r="BN447" i="9"/>
  <c r="BO447" i="9" s="1"/>
  <c r="BP447" i="9" s="1" a="1"/>
  <c r="BP447" i="9" s="1"/>
  <c r="CL415" i="9"/>
  <c r="CM415" i="9" s="1"/>
  <c r="BZ460" i="9"/>
  <c r="CA460" i="9" s="1"/>
  <c r="CB460" i="9" s="1" a="1"/>
  <c r="CB460" i="9" s="1"/>
  <c r="BN468" i="9"/>
  <c r="BO468" i="9" s="1"/>
  <c r="BP468" i="9" s="1" a="1"/>
  <c r="BP468" i="9" s="1"/>
  <c r="CD475" i="9"/>
  <c r="CE475" i="9" s="1"/>
  <c r="BZ475" i="9"/>
  <c r="CA475" i="9" s="1"/>
  <c r="CB475" i="9" s="1" a="1"/>
  <c r="CB475" i="9" s="1"/>
  <c r="BU432" i="9" a="1"/>
  <c r="BU432" i="9" s="1"/>
  <c r="BF454" i="9"/>
  <c r="BG454" i="9" s="1"/>
  <c r="BH454" i="9" s="1" a="1"/>
  <c r="BH454" i="9" s="1"/>
  <c r="BU481" i="9" a="1"/>
  <c r="BU481" i="9" s="1"/>
  <c r="AZ473" i="9"/>
  <c r="BZ473" i="9" s="1"/>
  <c r="CA473" i="9" s="1"/>
  <c r="CB473" i="9" s="1" a="1"/>
  <c r="CB473" i="9" s="1"/>
  <c r="BJ476" i="9"/>
  <c r="BK476" i="9" s="1"/>
  <c r="CL352" i="9"/>
  <c r="CM352" i="9" s="1"/>
  <c r="BN479" i="9"/>
  <c r="BO479" i="9" s="1"/>
  <c r="BP479" i="9" s="1" a="1"/>
  <c r="BP479" i="9" s="1"/>
  <c r="CO515" i="9" a="1"/>
  <c r="CO515" i="9" s="1"/>
  <c r="CN515" i="9" a="1"/>
  <c r="CN515" i="9" s="1"/>
  <c r="CD510" i="9"/>
  <c r="CE510" i="9" s="1"/>
  <c r="CN501" i="9" a="1"/>
  <c r="CN501" i="9" s="1"/>
  <c r="CJ501" i="9" a="1"/>
  <c r="CJ501" i="9" s="1"/>
  <c r="BU593" i="9" a="1"/>
  <c r="BU593" i="9" s="1"/>
  <c r="BT593" i="9" a="1"/>
  <c r="BT593" i="9" s="1"/>
  <c r="BU601" i="9" a="1"/>
  <c r="BU601" i="9" s="1"/>
  <c r="BH566" i="9" a="1"/>
  <c r="BH566" i="9" s="1"/>
  <c r="BL609" i="9" a="1"/>
  <c r="BL609" i="9" s="1"/>
  <c r="BP733" i="9" a="1"/>
  <c r="BP733" i="9" s="1"/>
  <c r="BU710" i="9" a="1"/>
  <c r="BU710" i="9" s="1"/>
  <c r="BP654" i="9" a="1"/>
  <c r="BP654" i="9" s="1"/>
  <c r="BL654" i="9" a="1"/>
  <c r="BL654" i="9" s="1"/>
  <c r="CO677" i="9" a="1"/>
  <c r="CO677" i="9" s="1"/>
  <c r="CO687" i="9" a="1"/>
  <c r="CO687" i="9" s="1"/>
  <c r="CN687" i="9" a="1"/>
  <c r="CN687" i="9" s="1"/>
  <c r="BU703" i="9" a="1"/>
  <c r="BU703" i="9" s="1"/>
  <c r="BT703" i="9" a="1"/>
  <c r="BT703" i="9" s="1"/>
  <c r="BR136" i="9"/>
  <c r="BS136" i="9" s="1"/>
  <c r="CH149" i="9"/>
  <c r="CI149" i="9" s="1"/>
  <c r="CJ149" i="9" s="1" a="1"/>
  <c r="CJ149" i="9" s="1"/>
  <c r="CL149" i="9"/>
  <c r="CM149" i="9" s="1"/>
  <c r="AZ146" i="9"/>
  <c r="BJ146" i="9" s="1"/>
  <c r="BK146" i="9" s="1"/>
  <c r="AZ137" i="9"/>
  <c r="BZ137" i="9" s="1"/>
  <c r="CA137" i="9" s="1"/>
  <c r="CB137" i="9" s="1" a="1"/>
  <c r="CB137" i="9" s="1"/>
  <c r="CD161" i="9"/>
  <c r="CE161" i="9" s="1"/>
  <c r="CF161" i="9" s="1" a="1"/>
  <c r="CF161" i="9" s="1"/>
  <c r="BJ161" i="9"/>
  <c r="BK161" i="9" s="1"/>
  <c r="CD152" i="9"/>
  <c r="CE152" i="9" s="1"/>
  <c r="BN146" i="9"/>
  <c r="BO146" i="9" s="1"/>
  <c r="BP146" i="9" s="1" a="1"/>
  <c r="BP146" i="9" s="1"/>
  <c r="BN148" i="9"/>
  <c r="BO148" i="9" s="1"/>
  <c r="BP148" i="9" s="1" a="1"/>
  <c r="BP148" i="9" s="1"/>
  <c r="AZ169" i="9"/>
  <c r="BR168" i="9"/>
  <c r="BS168" i="9" s="1"/>
  <c r="BN176" i="9"/>
  <c r="BO176" i="9" s="1"/>
  <c r="CH181" i="9"/>
  <c r="CI181" i="9" s="1"/>
  <c r="CJ181" i="9" s="1" a="1"/>
  <c r="CJ181" i="9" s="1"/>
  <c r="BF193" i="9"/>
  <c r="BG193" i="9" s="1"/>
  <c r="BH193" i="9" s="1" a="1"/>
  <c r="BH193" i="9" s="1"/>
  <c r="BR183" i="9"/>
  <c r="BS183" i="9" s="1"/>
  <c r="BJ188" i="9"/>
  <c r="BK188" i="9" s="1"/>
  <c r="BZ193" i="9"/>
  <c r="CA193" i="9" s="1"/>
  <c r="CB193" i="9" s="1" a="1"/>
  <c r="CB193" i="9" s="1"/>
  <c r="BN205" i="9"/>
  <c r="BO205" i="9" s="1"/>
  <c r="BN179" i="9"/>
  <c r="BO179" i="9" s="1"/>
  <c r="BR187" i="9"/>
  <c r="BS187" i="9" s="1"/>
  <c r="BZ197" i="9"/>
  <c r="CA197" i="9" s="1"/>
  <c r="CB197" i="9" s="1" a="1"/>
  <c r="CB197" i="9" s="1"/>
  <c r="BF197" i="9"/>
  <c r="BG197" i="9" s="1"/>
  <c r="BH197" i="9" s="1" a="1"/>
  <c r="BH197" i="9" s="1"/>
  <c r="BJ197" i="9"/>
  <c r="BK197" i="9" s="1"/>
  <c r="BR203" i="9"/>
  <c r="BS203" i="9" s="1"/>
  <c r="BR194" i="9"/>
  <c r="BS194" i="9" s="1"/>
  <c r="AZ200" i="9"/>
  <c r="BJ200" i="9" s="1"/>
  <c r="BK200" i="9" s="1"/>
  <c r="CH184" i="9"/>
  <c r="CI184" i="9" s="1"/>
  <c r="CJ184" i="9" s="1" a="1"/>
  <c r="CJ184" i="9" s="1"/>
  <c r="BJ207" i="9"/>
  <c r="BK207" i="9" s="1"/>
  <c r="CF198" i="9" a="1"/>
  <c r="CF198" i="9" s="1"/>
  <c r="CP198" i="9" s="1"/>
  <c r="V198" i="9" s="1"/>
  <c r="BZ191" i="9"/>
  <c r="CA191" i="9" s="1"/>
  <c r="CB191" i="9" s="1" a="1"/>
  <c r="CB191" i="9" s="1"/>
  <c r="BF191" i="9"/>
  <c r="BG191" i="9" s="1"/>
  <c r="BH191" i="9" s="1" a="1"/>
  <c r="BH191" i="9" s="1"/>
  <c r="CD211" i="9"/>
  <c r="CE211" i="9" s="1"/>
  <c r="BN216" i="9"/>
  <c r="BO216" i="9" s="1"/>
  <c r="BR219" i="9"/>
  <c r="BS219" i="9" s="1"/>
  <c r="CD214" i="9"/>
  <c r="CE214" i="9" s="1"/>
  <c r="CF214" i="9" s="1" a="1"/>
  <c r="CF214" i="9" s="1"/>
  <c r="CL222" i="9"/>
  <c r="CM222" i="9" s="1"/>
  <c r="AZ229" i="9"/>
  <c r="BN247" i="9"/>
  <c r="BO247" i="9" s="1"/>
  <c r="BP247" i="9" s="1" a="1"/>
  <c r="BP247" i="9" s="1"/>
  <c r="CL230" i="9"/>
  <c r="CM230" i="9" s="1"/>
  <c r="BF247" i="9"/>
  <c r="BG247" i="9" s="1"/>
  <c r="BH247" i="9" s="1" a="1"/>
  <c r="BH247" i="9" s="1"/>
  <c r="BN221" i="9"/>
  <c r="BO221" i="9" s="1"/>
  <c r="BP221" i="9" s="1" a="1"/>
  <c r="BP221" i="9" s="1"/>
  <c r="CL221" i="9"/>
  <c r="CM221" i="9" s="1"/>
  <c r="BZ247" i="9"/>
  <c r="CA247" i="9" s="1"/>
  <c r="CB247" i="9" s="1" a="1"/>
  <c r="CB247" i="9" s="1"/>
  <c r="CD238" i="9"/>
  <c r="CE238" i="9" s="1"/>
  <c r="CF238" i="9" s="1" a="1"/>
  <c r="CF238" i="9" s="1"/>
  <c r="BL232" i="9" a="1"/>
  <c r="BL232" i="9" s="1"/>
  <c r="BV232" i="9" s="1"/>
  <c r="Q232" i="9" s="1"/>
  <c r="AB232" i="9" s="1"/>
  <c r="AZ254" i="9"/>
  <c r="CD254" i="9" s="1"/>
  <c r="CE254" i="9" s="1"/>
  <c r="CL249" i="9"/>
  <c r="CM249" i="9" s="1"/>
  <c r="CD246" i="9"/>
  <c r="CE246" i="9" s="1"/>
  <c r="BN249" i="9"/>
  <c r="BO249" i="9" s="1"/>
  <c r="CJ233" i="9" a="1"/>
  <c r="CJ233" i="9" s="1"/>
  <c r="CL257" i="9"/>
  <c r="CM257" i="9" s="1"/>
  <c r="BR266" i="9"/>
  <c r="BS266" i="9" s="1"/>
  <c r="BF275" i="9"/>
  <c r="BG275" i="9" s="1"/>
  <c r="BH275" i="9" s="1" a="1"/>
  <c r="BH275" i="9" s="1"/>
  <c r="BH271" i="9" a="1"/>
  <c r="BH271" i="9" s="1"/>
  <c r="CL258" i="9"/>
  <c r="CM258" i="9" s="1"/>
  <c r="AZ265" i="9"/>
  <c r="CD265" i="9" s="1"/>
  <c r="CE265" i="9" s="1"/>
  <c r="BN299" i="9"/>
  <c r="BO299" i="9" s="1"/>
  <c r="BP299" i="9" s="1" a="1"/>
  <c r="BP299" i="9" s="1"/>
  <c r="CH267" i="9"/>
  <c r="CI267" i="9" s="1"/>
  <c r="BH277" i="9" a="1"/>
  <c r="BH277" i="9" s="1"/>
  <c r="CF283" i="9" a="1"/>
  <c r="CF283" i="9" s="1"/>
  <c r="AZ288" i="9"/>
  <c r="BF279" i="9"/>
  <c r="BG279" i="9" s="1"/>
  <c r="BH279" i="9" s="1" a="1"/>
  <c r="BH279" i="9" s="1"/>
  <c r="BR282" i="9"/>
  <c r="BS282" i="9" s="1"/>
  <c r="BR285" i="9"/>
  <c r="BS285" i="9" s="1"/>
  <c r="BF278" i="9"/>
  <c r="BG278" i="9" s="1"/>
  <c r="BH278" i="9" s="1" a="1"/>
  <c r="BH278" i="9" s="1"/>
  <c r="BR296" i="9"/>
  <c r="BS296" i="9" s="1"/>
  <c r="BR304" i="9"/>
  <c r="BS304" i="9" s="1"/>
  <c r="BR295" i="9"/>
  <c r="BS295" i="9" s="1"/>
  <c r="BZ289" i="9"/>
  <c r="CA289" i="9" s="1"/>
  <c r="CB289" i="9" s="1" a="1"/>
  <c r="CB289" i="9" s="1"/>
  <c r="BF289" i="9"/>
  <c r="BG289" i="9" s="1"/>
  <c r="BH289" i="9" s="1" a="1"/>
  <c r="BH289" i="9" s="1"/>
  <c r="CH326" i="9"/>
  <c r="CI326" i="9" s="1"/>
  <c r="CD292" i="9"/>
  <c r="CE292" i="9" s="1"/>
  <c r="CF292" i="9" s="1" a="1"/>
  <c r="CF292" i="9" s="1"/>
  <c r="BJ285" i="9"/>
  <c r="BK285" i="9" s="1"/>
  <c r="BL285" i="9" s="1" a="1"/>
  <c r="BL285" i="9" s="1"/>
  <c r="BJ308" i="9"/>
  <c r="BK308" i="9" s="1"/>
  <c r="BL308" i="9" s="1" a="1"/>
  <c r="BL308" i="9" s="1"/>
  <c r="BJ279" i="9"/>
  <c r="BK279" i="9" s="1"/>
  <c r="BL279" i="9" s="1" a="1"/>
  <c r="BL279" i="9" s="1"/>
  <c r="CL308" i="9"/>
  <c r="CM308" i="9" s="1"/>
  <c r="CD311" i="9"/>
  <c r="CE311" i="9" s="1"/>
  <c r="CD334" i="9"/>
  <c r="CE334" i="9" s="1"/>
  <c r="CF334" i="9" s="1" a="1"/>
  <c r="CF334" i="9" s="1"/>
  <c r="BR256" i="9"/>
  <c r="BS256" i="9" s="1"/>
  <c r="CH307" i="9"/>
  <c r="CI307" i="9" s="1"/>
  <c r="CL307" i="9"/>
  <c r="CM307" i="9" s="1"/>
  <c r="BJ301" i="9"/>
  <c r="BK301" i="9" s="1"/>
  <c r="BL301" i="9" s="1" a="1"/>
  <c r="BL301" i="9" s="1"/>
  <c r="CD319" i="9"/>
  <c r="CE319" i="9" s="1"/>
  <c r="CF319" i="9" s="1" a="1"/>
  <c r="CF319" i="9" s="1"/>
  <c r="CD328" i="9"/>
  <c r="CE328" i="9" s="1"/>
  <c r="BR345" i="9"/>
  <c r="BS345" i="9" s="1"/>
  <c r="BN305" i="9"/>
  <c r="BO305" i="9" s="1"/>
  <c r="BF323" i="9"/>
  <c r="BG323" i="9" s="1"/>
  <c r="BH323" i="9" s="1" a="1"/>
  <c r="BH323" i="9" s="1"/>
  <c r="BJ323" i="9"/>
  <c r="BK323" i="9" s="1"/>
  <c r="CL323" i="9"/>
  <c r="CM323" i="9" s="1"/>
  <c r="BR323" i="9"/>
  <c r="BS323" i="9" s="1"/>
  <c r="BZ323" i="9"/>
  <c r="CA323" i="9" s="1"/>
  <c r="CB323" i="9" s="1" a="1"/>
  <c r="CB323" i="9" s="1"/>
  <c r="CH328" i="9"/>
  <c r="CI328" i="9" s="1"/>
  <c r="BR338" i="9"/>
  <c r="BS338" i="9" s="1"/>
  <c r="CH314" i="9"/>
  <c r="CI314" i="9" s="1"/>
  <c r="CJ314" i="9" s="1" a="1"/>
  <c r="CJ314" i="9" s="1"/>
  <c r="BR289" i="9"/>
  <c r="BS289" i="9" s="1"/>
  <c r="BR337" i="9"/>
  <c r="BS337" i="9" s="1"/>
  <c r="CL351" i="9"/>
  <c r="CM351" i="9" s="1"/>
  <c r="CD336" i="9"/>
  <c r="CE336" i="9" s="1"/>
  <c r="AZ356" i="9"/>
  <c r="CD356" i="9" s="1"/>
  <c r="CE356" i="9" s="1"/>
  <c r="BZ368" i="9"/>
  <c r="CA368" i="9" s="1"/>
  <c r="CF368" i="9" s="1" a="1"/>
  <c r="CF368" i="9" s="1"/>
  <c r="BJ346" i="9"/>
  <c r="BK346" i="9" s="1"/>
  <c r="BP346" i="9" s="1" a="1"/>
  <c r="BP346" i="9" s="1"/>
  <c r="BJ352" i="9"/>
  <c r="BK352" i="9" s="1"/>
  <c r="BL352" i="9" s="1" a="1"/>
  <c r="BL352" i="9" s="1"/>
  <c r="CL350" i="9"/>
  <c r="CM350" i="9" s="1"/>
  <c r="BZ371" i="9"/>
  <c r="CA371" i="9" s="1"/>
  <c r="CB371" i="9" s="1" a="1"/>
  <c r="CB371" i="9" s="1"/>
  <c r="BF371" i="9"/>
  <c r="BG371" i="9" s="1"/>
  <c r="BH371" i="9" s="1" a="1"/>
  <c r="BH371" i="9" s="1"/>
  <c r="CL371" i="9"/>
  <c r="CM371" i="9" s="1"/>
  <c r="BZ380" i="9"/>
  <c r="CA380" i="9" s="1"/>
  <c r="CB380" i="9" s="1" a="1"/>
  <c r="CB380" i="9" s="1"/>
  <c r="BF380" i="9"/>
  <c r="BG380" i="9" s="1"/>
  <c r="BH380" i="9" s="1" a="1"/>
  <c r="BH380" i="9" s="1"/>
  <c r="CD380" i="9"/>
  <c r="CE380" i="9" s="1"/>
  <c r="CL368" i="9"/>
  <c r="CM368" i="9" s="1"/>
  <c r="CD360" i="9"/>
  <c r="CE360" i="9" s="1"/>
  <c r="CF360" i="9" s="1" a="1"/>
  <c r="CF360" i="9" s="1"/>
  <c r="CL364" i="9"/>
  <c r="CM364" i="9" s="1"/>
  <c r="BN370" i="9"/>
  <c r="BO370" i="9" s="1"/>
  <c r="BP370" i="9" s="1" a="1"/>
  <c r="BP370" i="9" s="1"/>
  <c r="BZ373" i="9"/>
  <c r="CA373" i="9" s="1"/>
  <c r="CB373" i="9" s="1" a="1"/>
  <c r="CB373" i="9" s="1"/>
  <c r="BF373" i="9"/>
  <c r="BG373" i="9" s="1"/>
  <c r="BH373" i="9" s="1" a="1"/>
  <c r="BH373" i="9" s="1"/>
  <c r="AZ384" i="9"/>
  <c r="BZ384" i="9" s="1"/>
  <c r="CA384" i="9" s="1"/>
  <c r="CB384" i="9" s="1" a="1"/>
  <c r="CB384" i="9" s="1"/>
  <c r="CD375" i="9"/>
  <c r="CE375" i="9" s="1"/>
  <c r="CF375" i="9" s="1" a="1"/>
  <c r="CF375" i="9" s="1"/>
  <c r="CD363" i="9"/>
  <c r="CE363" i="9" s="1"/>
  <c r="CF363" i="9" s="1" a="1"/>
  <c r="CF363" i="9" s="1"/>
  <c r="CL363" i="9"/>
  <c r="CM363" i="9" s="1"/>
  <c r="BJ400" i="9"/>
  <c r="BK400" i="9" s="1"/>
  <c r="BL400" i="9" s="1" a="1"/>
  <c r="BL400" i="9" s="1"/>
  <c r="AZ386" i="9"/>
  <c r="BZ386" i="9" s="1"/>
  <c r="CA386" i="9" s="1"/>
  <c r="CB386" i="9" s="1" a="1"/>
  <c r="CB386" i="9" s="1"/>
  <c r="BV389" i="9"/>
  <c r="Q389" i="9" s="1"/>
  <c r="BF399" i="9"/>
  <c r="BG399" i="9" s="1"/>
  <c r="BH399" i="9" s="1" a="1"/>
  <c r="BH399" i="9" s="1"/>
  <c r="BZ399" i="9"/>
  <c r="CA399" i="9" s="1"/>
  <c r="CB399" i="9" s="1" a="1"/>
  <c r="CB399" i="9" s="1"/>
  <c r="BR383" i="9"/>
  <c r="BS383" i="9" s="1"/>
  <c r="BN423" i="9"/>
  <c r="BO423" i="9" s="1"/>
  <c r="CH421" i="9"/>
  <c r="CI421" i="9" s="1"/>
  <c r="AZ429" i="9"/>
  <c r="CD429" i="9" s="1"/>
  <c r="CE429" i="9" s="1"/>
  <c r="AZ365" i="9"/>
  <c r="CL365" i="9" s="1"/>
  <c r="CM365" i="9" s="1"/>
  <c r="BR395" i="9"/>
  <c r="BS395" i="9" s="1"/>
  <c r="CH419" i="9"/>
  <c r="CI419" i="9" s="1"/>
  <c r="CJ419" i="9" s="1" a="1"/>
  <c r="CJ419" i="9" s="1"/>
  <c r="CJ389" i="9" a="1"/>
  <c r="CJ389" i="9" s="1"/>
  <c r="CP389" i="9" s="1"/>
  <c r="V389" i="9" s="1"/>
  <c r="CM391" i="9"/>
  <c r="AZ391" i="9"/>
  <c r="CL391" i="9" s="1"/>
  <c r="BR400" i="9"/>
  <c r="BS400" i="9" s="1"/>
  <c r="AZ407" i="9"/>
  <c r="BN407" i="9" s="1"/>
  <c r="BO407" i="9" s="1"/>
  <c r="CH414" i="9"/>
  <c r="CI414" i="9" s="1"/>
  <c r="CJ414" i="9" s="1" a="1"/>
  <c r="CJ414" i="9" s="1"/>
  <c r="BL438" i="9" a="1"/>
  <c r="BL438" i="9" s="1"/>
  <c r="BN403" i="9"/>
  <c r="BO403" i="9" s="1"/>
  <c r="BZ405" i="9"/>
  <c r="CA405" i="9" s="1"/>
  <c r="CB405" i="9" s="1" a="1"/>
  <c r="CB405" i="9" s="1"/>
  <c r="CL409" i="9"/>
  <c r="CM409" i="9" s="1"/>
  <c r="CL394" i="9"/>
  <c r="CM394" i="9" s="1"/>
  <c r="BZ440" i="9"/>
  <c r="CA440" i="9" s="1"/>
  <c r="CB440" i="9" s="1" a="1"/>
  <c r="CB440" i="9" s="1"/>
  <c r="BN440" i="9"/>
  <c r="BO440" i="9" s="1"/>
  <c r="CH440" i="9"/>
  <c r="CI440" i="9" s="1"/>
  <c r="BJ440" i="9"/>
  <c r="BK440" i="9" s="1"/>
  <c r="BF440" i="9"/>
  <c r="BG440" i="9" s="1"/>
  <c r="BH440" i="9" s="1" a="1"/>
  <c r="BH440" i="9" s="1"/>
  <c r="CL440" i="9"/>
  <c r="CM440" i="9" s="1"/>
  <c r="CD440" i="9"/>
  <c r="CE440" i="9" s="1"/>
  <c r="BZ381" i="9"/>
  <c r="CA381" i="9" s="1"/>
  <c r="CB381" i="9" s="1" a="1"/>
  <c r="CB381" i="9" s="1"/>
  <c r="CL381" i="9"/>
  <c r="CM381" i="9" s="1"/>
  <c r="BF381" i="9"/>
  <c r="BG381" i="9" s="1"/>
  <c r="BH381" i="9" s="1" a="1"/>
  <c r="BH381" i="9" s="1"/>
  <c r="BN381" i="9"/>
  <c r="BO381" i="9" s="1"/>
  <c r="BP381" i="9" s="1" a="1"/>
  <c r="BP381" i="9" s="1"/>
  <c r="CH381" i="9"/>
  <c r="CI381" i="9" s="1"/>
  <c r="CJ381" i="9" s="1" a="1"/>
  <c r="CJ381" i="9" s="1"/>
  <c r="BN419" i="9"/>
  <c r="BO419" i="9" s="1"/>
  <c r="BP419" i="9" s="1" a="1"/>
  <c r="BP419" i="9" s="1"/>
  <c r="AZ449" i="9"/>
  <c r="BF449" i="9" s="1"/>
  <c r="BG449" i="9" s="1"/>
  <c r="BH449" i="9" s="1" a="1"/>
  <c r="BH449" i="9" s="1"/>
  <c r="AZ465" i="9"/>
  <c r="BF465" i="9" s="1"/>
  <c r="BG465" i="9" s="1"/>
  <c r="BH465" i="9" s="1" a="1"/>
  <c r="BH465" i="9" s="1"/>
  <c r="CH425" i="9"/>
  <c r="CI425" i="9" s="1"/>
  <c r="CD457" i="9"/>
  <c r="CE457" i="9" s="1"/>
  <c r="CF457" i="9" s="1" a="1"/>
  <c r="CF457" i="9" s="1"/>
  <c r="CD425" i="9"/>
  <c r="CE425" i="9" s="1"/>
  <c r="BF453" i="9"/>
  <c r="BG453" i="9" s="1"/>
  <c r="BH453" i="9" s="1" a="1"/>
  <c r="BH453" i="9" s="1"/>
  <c r="CH453" i="9"/>
  <c r="CI453" i="9" s="1"/>
  <c r="CJ453" i="9" s="1" a="1"/>
  <c r="CJ453" i="9" s="1"/>
  <c r="BZ453" i="9"/>
  <c r="CA453" i="9" s="1"/>
  <c r="CB453" i="9" s="1" a="1"/>
  <c r="CB453" i="9" s="1"/>
  <c r="BJ453" i="9"/>
  <c r="BK453" i="9" s="1"/>
  <c r="BN453" i="9"/>
  <c r="BO453" i="9" s="1"/>
  <c r="BR453" i="9"/>
  <c r="BS453" i="9" s="1"/>
  <c r="AZ448" i="9"/>
  <c r="CL448" i="9" s="1"/>
  <c r="CM448" i="9" s="1"/>
  <c r="CN481" i="9" a="1"/>
  <c r="CN481" i="9" s="1"/>
  <c r="CO481" i="9" a="1"/>
  <c r="CO481" i="9" s="1"/>
  <c r="BF478" i="9"/>
  <c r="BG478" i="9" s="1"/>
  <c r="BH478" i="9" s="1" a="1"/>
  <c r="BH478" i="9" s="1"/>
  <c r="BJ478" i="9"/>
  <c r="BK478" i="9" s="1"/>
  <c r="CD478" i="9"/>
  <c r="CE478" i="9" s="1"/>
  <c r="BZ478" i="9"/>
  <c r="CA478" i="9" s="1"/>
  <c r="CB478" i="9" s="1" a="1"/>
  <c r="CB478" i="9" s="1"/>
  <c r="BR478" i="9"/>
  <c r="BS478" i="9" s="1"/>
  <c r="CL478" i="9"/>
  <c r="CM478" i="9" s="1"/>
  <c r="BJ452" i="9"/>
  <c r="BK452" i="9" s="1"/>
  <c r="BL452" i="9" s="1" a="1"/>
  <c r="BL452" i="9" s="1"/>
  <c r="BF475" i="9"/>
  <c r="BG475" i="9" s="1"/>
  <c r="BH475" i="9" s="1" a="1"/>
  <c r="BH475" i="9" s="1"/>
  <c r="BR475" i="9"/>
  <c r="BS475" i="9" s="1"/>
  <c r="BJ475" i="9"/>
  <c r="BK475" i="9" s="1"/>
  <c r="BZ495" i="9"/>
  <c r="CA495" i="9" s="1"/>
  <c r="CB495" i="9" s="1" a="1"/>
  <c r="CB495" i="9" s="1"/>
  <c r="BF495" i="9"/>
  <c r="BG495" i="9" s="1"/>
  <c r="BH495" i="9" s="1" a="1"/>
  <c r="BH495" i="9" s="1"/>
  <c r="CH495" i="9"/>
  <c r="CI495" i="9" s="1"/>
  <c r="BN495" i="9"/>
  <c r="BO495" i="9" s="1"/>
  <c r="BJ495" i="9"/>
  <c r="BK495" i="9" s="1"/>
  <c r="CD495" i="9"/>
  <c r="CE495" i="9" s="1"/>
  <c r="BR495" i="9"/>
  <c r="BS495" i="9" s="1"/>
  <c r="CO546" i="9" a="1"/>
  <c r="CO546" i="9" s="1"/>
  <c r="BU527" i="9" a="1"/>
  <c r="BU527" i="9" s="1"/>
  <c r="BT527" i="9" a="1"/>
  <c r="BT527" i="9" s="1"/>
  <c r="BP530" i="9" a="1"/>
  <c r="BP530" i="9" s="1"/>
  <c r="CN612" i="9" a="1"/>
  <c r="CN612" i="9" s="1"/>
  <c r="CO612" i="9" a="1"/>
  <c r="CO612" i="9" s="1"/>
  <c r="CJ586" i="9" a="1"/>
  <c r="CJ586" i="9" s="1"/>
  <c r="CN593" i="9" a="1"/>
  <c r="CN593" i="9" s="1"/>
  <c r="CO593" i="9" a="1"/>
  <c r="CO593" i="9" s="1"/>
  <c r="BP644" i="9" a="1"/>
  <c r="BP644" i="9" s="1"/>
  <c r="CJ647" i="9" a="1"/>
  <c r="CJ647" i="9" s="1"/>
  <c r="CN733" i="9" a="1"/>
  <c r="CN733" i="9" s="1"/>
  <c r="CO733" i="9" a="1"/>
  <c r="CO733" i="9" s="1"/>
  <c r="CO689" i="9" a="1"/>
  <c r="CO689" i="9" s="1"/>
  <c r="CD136" i="9"/>
  <c r="CE136" i="9" s="1"/>
  <c r="BN150" i="9"/>
  <c r="BO150" i="9" s="1"/>
  <c r="BP150" i="9" s="1" a="1"/>
  <c r="BP150" i="9" s="1"/>
  <c r="BJ145" i="9"/>
  <c r="BK145" i="9" s="1"/>
  <c r="BL145" i="9" s="1" a="1"/>
  <c r="BL145" i="9" s="1"/>
  <c r="BZ142" i="9"/>
  <c r="CA142" i="9" s="1"/>
  <c r="CB142" i="9" s="1" a="1"/>
  <c r="CB142" i="9" s="1"/>
  <c r="BJ142" i="9"/>
  <c r="BK142" i="9" s="1"/>
  <c r="BF142" i="9"/>
  <c r="BG142" i="9" s="1"/>
  <c r="BH142" i="9" s="1" a="1"/>
  <c r="BH142" i="9" s="1"/>
  <c r="CH142" i="9"/>
  <c r="CI142" i="9" s="1"/>
  <c r="CJ142" i="9" s="1" a="1"/>
  <c r="CJ142" i="9" s="1"/>
  <c r="BR146" i="9"/>
  <c r="BS146" i="9" s="1"/>
  <c r="BR149" i="9"/>
  <c r="BS149" i="9" s="1"/>
  <c r="AZ155" i="9"/>
  <c r="BR155" i="9" s="1"/>
  <c r="BS155" i="9" s="1"/>
  <c r="CH161" i="9"/>
  <c r="CI161" i="9" s="1"/>
  <c r="CJ161" i="9" s="1" a="1"/>
  <c r="CJ161" i="9" s="1"/>
  <c r="BR153" i="9"/>
  <c r="BS153" i="9" s="1"/>
  <c r="CH169" i="9"/>
  <c r="CI169" i="9" s="1"/>
  <c r="AZ167" i="9"/>
  <c r="CH167" i="9" s="1"/>
  <c r="CI167" i="9" s="1"/>
  <c r="BJ170" i="9"/>
  <c r="BK170" i="9" s="1"/>
  <c r="BN178" i="9"/>
  <c r="BO178" i="9" s="1"/>
  <c r="BP178" i="9" s="1" a="1"/>
  <c r="BP178" i="9" s="1"/>
  <c r="CD170" i="9"/>
  <c r="CE170" i="9" s="1"/>
  <c r="AZ175" i="9"/>
  <c r="BN175" i="9" s="1"/>
  <c r="BO175" i="9" s="1"/>
  <c r="CL176" i="9"/>
  <c r="CM176" i="9" s="1"/>
  <c r="CL190" i="9"/>
  <c r="CM190" i="9" s="1"/>
  <c r="BH183" i="9" a="1"/>
  <c r="BH183" i="9" s="1"/>
  <c r="CL183" i="9"/>
  <c r="CM183" i="9" s="1"/>
  <c r="CD196" i="9"/>
  <c r="CE196" i="9" s="1"/>
  <c r="CJ196" i="9" s="1" a="1"/>
  <c r="CJ196" i="9" s="1"/>
  <c r="CL179" i="9"/>
  <c r="CM179" i="9" s="1"/>
  <c r="CH179" i="9"/>
  <c r="CI179" i="9" s="1"/>
  <c r="BJ187" i="9"/>
  <c r="BK187" i="9" s="1"/>
  <c r="BL187" i="9" s="1" a="1"/>
  <c r="BL187" i="9" s="1"/>
  <c r="CD187" i="9"/>
  <c r="CE187" i="9" s="1"/>
  <c r="CF187" i="9" s="1" a="1"/>
  <c r="CF187" i="9" s="1"/>
  <c r="CL203" i="9"/>
  <c r="CM203" i="9" s="1"/>
  <c r="CL202" i="9"/>
  <c r="CM202" i="9" s="1"/>
  <c r="CO193" i="9" a="1"/>
  <c r="CO193" i="9" s="1"/>
  <c r="BN199" i="9"/>
  <c r="BO199" i="9" s="1"/>
  <c r="BP199" i="9" s="1" a="1"/>
  <c r="BP199" i="9" s="1"/>
  <c r="BR207" i="9"/>
  <c r="BS207" i="9" s="1"/>
  <c r="BR195" i="9"/>
  <c r="BS195" i="9" s="1"/>
  <c r="BF207" i="9"/>
  <c r="BG207" i="9" s="1"/>
  <c r="BH207" i="9" s="1" a="1"/>
  <c r="BH207" i="9" s="1"/>
  <c r="BZ207" i="9"/>
  <c r="CA207" i="9" s="1"/>
  <c r="CB207" i="9" s="1" a="1"/>
  <c r="CB207" i="9" s="1"/>
  <c r="CH191" i="9"/>
  <c r="CI191" i="9" s="1"/>
  <c r="CJ191" i="9" s="1" a="1"/>
  <c r="CJ191" i="9" s="1"/>
  <c r="AZ210" i="9"/>
  <c r="CD210" i="9" s="1"/>
  <c r="CE210" i="9" s="1"/>
  <c r="BJ219" i="9"/>
  <c r="BK219" i="9" s="1"/>
  <c r="BL219" i="9" s="1" a="1"/>
  <c r="BL219" i="9" s="1"/>
  <c r="BR212" i="9"/>
  <c r="BS212" i="9" s="1"/>
  <c r="BN220" i="9"/>
  <c r="BO220" i="9" s="1"/>
  <c r="CL219" i="9"/>
  <c r="CM219" i="9" s="1"/>
  <c r="CD220" i="9"/>
  <c r="CE220" i="9" s="1"/>
  <c r="CH209" i="9"/>
  <c r="CI209" i="9" s="1"/>
  <c r="CJ209" i="9" s="1" a="1"/>
  <c r="CJ209" i="9" s="1"/>
  <c r="AZ218" i="9"/>
  <c r="AZ236" i="9"/>
  <c r="CL236" i="9" s="1"/>
  <c r="CM236" i="9" s="1"/>
  <c r="BZ230" i="9"/>
  <c r="CA230" i="9" s="1"/>
  <c r="CB230" i="9" s="1" a="1"/>
  <c r="CB230" i="9" s="1"/>
  <c r="BF230" i="9"/>
  <c r="BG230" i="9" s="1"/>
  <c r="BH230" i="9" s="1" a="1"/>
  <c r="BH230" i="9" s="1"/>
  <c r="AZ235" i="9"/>
  <c r="BZ235" i="9" s="1"/>
  <c r="CA235" i="9" s="1"/>
  <c r="CB235" i="9" s="1" a="1"/>
  <c r="CB235" i="9" s="1"/>
  <c r="BR242" i="9"/>
  <c r="BS242" i="9" s="1"/>
  <c r="CO241" i="9" a="1"/>
  <c r="CO241" i="9" s="1"/>
  <c r="CN241" i="9" a="1"/>
  <c r="CN241" i="9" s="1"/>
  <c r="BJ249" i="9"/>
  <c r="BK249" i="9" s="1"/>
  <c r="BL249" i="9" s="1" a="1"/>
  <c r="BL249" i="9" s="1"/>
  <c r="BR253" i="9"/>
  <c r="BS253" i="9" s="1"/>
  <c r="AZ250" i="9"/>
  <c r="BR250" i="9" s="1"/>
  <c r="BS250" i="9" s="1"/>
  <c r="BJ243" i="9"/>
  <c r="BK243" i="9" s="1"/>
  <c r="AZ260" i="9"/>
  <c r="CD260" i="9" s="1"/>
  <c r="CE260" i="9"/>
  <c r="BZ249" i="9"/>
  <c r="CA249" i="9" s="1"/>
  <c r="CB249" i="9" s="1" a="1"/>
  <c r="CB249" i="9" s="1"/>
  <c r="BR246" i="9"/>
  <c r="BS246" i="9" s="1"/>
  <c r="CH249" i="9"/>
  <c r="CI249" i="9" s="1"/>
  <c r="CJ249" i="9" s="1" a="1"/>
  <c r="CJ249" i="9" s="1"/>
  <c r="BR274" i="9"/>
  <c r="BS274" i="9" s="1"/>
  <c r="BN263" i="9"/>
  <c r="BO263" i="9" s="1"/>
  <c r="CD257" i="9"/>
  <c r="CE257" i="9" s="1"/>
  <c r="CF257" i="9" s="1" a="1"/>
  <c r="CF257" i="9" s="1"/>
  <c r="BN260" i="9"/>
  <c r="BO260" i="9" s="1"/>
  <c r="BN259" i="9"/>
  <c r="BO259" i="9" s="1"/>
  <c r="BP259" i="9" s="1" a="1"/>
  <c r="BP259" i="9" s="1"/>
  <c r="CL266" i="9"/>
  <c r="CM266" i="9" s="1"/>
  <c r="CJ269" i="9" a="1"/>
  <c r="CJ269" i="9" s="1"/>
  <c r="BN283" i="9"/>
  <c r="BO283" i="9" s="1"/>
  <c r="BP283" i="9" s="1" a="1"/>
  <c r="BP283" i="9" s="1"/>
  <c r="AZ302" i="9"/>
  <c r="BR270" i="9"/>
  <c r="BS270" i="9" s="1"/>
  <c r="CD288" i="9"/>
  <c r="CE288" i="9" s="1"/>
  <c r="BH281" i="9" a="1"/>
  <c r="BH281" i="9" s="1"/>
  <c r="AZ280" i="9"/>
  <c r="CL280" i="9" s="1"/>
  <c r="CM280" i="9" s="1"/>
  <c r="CJ283" i="9" a="1"/>
  <c r="CJ283" i="9" s="1"/>
  <c r="BJ292" i="9"/>
  <c r="BK292" i="9" s="1"/>
  <c r="BL292" i="9" s="1" a="1"/>
  <c r="BL292" i="9" s="1"/>
  <c r="CL296" i="9"/>
  <c r="CM296" i="9" s="1"/>
  <c r="BZ290" i="9"/>
  <c r="CA290" i="9" s="1"/>
  <c r="CB290" i="9" s="1" a="1"/>
  <c r="CB290" i="9" s="1"/>
  <c r="BF290" i="9"/>
  <c r="BG290" i="9" s="1"/>
  <c r="BH290" i="9" s="1" a="1"/>
  <c r="BH290" i="9" s="1"/>
  <c r="CH290" i="9"/>
  <c r="CI290" i="9" s="1"/>
  <c r="CJ290" i="9" s="1" a="1"/>
  <c r="CJ290" i="9" s="1"/>
  <c r="BJ290" i="9"/>
  <c r="BK290" i="9" s="1"/>
  <c r="CL290" i="9"/>
  <c r="CM290" i="9" s="1"/>
  <c r="BF287" i="9"/>
  <c r="BG287" i="9" s="1"/>
  <c r="BH287" i="9" s="1" a="1"/>
  <c r="BH287" i="9" s="1"/>
  <c r="BZ287" i="9"/>
  <c r="CA287" i="9" s="1"/>
  <c r="CB287" i="9" s="1" a="1"/>
  <c r="CB287" i="9" s="1"/>
  <c r="BJ295" i="9"/>
  <c r="BK295" i="9" s="1"/>
  <c r="CD322" i="9"/>
  <c r="CE322" i="9" s="1"/>
  <c r="CF322" i="9" s="1" a="1"/>
  <c r="CF322" i="9" s="1"/>
  <c r="CH308" i="9"/>
  <c r="CI308" i="9" s="1"/>
  <c r="CJ308" i="9" s="1" a="1"/>
  <c r="CJ308" i="9" s="1"/>
  <c r="BR328" i="9"/>
  <c r="BS328" i="9" s="1"/>
  <c r="BZ328" i="9"/>
  <c r="CA328" i="9" s="1"/>
  <c r="CB328" i="9" s="1" a="1"/>
  <c r="CB328" i="9" s="1"/>
  <c r="BN335" i="9"/>
  <c r="BO335" i="9" s="1"/>
  <c r="BJ335" i="9"/>
  <c r="BK335" i="9" s="1"/>
  <c r="BL335" i="9" s="1" a="1"/>
  <c r="BL335" i="9" s="1"/>
  <c r="CH284" i="9"/>
  <c r="CI284" i="9" s="1"/>
  <c r="CJ284" i="9" s="1" a="1"/>
  <c r="CJ284" i="9" s="1"/>
  <c r="CD326" i="9"/>
  <c r="CE326" i="9" s="1"/>
  <c r="BN292" i="9"/>
  <c r="BO292" i="9" s="1"/>
  <c r="CN316" i="9" a="1"/>
  <c r="CN316" i="9" s="1"/>
  <c r="CP316" i="9" s="1"/>
  <c r="V316" i="9" s="1"/>
  <c r="BN272" i="9"/>
  <c r="BO272" i="9" s="1"/>
  <c r="BP272" i="9" s="1" a="1"/>
  <c r="BP272" i="9" s="1"/>
  <c r="AZ303" i="9"/>
  <c r="CD303" i="9" s="1"/>
  <c r="CE303" i="9" s="1"/>
  <c r="BZ307" i="9"/>
  <c r="CA307" i="9" s="1"/>
  <c r="CB307" i="9" s="1" a="1"/>
  <c r="CB307" i="9" s="1"/>
  <c r="BF307" i="9"/>
  <c r="BG307" i="9" s="1"/>
  <c r="BH307" i="9" s="1" a="1"/>
  <c r="BH307" i="9" s="1"/>
  <c r="BN308" i="9"/>
  <c r="BO308" i="9" s="1"/>
  <c r="BP308" i="9" s="1" a="1"/>
  <c r="BP308" i="9" s="1"/>
  <c r="BJ319" i="9"/>
  <c r="BK319" i="9" s="1"/>
  <c r="BL319" i="9" s="1" a="1"/>
  <c r="BL319" i="9" s="1"/>
  <c r="CL329" i="9"/>
  <c r="CM329" i="9" s="1"/>
  <c r="CL336" i="9"/>
  <c r="CM336" i="9" s="1"/>
  <c r="BR355" i="9"/>
  <c r="BS355" i="9" s="1"/>
  <c r="AZ347" i="9"/>
  <c r="BR347" i="9" s="1"/>
  <c r="BS347" i="9" s="1"/>
  <c r="BH355" i="9" a="1"/>
  <c r="BH355" i="9" s="1"/>
  <c r="BJ289" i="9"/>
  <c r="BK289" i="9" s="1"/>
  <c r="BL289" i="9" s="1" a="1"/>
  <c r="BL289" i="9" s="1"/>
  <c r="CL289" i="9"/>
  <c r="CM289" i="9" s="1"/>
  <c r="BJ313" i="9"/>
  <c r="BK313" i="9" s="1"/>
  <c r="BL313" i="9" s="1" a="1"/>
  <c r="BL313" i="9" s="1"/>
  <c r="AZ332" i="9"/>
  <c r="BZ332" i="9" s="1"/>
  <c r="CA332" i="9" s="1"/>
  <c r="CB332" i="9" s="1" a="1"/>
  <c r="CB332" i="9" s="1"/>
  <c r="CL346" i="9"/>
  <c r="CM346" i="9" s="1"/>
  <c r="CB355" i="9" a="1"/>
  <c r="CB355" i="9" s="1"/>
  <c r="CL275" i="9"/>
  <c r="CM275" i="9" s="1"/>
  <c r="BN328" i="9"/>
  <c r="BO328" i="9" s="1"/>
  <c r="BP328" i="9" s="1" a="1"/>
  <c r="BP328" i="9" s="1"/>
  <c r="CL337" i="9"/>
  <c r="CM337" i="9" s="1"/>
  <c r="CH356" i="9"/>
  <c r="CI356" i="9" s="1"/>
  <c r="CL355" i="9"/>
  <c r="CM355" i="9" s="1"/>
  <c r="AZ359" i="9"/>
  <c r="BZ359" i="9" s="1"/>
  <c r="CA359" i="9" s="1"/>
  <c r="CB359" i="9" s="1" a="1"/>
  <c r="CB359" i="9" s="1"/>
  <c r="BN371" i="9"/>
  <c r="BO371" i="9" s="1"/>
  <c r="BP371" i="9" s="1" a="1"/>
  <c r="BP371" i="9" s="1"/>
  <c r="CL373" i="9"/>
  <c r="CM373" i="9" s="1"/>
  <c r="BR349" i="9"/>
  <c r="BS349" i="9" s="1"/>
  <c r="BF331" i="9"/>
  <c r="BG331" i="9" s="1"/>
  <c r="BH331" i="9" s="1" a="1"/>
  <c r="BH331" i="9" s="1"/>
  <c r="BJ331" i="9"/>
  <c r="BK331" i="9" s="1"/>
  <c r="BR331" i="9"/>
  <c r="BS331" i="9" s="1"/>
  <c r="BZ331" i="9"/>
  <c r="CA331" i="9" s="1"/>
  <c r="CB331" i="9" s="1" a="1"/>
  <c r="CB331" i="9" s="1"/>
  <c r="CL331" i="9"/>
  <c r="CM331" i="9" s="1"/>
  <c r="BZ353" i="9"/>
  <c r="CA353" i="9" s="1"/>
  <c r="CB353" i="9" s="1" a="1"/>
  <c r="CB353" i="9" s="1"/>
  <c r="BT360" i="9" a="1"/>
  <c r="BT360" i="9" s="1"/>
  <c r="BU360" i="9" a="1"/>
  <c r="BU360" i="9" s="1"/>
  <c r="CN379" i="9" a="1"/>
  <c r="CN379" i="9" s="1"/>
  <c r="BN363" i="9"/>
  <c r="BO363" i="9" s="1"/>
  <c r="BP363" i="9" s="1" a="1"/>
  <c r="BP363" i="9" s="1"/>
  <c r="CL383" i="9"/>
  <c r="CM383" i="9" s="1"/>
  <c r="CH385" i="9"/>
  <c r="CI385" i="9" s="1"/>
  <c r="CJ385" i="9" s="1" a="1"/>
  <c r="CJ385" i="9" s="1"/>
  <c r="BN385" i="9"/>
  <c r="BO385" i="9" s="1"/>
  <c r="BJ385" i="9"/>
  <c r="BK385" i="9" s="1"/>
  <c r="BF385" i="9"/>
  <c r="BG385" i="9" s="1"/>
  <c r="BH385" i="9" s="1" a="1"/>
  <c r="BH385" i="9" s="1"/>
  <c r="CL385" i="9"/>
  <c r="CM385" i="9" s="1"/>
  <c r="BZ385" i="9"/>
  <c r="CA385" i="9" s="1"/>
  <c r="CB385" i="9" s="1" a="1"/>
  <c r="CB385" i="9" s="1"/>
  <c r="BF396" i="9"/>
  <c r="BG396" i="9" s="1"/>
  <c r="BH396" i="9" s="1" a="1"/>
  <c r="BH396" i="9" s="1"/>
  <c r="BZ396" i="9"/>
  <c r="CA396" i="9" s="1"/>
  <c r="CB396" i="9" s="1" a="1"/>
  <c r="CB396" i="9" s="1"/>
  <c r="CH396" i="9"/>
  <c r="CI396" i="9" s="1"/>
  <c r="CL396" i="9"/>
  <c r="CM396" i="9" s="1"/>
  <c r="BJ396" i="9"/>
  <c r="BK396" i="9" s="1"/>
  <c r="BJ310" i="9"/>
  <c r="BK310" i="9" s="1"/>
  <c r="CH368" i="9"/>
  <c r="CI368" i="9" s="1"/>
  <c r="CJ368" i="9" s="1" a="1"/>
  <c r="CJ368" i="9" s="1"/>
  <c r="CD383" i="9"/>
  <c r="CE383" i="9" s="1"/>
  <c r="BR354" i="9"/>
  <c r="BS354" i="9" s="1"/>
  <c r="BR367" i="9"/>
  <c r="BS367" i="9" s="1"/>
  <c r="CH429" i="9"/>
  <c r="CI429" i="9" s="1"/>
  <c r="BR365" i="9"/>
  <c r="BS365" i="9" s="1"/>
  <c r="CL395" i="9"/>
  <c r="CM395" i="9" s="1"/>
  <c r="BZ423" i="9"/>
  <c r="CA423" i="9" s="1"/>
  <c r="CB423" i="9" s="1" a="1"/>
  <c r="CB423" i="9" s="1"/>
  <c r="BF423" i="9"/>
  <c r="BG423" i="9" s="1"/>
  <c r="BH423" i="9" s="1" a="1"/>
  <c r="BH423" i="9" s="1"/>
  <c r="BJ423" i="9"/>
  <c r="BK423" i="9" s="1"/>
  <c r="AZ357" i="9"/>
  <c r="CH357" i="9" s="1"/>
  <c r="CI357" i="9" s="1"/>
  <c r="BR408" i="9"/>
  <c r="BS408" i="9" s="1"/>
  <c r="AZ412" i="9"/>
  <c r="BF412" i="9" s="1"/>
  <c r="BG412" i="9" s="1"/>
  <c r="BH412" i="9" s="1" a="1"/>
  <c r="BH412" i="9" s="1"/>
  <c r="BN406" i="9"/>
  <c r="BO406" i="9" s="1"/>
  <c r="CH409" i="9"/>
  <c r="CI409" i="9" s="1"/>
  <c r="CJ409" i="9" s="1" a="1"/>
  <c r="CJ409" i="9" s="1"/>
  <c r="BJ407" i="9"/>
  <c r="BK407" i="9" s="1"/>
  <c r="BZ403" i="9"/>
  <c r="CA403" i="9" s="1"/>
  <c r="CB403" i="9" s="1" a="1"/>
  <c r="CB403" i="9" s="1"/>
  <c r="BF403" i="9"/>
  <c r="BG403" i="9" s="1"/>
  <c r="BH403" i="9" s="1" a="1"/>
  <c r="BH403" i="9" s="1"/>
  <c r="CH431" i="9"/>
  <c r="CI431" i="9" s="1"/>
  <c r="CN443" i="9" a="1"/>
  <c r="CN443" i="9" s="1"/>
  <c r="CO443" i="9" a="1"/>
  <c r="CO443" i="9" s="1"/>
  <c r="CD396" i="9"/>
  <c r="CE396" i="9" s="1"/>
  <c r="BR385" i="9"/>
  <c r="BS385" i="9" s="1"/>
  <c r="BR394" i="9"/>
  <c r="BS394" i="9" s="1"/>
  <c r="BZ404" i="9"/>
  <c r="CA404" i="9" s="1"/>
  <c r="CF404" i="9" s="1" a="1"/>
  <c r="CF404" i="9" s="1"/>
  <c r="BJ404" i="9"/>
  <c r="BK404" i="9" s="1"/>
  <c r="BF404" i="9"/>
  <c r="BG404" i="9" s="1"/>
  <c r="BH404" i="9" s="1" a="1"/>
  <c r="BH404" i="9" s="1"/>
  <c r="BN404" i="9"/>
  <c r="BO404" i="9" s="1"/>
  <c r="CL404" i="9"/>
  <c r="CM404" i="9" s="1"/>
  <c r="AZ418" i="9"/>
  <c r="BJ418" i="9" s="1"/>
  <c r="BK418" i="9" s="1"/>
  <c r="BR440" i="9"/>
  <c r="BS440" i="9" s="1"/>
  <c r="CD386" i="9"/>
  <c r="CE386" i="9" s="1"/>
  <c r="CF386" i="9" s="1" a="1"/>
  <c r="CF386" i="9" s="1"/>
  <c r="CH404" i="9"/>
  <c r="CI404" i="9" s="1"/>
  <c r="CJ404" i="9" s="1" a="1"/>
  <c r="CJ404" i="9" s="1"/>
  <c r="BR421" i="9"/>
  <c r="BS421" i="9" s="1"/>
  <c r="AZ436" i="9"/>
  <c r="CH436" i="9" s="1"/>
  <c r="CI436" i="9" s="1"/>
  <c r="CB444" i="9" a="1"/>
  <c r="CB444" i="9" s="1"/>
  <c r="CH465" i="9"/>
  <c r="CI465" i="9" s="1"/>
  <c r="CH411" i="9"/>
  <c r="CI411" i="9" s="1"/>
  <c r="CJ411" i="9" s="1" a="1"/>
  <c r="CJ411" i="9" s="1"/>
  <c r="BR431" i="9"/>
  <c r="BS431" i="9" s="1"/>
  <c r="BH428" i="9" a="1"/>
  <c r="BH428" i="9" s="1"/>
  <c r="BH452" i="9" a="1"/>
  <c r="BH452" i="9" s="1"/>
  <c r="BR454" i="9"/>
  <c r="BS454" i="9" s="1"/>
  <c r="CL454" i="9"/>
  <c r="CM454" i="9" s="1"/>
  <c r="BJ454" i="9"/>
  <c r="BK454" i="9" s="1"/>
  <c r="BL454" i="9" s="1" a="1"/>
  <c r="BL454" i="9" s="1"/>
  <c r="AZ472" i="9"/>
  <c r="BN472" i="9" s="1"/>
  <c r="BO472" i="9" s="1"/>
  <c r="BZ470" i="9"/>
  <c r="CA470" i="9" s="1"/>
  <c r="CB470" i="9" s="1" a="1"/>
  <c r="CB470" i="9" s="1"/>
  <c r="BF470" i="9"/>
  <c r="BG470" i="9" s="1"/>
  <c r="BH470" i="9" s="1" a="1"/>
  <c r="BH470" i="9" s="1"/>
  <c r="BJ470" i="9"/>
  <c r="BK470" i="9" s="1"/>
  <c r="CL470" i="9"/>
  <c r="CM470" i="9" s="1"/>
  <c r="CD470" i="9"/>
  <c r="CE470" i="9" s="1"/>
  <c r="CJ470" i="9" s="1" a="1"/>
  <c r="CJ470" i="9" s="1"/>
  <c r="BR470" i="9"/>
  <c r="BS470" i="9" s="1"/>
  <c r="BR498" i="9"/>
  <c r="BS498" i="9" s="1"/>
  <c r="BJ498" i="9"/>
  <c r="BK498" i="9" s="1"/>
  <c r="CH498" i="9"/>
  <c r="CI498" i="9" s="1"/>
  <c r="CJ498" i="9" s="1" a="1"/>
  <c r="CJ498" i="9" s="1"/>
  <c r="BZ498" i="9"/>
  <c r="CA498" i="9" s="1"/>
  <c r="CB498" i="9" s="1" a="1"/>
  <c r="CB498" i="9" s="1"/>
  <c r="BF498" i="9"/>
  <c r="BG498" i="9" s="1"/>
  <c r="BH498" i="9" s="1" a="1"/>
  <c r="BH498" i="9" s="1"/>
  <c r="CD498" i="9"/>
  <c r="CE498" i="9" s="1"/>
  <c r="CL498" i="9"/>
  <c r="CM498" i="9" s="1"/>
  <c r="BN498" i="9"/>
  <c r="BO498" i="9" s="1"/>
  <c r="CH450" i="9"/>
  <c r="CI450" i="9" s="1"/>
  <c r="CJ450" i="9" s="1" a="1"/>
  <c r="CJ450" i="9" s="1"/>
  <c r="BN450" i="9"/>
  <c r="BO450" i="9" s="1"/>
  <c r="BF450" i="9"/>
  <c r="BG450" i="9" s="1"/>
  <c r="BH450" i="9" s="1" a="1"/>
  <c r="BH450" i="9" s="1"/>
  <c r="CL450" i="9"/>
  <c r="CM450" i="9" s="1"/>
  <c r="BZ450" i="9"/>
  <c r="CA450" i="9" s="1"/>
  <c r="CB450" i="9" s="1" a="1"/>
  <c r="CB450" i="9" s="1"/>
  <c r="CD450" i="9"/>
  <c r="CE450" i="9" s="1"/>
  <c r="BR450" i="9"/>
  <c r="BS450" i="9" s="1"/>
  <c r="BJ450" i="9"/>
  <c r="BK450" i="9" s="1"/>
  <c r="BT500" i="9" a="1"/>
  <c r="BT500" i="9" s="1"/>
  <c r="BU500" i="9" a="1"/>
  <c r="BU500" i="9" s="1"/>
  <c r="BU508" i="9" a="1"/>
  <c r="BU508" i="9" s="1"/>
  <c r="CL453" i="9"/>
  <c r="CM453" i="9" s="1"/>
  <c r="BL500" i="9" a="1"/>
  <c r="BL500" i="9" s="1"/>
  <c r="BP500" i="9" a="1"/>
  <c r="BP500" i="9" s="1"/>
  <c r="CO522" i="9" a="1"/>
  <c r="CO522" i="9" s="1"/>
  <c r="BU519" i="9" a="1"/>
  <c r="BU519" i="9" s="1"/>
  <c r="BU488" i="9" a="1"/>
  <c r="BU488" i="9" s="1"/>
  <c r="BT488" i="9" a="1"/>
  <c r="BT488" i="9" s="1"/>
  <c r="BT531" i="9" a="1"/>
  <c r="BT531" i="9" s="1"/>
  <c r="BU531" i="9" a="1"/>
  <c r="BU531" i="9" s="1"/>
  <c r="CO560" i="9" a="1"/>
  <c r="CO560" i="9" s="1"/>
  <c r="CN560" i="9" a="1"/>
  <c r="CN560" i="9" s="1"/>
  <c r="BU591" i="9" a="1"/>
  <c r="BU591" i="9" s="1"/>
  <c r="BT588" i="9" a="1"/>
  <c r="BT588" i="9" s="1"/>
  <c r="CF593" i="9" a="1"/>
  <c r="CF593" i="9" s="1"/>
  <c r="BV593" i="9"/>
  <c r="Q593" i="9" s="1"/>
  <c r="BV580" i="9"/>
  <c r="Q580" i="9" s="1"/>
  <c r="BU626" i="9" a="1"/>
  <c r="BU626" i="9" s="1"/>
  <c r="CJ570" i="9" a="1"/>
  <c r="CJ570" i="9" s="1"/>
  <c r="CJ649" i="9" a="1"/>
  <c r="CJ649" i="9" s="1"/>
  <c r="CJ578" i="9" a="1"/>
  <c r="CJ578" i="9" s="1"/>
  <c r="BT686" i="9" a="1"/>
  <c r="BT686" i="9" s="1"/>
  <c r="BU686" i="9" a="1"/>
  <c r="BU686" i="9" s="1"/>
  <c r="BT654" i="9" a="1"/>
  <c r="BT654" i="9" s="1"/>
  <c r="BU654" i="9" a="1"/>
  <c r="BU654" i="9" s="1"/>
  <c r="BV654" i="9" s="1"/>
  <c r="Q654" i="9" s="1"/>
  <c r="CO686" i="9" a="1"/>
  <c r="CO686" i="9" s="1"/>
  <c r="CN686" i="9" a="1"/>
  <c r="CN686" i="9" s="1"/>
  <c r="CO719" i="9" a="1"/>
  <c r="CO719" i="9" s="1"/>
  <c r="CJ638" i="9" a="1"/>
  <c r="CJ638" i="9" s="1"/>
  <c r="CF638" i="9" a="1"/>
  <c r="CF638" i="9" s="1"/>
  <c r="CJ663" i="9" a="1"/>
  <c r="CJ663" i="9" s="1"/>
  <c r="BZ196" i="9"/>
  <c r="CA196" i="9" s="1"/>
  <c r="CB196" i="9" s="1" a="1"/>
  <c r="CB196" i="9" s="1"/>
  <c r="BJ196" i="9"/>
  <c r="BK196" i="9" s="1"/>
  <c r="BF196" i="9"/>
  <c r="BG196" i="9" s="1"/>
  <c r="BH196" i="9" s="1" a="1"/>
  <c r="BH196" i="9" s="1"/>
  <c r="CD202" i="9"/>
  <c r="CE202" i="9" s="1"/>
  <c r="BN211" i="9"/>
  <c r="BO211" i="9" s="1"/>
  <c r="BP211" i="9" s="1" a="1"/>
  <c r="BP211" i="9" s="1"/>
  <c r="CL196" i="9"/>
  <c r="CM196" i="9" s="1"/>
  <c r="AZ226" i="9"/>
  <c r="CL226" i="9" s="1"/>
  <c r="CM226" i="9" s="1"/>
  <c r="BZ211" i="9"/>
  <c r="CA211" i="9" s="1"/>
  <c r="CB211" i="9" s="1" a="1"/>
  <c r="CB211" i="9" s="1"/>
  <c r="BF211" i="9"/>
  <c r="BG211" i="9" s="1"/>
  <c r="BH211" i="9" s="1" a="1"/>
  <c r="BH211" i="9" s="1"/>
  <c r="BR215" i="9"/>
  <c r="BS215" i="9" s="1"/>
  <c r="AZ228" i="9"/>
  <c r="CH236" i="9"/>
  <c r="CI236" i="9" s="1"/>
  <c r="BZ229" i="9"/>
  <c r="CA229" i="9" s="1"/>
  <c r="CB229" i="9" s="1" a="1"/>
  <c r="CB229" i="9" s="1"/>
  <c r="CD229" i="9"/>
  <c r="CE229" i="9" s="1"/>
  <c r="CF229" i="9" s="1" a="1"/>
  <c r="CF229" i="9" s="1"/>
  <c r="CH227" i="9"/>
  <c r="CI227" i="9" s="1"/>
  <c r="CL253" i="9"/>
  <c r="CM253" i="9" s="1"/>
  <c r="CH260" i="9"/>
  <c r="CI260" i="9" s="1"/>
  <c r="BN246" i="9"/>
  <c r="BO246" i="9" s="1"/>
  <c r="CL246" i="9"/>
  <c r="CM246" i="9" s="1"/>
  <c r="BN257" i="9"/>
  <c r="BO257" i="9" s="1"/>
  <c r="BJ263" i="9"/>
  <c r="BK263" i="9" s="1"/>
  <c r="BR267" i="9"/>
  <c r="BS267" i="9" s="1"/>
  <c r="BH291" i="9" a="1"/>
  <c r="BH291" i="9" s="1"/>
  <c r="BZ267" i="9"/>
  <c r="CA267" i="9" s="1"/>
  <c r="CB267" i="9" s="1" a="1"/>
  <c r="CB267" i="9" s="1"/>
  <c r="BF267" i="9"/>
  <c r="BG267" i="9" s="1"/>
  <c r="BH267" i="9" s="1" a="1"/>
  <c r="BH267" i="9" s="1"/>
  <c r="CB259" i="9" a="1"/>
  <c r="CB259" i="9" s="1"/>
  <c r="CH302" i="9"/>
  <c r="CI302" i="9" s="1"/>
  <c r="BR288" i="9"/>
  <c r="BS288" i="9" s="1"/>
  <c r="BF293" i="9"/>
  <c r="BG293" i="9" s="1"/>
  <c r="BH293" i="9" s="1" a="1"/>
  <c r="BH293" i="9" s="1"/>
  <c r="BZ305" i="9"/>
  <c r="CA305" i="9" s="1"/>
  <c r="CB305" i="9" s="1" a="1"/>
  <c r="CB305" i="9" s="1"/>
  <c r="BF305" i="9"/>
  <c r="BG305" i="9" s="1"/>
  <c r="BH305" i="9" s="1" a="1"/>
  <c r="BH305" i="9" s="1"/>
  <c r="BZ303" i="9"/>
  <c r="CA303" i="9" s="1"/>
  <c r="CB303" i="9" s="1" a="1"/>
  <c r="CB303" i="9" s="1"/>
  <c r="BF303" i="9"/>
  <c r="BG303" i="9" s="1"/>
  <c r="BH303" i="9" s="1" a="1"/>
  <c r="BH303" i="9" s="1"/>
  <c r="CO291" i="9" a="1"/>
  <c r="CO291" i="9" s="1"/>
  <c r="AZ293" i="9"/>
  <c r="BJ293" i="9" s="1"/>
  <c r="BK293" i="9" s="1"/>
  <c r="CL301" i="9"/>
  <c r="CM301" i="9" s="1"/>
  <c r="CH275" i="9"/>
  <c r="CI275" i="9" s="1"/>
  <c r="CJ275" i="9" s="1" a="1"/>
  <c r="CJ275" i="9" s="1"/>
  <c r="CF291" i="9" a="1"/>
  <c r="CF291" i="9" s="1"/>
  <c r="BJ307" i="9"/>
  <c r="BK307" i="9" s="1"/>
  <c r="AZ324" i="9"/>
  <c r="BF324" i="9" s="1"/>
  <c r="BG324" i="9" s="1"/>
  <c r="BH324" i="9" s="1" a="1"/>
  <c r="BH324" i="9" s="1"/>
  <c r="BJ344" i="9"/>
  <c r="BK344" i="9" s="1"/>
  <c r="BN344" i="9"/>
  <c r="BO344" i="9" s="1"/>
  <c r="BF344" i="9"/>
  <c r="BG344" i="9" s="1"/>
  <c r="BH344" i="9" s="1" a="1"/>
  <c r="BH344" i="9" s="1"/>
  <c r="BR344" i="9"/>
  <c r="BS344" i="9" s="1"/>
  <c r="CL344" i="9"/>
  <c r="CM344" i="9" s="1"/>
  <c r="BZ344" i="9"/>
  <c r="CA344" i="9" s="1"/>
  <c r="CB344" i="9" s="1" a="1"/>
  <c r="CB344" i="9" s="1"/>
  <c r="CD329" i="9"/>
  <c r="CE329" i="9" s="1"/>
  <c r="CH289" i="9"/>
  <c r="CI289" i="9" s="1"/>
  <c r="CD289" i="9"/>
  <c r="CE289" i="9" s="1"/>
  <c r="CF289" i="9" s="1" a="1"/>
  <c r="CF289" i="9" s="1"/>
  <c r="BN313" i="9"/>
  <c r="BO313" i="9" s="1"/>
  <c r="BP313" i="9" s="1" a="1"/>
  <c r="BP313" i="9" s="1"/>
  <c r="AZ318" i="9"/>
  <c r="CH318" i="9" s="1"/>
  <c r="CI318" i="9" s="1"/>
  <c r="AZ321" i="9"/>
  <c r="CD321" i="9" s="1"/>
  <c r="CE321" i="9" s="1"/>
  <c r="BU333" i="9" a="1"/>
  <c r="BU333" i="9" s="1"/>
  <c r="CH344" i="9"/>
  <c r="CI344" i="9" s="1"/>
  <c r="CJ344" i="9" s="1" a="1"/>
  <c r="CJ344" i="9" s="1"/>
  <c r="BF347" i="9"/>
  <c r="BG347" i="9" s="1"/>
  <c r="BH347" i="9" s="1" a="1"/>
  <c r="BH347" i="9" s="1"/>
  <c r="BN347" i="9"/>
  <c r="BO347" i="9" s="1"/>
  <c r="BZ347" i="9"/>
  <c r="CA347" i="9" s="1"/>
  <c r="CB347" i="9" s="1" a="1"/>
  <c r="CB347" i="9" s="1"/>
  <c r="BR356" i="9"/>
  <c r="BS356" i="9" s="1"/>
  <c r="AZ372" i="9"/>
  <c r="BZ372" i="9" s="1"/>
  <c r="CA372" i="9" s="1"/>
  <c r="CB372" i="9" s="1" a="1"/>
  <c r="CB372" i="9" s="1"/>
  <c r="BF357" i="9"/>
  <c r="BG357" i="9" s="1"/>
  <c r="BH357" i="9" s="1" a="1"/>
  <c r="BH357" i="9" s="1"/>
  <c r="BJ369" i="9"/>
  <c r="BK369" i="9" s="1"/>
  <c r="BZ369" i="9"/>
  <c r="CA369" i="9" s="1"/>
  <c r="CB369" i="9" s="1" a="1"/>
  <c r="CB369" i="9" s="1"/>
  <c r="BN369" i="9"/>
  <c r="BO369" i="9" s="1"/>
  <c r="BF369" i="9"/>
  <c r="BG369" i="9" s="1"/>
  <c r="BH369" i="9" s="1" a="1"/>
  <c r="BH369" i="9" s="1"/>
  <c r="CL369" i="9"/>
  <c r="CM369" i="9" s="1"/>
  <c r="BR325" i="9"/>
  <c r="BS325" i="9" s="1"/>
  <c r="BZ325" i="9"/>
  <c r="CA325" i="9" s="1"/>
  <c r="CB325" i="9" s="1" a="1"/>
  <c r="CB325" i="9" s="1"/>
  <c r="CH325" i="9"/>
  <c r="CI325" i="9" s="1"/>
  <c r="CJ325" i="9" s="1" a="1"/>
  <c r="CJ325" i="9" s="1"/>
  <c r="BF325" i="9"/>
  <c r="BG325" i="9" s="1"/>
  <c r="BH325" i="9" s="1" a="1"/>
  <c r="BH325" i="9" s="1"/>
  <c r="CF341" i="9" a="1"/>
  <c r="CF341" i="9" s="1"/>
  <c r="CD373" i="9"/>
  <c r="CE373" i="9" s="1"/>
  <c r="CF373" i="9" s="1" a="1"/>
  <c r="CF373" i="9" s="1"/>
  <c r="BJ377" i="9"/>
  <c r="BK377" i="9" s="1"/>
  <c r="BZ377" i="9"/>
  <c r="CA377" i="9" s="1"/>
  <c r="CB377" i="9" s="1" a="1"/>
  <c r="CB377" i="9" s="1"/>
  <c r="CL377" i="9"/>
  <c r="CM377" i="9" s="1"/>
  <c r="BF377" i="9"/>
  <c r="BG377" i="9" s="1"/>
  <c r="BH377" i="9" s="1" a="1"/>
  <c r="BH377" i="9" s="1"/>
  <c r="BN377" i="9"/>
  <c r="BO377" i="9" s="1"/>
  <c r="BN349" i="9"/>
  <c r="BO349" i="9" s="1"/>
  <c r="BP349" i="9" s="1" a="1"/>
  <c r="BP349" i="9" s="1"/>
  <c r="BL362" i="9" a="1"/>
  <c r="BL362" i="9" s="1"/>
  <c r="BN375" i="9"/>
  <c r="BO375" i="9" s="1"/>
  <c r="BN310" i="9"/>
  <c r="BO310" i="9" s="1"/>
  <c r="BP310" i="9" s="1" a="1"/>
  <c r="BP310" i="9" s="1"/>
  <c r="BN399" i="9"/>
  <c r="BO399" i="9" s="1"/>
  <c r="CP410" i="9"/>
  <c r="V410" i="9" s="1"/>
  <c r="BZ383" i="9"/>
  <c r="CA383" i="9" s="1"/>
  <c r="CB383" i="9" s="1" a="1"/>
  <c r="CB383" i="9" s="1"/>
  <c r="BF383" i="9"/>
  <c r="BG383" i="9" s="1"/>
  <c r="BH383" i="9" s="1" a="1"/>
  <c r="BH383" i="9" s="1"/>
  <c r="CD412" i="9"/>
  <c r="CE412" i="9" s="1"/>
  <c r="BL379" i="9" a="1"/>
  <c r="BL379" i="9" s="1"/>
  <c r="BV379" i="9" s="1"/>
  <c r="Q379" i="9" s="1"/>
  <c r="CL408" i="9"/>
  <c r="CM408" i="9" s="1"/>
  <c r="BJ417" i="9"/>
  <c r="BK417" i="9" s="1"/>
  <c r="BL417" i="9" s="1" a="1"/>
  <c r="BL417" i="9" s="1"/>
  <c r="CL417" i="9"/>
  <c r="CM417" i="9" s="1"/>
  <c r="BZ417" i="9"/>
  <c r="CA417" i="9" s="1"/>
  <c r="CB417" i="9" s="1" a="1"/>
  <c r="CB417" i="9" s="1"/>
  <c r="BR417" i="9"/>
  <c r="BS417" i="9" s="1"/>
  <c r="CN430" i="9" a="1"/>
  <c r="CN430" i="9" s="1"/>
  <c r="CD390" i="9"/>
  <c r="CE390" i="9" s="1"/>
  <c r="CF390" i="9" s="1" a="1"/>
  <c r="CF390" i="9" s="1"/>
  <c r="CD408" i="9"/>
  <c r="CE408" i="9" s="1"/>
  <c r="CF408" i="9" s="1" a="1"/>
  <c r="CF408" i="9" s="1"/>
  <c r="BV410" i="9"/>
  <c r="Q410" i="9" s="1"/>
  <c r="BT414" i="9" a="1"/>
  <c r="BT414" i="9" s="1"/>
  <c r="BR391" i="9"/>
  <c r="BS391" i="9" s="1"/>
  <c r="CD400" i="9"/>
  <c r="CE400" i="9" s="1"/>
  <c r="CL412" i="9"/>
  <c r="CM412" i="9" s="1"/>
  <c r="BR423" i="9"/>
  <c r="BS423" i="9" s="1"/>
  <c r="AZ426" i="9"/>
  <c r="BZ426" i="9" s="1"/>
  <c r="CA426" i="9" s="1"/>
  <c r="CB426" i="9" s="1" a="1"/>
  <c r="CB426" i="9" s="1"/>
  <c r="BJ361" i="9"/>
  <c r="BK361" i="9" s="1"/>
  <c r="BZ361" i="9"/>
  <c r="CA361" i="9" s="1"/>
  <c r="CB361" i="9" s="1" a="1"/>
  <c r="CB361" i="9" s="1"/>
  <c r="BF361" i="9"/>
  <c r="BG361" i="9" s="1"/>
  <c r="BH361" i="9" s="1" a="1"/>
  <c r="BH361" i="9" s="1"/>
  <c r="CL361" i="9"/>
  <c r="CM361" i="9" s="1"/>
  <c r="BH375" i="9" a="1"/>
  <c r="BH375" i="9" s="1"/>
  <c r="CH403" i="9"/>
  <c r="CI403" i="9" s="1"/>
  <c r="CJ403" i="9" s="1" a="1"/>
  <c r="CJ403" i="9" s="1"/>
  <c r="BR403" i="9"/>
  <c r="BS403" i="9" s="1"/>
  <c r="CD417" i="9"/>
  <c r="CE417" i="9" s="1"/>
  <c r="CL457" i="9"/>
  <c r="CM457" i="9" s="1"/>
  <c r="CH390" i="9"/>
  <c r="CI390" i="9" s="1"/>
  <c r="BN394" i="9"/>
  <c r="BO394" i="9" s="1"/>
  <c r="BP394" i="9" s="1" a="1"/>
  <c r="BP394" i="9" s="1"/>
  <c r="BJ408" i="9"/>
  <c r="BK408" i="9" s="1"/>
  <c r="BL408" i="9" s="1" a="1"/>
  <c r="BL408" i="9" s="1"/>
  <c r="BN457" i="9"/>
  <c r="BO457" i="9" s="1"/>
  <c r="BJ457" i="9"/>
  <c r="BK457" i="9" s="1"/>
  <c r="BJ465" i="9"/>
  <c r="BK465" i="9" s="1"/>
  <c r="BL465" i="9" s="1" a="1"/>
  <c r="BL465" i="9" s="1"/>
  <c r="BN465" i="9"/>
  <c r="BO465" i="9" s="1"/>
  <c r="BR465" i="9"/>
  <c r="BS465" i="9" s="1"/>
  <c r="BN444" i="9"/>
  <c r="BO444" i="9" s="1"/>
  <c r="BP444" i="9" s="1" a="1"/>
  <c r="BP444" i="9" s="1"/>
  <c r="BJ444" i="9"/>
  <c r="BK444" i="9" s="1"/>
  <c r="BU455" i="9" a="1"/>
  <c r="BU455" i="9" s="1"/>
  <c r="BT455" i="9" a="1"/>
  <c r="BT455" i="9" s="1"/>
  <c r="BF460" i="9"/>
  <c r="BG460" i="9" s="1"/>
  <c r="BH460" i="9" s="1" a="1"/>
  <c r="BH460" i="9" s="1"/>
  <c r="BN460" i="9"/>
  <c r="BO460" i="9" s="1"/>
  <c r="BP460" i="9" s="1" a="1"/>
  <c r="BP460" i="9" s="1"/>
  <c r="BJ380" i="9"/>
  <c r="BK380" i="9" s="1"/>
  <c r="BN411" i="9"/>
  <c r="BO411" i="9" s="1"/>
  <c r="BP411" i="9" s="1" a="1"/>
  <c r="BP411" i="9" s="1"/>
  <c r="CD431" i="9"/>
  <c r="CE431" i="9" s="1"/>
  <c r="BF433" i="9"/>
  <c r="BG433" i="9" s="1"/>
  <c r="BH433" i="9" s="1" a="1"/>
  <c r="BH433" i="9" s="1"/>
  <c r="BJ433" i="9"/>
  <c r="BK433" i="9" s="1"/>
  <c r="BZ433" i="9"/>
  <c r="CA433" i="9" s="1"/>
  <c r="CB433" i="9" s="1" a="1"/>
  <c r="CB433" i="9" s="1"/>
  <c r="BN433" i="9"/>
  <c r="BO433" i="9" s="1"/>
  <c r="BT433" i="9" s="1" a="1"/>
  <c r="BT433" i="9" s="1"/>
  <c r="CL433" i="9"/>
  <c r="CM433" i="9" s="1"/>
  <c r="AZ437" i="9"/>
  <c r="BR437" i="9" s="1"/>
  <c r="BS437" i="9" s="1"/>
  <c r="BZ472" i="9"/>
  <c r="CA472" i="9" s="1"/>
  <c r="CB472" i="9" s="1" a="1"/>
  <c r="CB472" i="9" s="1"/>
  <c r="BF472" i="9"/>
  <c r="BG472" i="9" s="1"/>
  <c r="BH472" i="9" s="1" a="1"/>
  <c r="BH472" i="9" s="1"/>
  <c r="BJ472" i="9"/>
  <c r="BK472" i="9" s="1"/>
  <c r="CH472" i="9"/>
  <c r="CI472" i="9" s="1"/>
  <c r="CJ454" i="9" a="1"/>
  <c r="CJ454" i="9" s="1"/>
  <c r="BF445" i="9"/>
  <c r="BG445" i="9" s="1"/>
  <c r="BH445" i="9" s="1" a="1"/>
  <c r="BH445" i="9" s="1"/>
  <c r="CH445" i="9"/>
  <c r="CI445" i="9" s="1"/>
  <c r="CJ445" i="9" s="1" a="1"/>
  <c r="CJ445" i="9" s="1"/>
  <c r="BZ445" i="9"/>
  <c r="CA445" i="9" s="1"/>
  <c r="CB445" i="9" s="1" a="1"/>
  <c r="CB445" i="9" s="1"/>
  <c r="BJ445" i="9"/>
  <c r="BK445" i="9" s="1"/>
  <c r="CL445" i="9"/>
  <c r="CM445" i="9" s="1"/>
  <c r="BR445" i="9"/>
  <c r="BS445" i="9" s="1"/>
  <c r="BZ448" i="9"/>
  <c r="CA448" i="9" s="1"/>
  <c r="CB448" i="9" s="1" a="1"/>
  <c r="CB448" i="9" s="1"/>
  <c r="BR477" i="9"/>
  <c r="BS477" i="9" s="1"/>
  <c r="AZ483" i="9"/>
  <c r="CL483" i="9" s="1"/>
  <c r="CM483" i="9" s="1"/>
  <c r="CH489" i="9"/>
  <c r="CI489" i="9" s="1"/>
  <c r="CD489" i="9"/>
  <c r="CE489" i="9" s="1"/>
  <c r="CL489" i="9"/>
  <c r="CM489" i="9" s="1"/>
  <c r="BZ489" i="9"/>
  <c r="CA489" i="9" s="1"/>
  <c r="CB489" i="9" s="1" a="1"/>
  <c r="CB489" i="9" s="1"/>
  <c r="CL473" i="9"/>
  <c r="CM473" i="9" s="1"/>
  <c r="CO503" i="9" a="1"/>
  <c r="CO503" i="9" s="1"/>
  <c r="CN503" i="9" a="1"/>
  <c r="CN503" i="9" s="1"/>
  <c r="BN452" i="9"/>
  <c r="BO452" i="9" s="1"/>
  <c r="BP452" i="9" s="1" a="1"/>
  <c r="BP452" i="9" s="1"/>
  <c r="CO530" i="9" a="1"/>
  <c r="CO530" i="9" s="1"/>
  <c r="CN530" i="9" a="1"/>
  <c r="CN530" i="9" s="1"/>
  <c r="BL531" i="9" a="1"/>
  <c r="BL531" i="9" s="1"/>
  <c r="BH531" i="9" a="1"/>
  <c r="BH531" i="9" s="1"/>
  <c r="CN527" i="9" a="1"/>
  <c r="CN527" i="9" s="1"/>
  <c r="CO527" i="9" a="1"/>
  <c r="CO527" i="9" s="1"/>
  <c r="CN558" i="9" a="1"/>
  <c r="CN558" i="9" s="1"/>
  <c r="CJ594" i="9" a="1"/>
  <c r="CJ594" i="9" s="1"/>
  <c r="CN657" i="9" a="1"/>
  <c r="CN657" i="9" s="1"/>
  <c r="CO657" i="9" a="1"/>
  <c r="CO657" i="9" s="1"/>
  <c r="CN625" i="9" a="1"/>
  <c r="CN625" i="9" s="1"/>
  <c r="CO625" i="9" a="1"/>
  <c r="CO625" i="9" s="1"/>
  <c r="BT638" i="9" a="1"/>
  <c r="BT638" i="9" s="1"/>
  <c r="BU638" i="9" a="1"/>
  <c r="BU638" i="9" s="1"/>
  <c r="BV609" i="9"/>
  <c r="Q609" i="9" s="1"/>
  <c r="BT662" i="9" a="1"/>
  <c r="BT662" i="9" s="1"/>
  <c r="BU662" i="9" a="1"/>
  <c r="BU662" i="9" s="1"/>
  <c r="BP673" i="9" a="1"/>
  <c r="BP673" i="9" s="1"/>
  <c r="BU717" i="9" a="1"/>
  <c r="BU717" i="9" s="1"/>
  <c r="CN673" i="9" a="1"/>
  <c r="CN673" i="9" s="1"/>
  <c r="CO673" i="9" a="1"/>
  <c r="CO673" i="9" s="1"/>
  <c r="BU594" i="9" a="1"/>
  <c r="BU594" i="9" s="1"/>
  <c r="BT594" i="9" a="1"/>
  <c r="BT594" i="9" s="1"/>
  <c r="BN207" i="9"/>
  <c r="BO207" i="9" s="1"/>
  <c r="CD195" i="9"/>
  <c r="CE195" i="9" s="1"/>
  <c r="BN202" i="9"/>
  <c r="BO202" i="9" s="1"/>
  <c r="BZ204" i="9"/>
  <c r="CA204" i="9" s="1"/>
  <c r="CB204" i="9" s="1" a="1"/>
  <c r="CB204" i="9" s="1"/>
  <c r="BF204" i="9"/>
  <c r="BG204" i="9" s="1"/>
  <c r="BH204" i="9" s="1" a="1"/>
  <c r="BH204" i="9" s="1"/>
  <c r="CH204" i="9"/>
  <c r="CI204" i="9" s="1"/>
  <c r="CJ204" i="9" s="1" a="1"/>
  <c r="CJ204" i="9" s="1"/>
  <c r="BJ204" i="9"/>
  <c r="BK204" i="9" s="1"/>
  <c r="CH195" i="9"/>
  <c r="CI195" i="9" s="1"/>
  <c r="BZ195" i="9"/>
  <c r="CA195" i="9" s="1"/>
  <c r="CB195" i="9" s="1" a="1"/>
  <c r="CB195" i="9" s="1"/>
  <c r="BF195" i="9"/>
  <c r="BG195" i="9" s="1"/>
  <c r="BH195" i="9" s="1" a="1"/>
  <c r="BH195" i="9" s="1"/>
  <c r="CL207" i="9"/>
  <c r="CM207" i="9" s="1"/>
  <c r="BN203" i="9"/>
  <c r="BO203" i="9" s="1"/>
  <c r="BP203" i="9" s="1" a="1"/>
  <c r="BP203" i="9" s="1"/>
  <c r="CH193" i="9"/>
  <c r="CI193" i="9" s="1"/>
  <c r="CJ193" i="9" s="1" a="1"/>
  <c r="CJ193" i="9" s="1"/>
  <c r="CD203" i="9"/>
  <c r="CE203" i="9" s="1"/>
  <c r="AZ217" i="9"/>
  <c r="CL217" i="9" s="1"/>
  <c r="CM217" i="9" s="1"/>
  <c r="BZ220" i="9"/>
  <c r="CA220" i="9" s="1"/>
  <c r="CB220" i="9" s="1" a="1"/>
  <c r="CB220" i="9" s="1"/>
  <c r="BJ220" i="9"/>
  <c r="BK220" i="9" s="1"/>
  <c r="CH220" i="9"/>
  <c r="CI220" i="9" s="1"/>
  <c r="CJ220" i="9" s="1" a="1"/>
  <c r="CJ220" i="9" s="1"/>
  <c r="BF220" i="9"/>
  <c r="BG220" i="9" s="1"/>
  <c r="BH220" i="9" s="1" a="1"/>
  <c r="BH220" i="9" s="1"/>
  <c r="BR216" i="9"/>
  <c r="BS216" i="9" s="1"/>
  <c r="BR193" i="9"/>
  <c r="BS193" i="9" s="1"/>
  <c r="CL204" i="9"/>
  <c r="CM204" i="9" s="1"/>
  <c r="CH226" i="9"/>
  <c r="CI226" i="9" s="1"/>
  <c r="AZ223" i="9"/>
  <c r="CL223" i="9" s="1"/>
  <c r="CM223" i="9" s="1"/>
  <c r="CD215" i="9"/>
  <c r="CE215" i="9" s="1"/>
  <c r="CF215" i="9" s="1" a="1"/>
  <c r="CF215" i="9" s="1"/>
  <c r="AZ224" i="9"/>
  <c r="BF224" i="9" s="1"/>
  <c r="BG224" i="9" s="1"/>
  <c r="BH224" i="9" s="1" a="1"/>
  <c r="BH224" i="9" s="1"/>
  <c r="BR209" i="9"/>
  <c r="BS209" i="9" s="1"/>
  <c r="BT222" i="9" a="1"/>
  <c r="BT222" i="9" s="1"/>
  <c r="BV222" i="9" s="1"/>
  <c r="Q222" i="9" s="1"/>
  <c r="CH228" i="9"/>
  <c r="CI228" i="9" s="1"/>
  <c r="BF242" i="9"/>
  <c r="BG242" i="9" s="1"/>
  <c r="BH242" i="9" s="1" a="1"/>
  <c r="BH242" i="9" s="1"/>
  <c r="BZ242" i="9"/>
  <c r="CA242" i="9" s="1"/>
  <c r="CB242" i="9" s="1" a="1"/>
  <c r="CB242" i="9" s="1"/>
  <c r="BJ242" i="9"/>
  <c r="BK242" i="9" s="1"/>
  <c r="BR229" i="9"/>
  <c r="BS229" i="9" s="1"/>
  <c r="BZ240" i="9"/>
  <c r="CA240" i="9" s="1"/>
  <c r="CB240" i="9" s="1" a="1"/>
  <c r="CB240" i="9" s="1"/>
  <c r="BF240" i="9"/>
  <c r="BG240" i="9" s="1"/>
  <c r="BH240" i="9" s="1" a="1"/>
  <c r="BH240" i="9" s="1"/>
  <c r="CH240" i="9"/>
  <c r="CI240" i="9" s="1"/>
  <c r="CJ240" i="9" s="1" a="1"/>
  <c r="CJ240" i="9" s="1"/>
  <c r="CL240" i="9"/>
  <c r="CM240" i="9" s="1"/>
  <c r="BJ240" i="9"/>
  <c r="BK240" i="9" s="1"/>
  <c r="BN240" i="9"/>
  <c r="BO240" i="9" s="1"/>
  <c r="CL227" i="9"/>
  <c r="CM227" i="9" s="1"/>
  <c r="AZ237" i="9"/>
  <c r="CH237" i="9" s="1"/>
  <c r="CI237" i="9" s="1"/>
  <c r="CH255" i="9"/>
  <c r="CI255" i="9" s="1"/>
  <c r="BN243" i="9"/>
  <c r="BO243" i="9" s="1"/>
  <c r="BP243" i="9" s="1" a="1"/>
  <c r="BP243" i="9" s="1"/>
  <c r="BR243" i="9"/>
  <c r="BS243" i="9" s="1"/>
  <c r="AZ245" i="9"/>
  <c r="BJ245" i="9" s="1"/>
  <c r="BK245" i="9" s="1"/>
  <c r="BZ239" i="9"/>
  <c r="CA239" i="9" s="1"/>
  <c r="CB239" i="9" s="1" a="1"/>
  <c r="CB239" i="9" s="1"/>
  <c r="BF239" i="9"/>
  <c r="BG239" i="9" s="1"/>
  <c r="BH239" i="9" s="1" a="1"/>
  <c r="BH239" i="9" s="1"/>
  <c r="CL239" i="9"/>
  <c r="CM239" i="9" s="1"/>
  <c r="BJ239" i="9"/>
  <c r="BK239" i="9" s="1"/>
  <c r="CH257" i="9"/>
  <c r="CI257" i="9" s="1"/>
  <c r="CJ257" i="9" s="1" a="1"/>
  <c r="CJ257" i="9" s="1"/>
  <c r="BN266" i="9"/>
  <c r="BO266" i="9" s="1"/>
  <c r="BN274" i="9"/>
  <c r="BO274" i="9" s="1"/>
  <c r="BP274" i="9" s="1" a="1"/>
  <c r="BP274" i="9" s="1"/>
  <c r="AZ252" i="9"/>
  <c r="BJ252" i="9" s="1"/>
  <c r="BK252" i="9" s="1"/>
  <c r="BJ261" i="9"/>
  <c r="BK261" i="9" s="1"/>
  <c r="BZ261" i="9"/>
  <c r="CA261" i="9" s="1"/>
  <c r="CB261" i="9" s="1" a="1"/>
  <c r="CB261" i="9" s="1"/>
  <c r="BF261" i="9"/>
  <c r="BG261" i="9" s="1"/>
  <c r="BH261" i="9" s="1" a="1"/>
  <c r="BH261" i="9" s="1"/>
  <c r="CL261" i="9"/>
  <c r="CM261" i="9" s="1"/>
  <c r="BN261" i="9"/>
  <c r="BO261" i="9" s="1"/>
  <c r="BJ275" i="9"/>
  <c r="BK275" i="9" s="1"/>
  <c r="BL275" i="9" s="1" a="1"/>
  <c r="BL275" i="9" s="1"/>
  <c r="BJ267" i="9"/>
  <c r="BK267" i="9" s="1"/>
  <c r="CH258" i="9"/>
  <c r="CI258" i="9" s="1"/>
  <c r="CL284" i="9"/>
  <c r="CM284" i="9" s="1"/>
  <c r="CL288" i="9"/>
  <c r="CM288" i="9" s="1"/>
  <c r="BZ299" i="9"/>
  <c r="CA299" i="9" s="1"/>
  <c r="CF299" i="9" s="1" a="1"/>
  <c r="CF299" i="9" s="1"/>
  <c r="BF299" i="9"/>
  <c r="BG299" i="9" s="1"/>
  <c r="BL299" i="9" s="1" a="1"/>
  <c r="BL299" i="9" s="1"/>
  <c r="CL299" i="9"/>
  <c r="CM299" i="9" s="1"/>
  <c r="BR299" i="9"/>
  <c r="BS299" i="9" s="1"/>
  <c r="BZ297" i="9"/>
  <c r="CA297" i="9" s="1"/>
  <c r="CB297" i="9" s="1" a="1"/>
  <c r="CB297" i="9" s="1"/>
  <c r="BF297" i="9"/>
  <c r="BG297" i="9" s="1"/>
  <c r="BH297" i="9" s="1" a="1"/>
  <c r="BH297" i="9" s="1"/>
  <c r="CL295" i="9"/>
  <c r="CM295" i="9" s="1"/>
  <c r="CJ298" i="9" a="1"/>
  <c r="CJ298" i="9" s="1"/>
  <c r="BR303" i="9"/>
  <c r="BS303" i="9" s="1"/>
  <c r="BR336" i="9"/>
  <c r="BS336" i="9" s="1"/>
  <c r="BZ336" i="9"/>
  <c r="CA336" i="9" s="1"/>
  <c r="CB336" i="9" s="1" a="1"/>
  <c r="CB336" i="9" s="1"/>
  <c r="BN336" i="9"/>
  <c r="BO336" i="9" s="1"/>
  <c r="BP336" i="9" s="1" a="1"/>
  <c r="BP336" i="9" s="1"/>
  <c r="CL292" i="9"/>
  <c r="CM292" i="9" s="1"/>
  <c r="CB311" i="9" a="1"/>
  <c r="CB311" i="9" s="1"/>
  <c r="BH311" i="9" a="1"/>
  <c r="BH311" i="9" s="1"/>
  <c r="CB319" i="9" a="1"/>
  <c r="CB319" i="9" s="1"/>
  <c r="CL293" i="9"/>
  <c r="CM293" i="9" s="1"/>
  <c r="AZ330" i="9"/>
  <c r="BF330" i="9" s="1"/>
  <c r="BG330" i="9" s="1"/>
  <c r="BH330" i="9" s="1" a="1"/>
  <c r="BH330" i="9" s="1"/>
  <c r="CD258" i="9"/>
  <c r="CE258" i="9" s="1"/>
  <c r="CF258" i="9" s="1" a="1"/>
  <c r="CF258" i="9" s="1"/>
  <c r="CB291" i="9" a="1"/>
  <c r="CB291" i="9" s="1"/>
  <c r="CD307" i="9"/>
  <c r="CE307" i="9" s="1"/>
  <c r="BZ309" i="9"/>
  <c r="CA309" i="9" s="1"/>
  <c r="CB309" i="9" s="1" a="1"/>
  <c r="CB309" i="9" s="1"/>
  <c r="BR309" i="9"/>
  <c r="BS309" i="9" s="1"/>
  <c r="BN309" i="9"/>
  <c r="BO309" i="9" s="1"/>
  <c r="BP309" i="9" s="1" a="1"/>
  <c r="BP309" i="9" s="1"/>
  <c r="CD309" i="9"/>
  <c r="CE309" i="9" s="1"/>
  <c r="BF309" i="9"/>
  <c r="BG309" i="9" s="1"/>
  <c r="BH309" i="9" s="1" a="1"/>
  <c r="BH309" i="9" s="1"/>
  <c r="CL309" i="9"/>
  <c r="CM309" i="9" s="1"/>
  <c r="BJ305" i="9"/>
  <c r="BK305" i="9" s="1"/>
  <c r="BL305" i="9" s="1" a="1"/>
  <c r="BL305" i="9" s="1"/>
  <c r="BJ321" i="9"/>
  <c r="BK321" i="9" s="1"/>
  <c r="BF336" i="9"/>
  <c r="BG336" i="9" s="1"/>
  <c r="BH336" i="9" s="1" a="1"/>
  <c r="BH336" i="9" s="1"/>
  <c r="BF346" i="9"/>
  <c r="BG346" i="9" s="1"/>
  <c r="BH346" i="9" s="1" a="1"/>
  <c r="BH346" i="9" s="1"/>
  <c r="BZ346" i="9"/>
  <c r="CA346" i="9" s="1"/>
  <c r="CB346" i="9" s="1" a="1"/>
  <c r="CB346" i="9" s="1"/>
  <c r="CH305" i="9"/>
  <c r="CI305" i="9" s="1"/>
  <c r="CJ305" i="9" s="1" a="1"/>
  <c r="CJ305" i="9" s="1"/>
  <c r="CL305" i="9"/>
  <c r="CM305" i="9" s="1"/>
  <c r="CO317" i="9" a="1"/>
  <c r="CO317" i="9" s="1"/>
  <c r="BT327" i="9" a="1"/>
  <c r="BT327" i="9" s="1"/>
  <c r="BZ329" i="9"/>
  <c r="CA329" i="9" s="1"/>
  <c r="CB329" i="9" s="1" a="1"/>
  <c r="CB329" i="9" s="1"/>
  <c r="BF329" i="9"/>
  <c r="BG329" i="9" s="1"/>
  <c r="BH329" i="9" s="1" a="1"/>
  <c r="BH329" i="9" s="1"/>
  <c r="BR329" i="9"/>
  <c r="BS329" i="9" s="1"/>
  <c r="CH313" i="9"/>
  <c r="CI313" i="9" s="1"/>
  <c r="CJ313" i="9" s="1" a="1"/>
  <c r="CJ313" i="9" s="1"/>
  <c r="BN333" i="9"/>
  <c r="BO333" i="9" s="1"/>
  <c r="BP333" i="9" s="1" a="1"/>
  <c r="BP333" i="9" s="1"/>
  <c r="BR348" i="9"/>
  <c r="BS348" i="9" s="1"/>
  <c r="BZ356" i="9"/>
  <c r="CA356" i="9" s="1"/>
  <c r="CB356" i="9" s="1" a="1"/>
  <c r="CB356" i="9" s="1"/>
  <c r="BR372" i="9"/>
  <c r="BS372" i="9" s="1"/>
  <c r="BR340" i="9"/>
  <c r="BS340" i="9"/>
  <c r="AZ340" i="9"/>
  <c r="CL340" i="9" s="1"/>
  <c r="CM340" i="9" s="1"/>
  <c r="CL334" i="9"/>
  <c r="CM334" i="9" s="1"/>
  <c r="BN373" i="9"/>
  <c r="BO373" i="9" s="1"/>
  <c r="BP373" i="9" s="1" a="1"/>
  <c r="BP373" i="9" s="1"/>
  <c r="CH349" i="9"/>
  <c r="CI349" i="9" s="1"/>
  <c r="CJ349" i="9" s="1" a="1"/>
  <c r="CJ349" i="9" s="1"/>
  <c r="BF351" i="9"/>
  <c r="BG351" i="9" s="1"/>
  <c r="BH351" i="9" s="1" a="1"/>
  <c r="BH351" i="9" s="1"/>
  <c r="BZ351" i="9"/>
  <c r="CA351" i="9" s="1"/>
  <c r="CB351" i="9" s="1" a="1"/>
  <c r="CB351" i="9" s="1"/>
  <c r="AZ392" i="9"/>
  <c r="BF392" i="9" s="1"/>
  <c r="BG392" i="9" s="1"/>
  <c r="BH392" i="9" s="1" a="1"/>
  <c r="BH392" i="9" s="1"/>
  <c r="BJ375" i="9"/>
  <c r="BK375" i="9" s="1"/>
  <c r="BL375" i="9" s="1" a="1"/>
  <c r="BL375" i="9" s="1"/>
  <c r="CH363" i="9"/>
  <c r="CI363" i="9" s="1"/>
  <c r="CJ363" i="9" s="1" a="1"/>
  <c r="CJ363" i="9" s="1"/>
  <c r="BF388" i="9"/>
  <c r="BG388" i="9" s="1"/>
  <c r="BH388" i="9" s="1" a="1"/>
  <c r="BH388" i="9" s="1"/>
  <c r="CH388" i="9"/>
  <c r="CI388" i="9" s="1"/>
  <c r="BZ388" i="9"/>
  <c r="CA388" i="9" s="1"/>
  <c r="CB388" i="9" s="1" a="1"/>
  <c r="CB388" i="9" s="1"/>
  <c r="CL388" i="9"/>
  <c r="CM388" i="9" s="1"/>
  <c r="BJ388" i="9"/>
  <c r="BK388" i="9" s="1"/>
  <c r="CH310" i="9"/>
  <c r="CI310" i="9" s="1"/>
  <c r="CJ310" i="9" s="1" a="1"/>
  <c r="CJ310" i="9" s="1"/>
  <c r="CH380" i="9"/>
  <c r="CI380" i="9" s="1"/>
  <c r="CJ380" i="9" s="1" a="1"/>
  <c r="CJ380" i="9" s="1"/>
  <c r="CL419" i="9"/>
  <c r="CM419" i="9" s="1"/>
  <c r="CL399" i="9"/>
  <c r="CM399" i="9" s="1"/>
  <c r="CL348" i="9"/>
  <c r="CM348" i="9" s="1"/>
  <c r="BF384" i="9"/>
  <c r="BG384" i="9" s="1"/>
  <c r="BH384" i="9" s="1" a="1"/>
  <c r="BH384" i="9" s="1"/>
  <c r="BZ395" i="9"/>
  <c r="CA395" i="9" s="1"/>
  <c r="CB395" i="9" s="1" a="1"/>
  <c r="CB395" i="9" s="1"/>
  <c r="BF395" i="9"/>
  <c r="BG395" i="9" s="1"/>
  <c r="BH395" i="9" s="1" a="1"/>
  <c r="BH395" i="9" s="1"/>
  <c r="BZ397" i="9"/>
  <c r="CA397" i="9" s="1"/>
  <c r="CB397" i="9" s="1" a="1"/>
  <c r="CB397" i="9" s="1"/>
  <c r="BF397" i="9"/>
  <c r="BG397" i="9" s="1"/>
  <c r="BH397" i="9" s="1" a="1"/>
  <c r="BH397" i="9" s="1"/>
  <c r="CH397" i="9"/>
  <c r="CI397" i="9" s="1"/>
  <c r="CJ397" i="9" s="1" a="1"/>
  <c r="CJ397" i="9" s="1"/>
  <c r="BJ397" i="9"/>
  <c r="BK397" i="9" s="1"/>
  <c r="BN397" i="9"/>
  <c r="BO397" i="9" s="1"/>
  <c r="CL397" i="9"/>
  <c r="CM397" i="9" s="1"/>
  <c r="CH408" i="9"/>
  <c r="CI408" i="9" s="1"/>
  <c r="CJ408" i="9" s="1" a="1"/>
  <c r="CJ408" i="9" s="1"/>
  <c r="AZ416" i="9"/>
  <c r="BF416" i="9" s="1"/>
  <c r="BG416" i="9" s="1"/>
  <c r="BH416" i="9" s="1" a="1"/>
  <c r="BH416" i="9" s="1"/>
  <c r="BZ367" i="9"/>
  <c r="CA367" i="9" s="1"/>
  <c r="CB367" i="9" s="1" a="1"/>
  <c r="CB367" i="9" s="1"/>
  <c r="BF367" i="9"/>
  <c r="BG367" i="9" s="1"/>
  <c r="BH367" i="9" s="1" a="1"/>
  <c r="BH367" i="9" s="1"/>
  <c r="CF374" i="9" a="1"/>
  <c r="CF374" i="9" s="1"/>
  <c r="CH393" i="9"/>
  <c r="CI393" i="9" s="1"/>
  <c r="CJ393" i="9" s="1" a="1"/>
  <c r="CJ393" i="9" s="1"/>
  <c r="BN393" i="9"/>
  <c r="BO393" i="9" s="1"/>
  <c r="BJ393" i="9"/>
  <c r="BK393" i="9" s="1"/>
  <c r="BF393" i="9"/>
  <c r="BG393" i="9" s="1"/>
  <c r="BH393" i="9" s="1" a="1"/>
  <c r="BH393" i="9" s="1"/>
  <c r="BZ393" i="9"/>
  <c r="CA393" i="9" s="1"/>
  <c r="CB393" i="9" s="1" a="1"/>
  <c r="CB393" i="9" s="1"/>
  <c r="CL393" i="9"/>
  <c r="CM393" i="9" s="1"/>
  <c r="CD391" i="9"/>
  <c r="CE391" i="9" s="1"/>
  <c r="CH400" i="9"/>
  <c r="CI400" i="9" s="1"/>
  <c r="CJ400" i="9" s="1" a="1"/>
  <c r="CJ400" i="9" s="1"/>
  <c r="BR427" i="9"/>
  <c r="BS427" i="9" s="1"/>
  <c r="CN444" i="9" a="1"/>
  <c r="CN444" i="9" s="1"/>
  <c r="CN460" i="9" a="1"/>
  <c r="CN460" i="9" s="1"/>
  <c r="CH394" i="9"/>
  <c r="CI394" i="9" s="1"/>
  <c r="CL418" i="9"/>
  <c r="CM418" i="9" s="1"/>
  <c r="BZ425" i="9"/>
  <c r="CA425" i="9" s="1"/>
  <c r="CB425" i="9" s="1" a="1"/>
  <c r="CB425" i="9" s="1"/>
  <c r="BR353" i="9"/>
  <c r="BS353" i="9" s="1"/>
  <c r="CD388" i="9"/>
  <c r="CE388" i="9" s="1"/>
  <c r="CH423" i="9"/>
  <c r="CI423" i="9" s="1"/>
  <c r="CJ423" i="9" s="1" a="1"/>
  <c r="CJ423" i="9" s="1"/>
  <c r="BZ455" i="9"/>
  <c r="CA455" i="9" s="1"/>
  <c r="CB455" i="9" s="1" a="1"/>
  <c r="CB455" i="9" s="1"/>
  <c r="CD455" i="9"/>
  <c r="CE455" i="9" s="1"/>
  <c r="CL455" i="9"/>
  <c r="CM455" i="9" s="1"/>
  <c r="BP470" i="9" a="1"/>
  <c r="BP470" i="9" s="1"/>
  <c r="BJ383" i="9"/>
  <c r="BK383" i="9" s="1"/>
  <c r="BJ412" i="9"/>
  <c r="BK412" i="9" s="1"/>
  <c r="BL412" i="9" s="1" a="1"/>
  <c r="BL412" i="9" s="1"/>
  <c r="BZ431" i="9"/>
  <c r="CA431" i="9" s="1"/>
  <c r="CB431" i="9" s="1" a="1"/>
  <c r="CB431" i="9" s="1"/>
  <c r="BF431" i="9"/>
  <c r="BG431" i="9" s="1"/>
  <c r="BH431" i="9" s="1" a="1"/>
  <c r="BH431" i="9" s="1"/>
  <c r="BJ431" i="9"/>
  <c r="BK431" i="9" s="1"/>
  <c r="CL436" i="9"/>
  <c r="CM436" i="9" s="1"/>
  <c r="CD442" i="9"/>
  <c r="CE442" i="9" s="1"/>
  <c r="BZ442" i="9"/>
  <c r="CA442" i="9" s="1"/>
  <c r="CB442" i="9" s="1" a="1"/>
  <c r="CB442" i="9" s="1"/>
  <c r="CL437" i="9"/>
  <c r="CM437" i="9" s="1"/>
  <c r="CL472" i="9"/>
  <c r="CM472" i="9" s="1"/>
  <c r="BR476" i="9"/>
  <c r="BS476" i="9" s="1"/>
  <c r="BR457" i="9"/>
  <c r="BS457" i="9" s="1"/>
  <c r="BU471" i="9" a="1"/>
  <c r="BU471" i="9" s="1"/>
  <c r="BT471" i="9" a="1"/>
  <c r="BT471" i="9" s="1"/>
  <c r="BR446" i="9"/>
  <c r="BS446" i="9" s="1"/>
  <c r="BJ446" i="9"/>
  <c r="BK446" i="9" s="1"/>
  <c r="BZ446" i="9"/>
  <c r="CA446" i="9" s="1"/>
  <c r="CB446" i="9" s="1" a="1"/>
  <c r="CB446" i="9" s="1"/>
  <c r="BF446" i="9"/>
  <c r="BG446" i="9" s="1"/>
  <c r="BH446" i="9" s="1" a="1"/>
  <c r="BH446" i="9" s="1"/>
  <c r="BR448" i="9"/>
  <c r="BS448" i="9" s="1"/>
  <c r="CO469" i="9" a="1"/>
  <c r="CO469" i="9" s="1"/>
  <c r="BF444" i="9"/>
  <c r="BG444" i="9" s="1"/>
  <c r="BH444" i="9" s="1" a="1"/>
  <c r="BH444" i="9" s="1"/>
  <c r="BR473" i="9"/>
  <c r="BS473" i="9" s="1"/>
  <c r="BH481" i="9" a="1"/>
  <c r="BH481" i="9" s="1"/>
  <c r="BP474" i="9" a="1"/>
  <c r="BP474" i="9" s="1"/>
  <c r="BV474" i="9" s="1"/>
  <c r="Q474" i="9" s="1"/>
  <c r="CD435" i="9"/>
  <c r="CE435" i="9" s="1"/>
  <c r="CF435" i="9" s="1" a="1"/>
  <c r="CF435" i="9" s="1"/>
  <c r="CD476" i="9"/>
  <c r="CE476" i="9" s="1"/>
  <c r="CP484" i="9"/>
  <c r="V484" i="9" s="1"/>
  <c r="CJ478" i="9" a="1"/>
  <c r="CJ478" i="9" s="1"/>
  <c r="CO513" i="9" a="1"/>
  <c r="CO513" i="9" s="1"/>
  <c r="CN513" i="9" a="1"/>
  <c r="CN513" i="9" s="1"/>
  <c r="BP490" i="9" a="1"/>
  <c r="BP490" i="9" s="1"/>
  <c r="CO508" i="9" a="1"/>
  <c r="CO508" i="9" s="1"/>
  <c r="CJ535" i="9" a="1"/>
  <c r="CJ535" i="9" s="1"/>
  <c r="BU520" i="9" a="1"/>
  <c r="BU520" i="9" s="1"/>
  <c r="CF527" i="9" a="1"/>
  <c r="CF527" i="9" s="1"/>
  <c r="CP527" i="9" s="1"/>
  <c r="V527" i="9" s="1"/>
  <c r="BU578" i="9" a="1"/>
  <c r="BU578" i="9" s="1"/>
  <c r="BT578" i="9" a="1"/>
  <c r="BT578" i="9" s="1"/>
  <c r="CJ593" i="9" a="1"/>
  <c r="CJ593" i="9" s="1"/>
  <c r="BT670" i="9" a="1"/>
  <c r="BT670" i="9" s="1"/>
  <c r="BU670" i="9" a="1"/>
  <c r="BU670" i="9" s="1"/>
  <c r="BU639" i="9" a="1"/>
  <c r="BU639" i="9" s="1"/>
  <c r="BT639" i="9" a="1"/>
  <c r="BT639" i="9" s="1"/>
  <c r="BL662" i="9" a="1"/>
  <c r="BL662" i="9" s="1"/>
  <c r="BP662" i="9" a="1"/>
  <c r="BP662" i="9" s="1"/>
  <c r="CF673" i="9" a="1"/>
  <c r="CF673" i="9" s="1"/>
  <c r="CO725" i="9" a="1"/>
  <c r="CO725" i="9" s="1"/>
  <c r="CN725" i="9" a="1"/>
  <c r="CN725" i="9" s="1"/>
  <c r="CF694" i="9" a="1"/>
  <c r="CF694" i="9" s="1"/>
  <c r="CO726" i="9" a="1"/>
  <c r="CO726" i="9" s="1"/>
  <c r="AZ456" i="9"/>
  <c r="CL456" i="9" s="1"/>
  <c r="CM456" i="9" s="1"/>
  <c r="CD468" i="9"/>
  <c r="CE468" i="9" s="1"/>
  <c r="CF468" i="9" s="1" a="1"/>
  <c r="CF468" i="9" s="1"/>
  <c r="BN475" i="9"/>
  <c r="BO475" i="9" s="1"/>
  <c r="BP475" i="9" s="1" a="1"/>
  <c r="BP475" i="9" s="1"/>
  <c r="CH483" i="9"/>
  <c r="CI483" i="9" s="1"/>
  <c r="BR489" i="9"/>
  <c r="BS489" i="9" s="1"/>
  <c r="BR485" i="9"/>
  <c r="BS485" i="9" s="1"/>
  <c r="BZ485" i="9"/>
  <c r="CA485" i="9" s="1"/>
  <c r="CB485" i="9" s="1" a="1"/>
  <c r="CB485" i="9" s="1"/>
  <c r="CH435" i="9"/>
  <c r="CI435" i="9" s="1"/>
  <c r="BF435" i="9"/>
  <c r="BG435" i="9" s="1"/>
  <c r="BH435" i="9" s="1" a="1"/>
  <c r="BH435" i="9" s="1"/>
  <c r="BZ435" i="9"/>
  <c r="CA435" i="9" s="1"/>
  <c r="CB435" i="9" s="1" a="1"/>
  <c r="CB435" i="9" s="1"/>
  <c r="AZ467" i="9"/>
  <c r="BF467" i="9" s="1"/>
  <c r="BG467" i="9" s="1"/>
  <c r="BH467" i="9" s="1" a="1"/>
  <c r="BH467" i="9" s="1"/>
  <c r="CD490" i="9"/>
  <c r="CE490" i="9" s="1"/>
  <c r="CF490" i="9" s="1" a="1"/>
  <c r="CF490" i="9" s="1"/>
  <c r="BF482" i="9"/>
  <c r="BG482" i="9" s="1"/>
  <c r="BH482" i="9" s="1" a="1"/>
  <c r="BH482" i="9" s="1"/>
  <c r="AZ493" i="9"/>
  <c r="CH493" i="9" s="1"/>
  <c r="CI493" i="9" s="1"/>
  <c r="BR482" i="9"/>
  <c r="BS482" i="9" s="1"/>
  <c r="BN507" i="9"/>
  <c r="BO507" i="9" s="1"/>
  <c r="AZ511" i="9"/>
  <c r="BF511" i="9" s="1"/>
  <c r="BG511" i="9" s="1"/>
  <c r="BH511" i="9" s="1" a="1"/>
  <c r="BH511" i="9" s="1"/>
  <c r="BZ519" i="9"/>
  <c r="CA519" i="9" s="1"/>
  <c r="CB519" i="9" s="1" a="1"/>
  <c r="CB519" i="9" s="1"/>
  <c r="BR505" i="9"/>
  <c r="BS505" i="9" s="1"/>
  <c r="CF513" i="9" a="1"/>
  <c r="CF513" i="9" s="1"/>
  <c r="BP516" i="9" a="1"/>
  <c r="BP516" i="9" s="1"/>
  <c r="BV516" i="9" s="1"/>
  <c r="Q516" i="9" s="1"/>
  <c r="BZ539" i="9"/>
  <c r="CA539" i="9" s="1"/>
  <c r="CB539" i="9" s="1" a="1"/>
  <c r="CB539" i="9" s="1"/>
  <c r="CD514" i="9"/>
  <c r="CE514" i="9" s="1"/>
  <c r="CF514" i="9" s="1" a="1"/>
  <c r="CF514" i="9" s="1"/>
  <c r="CH538" i="9"/>
  <c r="CI538" i="9" s="1"/>
  <c r="CH487" i="9"/>
  <c r="CI487" i="9" s="1"/>
  <c r="BN517" i="9"/>
  <c r="BO517" i="9" s="1"/>
  <c r="BZ551" i="9"/>
  <c r="CA551" i="9" s="1"/>
  <c r="CB551" i="9" s="1" a="1"/>
  <c r="CB551" i="9" s="1"/>
  <c r="CD566" i="9"/>
  <c r="CE566" i="9" s="1"/>
  <c r="CJ566" i="9" s="1" a="1"/>
  <c r="CJ566" i="9" s="1"/>
  <c r="CL566" i="9"/>
  <c r="CM566" i="9" s="1"/>
  <c r="BJ519" i="9"/>
  <c r="BK519" i="9" s="1"/>
  <c r="BL519" i="9" s="1" a="1"/>
  <c r="BL519" i="9" s="1"/>
  <c r="BF520" i="9"/>
  <c r="BG520" i="9" s="1"/>
  <c r="BH520" i="9" s="1" a="1"/>
  <c r="BH520" i="9" s="1"/>
  <c r="BJ520" i="9"/>
  <c r="BK520" i="9" s="1"/>
  <c r="BZ520" i="9"/>
  <c r="CA520" i="9" s="1"/>
  <c r="CB520" i="9" s="1" a="1"/>
  <c r="CB520" i="9" s="1"/>
  <c r="CL520" i="9"/>
  <c r="CM520" i="9" s="1"/>
  <c r="BF539" i="9"/>
  <c r="BG539" i="9" s="1"/>
  <c r="BH539" i="9" s="1" a="1"/>
  <c r="BH539" i="9" s="1"/>
  <c r="AZ587" i="9"/>
  <c r="AZ611" i="9"/>
  <c r="AZ627" i="9"/>
  <c r="CH627" i="9" s="1"/>
  <c r="CI627" i="9" s="1"/>
  <c r="BN560" i="9"/>
  <c r="BO560" i="9" s="1"/>
  <c r="BP560" i="9" s="1" a="1"/>
  <c r="BP560" i="9" s="1"/>
  <c r="AZ590" i="9"/>
  <c r="BF590" i="9" s="1"/>
  <c r="BG590" i="9" s="1"/>
  <c r="BH590" i="9" s="1" a="1"/>
  <c r="BH590" i="9" s="1"/>
  <c r="BR504" i="9"/>
  <c r="BS504" i="9" s="1"/>
  <c r="BR513" i="9"/>
  <c r="BS513" i="9" s="1"/>
  <c r="BR543" i="9"/>
  <c r="BS543" i="9" s="1"/>
  <c r="AZ548" i="9"/>
  <c r="BJ548" i="9" s="1"/>
  <c r="BK548" i="9" s="1"/>
  <c r="AZ556" i="9"/>
  <c r="BJ556" i="9" s="1"/>
  <c r="BK556" i="9" s="1"/>
  <c r="CH562" i="9"/>
  <c r="CI562" i="9" s="1"/>
  <c r="CD575" i="9"/>
  <c r="CE575" i="9" s="1"/>
  <c r="CF575" i="9" s="1" a="1"/>
  <c r="CF575" i="9" s="1"/>
  <c r="BR533" i="9"/>
  <c r="BS533" i="9" s="1"/>
  <c r="CB558" i="9" a="1"/>
  <c r="CB558" i="9" s="1"/>
  <c r="CD607" i="9"/>
  <c r="CE607" i="9" s="1"/>
  <c r="CD641" i="9"/>
  <c r="CE641" i="9" s="1"/>
  <c r="BJ575" i="9"/>
  <c r="BK575" i="9" s="1"/>
  <c r="BR602" i="9"/>
  <c r="BS602" i="9" s="1"/>
  <c r="CH583" i="9"/>
  <c r="CI583" i="9" s="1"/>
  <c r="CH599" i="9"/>
  <c r="CI599" i="9" s="1"/>
  <c r="CJ599" i="9" s="1" a="1"/>
  <c r="CJ599" i="9" s="1"/>
  <c r="BJ599" i="9"/>
  <c r="BK599" i="9" s="1"/>
  <c r="BP599" i="9" s="1" a="1"/>
  <c r="BP599" i="9" s="1"/>
  <c r="BF599" i="9"/>
  <c r="BG599" i="9" s="1"/>
  <c r="BH599" i="9" s="1" a="1"/>
  <c r="BH599" i="9" s="1"/>
  <c r="BZ599" i="9"/>
  <c r="CA599" i="9" s="1"/>
  <c r="CB599" i="9" s="1" a="1"/>
  <c r="CB599" i="9" s="1"/>
  <c r="CL599" i="9"/>
  <c r="CM599" i="9" s="1"/>
  <c r="BR599" i="9"/>
  <c r="BS599" i="9" s="1"/>
  <c r="AZ630" i="9"/>
  <c r="BF630" i="9" s="1"/>
  <c r="BG630" i="9" s="1"/>
  <c r="BH630" i="9" s="1" a="1"/>
  <c r="BH630" i="9" s="1"/>
  <c r="CB643" i="9" a="1"/>
  <c r="CB643" i="9" s="1"/>
  <c r="BF570" i="9"/>
  <c r="BG570" i="9" s="1"/>
  <c r="BJ570" i="9"/>
  <c r="BK570" i="9" s="1"/>
  <c r="BZ570" i="9"/>
  <c r="CA570" i="9" s="1"/>
  <c r="CB570" i="9" s="1" a="1"/>
  <c r="CB570" i="9" s="1"/>
  <c r="CL570" i="9"/>
  <c r="CM570" i="9" s="1"/>
  <c r="BJ577" i="9"/>
  <c r="BK577" i="9" s="1"/>
  <c r="BL577" i="9" s="1" a="1"/>
  <c r="BL577" i="9" s="1"/>
  <c r="CH591" i="9"/>
  <c r="CI591" i="9" s="1"/>
  <c r="BZ596" i="9"/>
  <c r="CA596" i="9" s="1"/>
  <c r="CB596" i="9" s="1" a="1"/>
  <c r="CB596" i="9" s="1"/>
  <c r="BJ625" i="9"/>
  <c r="BK625" i="9" s="1"/>
  <c r="BL625" i="9" s="1" a="1"/>
  <c r="BL625" i="9" s="1"/>
  <c r="BU572" i="9" a="1"/>
  <c r="BU572" i="9" s="1"/>
  <c r="CL609" i="9"/>
  <c r="CM609" i="9" s="1"/>
  <c r="CH610" i="9"/>
  <c r="CI610" i="9" s="1"/>
  <c r="CJ610" i="9" s="1" a="1"/>
  <c r="CJ610" i="9" s="1"/>
  <c r="CD615" i="9"/>
  <c r="CE615" i="9" s="1"/>
  <c r="BN659" i="9"/>
  <c r="BO659" i="9" s="1"/>
  <c r="BP659" i="9" s="1" a="1"/>
  <c r="BP659" i="9" s="1"/>
  <c r="BJ669" i="9"/>
  <c r="BK669" i="9" s="1"/>
  <c r="BP669" i="9" s="1" a="1"/>
  <c r="BP669" i="9" s="1"/>
  <c r="CJ686" i="9" a="1"/>
  <c r="CJ686" i="9" s="1"/>
  <c r="BJ667" i="9"/>
  <c r="BK667" i="9" s="1"/>
  <c r="CD543" i="9"/>
  <c r="CE543" i="9" s="1"/>
  <c r="CF543" i="9" s="1" a="1"/>
  <c r="CF543" i="9" s="1"/>
  <c r="BF631" i="9"/>
  <c r="BG631" i="9" s="1"/>
  <c r="BH631" i="9" s="1" a="1"/>
  <c r="BH631" i="9" s="1"/>
  <c r="AZ661" i="9"/>
  <c r="CL661" i="9" s="1"/>
  <c r="CM661" i="9" s="1"/>
  <c r="CD580" i="9"/>
  <c r="CE580" i="9" s="1"/>
  <c r="BZ649" i="9"/>
  <c r="CA649" i="9" s="1"/>
  <c r="CB649" i="9" s="1" a="1"/>
  <c r="CB649" i="9" s="1"/>
  <c r="BZ604" i="9"/>
  <c r="CA604" i="9" s="1"/>
  <c r="CB604" i="9" s="1" a="1"/>
  <c r="CB604" i="9" s="1"/>
  <c r="CH679" i="9"/>
  <c r="CI679" i="9" s="1"/>
  <c r="BR695" i="9"/>
  <c r="BS695" i="9" s="1"/>
  <c r="CH630" i="9"/>
  <c r="CI630" i="9" s="1"/>
  <c r="BN655" i="9"/>
  <c r="BO655" i="9" s="1"/>
  <c r="BR677" i="9"/>
  <c r="BS677" i="9" s="1"/>
  <c r="AZ716" i="9"/>
  <c r="BN716" i="9" s="1"/>
  <c r="BO716" i="9" s="1"/>
  <c r="BF594" i="9"/>
  <c r="BG594" i="9" s="1"/>
  <c r="BH594" i="9" s="1" a="1"/>
  <c r="BH594" i="9" s="1"/>
  <c r="BJ594" i="9"/>
  <c r="BK594" i="9" s="1"/>
  <c r="BP594" i="9" s="1" a="1"/>
  <c r="BP594" i="9" s="1"/>
  <c r="BZ594" i="9"/>
  <c r="CA594" i="9" s="1"/>
  <c r="CB594" i="9" s="1" a="1"/>
  <c r="CB594" i="9" s="1"/>
  <c r="CL594" i="9"/>
  <c r="CM594" i="9" s="1"/>
  <c r="BZ636" i="9"/>
  <c r="CA636" i="9" s="1"/>
  <c r="CB636" i="9" s="1" a="1"/>
  <c r="CB636" i="9" s="1"/>
  <c r="BR667" i="9"/>
  <c r="BS667" i="9" s="1"/>
  <c r="BL686" i="9" a="1"/>
  <c r="BL686" i="9" s="1"/>
  <c r="BV686" i="9" s="1"/>
  <c r="Q686" i="9" s="1"/>
  <c r="BN601" i="9"/>
  <c r="BO601" i="9" s="1"/>
  <c r="BP601" i="9" s="1" a="1"/>
  <c r="BP601" i="9" s="1"/>
  <c r="BV657" i="9"/>
  <c r="Q657" i="9" s="1"/>
  <c r="AZ666" i="9"/>
  <c r="CD689" i="9"/>
  <c r="CE689" i="9" s="1"/>
  <c r="AZ706" i="9"/>
  <c r="BN719" i="9"/>
  <c r="BO719" i="9" s="1"/>
  <c r="BJ704" i="9"/>
  <c r="BK704" i="9" s="1"/>
  <c r="BP704" i="9" s="1" a="1"/>
  <c r="BP704" i="9" s="1"/>
  <c r="BR696" i="9"/>
  <c r="BS696" i="9" s="1"/>
  <c r="BN708" i="9"/>
  <c r="BO708" i="9" s="1"/>
  <c r="BP708" i="9" s="1" a="1"/>
  <c r="BP708" i="9" s="1"/>
  <c r="BH728" i="9" a="1"/>
  <c r="BH728" i="9" s="1"/>
  <c r="CH696" i="9"/>
  <c r="CI696" i="9" s="1"/>
  <c r="CJ696" i="9" s="1" a="1"/>
  <c r="CJ696" i="9" s="1"/>
  <c r="BZ708" i="9"/>
  <c r="CA708" i="9" s="1"/>
  <c r="CB708" i="9" s="1" a="1"/>
  <c r="CB708" i="9" s="1"/>
  <c r="CD717" i="9"/>
  <c r="CE717" i="9" s="1"/>
  <c r="BR733" i="9"/>
  <c r="BS733" i="9" s="1"/>
  <c r="CD738" i="9"/>
  <c r="CE738" i="9" s="1"/>
  <c r="CO696" i="9" a="1"/>
  <c r="CO696" i="9" s="1"/>
  <c r="CL701" i="9"/>
  <c r="CM701" i="9" s="1"/>
  <c r="CF711" i="9" a="1"/>
  <c r="CF711" i="9" s="1"/>
  <c r="BL718" i="9" a="1"/>
  <c r="BL718" i="9" s="1"/>
  <c r="BF732" i="9"/>
  <c r="BG732" i="9" s="1"/>
  <c r="BH732" i="9" s="1" a="1"/>
  <c r="BH732" i="9" s="1"/>
  <c r="BN778" i="9"/>
  <c r="BO778" i="9" s="1"/>
  <c r="BJ778" i="9"/>
  <c r="BK778" i="9" s="1"/>
  <c r="CL778" i="9"/>
  <c r="CM778" i="9" s="1"/>
  <c r="BR778" i="9"/>
  <c r="BS778" i="9" s="1"/>
  <c r="BZ778" i="9"/>
  <c r="CA778" i="9" s="1"/>
  <c r="CB778" i="9" s="1" a="1"/>
  <c r="CB778" i="9" s="1"/>
  <c r="CD778" i="9"/>
  <c r="CE778" i="9" s="1"/>
  <c r="CF778" i="9" s="1" a="1"/>
  <c r="CF778" i="9" s="1"/>
  <c r="BF778" i="9"/>
  <c r="BG778" i="9" s="1"/>
  <c r="BH778" i="9" s="1" a="1"/>
  <c r="BH778" i="9" s="1"/>
  <c r="CH778" i="9"/>
  <c r="CI778" i="9" s="1"/>
  <c r="BU711" i="9" a="1"/>
  <c r="BU711" i="9" s="1"/>
  <c r="BT711" i="9" a="1"/>
  <c r="BT711" i="9" s="1"/>
  <c r="CO775" i="9" a="1"/>
  <c r="CO775" i="9" s="1"/>
  <c r="BT741" i="9" a="1"/>
  <c r="BT741" i="9" s="1"/>
  <c r="BU741" i="9" a="1"/>
  <c r="BU741" i="9" s="1"/>
  <c r="CJ759" i="9" a="1"/>
  <c r="CJ759" i="9" s="1"/>
  <c r="CF838" i="9" a="1"/>
  <c r="CF838" i="9" s="1"/>
  <c r="CB838" i="9" a="1"/>
  <c r="CB838" i="9" s="1"/>
  <c r="BL748" i="9" a="1"/>
  <c r="BL748" i="9" s="1"/>
  <c r="BL820" i="9" a="1"/>
  <c r="BL820" i="9" s="1"/>
  <c r="CN832" i="9" a="1"/>
  <c r="CN832" i="9" s="1"/>
  <c r="CO832" i="9" a="1"/>
  <c r="CO832" i="9" s="1"/>
  <c r="BU896" i="9" a="1"/>
  <c r="BU896" i="9" s="1"/>
  <c r="BT896" i="9" a="1"/>
  <c r="BT896" i="9" s="1"/>
  <c r="BU877" i="9" a="1"/>
  <c r="BU877" i="9" s="1"/>
  <c r="BT877" i="9" a="1"/>
  <c r="BT877" i="9" s="1"/>
  <c r="CN935" i="9" a="1"/>
  <c r="CN935" i="9" s="1"/>
  <c r="CO935" i="9" a="1"/>
  <c r="CO935" i="9" s="1"/>
  <c r="CO910" i="9" a="1"/>
  <c r="CO910" i="9" s="1"/>
  <c r="BU918" i="9" a="1"/>
  <c r="BU918" i="9" s="1"/>
  <c r="CO934" i="9" a="1"/>
  <c r="CO934" i="9" s="1"/>
  <c r="BP879" i="9" a="1"/>
  <c r="BP879" i="9" s="1"/>
  <c r="CN838" i="9" a="1"/>
  <c r="CN838" i="9" s="1"/>
  <c r="CO838" i="9" a="1"/>
  <c r="CO838" i="9" s="1"/>
  <c r="BT913" i="9" a="1"/>
  <c r="BT913" i="9" s="1"/>
  <c r="BU913" i="9" a="1"/>
  <c r="BU913" i="9" s="1"/>
  <c r="BU946" i="9" a="1"/>
  <c r="BU946" i="9" s="1"/>
  <c r="CO954" i="9" a="1"/>
  <c r="CO954" i="9" s="1"/>
  <c r="CN954" i="9" a="1"/>
  <c r="CN954" i="9" s="1"/>
  <c r="CJ969" i="9" a="1"/>
  <c r="CJ969" i="9" s="1"/>
  <c r="BT937" i="9" a="1"/>
  <c r="BT937" i="9" s="1"/>
  <c r="BL921" i="9" a="1"/>
  <c r="BL921" i="9" s="1"/>
  <c r="CJ1008" i="9" a="1"/>
  <c r="CJ1008" i="9" s="1"/>
  <c r="CN983" i="9" a="1"/>
  <c r="CN983" i="9" s="1"/>
  <c r="CO983" i="9" a="1"/>
  <c r="CO983" i="9" s="1"/>
  <c r="BU996" i="9" a="1"/>
  <c r="BU996" i="9" s="1"/>
  <c r="CO1000" i="9" a="1"/>
  <c r="CO1000" i="9" s="1"/>
  <c r="CN1000" i="9" a="1"/>
  <c r="CN1000" i="9" s="1"/>
  <c r="BL1004" i="9" a="1"/>
  <c r="BL1004" i="9" s="1"/>
  <c r="BL980" i="9" a="1"/>
  <c r="BL980" i="9" s="1"/>
  <c r="BH980" i="9" a="1"/>
  <c r="BH980" i="9" s="1"/>
  <c r="BH489" i="9" a="1"/>
  <c r="BH489" i="9" s="1"/>
  <c r="BJ435" i="9"/>
  <c r="BK435" i="9" s="1"/>
  <c r="BR467" i="9"/>
  <c r="BS467" i="9" s="1"/>
  <c r="CB479" i="9" a="1"/>
  <c r="CB479" i="9" s="1"/>
  <c r="BF436" i="9"/>
  <c r="BG436" i="9" s="1"/>
  <c r="BH436" i="9" s="1" a="1"/>
  <c r="BH436" i="9" s="1"/>
  <c r="BZ436" i="9"/>
  <c r="CA436" i="9" s="1"/>
  <c r="CB436" i="9" s="1" a="1"/>
  <c r="CB436" i="9" s="1"/>
  <c r="BR469" i="9"/>
  <c r="BS469" i="9" s="1"/>
  <c r="BZ480" i="9"/>
  <c r="CA480" i="9" s="1"/>
  <c r="CB480" i="9" s="1" a="1"/>
  <c r="CB480" i="9" s="1"/>
  <c r="BF480" i="9"/>
  <c r="BG480" i="9" s="1"/>
  <c r="BH480" i="9" s="1" a="1"/>
  <c r="BH480" i="9" s="1"/>
  <c r="BJ480" i="9"/>
  <c r="BK480" i="9" s="1"/>
  <c r="CL480" i="9"/>
  <c r="CM480" i="9" s="1"/>
  <c r="AZ502" i="9"/>
  <c r="CH502" i="9" s="1"/>
  <c r="CI502" i="9" s="1"/>
  <c r="BZ469" i="9"/>
  <c r="CA469" i="9" s="1"/>
  <c r="CB469" i="9" s="1" a="1"/>
  <c r="CB469" i="9" s="1"/>
  <c r="BJ469" i="9"/>
  <c r="BK469" i="9" s="1"/>
  <c r="BL469" i="9" s="1" a="1"/>
  <c r="BL469" i="9" s="1"/>
  <c r="BF469" i="9"/>
  <c r="BG469" i="9" s="1"/>
  <c r="BH469" i="9" s="1" a="1"/>
  <c r="BH469" i="9" s="1"/>
  <c r="CD482" i="9"/>
  <c r="CE482" i="9" s="1"/>
  <c r="CF482" i="9" s="1" a="1"/>
  <c r="CF482" i="9" s="1"/>
  <c r="CH523" i="9"/>
  <c r="CI523" i="9" s="1"/>
  <c r="BZ505" i="9"/>
  <c r="CA505" i="9" s="1"/>
  <c r="CB505" i="9" s="1" a="1"/>
  <c r="CB505" i="9" s="1"/>
  <c r="BF505" i="9"/>
  <c r="BG505" i="9" s="1"/>
  <c r="BH505" i="9" s="1" a="1"/>
  <c r="BH505" i="9" s="1"/>
  <c r="BN505" i="9"/>
  <c r="BO505" i="9" s="1"/>
  <c r="BP505" i="9" s="1" a="1"/>
  <c r="BP505" i="9" s="1"/>
  <c r="BZ525" i="9"/>
  <c r="CA525" i="9" s="1"/>
  <c r="CB525" i="9" s="1" a="1"/>
  <c r="CB525" i="9" s="1"/>
  <c r="BR525" i="9"/>
  <c r="BS525" i="9" s="1"/>
  <c r="AZ553" i="9"/>
  <c r="CH553" i="9" s="1"/>
  <c r="CI553" i="9" s="1"/>
  <c r="BJ482" i="9"/>
  <c r="BK482" i="9" s="1"/>
  <c r="BL482" i="9" s="1" a="1"/>
  <c r="BL482" i="9" s="1"/>
  <c r="CH507" i="9"/>
  <c r="CI507" i="9" s="1"/>
  <c r="CH510" i="9"/>
  <c r="CI510" i="9" s="1"/>
  <c r="CJ510" i="9" s="1" a="1"/>
  <c r="CJ510" i="9" s="1"/>
  <c r="BN515" i="9"/>
  <c r="BO515" i="9" s="1"/>
  <c r="BP515" i="9" s="1" a="1"/>
  <c r="BP515" i="9" s="1"/>
  <c r="CL505" i="9"/>
  <c r="CM505" i="9" s="1"/>
  <c r="BR480" i="9"/>
  <c r="BS480" i="9" s="1"/>
  <c r="BF543" i="9"/>
  <c r="BG543" i="9" s="1"/>
  <c r="BH543" i="9" s="1" a="1"/>
  <c r="BH543" i="9" s="1"/>
  <c r="BF487" i="9"/>
  <c r="BG487" i="9" s="1"/>
  <c r="BH487" i="9" s="1" a="1"/>
  <c r="BH487" i="9" s="1"/>
  <c r="BN520" i="9"/>
  <c r="BO520" i="9" s="1"/>
  <c r="BR551" i="9"/>
  <c r="BS551" i="9" s="1"/>
  <c r="CD549" i="9"/>
  <c r="CE549" i="9" s="1"/>
  <c r="CH587" i="9"/>
  <c r="CI587" i="9" s="1"/>
  <c r="CH611" i="9"/>
  <c r="CI611" i="9" s="1"/>
  <c r="BN513" i="9"/>
  <c r="BO513" i="9" s="1"/>
  <c r="BP513" i="9" s="1" a="1"/>
  <c r="BP513" i="9" s="1"/>
  <c r="CH522" i="9"/>
  <c r="CI522" i="9" s="1"/>
  <c r="CJ522" i="9" s="1" a="1"/>
  <c r="CJ522" i="9" s="1"/>
  <c r="BZ566" i="9"/>
  <c r="CA566" i="9" s="1"/>
  <c r="CB566" i="9" s="1" a="1"/>
  <c r="CB566" i="9" s="1"/>
  <c r="CF516" i="9" a="1"/>
  <c r="CF516" i="9" s="1"/>
  <c r="BJ543" i="9"/>
  <c r="BK543" i="9" s="1"/>
  <c r="BZ508" i="9"/>
  <c r="CA508" i="9" s="1"/>
  <c r="CB508" i="9" s="1" a="1"/>
  <c r="CB508" i="9" s="1"/>
  <c r="CH508" i="9"/>
  <c r="CI508" i="9" s="1"/>
  <c r="CJ508" i="9" s="1" a="1"/>
  <c r="CJ508" i="9" s="1"/>
  <c r="BF508" i="9"/>
  <c r="BG508" i="9" s="1"/>
  <c r="BH508" i="9" s="1" a="1"/>
  <c r="BH508" i="9" s="1"/>
  <c r="BN508" i="9"/>
  <c r="BO508" i="9" s="1"/>
  <c r="CL523" i="9"/>
  <c r="CM523" i="9" s="1"/>
  <c r="BN533" i="9"/>
  <c r="BO533" i="9" s="1"/>
  <c r="AZ555" i="9"/>
  <c r="CH555" i="9" s="1"/>
  <c r="CI555" i="9" s="1"/>
  <c r="BT596" i="9" a="1"/>
  <c r="BT596" i="9" s="1"/>
  <c r="BF533" i="9"/>
  <c r="BG533" i="9" s="1"/>
  <c r="BH533" i="9" s="1" a="1"/>
  <c r="BH533" i="9" s="1"/>
  <c r="CL611" i="9"/>
  <c r="CM611" i="9" s="1"/>
  <c r="AZ658" i="9"/>
  <c r="BR658" i="9" s="1"/>
  <c r="BS658" i="9" s="1"/>
  <c r="CD517" i="9"/>
  <c r="CE517" i="9" s="1"/>
  <c r="CF517" i="9" s="1" a="1"/>
  <c r="CF517" i="9" s="1"/>
  <c r="CH557" i="9"/>
  <c r="CI557" i="9" s="1"/>
  <c r="CJ557" i="9" s="1" a="1"/>
  <c r="CJ557" i="9" s="1"/>
  <c r="CH575" i="9"/>
  <c r="CI575" i="9" s="1"/>
  <c r="CD612" i="9"/>
  <c r="CE612" i="9" s="1"/>
  <c r="CF612" i="9" s="1" a="1"/>
  <c r="CF612" i="9" s="1"/>
  <c r="BJ557" i="9"/>
  <c r="BK557" i="9" s="1"/>
  <c r="BF557" i="9"/>
  <c r="BG557" i="9" s="1"/>
  <c r="BH557" i="9" s="1" a="1"/>
  <c r="BH557" i="9" s="1"/>
  <c r="BZ557" i="9"/>
  <c r="CA557" i="9" s="1"/>
  <c r="CB557" i="9" s="1" a="1"/>
  <c r="CB557" i="9" s="1"/>
  <c r="CL557" i="9"/>
  <c r="CM557" i="9" s="1"/>
  <c r="BR557" i="9"/>
  <c r="BS557" i="9" s="1"/>
  <c r="BN575" i="9"/>
  <c r="BO575" i="9" s="1"/>
  <c r="BP575" i="9" s="1" a="1"/>
  <c r="BP575" i="9" s="1"/>
  <c r="AZ584" i="9"/>
  <c r="CH584" i="9" s="1"/>
  <c r="CI584" i="9" s="1"/>
  <c r="BZ610" i="9"/>
  <c r="CA610" i="9" s="1"/>
  <c r="CB610" i="9" s="1" a="1"/>
  <c r="CB610" i="9" s="1"/>
  <c r="BF610" i="9"/>
  <c r="BG610" i="9" s="1"/>
  <c r="BH610" i="9" s="1" a="1"/>
  <c r="BH610" i="9" s="1"/>
  <c r="BJ610" i="9"/>
  <c r="BK610" i="9" s="1"/>
  <c r="BP610" i="9" s="1" a="1"/>
  <c r="BP610" i="9" s="1"/>
  <c r="CB659" i="9" a="1"/>
  <c r="CB659" i="9" s="1"/>
  <c r="CB667" i="9" a="1"/>
  <c r="CB667" i="9" s="1"/>
  <c r="AZ592" i="9"/>
  <c r="BJ592" i="9" s="1"/>
  <c r="BK592" i="9" s="1"/>
  <c r="AZ606" i="9"/>
  <c r="CH606" i="9" s="1"/>
  <c r="CI606" i="9" s="1"/>
  <c r="BU625" i="9" a="1"/>
  <c r="BU625" i="9" s="1"/>
  <c r="CH632" i="9"/>
  <c r="CI632" i="9" s="1"/>
  <c r="AZ651" i="9"/>
  <c r="BR528" i="9"/>
  <c r="BS528" i="9" s="1"/>
  <c r="BZ625" i="9"/>
  <c r="CA625" i="9" s="1"/>
  <c r="CB625" i="9" s="1" a="1"/>
  <c r="CB625" i="9" s="1"/>
  <c r="AZ497" i="9"/>
  <c r="CH497" i="9" s="1"/>
  <c r="CI497" i="9" s="1"/>
  <c r="CD572" i="9"/>
  <c r="CE572" i="9" s="1"/>
  <c r="CF572" i="9" s="1" a="1"/>
  <c r="CF572" i="9" s="1"/>
  <c r="BJ590" i="9"/>
  <c r="BK590" i="9" s="1"/>
  <c r="BL590" i="9" s="1" a="1"/>
  <c r="BL590" i="9" s="1"/>
  <c r="BZ630" i="9"/>
  <c r="CA630" i="9" s="1"/>
  <c r="CB630" i="9" s="1" a="1"/>
  <c r="CB630" i="9" s="1"/>
  <c r="CH660" i="9"/>
  <c r="CI660" i="9" s="1"/>
  <c r="CJ660" i="9" s="1" a="1"/>
  <c r="CJ660" i="9" s="1"/>
  <c r="CN670" i="9" a="1"/>
  <c r="CN670" i="9" s="1"/>
  <c r="CP670" i="9" s="1"/>
  <c r="V670" i="9" s="1"/>
  <c r="CH569" i="9"/>
  <c r="CI569" i="9" s="1"/>
  <c r="CJ569" i="9" s="1" a="1"/>
  <c r="CJ569" i="9" s="1"/>
  <c r="BZ657" i="9"/>
  <c r="CA657" i="9" s="1"/>
  <c r="CB657" i="9" s="1" a="1"/>
  <c r="CB657" i="9" s="1"/>
  <c r="BF720" i="9"/>
  <c r="BG720" i="9" s="1"/>
  <c r="BH720" i="9" s="1" a="1"/>
  <c r="BH720" i="9" s="1"/>
  <c r="AZ691" i="9"/>
  <c r="CD691" i="9" s="1"/>
  <c r="CE691" i="9" s="1"/>
  <c r="AZ707" i="9"/>
  <c r="BZ707" i="9" s="1"/>
  <c r="CA707" i="9" s="1"/>
  <c r="CB707" i="9" s="1" a="1"/>
  <c r="CB707" i="9" s="1"/>
  <c r="BU588" i="9" a="1"/>
  <c r="BU588" i="9" s="1"/>
  <c r="BF667" i="9"/>
  <c r="BG667" i="9" s="1"/>
  <c r="BH667" i="9" s="1" a="1"/>
  <c r="BH667" i="9" s="1"/>
  <c r="BF710" i="9"/>
  <c r="BG710" i="9" s="1"/>
  <c r="BH710" i="9" s="1" a="1"/>
  <c r="BH710" i="9" s="1"/>
  <c r="BF636" i="9"/>
  <c r="BG636" i="9" s="1"/>
  <c r="BH636" i="9" s="1" a="1"/>
  <c r="BH636" i="9" s="1"/>
  <c r="BN665" i="9"/>
  <c r="BO665" i="9" s="1"/>
  <c r="CL695" i="9"/>
  <c r="CM695" i="9" s="1"/>
  <c r="CH695" i="9"/>
  <c r="CI695" i="9" s="1"/>
  <c r="BF709" i="9"/>
  <c r="BG709" i="9" s="1"/>
  <c r="BH709" i="9" s="1" a="1"/>
  <c r="BH709" i="9" s="1"/>
  <c r="CH709" i="9"/>
  <c r="CI709" i="9" s="1"/>
  <c r="CD709" i="9"/>
  <c r="CE709" i="9" s="1"/>
  <c r="BN709" i="9"/>
  <c r="BO709" i="9" s="1"/>
  <c r="CL709" i="9"/>
  <c r="CM709" i="9" s="1"/>
  <c r="CH609" i="9"/>
  <c r="CI609" i="9" s="1"/>
  <c r="CJ609" i="9" s="1" a="1"/>
  <c r="CJ609" i="9" s="1"/>
  <c r="BR631" i="9"/>
  <c r="BS631" i="9" s="1"/>
  <c r="BF635" i="9"/>
  <c r="BG635" i="9" s="1"/>
  <c r="BH635" i="9" s="1" a="1"/>
  <c r="BH635" i="9" s="1"/>
  <c r="BJ666" i="9"/>
  <c r="BK666" i="9" s="1"/>
  <c r="BR636" i="9"/>
  <c r="BS636" i="9" s="1"/>
  <c r="AZ637" i="9"/>
  <c r="CH637" i="9" s="1"/>
  <c r="CI637" i="9" s="1"/>
  <c r="AZ664" i="9"/>
  <c r="CH664" i="9" s="1"/>
  <c r="CI664" i="9" s="1"/>
  <c r="CD496" i="9"/>
  <c r="CE496" i="9" s="1"/>
  <c r="CF496" i="9" s="1" a="1"/>
  <c r="CF496" i="9" s="1"/>
  <c r="BN660" i="9"/>
  <c r="BO660" i="9" s="1"/>
  <c r="AZ690" i="9"/>
  <c r="CH706" i="9"/>
  <c r="CI706" i="9" s="1"/>
  <c r="BJ721" i="9"/>
  <c r="BK721" i="9" s="1"/>
  <c r="CL721" i="9"/>
  <c r="CM721" i="9" s="1"/>
  <c r="BR721" i="9"/>
  <c r="BS721" i="9" s="1"/>
  <c r="BZ721" i="9"/>
  <c r="CA721" i="9" s="1"/>
  <c r="CB721" i="9" s="1" a="1"/>
  <c r="CB721" i="9" s="1"/>
  <c r="BF721" i="9"/>
  <c r="BG721" i="9" s="1"/>
  <c r="BH721" i="9" s="1" a="1"/>
  <c r="BH721" i="9" s="1"/>
  <c r="BN721" i="9"/>
  <c r="BO721" i="9" s="1"/>
  <c r="AZ730" i="9"/>
  <c r="BN730" i="9" s="1"/>
  <c r="BO730" i="9" s="1"/>
  <c r="BF704" i="9"/>
  <c r="BG704" i="9" s="1"/>
  <c r="BH704" i="9" s="1" a="1"/>
  <c r="BH704" i="9" s="1"/>
  <c r="CJ720" i="9" a="1"/>
  <c r="CJ720" i="9" s="1"/>
  <c r="CP720" i="9" s="1"/>
  <c r="V720" i="9" s="1"/>
  <c r="CL708" i="9"/>
  <c r="CM708" i="9" s="1"/>
  <c r="BF719" i="9"/>
  <c r="BG719" i="9" s="1"/>
  <c r="CO734" i="9" a="1"/>
  <c r="CO734" i="9" s="1"/>
  <c r="CN734" i="9" a="1"/>
  <c r="CN734" i="9" s="1"/>
  <c r="BJ701" i="9"/>
  <c r="BK701" i="9" s="1"/>
  <c r="BL701" i="9" s="1" a="1"/>
  <c r="BL701" i="9" s="1"/>
  <c r="BP703" i="9" a="1"/>
  <c r="BP703" i="9" s="1"/>
  <c r="BR725" i="9"/>
  <c r="BS725" i="9" s="1"/>
  <c r="BZ732" i="9"/>
  <c r="CA732" i="9" s="1"/>
  <c r="CB732" i="9" s="1" a="1"/>
  <c r="CB732" i="9" s="1"/>
  <c r="BF738" i="9"/>
  <c r="BG738" i="9" s="1"/>
  <c r="CH694" i="9"/>
  <c r="CI694" i="9" s="1"/>
  <c r="CJ694" i="9" s="1" a="1"/>
  <c r="CJ694" i="9" s="1"/>
  <c r="CJ711" i="9" a="1"/>
  <c r="CJ711" i="9" s="1"/>
  <c r="BT759" i="9" a="1"/>
  <c r="BT759" i="9" s="1"/>
  <c r="BU759" i="9" a="1"/>
  <c r="BU759" i="9" s="1"/>
  <c r="CJ768" i="9" a="1"/>
  <c r="CJ768" i="9" s="1"/>
  <c r="CJ741" i="9" a="1"/>
  <c r="CJ741" i="9" s="1"/>
  <c r="BZ757" i="9"/>
  <c r="CA757" i="9" s="1"/>
  <c r="CB757" i="9" s="1" a="1"/>
  <c r="CB757" i="9" s="1"/>
  <c r="CF759" i="9" a="1"/>
  <c r="CF759" i="9" s="1"/>
  <c r="BU847" i="9" a="1"/>
  <c r="BU847" i="9" s="1"/>
  <c r="BT847" i="9" a="1"/>
  <c r="BT847" i="9" s="1"/>
  <c r="BU893" i="9" a="1"/>
  <c r="BU893" i="9" s="1"/>
  <c r="BL846" i="9" a="1"/>
  <c r="BL846" i="9" s="1"/>
  <c r="CN944" i="9" a="1"/>
  <c r="CN944" i="9" s="1"/>
  <c r="CO944" i="9" a="1"/>
  <c r="CO944" i="9" s="1"/>
  <c r="BU904" i="9" a="1"/>
  <c r="BU904" i="9" s="1"/>
  <c r="BU912" i="9" a="1"/>
  <c r="BU912" i="9" s="1"/>
  <c r="BU920" i="9" a="1"/>
  <c r="BU920" i="9" s="1"/>
  <c r="BU928" i="9" a="1"/>
  <c r="BU928" i="9" s="1"/>
  <c r="BU936" i="9" a="1"/>
  <c r="BU936" i="9" s="1"/>
  <c r="BU942" i="9" a="1"/>
  <c r="BU942" i="9" s="1"/>
  <c r="CJ847" i="9" a="1"/>
  <c r="CJ847" i="9" s="1"/>
  <c r="CO913" i="9" a="1"/>
  <c r="CO913" i="9" s="1"/>
  <c r="BU921" i="9" a="1"/>
  <c r="BU921" i="9" s="1"/>
  <c r="BT921" i="9" a="1"/>
  <c r="BT921" i="9" s="1"/>
  <c r="BL943" i="9" a="1"/>
  <c r="BL943" i="9" s="1"/>
  <c r="BL929" i="9" a="1"/>
  <c r="BL929" i="9" s="1"/>
  <c r="CN985" i="9" a="1"/>
  <c r="CN985" i="9" s="1"/>
  <c r="CO985" i="9" a="1"/>
  <c r="CO985" i="9" s="1"/>
  <c r="CN993" i="9" a="1"/>
  <c r="CN993" i="9" s="1"/>
  <c r="CO993" i="9" a="1"/>
  <c r="CO993" i="9" s="1"/>
  <c r="CN1001" i="9" a="1"/>
  <c r="CN1001" i="9" s="1"/>
  <c r="CO1001" i="9" a="1"/>
  <c r="CO1001" i="9" s="1"/>
  <c r="CO1009" i="9" a="1"/>
  <c r="CO1009" i="9" s="1"/>
  <c r="CN1017" i="9" a="1"/>
  <c r="CN1017" i="9" s="1"/>
  <c r="CO1017" i="9" a="1"/>
  <c r="CO1017" i="9" s="1"/>
  <c r="CJ994" i="9" a="1"/>
  <c r="CJ994" i="9" s="1"/>
  <c r="BL993" i="9" a="1"/>
  <c r="BL993" i="9" s="1"/>
  <c r="BH993" i="9" a="1"/>
  <c r="BH993" i="9" s="1"/>
  <c r="CO1018" i="9" a="1"/>
  <c r="CO1018" i="9" s="1"/>
  <c r="BU986" i="9" a="1"/>
  <c r="BU986" i="9" s="1"/>
  <c r="AZ512" i="9"/>
  <c r="BJ512" i="9" s="1"/>
  <c r="BK512" i="9" s="1"/>
  <c r="BT530" i="9" a="1"/>
  <c r="BT530" i="9" s="1"/>
  <c r="BZ487" i="9"/>
  <c r="CA487" i="9" s="1"/>
  <c r="CB487" i="9" s="1" a="1"/>
  <c r="CB487" i="9" s="1"/>
  <c r="BP538" i="9" a="1"/>
  <c r="BP538" i="9" s="1"/>
  <c r="AZ540" i="9"/>
  <c r="BJ551" i="9"/>
  <c r="BK551" i="9" s="1"/>
  <c r="BL551" i="9" s="1" a="1"/>
  <c r="BL551" i="9" s="1"/>
  <c r="BZ507" i="9"/>
  <c r="CA507" i="9" s="1"/>
  <c r="CB507" i="9" s="1" a="1"/>
  <c r="CB507" i="9" s="1"/>
  <c r="BF507" i="9"/>
  <c r="BG507" i="9" s="1"/>
  <c r="BH507" i="9" s="1" a="1"/>
  <c r="BH507" i="9" s="1"/>
  <c r="CD507" i="9"/>
  <c r="CE507" i="9" s="1"/>
  <c r="CJ509" i="9" a="1"/>
  <c r="CJ509" i="9" s="1"/>
  <c r="BN555" i="9"/>
  <c r="BO555" i="9" s="1"/>
  <c r="AZ571" i="9"/>
  <c r="CD571" i="9" s="1"/>
  <c r="CE571" i="9" s="1"/>
  <c r="AZ582" i="9"/>
  <c r="BZ582" i="9" s="1"/>
  <c r="CA582" i="9" s="1"/>
  <c r="CB582" i="9" s="1" a="1"/>
  <c r="CB582" i="9" s="1"/>
  <c r="BN587" i="9"/>
  <c r="BO587" i="9" s="1"/>
  <c r="BN611" i="9"/>
  <c r="BO611" i="9" s="1"/>
  <c r="BN543" i="9"/>
  <c r="BO543" i="9" s="1"/>
  <c r="BP543" i="9" s="1" a="1"/>
  <c r="BP543" i="9" s="1"/>
  <c r="BZ556" i="9"/>
  <c r="CA556" i="9" s="1"/>
  <c r="CB556" i="9" s="1" a="1"/>
  <c r="CB556" i="9" s="1"/>
  <c r="BF556" i="9"/>
  <c r="BG556" i="9" s="1"/>
  <c r="BH556" i="9" s="1" a="1"/>
  <c r="BH556" i="9" s="1"/>
  <c r="AZ561" i="9"/>
  <c r="CD561" i="9" s="1"/>
  <c r="CE561" i="9" s="1"/>
  <c r="BZ618" i="9"/>
  <c r="CA618" i="9" s="1"/>
  <c r="CB618" i="9" s="1" a="1"/>
  <c r="CB618" i="9" s="1"/>
  <c r="BJ618" i="9"/>
  <c r="BK618" i="9" s="1"/>
  <c r="CL618" i="9"/>
  <c r="CM618" i="9" s="1"/>
  <c r="BF618" i="9"/>
  <c r="BG618" i="9" s="1"/>
  <c r="BH618" i="9" s="1" a="1"/>
  <c r="BH618" i="9" s="1"/>
  <c r="AZ621" i="9"/>
  <c r="CL533" i="9"/>
  <c r="CM533" i="9" s="1"/>
  <c r="BZ580" i="9"/>
  <c r="CA580" i="9" s="1"/>
  <c r="CB580" i="9" s="1" a="1"/>
  <c r="CB580" i="9" s="1"/>
  <c r="AZ642" i="9"/>
  <c r="CH642" i="9" s="1"/>
  <c r="CI642" i="9" s="1"/>
  <c r="AZ650" i="9"/>
  <c r="CD650" i="9" s="1"/>
  <c r="CE650" i="9" s="1"/>
  <c r="CH658" i="9"/>
  <c r="CI658" i="9" s="1"/>
  <c r="BP572" i="9" a="1"/>
  <c r="BP572" i="9" s="1"/>
  <c r="AZ576" i="9"/>
  <c r="BN576" i="9" s="1"/>
  <c r="BO576" i="9" s="1"/>
  <c r="BN651" i="9"/>
  <c r="BO651" i="9" s="1"/>
  <c r="BN602" i="9"/>
  <c r="BO602" i="9" s="1"/>
  <c r="AZ629" i="9"/>
  <c r="BJ629" i="9" s="1"/>
  <c r="BK629" i="9" s="1"/>
  <c r="CD533" i="9"/>
  <c r="CE533" i="9" s="1"/>
  <c r="CD497" i="9"/>
  <c r="CE497" i="9" s="1"/>
  <c r="CL551" i="9"/>
  <c r="CM551" i="9" s="1"/>
  <c r="BF586" i="9"/>
  <c r="BG586" i="9" s="1"/>
  <c r="BJ586" i="9"/>
  <c r="BK586" i="9" s="1"/>
  <c r="BZ586" i="9"/>
  <c r="CA586" i="9" s="1"/>
  <c r="CB586" i="9" s="1" a="1"/>
  <c r="CB586" i="9" s="1"/>
  <c r="CL586" i="9"/>
  <c r="CM586" i="9" s="1"/>
  <c r="BZ611" i="9"/>
  <c r="CA611" i="9" s="1"/>
  <c r="CB611" i="9" s="1" a="1"/>
  <c r="CB611" i="9" s="1"/>
  <c r="CH620" i="9"/>
  <c r="CI620" i="9" s="1"/>
  <c r="BJ630" i="9"/>
  <c r="BK630" i="9" s="1"/>
  <c r="CF687" i="9" a="1"/>
  <c r="CF687" i="9" s="1"/>
  <c r="CJ659" i="9" a="1"/>
  <c r="CJ659" i="9" s="1"/>
  <c r="BF632" i="9"/>
  <c r="BG632" i="9" s="1"/>
  <c r="BL632" i="9" s="1" a="1"/>
  <c r="BL632" i="9" s="1"/>
  <c r="BV641" i="9"/>
  <c r="Q641" i="9" s="1"/>
  <c r="BR659" i="9"/>
  <c r="BS659" i="9" s="1"/>
  <c r="CL669" i="9"/>
  <c r="CM669" i="9" s="1"/>
  <c r="CD567" i="9"/>
  <c r="CE567" i="9" s="1"/>
  <c r="CD636" i="9"/>
  <c r="CE636" i="9" s="1"/>
  <c r="BJ668" i="9"/>
  <c r="BK668" i="9" s="1"/>
  <c r="BF668" i="9"/>
  <c r="BG668" i="9" s="1"/>
  <c r="BH668" i="9" s="1" a="1"/>
  <c r="BH668" i="9" s="1"/>
  <c r="BR668" i="9"/>
  <c r="BS668" i="9" s="1"/>
  <c r="BZ668" i="9"/>
  <c r="CA668" i="9" s="1"/>
  <c r="CB668" i="9" s="1" a="1"/>
  <c r="CB668" i="9" s="1"/>
  <c r="CL668" i="9"/>
  <c r="CM668" i="9" s="1"/>
  <c r="BN717" i="9"/>
  <c r="BO717" i="9" s="1"/>
  <c r="BZ717" i="9"/>
  <c r="CA717" i="9" s="1"/>
  <c r="CB717" i="9" s="1" a="1"/>
  <c r="CB717" i="9" s="1"/>
  <c r="AZ683" i="9"/>
  <c r="BN683" i="9" s="1"/>
  <c r="BO683" i="9" s="1"/>
  <c r="BJ695" i="9"/>
  <c r="BK695" i="9" s="1"/>
  <c r="BF695" i="9"/>
  <c r="BG695" i="9" s="1"/>
  <c r="BH695" i="9" s="1" a="1"/>
  <c r="BH695" i="9" s="1"/>
  <c r="AZ700" i="9"/>
  <c r="CD700" i="9" s="1"/>
  <c r="CE700" i="9" s="1"/>
  <c r="BR706" i="9"/>
  <c r="BS706" i="9" s="1"/>
  <c r="CL636" i="9"/>
  <c r="CM636" i="9" s="1"/>
  <c r="BZ658" i="9"/>
  <c r="CA658" i="9" s="1"/>
  <c r="CB658" i="9" s="1" a="1"/>
  <c r="CB658" i="9" s="1"/>
  <c r="BF658" i="9"/>
  <c r="BG658" i="9" s="1"/>
  <c r="BH658" i="9" s="1" a="1"/>
  <c r="BH658" i="9" s="1"/>
  <c r="BJ658" i="9"/>
  <c r="BK658" i="9" s="1"/>
  <c r="CL658" i="9"/>
  <c r="CM658" i="9" s="1"/>
  <c r="BR517" i="9"/>
  <c r="BS517" i="9" s="1"/>
  <c r="BH570" i="9" a="1"/>
  <c r="BH570" i="9" s="1"/>
  <c r="AZ656" i="9"/>
  <c r="CD656" i="9" s="1"/>
  <c r="CE656" i="9" s="1"/>
  <c r="BF663" i="9"/>
  <c r="BG663" i="9" s="1"/>
  <c r="BH663" i="9" s="1" a="1"/>
  <c r="BH663" i="9" s="1"/>
  <c r="BJ663" i="9"/>
  <c r="BK663" i="9" s="1"/>
  <c r="BR663" i="9"/>
  <c r="BS663" i="9" s="1"/>
  <c r="BZ663" i="9"/>
  <c r="CA663" i="9" s="1"/>
  <c r="CB663" i="9" s="1" a="1"/>
  <c r="CB663" i="9" s="1"/>
  <c r="CL663" i="9"/>
  <c r="CM663" i="9" s="1"/>
  <c r="CH690" i="9"/>
  <c r="CI690" i="9" s="1"/>
  <c r="BP694" i="9" a="1"/>
  <c r="BP694" i="9" s="1"/>
  <c r="BV694" i="9" s="1"/>
  <c r="Q694" i="9" s="1"/>
  <c r="CH730" i="9"/>
  <c r="CI730" i="9" s="1"/>
  <c r="BN701" i="9"/>
  <c r="BO701" i="9" s="1"/>
  <c r="CJ710" i="9" a="1"/>
  <c r="CJ710" i="9" s="1"/>
  <c r="CD705" i="9"/>
  <c r="CE705" i="9" s="1"/>
  <c r="BZ719" i="9"/>
  <c r="CA719" i="9" s="1"/>
  <c r="CH701" i="9"/>
  <c r="CI701" i="9" s="1"/>
  <c r="BZ726" i="9"/>
  <c r="CA726" i="9" s="1"/>
  <c r="CB726" i="9" s="1" a="1"/>
  <c r="CB726" i="9" s="1"/>
  <c r="AZ774" i="9"/>
  <c r="CH774" i="9" s="1"/>
  <c r="CI774" i="9" s="1"/>
  <c r="BF669" i="9"/>
  <c r="BG669" i="9" s="1"/>
  <c r="BH669" i="9" s="1" a="1"/>
  <c r="BH669" i="9" s="1"/>
  <c r="CD695" i="9"/>
  <c r="CE695" i="9" s="1"/>
  <c r="BJ736" i="9"/>
  <c r="BK736" i="9" s="1"/>
  <c r="BR736" i="9"/>
  <c r="BS736" i="9" s="1"/>
  <c r="BZ736" i="9"/>
  <c r="CA736" i="9" s="1"/>
  <c r="CB736" i="9" s="1" a="1"/>
  <c r="CB736" i="9" s="1"/>
  <c r="BF736" i="9"/>
  <c r="BG736" i="9" s="1"/>
  <c r="BH736" i="9" s="1" a="1"/>
  <c r="BH736" i="9" s="1"/>
  <c r="CD736" i="9"/>
  <c r="CE736" i="9" s="1"/>
  <c r="CN752" i="9" a="1"/>
  <c r="CN752" i="9" s="1"/>
  <c r="CO752" i="9" a="1"/>
  <c r="CO752" i="9" s="1"/>
  <c r="CO765" i="9" a="1"/>
  <c r="CO765" i="9" s="1"/>
  <c r="BU797" i="9" a="1"/>
  <c r="BU797" i="9" s="1"/>
  <c r="CF775" i="9" a="1"/>
  <c r="CF775" i="9" s="1"/>
  <c r="BP805" i="9" a="1"/>
  <c r="BP805" i="9" s="1"/>
  <c r="BP830" i="9" a="1"/>
  <c r="BP830" i="9" s="1"/>
  <c r="CO919" i="9" a="1"/>
  <c r="CO919" i="9" s="1"/>
  <c r="CO920" i="9" a="1"/>
  <c r="CO920" i="9" s="1"/>
  <c r="BT944" i="9" a="1"/>
  <c r="BT944" i="9" s="1"/>
  <c r="BU944" i="9" a="1"/>
  <c r="BU944" i="9" s="1"/>
  <c r="BU952" i="9" a="1"/>
  <c r="BU952" i="9" s="1"/>
  <c r="CF847" i="9" a="1"/>
  <c r="CF847" i="9" s="1"/>
  <c r="BU890" i="9" a="1"/>
  <c r="BU890" i="9" s="1"/>
  <c r="BT914" i="9" a="1"/>
  <c r="BT914" i="9" s="1"/>
  <c r="BU914" i="9" a="1"/>
  <c r="BU914" i="9" s="1"/>
  <c r="CO921" i="9" a="1"/>
  <c r="CO921" i="9" s="1"/>
  <c r="CN960" i="9" a="1"/>
  <c r="CN960" i="9" s="1"/>
  <c r="CO960" i="9" a="1"/>
  <c r="CO960" i="9" s="1"/>
  <c r="CN976" i="9" a="1"/>
  <c r="CN976" i="9" s="1"/>
  <c r="CO976" i="9" a="1"/>
  <c r="CO976" i="9" s="1"/>
  <c r="BT980" i="9" a="1"/>
  <c r="BT980" i="9" s="1"/>
  <c r="BU980" i="9" a="1"/>
  <c r="BU980" i="9" s="1"/>
  <c r="CN984" i="9" a="1"/>
  <c r="CN984" i="9" s="1"/>
  <c r="CO984" i="9" a="1"/>
  <c r="CO984" i="9" s="1"/>
  <c r="BT1020" i="9" a="1"/>
  <c r="BT1020" i="9" s="1"/>
  <c r="BU1020" i="9" a="1"/>
  <c r="BU1020" i="9" s="1"/>
  <c r="CJ983" i="9" a="1"/>
  <c r="CJ983" i="9" s="1"/>
  <c r="BL986" i="9" a="1"/>
  <c r="BL986" i="9" s="1"/>
  <c r="BR456" i="9"/>
  <c r="BS456" i="9" s="1"/>
  <c r="CL485" i="9"/>
  <c r="CM485" i="9" s="1"/>
  <c r="CF474" i="9" a="1"/>
  <c r="CF474" i="9" s="1"/>
  <c r="CH469" i="9"/>
  <c r="CI469" i="9" s="1"/>
  <c r="CJ469" i="9" s="1" a="1"/>
  <c r="CJ469" i="9" s="1"/>
  <c r="BZ481" i="9"/>
  <c r="CA481" i="9" s="1"/>
  <c r="CB481" i="9" s="1" a="1"/>
  <c r="CB481" i="9" s="1"/>
  <c r="BT492" i="9" a="1"/>
  <c r="BT492" i="9" s="1"/>
  <c r="CL493" i="9"/>
  <c r="CM493" i="9" s="1"/>
  <c r="CH539" i="9"/>
  <c r="CI539" i="9" s="1"/>
  <c r="CH490" i="9"/>
  <c r="CI490" i="9" s="1"/>
  <c r="CJ490" i="9" s="1" a="1"/>
  <c r="CJ490" i="9" s="1"/>
  <c r="BN511" i="9"/>
  <c r="BO511" i="9" s="1"/>
  <c r="CH505" i="9"/>
  <c r="CI505" i="9" s="1"/>
  <c r="AZ521" i="9"/>
  <c r="CH541" i="9"/>
  <c r="CI541" i="9" s="1"/>
  <c r="BZ541" i="9"/>
  <c r="CA541" i="9" s="1"/>
  <c r="CB541" i="9" s="1" a="1"/>
  <c r="CB541" i="9" s="1"/>
  <c r="CL541" i="9"/>
  <c r="CM541" i="9" s="1"/>
  <c r="CH438" i="9"/>
  <c r="CI438" i="9" s="1"/>
  <c r="CJ438" i="9" s="1" a="1"/>
  <c r="CJ438" i="9" s="1"/>
  <c r="BU484" i="9" a="1"/>
  <c r="BU484" i="9" s="1"/>
  <c r="BV484" i="9" s="1"/>
  <c r="Q484" i="9" s="1"/>
  <c r="AB484" i="9" s="1"/>
  <c r="CN516" i="9" a="1"/>
  <c r="CN516" i="9" s="1"/>
  <c r="AZ532" i="9"/>
  <c r="BJ532" i="9" s="1"/>
  <c r="BK532" i="9" s="1"/>
  <c r="CD539" i="9"/>
  <c r="CE539" i="9" s="1"/>
  <c r="CF539" i="9" s="1" a="1"/>
  <c r="CF539" i="9" s="1"/>
  <c r="BR507" i="9"/>
  <c r="BS507" i="9" s="1"/>
  <c r="BZ429" i="9"/>
  <c r="CA429" i="9" s="1"/>
  <c r="CB429" i="9" s="1" a="1"/>
  <c r="CB429" i="9" s="1"/>
  <c r="BF429" i="9"/>
  <c r="BG429" i="9" s="1"/>
  <c r="BH429" i="9" s="1" a="1"/>
  <c r="BH429" i="9" s="1"/>
  <c r="CL429" i="9"/>
  <c r="CM429" i="9" s="1"/>
  <c r="BN429" i="9"/>
  <c r="BO429" i="9" s="1"/>
  <c r="BF517" i="9"/>
  <c r="BG517" i="9" s="1"/>
  <c r="BH517" i="9" s="1" a="1"/>
  <c r="BH517" i="9" s="1"/>
  <c r="BZ522" i="9"/>
  <c r="CA522" i="9" s="1"/>
  <c r="CB522" i="9" s="1" a="1"/>
  <c r="CB522" i="9" s="1"/>
  <c r="BN551" i="9"/>
  <c r="BO551" i="9" s="1"/>
  <c r="BF555" i="9"/>
  <c r="BG555" i="9" s="1"/>
  <c r="BH555" i="9" s="1" a="1"/>
  <c r="BH555" i="9" s="1"/>
  <c r="BZ555" i="9"/>
  <c r="CA555" i="9" s="1"/>
  <c r="CB555" i="9" s="1" a="1"/>
  <c r="CB555" i="9" s="1"/>
  <c r="BU509" i="9" a="1"/>
  <c r="BU509" i="9" s="1"/>
  <c r="BF525" i="9"/>
  <c r="BG525" i="9" s="1"/>
  <c r="BH525" i="9" s="1" a="1"/>
  <c r="BH525" i="9" s="1"/>
  <c r="BZ530" i="9"/>
  <c r="CA530" i="9" s="1"/>
  <c r="CB530" i="9" s="1" a="1"/>
  <c r="CB530" i="9" s="1"/>
  <c r="BZ535" i="9"/>
  <c r="CA535" i="9" s="1"/>
  <c r="CB535" i="9" s="1" a="1"/>
  <c r="CB535" i="9" s="1"/>
  <c r="BJ566" i="9"/>
  <c r="BK566" i="9" s="1"/>
  <c r="BL566" i="9" s="1" a="1"/>
  <c r="BL566" i="9" s="1"/>
  <c r="CH571" i="9"/>
  <c r="CI571" i="9" s="1"/>
  <c r="CJ571" i="9" s="1" a="1"/>
  <c r="CJ571" i="9" s="1"/>
  <c r="BZ583" i="9"/>
  <c r="CA583" i="9" s="1"/>
  <c r="CB583" i="9" s="1" a="1"/>
  <c r="CB583" i="9" s="1"/>
  <c r="BR583" i="9"/>
  <c r="BS583" i="9" s="1"/>
  <c r="AZ595" i="9"/>
  <c r="CD595" i="9" s="1"/>
  <c r="CE595" i="9" s="1"/>
  <c r="CD602" i="9"/>
  <c r="CE602" i="9" s="1"/>
  <c r="CJ602" i="9" s="1" a="1"/>
  <c r="CJ602" i="9" s="1"/>
  <c r="CD618" i="9"/>
  <c r="CE618" i="9" s="1"/>
  <c r="BZ515" i="9"/>
  <c r="CA515" i="9" s="1"/>
  <c r="CF515" i="9" s="1" a="1"/>
  <c r="CF515" i="9" s="1"/>
  <c r="BF515" i="9"/>
  <c r="BG515" i="9" s="1"/>
  <c r="BL515" i="9" s="1" a="1"/>
  <c r="BL515" i="9" s="1"/>
  <c r="CH551" i="9"/>
  <c r="CI551" i="9" s="1"/>
  <c r="BN627" i="9"/>
  <c r="BO627" i="9" s="1"/>
  <c r="BJ507" i="9"/>
  <c r="BK507" i="9" s="1"/>
  <c r="BL507" i="9" s="1" a="1"/>
  <c r="BL507" i="9" s="1"/>
  <c r="CL556" i="9"/>
  <c r="CM556" i="9" s="1"/>
  <c r="CO500" i="9" a="1"/>
  <c r="CO500" i="9" s="1"/>
  <c r="CP500" i="9" s="1"/>
  <c r="V500" i="9" s="1"/>
  <c r="CD590" i="9"/>
  <c r="CE590" i="9" s="1"/>
  <c r="BT604" i="9" a="1"/>
  <c r="BT604" i="9" s="1"/>
  <c r="CD588" i="9"/>
  <c r="CE588" i="9" s="1"/>
  <c r="CH596" i="9"/>
  <c r="CI596" i="9" s="1"/>
  <c r="CJ596" i="9" s="1" a="1"/>
  <c r="CJ596" i="9" s="1"/>
  <c r="BJ533" i="9"/>
  <c r="BK533" i="9" s="1"/>
  <c r="BL533" i="9" s="1" a="1"/>
  <c r="BL533" i="9" s="1"/>
  <c r="CL567" i="9"/>
  <c r="CM567" i="9" s="1"/>
  <c r="CH650" i="9"/>
  <c r="CI650" i="9" s="1"/>
  <c r="CJ650" i="9" s="1" a="1"/>
  <c r="CJ650" i="9" s="1"/>
  <c r="BZ560" i="9"/>
  <c r="CA560" i="9" s="1"/>
  <c r="CB560" i="9" s="1" a="1"/>
  <c r="CB560" i="9" s="1"/>
  <c r="BF560" i="9"/>
  <c r="BG560" i="9" s="1"/>
  <c r="BH560" i="9" s="1" a="1"/>
  <c r="BH560" i="9" s="1"/>
  <c r="BR560" i="9"/>
  <c r="BS560" i="9" s="1"/>
  <c r="CD584" i="9"/>
  <c r="CE584" i="9" s="1"/>
  <c r="AZ613" i="9"/>
  <c r="BZ613" i="9" s="1"/>
  <c r="CA613" i="9" s="1"/>
  <c r="CB613" i="9" s="1" a="1"/>
  <c r="CB613" i="9" s="1"/>
  <c r="BN632" i="9"/>
  <c r="BO632" i="9" s="1"/>
  <c r="BP632" i="9" s="1" a="1"/>
  <c r="BP632" i="9" s="1"/>
  <c r="CD592" i="9"/>
  <c r="CE592" i="9" s="1"/>
  <c r="BJ615" i="9"/>
  <c r="BK615" i="9" s="1"/>
  <c r="BF615" i="9"/>
  <c r="BG615" i="9" s="1"/>
  <c r="BH615" i="9" s="1" a="1"/>
  <c r="BH615" i="9" s="1"/>
  <c r="CH615" i="9"/>
  <c r="CI615" i="9" s="1"/>
  <c r="CJ615" i="9" s="1" a="1"/>
  <c r="CJ615" i="9" s="1"/>
  <c r="BZ615" i="9"/>
  <c r="CA615" i="9" s="1"/>
  <c r="CB615" i="9" s="1" a="1"/>
  <c r="CB615" i="9" s="1"/>
  <c r="CL615" i="9"/>
  <c r="CM615" i="9" s="1"/>
  <c r="BT665" i="9" a="1"/>
  <c r="BT665" i="9" s="1"/>
  <c r="BR617" i="9"/>
  <c r="BS617" i="9" s="1"/>
  <c r="CL497" i="9"/>
  <c r="CM497" i="9" s="1"/>
  <c r="CD601" i="9"/>
  <c r="CE601" i="9" s="1"/>
  <c r="CF601" i="9" s="1" a="1"/>
  <c r="CF601" i="9" s="1"/>
  <c r="BN625" i="9"/>
  <c r="BO625" i="9" s="1"/>
  <c r="BP625" i="9" s="1" a="1"/>
  <c r="BP625" i="9" s="1"/>
  <c r="BR610" i="9"/>
  <c r="BS610" i="9" s="1"/>
  <c r="BR669" i="9"/>
  <c r="BS669" i="9" s="1"/>
  <c r="BF659" i="9"/>
  <c r="BG659" i="9" s="1"/>
  <c r="BL659" i="9" s="1" a="1"/>
  <c r="BL659" i="9" s="1"/>
  <c r="BR732" i="9"/>
  <c r="BS732" i="9" s="1"/>
  <c r="BN732" i="9"/>
  <c r="BO732" i="9" s="1"/>
  <c r="BZ632" i="9"/>
  <c r="CA632" i="9" s="1"/>
  <c r="CB632" i="9" s="1" a="1"/>
  <c r="CB632" i="9" s="1"/>
  <c r="CF643" i="9" a="1"/>
  <c r="CF643" i="9" s="1"/>
  <c r="BF647" i="9"/>
  <c r="BG647" i="9" s="1"/>
  <c r="BH647" i="9" s="1" a="1"/>
  <c r="BH647" i="9" s="1"/>
  <c r="BJ647" i="9"/>
  <c r="BK647" i="9" s="1"/>
  <c r="CL647" i="9"/>
  <c r="CM647" i="9" s="1"/>
  <c r="BZ647" i="9"/>
  <c r="CA647" i="9" s="1"/>
  <c r="CB647" i="9" s="1" a="1"/>
  <c r="CB647" i="9" s="1"/>
  <c r="CD661" i="9"/>
  <c r="CE661" i="9" s="1"/>
  <c r="CD664" i="9"/>
  <c r="CE664" i="9" s="1"/>
  <c r="CD679" i="9"/>
  <c r="CE679" i="9" s="1"/>
  <c r="BT718" i="9" a="1"/>
  <c r="BT718" i="9" s="1"/>
  <c r="BU718" i="9" a="1"/>
  <c r="BU718" i="9" s="1"/>
  <c r="CD730" i="9"/>
  <c r="CE730" i="9" s="1"/>
  <c r="BF730" i="9"/>
  <c r="BG730" i="9" s="1"/>
  <c r="BH730" i="9" s="1" a="1"/>
  <c r="BH730" i="9" s="1"/>
  <c r="BZ730" i="9"/>
  <c r="CA730" i="9" s="1"/>
  <c r="CB730" i="9" s="1" a="1"/>
  <c r="CB730" i="9" s="1"/>
  <c r="BJ730" i="9"/>
  <c r="BK730" i="9" s="1"/>
  <c r="BJ637" i="9"/>
  <c r="BK637" i="9" s="1"/>
  <c r="BF702" i="9"/>
  <c r="BG702" i="9" s="1"/>
  <c r="BH702" i="9" s="1" a="1"/>
  <c r="BH702" i="9" s="1"/>
  <c r="BF569" i="9"/>
  <c r="BG569" i="9" s="1"/>
  <c r="BH569" i="9" s="1" a="1"/>
  <c r="BH569" i="9" s="1"/>
  <c r="CL637" i="9"/>
  <c r="CM637" i="9" s="1"/>
  <c r="BN710" i="9"/>
  <c r="BO710" i="9" s="1"/>
  <c r="BT710" i="9" s="1" a="1"/>
  <c r="BT710" i="9" s="1"/>
  <c r="CL660" i="9"/>
  <c r="CM660" i="9" s="1"/>
  <c r="AZ692" i="9"/>
  <c r="BF692" i="9" s="1"/>
  <c r="BG692" i="9" s="1"/>
  <c r="BH692" i="9" s="1" a="1"/>
  <c r="BH692" i="9" s="1"/>
  <c r="CH700" i="9"/>
  <c r="CI700" i="9" s="1"/>
  <c r="CJ700" i="9" s="1" a="1"/>
  <c r="CJ700" i="9" s="1"/>
  <c r="BH719" i="9" a="1"/>
  <c r="BH719" i="9" s="1"/>
  <c r="CB719" i="9" a="1"/>
  <c r="CB719" i="9" s="1"/>
  <c r="BR730" i="9"/>
  <c r="BS730" i="9" s="1"/>
  <c r="BJ558" i="9"/>
  <c r="BK558" i="9" s="1"/>
  <c r="AZ600" i="9"/>
  <c r="BR600" i="9" s="1"/>
  <c r="BS600" i="9" s="1"/>
  <c r="BJ636" i="9"/>
  <c r="BK636" i="9" s="1"/>
  <c r="BL636" i="9" s="1" a="1"/>
  <c r="BL636" i="9" s="1"/>
  <c r="AZ682" i="9"/>
  <c r="CH682" i="9" s="1"/>
  <c r="CI682" i="9" s="1"/>
  <c r="BN649" i="9"/>
  <c r="BO649" i="9" s="1"/>
  <c r="BP649" i="9" s="1" a="1"/>
  <c r="BP649" i="9" s="1"/>
  <c r="CD668" i="9"/>
  <c r="CE668" i="9" s="1"/>
  <c r="CF668" i="9" s="1" a="1"/>
  <c r="CF668" i="9" s="1"/>
  <c r="AZ672" i="9"/>
  <c r="BJ672" i="9" s="1"/>
  <c r="BK672" i="9" s="1"/>
  <c r="BN695" i="9"/>
  <c r="BO695" i="9" s="1"/>
  <c r="BP695" i="9" s="1" a="1"/>
  <c r="BP695" i="9" s="1"/>
  <c r="BR647" i="9"/>
  <c r="BS647" i="9" s="1"/>
  <c r="CH704" i="9"/>
  <c r="CI704" i="9" s="1"/>
  <c r="CJ704" i="9" s="1" a="1"/>
  <c r="CJ704" i="9" s="1"/>
  <c r="CH726" i="9"/>
  <c r="CI726" i="9" s="1"/>
  <c r="BZ695" i="9"/>
  <c r="CA695" i="9" s="1"/>
  <c r="CB695" i="9" s="1" a="1"/>
  <c r="CB695" i="9" s="1"/>
  <c r="CD719" i="9"/>
  <c r="CE719" i="9" s="1"/>
  <c r="CF719" i="9" s="1" a="1"/>
  <c r="CF719" i="9" s="1"/>
  <c r="BR701" i="9"/>
  <c r="BS701" i="9" s="1"/>
  <c r="BR708" i="9"/>
  <c r="BS708" i="9" s="1"/>
  <c r="CH719" i="9"/>
  <c r="CI719" i="9" s="1"/>
  <c r="BJ702" i="9"/>
  <c r="BK702" i="9" s="1"/>
  <c r="BL702" i="9" s="1" a="1"/>
  <c r="BL702" i="9" s="1"/>
  <c r="BN736" i="9"/>
  <c r="BO736" i="9" s="1"/>
  <c r="BP736" i="9" s="1" a="1"/>
  <c r="BP736" i="9" s="1"/>
  <c r="BR751" i="9"/>
  <c r="BS751" i="9" s="1"/>
  <c r="BZ751" i="9"/>
  <c r="CA751" i="9" s="1"/>
  <c r="CB751" i="9" s="1" a="1"/>
  <c r="CB751" i="9" s="1"/>
  <c r="BF751" i="9"/>
  <c r="BG751" i="9" s="1"/>
  <c r="BH751" i="9" s="1" a="1"/>
  <c r="BH751" i="9" s="1"/>
  <c r="CD751" i="9"/>
  <c r="CE751" i="9" s="1"/>
  <c r="CH751" i="9"/>
  <c r="CI751" i="9" s="1"/>
  <c r="BN751" i="9"/>
  <c r="BO751" i="9" s="1"/>
  <c r="BJ751" i="9"/>
  <c r="BK751" i="9" s="1"/>
  <c r="CL751" i="9"/>
  <c r="CM751" i="9" s="1"/>
  <c r="CL694" i="9"/>
  <c r="CM694" i="9" s="1"/>
  <c r="CD701" i="9"/>
  <c r="CE701" i="9" s="1"/>
  <c r="BR726" i="9"/>
  <c r="BS726" i="9" s="1"/>
  <c r="BJ732" i="9"/>
  <c r="BK732" i="9" s="1"/>
  <c r="BL732" i="9" s="1" a="1"/>
  <c r="BL732" i="9" s="1"/>
  <c r="BF734" i="9"/>
  <c r="BG734" i="9" s="1"/>
  <c r="BH734" i="9" s="1" a="1"/>
  <c r="BH734" i="9" s="1"/>
  <c r="CD734" i="9"/>
  <c r="CE734" i="9" s="1"/>
  <c r="CF734" i="9" s="1" a="1"/>
  <c r="CF734" i="9" s="1"/>
  <c r="BN734" i="9"/>
  <c r="BO734" i="9" s="1"/>
  <c r="BJ734" i="9"/>
  <c r="BK734" i="9" s="1"/>
  <c r="BR734" i="9"/>
  <c r="BS734" i="9" s="1"/>
  <c r="CO748" i="9" a="1"/>
  <c r="CO748" i="9" s="1"/>
  <c r="CN748" i="9" a="1"/>
  <c r="CN748" i="9" s="1"/>
  <c r="CH802" i="9"/>
  <c r="CI802" i="9" s="1"/>
  <c r="BF802" i="9"/>
  <c r="BG802" i="9" s="1"/>
  <c r="BH802" i="9" s="1" a="1"/>
  <c r="BH802" i="9" s="1"/>
  <c r="CD802" i="9"/>
  <c r="CE802" i="9" s="1"/>
  <c r="BN802" i="9"/>
  <c r="BO802" i="9" s="1"/>
  <c r="BR802" i="9"/>
  <c r="BS802" i="9" s="1"/>
  <c r="BJ802" i="9"/>
  <c r="BK802" i="9" s="1"/>
  <c r="CL802" i="9"/>
  <c r="CM802" i="9" s="1"/>
  <c r="BZ802" i="9"/>
  <c r="CA802" i="9" s="1"/>
  <c r="CB802" i="9" s="1" a="1"/>
  <c r="CB802" i="9" s="1"/>
  <c r="CJ760" i="9" a="1"/>
  <c r="CJ760" i="9" s="1"/>
  <c r="CO866" i="9" a="1"/>
  <c r="CO866" i="9" s="1"/>
  <c r="BT839" i="9" a="1"/>
  <c r="BT839" i="9" s="1"/>
  <c r="BU839" i="9" a="1"/>
  <c r="BU839" i="9" s="1"/>
  <c r="BU871" i="9" a="1"/>
  <c r="BU871" i="9" s="1"/>
  <c r="BT871" i="9" a="1"/>
  <c r="BT871" i="9" s="1"/>
  <c r="CO943" i="9" a="1"/>
  <c r="CO943" i="9" s="1"/>
  <c r="CN943" i="9" a="1"/>
  <c r="CN943" i="9" s="1"/>
  <c r="CJ830" i="9" a="1"/>
  <c r="CJ830" i="9" s="1"/>
  <c r="BT929" i="9" a="1"/>
  <c r="BT929" i="9" s="1"/>
  <c r="BU929" i="9" a="1"/>
  <c r="BU929" i="9" s="1"/>
  <c r="CJ976" i="9" a="1"/>
  <c r="CJ976" i="9" s="1"/>
  <c r="CO903" i="9" a="1"/>
  <c r="CO903" i="9" s="1"/>
  <c r="CN903" i="9" a="1"/>
  <c r="CN903" i="9" s="1"/>
  <c r="CF903" i="9" a="1"/>
  <c r="CF903" i="9" s="1"/>
  <c r="CP903" i="9" s="1"/>
  <c r="V903" i="9" s="1"/>
  <c r="CF919" i="9" a="1"/>
  <c r="CF919" i="9" s="1"/>
  <c r="CN980" i="9" a="1"/>
  <c r="CN980" i="9" s="1"/>
  <c r="CO980" i="9" a="1"/>
  <c r="CO980" i="9" s="1"/>
  <c r="CN1020" i="9" a="1"/>
  <c r="CN1020" i="9" s="1"/>
  <c r="CO1020" i="9" a="1"/>
  <c r="CO1020" i="9" s="1"/>
  <c r="BL1020" i="9" a="1"/>
  <c r="BL1020" i="9" s="1"/>
  <c r="CD473" i="9"/>
  <c r="CE473" i="9" s="1"/>
  <c r="CL495" i="9"/>
  <c r="CM495" i="9" s="1"/>
  <c r="AZ434" i="9"/>
  <c r="BJ434" i="9" s="1"/>
  <c r="BK434" i="9" s="1"/>
  <c r="BN481" i="9"/>
  <c r="BO481" i="9" s="1"/>
  <c r="BP481" i="9" s="1" a="1"/>
  <c r="BP481" i="9" s="1"/>
  <c r="CL467" i="9"/>
  <c r="CM467" i="9" s="1"/>
  <c r="BR472" i="9"/>
  <c r="BS472" i="9" s="1"/>
  <c r="CD481" i="9"/>
  <c r="CE481" i="9" s="1"/>
  <c r="CF481" i="9" s="1" a="1"/>
  <c r="CF481" i="9" s="1"/>
  <c r="BL492" i="9" a="1"/>
  <c r="BL492" i="9" s="1"/>
  <c r="CD511" i="9"/>
  <c r="CE511" i="9" s="1"/>
  <c r="CD493" i="9"/>
  <c r="CE493" i="9" s="1"/>
  <c r="CD499" i="9"/>
  <c r="CE499" i="9" s="1"/>
  <c r="AZ486" i="9"/>
  <c r="BF486" i="9" s="1"/>
  <c r="BG486" i="9" s="1"/>
  <c r="BH486" i="9" s="1" a="1"/>
  <c r="BH486" i="9" s="1"/>
  <c r="BF512" i="9"/>
  <c r="BG512" i="9" s="1"/>
  <c r="BH512" i="9" s="1" a="1"/>
  <c r="BH512" i="9" s="1"/>
  <c r="BZ512" i="9"/>
  <c r="CA512" i="9" s="1"/>
  <c r="CB512" i="9" s="1" a="1"/>
  <c r="CB512" i="9" s="1"/>
  <c r="BN539" i="9"/>
  <c r="BO539" i="9" s="1"/>
  <c r="BP539" i="9" s="1" a="1"/>
  <c r="BP539" i="9" s="1"/>
  <c r="AZ464" i="9"/>
  <c r="CD464" i="9" s="1"/>
  <c r="CE464" i="9" s="1"/>
  <c r="BJ496" i="9"/>
  <c r="BK496" i="9" s="1"/>
  <c r="BL496" i="9" s="1" a="1"/>
  <c r="BL496" i="9" s="1"/>
  <c r="BN502" i="9"/>
  <c r="BO502" i="9" s="1"/>
  <c r="CH511" i="9"/>
  <c r="CI511" i="9" s="1"/>
  <c r="CH521" i="9"/>
  <c r="CI521" i="9" s="1"/>
  <c r="AZ491" i="9"/>
  <c r="BF491" i="9" s="1"/>
  <c r="BG491" i="9" s="1"/>
  <c r="BH491" i="9" s="1" a="1"/>
  <c r="BH491" i="9" s="1"/>
  <c r="BF501" i="9"/>
  <c r="BG501" i="9" s="1"/>
  <c r="BH501" i="9" s="1" a="1"/>
  <c r="BH501" i="9" s="1"/>
  <c r="BZ501" i="9"/>
  <c r="CA501" i="9" s="1"/>
  <c r="CB501" i="9" s="1" a="1"/>
  <c r="CB501" i="9" s="1"/>
  <c r="BR510" i="9"/>
  <c r="BS510" i="9" s="1"/>
  <c r="CB515" i="9" a="1"/>
  <c r="CB515" i="9" s="1"/>
  <c r="BU514" i="9" a="1"/>
  <c r="BU514" i="9" s="1"/>
  <c r="CL517" i="9"/>
  <c r="CM517" i="9" s="1"/>
  <c r="AZ518" i="9"/>
  <c r="BN518" i="9" s="1"/>
  <c r="BO518" i="9" s="1"/>
  <c r="BZ544" i="9"/>
  <c r="CA544" i="9" s="1"/>
  <c r="CB544" i="9" s="1" a="1"/>
  <c r="CB544" i="9" s="1"/>
  <c r="CL544" i="9"/>
  <c r="CM544" i="9" s="1"/>
  <c r="BF544" i="9"/>
  <c r="BG544" i="9" s="1"/>
  <c r="BH544" i="9" s="1" a="1"/>
  <c r="BH544" i="9" s="1"/>
  <c r="BJ544" i="9"/>
  <c r="BK544" i="9" s="1"/>
  <c r="CH528" i="9"/>
  <c r="CI528" i="9" s="1"/>
  <c r="BJ536" i="9"/>
  <c r="BK536" i="9" s="1"/>
  <c r="BZ536" i="9"/>
  <c r="CA536" i="9" s="1"/>
  <c r="CB536" i="9" s="1" a="1"/>
  <c r="CB536" i="9" s="1"/>
  <c r="CL536" i="9"/>
  <c r="CM536" i="9" s="1"/>
  <c r="BF536" i="9"/>
  <c r="BG536" i="9" s="1"/>
  <c r="BH536" i="9" s="1" a="1"/>
  <c r="BH536" i="9" s="1"/>
  <c r="CL539" i="9"/>
  <c r="CM539" i="9" s="1"/>
  <c r="CL555" i="9"/>
  <c r="CM555" i="9" s="1"/>
  <c r="AZ597" i="9"/>
  <c r="CL597" i="9" s="1"/>
  <c r="CM597" i="9" s="1"/>
  <c r="CL531" i="9"/>
  <c r="CM531" i="9" s="1"/>
  <c r="CL525" i="9"/>
  <c r="CM525" i="9" s="1"/>
  <c r="AZ526" i="9"/>
  <c r="BF526" i="9" s="1"/>
  <c r="BG526" i="9" s="1"/>
  <c r="BH526" i="9" s="1" a="1"/>
  <c r="BH526" i="9" s="1"/>
  <c r="BR535" i="9"/>
  <c r="BS535" i="9" s="1"/>
  <c r="BR566" i="9"/>
  <c r="BS566" i="9" s="1"/>
  <c r="CL572" i="9"/>
  <c r="CM572" i="9" s="1"/>
  <c r="AZ603" i="9"/>
  <c r="CL603" i="9" s="1"/>
  <c r="CM603" i="9" s="1"/>
  <c r="AZ619" i="9"/>
  <c r="BZ619" i="9" s="1"/>
  <c r="CA619" i="9" s="1"/>
  <c r="CB619" i="9" s="1" a="1"/>
  <c r="CB619" i="9" s="1"/>
  <c r="CD519" i="9"/>
  <c r="CE519" i="9" s="1"/>
  <c r="CF519" i="9" s="1" a="1"/>
  <c r="CF519" i="9" s="1"/>
  <c r="BN525" i="9"/>
  <c r="BO525" i="9" s="1"/>
  <c r="BJ508" i="9"/>
  <c r="BK508" i="9" s="1"/>
  <c r="BL508" i="9" s="1" a="1"/>
  <c r="BL508" i="9" s="1"/>
  <c r="BF514" i="9"/>
  <c r="BG514" i="9" s="1"/>
  <c r="BH514" i="9" s="1" a="1"/>
  <c r="BH514" i="9" s="1"/>
  <c r="BR561" i="9"/>
  <c r="BS561" i="9" s="1"/>
  <c r="BZ546" i="9"/>
  <c r="CA546" i="9" s="1"/>
  <c r="CB546" i="9" s="1" a="1"/>
  <c r="CB546" i="9" s="1"/>
  <c r="BZ621" i="9"/>
  <c r="CA621" i="9" s="1"/>
  <c r="CB621" i="9" s="1" a="1"/>
  <c r="CB621" i="9" s="1"/>
  <c r="BR629" i="9"/>
  <c r="BS629" i="9" s="1"/>
  <c r="CD541" i="9"/>
  <c r="CE541" i="9" s="1"/>
  <c r="CF541" i="9" s="1" a="1"/>
  <c r="CF541" i="9" s="1"/>
  <c r="CO558" i="9" a="1"/>
  <c r="CO558" i="9" s="1"/>
  <c r="BJ567" i="9"/>
  <c r="BK567" i="9" s="1"/>
  <c r="BL567" i="9" s="1" a="1"/>
  <c r="BL567" i="9" s="1"/>
  <c r="BV572" i="9"/>
  <c r="Q572" i="9" s="1"/>
  <c r="CD583" i="9"/>
  <c r="CE583" i="9" s="1"/>
  <c r="CF583" i="9" s="1" a="1"/>
  <c r="CF583" i="9" s="1"/>
  <c r="BH586" i="9" a="1"/>
  <c r="BH586" i="9" s="1"/>
  <c r="BZ591" i="9"/>
  <c r="CA591" i="9" s="1"/>
  <c r="CB591" i="9" s="1" a="1"/>
  <c r="CB591" i="9" s="1"/>
  <c r="BF644" i="9"/>
  <c r="BG644" i="9" s="1"/>
  <c r="BH644" i="9" s="1" a="1"/>
  <c r="BH644" i="9" s="1"/>
  <c r="BZ644" i="9"/>
  <c r="CA644" i="9" s="1"/>
  <c r="CB644" i="9" s="1" a="1"/>
  <c r="CB644" i="9" s="1"/>
  <c r="BR652" i="9"/>
  <c r="BS652" i="9" s="1"/>
  <c r="BF652" i="9"/>
  <c r="BG652" i="9" s="1"/>
  <c r="BH652" i="9" s="1" a="1"/>
  <c r="BH652" i="9" s="1"/>
  <c r="BZ652" i="9"/>
  <c r="CA652" i="9" s="1"/>
  <c r="CB652" i="9" s="1" a="1"/>
  <c r="CB652" i="9" s="1"/>
  <c r="CO659" i="9" a="1"/>
  <c r="CO659" i="9" s="1"/>
  <c r="BN586" i="9"/>
  <c r="BO586" i="9" s="1"/>
  <c r="BP586" i="9" s="1" a="1"/>
  <c r="BP586" i="9" s="1"/>
  <c r="BZ626" i="9"/>
  <c r="CA626" i="9" s="1"/>
  <c r="CB626" i="9" s="1" a="1"/>
  <c r="CB626" i="9" s="1"/>
  <c r="BF626" i="9"/>
  <c r="BG626" i="9" s="1"/>
  <c r="BH626" i="9" s="1" a="1"/>
  <c r="BH626" i="9" s="1"/>
  <c r="BJ626" i="9"/>
  <c r="BK626" i="9" s="1"/>
  <c r="CL626" i="9"/>
  <c r="CM626" i="9" s="1"/>
  <c r="CN643" i="9" a="1"/>
  <c r="CN643" i="9" s="1"/>
  <c r="BZ564" i="9"/>
  <c r="CA564" i="9" s="1"/>
  <c r="CB564" i="9" s="1" a="1"/>
  <c r="CB564" i="9" s="1"/>
  <c r="BF564" i="9"/>
  <c r="BG564" i="9" s="1"/>
  <c r="BH564" i="9" s="1" a="1"/>
  <c r="BH564" i="9" s="1"/>
  <c r="BN564" i="9"/>
  <c r="BO564" i="9" s="1"/>
  <c r="BP564" i="9" s="1" a="1"/>
  <c r="BP564" i="9" s="1"/>
  <c r="CD604" i="9"/>
  <c r="CE604" i="9" s="1"/>
  <c r="CF604" i="9" s="1" a="1"/>
  <c r="CF604" i="9" s="1"/>
  <c r="BJ617" i="9"/>
  <c r="BK617" i="9" s="1"/>
  <c r="BL617" i="9" s="1" a="1"/>
  <c r="BL617" i="9" s="1"/>
  <c r="CD577" i="9"/>
  <c r="CE577" i="9" s="1"/>
  <c r="CF577" i="9" s="1" a="1"/>
  <c r="CF577" i="9" s="1"/>
  <c r="BZ587" i="9"/>
  <c r="CA587" i="9" s="1"/>
  <c r="CB587" i="9" s="1" a="1"/>
  <c r="CB587" i="9" s="1"/>
  <c r="AZ605" i="9"/>
  <c r="CD605" i="9" s="1"/>
  <c r="CE605" i="9" s="1"/>
  <c r="BR615" i="9"/>
  <c r="BS615" i="9" s="1"/>
  <c r="BZ650" i="9"/>
  <c r="CA650" i="9" s="1"/>
  <c r="CB650" i="9" s="1" a="1"/>
  <c r="CB650" i="9" s="1"/>
  <c r="BF650" i="9"/>
  <c r="BG650" i="9" s="1"/>
  <c r="BH650" i="9" s="1" a="1"/>
  <c r="BH650" i="9" s="1"/>
  <c r="BJ650" i="9"/>
  <c r="BK650" i="9" s="1"/>
  <c r="CL650" i="9"/>
  <c r="CM650" i="9" s="1"/>
  <c r="CJ667" i="9" a="1"/>
  <c r="CJ667" i="9" s="1"/>
  <c r="CJ687" i="9" a="1"/>
  <c r="CJ687" i="9" s="1"/>
  <c r="BN630" i="9"/>
  <c r="BO630" i="9" s="1"/>
  <c r="BP630" i="9" s="1" a="1"/>
  <c r="BP630" i="9" s="1"/>
  <c r="CH617" i="9"/>
  <c r="CI617" i="9" s="1"/>
  <c r="CJ617" i="9" s="1" a="1"/>
  <c r="CJ617" i="9" s="1"/>
  <c r="CD632" i="9"/>
  <c r="CE632" i="9" s="1"/>
  <c r="AZ640" i="9"/>
  <c r="BN640" i="9" s="1"/>
  <c r="BO640" i="9" s="1"/>
  <c r="BZ661" i="9"/>
  <c r="CA661" i="9" s="1"/>
  <c r="CB661" i="9" s="1" a="1"/>
  <c r="CB661" i="9" s="1"/>
  <c r="BF661" i="9"/>
  <c r="BG661" i="9" s="1"/>
  <c r="BH661" i="9" s="1" a="1"/>
  <c r="BH661" i="9" s="1"/>
  <c r="BJ661" i="9"/>
  <c r="BK661" i="9" s="1"/>
  <c r="BR661" i="9"/>
  <c r="BS661" i="9" s="1"/>
  <c r="BJ665" i="9"/>
  <c r="BK665" i="9" s="1"/>
  <c r="BL665" i="9" s="1" a="1"/>
  <c r="BL665" i="9" s="1"/>
  <c r="BN679" i="9"/>
  <c r="BO679" i="9" s="1"/>
  <c r="BT679" i="9" s="1" a="1"/>
  <c r="BT679" i="9" s="1"/>
  <c r="CL692" i="9"/>
  <c r="CM692" i="9" s="1"/>
  <c r="AZ699" i="9"/>
  <c r="BF699" i="9" s="1"/>
  <c r="BG699" i="9" s="1"/>
  <c r="BH699" i="9" s="1" a="1"/>
  <c r="BH699" i="9" s="1"/>
  <c r="CH601" i="9"/>
  <c r="CI601" i="9" s="1"/>
  <c r="CJ601" i="9" s="1" a="1"/>
  <c r="CJ601" i="9" s="1"/>
  <c r="BF639" i="9"/>
  <c r="BG639" i="9" s="1"/>
  <c r="BH639" i="9" s="1" a="1"/>
  <c r="BH639" i="9" s="1"/>
  <c r="BJ639" i="9"/>
  <c r="BK639" i="9" s="1"/>
  <c r="CL639" i="9"/>
  <c r="CM639" i="9" s="1"/>
  <c r="BZ639" i="9"/>
  <c r="CA639" i="9" s="1"/>
  <c r="CB639" i="9" s="1" a="1"/>
  <c r="CB639" i="9" s="1"/>
  <c r="CD669" i="9"/>
  <c r="CE669" i="9" s="1"/>
  <c r="CF669" i="9" s="1" a="1"/>
  <c r="CF669" i="9" s="1"/>
  <c r="CD676" i="9"/>
  <c r="CE676" i="9" s="1"/>
  <c r="CJ676" i="9" s="1" a="1"/>
  <c r="CJ676" i="9" s="1"/>
  <c r="CD693" i="9"/>
  <c r="CE693" i="9" s="1"/>
  <c r="BF693" i="9"/>
  <c r="BG693" i="9" s="1"/>
  <c r="BH693" i="9" s="1" a="1"/>
  <c r="BH693" i="9" s="1"/>
  <c r="CH693" i="9"/>
  <c r="CI693" i="9" s="1"/>
  <c r="CL693" i="9"/>
  <c r="CM693" i="9" s="1"/>
  <c r="BN693" i="9"/>
  <c r="BO693" i="9" s="1"/>
  <c r="BP693" i="9" s="1" a="1"/>
  <c r="BP693" i="9" s="1"/>
  <c r="BZ693" i="9"/>
  <c r="CA693" i="9" s="1"/>
  <c r="CB693" i="9" s="1" a="1"/>
  <c r="CB693" i="9" s="1"/>
  <c r="BR693" i="9"/>
  <c r="BS693" i="9" s="1"/>
  <c r="CL706" i="9"/>
  <c r="CM706" i="9" s="1"/>
  <c r="AZ628" i="9"/>
  <c r="BJ628" i="9" s="1"/>
  <c r="BK628" i="9" s="1"/>
  <c r="BR635" i="9"/>
  <c r="BS635" i="9" s="1"/>
  <c r="CL652" i="9"/>
  <c r="CM652" i="9" s="1"/>
  <c r="BJ660" i="9"/>
  <c r="BK660" i="9" s="1"/>
  <c r="BN677" i="9"/>
  <c r="BO677" i="9" s="1"/>
  <c r="BN685" i="9"/>
  <c r="BO685" i="9" s="1"/>
  <c r="BN689" i="9"/>
  <c r="BO689" i="9" s="1"/>
  <c r="CH692" i="9"/>
  <c r="CI692" i="9" s="1"/>
  <c r="BF558" i="9"/>
  <c r="BG558" i="9" s="1"/>
  <c r="BH558" i="9" s="1" a="1"/>
  <c r="BH558" i="9" s="1"/>
  <c r="CD637" i="9"/>
  <c r="CE637" i="9" s="1"/>
  <c r="BJ651" i="9"/>
  <c r="BK651" i="9" s="1"/>
  <c r="BR632" i="9"/>
  <c r="BS632" i="9" s="1"/>
  <c r="BR650" i="9"/>
  <c r="BS650" i="9" s="1"/>
  <c r="BN652" i="9"/>
  <c r="BO652" i="9" s="1"/>
  <c r="CD666" i="9"/>
  <c r="CE666" i="9" s="1"/>
  <c r="CL691" i="9"/>
  <c r="CM691" i="9" s="1"/>
  <c r="BJ697" i="9"/>
  <c r="BK697" i="9" s="1"/>
  <c r="BL697" i="9" s="1" a="1"/>
  <c r="BL697" i="9" s="1"/>
  <c r="BR697" i="9"/>
  <c r="BS697" i="9" s="1"/>
  <c r="BZ697" i="9"/>
  <c r="CA697" i="9" s="1"/>
  <c r="CB697" i="9" s="1" a="1"/>
  <c r="CB697" i="9" s="1"/>
  <c r="BF697" i="9"/>
  <c r="BG697" i="9" s="1"/>
  <c r="BH697" i="9" s="1" a="1"/>
  <c r="BH697" i="9" s="1"/>
  <c r="CH697" i="9"/>
  <c r="CI697" i="9" s="1"/>
  <c r="BN697" i="9"/>
  <c r="BO697" i="9" s="1"/>
  <c r="CD697" i="9"/>
  <c r="CE697" i="9" s="1"/>
  <c r="BJ713" i="9"/>
  <c r="BK713" i="9" s="1"/>
  <c r="CL713" i="9"/>
  <c r="CM713" i="9" s="1"/>
  <c r="BR713" i="9"/>
  <c r="BS713" i="9" s="1"/>
  <c r="BZ713" i="9"/>
  <c r="CA713" i="9" s="1"/>
  <c r="CB713" i="9" s="1" a="1"/>
  <c r="CB713" i="9" s="1"/>
  <c r="BF713" i="9"/>
  <c r="BG713" i="9" s="1"/>
  <c r="BH713" i="9" s="1" a="1"/>
  <c r="BH713" i="9" s="1"/>
  <c r="CH713" i="9"/>
  <c r="CI713" i="9" s="1"/>
  <c r="CJ713" i="9" s="1" a="1"/>
  <c r="CJ713" i="9" s="1"/>
  <c r="BN713" i="9"/>
  <c r="BO713" i="9" s="1"/>
  <c r="AZ722" i="9"/>
  <c r="CL722" i="9" s="1"/>
  <c r="CM722" i="9" s="1"/>
  <c r="CL697" i="9"/>
  <c r="CM697" i="9" s="1"/>
  <c r="BF727" i="9"/>
  <c r="BG727" i="9" s="1"/>
  <c r="BL727" i="9" s="1" a="1"/>
  <c r="BL727" i="9" s="1"/>
  <c r="BJ696" i="9"/>
  <c r="BK696" i="9" s="1"/>
  <c r="CL704" i="9"/>
  <c r="CM704" i="9" s="1"/>
  <c r="BR644" i="9"/>
  <c r="BS644" i="9" s="1"/>
  <c r="BJ709" i="9"/>
  <c r="BK709" i="9" s="1"/>
  <c r="BL709" i="9" s="1" a="1"/>
  <c r="BL709" i="9" s="1"/>
  <c r="CH721" i="9"/>
  <c r="CI721" i="9" s="1"/>
  <c r="CJ752" i="9" a="1"/>
  <c r="CJ752" i="9" s="1"/>
  <c r="BL711" i="9" a="1"/>
  <c r="BL711" i="9" s="1"/>
  <c r="BV711" i="9" s="1"/>
  <c r="Q711" i="9" s="1"/>
  <c r="BR720" i="9"/>
  <c r="BS720" i="9" s="1"/>
  <c r="BR727" i="9"/>
  <c r="BS727" i="9" s="1"/>
  <c r="BN757" i="9"/>
  <c r="BO757" i="9" s="1"/>
  <c r="BF757" i="9"/>
  <c r="BG757" i="9" s="1"/>
  <c r="BH757" i="9" s="1" a="1"/>
  <c r="BH757" i="9" s="1"/>
  <c r="CH757" i="9"/>
  <c r="CI757" i="9" s="1"/>
  <c r="BJ757" i="9"/>
  <c r="BK757" i="9" s="1"/>
  <c r="BJ765" i="9"/>
  <c r="BK765" i="9" s="1"/>
  <c r="BN765" i="9"/>
  <c r="BO765" i="9" s="1"/>
  <c r="BF765" i="9"/>
  <c r="BG765" i="9" s="1"/>
  <c r="BH765" i="9" s="1" a="1"/>
  <c r="BH765" i="9" s="1"/>
  <c r="BN702" i="9"/>
  <c r="BO702" i="9" s="1"/>
  <c r="CF703" i="9" a="1"/>
  <c r="CF703" i="9" s="1"/>
  <c r="CL717" i="9"/>
  <c r="CM717" i="9" s="1"/>
  <c r="BZ749" i="9"/>
  <c r="CA749" i="9" s="1"/>
  <c r="CB749" i="9" s="1" a="1"/>
  <c r="CB749" i="9" s="1"/>
  <c r="BF749" i="9"/>
  <c r="BG749" i="9" s="1"/>
  <c r="BH749" i="9" s="1" a="1"/>
  <c r="BH749" i="9" s="1"/>
  <c r="BJ749" i="9"/>
  <c r="BK749" i="9" s="1"/>
  <c r="CH749" i="9"/>
  <c r="CI749" i="9" s="1"/>
  <c r="CJ749" i="9" s="1" a="1"/>
  <c r="CJ749" i="9" s="1"/>
  <c r="BN749" i="9"/>
  <c r="BO749" i="9" s="1"/>
  <c r="CL749" i="9"/>
  <c r="CM749" i="9" s="1"/>
  <c r="AZ766" i="9"/>
  <c r="CH766" i="9" s="1"/>
  <c r="CI766" i="9" s="1"/>
  <c r="CD786" i="9"/>
  <c r="CE786" i="9" s="1"/>
  <c r="BF786" i="9"/>
  <c r="BG786" i="9" s="1"/>
  <c r="BH786" i="9" s="1" a="1"/>
  <c r="BH786" i="9" s="1"/>
  <c r="CH786" i="9"/>
  <c r="CI786" i="9" s="1"/>
  <c r="BN786" i="9"/>
  <c r="BO786" i="9" s="1"/>
  <c r="BJ786" i="9"/>
  <c r="BK786" i="9" s="1"/>
  <c r="CL786" i="9"/>
  <c r="CM786" i="9" s="1"/>
  <c r="BR786" i="9"/>
  <c r="BS786" i="9" s="1"/>
  <c r="BZ786" i="9"/>
  <c r="CA786" i="9" s="1"/>
  <c r="CB786" i="9" s="1" a="1"/>
  <c r="CB786" i="9" s="1"/>
  <c r="BR704" i="9"/>
  <c r="BS704" i="9" s="1"/>
  <c r="BU748" i="9" a="1"/>
  <c r="BU748" i="9" s="1"/>
  <c r="BT748" i="9" a="1"/>
  <c r="BT748" i="9" s="1"/>
  <c r="CN703" i="9" a="1"/>
  <c r="CN703" i="9" s="1"/>
  <c r="BV759" i="9"/>
  <c r="Q759" i="9" s="1"/>
  <c r="BZ781" i="9"/>
  <c r="CA781" i="9" s="1"/>
  <c r="CB781" i="9" s="1" a="1"/>
  <c r="CB781" i="9" s="1"/>
  <c r="BT789" i="9" a="1"/>
  <c r="BT789" i="9" s="1"/>
  <c r="BU789" i="9" a="1"/>
  <c r="BU789" i="9" s="1"/>
  <c r="BL797" i="9" a="1"/>
  <c r="BL797" i="9" s="1"/>
  <c r="BU818" i="9" a="1"/>
  <c r="BU818" i="9" s="1"/>
  <c r="CO840" i="9" a="1"/>
  <c r="CO840" i="9" s="1"/>
  <c r="CO861" i="9" a="1"/>
  <c r="CO861" i="9" s="1"/>
  <c r="BU887" i="9" a="1"/>
  <c r="BU887" i="9" s="1"/>
  <c r="BT887" i="9" a="1"/>
  <c r="BT887" i="9" s="1"/>
  <c r="BP896" i="9" a="1"/>
  <c r="BP896" i="9" s="1"/>
  <c r="CF830" i="9" a="1"/>
  <c r="CF830" i="9" s="1"/>
  <c r="CO936" i="9" a="1"/>
  <c r="CO936" i="9" s="1"/>
  <c r="CO952" i="9" a="1"/>
  <c r="CO952" i="9" s="1"/>
  <c r="BT900" i="9" a="1"/>
  <c r="BT900" i="9" s="1"/>
  <c r="BU900" i="9" a="1"/>
  <c r="BU900" i="9" s="1"/>
  <c r="CO945" i="9" a="1"/>
  <c r="CO945" i="9" s="1"/>
  <c r="CO830" i="9" a="1"/>
  <c r="CO830" i="9" s="1"/>
  <c r="CN830" i="9" a="1"/>
  <c r="CN830" i="9" s="1"/>
  <c r="CO929" i="9" a="1"/>
  <c r="CO929" i="9" s="1"/>
  <c r="CO905" i="9" a="1"/>
  <c r="CO905" i="9" s="1"/>
  <c r="BU903" i="9" a="1"/>
  <c r="BU903" i="9" s="1"/>
  <c r="BT903" i="9" a="1"/>
  <c r="BT903" i="9" s="1"/>
  <c r="BU943" i="9" a="1"/>
  <c r="BU943" i="9" s="1"/>
  <c r="BT943" i="9" a="1"/>
  <c r="BT943" i="9" s="1"/>
  <c r="BU1004" i="9" a="1"/>
  <c r="BU1004" i="9" s="1"/>
  <c r="BT1004" i="9" a="1"/>
  <c r="BT1004" i="9" s="1"/>
  <c r="BU1017" i="9" a="1"/>
  <c r="BU1017" i="9" s="1"/>
  <c r="BT1017" i="9" a="1"/>
  <c r="BT1017" i="9" s="1"/>
  <c r="CH448" i="9"/>
  <c r="CI448" i="9" s="1"/>
  <c r="AZ451" i="9"/>
  <c r="BJ451" i="9" s="1"/>
  <c r="BK451" i="9" s="1"/>
  <c r="CH473" i="9"/>
  <c r="CI473" i="9" s="1"/>
  <c r="CJ473" i="9" s="1" a="1"/>
  <c r="CJ473" i="9" s="1"/>
  <c r="CL479" i="9"/>
  <c r="CM479" i="9" s="1"/>
  <c r="BF434" i="9"/>
  <c r="BG434" i="9" s="1"/>
  <c r="BH434" i="9" s="1" a="1"/>
  <c r="BH434" i="9" s="1"/>
  <c r="BZ434" i="9"/>
  <c r="CA434" i="9" s="1"/>
  <c r="CB434" i="9" s="1" a="1"/>
  <c r="CB434" i="9" s="1"/>
  <c r="BR435" i="9"/>
  <c r="BS435" i="9" s="1"/>
  <c r="BN489" i="9"/>
  <c r="BO489" i="9" s="1"/>
  <c r="BP489" i="9" s="1" a="1"/>
  <c r="BP489" i="9" s="1"/>
  <c r="CD472" i="9"/>
  <c r="CE472" i="9" s="1"/>
  <c r="CF472" i="9" s="1" a="1"/>
  <c r="CF472" i="9" s="1"/>
  <c r="BR487" i="9"/>
  <c r="BS487" i="9" s="1"/>
  <c r="BR502" i="9"/>
  <c r="BS502" i="9" s="1"/>
  <c r="AZ459" i="9"/>
  <c r="CL459" i="9" s="1"/>
  <c r="CM459" i="9" s="1"/>
  <c r="BF485" i="9"/>
  <c r="BG485" i="9" s="1"/>
  <c r="BH485" i="9" s="1" a="1"/>
  <c r="BH485" i="9" s="1"/>
  <c r="BN499" i="9"/>
  <c r="BO499" i="9" s="1"/>
  <c r="CD512" i="9"/>
  <c r="CE512" i="9" s="1"/>
  <c r="CF512" i="9" s="1" a="1"/>
  <c r="CF512" i="9" s="1"/>
  <c r="CH464" i="9"/>
  <c r="CI464" i="9" s="1"/>
  <c r="CJ464" i="9" s="1" a="1"/>
  <c r="CJ464" i="9" s="1"/>
  <c r="CL490" i="9"/>
  <c r="CM490" i="9" s="1"/>
  <c r="CD528" i="9"/>
  <c r="CE528" i="9" s="1"/>
  <c r="AZ545" i="9"/>
  <c r="BZ545" i="9" s="1"/>
  <c r="CA545" i="9" s="1"/>
  <c r="CB545" i="9" s="1" a="1"/>
  <c r="CB545" i="9" s="1"/>
  <c r="CD487" i="9"/>
  <c r="CE487" i="9" s="1"/>
  <c r="CF487" i="9" s="1" a="1"/>
  <c r="CF487" i="9" s="1"/>
  <c r="CD523" i="9"/>
  <c r="CE523" i="9" s="1"/>
  <c r="CF523" i="9" s="1" a="1"/>
  <c r="CF523" i="9" s="1"/>
  <c r="BN545" i="9"/>
  <c r="BO545" i="9" s="1"/>
  <c r="BN487" i="9"/>
  <c r="BO487" i="9" s="1"/>
  <c r="BP487" i="9" s="1" a="1"/>
  <c r="BP487" i="9" s="1"/>
  <c r="AZ494" i="9"/>
  <c r="CD494" i="9" s="1"/>
  <c r="CE494" i="9" s="1"/>
  <c r="BR499" i="9"/>
  <c r="BS499" i="9" s="1"/>
  <c r="BT538" i="9" a="1"/>
  <c r="BT538" i="9" s="1"/>
  <c r="BJ517" i="9"/>
  <c r="BK517" i="9" s="1"/>
  <c r="BL517" i="9" s="1" a="1"/>
  <c r="BL517" i="9" s="1"/>
  <c r="BN548" i="9"/>
  <c r="BO548" i="9" s="1"/>
  <c r="BP548" i="9" s="1" a="1"/>
  <c r="BP548" i="9" s="1"/>
  <c r="AZ563" i="9"/>
  <c r="BZ563" i="9" s="1"/>
  <c r="CA563" i="9" s="1"/>
  <c r="CB563" i="9" s="1" a="1"/>
  <c r="CB563" i="9" s="1"/>
  <c r="BJ499" i="9"/>
  <c r="BK499" i="9" s="1"/>
  <c r="BJ514" i="9"/>
  <c r="BK514" i="9" s="1"/>
  <c r="BL514" i="9" s="1" a="1"/>
  <c r="BL514" i="9" s="1"/>
  <c r="CD540" i="9"/>
  <c r="CE540" i="9" s="1"/>
  <c r="BN556" i="9"/>
  <c r="BO556" i="9" s="1"/>
  <c r="BP556" i="9" s="1" a="1"/>
  <c r="BP556" i="9" s="1"/>
  <c r="AZ589" i="9"/>
  <c r="CH589" i="9" s="1"/>
  <c r="CI589" i="9" s="1"/>
  <c r="CH597" i="9"/>
  <c r="CI597" i="9" s="1"/>
  <c r="BZ627" i="9"/>
  <c r="CA627" i="9" s="1"/>
  <c r="CB627" i="9" s="1" a="1"/>
  <c r="CB627" i="9" s="1"/>
  <c r="BR490" i="9"/>
  <c r="BS490" i="9" s="1"/>
  <c r="BF562" i="9"/>
  <c r="BG562" i="9" s="1"/>
  <c r="BH562" i="9" s="1" a="1"/>
  <c r="BH562" i="9" s="1"/>
  <c r="BN562" i="9"/>
  <c r="BO562" i="9" s="1"/>
  <c r="BP562" i="9" s="1" a="1"/>
  <c r="BP562" i="9" s="1"/>
  <c r="BR590" i="9"/>
  <c r="BS590" i="9" s="1"/>
  <c r="BJ525" i="9"/>
  <c r="BK525" i="9" s="1"/>
  <c r="BL525" i="9" s="1" a="1"/>
  <c r="BL525" i="9" s="1"/>
  <c r="BJ535" i="9"/>
  <c r="BK535" i="9" s="1"/>
  <c r="BL535" i="9" s="1" a="1"/>
  <c r="BL535" i="9" s="1"/>
  <c r="BR536" i="9"/>
  <c r="BS536" i="9" s="1"/>
  <c r="BR544" i="9"/>
  <c r="BS544" i="9" s="1"/>
  <c r="CL562" i="9"/>
  <c r="CM562" i="9" s="1"/>
  <c r="BR567" i="9"/>
  <c r="BS567" i="9" s="1"/>
  <c r="BZ567" i="9"/>
  <c r="CA567" i="9" s="1"/>
  <c r="CB567" i="9" s="1" a="1"/>
  <c r="CB567" i="9" s="1"/>
  <c r="AZ579" i="9"/>
  <c r="BZ579" i="9" s="1"/>
  <c r="CA579" i="9" s="1"/>
  <c r="CB579" i="9" s="1" a="1"/>
  <c r="CB579" i="9" s="1"/>
  <c r="BN590" i="9"/>
  <c r="BO590" i="9" s="1"/>
  <c r="BP590" i="9" s="1" a="1"/>
  <c r="BP590" i="9" s="1"/>
  <c r="CL596" i="9"/>
  <c r="CM596" i="9" s="1"/>
  <c r="CH603" i="9"/>
  <c r="CI603" i="9" s="1"/>
  <c r="CH619" i="9"/>
  <c r="CI619" i="9" s="1"/>
  <c r="BR496" i="9"/>
  <c r="BS496" i="9" s="1"/>
  <c r="CL535" i="9"/>
  <c r="CM535" i="9" s="1"/>
  <c r="BZ552" i="9"/>
  <c r="CA552" i="9" s="1"/>
  <c r="CB552" i="9" s="1" a="1"/>
  <c r="CB552" i="9" s="1"/>
  <c r="BF552" i="9"/>
  <c r="BG552" i="9" s="1"/>
  <c r="BH552" i="9" s="1" a="1"/>
  <c r="BH552" i="9" s="1"/>
  <c r="BJ552" i="9"/>
  <c r="BK552" i="9" s="1"/>
  <c r="BR556" i="9"/>
  <c r="BS556" i="9" s="1"/>
  <c r="AZ574" i="9"/>
  <c r="BF574" i="9" s="1"/>
  <c r="BG574" i="9" s="1"/>
  <c r="BH574" i="9" s="1" a="1"/>
  <c r="BH574" i="9" s="1"/>
  <c r="AZ598" i="9"/>
  <c r="BZ598" i="9" s="1"/>
  <c r="CA598" i="9" s="1"/>
  <c r="CB598" i="9" s="1" a="1"/>
  <c r="CB598" i="9" s="1"/>
  <c r="BN603" i="9"/>
  <c r="BO603" i="9" s="1"/>
  <c r="BJ485" i="9"/>
  <c r="BK485" i="9" s="1"/>
  <c r="BL485" i="9" s="1" a="1"/>
  <c r="BL485" i="9" s="1"/>
  <c r="BZ510" i="9"/>
  <c r="CA510" i="9" s="1"/>
  <c r="CB510" i="9" s="1" a="1"/>
  <c r="CB510" i="9" s="1"/>
  <c r="BU522" i="9" a="1"/>
  <c r="BU522" i="9" s="1"/>
  <c r="BV522" i="9" s="1"/>
  <c r="Q522" i="9" s="1"/>
  <c r="CD538" i="9"/>
  <c r="CE538" i="9" s="1"/>
  <c r="CF538" i="9" s="1" a="1"/>
  <c r="CF538" i="9" s="1"/>
  <c r="CH546" i="9"/>
  <c r="CI546" i="9" s="1"/>
  <c r="CJ546" i="9" s="1" a="1"/>
  <c r="CJ546" i="9" s="1"/>
  <c r="BR548" i="9"/>
  <c r="BS548" i="9" s="1"/>
  <c r="BN541" i="9"/>
  <c r="BO541" i="9" s="1"/>
  <c r="BR555" i="9"/>
  <c r="BS555" i="9" s="1"/>
  <c r="BT620" i="9" a="1"/>
  <c r="BT620" i="9" s="1"/>
  <c r="BT559" i="9" a="1"/>
  <c r="BT559" i="9" s="1"/>
  <c r="CD603" i="9"/>
  <c r="CE603" i="9" s="1"/>
  <c r="BR621" i="9"/>
  <c r="BS621" i="9" s="1"/>
  <c r="BN544" i="9"/>
  <c r="BO544" i="9" s="1"/>
  <c r="BP544" i="9" s="1" a="1"/>
  <c r="BP544" i="9" s="1"/>
  <c r="CB559" i="9" a="1"/>
  <c r="CB559" i="9" s="1"/>
  <c r="CP559" i="9" s="1"/>
  <c r="V559" i="9" s="1"/>
  <c r="CH567" i="9"/>
  <c r="CI567" i="9" s="1"/>
  <c r="CJ567" i="9" s="1" a="1"/>
  <c r="CJ567" i="9" s="1"/>
  <c r="BJ584" i="9"/>
  <c r="BK584" i="9" s="1"/>
  <c r="AZ608" i="9"/>
  <c r="BJ608" i="9" s="1"/>
  <c r="BK608" i="9" s="1"/>
  <c r="AZ542" i="9"/>
  <c r="CD542" i="9" s="1"/>
  <c r="CE542" i="9" s="1"/>
  <c r="BN570" i="9"/>
  <c r="BO570" i="9" s="1"/>
  <c r="BP570" i="9" s="1" a="1"/>
  <c r="BP570" i="9" s="1"/>
  <c r="BZ588" i="9"/>
  <c r="CA588" i="9" s="1"/>
  <c r="CB588" i="9" s="1" a="1"/>
  <c r="CB588" i="9" s="1"/>
  <c r="AZ634" i="9"/>
  <c r="CD634" i="9" s="1"/>
  <c r="CE634" i="9" s="1"/>
  <c r="BF583" i="9"/>
  <c r="BG583" i="9" s="1"/>
  <c r="BH583" i="9" s="1" a="1"/>
  <c r="BH583" i="9" s="1"/>
  <c r="BZ584" i="9"/>
  <c r="CA584" i="9" s="1"/>
  <c r="CB584" i="9" s="1" a="1"/>
  <c r="CB584" i="9" s="1"/>
  <c r="BF584" i="9"/>
  <c r="BG584" i="9" s="1"/>
  <c r="BH584" i="9" s="1" a="1"/>
  <c r="BH584" i="9" s="1"/>
  <c r="CD639" i="9"/>
  <c r="CE639" i="9" s="1"/>
  <c r="CF639" i="9" s="1" a="1"/>
  <c r="CF639" i="9" s="1"/>
  <c r="BR660" i="9"/>
  <c r="BS660" i="9" s="1"/>
  <c r="BF660" i="9"/>
  <c r="BG660" i="9" s="1"/>
  <c r="BH660" i="9" s="1" a="1"/>
  <c r="BH660" i="9" s="1"/>
  <c r="BZ660" i="9"/>
  <c r="CA660" i="9" s="1"/>
  <c r="CB660" i="9" s="1" a="1"/>
  <c r="CB660" i="9" s="1"/>
  <c r="BZ562" i="9"/>
  <c r="CA562" i="9" s="1"/>
  <c r="CB562" i="9" s="1" a="1"/>
  <c r="CB562" i="9" s="1"/>
  <c r="CH572" i="9"/>
  <c r="CI572" i="9" s="1"/>
  <c r="CJ572" i="9" s="1" a="1"/>
  <c r="CJ572" i="9" s="1"/>
  <c r="BF591" i="9"/>
  <c r="BG591" i="9" s="1"/>
  <c r="BH591" i="9" s="1" a="1"/>
  <c r="BH591" i="9" s="1"/>
  <c r="BZ592" i="9"/>
  <c r="CA592" i="9" s="1"/>
  <c r="CB592" i="9" s="1" a="1"/>
  <c r="CB592" i="9" s="1"/>
  <c r="BF592" i="9"/>
  <c r="BG592" i="9" s="1"/>
  <c r="BH592" i="9" s="1" a="1"/>
  <c r="BH592" i="9" s="1"/>
  <c r="CN635" i="9" a="1"/>
  <c r="CN635" i="9" s="1"/>
  <c r="CP635" i="9" s="1"/>
  <c r="V635" i="9" s="1"/>
  <c r="BF578" i="9"/>
  <c r="BG578" i="9" s="1"/>
  <c r="BH578" i="9" s="1" a="1"/>
  <c r="BH578" i="9" s="1"/>
  <c r="BJ578" i="9"/>
  <c r="BK578" i="9" s="1"/>
  <c r="BZ578" i="9"/>
  <c r="CA578" i="9" s="1"/>
  <c r="CB578" i="9" s="1" a="1"/>
  <c r="CB578" i="9" s="1"/>
  <c r="CL578" i="9"/>
  <c r="CM578" i="9" s="1"/>
  <c r="BZ497" i="9"/>
  <c r="CA497" i="9" s="1"/>
  <c r="CB497" i="9" s="1" a="1"/>
  <c r="CB497" i="9" s="1"/>
  <c r="BF497" i="9"/>
  <c r="BG497" i="9" s="1"/>
  <c r="BH497" i="9" s="1" a="1"/>
  <c r="BH497" i="9" s="1"/>
  <c r="BN497" i="9"/>
  <c r="BO497" i="9" s="1"/>
  <c r="BZ602" i="9"/>
  <c r="CA602" i="9" s="1"/>
  <c r="CB602" i="9" s="1" a="1"/>
  <c r="CB602" i="9" s="1"/>
  <c r="BF602" i="9"/>
  <c r="BG602" i="9" s="1"/>
  <c r="BH602" i="9" s="1" a="1"/>
  <c r="BH602" i="9" s="1"/>
  <c r="BJ602" i="9"/>
  <c r="BK602" i="9" s="1"/>
  <c r="BF606" i="9"/>
  <c r="BG606" i="9" s="1"/>
  <c r="BH606" i="9" s="1" a="1"/>
  <c r="BH606" i="9" s="1"/>
  <c r="AZ616" i="9"/>
  <c r="BF616" i="9" s="1"/>
  <c r="BG616" i="9" s="1"/>
  <c r="BH616" i="9" s="1" a="1"/>
  <c r="BH616" i="9" s="1"/>
  <c r="AZ622" i="9"/>
  <c r="BJ622" i="9" s="1"/>
  <c r="BK622" i="9" s="1"/>
  <c r="CH652" i="9"/>
  <c r="CI652" i="9" s="1"/>
  <c r="BZ631" i="9"/>
  <c r="CA631" i="9" s="1"/>
  <c r="CB631" i="9" s="1" a="1"/>
  <c r="CB631" i="9" s="1"/>
  <c r="CH631" i="9"/>
  <c r="CI631" i="9" s="1"/>
  <c r="CJ631" i="9" s="1" a="1"/>
  <c r="CJ631" i="9" s="1"/>
  <c r="CL631" i="9"/>
  <c r="CM631" i="9" s="1"/>
  <c r="AZ648" i="9"/>
  <c r="BJ648" i="9" s="1"/>
  <c r="BK648" i="9" s="1"/>
  <c r="BF651" i="9"/>
  <c r="BG651" i="9" s="1"/>
  <c r="BH651" i="9" s="1" a="1"/>
  <c r="BH651" i="9" s="1"/>
  <c r="BJ716" i="9"/>
  <c r="BK716" i="9" s="1"/>
  <c r="CL716" i="9"/>
  <c r="CM716" i="9" s="1"/>
  <c r="CH716" i="9"/>
  <c r="CI716" i="9" s="1"/>
  <c r="CD724" i="9"/>
  <c r="CE724" i="9" s="1"/>
  <c r="BJ724" i="9"/>
  <c r="BK724" i="9" s="1"/>
  <c r="CL724" i="9"/>
  <c r="CM724" i="9" s="1"/>
  <c r="BZ724" i="9"/>
  <c r="CA724" i="9" s="1"/>
  <c r="CB724" i="9" s="1" a="1"/>
  <c r="CB724" i="9" s="1"/>
  <c r="BR724" i="9"/>
  <c r="BS724" i="9" s="1"/>
  <c r="BF724" i="9"/>
  <c r="BG724" i="9" s="1"/>
  <c r="BH724" i="9" s="1" a="1"/>
  <c r="BH724" i="9" s="1"/>
  <c r="BN724" i="9"/>
  <c r="BO724" i="9" s="1"/>
  <c r="CD620" i="9"/>
  <c r="CE620" i="9" s="1"/>
  <c r="CF620" i="9" s="1" a="1"/>
  <c r="CF620" i="9" s="1"/>
  <c r="BJ635" i="9"/>
  <c r="BK635" i="9" s="1"/>
  <c r="BL635" i="9" s="1" a="1"/>
  <c r="BL635" i="9" s="1"/>
  <c r="AZ653" i="9"/>
  <c r="CL653" i="9" s="1"/>
  <c r="CM653" i="9" s="1"/>
  <c r="CL666" i="9"/>
  <c r="CM666" i="9" s="1"/>
  <c r="CL683" i="9"/>
  <c r="CM683" i="9" s="1"/>
  <c r="BZ690" i="9"/>
  <c r="CA690" i="9" s="1"/>
  <c r="CB690" i="9" s="1" a="1"/>
  <c r="CB690" i="9" s="1"/>
  <c r="BF690" i="9"/>
  <c r="BG690" i="9" s="1"/>
  <c r="BH690" i="9" s="1" a="1"/>
  <c r="BH690" i="9" s="1"/>
  <c r="BN690" i="9"/>
  <c r="BO690" i="9" s="1"/>
  <c r="BJ690" i="9"/>
  <c r="BK690" i="9" s="1"/>
  <c r="CH699" i="9"/>
  <c r="CI699" i="9" s="1"/>
  <c r="BR719" i="9"/>
  <c r="BS719" i="9" s="1"/>
  <c r="BJ719" i="9"/>
  <c r="BK719" i="9" s="1"/>
  <c r="BL719" i="9" s="1" a="1"/>
  <c r="BL719" i="9" s="1"/>
  <c r="CH644" i="9"/>
  <c r="CI644" i="9" s="1"/>
  <c r="CJ644" i="9" s="1" a="1"/>
  <c r="CJ644" i="9" s="1"/>
  <c r="BZ641" i="9"/>
  <c r="CA641" i="9" s="1"/>
  <c r="CB641" i="9" s="1" a="1"/>
  <c r="CB641" i="9" s="1"/>
  <c r="CH677" i="9"/>
  <c r="CI677" i="9" s="1"/>
  <c r="CN677" i="9" s="1" a="1"/>
  <c r="CN677" i="9" s="1"/>
  <c r="CH689" i="9"/>
  <c r="CI689" i="9" s="1"/>
  <c r="CJ689" i="9" s="1" a="1"/>
  <c r="CJ689" i="9" s="1"/>
  <c r="CH636" i="9"/>
  <c r="CI636" i="9" s="1"/>
  <c r="CJ636" i="9" s="1" a="1"/>
  <c r="CJ636" i="9" s="1"/>
  <c r="AZ645" i="9"/>
  <c r="CL645" i="9" s="1"/>
  <c r="CM645" i="9" s="1"/>
  <c r="BJ652" i="9"/>
  <c r="BK652" i="9" s="1"/>
  <c r="BF677" i="9"/>
  <c r="BG677" i="9" s="1"/>
  <c r="BH677" i="9" s="1" a="1"/>
  <c r="BH677" i="9" s="1"/>
  <c r="BJ677" i="9"/>
  <c r="BK677" i="9" s="1"/>
  <c r="AZ681" i="9"/>
  <c r="BR681" i="9" s="1"/>
  <c r="BS681" i="9" s="1"/>
  <c r="BR690" i="9"/>
  <c r="BS690" i="9" s="1"/>
  <c r="BZ600" i="9"/>
  <c r="CA600" i="9" s="1"/>
  <c r="CB600" i="9" s="1" a="1"/>
  <c r="CB600" i="9" s="1"/>
  <c r="BF600" i="9"/>
  <c r="BG600" i="9" s="1"/>
  <c r="BH600" i="9" s="1" a="1"/>
  <c r="BH600" i="9" s="1"/>
  <c r="BZ637" i="9"/>
  <c r="CA637" i="9" s="1"/>
  <c r="CB637" i="9" s="1" a="1"/>
  <c r="CB637" i="9" s="1"/>
  <c r="BF637" i="9"/>
  <c r="BG637" i="9" s="1"/>
  <c r="BH637" i="9" s="1" a="1"/>
  <c r="BH637" i="9" s="1"/>
  <c r="BR637" i="9"/>
  <c r="BS637" i="9" s="1"/>
  <c r="CD652" i="9"/>
  <c r="CE652" i="9" s="1"/>
  <c r="CF652" i="9" s="1" a="1"/>
  <c r="CF652" i="9" s="1"/>
  <c r="BR664" i="9"/>
  <c r="BS664" i="9" s="1"/>
  <c r="BF655" i="9"/>
  <c r="BG655" i="9" s="1"/>
  <c r="BH655" i="9" s="1" a="1"/>
  <c r="BH655" i="9" s="1"/>
  <c r="BJ655" i="9"/>
  <c r="BK655" i="9" s="1"/>
  <c r="CL655" i="9"/>
  <c r="CM655" i="9" s="1"/>
  <c r="BZ655" i="9"/>
  <c r="CA655" i="9" s="1"/>
  <c r="CB655" i="9" s="1" a="1"/>
  <c r="CB655" i="9" s="1"/>
  <c r="CH669" i="9"/>
  <c r="CI669" i="9" s="1"/>
  <c r="CJ669" i="9" s="1" a="1"/>
  <c r="CJ669" i="9" s="1"/>
  <c r="BR672" i="9"/>
  <c r="BS672" i="9" s="1"/>
  <c r="CF684" i="9" a="1"/>
  <c r="CF684" i="9" s="1"/>
  <c r="CP684" i="9" s="1"/>
  <c r="V684" i="9" s="1"/>
  <c r="AZ698" i="9"/>
  <c r="BJ698" i="9" s="1"/>
  <c r="BK698" i="9" s="1"/>
  <c r="AZ714" i="9"/>
  <c r="BF714" i="9" s="1"/>
  <c r="BG714" i="9" s="1"/>
  <c r="BH714" i="9" s="1" a="1"/>
  <c r="BH714" i="9" s="1"/>
  <c r="CH722" i="9"/>
  <c r="CI722" i="9" s="1"/>
  <c r="BN727" i="9"/>
  <c r="BO727" i="9" s="1"/>
  <c r="BP727" i="9" s="1" a="1"/>
  <c r="BP727" i="9" s="1"/>
  <c r="BJ699" i="9"/>
  <c r="BK699" i="9" s="1"/>
  <c r="BL699" i="9" s="1" a="1"/>
  <c r="BL699" i="9" s="1"/>
  <c r="BF707" i="9"/>
  <c r="BG707" i="9" s="1"/>
  <c r="BH707" i="9" s="1" a="1"/>
  <c r="BH707" i="9" s="1"/>
  <c r="CN718" i="9" a="1"/>
  <c r="CN718" i="9" s="1"/>
  <c r="CO718" i="9" a="1"/>
  <c r="CO718" i="9" s="1"/>
  <c r="CN727" i="9" a="1"/>
  <c r="CN727" i="9" s="1"/>
  <c r="CO727" i="9" a="1"/>
  <c r="CO727" i="9" s="1"/>
  <c r="CH665" i="9"/>
  <c r="CI665" i="9" s="1"/>
  <c r="CJ665" i="9" s="1" a="1"/>
  <c r="CJ665" i="9" s="1"/>
  <c r="BN696" i="9"/>
  <c r="BO696" i="9" s="1"/>
  <c r="CD721" i="9"/>
  <c r="CE721" i="9" s="1"/>
  <c r="CF721" i="9" s="1" a="1"/>
  <c r="CF721" i="9" s="1"/>
  <c r="CD732" i="9"/>
  <c r="CE732" i="9" s="1"/>
  <c r="CF732" i="9" s="1" a="1"/>
  <c r="CF732" i="9" s="1"/>
  <c r="BV703" i="9"/>
  <c r="Q703" i="9" s="1"/>
  <c r="BF716" i="9"/>
  <c r="BG716" i="9" s="1"/>
  <c r="BH716" i="9" s="1" a="1"/>
  <c r="BH716" i="9" s="1"/>
  <c r="BJ717" i="9"/>
  <c r="BK717" i="9" s="1"/>
  <c r="BU740" i="9" a="1"/>
  <c r="BU740" i="9" s="1"/>
  <c r="BT740" i="9" a="1"/>
  <c r="BT740" i="9" s="1"/>
  <c r="BU754" i="9" a="1"/>
  <c r="BU754" i="9" s="1"/>
  <c r="BZ709" i="9"/>
  <c r="CA709" i="9" s="1"/>
  <c r="CB709" i="9" s="1" a="1"/>
  <c r="CB709" i="9" s="1"/>
  <c r="AZ737" i="9"/>
  <c r="BF737" i="9" s="1"/>
  <c r="BG737" i="9" s="1"/>
  <c r="BH737" i="9" s="1" a="1"/>
  <c r="BH737" i="9" s="1"/>
  <c r="CF702" i="9" a="1"/>
  <c r="CF702" i="9" s="1"/>
  <c r="BR774" i="9"/>
  <c r="BS774" i="9" s="1"/>
  <c r="CO789" i="9" a="1"/>
  <c r="CO789" i="9" s="1"/>
  <c r="BU813" i="9" a="1"/>
  <c r="BU813" i="9" s="1"/>
  <c r="BT813" i="9" a="1"/>
  <c r="BT813" i="9" s="1"/>
  <c r="BV813" i="9" s="1"/>
  <c r="Q813" i="9" s="1"/>
  <c r="CJ820" i="9" a="1"/>
  <c r="CJ820" i="9" s="1"/>
  <c r="BP820" i="9" a="1"/>
  <c r="BP820" i="9" s="1"/>
  <c r="CO825" i="9" a="1"/>
  <c r="CO825" i="9" s="1"/>
  <c r="BT831" i="9" a="1"/>
  <c r="BT831" i="9" s="1"/>
  <c r="BU831" i="9" a="1"/>
  <c r="BU831" i="9" s="1"/>
  <c r="BU863" i="9" a="1"/>
  <c r="BU863" i="9" s="1"/>
  <c r="BT863" i="9" a="1"/>
  <c r="BT863" i="9" s="1"/>
  <c r="CN887" i="9" a="1"/>
  <c r="CN887" i="9" s="1"/>
  <c r="CO887" i="9" a="1"/>
  <c r="CO887" i="9" s="1"/>
  <c r="CF831" i="9" a="1"/>
  <c r="CF831" i="9" s="1"/>
  <c r="CO927" i="9" a="1"/>
  <c r="CO927" i="9" s="1"/>
  <c r="CO912" i="9" a="1"/>
  <c r="CO912" i="9" s="1"/>
  <c r="CO900" i="9" a="1"/>
  <c r="CO900" i="9" s="1"/>
  <c r="BL832" i="9" a="1"/>
  <c r="BL832" i="9" s="1"/>
  <c r="BT930" i="9" a="1"/>
  <c r="BT930" i="9" s="1"/>
  <c r="BU930" i="9" a="1"/>
  <c r="BU930" i="9" s="1"/>
  <c r="CJ961" i="9" a="1"/>
  <c r="CJ961" i="9" s="1"/>
  <c r="BU935" i="9" a="1"/>
  <c r="BU935" i="9" s="1"/>
  <c r="BT935" i="9" a="1"/>
  <c r="BT935" i="9" s="1"/>
  <c r="CN992" i="9" a="1"/>
  <c r="CN992" i="9" s="1"/>
  <c r="CO992" i="9" a="1"/>
  <c r="CO992" i="9" s="1"/>
  <c r="CN1004" i="9" a="1"/>
  <c r="CN1004" i="9" s="1"/>
  <c r="CO1004" i="9" a="1"/>
  <c r="CO1004" i="9" s="1"/>
  <c r="CO1015" i="9" a="1"/>
  <c r="CO1015" i="9" s="1"/>
  <c r="CF993" i="9" a="1"/>
  <c r="CF993" i="9" s="1"/>
  <c r="BU985" i="9" a="1"/>
  <c r="BU985" i="9" s="1"/>
  <c r="BT985" i="9" a="1"/>
  <c r="BT985" i="9" s="1"/>
  <c r="BV985" i="9" s="1"/>
  <c r="Q985" i="9" s="1"/>
  <c r="CL435" i="9"/>
  <c r="CM435" i="9" s="1"/>
  <c r="BZ476" i="9"/>
  <c r="CA476" i="9" s="1"/>
  <c r="CB476" i="9" s="1" a="1"/>
  <c r="CB476" i="9" s="1"/>
  <c r="BF476" i="9"/>
  <c r="BG476" i="9" s="1"/>
  <c r="BH476" i="9" s="1" a="1"/>
  <c r="BH476" i="9" s="1"/>
  <c r="CH458" i="9"/>
  <c r="CI458" i="9" s="1"/>
  <c r="CJ458" i="9" s="1" a="1"/>
  <c r="CJ458" i="9" s="1"/>
  <c r="BN458" i="9"/>
  <c r="BO458" i="9" s="1"/>
  <c r="BF458" i="9"/>
  <c r="BG458" i="9" s="1"/>
  <c r="BH458" i="9" s="1" a="1"/>
  <c r="BH458" i="9" s="1"/>
  <c r="CL458" i="9"/>
  <c r="CM458" i="9" s="1"/>
  <c r="BZ458" i="9"/>
  <c r="CA458" i="9" s="1"/>
  <c r="CB458" i="9" s="1" a="1"/>
  <c r="CB458" i="9" s="1"/>
  <c r="BN467" i="9"/>
  <c r="BO467" i="9" s="1"/>
  <c r="BJ441" i="9"/>
  <c r="BK441" i="9" s="1"/>
  <c r="BR441" i="9"/>
  <c r="BS441" i="9" s="1"/>
  <c r="BZ441" i="9"/>
  <c r="CA441" i="9" s="1"/>
  <c r="CB441" i="9" s="1" a="1"/>
  <c r="CB441" i="9" s="1"/>
  <c r="BN441" i="9"/>
  <c r="BO441" i="9" s="1"/>
  <c r="BF441" i="9"/>
  <c r="BG441" i="9" s="1"/>
  <c r="BH441" i="9" s="1" a="1"/>
  <c r="BH441" i="9" s="1"/>
  <c r="BF466" i="9"/>
  <c r="BG466" i="9" s="1"/>
  <c r="BH466" i="9" s="1" a="1"/>
  <c r="BH466" i="9" s="1"/>
  <c r="CH466" i="9"/>
  <c r="CI466" i="9" s="1"/>
  <c r="CJ466" i="9" s="1" a="1"/>
  <c r="CJ466" i="9" s="1"/>
  <c r="BZ466" i="9"/>
  <c r="CA466" i="9" s="1"/>
  <c r="CB466" i="9" s="1" a="1"/>
  <c r="CB466" i="9" s="1"/>
  <c r="BN466" i="9"/>
  <c r="BO466" i="9" s="1"/>
  <c r="BP466" i="9" s="1" a="1"/>
  <c r="BP466" i="9" s="1"/>
  <c r="CL466" i="9"/>
  <c r="CM466" i="9" s="1"/>
  <c r="BR466" i="9"/>
  <c r="BS466" i="9" s="1"/>
  <c r="BN493" i="9"/>
  <c r="BO493" i="9" s="1"/>
  <c r="CH499" i="9"/>
  <c r="CI499" i="9" s="1"/>
  <c r="CJ499" i="9" s="1" a="1"/>
  <c r="CJ499" i="9" s="1"/>
  <c r="CD505" i="9"/>
  <c r="CE505" i="9" s="1"/>
  <c r="CF505" i="9" s="1" a="1"/>
  <c r="CF505" i="9" s="1"/>
  <c r="BJ510" i="9"/>
  <c r="BK510" i="9" s="1"/>
  <c r="BH513" i="9" a="1"/>
  <c r="BH513" i="9" s="1"/>
  <c r="CB513" i="9" a="1"/>
  <c r="CB513" i="9" s="1"/>
  <c r="BZ553" i="9"/>
  <c r="CA553" i="9" s="1"/>
  <c r="CB553" i="9" s="1" a="1"/>
  <c r="CB553" i="9" s="1"/>
  <c r="CH441" i="9"/>
  <c r="CI441" i="9" s="1"/>
  <c r="CJ441" i="9" s="1" a="1"/>
  <c r="CJ441" i="9" s="1"/>
  <c r="CH482" i="9"/>
  <c r="CI482" i="9" s="1"/>
  <c r="CJ482" i="9" s="1" a="1"/>
  <c r="CJ482" i="9" s="1"/>
  <c r="CL512" i="9"/>
  <c r="CM512" i="9" s="1"/>
  <c r="BR532" i="9"/>
  <c r="BS532" i="9" s="1"/>
  <c r="CL507" i="9"/>
  <c r="CM507" i="9" s="1"/>
  <c r="AZ529" i="9"/>
  <c r="CD529" i="9" s="1"/>
  <c r="CE529" i="9" s="1"/>
  <c r="CH545" i="9"/>
  <c r="CI545" i="9" s="1"/>
  <c r="CL496" i="9"/>
  <c r="CM496" i="9" s="1"/>
  <c r="BZ502" i="9"/>
  <c r="CA502" i="9" s="1"/>
  <c r="CB502" i="9" s="1" a="1"/>
  <c r="CB502" i="9" s="1"/>
  <c r="BF502" i="9"/>
  <c r="BG502" i="9" s="1"/>
  <c r="BH502" i="9" s="1" a="1"/>
  <c r="BH502" i="9" s="1"/>
  <c r="CJ513" i="9" a="1"/>
  <c r="CJ513" i="9" s="1"/>
  <c r="AZ524" i="9"/>
  <c r="BF524" i="9" s="1"/>
  <c r="BG524" i="9" s="1"/>
  <c r="BH524" i="9" s="1" a="1"/>
  <c r="BH524" i="9" s="1"/>
  <c r="BN512" i="9"/>
  <c r="BO512" i="9" s="1"/>
  <c r="BP512" i="9" s="1" a="1"/>
  <c r="BP512" i="9" s="1"/>
  <c r="CH476" i="9"/>
  <c r="CI476" i="9" s="1"/>
  <c r="CJ476" i="9" s="1" a="1"/>
  <c r="CJ476" i="9" s="1"/>
  <c r="BR506" i="9"/>
  <c r="BS506" i="9" s="1"/>
  <c r="BJ506" i="9"/>
  <c r="BK506" i="9" s="1"/>
  <c r="BZ506" i="9"/>
  <c r="CA506" i="9" s="1"/>
  <c r="CB506" i="9" s="1" a="1"/>
  <c r="CB506" i="9" s="1"/>
  <c r="CH506" i="9"/>
  <c r="CI506" i="9" s="1"/>
  <c r="BF506" i="9"/>
  <c r="BG506" i="9" s="1"/>
  <c r="BH506" i="9" s="1" a="1"/>
  <c r="BH506" i="9" s="1"/>
  <c r="CH517" i="9"/>
  <c r="CI517" i="9" s="1"/>
  <c r="CJ517" i="9" s="1" a="1"/>
  <c r="CJ517" i="9" s="1"/>
  <c r="BJ597" i="9"/>
  <c r="BK597" i="9" s="1"/>
  <c r="CH514" i="9"/>
  <c r="CI514" i="9" s="1"/>
  <c r="CD530" i="9"/>
  <c r="CE530" i="9" s="1"/>
  <c r="CF530" i="9" s="1" a="1"/>
  <c r="CF530" i="9" s="1"/>
  <c r="BV538" i="9"/>
  <c r="Q538" i="9" s="1"/>
  <c r="AZ581" i="9"/>
  <c r="CL581" i="9" s="1"/>
  <c r="CM581" i="9" s="1"/>
  <c r="CL543" i="9"/>
  <c r="CM543" i="9" s="1"/>
  <c r="AZ550" i="9"/>
  <c r="BR550" i="9" s="1"/>
  <c r="BS550" i="9" s="1"/>
  <c r="CH525" i="9"/>
  <c r="CI525" i="9" s="1"/>
  <c r="CJ525" i="9" s="1" a="1"/>
  <c r="CJ525" i="9" s="1"/>
  <c r="CD562" i="9"/>
  <c r="CE562" i="9" s="1"/>
  <c r="CF562" i="9" s="1" a="1"/>
  <c r="CF562" i="9" s="1"/>
  <c r="CH579" i="9"/>
  <c r="CI579" i="9" s="1"/>
  <c r="CL604" i="9"/>
  <c r="CM604" i="9" s="1"/>
  <c r="CN620" i="9" a="1"/>
  <c r="CN620" i="9" s="1"/>
  <c r="CO620" i="9" a="1"/>
  <c r="CO620" i="9" s="1"/>
  <c r="BF541" i="9"/>
  <c r="BG541" i="9" s="1"/>
  <c r="BH541" i="9" s="1" a="1"/>
  <c r="BH541" i="9" s="1"/>
  <c r="AZ554" i="9"/>
  <c r="CH554" i="9" s="1"/>
  <c r="CI554" i="9" s="1"/>
  <c r="BJ561" i="9"/>
  <c r="BK561" i="9" s="1"/>
  <c r="CH574" i="9"/>
  <c r="CI574" i="9" s="1"/>
  <c r="CH598" i="9"/>
  <c r="CI598" i="9" s="1"/>
  <c r="CD548" i="9"/>
  <c r="CE548" i="9" s="1"/>
  <c r="CL548" i="9"/>
  <c r="CM548" i="9" s="1"/>
  <c r="CD556" i="9"/>
  <c r="CE556" i="9" s="1"/>
  <c r="CF556" i="9" s="1" a="1"/>
  <c r="CF556" i="9" s="1"/>
  <c r="BN519" i="9"/>
  <c r="BO519" i="9" s="1"/>
  <c r="BP519" i="9" s="1" a="1"/>
  <c r="BP519" i="9" s="1"/>
  <c r="AZ547" i="9"/>
  <c r="BJ547" i="9" s="1"/>
  <c r="BK547" i="9" s="1"/>
  <c r="CD555" i="9"/>
  <c r="CE555" i="9" s="1"/>
  <c r="CF555" i="9" s="1" a="1"/>
  <c r="CF555" i="9" s="1"/>
  <c r="BN566" i="9"/>
  <c r="BO566" i="9" s="1"/>
  <c r="BP566" i="9" s="1" a="1"/>
  <c r="BP566" i="9" s="1"/>
  <c r="CD598" i="9"/>
  <c r="CE598" i="9" s="1"/>
  <c r="CF598" i="9" s="1" a="1"/>
  <c r="CF598" i="9" s="1"/>
  <c r="BF605" i="9"/>
  <c r="BG605" i="9" s="1"/>
  <c r="BH605" i="9" s="1" a="1"/>
  <c r="BH605" i="9" s="1"/>
  <c r="BZ605" i="9"/>
  <c r="CA605" i="9" s="1"/>
  <c r="CB605" i="9" s="1" a="1"/>
  <c r="CB605" i="9" s="1"/>
  <c r="CD621" i="9"/>
  <c r="CE621" i="9" s="1"/>
  <c r="CF621" i="9" s="1" a="1"/>
  <c r="CF621" i="9" s="1"/>
  <c r="BZ533" i="9"/>
  <c r="CA533" i="9" s="1"/>
  <c r="CB533" i="9" s="1" a="1"/>
  <c r="CB533" i="9" s="1"/>
  <c r="AZ568" i="9"/>
  <c r="BZ568" i="9" s="1"/>
  <c r="CA568" i="9" s="1"/>
  <c r="CB568" i="9" s="1" a="1"/>
  <c r="CB568" i="9" s="1"/>
  <c r="AZ614" i="9"/>
  <c r="BJ614" i="9" s="1"/>
  <c r="BK614" i="9" s="1"/>
  <c r="BF575" i="9"/>
  <c r="BG575" i="9" s="1"/>
  <c r="BH575" i="9" s="1" a="1"/>
  <c r="BH575" i="9" s="1"/>
  <c r="BZ576" i="9"/>
  <c r="CA576" i="9" s="1"/>
  <c r="CB576" i="9" s="1" a="1"/>
  <c r="CB576" i="9" s="1"/>
  <c r="BF576" i="9"/>
  <c r="BG576" i="9" s="1"/>
  <c r="BH576" i="9" s="1" a="1"/>
  <c r="BH576" i="9" s="1"/>
  <c r="BJ634" i="9"/>
  <c r="BK634" i="9" s="1"/>
  <c r="BN650" i="9"/>
  <c r="BO650" i="9" s="1"/>
  <c r="BP650" i="9" s="1" a="1"/>
  <c r="BP650" i="9" s="1"/>
  <c r="CH520" i="9"/>
  <c r="CI520" i="9" s="1"/>
  <c r="CJ520" i="9" s="1" a="1"/>
  <c r="CJ520" i="9" s="1"/>
  <c r="BJ569" i="9"/>
  <c r="BK569" i="9" s="1"/>
  <c r="BL569" i="9" s="1" a="1"/>
  <c r="BL569" i="9" s="1"/>
  <c r="CL583" i="9"/>
  <c r="CM583" i="9" s="1"/>
  <c r="BR584" i="9"/>
  <c r="BS584" i="9" s="1"/>
  <c r="BR613" i="9"/>
  <c r="BS613" i="9" s="1"/>
  <c r="CL641" i="9"/>
  <c r="CM641" i="9" s="1"/>
  <c r="BJ565" i="9"/>
  <c r="BK565" i="9" s="1"/>
  <c r="BL565" i="9" s="1" a="1"/>
  <c r="BL565" i="9" s="1"/>
  <c r="BR565" i="9"/>
  <c r="BS565" i="9" s="1"/>
  <c r="CH565" i="9"/>
  <c r="CI565" i="9" s="1"/>
  <c r="CJ565" i="9" s="1" a="1"/>
  <c r="CJ565" i="9" s="1"/>
  <c r="BZ565" i="9"/>
  <c r="CA565" i="9" s="1"/>
  <c r="CB565" i="9" s="1" a="1"/>
  <c r="CB565" i="9" s="1"/>
  <c r="CL591" i="9"/>
  <c r="CM591" i="9" s="1"/>
  <c r="BR592" i="9"/>
  <c r="BS592" i="9" s="1"/>
  <c r="BR606" i="9"/>
  <c r="BS606" i="9" s="1"/>
  <c r="BN629" i="9"/>
  <c r="BO629" i="9" s="1"/>
  <c r="BP629" i="9" s="1" a="1"/>
  <c r="BP629" i="9" s="1"/>
  <c r="AZ675" i="9"/>
  <c r="BN675" i="9" s="1"/>
  <c r="BO675" i="9" s="1"/>
  <c r="BR586" i="9"/>
  <c r="BS586" i="9" s="1"/>
  <c r="BJ605" i="9"/>
  <c r="BK605" i="9" s="1"/>
  <c r="CL627" i="9"/>
  <c r="CM627" i="9" s="1"/>
  <c r="BJ497" i="9"/>
  <c r="BK497" i="9" s="1"/>
  <c r="BL497" i="9" s="1" a="1"/>
  <c r="BL497" i="9" s="1"/>
  <c r="BF528" i="9"/>
  <c r="BG528" i="9" s="1"/>
  <c r="BH528" i="9" s="1" a="1"/>
  <c r="BH528" i="9" s="1"/>
  <c r="BJ528" i="9"/>
  <c r="BK528" i="9" s="1"/>
  <c r="BZ528" i="9"/>
  <c r="CA528" i="9" s="1"/>
  <c r="CB528" i="9" s="1" a="1"/>
  <c r="CB528" i="9" s="1"/>
  <c r="CL528" i="9"/>
  <c r="CM528" i="9" s="1"/>
  <c r="CL644" i="9"/>
  <c r="CM644" i="9" s="1"/>
  <c r="BZ683" i="9"/>
  <c r="CA683" i="9" s="1"/>
  <c r="CB683" i="9" s="1" a="1"/>
  <c r="CB683" i="9" s="1"/>
  <c r="BF683" i="9"/>
  <c r="BG683" i="9" s="1"/>
  <c r="BH683" i="9" s="1" a="1"/>
  <c r="BH683" i="9" s="1"/>
  <c r="CH683" i="9"/>
  <c r="CI683" i="9" s="1"/>
  <c r="BZ642" i="9"/>
  <c r="CA642" i="9" s="1"/>
  <c r="CB642" i="9" s="1" a="1"/>
  <c r="CB642" i="9" s="1"/>
  <c r="BF642" i="9"/>
  <c r="BG642" i="9" s="1"/>
  <c r="BH642" i="9" s="1" a="1"/>
  <c r="BH642" i="9" s="1"/>
  <c r="BJ642" i="9"/>
  <c r="BK642" i="9" s="1"/>
  <c r="CL642" i="9"/>
  <c r="CM642" i="9" s="1"/>
  <c r="CO667" i="9" a="1"/>
  <c r="CO667" i="9" s="1"/>
  <c r="BJ676" i="9"/>
  <c r="BK676" i="9" s="1"/>
  <c r="BZ676" i="9"/>
  <c r="CA676" i="9" s="1"/>
  <c r="CB676" i="9" s="1" a="1"/>
  <c r="CB676" i="9" s="1"/>
  <c r="CL676" i="9"/>
  <c r="CM676" i="9" s="1"/>
  <c r="BF676" i="9"/>
  <c r="BG676" i="9" s="1"/>
  <c r="BH676" i="9" s="1" a="1"/>
  <c r="BH676" i="9" s="1"/>
  <c r="BR676" i="9"/>
  <c r="BS676" i="9" s="1"/>
  <c r="CL681" i="9"/>
  <c r="CM681" i="9" s="1"/>
  <c r="BF691" i="9"/>
  <c r="BG691" i="9" s="1"/>
  <c r="BH691" i="9" s="1" a="1"/>
  <c r="BH691" i="9" s="1"/>
  <c r="BN661" i="9"/>
  <c r="BO661" i="9" s="1"/>
  <c r="BP661" i="9" s="1" a="1"/>
  <c r="BP661" i="9" s="1"/>
  <c r="AZ715" i="9"/>
  <c r="BN715" i="9" s="1"/>
  <c r="BO715" i="9" s="1"/>
  <c r="BJ607" i="9"/>
  <c r="BK607" i="9" s="1"/>
  <c r="BF607" i="9"/>
  <c r="BG607" i="9" s="1"/>
  <c r="BH607" i="9" s="1" a="1"/>
  <c r="BH607" i="9" s="1"/>
  <c r="BR607" i="9"/>
  <c r="BS607" i="9" s="1"/>
  <c r="CH607" i="9"/>
  <c r="CI607" i="9" s="1"/>
  <c r="CJ607" i="9" s="1" a="1"/>
  <c r="CJ607" i="9" s="1"/>
  <c r="CL607" i="9"/>
  <c r="CM607" i="9" s="1"/>
  <c r="BZ607" i="9"/>
  <c r="CA607" i="9" s="1"/>
  <c r="CB607" i="9" s="1" a="1"/>
  <c r="CB607" i="9" s="1"/>
  <c r="BF682" i="9"/>
  <c r="BG682" i="9" s="1"/>
  <c r="BH682" i="9" s="1" a="1"/>
  <c r="BH682" i="9" s="1"/>
  <c r="BZ682" i="9"/>
  <c r="CA682" i="9" s="1"/>
  <c r="CB682" i="9" s="1" a="1"/>
  <c r="CB682" i="9" s="1"/>
  <c r="BN699" i="9"/>
  <c r="BO699" i="9" s="1"/>
  <c r="BN720" i="9"/>
  <c r="BO720" i="9" s="1"/>
  <c r="BP720" i="9" s="1" a="1"/>
  <c r="BP720" i="9" s="1"/>
  <c r="CL579" i="9"/>
  <c r="CM579" i="9" s="1"/>
  <c r="BJ623" i="9"/>
  <c r="BK623" i="9" s="1"/>
  <c r="BF623" i="9"/>
  <c r="BG623" i="9" s="1"/>
  <c r="BH623" i="9" s="1" a="1"/>
  <c r="BH623" i="9" s="1"/>
  <c r="CH623" i="9"/>
  <c r="CI623" i="9" s="1"/>
  <c r="CJ623" i="9" s="1" a="1"/>
  <c r="CJ623" i="9" s="1"/>
  <c r="BZ623" i="9"/>
  <c r="CA623" i="9" s="1"/>
  <c r="CB623" i="9" s="1" a="1"/>
  <c r="CB623" i="9" s="1"/>
  <c r="CL623" i="9"/>
  <c r="CM623" i="9" s="1"/>
  <c r="BR623" i="9"/>
  <c r="BS623" i="9" s="1"/>
  <c r="CJ643" i="9" a="1"/>
  <c r="CJ643" i="9" s="1"/>
  <c r="BF671" i="9"/>
  <c r="BG671" i="9" s="1"/>
  <c r="BH671" i="9" s="1" a="1"/>
  <c r="BH671" i="9" s="1"/>
  <c r="BJ671" i="9"/>
  <c r="BK671" i="9" s="1"/>
  <c r="BZ671" i="9"/>
  <c r="CA671" i="9" s="1"/>
  <c r="CB671" i="9" s="1" a="1"/>
  <c r="CB671" i="9" s="1"/>
  <c r="CL671" i="9"/>
  <c r="CM671" i="9" s="1"/>
  <c r="CL690" i="9"/>
  <c r="CM690" i="9" s="1"/>
  <c r="CH628" i="9"/>
  <c r="CI628" i="9" s="1"/>
  <c r="CL628" i="9"/>
  <c r="CM628" i="9" s="1"/>
  <c r="CL632" i="9"/>
  <c r="CM632" i="9" s="1"/>
  <c r="BR643" i="9"/>
  <c r="BS643" i="9" s="1"/>
  <c r="BT673" i="9" a="1"/>
  <c r="BT673" i="9" s="1"/>
  <c r="CD707" i="9"/>
  <c r="CE707" i="9" s="1"/>
  <c r="CF707" i="9" s="1" a="1"/>
  <c r="CF707" i="9" s="1"/>
  <c r="BR575" i="9"/>
  <c r="BS575" i="9" s="1"/>
  <c r="CL664" i="9"/>
  <c r="CM664" i="9" s="1"/>
  <c r="BN668" i="9"/>
  <c r="BO668" i="9" s="1"/>
  <c r="BP668" i="9" s="1" a="1"/>
  <c r="BP668" i="9" s="1"/>
  <c r="BR656" i="9"/>
  <c r="BS656" i="9" s="1"/>
  <c r="BN666" i="9"/>
  <c r="BO666" i="9" s="1"/>
  <c r="CL672" i="9"/>
  <c r="CM672" i="9" s="1"/>
  <c r="CH714" i="9"/>
  <c r="CI714" i="9" s="1"/>
  <c r="BJ729" i="9"/>
  <c r="BK729" i="9" s="1"/>
  <c r="CL729" i="9"/>
  <c r="CM729" i="9" s="1"/>
  <c r="BR729" i="9"/>
  <c r="BS729" i="9" s="1"/>
  <c r="BZ729" i="9"/>
  <c r="CA729" i="9" s="1"/>
  <c r="CB729" i="9" s="1" a="1"/>
  <c r="CB729" i="9" s="1"/>
  <c r="BF729" i="9"/>
  <c r="BG729" i="9" s="1"/>
  <c r="BH729" i="9" s="1" a="1"/>
  <c r="BH729" i="9" s="1"/>
  <c r="BN729" i="9"/>
  <c r="BO729" i="9" s="1"/>
  <c r="BR655" i="9"/>
  <c r="BS655" i="9" s="1"/>
  <c r="CN702" i="9" a="1"/>
  <c r="CN702" i="9" s="1"/>
  <c r="CF718" i="9" a="1"/>
  <c r="CF718" i="9" s="1"/>
  <c r="AZ731" i="9"/>
  <c r="BR731" i="9" s="1"/>
  <c r="BS731" i="9" s="1"/>
  <c r="BF696" i="9"/>
  <c r="BG696" i="9" s="1"/>
  <c r="BH696" i="9" s="1" a="1"/>
  <c r="BH696" i="9" s="1"/>
  <c r="CD722" i="9"/>
  <c r="CE722" i="9" s="1"/>
  <c r="CH708" i="9"/>
  <c r="CI708" i="9" s="1"/>
  <c r="BZ716" i="9"/>
  <c r="CA716" i="9" s="1"/>
  <c r="CB716" i="9" s="1" a="1"/>
  <c r="CB716" i="9" s="1"/>
  <c r="BZ737" i="9"/>
  <c r="CA737" i="9" s="1"/>
  <c r="CB737" i="9" s="1" a="1"/>
  <c r="CB737" i="9" s="1"/>
  <c r="BJ743" i="9"/>
  <c r="BK743" i="9" s="1"/>
  <c r="CL743" i="9"/>
  <c r="CM743" i="9" s="1"/>
  <c r="BR743" i="9"/>
  <c r="BS743" i="9" s="1"/>
  <c r="BZ743" i="9"/>
  <c r="CA743" i="9" s="1"/>
  <c r="CB743" i="9" s="1" a="1"/>
  <c r="CB743" i="9" s="1"/>
  <c r="BF743" i="9"/>
  <c r="BG743" i="9" s="1"/>
  <c r="BH743" i="9" s="1" a="1"/>
  <c r="BH743" i="9" s="1"/>
  <c r="CH743" i="9"/>
  <c r="CI743" i="9" s="1"/>
  <c r="CD743" i="9"/>
  <c r="CE743" i="9" s="1"/>
  <c r="BN743" i="9"/>
  <c r="BO743" i="9" s="1"/>
  <c r="BN781" i="9"/>
  <c r="BO781" i="9" s="1"/>
  <c r="BF781" i="9"/>
  <c r="BG781" i="9" s="1"/>
  <c r="BH781" i="9" s="1" a="1"/>
  <c r="BH781" i="9" s="1"/>
  <c r="BJ781" i="9"/>
  <c r="BK781" i="9" s="1"/>
  <c r="CD708" i="9"/>
  <c r="CE708" i="9" s="1"/>
  <c r="CF708" i="9" s="1" a="1"/>
  <c r="CF708" i="9" s="1"/>
  <c r="CH717" i="9"/>
  <c r="CI717" i="9" s="1"/>
  <c r="CJ717" i="9" s="1" a="1"/>
  <c r="CJ717" i="9" s="1"/>
  <c r="CL740" i="9"/>
  <c r="CM740" i="9" s="1"/>
  <c r="CD740" i="9"/>
  <c r="CE740" i="9" s="1"/>
  <c r="BZ740" i="9"/>
  <c r="CA740" i="9" s="1"/>
  <c r="CB740" i="9" s="1" a="1"/>
  <c r="CB740" i="9" s="1"/>
  <c r="CH740" i="9"/>
  <c r="CI740" i="9" s="1"/>
  <c r="AZ782" i="9"/>
  <c r="CH782" i="9" s="1"/>
  <c r="CI782" i="9" s="1"/>
  <c r="BJ710" i="9"/>
  <c r="BK710" i="9" s="1"/>
  <c r="BL710" i="9" s="1" a="1"/>
  <c r="BL710" i="9" s="1"/>
  <c r="CN711" i="9" a="1"/>
  <c r="CN711" i="9" s="1"/>
  <c r="CO711" i="9" a="1"/>
  <c r="CO711" i="9" s="1"/>
  <c r="BR744" i="9"/>
  <c r="BS744" i="9" s="1"/>
  <c r="BZ744" i="9"/>
  <c r="CA744" i="9" s="1"/>
  <c r="CB744" i="9" s="1" a="1"/>
  <c r="CB744" i="9" s="1"/>
  <c r="BF744" i="9"/>
  <c r="BG744" i="9" s="1"/>
  <c r="BH744" i="9" s="1" a="1"/>
  <c r="BH744" i="9" s="1"/>
  <c r="BJ744" i="9"/>
  <c r="BK744" i="9" s="1"/>
  <c r="BL744" i="9" s="1" a="1"/>
  <c r="BL744" i="9" s="1"/>
  <c r="BT775" i="9" a="1"/>
  <c r="BT775" i="9" s="1"/>
  <c r="BU775" i="9" a="1"/>
  <c r="BU775" i="9" s="1"/>
  <c r="BL800" i="9" a="1"/>
  <c r="BL800" i="9" s="1"/>
  <c r="CN812" i="9" a="1"/>
  <c r="CN812" i="9" s="1"/>
  <c r="CO812" i="9" a="1"/>
  <c r="CO812" i="9" s="1"/>
  <c r="CO797" i="9" a="1"/>
  <c r="CO797" i="9" s="1"/>
  <c r="CO863" i="9" a="1"/>
  <c r="CO863" i="9" s="1"/>
  <c r="CN863" i="9" a="1"/>
  <c r="CN863" i="9" s="1"/>
  <c r="BU811" i="9" a="1"/>
  <c r="BU811" i="9" s="1"/>
  <c r="BT811" i="9" a="1"/>
  <c r="BT811" i="9" s="1"/>
  <c r="BV847" i="9"/>
  <c r="Q847" i="9" s="1"/>
  <c r="CF863" i="9" a="1"/>
  <c r="CF863" i="9" s="1"/>
  <c r="CO937" i="9" a="1"/>
  <c r="CO937" i="9" s="1"/>
  <c r="CF911" i="9" a="1"/>
  <c r="CF911" i="9" s="1"/>
  <c r="CJ980" i="9" a="1"/>
  <c r="CJ980" i="9" s="1"/>
  <c r="CJ996" i="9" a="1"/>
  <c r="CJ996" i="9" s="1"/>
  <c r="CJ1012" i="9" a="1"/>
  <c r="CJ1012" i="9" s="1"/>
  <c r="BU966" i="9" a="1"/>
  <c r="BU966" i="9" s="1"/>
  <c r="CN988" i="9" a="1"/>
  <c r="CN988" i="9" s="1"/>
  <c r="CO988" i="9" a="1"/>
  <c r="CO988" i="9" s="1"/>
  <c r="CJ985" i="9" a="1"/>
  <c r="CJ985" i="9" s="1"/>
  <c r="CP985" i="9" s="1"/>
  <c r="V985" i="9" s="1"/>
  <c r="BU1002" i="9" a="1"/>
  <c r="BU1002" i="9" s="1"/>
  <c r="CH529" i="9"/>
  <c r="CI529" i="9" s="1"/>
  <c r="CJ529" i="9" s="1" a="1"/>
  <c r="CJ529" i="9" s="1"/>
  <c r="AZ537" i="9"/>
  <c r="CL537" i="9" s="1"/>
  <c r="CM537" i="9" s="1"/>
  <c r="CD502" i="9"/>
  <c r="CE502" i="9" s="1"/>
  <c r="CF502" i="9" s="1" a="1"/>
  <c r="CF502" i="9" s="1"/>
  <c r="CH524" i="9"/>
  <c r="CI524" i="9" s="1"/>
  <c r="BF490" i="9"/>
  <c r="BG490" i="9" s="1"/>
  <c r="BH490" i="9" s="1" a="1"/>
  <c r="BH490" i="9" s="1"/>
  <c r="BR511" i="9"/>
  <c r="BS511" i="9" s="1"/>
  <c r="BN532" i="9"/>
  <c r="BO532" i="9" s="1"/>
  <c r="BP532" i="9" s="1" a="1"/>
  <c r="BP532" i="9" s="1"/>
  <c r="BZ488" i="9"/>
  <c r="CA488" i="9" s="1"/>
  <c r="CB488" i="9" s="1" a="1"/>
  <c r="CB488" i="9" s="1"/>
  <c r="BF488" i="9"/>
  <c r="BG488" i="9" s="1"/>
  <c r="BH488" i="9" s="1" a="1"/>
  <c r="BH488" i="9" s="1"/>
  <c r="BJ488" i="9"/>
  <c r="BK488" i="9" s="1"/>
  <c r="CL488" i="9"/>
  <c r="CM488" i="9" s="1"/>
  <c r="CD532" i="9"/>
  <c r="CE532" i="9" s="1"/>
  <c r="CL518" i="9"/>
  <c r="CM518" i="9" s="1"/>
  <c r="BJ549" i="9"/>
  <c r="BK549" i="9" s="1"/>
  <c r="BF549" i="9"/>
  <c r="BG549" i="9" s="1"/>
  <c r="BH549" i="9" s="1" a="1"/>
  <c r="BH549" i="9" s="1"/>
  <c r="BZ549" i="9"/>
  <c r="CA549" i="9" s="1"/>
  <c r="CB549" i="9" s="1" a="1"/>
  <c r="CB549" i="9" s="1"/>
  <c r="CL549" i="9"/>
  <c r="CM549" i="9" s="1"/>
  <c r="BR549" i="9"/>
  <c r="BS549" i="9" s="1"/>
  <c r="CH549" i="9"/>
  <c r="CI549" i="9" s="1"/>
  <c r="CJ549" i="9" s="1" a="1"/>
  <c r="CJ549" i="9" s="1"/>
  <c r="CN538" i="9" a="1"/>
  <c r="CN538" i="9" s="1"/>
  <c r="CO538" i="9" a="1"/>
  <c r="CO538" i="9" s="1"/>
  <c r="BR540" i="9"/>
  <c r="BS540" i="9" s="1"/>
  <c r="BV559" i="9"/>
  <c r="Q559" i="9" s="1"/>
  <c r="AB559" i="9" s="1"/>
  <c r="AZ573" i="9"/>
  <c r="CL573" i="9" s="1"/>
  <c r="CM573" i="9" s="1"/>
  <c r="CH581" i="9"/>
  <c r="CI581" i="9" s="1"/>
  <c r="BZ518" i="9"/>
  <c r="CA518" i="9" s="1"/>
  <c r="CB518" i="9" s="1" a="1"/>
  <c r="CB518" i="9" s="1"/>
  <c r="BF518" i="9"/>
  <c r="BG518" i="9" s="1"/>
  <c r="BH518" i="9" s="1" a="1"/>
  <c r="BH518" i="9" s="1"/>
  <c r="CD551" i="9"/>
  <c r="CE551" i="9" s="1"/>
  <c r="CF551" i="9" s="1" a="1"/>
  <c r="CF551" i="9" s="1"/>
  <c r="CL526" i="9"/>
  <c r="CM526" i="9" s="1"/>
  <c r="AZ534" i="9"/>
  <c r="CD534" i="9" s="1"/>
  <c r="CE534" i="9" s="1"/>
  <c r="BT564" i="9" a="1"/>
  <c r="BT564" i="9" s="1"/>
  <c r="BN574" i="9"/>
  <c r="BO574" i="9" s="1"/>
  <c r="BJ541" i="9"/>
  <c r="BK541" i="9" s="1"/>
  <c r="CN564" i="9" a="1"/>
  <c r="CN564" i="9" s="1"/>
  <c r="CD589" i="9"/>
  <c r="CE589" i="9" s="1"/>
  <c r="BN619" i="9"/>
  <c r="BO619" i="9" s="1"/>
  <c r="BJ511" i="9"/>
  <c r="BK511" i="9" s="1"/>
  <c r="CH548" i="9"/>
  <c r="CI548" i="9" s="1"/>
  <c r="CH556" i="9"/>
  <c r="CI556" i="9" s="1"/>
  <c r="CJ556" i="9" s="1" a="1"/>
  <c r="CJ556" i="9" s="1"/>
  <c r="CL519" i="9"/>
  <c r="CM519" i="9" s="1"/>
  <c r="BZ548" i="9"/>
  <c r="CA548" i="9" s="1"/>
  <c r="CB548" i="9" s="1" a="1"/>
  <c r="CB548" i="9" s="1"/>
  <c r="BF548" i="9"/>
  <c r="BG548" i="9" s="1"/>
  <c r="BH548" i="9" s="1" a="1"/>
  <c r="BH548" i="9" s="1"/>
  <c r="CD582" i="9"/>
  <c r="CE582" i="9" s="1"/>
  <c r="CF582" i="9" s="1" a="1"/>
  <c r="CF582" i="9" s="1"/>
  <c r="BJ518" i="9"/>
  <c r="BK518" i="9" s="1"/>
  <c r="CH634" i="9"/>
  <c r="CI634" i="9" s="1"/>
  <c r="CJ634" i="9" s="1" a="1"/>
  <c r="CJ634" i="9" s="1"/>
  <c r="CL553" i="9"/>
  <c r="CM553" i="9" s="1"/>
  <c r="BF628" i="9"/>
  <c r="BG628" i="9" s="1"/>
  <c r="BH628" i="9" s="1" a="1"/>
  <c r="BH628" i="9" s="1"/>
  <c r="BZ628" i="9"/>
  <c r="CA628" i="9" s="1"/>
  <c r="CB628" i="9" s="1" a="1"/>
  <c r="CB628" i="9" s="1"/>
  <c r="CL575" i="9"/>
  <c r="CM575" i="9" s="1"/>
  <c r="BR576" i="9"/>
  <c r="BS576" i="9" s="1"/>
  <c r="CD591" i="9"/>
  <c r="CE591" i="9" s="1"/>
  <c r="CF591" i="9" s="1" a="1"/>
  <c r="CF591" i="9" s="1"/>
  <c r="BN622" i="9"/>
  <c r="BO622" i="9" s="1"/>
  <c r="BR634" i="9"/>
  <c r="BS634" i="9" s="1"/>
  <c r="BJ555" i="9"/>
  <c r="BK555" i="9" s="1"/>
  <c r="BL555" i="9" s="1" a="1"/>
  <c r="BL555" i="9" s="1"/>
  <c r="BJ583" i="9"/>
  <c r="BK583" i="9" s="1"/>
  <c r="BL583" i="9" s="1" a="1"/>
  <c r="BL583" i="9" s="1"/>
  <c r="BN584" i="9"/>
  <c r="BO584" i="9" s="1"/>
  <c r="CD613" i="9"/>
  <c r="CE613" i="9" s="1"/>
  <c r="CF613" i="9" s="1" a="1"/>
  <c r="CF613" i="9" s="1"/>
  <c r="CL634" i="9"/>
  <c r="CM634" i="9" s="1"/>
  <c r="BJ574" i="9"/>
  <c r="BK574" i="9" s="1"/>
  <c r="BL574" i="9" s="1" a="1"/>
  <c r="BL574" i="9" s="1"/>
  <c r="BL588" i="9" a="1"/>
  <c r="BL588" i="9" s="1"/>
  <c r="BV588" i="9" s="1"/>
  <c r="Q588" i="9" s="1"/>
  <c r="BJ591" i="9"/>
  <c r="BK591" i="9" s="1"/>
  <c r="BL591" i="9" s="1" a="1"/>
  <c r="BL591" i="9" s="1"/>
  <c r="BN592" i="9"/>
  <c r="BO592" i="9" s="1"/>
  <c r="BP592" i="9" s="1" a="1"/>
  <c r="BP592" i="9" s="1"/>
  <c r="CD606" i="9"/>
  <c r="CE606" i="9" s="1"/>
  <c r="CL606" i="9"/>
  <c r="CM606" i="9" s="1"/>
  <c r="BR618" i="9"/>
  <c r="BS618" i="9" s="1"/>
  <c r="CD658" i="9"/>
  <c r="CE658" i="9" s="1"/>
  <c r="BZ504" i="9"/>
  <c r="CA504" i="9" s="1"/>
  <c r="CB504" i="9" s="1" a="1"/>
  <c r="CB504" i="9" s="1"/>
  <c r="CL552" i="9"/>
  <c r="CM552" i="9" s="1"/>
  <c r="BN591" i="9"/>
  <c r="BO591" i="9" s="1"/>
  <c r="BP591" i="9" s="1" a="1"/>
  <c r="BP591" i="9" s="1"/>
  <c r="BR605" i="9"/>
  <c r="BS605" i="9" s="1"/>
  <c r="BN618" i="9"/>
  <c r="BO618" i="9" s="1"/>
  <c r="BP618" i="9" s="1" a="1"/>
  <c r="BP618" i="9" s="1"/>
  <c r="BJ683" i="9"/>
  <c r="BK683" i="9" s="1"/>
  <c r="BL683" i="9" s="1" a="1"/>
  <c r="BL683" i="9" s="1"/>
  <c r="CP686" i="9"/>
  <c r="V686" i="9" s="1"/>
  <c r="BZ664" i="9"/>
  <c r="CA664" i="9" s="1"/>
  <c r="CB664" i="9" s="1" a="1"/>
  <c r="CB664" i="9" s="1"/>
  <c r="BF664" i="9"/>
  <c r="BG664" i="9" s="1"/>
  <c r="BH664" i="9" s="1" a="1"/>
  <c r="BH664" i="9" s="1"/>
  <c r="CF667" i="9" a="1"/>
  <c r="CF667" i="9" s="1"/>
  <c r="CD681" i="9"/>
  <c r="CE681" i="9" s="1"/>
  <c r="AZ712" i="9"/>
  <c r="BN712" i="9" s="1"/>
  <c r="BO712" i="9" s="1"/>
  <c r="CD640" i="9"/>
  <c r="CE640" i="9" s="1"/>
  <c r="BR651" i="9"/>
  <c r="BS651" i="9" s="1"/>
  <c r="CH661" i="9"/>
  <c r="CI661" i="9" s="1"/>
  <c r="CJ661" i="9" s="1" a="1"/>
  <c r="CJ661" i="9" s="1"/>
  <c r="CD690" i="9"/>
  <c r="CE690" i="9" s="1"/>
  <c r="CF690" i="9" s="1" a="1"/>
  <c r="CF690" i="9" s="1"/>
  <c r="CL700" i="9"/>
  <c r="CM700" i="9" s="1"/>
  <c r="CD706" i="9"/>
  <c r="CE706" i="9" s="1"/>
  <c r="CH715" i="9"/>
  <c r="CI715" i="9" s="1"/>
  <c r="AZ723" i="9"/>
  <c r="BJ723" i="9" s="1"/>
  <c r="BK723" i="9" s="1"/>
  <c r="AZ624" i="9"/>
  <c r="CL624" i="9" s="1"/>
  <c r="CM624" i="9" s="1"/>
  <c r="CD682" i="9"/>
  <c r="CE682" i="9" s="1"/>
  <c r="CF682" i="9" s="1" a="1"/>
  <c r="CF682" i="9" s="1"/>
  <c r="AZ688" i="9"/>
  <c r="BN688" i="9" s="1"/>
  <c r="BO688" i="9" s="1"/>
  <c r="BJ600" i="9"/>
  <c r="BK600" i="9" s="1"/>
  <c r="BL600" i="9" s="1" a="1"/>
  <c r="BL600" i="9" s="1"/>
  <c r="BF643" i="9"/>
  <c r="BG643" i="9" s="1"/>
  <c r="BH643" i="9" s="1" a="1"/>
  <c r="BH643" i="9" s="1"/>
  <c r="BF672" i="9"/>
  <c r="BG672" i="9" s="1"/>
  <c r="BH672" i="9" s="1" a="1"/>
  <c r="BH672" i="9" s="1"/>
  <c r="BZ672" i="9"/>
  <c r="CA672" i="9" s="1"/>
  <c r="CB672" i="9" s="1" a="1"/>
  <c r="CB672" i="9" s="1"/>
  <c r="BF679" i="9"/>
  <c r="BG679" i="9" s="1"/>
  <c r="BH679" i="9" s="1" a="1"/>
  <c r="BH679" i="9" s="1"/>
  <c r="BZ679" i="9"/>
  <c r="CA679" i="9" s="1"/>
  <c r="CB679" i="9" s="1" a="1"/>
  <c r="CB679" i="9" s="1"/>
  <c r="BJ679" i="9"/>
  <c r="BK679" i="9" s="1"/>
  <c r="CL714" i="9"/>
  <c r="CM714" i="9" s="1"/>
  <c r="CD585" i="9"/>
  <c r="CE585" i="9" s="1"/>
  <c r="BN626" i="9"/>
  <c r="BO626" i="9" s="1"/>
  <c r="BP626" i="9" s="1" a="1"/>
  <c r="BP626" i="9" s="1"/>
  <c r="CD628" i="9"/>
  <c r="CE628" i="9" s="1"/>
  <c r="AZ674" i="9"/>
  <c r="CH674" i="9" s="1"/>
  <c r="CI674" i="9" s="1"/>
  <c r="CD677" i="9"/>
  <c r="CE677" i="9" s="1"/>
  <c r="CF677" i="9" s="1" a="1"/>
  <c r="CF677" i="9" s="1"/>
  <c r="AZ680" i="9"/>
  <c r="CH680" i="9" s="1"/>
  <c r="CI680" i="9" s="1"/>
  <c r="BZ681" i="9"/>
  <c r="CA681" i="9" s="1"/>
  <c r="CB681" i="9" s="1" a="1"/>
  <c r="CB681" i="9" s="1"/>
  <c r="CD715" i="9"/>
  <c r="CE715" i="9" s="1"/>
  <c r="BR722" i="9"/>
  <c r="BS722" i="9" s="1"/>
  <c r="BH727" i="9" a="1"/>
  <c r="BH727" i="9" s="1"/>
  <c r="CB727" i="9" a="1"/>
  <c r="CB727" i="9" s="1"/>
  <c r="CL600" i="9"/>
  <c r="CM600" i="9" s="1"/>
  <c r="BN637" i="9"/>
  <c r="BO637" i="9" s="1"/>
  <c r="BP637" i="9" s="1" a="1"/>
  <c r="BP637" i="9" s="1"/>
  <c r="BN664" i="9"/>
  <c r="BO664" i="9" s="1"/>
  <c r="BN682" i="9"/>
  <c r="BO682" i="9" s="1"/>
  <c r="CL656" i="9"/>
  <c r="CM656" i="9" s="1"/>
  <c r="CH666" i="9"/>
  <c r="CI666" i="9" s="1"/>
  <c r="CJ666" i="9" s="1" a="1"/>
  <c r="CJ666" i="9" s="1"/>
  <c r="CL679" i="9"/>
  <c r="CM679" i="9" s="1"/>
  <c r="BJ689" i="9"/>
  <c r="BK689" i="9" s="1"/>
  <c r="BR689" i="9"/>
  <c r="BS689" i="9" s="1"/>
  <c r="BZ689" i="9"/>
  <c r="CA689" i="9" s="1"/>
  <c r="CB689" i="9" s="1" a="1"/>
  <c r="CB689" i="9" s="1"/>
  <c r="BF689" i="9"/>
  <c r="BG689" i="9" s="1"/>
  <c r="BH689" i="9" s="1" a="1"/>
  <c r="BH689" i="9" s="1"/>
  <c r="BJ705" i="9"/>
  <c r="BK705" i="9" s="1"/>
  <c r="BR705" i="9"/>
  <c r="BS705" i="9" s="1"/>
  <c r="BZ705" i="9"/>
  <c r="CA705" i="9" s="1"/>
  <c r="CB705" i="9" s="1" a="1"/>
  <c r="CB705" i="9" s="1"/>
  <c r="BF705" i="9"/>
  <c r="BG705" i="9" s="1"/>
  <c r="BH705" i="9" s="1" a="1"/>
  <c r="BH705" i="9" s="1"/>
  <c r="BN705" i="9"/>
  <c r="BO705" i="9" s="1"/>
  <c r="CH705" i="9"/>
  <c r="CI705" i="9" s="1"/>
  <c r="CJ705" i="9" s="1" a="1"/>
  <c r="CJ705" i="9" s="1"/>
  <c r="CN710" i="9" a="1"/>
  <c r="CN710" i="9" s="1"/>
  <c r="CO710" i="9" a="1"/>
  <c r="CO710" i="9" s="1"/>
  <c r="BR671" i="9"/>
  <c r="BS671" i="9" s="1"/>
  <c r="BF708" i="9"/>
  <c r="BG708" i="9" s="1"/>
  <c r="BH708" i="9" s="1" a="1"/>
  <c r="BH708" i="9" s="1"/>
  <c r="CD716" i="9"/>
  <c r="CE716" i="9" s="1"/>
  <c r="CF716" i="9" s="1" a="1"/>
  <c r="CF716" i="9" s="1"/>
  <c r="CD726" i="9"/>
  <c r="CE726" i="9" s="1"/>
  <c r="CF726" i="9" s="1" a="1"/>
  <c r="CF726" i="9" s="1"/>
  <c r="BF726" i="9"/>
  <c r="BG726" i="9" s="1"/>
  <c r="BH726" i="9" s="1" a="1"/>
  <c r="BH726" i="9" s="1"/>
  <c r="CH732" i="9"/>
  <c r="CI732" i="9" s="1"/>
  <c r="CJ732" i="9" s="1" a="1"/>
  <c r="CJ732" i="9" s="1"/>
  <c r="AZ747" i="9"/>
  <c r="BN747" i="9" s="1"/>
  <c r="BO747" i="9" s="1"/>
  <c r="BN681" i="9"/>
  <c r="BO681" i="9" s="1"/>
  <c r="BZ701" i="9"/>
  <c r="CA701" i="9" s="1"/>
  <c r="CB701" i="9" s="1" a="1"/>
  <c r="CB701" i="9" s="1"/>
  <c r="BR709" i="9"/>
  <c r="BS709" i="9" s="1"/>
  <c r="BF717" i="9"/>
  <c r="BG717" i="9" s="1"/>
  <c r="BH717" i="9" s="1" a="1"/>
  <c r="BH717" i="9" s="1"/>
  <c r="CD729" i="9"/>
  <c r="CE729" i="9" s="1"/>
  <c r="CF729" i="9" s="1" a="1"/>
  <c r="CF729" i="9" s="1"/>
  <c r="BN810" i="9"/>
  <c r="BO810" i="9" s="1"/>
  <c r="CH810" i="9"/>
  <c r="CI810" i="9" s="1"/>
  <c r="CL810" i="9"/>
  <c r="CM810" i="9" s="1"/>
  <c r="BR810" i="9"/>
  <c r="BS810" i="9" s="1"/>
  <c r="BZ810" i="9"/>
  <c r="CA810" i="9" s="1"/>
  <c r="CB810" i="9" s="1" a="1"/>
  <c r="CB810" i="9" s="1"/>
  <c r="BF810" i="9"/>
  <c r="BG810" i="9" s="1"/>
  <c r="BH810" i="9" s="1" a="1"/>
  <c r="BH810" i="9" s="1"/>
  <c r="BJ810" i="9"/>
  <c r="BK810" i="9" s="1"/>
  <c r="CD810" i="9"/>
  <c r="CE810" i="9" s="1"/>
  <c r="CJ727" i="9" a="1"/>
  <c r="CJ727" i="9" s="1"/>
  <c r="CO759" i="9" a="1"/>
  <c r="CO759" i="9" s="1"/>
  <c r="CN759" i="9" a="1"/>
  <c r="CN759" i="9" s="1"/>
  <c r="CO776" i="9" a="1"/>
  <c r="CO776" i="9" s="1"/>
  <c r="BL838" i="9" a="1"/>
  <c r="BL838" i="9" s="1"/>
  <c r="BH838" i="9" a="1"/>
  <c r="BH838" i="9" s="1"/>
  <c r="CO864" i="9" a="1"/>
  <c r="CO864" i="9" s="1"/>
  <c r="BT832" i="9" a="1"/>
  <c r="BT832" i="9" s="1"/>
  <c r="BU832" i="9" a="1"/>
  <c r="BU832" i="9" s="1"/>
  <c r="CO911" i="9" a="1"/>
  <c r="CO911" i="9" s="1"/>
  <c r="BT838" i="9" a="1"/>
  <c r="BT838" i="9" s="1"/>
  <c r="BU838" i="9" a="1"/>
  <c r="BU838" i="9" s="1"/>
  <c r="BU885" i="9" a="1"/>
  <c r="BU885" i="9" s="1"/>
  <c r="CO928" i="9" a="1"/>
  <c r="CO928" i="9" s="1"/>
  <c r="BU905" i="9" a="1"/>
  <c r="BU905" i="9" s="1"/>
  <c r="CO953" i="9" a="1"/>
  <c r="CO953" i="9" s="1"/>
  <c r="BT950" i="9" a="1"/>
  <c r="BT950" i="9" s="1"/>
  <c r="BU950" i="9" a="1"/>
  <c r="BU950" i="9" s="1"/>
  <c r="CF943" i="9" a="1"/>
  <c r="CF943" i="9" s="1"/>
  <c r="BT1012" i="9" a="1"/>
  <c r="BT1012" i="9" s="1"/>
  <c r="BU1012" i="9" a="1"/>
  <c r="BU1012" i="9" s="1"/>
  <c r="CN1010" i="9" a="1"/>
  <c r="CN1010" i="9" s="1"/>
  <c r="CO1010" i="9" a="1"/>
  <c r="CO1010" i="9" s="1"/>
  <c r="BL1002" i="9" a="1"/>
  <c r="BL1002" i="9" s="1"/>
  <c r="BF731" i="9"/>
  <c r="BG731" i="9" s="1"/>
  <c r="BH731" i="9" s="1" a="1"/>
  <c r="BH731" i="9" s="1"/>
  <c r="CL737" i="9"/>
  <c r="CM737" i="9" s="1"/>
  <c r="AZ753" i="9"/>
  <c r="AZ761" i="9"/>
  <c r="BN766" i="9"/>
  <c r="BO766" i="9" s="1"/>
  <c r="CD784" i="9"/>
  <c r="CE784" i="9" s="1"/>
  <c r="BR792" i="9"/>
  <c r="BS792" i="9" s="1"/>
  <c r="BF792" i="9"/>
  <c r="BG792" i="9" s="1"/>
  <c r="BH792" i="9" s="1" a="1"/>
  <c r="BH792" i="9" s="1"/>
  <c r="BZ792" i="9"/>
  <c r="CA792" i="9" s="1"/>
  <c r="CB792" i="9" s="1" a="1"/>
  <c r="CB792" i="9" s="1"/>
  <c r="CL744" i="9"/>
  <c r="CM744" i="9" s="1"/>
  <c r="BF775" i="9"/>
  <c r="BG775" i="9" s="1"/>
  <c r="BH775" i="9" s="1" a="1"/>
  <c r="BH775" i="9" s="1"/>
  <c r="AZ783" i="9"/>
  <c r="BZ787" i="9"/>
  <c r="CA787" i="9" s="1"/>
  <c r="BR787" i="9"/>
  <c r="BS787" i="9" s="1"/>
  <c r="CL792" i="9"/>
  <c r="CM792" i="9" s="1"/>
  <c r="CL800" i="9"/>
  <c r="CM800" i="9" s="1"/>
  <c r="BR776" i="9"/>
  <c r="BS776" i="9" s="1"/>
  <c r="BR812" i="9"/>
  <c r="BS812" i="9" s="1"/>
  <c r="CD770" i="9"/>
  <c r="CE770" i="9" s="1"/>
  <c r="CH755" i="9"/>
  <c r="CI755" i="9" s="1"/>
  <c r="BN771" i="9"/>
  <c r="BO771" i="9" s="1"/>
  <c r="BP771" i="9" s="1" a="1"/>
  <c r="BP771" i="9" s="1"/>
  <c r="BR825" i="9"/>
  <c r="BS825" i="9" s="1"/>
  <c r="AZ851" i="9"/>
  <c r="BJ851" i="9" s="1"/>
  <c r="BK851" i="9" s="1"/>
  <c r="CH765" i="9"/>
  <c r="CI765" i="9" s="1"/>
  <c r="BN787" i="9"/>
  <c r="BO787" i="9" s="1"/>
  <c r="BN792" i="9"/>
  <c r="BO792" i="9" s="1"/>
  <c r="CD794" i="9"/>
  <c r="CE794" i="9" s="1"/>
  <c r="CD754" i="9"/>
  <c r="CE754" i="9" s="1"/>
  <c r="CD763" i="9"/>
  <c r="CE763" i="9" s="1"/>
  <c r="BF773" i="9"/>
  <c r="BG773" i="9" s="1"/>
  <c r="BH773" i="9" s="1" a="1"/>
  <c r="BH773" i="9" s="1"/>
  <c r="CD816" i="9"/>
  <c r="CE816" i="9" s="1"/>
  <c r="AZ821" i="9"/>
  <c r="CL821" i="9" s="1"/>
  <c r="CM821" i="9" s="1"/>
  <c r="CD840" i="9"/>
  <c r="CE840" i="9" s="1"/>
  <c r="BZ856" i="9"/>
  <c r="CA856" i="9" s="1"/>
  <c r="CB856" i="9" s="1" a="1"/>
  <c r="CB856" i="9" s="1"/>
  <c r="BF856" i="9"/>
  <c r="BG856" i="9" s="1"/>
  <c r="BH856" i="9" s="1" a="1"/>
  <c r="BH856" i="9" s="1"/>
  <c r="BJ856" i="9"/>
  <c r="BK856" i="9" s="1"/>
  <c r="CD864" i="9"/>
  <c r="CE864" i="9" s="1"/>
  <c r="BF880" i="9"/>
  <c r="BG880" i="9" s="1"/>
  <c r="BH880" i="9" s="1" a="1"/>
  <c r="BH880" i="9" s="1"/>
  <c r="BZ880" i="9"/>
  <c r="CA880" i="9" s="1"/>
  <c r="BJ880" i="9"/>
  <c r="BK880" i="9" s="1"/>
  <c r="BL880" i="9" s="1" a="1"/>
  <c r="BL880" i="9" s="1"/>
  <c r="BR739" i="9"/>
  <c r="BS739" i="9" s="1"/>
  <c r="BR762" i="9"/>
  <c r="BS762" i="9" s="1"/>
  <c r="BF770" i="9"/>
  <c r="BG770" i="9" s="1"/>
  <c r="BH770" i="9" s="1" a="1"/>
  <c r="BH770" i="9" s="1"/>
  <c r="CH784" i="9"/>
  <c r="CI784" i="9" s="1"/>
  <c r="AZ822" i="9"/>
  <c r="BJ822" i="9" s="1"/>
  <c r="BK822" i="9" s="1"/>
  <c r="AZ828" i="9"/>
  <c r="BN828" i="9" s="1"/>
  <c r="BO828" i="9" s="1"/>
  <c r="BN746" i="9"/>
  <c r="BO746" i="9" s="1"/>
  <c r="CL805" i="9"/>
  <c r="CM805" i="9" s="1"/>
  <c r="CL781" i="9"/>
  <c r="CM781" i="9" s="1"/>
  <c r="BF789" i="9"/>
  <c r="BG789" i="9" s="1"/>
  <c r="BH789" i="9" s="1" a="1"/>
  <c r="BH789" i="9" s="1"/>
  <c r="CD811" i="9"/>
  <c r="CE811" i="9" s="1"/>
  <c r="BR840" i="9"/>
  <c r="BS840" i="9" s="1"/>
  <c r="BL895" i="9" a="1"/>
  <c r="BL895" i="9" s="1"/>
  <c r="CH869" i="9"/>
  <c r="CI869" i="9" s="1"/>
  <c r="AZ875" i="9"/>
  <c r="BF875" i="9" s="1"/>
  <c r="BG875" i="9" s="1"/>
  <c r="BH875" i="9" s="1" a="1"/>
  <c r="BH875" i="9" s="1"/>
  <c r="CH831" i="9"/>
  <c r="CI831" i="9" s="1"/>
  <c r="CJ831" i="9" s="1" a="1"/>
  <c r="CJ831" i="9" s="1"/>
  <c r="AZ940" i="9"/>
  <c r="BJ940" i="9" s="1"/>
  <c r="BK940" i="9" s="1"/>
  <c r="CH839" i="9"/>
  <c r="CI839" i="9" s="1"/>
  <c r="CJ839" i="9" s="1" a="1"/>
  <c r="CJ839" i="9" s="1"/>
  <c r="CL846" i="9"/>
  <c r="CM846" i="9" s="1"/>
  <c r="CD874" i="9"/>
  <c r="CE874" i="9" s="1"/>
  <c r="CH805" i="9"/>
  <c r="CI805" i="9" s="1"/>
  <c r="CJ805" i="9" s="1" a="1"/>
  <c r="CJ805" i="9" s="1"/>
  <c r="BR858" i="9"/>
  <c r="BS858" i="9" s="1"/>
  <c r="BJ861" i="9"/>
  <c r="BK861" i="9" s="1"/>
  <c r="BJ866" i="9"/>
  <c r="BK866" i="9" s="1"/>
  <c r="CL882" i="9"/>
  <c r="CM882" i="9" s="1"/>
  <c r="BZ850" i="9"/>
  <c r="CA850" i="9" s="1"/>
  <c r="CB850" i="9" s="1" a="1"/>
  <c r="CB850" i="9" s="1"/>
  <c r="CL853" i="9"/>
  <c r="CM853" i="9" s="1"/>
  <c r="CD869" i="9"/>
  <c r="CE869" i="9" s="1"/>
  <c r="BR816" i="9"/>
  <c r="BS816" i="9" s="1"/>
  <c r="BR846" i="9"/>
  <c r="BS846" i="9" s="1"/>
  <c r="CD858" i="9"/>
  <c r="CE858" i="9" s="1"/>
  <c r="CF858" i="9" s="1" a="1"/>
  <c r="CF858" i="9" s="1"/>
  <c r="AZ889" i="9"/>
  <c r="CL889" i="9" s="1"/>
  <c r="CM889" i="9" s="1"/>
  <c r="AZ901" i="9"/>
  <c r="BJ901" i="9" s="1"/>
  <c r="BK901" i="9" s="1"/>
  <c r="AZ931" i="9"/>
  <c r="CH931" i="9" s="1"/>
  <c r="CI931" i="9" s="1"/>
  <c r="BN952" i="9"/>
  <c r="BO952" i="9" s="1"/>
  <c r="BT952" i="9" s="1" a="1"/>
  <c r="BT952" i="9" s="1"/>
  <c r="BR961" i="9"/>
  <c r="BS961" i="9" s="1"/>
  <c r="BJ910" i="9"/>
  <c r="BK910" i="9" s="1"/>
  <c r="CL961" i="9"/>
  <c r="CM961" i="9" s="1"/>
  <c r="BR926" i="9"/>
  <c r="BS926" i="9" s="1"/>
  <c r="BU937" i="9" a="1"/>
  <c r="BU937" i="9" s="1"/>
  <c r="BJ904" i="9"/>
  <c r="BK904" i="9" s="1"/>
  <c r="BL904" i="9" s="1" a="1"/>
  <c r="BL904" i="9" s="1"/>
  <c r="CL926" i="9"/>
  <c r="CM926" i="9" s="1"/>
  <c r="BJ936" i="9"/>
  <c r="BK936" i="9" s="1"/>
  <c r="BL936" i="9" s="1" a="1"/>
  <c r="BL936" i="9" s="1"/>
  <c r="CH952" i="9"/>
  <c r="CI952" i="9" s="1"/>
  <c r="CN952" i="9" s="1" a="1"/>
  <c r="CN952" i="9" s="1"/>
  <c r="BR919" i="9"/>
  <c r="BS919" i="9" s="1"/>
  <c r="BF970" i="9"/>
  <c r="BG970" i="9" s="1"/>
  <c r="BH970" i="9" s="1" a="1"/>
  <c r="BH970" i="9" s="1"/>
  <c r="BR970" i="9"/>
  <c r="BS970" i="9" s="1"/>
  <c r="BJ970" i="9"/>
  <c r="BK970" i="9" s="1"/>
  <c r="CL970" i="9"/>
  <c r="CM970" i="9" s="1"/>
  <c r="BZ970" i="9"/>
  <c r="CA970" i="9" s="1"/>
  <c r="CB970" i="9" s="1" a="1"/>
  <c r="CB970" i="9" s="1"/>
  <c r="CD968" i="9"/>
  <c r="CE968" i="9" s="1"/>
  <c r="CF968" i="9" s="1" a="1"/>
  <c r="CF968" i="9" s="1"/>
  <c r="CL972" i="9"/>
  <c r="CM972" i="9" s="1"/>
  <c r="BR972" i="9"/>
  <c r="BS972" i="9" s="1"/>
  <c r="BJ919" i="9"/>
  <c r="BK919" i="9" s="1"/>
  <c r="BL919" i="9" s="1" a="1"/>
  <c r="BL919" i="9" s="1"/>
  <c r="BJ934" i="9"/>
  <c r="BK934" i="9" s="1"/>
  <c r="BF962" i="9"/>
  <c r="BG962" i="9" s="1"/>
  <c r="BH962" i="9" s="1" a="1"/>
  <c r="BH962" i="9" s="1"/>
  <c r="CL962" i="9"/>
  <c r="CM962" i="9" s="1"/>
  <c r="BZ962" i="9"/>
  <c r="CA962" i="9" s="1"/>
  <c r="BN962" i="9"/>
  <c r="BO962" i="9" s="1"/>
  <c r="BR962" i="9"/>
  <c r="BS962" i="9" s="1"/>
  <c r="BJ962" i="9"/>
  <c r="BK962" i="9" s="1"/>
  <c r="BR974" i="9"/>
  <c r="BS974" i="9" s="1"/>
  <c r="AZ978" i="9"/>
  <c r="CH919" i="9"/>
  <c r="CI919" i="9" s="1"/>
  <c r="BR927" i="9"/>
  <c r="BS927" i="9" s="1"/>
  <c r="BJ937" i="9"/>
  <c r="BK937" i="9" s="1"/>
  <c r="CO974" i="9" a="1"/>
  <c r="CO974" i="9" s="1"/>
  <c r="BR988" i="9"/>
  <c r="BS988" i="9" s="1"/>
  <c r="BR1018" i="9"/>
  <c r="BS1018" i="9" s="1"/>
  <c r="BN991" i="9"/>
  <c r="BO991" i="9" s="1"/>
  <c r="CD1000" i="9"/>
  <c r="CE1000" i="9" s="1"/>
  <c r="BZ1004" i="9"/>
  <c r="CA1004" i="9" s="1"/>
  <c r="CL1016" i="9"/>
  <c r="CM1016" i="9" s="1"/>
  <c r="CD984" i="9"/>
  <c r="CE984" i="9" s="1"/>
  <c r="BZ1007" i="9"/>
  <c r="CA1007" i="9" s="1"/>
  <c r="CB1007" i="9" s="1" a="1"/>
  <c r="CB1007" i="9" s="1"/>
  <c r="BJ988" i="9"/>
  <c r="BK988" i="9" s="1"/>
  <c r="BN994" i="9"/>
  <c r="BO994" i="9" s="1"/>
  <c r="BZ1015" i="9"/>
  <c r="CA1015" i="9" s="1"/>
  <c r="BR983" i="9"/>
  <c r="BS983" i="9" s="1"/>
  <c r="BN1000" i="9"/>
  <c r="BO1000" i="9" s="1"/>
  <c r="CD1010" i="9"/>
  <c r="CE1010" i="9" s="1"/>
  <c r="CF1010" i="9" s="1" a="1"/>
  <c r="CF1010" i="9" s="1"/>
  <c r="BZ994" i="9"/>
  <c r="CA994" i="9" s="1"/>
  <c r="BR1000" i="9"/>
  <c r="BS1000" i="9" s="1"/>
  <c r="BN1007" i="9"/>
  <c r="BO1007" i="9" s="1"/>
  <c r="AZ780" i="9"/>
  <c r="BR780" i="9" s="1"/>
  <c r="BS780" i="9" s="1"/>
  <c r="BJ766" i="9"/>
  <c r="BK766" i="9" s="1"/>
  <c r="CL766" i="9"/>
  <c r="CM766" i="9" s="1"/>
  <c r="BZ766" i="9"/>
  <c r="CA766" i="9" s="1"/>
  <c r="CB766" i="9" s="1" a="1"/>
  <c r="CB766" i="9" s="1"/>
  <c r="BF766" i="9"/>
  <c r="BG766" i="9" s="1"/>
  <c r="BH766" i="9" s="1" a="1"/>
  <c r="BH766" i="9" s="1"/>
  <c r="BZ754" i="9"/>
  <c r="CA754" i="9" s="1"/>
  <c r="CL757" i="9"/>
  <c r="CM757" i="9" s="1"/>
  <c r="BN763" i="9"/>
  <c r="BO763" i="9" s="1"/>
  <c r="BP763" i="9" s="1" a="1"/>
  <c r="BP763" i="9" s="1"/>
  <c r="AZ809" i="9"/>
  <c r="BJ809" i="9" s="1"/>
  <c r="BK809" i="9" s="1"/>
  <c r="BZ874" i="9"/>
  <c r="CA874" i="9" s="1"/>
  <c r="CB874" i="9" s="1" a="1"/>
  <c r="CB874" i="9" s="1"/>
  <c r="CH874" i="9"/>
  <c r="CI874" i="9" s="1"/>
  <c r="CJ874" i="9" s="1" a="1"/>
  <c r="CJ874" i="9" s="1"/>
  <c r="BZ738" i="9"/>
  <c r="CA738" i="9" s="1"/>
  <c r="BZ741" i="9"/>
  <c r="CA741" i="9" s="1"/>
  <c r="BZ762" i="9"/>
  <c r="CA762" i="9" s="1"/>
  <c r="CB762" i="9" s="1" a="1"/>
  <c r="CB762" i="9" s="1"/>
  <c r="BF771" i="9"/>
  <c r="BG771" i="9" s="1"/>
  <c r="BZ773" i="9"/>
  <c r="CA773" i="9" s="1"/>
  <c r="CB773" i="9" s="1" a="1"/>
  <c r="CB773" i="9" s="1"/>
  <c r="AZ841" i="9"/>
  <c r="AZ865" i="9"/>
  <c r="BN865" i="9" s="1"/>
  <c r="BO865" i="9" s="1"/>
  <c r="CH763" i="9"/>
  <c r="CI763" i="9" s="1"/>
  <c r="CD771" i="9"/>
  <c r="CE771" i="9" s="1"/>
  <c r="CH771" i="9"/>
  <c r="CI771" i="9" s="1"/>
  <c r="CH792" i="9"/>
  <c r="CI792" i="9" s="1"/>
  <c r="CJ792" i="9" s="1" a="1"/>
  <c r="CJ792" i="9" s="1"/>
  <c r="CD762" i="9"/>
  <c r="CE762" i="9" s="1"/>
  <c r="CF762" i="9" s="1" a="1"/>
  <c r="CF762" i="9" s="1"/>
  <c r="BZ789" i="9"/>
  <c r="CA789" i="9" s="1"/>
  <c r="CB789" i="9" s="1" a="1"/>
  <c r="CB789" i="9" s="1"/>
  <c r="BF803" i="9"/>
  <c r="BG803" i="9" s="1"/>
  <c r="BH803" i="9" s="1" a="1"/>
  <c r="BH803" i="9" s="1"/>
  <c r="BR803" i="9"/>
  <c r="BS803" i="9" s="1"/>
  <c r="CL803" i="9"/>
  <c r="CM803" i="9" s="1"/>
  <c r="BJ803" i="9"/>
  <c r="BK803" i="9" s="1"/>
  <c r="BZ803" i="9"/>
  <c r="CA803" i="9" s="1"/>
  <c r="CB803" i="9" s="1" a="1"/>
  <c r="CB803" i="9" s="1"/>
  <c r="BR864" i="9"/>
  <c r="BS864" i="9" s="1"/>
  <c r="CP887" i="9"/>
  <c r="V887" i="9" s="1"/>
  <c r="AZ876" i="9"/>
  <c r="BZ876" i="9" s="1"/>
  <c r="CA876" i="9" s="1"/>
  <c r="CB876" i="9" s="1" a="1"/>
  <c r="CB876" i="9" s="1"/>
  <c r="CH829" i="9"/>
  <c r="CI829" i="9" s="1"/>
  <c r="BZ837" i="9"/>
  <c r="CA837" i="9" s="1"/>
  <c r="CB837" i="9" s="1" a="1"/>
  <c r="CB837" i="9" s="1"/>
  <c r="BN845" i="9"/>
  <c r="BO845" i="9" s="1"/>
  <c r="CH872" i="9"/>
  <c r="CI872" i="9" s="1"/>
  <c r="CJ872" i="9" s="1" a="1"/>
  <c r="CJ872" i="9" s="1"/>
  <c r="BN861" i="9"/>
  <c r="BO861" i="9" s="1"/>
  <c r="CL872" i="9"/>
  <c r="CM872" i="9" s="1"/>
  <c r="CD882" i="9"/>
  <c r="CE882" i="9" s="1"/>
  <c r="CH840" i="9"/>
  <c r="CI840" i="9" s="1"/>
  <c r="BV871" i="9"/>
  <c r="Q871" i="9" s="1"/>
  <c r="CL858" i="9"/>
  <c r="CM858" i="9" s="1"/>
  <c r="BF861" i="9"/>
  <c r="BG861" i="9" s="1"/>
  <c r="BH861" i="9" s="1" a="1"/>
  <c r="BH861" i="9" s="1"/>
  <c r="CH866" i="9"/>
  <c r="CI866" i="9" s="1"/>
  <c r="BN901" i="9"/>
  <c r="BO901" i="9" s="1"/>
  <c r="BP901" i="9" s="1" a="1"/>
  <c r="BP901" i="9" s="1"/>
  <c r="BR850" i="9"/>
  <c r="BS850" i="9" s="1"/>
  <c r="BJ853" i="9"/>
  <c r="BK853" i="9" s="1"/>
  <c r="CD861" i="9"/>
  <c r="CE861" i="9" s="1"/>
  <c r="BF869" i="9"/>
  <c r="BG869" i="9" s="1"/>
  <c r="AZ909" i="9"/>
  <c r="BZ909" i="9" s="1"/>
  <c r="CA909" i="9" s="1"/>
  <c r="CB909" i="9" s="1" a="1"/>
  <c r="CB909" i="9" s="1"/>
  <c r="AZ899" i="9"/>
  <c r="CH899" i="9" s="1"/>
  <c r="CI899" i="9" s="1"/>
  <c r="BJ825" i="9"/>
  <c r="BK825" i="9" s="1"/>
  <c r="CL847" i="9"/>
  <c r="CM847" i="9" s="1"/>
  <c r="BJ906" i="9"/>
  <c r="BK906" i="9" s="1"/>
  <c r="BZ906" i="9"/>
  <c r="CA906" i="9" s="1"/>
  <c r="CB906" i="9" s="1" a="1"/>
  <c r="CB906" i="9" s="1"/>
  <c r="BF906" i="9"/>
  <c r="BG906" i="9" s="1"/>
  <c r="BH906" i="9" s="1" a="1"/>
  <c r="BH906" i="9" s="1"/>
  <c r="BJ922" i="9"/>
  <c r="BK922" i="9" s="1"/>
  <c r="BZ922" i="9"/>
  <c r="CA922" i="9" s="1"/>
  <c r="CB922" i="9" s="1" a="1"/>
  <c r="CB922" i="9" s="1"/>
  <c r="BF922" i="9"/>
  <c r="BG922" i="9" s="1"/>
  <c r="BH922" i="9" s="1" a="1"/>
  <c r="BH922" i="9" s="1"/>
  <c r="BN936" i="9"/>
  <c r="BO936" i="9" s="1"/>
  <c r="BJ946" i="9"/>
  <c r="BK946" i="9" s="1"/>
  <c r="BZ946" i="9"/>
  <c r="CA946" i="9" s="1"/>
  <c r="CB946" i="9" s="1" a="1"/>
  <c r="CB946" i="9" s="1"/>
  <c r="BF946" i="9"/>
  <c r="BG946" i="9" s="1"/>
  <c r="BH946" i="9" s="1" a="1"/>
  <c r="BH946" i="9" s="1"/>
  <c r="BN946" i="9"/>
  <c r="BO946" i="9" s="1"/>
  <c r="BR953" i="9"/>
  <c r="BS953" i="9" s="1"/>
  <c r="BZ904" i="9"/>
  <c r="CA904" i="9" s="1"/>
  <c r="BR922" i="9"/>
  <c r="BS922" i="9" s="1"/>
  <c r="AZ957" i="9"/>
  <c r="CH910" i="9"/>
  <c r="CI910" i="9" s="1"/>
  <c r="BN926" i="9"/>
  <c r="BO926" i="9" s="1"/>
  <c r="BZ967" i="9"/>
  <c r="CA967" i="9" s="1"/>
  <c r="CB967" i="9" s="1" a="1"/>
  <c r="CB967" i="9" s="1"/>
  <c r="CL967" i="9"/>
  <c r="CM967" i="9" s="1"/>
  <c r="BJ927" i="9"/>
  <c r="BK927" i="9" s="1"/>
  <c r="BL927" i="9" s="1" a="1"/>
  <c r="BL927" i="9" s="1"/>
  <c r="BF958" i="9"/>
  <c r="BG958" i="9" s="1"/>
  <c r="BH958" i="9" s="1" a="1"/>
  <c r="BH958" i="9" s="1"/>
  <c r="BJ958" i="9"/>
  <c r="BK958" i="9" s="1"/>
  <c r="BZ958" i="9"/>
  <c r="CA958" i="9" s="1"/>
  <c r="CB958" i="9" s="1" a="1"/>
  <c r="CB958" i="9" s="1"/>
  <c r="CH958" i="9"/>
  <c r="CI958" i="9" s="1"/>
  <c r="CL958" i="9"/>
  <c r="CM958" i="9" s="1"/>
  <c r="BN958" i="9"/>
  <c r="BO958" i="9" s="1"/>
  <c r="BJ926" i="9"/>
  <c r="BK926" i="9" s="1"/>
  <c r="BZ913" i="9"/>
  <c r="CA913" i="9" s="1"/>
  <c r="CB913" i="9" s="1" a="1"/>
  <c r="CB913" i="9" s="1"/>
  <c r="CB920" i="9" a="1"/>
  <c r="CB920" i="9" s="1"/>
  <c r="BN934" i="9"/>
  <c r="BO934" i="9" s="1"/>
  <c r="AZ989" i="9"/>
  <c r="BJ989" i="9" s="1"/>
  <c r="BK989" i="9" s="1"/>
  <c r="AZ1005" i="9"/>
  <c r="CL1005" i="9" s="1"/>
  <c r="CM1005" i="9" s="1"/>
  <c r="AZ1021" i="9"/>
  <c r="BR1021" i="9" s="1"/>
  <c r="BS1021" i="9" s="1"/>
  <c r="BN918" i="9"/>
  <c r="BO918" i="9" s="1"/>
  <c r="BR934" i="9"/>
  <c r="BS934" i="9" s="1"/>
  <c r="BR968" i="9"/>
  <c r="BS968" i="9" s="1"/>
  <c r="BF984" i="9"/>
  <c r="BG984" i="9" s="1"/>
  <c r="BH984" i="9" s="1" a="1"/>
  <c r="BH984" i="9" s="1"/>
  <c r="BF1016" i="9"/>
  <c r="BG1016" i="9" s="1"/>
  <c r="BH1016" i="9" s="1" a="1"/>
  <c r="BH1016" i="9" s="1"/>
  <c r="CH934" i="9"/>
  <c r="CI934" i="9" s="1"/>
  <c r="BJ944" i="9"/>
  <c r="BK944" i="9" s="1"/>
  <c r="BL944" i="9" s="1" a="1"/>
  <c r="BL944" i="9" s="1"/>
  <c r="CH920" i="9"/>
  <c r="CI920" i="9" s="1"/>
  <c r="CB928" i="9" a="1"/>
  <c r="CB928" i="9" s="1"/>
  <c r="BF937" i="9"/>
  <c r="BG937" i="9" s="1"/>
  <c r="BH937" i="9" s="1" a="1"/>
  <c r="BH937" i="9" s="1"/>
  <c r="CD956" i="9"/>
  <c r="CE956" i="9" s="1"/>
  <c r="BR958" i="9"/>
  <c r="BS958" i="9" s="1"/>
  <c r="AZ1006" i="9"/>
  <c r="CD1006" i="9" s="1"/>
  <c r="CE1006" i="9" s="1"/>
  <c r="BJ1000" i="9"/>
  <c r="BK1000" i="9" s="1"/>
  <c r="BL1000" i="9" s="1" a="1"/>
  <c r="BL1000" i="9" s="1"/>
  <c r="BJ984" i="9"/>
  <c r="BK984" i="9" s="1"/>
  <c r="CH1007" i="9"/>
  <c r="CI1007" i="9" s="1"/>
  <c r="CJ1007" i="9" s="1" a="1"/>
  <c r="CJ1007" i="9" s="1"/>
  <c r="BJ999" i="9"/>
  <c r="BK999" i="9" s="1"/>
  <c r="BJ1008" i="9"/>
  <c r="BK1008" i="9" s="1"/>
  <c r="BN1018" i="9"/>
  <c r="BO1018" i="9" s="1"/>
  <c r="BP1018" i="9" s="1" a="1"/>
  <c r="BP1018" i="9" s="1"/>
  <c r="BR1001" i="9"/>
  <c r="BS1001" i="9" s="1"/>
  <c r="BF968" i="9"/>
  <c r="BG968" i="9" s="1"/>
  <c r="CL1002" i="9"/>
  <c r="CM1002" i="9" s="1"/>
  <c r="CH1015" i="9"/>
  <c r="CI1015" i="9" s="1"/>
  <c r="CD992" i="9"/>
  <c r="CE992" i="9" s="1"/>
  <c r="BR994" i="9"/>
  <c r="BS994" i="9" s="1"/>
  <c r="BJ1001" i="9"/>
  <c r="BK1001" i="9" s="1"/>
  <c r="BL1001" i="9" s="1" a="1"/>
  <c r="BL1001" i="9" s="1"/>
  <c r="CD1016" i="9"/>
  <c r="CE1016" i="9" s="1"/>
  <c r="AZ785" i="9"/>
  <c r="BZ785" i="9" s="1"/>
  <c r="CA785" i="9" s="1"/>
  <c r="CB785" i="9" s="1" a="1"/>
  <c r="CB785" i="9" s="1"/>
  <c r="AZ772" i="9"/>
  <c r="BZ772" i="9" s="1"/>
  <c r="CA772" i="9" s="1"/>
  <c r="CB772" i="9" s="1" a="1"/>
  <c r="CB772" i="9" s="1"/>
  <c r="CL736" i="9"/>
  <c r="CM736" i="9" s="1"/>
  <c r="BR749" i="9"/>
  <c r="BS749" i="9" s="1"/>
  <c r="BR773" i="9"/>
  <c r="BS773" i="9" s="1"/>
  <c r="BR781" i="9"/>
  <c r="BS781" i="9" s="1"/>
  <c r="CH783" i="9"/>
  <c r="CI783" i="9" s="1"/>
  <c r="CD746" i="9"/>
  <c r="CE746" i="9" s="1"/>
  <c r="BR766" i="9"/>
  <c r="BS766" i="9" s="1"/>
  <c r="CL754" i="9"/>
  <c r="CM754" i="9" s="1"/>
  <c r="BF763" i="9"/>
  <c r="BG763" i="9" s="1"/>
  <c r="BN822" i="9"/>
  <c r="BO822" i="9" s="1"/>
  <c r="BP822" i="9" s="1" a="1"/>
  <c r="BP822" i="9" s="1"/>
  <c r="AZ859" i="9"/>
  <c r="CH859" i="9" s="1"/>
  <c r="CI859" i="9" s="1"/>
  <c r="BJ752" i="9"/>
  <c r="BK752" i="9" s="1"/>
  <c r="BZ765" i="9"/>
  <c r="CA765" i="9" s="1"/>
  <c r="CB765" i="9" s="1" a="1"/>
  <c r="CB765" i="9" s="1"/>
  <c r="BJ795" i="9"/>
  <c r="BK795" i="9" s="1"/>
  <c r="BF795" i="9"/>
  <c r="BG795" i="9" s="1"/>
  <c r="BH795" i="9" s="1" a="1"/>
  <c r="BH795" i="9" s="1"/>
  <c r="CL795" i="9"/>
  <c r="CM795" i="9" s="1"/>
  <c r="BZ795" i="9"/>
  <c r="CA795" i="9" s="1"/>
  <c r="CB795" i="9" s="1" a="1"/>
  <c r="CB795" i="9" s="1"/>
  <c r="CH819" i="9"/>
  <c r="CI819" i="9" s="1"/>
  <c r="CJ819" i="9" s="1" a="1"/>
  <c r="CJ819" i="9" s="1"/>
  <c r="AZ886" i="9"/>
  <c r="CL738" i="9"/>
  <c r="CM738" i="9" s="1"/>
  <c r="CL741" i="9"/>
  <c r="CM741" i="9" s="1"/>
  <c r="CL747" i="9"/>
  <c r="CM747" i="9" s="1"/>
  <c r="CL762" i="9"/>
  <c r="CM762" i="9" s="1"/>
  <c r="BZ771" i="9"/>
  <c r="CA771" i="9" s="1"/>
  <c r="CB771" i="9" s="1" a="1"/>
  <c r="CB771" i="9" s="1"/>
  <c r="BN773" i="9"/>
  <c r="BO773" i="9" s="1"/>
  <c r="BP773" i="9" s="1" a="1"/>
  <c r="BP773" i="9" s="1"/>
  <c r="CH789" i="9"/>
  <c r="CI789" i="9" s="1"/>
  <c r="CH800" i="9"/>
  <c r="CI800" i="9" s="1"/>
  <c r="CJ800" i="9" s="1" a="1"/>
  <c r="CJ800" i="9" s="1"/>
  <c r="BN816" i="9"/>
  <c r="BO816" i="9" s="1"/>
  <c r="BP816" i="9" s="1" a="1"/>
  <c r="BP816" i="9" s="1"/>
  <c r="CH841" i="9"/>
  <c r="CI841" i="9" s="1"/>
  <c r="BZ848" i="9"/>
  <c r="CA848" i="9" s="1"/>
  <c r="CB848" i="9" s="1" a="1"/>
  <c r="CB848" i="9" s="1"/>
  <c r="BF848" i="9"/>
  <c r="BG848" i="9" s="1"/>
  <c r="BH848" i="9" s="1" a="1"/>
  <c r="BH848" i="9" s="1"/>
  <c r="BJ848" i="9"/>
  <c r="BK848" i="9" s="1"/>
  <c r="AZ857" i="9"/>
  <c r="CH857" i="9" s="1"/>
  <c r="CI857" i="9" s="1"/>
  <c r="CH865" i="9"/>
  <c r="CI865" i="9" s="1"/>
  <c r="BR794" i="9"/>
  <c r="BS794" i="9" s="1"/>
  <c r="CH828" i="9"/>
  <c r="CI828" i="9" s="1"/>
  <c r="AZ836" i="9"/>
  <c r="BZ836" i="9" s="1"/>
  <c r="CA836" i="9" s="1"/>
  <c r="CB836" i="9" s="1" a="1"/>
  <c r="CB836" i="9" s="1"/>
  <c r="AZ860" i="9"/>
  <c r="BF860" i="9" s="1"/>
  <c r="BG860" i="9" s="1"/>
  <c r="BH860" i="9" s="1" a="1"/>
  <c r="BH860" i="9" s="1"/>
  <c r="CL773" i="9"/>
  <c r="CM773" i="9" s="1"/>
  <c r="BF779" i="9"/>
  <c r="BG779" i="9" s="1"/>
  <c r="BH779" i="9" s="1" a="1"/>
  <c r="BH779" i="9" s="1"/>
  <c r="AZ804" i="9"/>
  <c r="CH804" i="9" s="1"/>
  <c r="CI804" i="9" s="1"/>
  <c r="AZ814" i="9"/>
  <c r="BN814" i="9" s="1"/>
  <c r="BO814" i="9" s="1"/>
  <c r="BF739" i="9"/>
  <c r="BG739" i="9" s="1"/>
  <c r="BH739" i="9" s="1" a="1"/>
  <c r="BH739" i="9" s="1"/>
  <c r="BN755" i="9"/>
  <c r="BO755" i="9" s="1"/>
  <c r="BP755" i="9" s="1" a="1"/>
  <c r="BP755" i="9" s="1"/>
  <c r="AZ801" i="9"/>
  <c r="CH801" i="9" s="1"/>
  <c r="CI801" i="9" s="1"/>
  <c r="BN821" i="9"/>
  <c r="BO821" i="9" s="1"/>
  <c r="AZ826" i="9"/>
  <c r="CD841" i="9"/>
  <c r="CE841" i="9" s="1"/>
  <c r="BZ816" i="9"/>
  <c r="CA816" i="9" s="1"/>
  <c r="CB816" i="9" s="1" a="1"/>
  <c r="CB816" i="9" s="1"/>
  <c r="CH896" i="9"/>
  <c r="CI896" i="9" s="1"/>
  <c r="CJ896" i="9" s="1" a="1"/>
  <c r="CJ896" i="9" s="1"/>
  <c r="BR830" i="9"/>
  <c r="BS830" i="9" s="1"/>
  <c r="CL837" i="9"/>
  <c r="CM837" i="9" s="1"/>
  <c r="CD846" i="9"/>
  <c r="CE846" i="9" s="1"/>
  <c r="CF846" i="9" s="1" a="1"/>
  <c r="CF846" i="9" s="1"/>
  <c r="CN879" i="9" a="1"/>
  <c r="CN879" i="9" s="1"/>
  <c r="CO879" i="9" a="1"/>
  <c r="CO879" i="9" s="1"/>
  <c r="BZ820" i="9"/>
  <c r="CA820" i="9" s="1"/>
  <c r="CO895" i="9" a="1"/>
  <c r="CO895" i="9" s="1"/>
  <c r="CN895" i="9" a="1"/>
  <c r="CN895" i="9" s="1"/>
  <c r="BN825" i="9"/>
  <c r="BO825" i="9" s="1"/>
  <c r="BP825" i="9" s="1" a="1"/>
  <c r="BP825" i="9" s="1"/>
  <c r="BZ832" i="9"/>
  <c r="CA832" i="9" s="1"/>
  <c r="CB832" i="9" s="1" a="1"/>
  <c r="CB832" i="9" s="1"/>
  <c r="CN871" i="9" a="1"/>
  <c r="CN871" i="9" s="1"/>
  <c r="CO871" i="9" a="1"/>
  <c r="CO871" i="9" s="1"/>
  <c r="BJ858" i="9"/>
  <c r="BK858" i="9" s="1"/>
  <c r="BN866" i="9"/>
  <c r="BO866" i="9" s="1"/>
  <c r="BP866" i="9" s="1" a="1"/>
  <c r="BP866" i="9" s="1"/>
  <c r="BJ877" i="9"/>
  <c r="BK877" i="9" s="1"/>
  <c r="BZ877" i="9"/>
  <c r="CA877" i="9" s="1"/>
  <c r="CH877" i="9"/>
  <c r="CI877" i="9" s="1"/>
  <c r="CJ877" i="9" s="1" a="1"/>
  <c r="CJ877" i="9" s="1"/>
  <c r="BF877" i="9"/>
  <c r="BG877" i="9" s="1"/>
  <c r="BH877" i="9" s="1" a="1"/>
  <c r="BH877" i="9" s="1"/>
  <c r="CL877" i="9"/>
  <c r="CM877" i="9" s="1"/>
  <c r="AZ881" i="9"/>
  <c r="CL850" i="9"/>
  <c r="CM850" i="9" s="1"/>
  <c r="BF853" i="9"/>
  <c r="BG853" i="9" s="1"/>
  <c r="BH853" i="9" s="1" a="1"/>
  <c r="BH853" i="9" s="1"/>
  <c r="BR869" i="9"/>
  <c r="BS869" i="9" s="1"/>
  <c r="BF901" i="9"/>
  <c r="BG901" i="9" s="1"/>
  <c r="BH901" i="9" s="1" a="1"/>
  <c r="BH901" i="9" s="1"/>
  <c r="BZ901" i="9"/>
  <c r="CA901" i="9" s="1"/>
  <c r="CB901" i="9" s="1" a="1"/>
  <c r="CB901" i="9" s="1"/>
  <c r="CH909" i="9"/>
  <c r="CI909" i="9" s="1"/>
  <c r="AZ941" i="9"/>
  <c r="BJ941" i="9" s="1"/>
  <c r="BK941" i="9" s="1"/>
  <c r="BZ829" i="9"/>
  <c r="CA829" i="9" s="1"/>
  <c r="CB829" i="9" s="1" a="1"/>
  <c r="CB829" i="9" s="1"/>
  <c r="CH861" i="9"/>
  <c r="CI861" i="9" s="1"/>
  <c r="BF784" i="9"/>
  <c r="BG784" i="9" s="1"/>
  <c r="BH784" i="9" s="1" a="1"/>
  <c r="BH784" i="9" s="1"/>
  <c r="CL819" i="9"/>
  <c r="CM819" i="9" s="1"/>
  <c r="BZ828" i="9"/>
  <c r="CA828" i="9" s="1"/>
  <c r="CB828" i="9" s="1" a="1"/>
  <c r="CB828" i="9" s="1"/>
  <c r="CL836" i="9"/>
  <c r="CM836" i="9" s="1"/>
  <c r="BJ886" i="9"/>
  <c r="BK886" i="9" s="1"/>
  <c r="BR901" i="9"/>
  <c r="BS901" i="9" s="1"/>
  <c r="CD906" i="9"/>
  <c r="CE906" i="9" s="1"/>
  <c r="BN912" i="9"/>
  <c r="BO912" i="9" s="1"/>
  <c r="CD922" i="9"/>
  <c r="CE922" i="9" s="1"/>
  <c r="CD946" i="9"/>
  <c r="CE946" i="9" s="1"/>
  <c r="BZ942" i="9"/>
  <c r="CA942" i="9" s="1"/>
  <c r="CB942" i="9" s="1" a="1"/>
  <c r="CB942" i="9" s="1"/>
  <c r="CD944" i="9"/>
  <c r="CE944" i="9" s="1"/>
  <c r="BF910" i="9"/>
  <c r="BG910" i="9" s="1"/>
  <c r="BH910" i="9" s="1" a="1"/>
  <c r="BH910" i="9" s="1"/>
  <c r="AZ963" i="9"/>
  <c r="BR910" i="9"/>
  <c r="BS910" i="9" s="1"/>
  <c r="CH927" i="9"/>
  <c r="CI927" i="9" s="1"/>
  <c r="CH926" i="9"/>
  <c r="CI926" i="9" s="1"/>
  <c r="BZ944" i="9"/>
  <c r="CA944" i="9" s="1"/>
  <c r="CB944" i="9" s="1" a="1"/>
  <c r="CB944" i="9" s="1"/>
  <c r="CD904" i="9"/>
  <c r="CE904" i="9" s="1"/>
  <c r="CH913" i="9"/>
  <c r="CI913" i="9" s="1"/>
  <c r="BZ929" i="9"/>
  <c r="CA929" i="9" s="1"/>
  <c r="CB929" i="9" s="1" a="1"/>
  <c r="CB929" i="9" s="1"/>
  <c r="CH956" i="9"/>
  <c r="CI956" i="9" s="1"/>
  <c r="CJ956" i="9" s="1" a="1"/>
  <c r="CJ956" i="9" s="1"/>
  <c r="BJ959" i="9"/>
  <c r="BK959" i="9" s="1"/>
  <c r="BF959" i="9"/>
  <c r="BG959" i="9" s="1"/>
  <c r="BH959" i="9" s="1" a="1"/>
  <c r="BH959" i="9" s="1"/>
  <c r="BR959" i="9"/>
  <c r="BS959" i="9" s="1"/>
  <c r="BZ959" i="9"/>
  <c r="CA959" i="9" s="1"/>
  <c r="CB959" i="9" s="1" a="1"/>
  <c r="CB959" i="9" s="1"/>
  <c r="CL959" i="9"/>
  <c r="CM959" i="9" s="1"/>
  <c r="AZ964" i="9"/>
  <c r="BR964" i="9" s="1"/>
  <c r="BS964" i="9" s="1"/>
  <c r="CH989" i="9"/>
  <c r="CI989" i="9" s="1"/>
  <c r="CH1021" i="9"/>
  <c r="CI1021" i="9" s="1"/>
  <c r="CL893" i="9"/>
  <c r="CM893" i="9" s="1"/>
  <c r="BJ935" i="9"/>
  <c r="BK935" i="9" s="1"/>
  <c r="CD972" i="9"/>
  <c r="CE972" i="9" s="1"/>
  <c r="BN905" i="9"/>
  <c r="BO905" i="9" s="1"/>
  <c r="BZ918" i="9"/>
  <c r="CA918" i="9" s="1"/>
  <c r="CB918" i="9" s="1" a="1"/>
  <c r="CB918" i="9" s="1"/>
  <c r="CD920" i="9"/>
  <c r="CE920" i="9" s="1"/>
  <c r="CF920" i="9" s="1" a="1"/>
  <c r="CF920" i="9" s="1"/>
  <c r="BF934" i="9"/>
  <c r="BG934" i="9" s="1"/>
  <c r="BH934" i="9" s="1" a="1"/>
  <c r="BH934" i="9" s="1"/>
  <c r="CH945" i="9"/>
  <c r="CI945" i="9" s="1"/>
  <c r="CL946" i="9"/>
  <c r="CM946" i="9" s="1"/>
  <c r="BJ905" i="9"/>
  <c r="BK905" i="9" s="1"/>
  <c r="BL905" i="9" s="1" a="1"/>
  <c r="BL905" i="9" s="1"/>
  <c r="CD921" i="9"/>
  <c r="CE921" i="9" s="1"/>
  <c r="CF921" i="9" s="1" a="1"/>
  <c r="CF921" i="9" s="1"/>
  <c r="BZ937" i="9"/>
  <c r="CA937" i="9" s="1"/>
  <c r="BR956" i="9"/>
  <c r="BS956" i="9" s="1"/>
  <c r="BN959" i="9"/>
  <c r="BO959" i="9" s="1"/>
  <c r="BZ961" i="9"/>
  <c r="CA961" i="9" s="1"/>
  <c r="CB961" i="9" s="1" a="1"/>
  <c r="CB961" i="9" s="1"/>
  <c r="BF989" i="9"/>
  <c r="BG989" i="9" s="1"/>
  <c r="BH989" i="9" s="1" a="1"/>
  <c r="BH989" i="9" s="1"/>
  <c r="CL991" i="9"/>
  <c r="CM991" i="9" s="1"/>
  <c r="CD1021" i="9"/>
  <c r="CE1021" i="9" s="1"/>
  <c r="BJ991" i="9"/>
  <c r="BK991" i="9" s="1"/>
  <c r="BF967" i="9"/>
  <c r="BG967" i="9" s="1"/>
  <c r="BH967" i="9" s="1" a="1"/>
  <c r="BH967" i="9" s="1"/>
  <c r="BJ1021" i="9"/>
  <c r="BK1021" i="9" s="1"/>
  <c r="BR1008" i="9"/>
  <c r="BS1008" i="9" s="1"/>
  <c r="BN1015" i="9"/>
  <c r="BO1015" i="9" s="1"/>
  <c r="BZ988" i="9"/>
  <c r="CA988" i="9" s="1"/>
  <c r="CJ993" i="9" a="1"/>
  <c r="CJ993" i="9" s="1"/>
  <c r="CP993" i="9" s="1"/>
  <c r="V993" i="9" s="1"/>
  <c r="CO994" i="9" a="1"/>
  <c r="CO994" i="9" s="1"/>
  <c r="BZ1000" i="9"/>
  <c r="CA1000" i="9" s="1"/>
  <c r="CB1000" i="9" s="1" a="1"/>
  <c r="CB1000" i="9" s="1"/>
  <c r="CH1018" i="9"/>
  <c r="CI1018" i="9" s="1"/>
  <c r="BN1002" i="9"/>
  <c r="BO1002" i="9" s="1"/>
  <c r="BN1016" i="9"/>
  <c r="BO1016" i="9" s="1"/>
  <c r="BP1016" i="9" s="1" a="1"/>
  <c r="BP1016" i="9" s="1"/>
  <c r="CL996" i="9"/>
  <c r="CM996" i="9" s="1"/>
  <c r="BR1016" i="9"/>
  <c r="BS1016" i="9" s="1"/>
  <c r="BT993" i="9" a="1"/>
  <c r="BT993" i="9" s="1"/>
  <c r="CD1001" i="9"/>
  <c r="CE1001" i="9" s="1"/>
  <c r="BJ994" i="9"/>
  <c r="BK994" i="9" s="1"/>
  <c r="BL994" i="9" s="1" a="1"/>
  <c r="BL994" i="9" s="1"/>
  <c r="AZ735" i="9"/>
  <c r="AZ750" i="9"/>
  <c r="BR750" i="9" s="1"/>
  <c r="BS750" i="9" s="1"/>
  <c r="CD757" i="9"/>
  <c r="CE757" i="9" s="1"/>
  <c r="CF757" i="9" s="1" a="1"/>
  <c r="CF757" i="9" s="1"/>
  <c r="AZ790" i="9"/>
  <c r="BR790" i="9" s="1"/>
  <c r="BS790" i="9" s="1"/>
  <c r="AZ798" i="9"/>
  <c r="BN798" i="9" s="1"/>
  <c r="BO798" i="9" s="1"/>
  <c r="CH737" i="9"/>
  <c r="CI737" i="9" s="1"/>
  <c r="AZ745" i="9"/>
  <c r="CH745" i="9" s="1"/>
  <c r="CI745" i="9" s="1"/>
  <c r="CH785" i="9"/>
  <c r="CI785" i="9" s="1"/>
  <c r="BJ731" i="9"/>
  <c r="BK731" i="9" s="1"/>
  <c r="BL731" i="9" s="1" a="1"/>
  <c r="BL731" i="9" s="1"/>
  <c r="BN737" i="9"/>
  <c r="BO737" i="9" s="1"/>
  <c r="AZ764" i="9"/>
  <c r="CH772" i="9"/>
  <c r="CI772" i="9" s="1"/>
  <c r="BN785" i="9"/>
  <c r="BO785" i="9" s="1"/>
  <c r="CD766" i="9"/>
  <c r="CE766" i="9" s="1"/>
  <c r="CH797" i="9"/>
  <c r="CI797" i="9" s="1"/>
  <c r="AZ815" i="9"/>
  <c r="CH815" i="9" s="1"/>
  <c r="CI815" i="9" s="1"/>
  <c r="BR747" i="9"/>
  <c r="BS747" i="9" s="1"/>
  <c r="CH779" i="9"/>
  <c r="CI779" i="9" s="1"/>
  <c r="CJ779" i="9" s="1" a="1"/>
  <c r="CJ779" i="9" s="1"/>
  <c r="CD795" i="9"/>
  <c r="CE795" i="9" s="1"/>
  <c r="AZ806" i="9"/>
  <c r="BF806" i="9" s="1"/>
  <c r="BG806" i="9" s="1"/>
  <c r="BH806" i="9" s="1" a="1"/>
  <c r="BH806" i="9" s="1"/>
  <c r="CH776" i="9"/>
  <c r="CI776" i="9" s="1"/>
  <c r="BZ794" i="9"/>
  <c r="CA794" i="9" s="1"/>
  <c r="CB794" i="9" s="1" a="1"/>
  <c r="CB794" i="9" s="1"/>
  <c r="BJ754" i="9"/>
  <c r="BK754" i="9" s="1"/>
  <c r="BZ763" i="9"/>
  <c r="CA763" i="9" s="1"/>
  <c r="CB763" i="9" s="1" a="1"/>
  <c r="CB763" i="9" s="1"/>
  <c r="BZ806" i="9"/>
  <c r="CA806" i="9" s="1"/>
  <c r="CB806" i="9" s="1" a="1"/>
  <c r="CB806" i="9" s="1"/>
  <c r="CL820" i="9"/>
  <c r="CM820" i="9" s="1"/>
  <c r="AZ827" i="9"/>
  <c r="BN827" i="9" s="1"/>
  <c r="BO827" i="9" s="1"/>
  <c r="BR841" i="9"/>
  <c r="BS841" i="9" s="1"/>
  <c r="BR738" i="9"/>
  <c r="BS738" i="9" s="1"/>
  <c r="BN797" i="9"/>
  <c r="BO797" i="9" s="1"/>
  <c r="CH803" i="9"/>
  <c r="CI803" i="9" s="1"/>
  <c r="BJ812" i="9"/>
  <c r="BK812" i="9" s="1"/>
  <c r="CH886" i="9"/>
  <c r="CI886" i="9" s="1"/>
  <c r="BJ738" i="9"/>
  <c r="BK738" i="9" s="1"/>
  <c r="BL738" i="9" s="1" a="1"/>
  <c r="BL738" i="9" s="1"/>
  <c r="BJ747" i="9"/>
  <c r="BK747" i="9" s="1"/>
  <c r="BF760" i="9"/>
  <c r="BG760" i="9" s="1"/>
  <c r="BH760" i="9" s="1" a="1"/>
  <c r="BH760" i="9" s="1"/>
  <c r="BJ762" i="9"/>
  <c r="BK762" i="9" s="1"/>
  <c r="BL762" i="9" s="1" a="1"/>
  <c r="BL762" i="9" s="1"/>
  <c r="BR771" i="9"/>
  <c r="BS771" i="9" s="1"/>
  <c r="BR808" i="9"/>
  <c r="BS808" i="9" s="1"/>
  <c r="BF808" i="9"/>
  <c r="BG808" i="9" s="1"/>
  <c r="BZ808" i="9"/>
  <c r="CA808" i="9" s="1"/>
  <c r="CD848" i="9"/>
  <c r="CE848" i="9" s="1"/>
  <c r="BZ770" i="9"/>
  <c r="CA770" i="9" s="1"/>
  <c r="CB770" i="9" s="1" a="1"/>
  <c r="CB770" i="9" s="1"/>
  <c r="BF787" i="9"/>
  <c r="BG787" i="9" s="1"/>
  <c r="BH787" i="9" s="1" a="1"/>
  <c r="BH787" i="9" s="1"/>
  <c r="CH794" i="9"/>
  <c r="CI794" i="9" s="1"/>
  <c r="CJ794" i="9" s="1" a="1"/>
  <c r="CJ794" i="9" s="1"/>
  <c r="BJ798" i="9"/>
  <c r="BK798" i="9" s="1"/>
  <c r="BZ811" i="9"/>
  <c r="CA811" i="9" s="1"/>
  <c r="CB811" i="9" s="1" a="1"/>
  <c r="CB811" i="9" s="1"/>
  <c r="CL811" i="9"/>
  <c r="CM811" i="9" s="1"/>
  <c r="BF836" i="9"/>
  <c r="BG836" i="9" s="1"/>
  <c r="BH836" i="9" s="1" a="1"/>
  <c r="BH836" i="9" s="1"/>
  <c r="BZ746" i="9"/>
  <c r="CA746" i="9" s="1"/>
  <c r="CB746" i="9" s="1" a="1"/>
  <c r="CB746" i="9" s="1"/>
  <c r="CH775" i="9"/>
  <c r="CI775" i="9" s="1"/>
  <c r="BZ779" i="9"/>
  <c r="CA779" i="9" s="1"/>
  <c r="BZ739" i="9"/>
  <c r="CA739" i="9" s="1"/>
  <c r="BF755" i="9"/>
  <c r="BG755" i="9" s="1"/>
  <c r="BJ784" i="9"/>
  <c r="BK784" i="9" s="1"/>
  <c r="CD803" i="9"/>
  <c r="CE803" i="9" s="1"/>
  <c r="CF803" i="9" s="1" a="1"/>
  <c r="CF803" i="9" s="1"/>
  <c r="AZ842" i="9"/>
  <c r="CD842" i="9" s="1"/>
  <c r="CE842" i="9" s="1"/>
  <c r="CL851" i="9"/>
  <c r="CM851" i="9" s="1"/>
  <c r="BR856" i="9"/>
  <c r="BS856" i="9" s="1"/>
  <c r="BZ865" i="9"/>
  <c r="CA865" i="9" s="1"/>
  <c r="CB865" i="9" s="1" a="1"/>
  <c r="CB865" i="9" s="1"/>
  <c r="BF865" i="9"/>
  <c r="BG865" i="9" s="1"/>
  <c r="BH865" i="9" s="1" a="1"/>
  <c r="BH865" i="9" s="1"/>
  <c r="CD829" i="9"/>
  <c r="CE829" i="9" s="1"/>
  <c r="CJ879" i="9" a="1"/>
  <c r="CJ879" i="9" s="1"/>
  <c r="BJ961" i="9"/>
  <c r="BK961" i="9" s="1"/>
  <c r="BF961" i="9"/>
  <c r="BG961" i="9" s="1"/>
  <c r="BH961" i="9" s="1" a="1"/>
  <c r="BH961" i="9" s="1"/>
  <c r="BJ837" i="9"/>
  <c r="BK837" i="9" s="1"/>
  <c r="CL875" i="9"/>
  <c r="CM875" i="9" s="1"/>
  <c r="BR845" i="9"/>
  <c r="BS845" i="9" s="1"/>
  <c r="CJ895" i="9" a="1"/>
  <c r="CJ895" i="9" s="1"/>
  <c r="CL941" i="9"/>
  <c r="CM941" i="9" s="1"/>
  <c r="CH825" i="9"/>
  <c r="CI825" i="9" s="1"/>
  <c r="BJ828" i="9"/>
  <c r="BK828" i="9" s="1"/>
  <c r="BZ845" i="9"/>
  <c r="CA845" i="9" s="1"/>
  <c r="CB845" i="9" s="1" a="1"/>
  <c r="CB845" i="9" s="1"/>
  <c r="CL904" i="9"/>
  <c r="CM904" i="9" s="1"/>
  <c r="CH858" i="9"/>
  <c r="CI858" i="9" s="1"/>
  <c r="CJ858" i="9" s="1" a="1"/>
  <c r="CJ858" i="9" s="1"/>
  <c r="BJ850" i="9"/>
  <c r="BK850" i="9" s="1"/>
  <c r="BL850" i="9" s="1" a="1"/>
  <c r="BL850" i="9" s="1"/>
  <c r="AZ888" i="9"/>
  <c r="BN888" i="9" s="1"/>
  <c r="BO888" i="9" s="1"/>
  <c r="CL829" i="9"/>
  <c r="CM829" i="9" s="1"/>
  <c r="CD853" i="9"/>
  <c r="CE853" i="9" s="1"/>
  <c r="CF853" i="9" s="1" a="1"/>
  <c r="CF853" i="9" s="1"/>
  <c r="BJ863" i="9"/>
  <c r="BK863" i="9" s="1"/>
  <c r="BN836" i="9"/>
  <c r="BO836" i="9" s="1"/>
  <c r="CH848" i="9"/>
  <c r="CI848" i="9" s="1"/>
  <c r="AZ884" i="9"/>
  <c r="AZ902" i="9"/>
  <c r="AZ907" i="9"/>
  <c r="BR907" i="9" s="1"/>
  <c r="BS907" i="9" s="1"/>
  <c r="AZ923" i="9"/>
  <c r="BN928" i="9"/>
  <c r="BO928" i="9" s="1"/>
  <c r="AZ947" i="9"/>
  <c r="BZ947" i="9" s="1"/>
  <c r="CA947" i="9" s="1"/>
  <c r="CB947" i="9" s="1" a="1"/>
  <c r="CB947" i="9" s="1"/>
  <c r="BZ954" i="9"/>
  <c r="CA954" i="9" s="1"/>
  <c r="BF954" i="9"/>
  <c r="BG954" i="9" s="1"/>
  <c r="BH954" i="9" s="1" a="1"/>
  <c r="BH954" i="9" s="1"/>
  <c r="BJ954" i="9"/>
  <c r="BK954" i="9" s="1"/>
  <c r="BN954" i="9"/>
  <c r="BO954" i="9" s="1"/>
  <c r="CL906" i="9"/>
  <c r="CM906" i="9" s="1"/>
  <c r="CL942" i="9"/>
  <c r="CM942" i="9" s="1"/>
  <c r="BN910" i="9"/>
  <c r="BO910" i="9" s="1"/>
  <c r="CH921" i="9"/>
  <c r="CI921" i="9" s="1"/>
  <c r="CD927" i="9"/>
  <c r="CE927" i="9" s="1"/>
  <c r="CF927" i="9" s="1" a="1"/>
  <c r="CF927" i="9" s="1"/>
  <c r="BH952" i="9" a="1"/>
  <c r="BH952" i="9" s="1"/>
  <c r="AZ965" i="9"/>
  <c r="BJ911" i="9"/>
  <c r="BK911" i="9" s="1"/>
  <c r="BL911" i="9" s="1" a="1"/>
  <c r="BL911" i="9" s="1"/>
  <c r="CH928" i="9"/>
  <c r="CI928" i="9" s="1"/>
  <c r="CB936" i="9" a="1"/>
  <c r="CB936" i="9" s="1"/>
  <c r="BF950" i="9"/>
  <c r="BG950" i="9" s="1"/>
  <c r="BH950" i="9" s="1" a="1"/>
  <c r="BH950" i="9" s="1"/>
  <c r="BJ950" i="9"/>
  <c r="BK950" i="9" s="1"/>
  <c r="BZ950" i="9"/>
  <c r="CA950" i="9" s="1"/>
  <c r="CB950" i="9" s="1" a="1"/>
  <c r="CB950" i="9" s="1"/>
  <c r="CH950" i="9"/>
  <c r="CI950" i="9" s="1"/>
  <c r="CL950" i="9"/>
  <c r="CM950" i="9" s="1"/>
  <c r="BF926" i="9"/>
  <c r="BG926" i="9" s="1"/>
  <c r="BH926" i="9" s="1" a="1"/>
  <c r="BH926" i="9" s="1"/>
  <c r="CH929" i="9"/>
  <c r="CI929" i="9" s="1"/>
  <c r="CD935" i="9"/>
  <c r="CE935" i="9" s="1"/>
  <c r="BJ964" i="9"/>
  <c r="BK964" i="9" s="1"/>
  <c r="BN972" i="9"/>
  <c r="BO972" i="9" s="1"/>
  <c r="BP972" i="9" s="1" a="1"/>
  <c r="BP972" i="9" s="1"/>
  <c r="BJ920" i="9"/>
  <c r="BK920" i="9" s="1"/>
  <c r="BL920" i="9" s="1" a="1"/>
  <c r="BL920" i="9" s="1"/>
  <c r="BF1008" i="9"/>
  <c r="BG1008" i="9" s="1"/>
  <c r="BH1008" i="9" s="1" a="1"/>
  <c r="BH1008" i="9" s="1"/>
  <c r="BR906" i="9"/>
  <c r="BS906" i="9" s="1"/>
  <c r="CL918" i="9"/>
  <c r="CM918" i="9" s="1"/>
  <c r="CH937" i="9"/>
  <c r="CI937" i="9" s="1"/>
  <c r="AZ971" i="9"/>
  <c r="CH971" i="9" s="1"/>
  <c r="CI971" i="9" s="1"/>
  <c r="BO977" i="9"/>
  <c r="AZ977" i="9"/>
  <c r="BN977" i="9" s="1"/>
  <c r="AZ995" i="9"/>
  <c r="CH995" i="9" s="1"/>
  <c r="CI995" i="9" s="1"/>
  <c r="AZ1011" i="9"/>
  <c r="BJ1011" i="9" s="1"/>
  <c r="BK1011" i="9" s="1"/>
  <c r="BR911" i="9"/>
  <c r="BS911" i="9" s="1"/>
  <c r="BF956" i="9"/>
  <c r="BG956" i="9" s="1"/>
  <c r="BZ956" i="9"/>
  <c r="CA956" i="9" s="1"/>
  <c r="CB956" i="9" s="1" a="1"/>
  <c r="CB956" i="9" s="1"/>
  <c r="BJ957" i="9"/>
  <c r="BK957" i="9" s="1"/>
  <c r="BN960" i="9"/>
  <c r="BO960" i="9" s="1"/>
  <c r="BP960" i="9" s="1" a="1"/>
  <c r="BP960" i="9" s="1"/>
  <c r="CH967" i="9"/>
  <c r="CI967" i="9" s="1"/>
  <c r="BJ977" i="9"/>
  <c r="BK977" i="9" s="1"/>
  <c r="CL999" i="9"/>
  <c r="CM999" i="9" s="1"/>
  <c r="BZ1009" i="9"/>
  <c r="CA1009" i="9" s="1"/>
  <c r="AZ1014" i="9"/>
  <c r="CL1014" i="9" s="1"/>
  <c r="CM1014" i="9" s="1"/>
  <c r="BZ992" i="9"/>
  <c r="CA992" i="9" s="1"/>
  <c r="CB992" i="9" s="1" a="1"/>
  <c r="CB992" i="9" s="1"/>
  <c r="CL968" i="9"/>
  <c r="CM968" i="9" s="1"/>
  <c r="BZ1002" i="9"/>
  <c r="CA1002" i="9" s="1"/>
  <c r="BN978" i="9"/>
  <c r="BO978" i="9" s="1"/>
  <c r="BJ1009" i="9"/>
  <c r="BK1009" i="9" s="1"/>
  <c r="BL1009" i="9" s="1" a="1"/>
  <c r="BL1009" i="9" s="1"/>
  <c r="CL1012" i="9"/>
  <c r="CM1012" i="9" s="1"/>
  <c r="BF991" i="9"/>
  <c r="BG991" i="9" s="1"/>
  <c r="BH991" i="9" s="1" a="1"/>
  <c r="BH991" i="9" s="1"/>
  <c r="BR1010" i="9"/>
  <c r="BS1010" i="9" s="1"/>
  <c r="CH979" i="9"/>
  <c r="CI979" i="9" s="1"/>
  <c r="CJ979" i="9" s="1" a="1"/>
  <c r="CJ979" i="9" s="1"/>
  <c r="CD986" i="9"/>
  <c r="CE986" i="9" s="1"/>
  <c r="BJ996" i="9"/>
  <c r="BK996" i="9" s="1"/>
  <c r="BL996" i="9" s="1" a="1"/>
  <c r="BL996" i="9" s="1"/>
  <c r="BJ1007" i="9"/>
  <c r="BK1007" i="9" s="1"/>
  <c r="BL1007" i="9" s="1" a="1"/>
  <c r="BL1007" i="9" s="1"/>
  <c r="BN965" i="9"/>
  <c r="BO965" i="9" s="1"/>
  <c r="CL986" i="9"/>
  <c r="CM986" i="9" s="1"/>
  <c r="BR1009" i="9"/>
  <c r="BS1009" i="9" s="1"/>
  <c r="AZ742" i="9"/>
  <c r="CD742" i="9" s="1"/>
  <c r="CE742" i="9" s="1"/>
  <c r="AZ758" i="9"/>
  <c r="CD765" i="9"/>
  <c r="CE765" i="9" s="1"/>
  <c r="CF765" i="9" s="1" a="1"/>
  <c r="CF765" i="9" s="1"/>
  <c r="CH790" i="9"/>
  <c r="CI790" i="9" s="1"/>
  <c r="CH798" i="9"/>
  <c r="CI798" i="9" s="1"/>
  <c r="BN782" i="9"/>
  <c r="BO782" i="9" s="1"/>
  <c r="AZ756" i="9"/>
  <c r="BN756" i="9" s="1"/>
  <c r="BO756" i="9" s="1"/>
  <c r="CH764" i="9"/>
  <c r="CI764" i="9" s="1"/>
  <c r="CB738" i="9" a="1"/>
  <c r="CB738" i="9" s="1"/>
  <c r="BN764" i="9"/>
  <c r="BO764" i="9" s="1"/>
  <c r="BJ774" i="9"/>
  <c r="BK774" i="9" s="1"/>
  <c r="BL774" i="9" s="1" a="1"/>
  <c r="BL774" i="9" s="1"/>
  <c r="CL774" i="9"/>
  <c r="CM774" i="9" s="1"/>
  <c r="BZ774" i="9"/>
  <c r="CA774" i="9" s="1"/>
  <c r="CB774" i="9" s="1" a="1"/>
  <c r="CB774" i="9" s="1"/>
  <c r="BF774" i="9"/>
  <c r="BG774" i="9" s="1"/>
  <c r="BH774" i="9" s="1" a="1"/>
  <c r="BH774" i="9" s="1"/>
  <c r="BJ782" i="9"/>
  <c r="BK782" i="9" s="1"/>
  <c r="CL782" i="9"/>
  <c r="CM782" i="9" s="1"/>
  <c r="BZ782" i="9"/>
  <c r="CA782" i="9" s="1"/>
  <c r="CB782" i="9" s="1" a="1"/>
  <c r="CB782" i="9" s="1"/>
  <c r="BF782" i="9"/>
  <c r="BG782" i="9" s="1"/>
  <c r="BH782" i="9" s="1" a="1"/>
  <c r="BH782" i="9" s="1"/>
  <c r="CL784" i="9"/>
  <c r="CM784" i="9" s="1"/>
  <c r="CD790" i="9"/>
  <c r="CE790" i="9" s="1"/>
  <c r="CD798" i="9"/>
  <c r="CE798" i="9" s="1"/>
  <c r="AZ807" i="9"/>
  <c r="CL794" i="9"/>
  <c r="CM794" i="9" s="1"/>
  <c r="BN754" i="9"/>
  <c r="BO754" i="9" s="1"/>
  <c r="BN760" i="9"/>
  <c r="BO760" i="9" s="1"/>
  <c r="BR763" i="9"/>
  <c r="BS763" i="9" s="1"/>
  <c r="BJ775" i="9"/>
  <c r="BK775" i="9" s="1"/>
  <c r="AZ824" i="9"/>
  <c r="BN768" i="9"/>
  <c r="BO768" i="9" s="1"/>
  <c r="BR782" i="9"/>
  <c r="BS782" i="9" s="1"/>
  <c r="AZ788" i="9"/>
  <c r="BZ788" i="9" s="1"/>
  <c r="CA788" i="9" s="1"/>
  <c r="CB788" i="9" s="1" a="1"/>
  <c r="CB788" i="9" s="1"/>
  <c r="CH795" i="9"/>
  <c r="CI795" i="9" s="1"/>
  <c r="AZ878" i="9"/>
  <c r="BR878" i="9" s="1"/>
  <c r="BS878" i="9" s="1"/>
  <c r="CH738" i="9"/>
  <c r="CI738" i="9" s="1"/>
  <c r="CJ738" i="9" s="1" a="1"/>
  <c r="CJ738" i="9" s="1"/>
  <c r="BZ760" i="9"/>
  <c r="CA760" i="9" s="1"/>
  <c r="BN762" i="9"/>
  <c r="BO762" i="9" s="1"/>
  <c r="BP762" i="9" s="1" a="1"/>
  <c r="BP762" i="9" s="1"/>
  <c r="CL771" i="9"/>
  <c r="CM771" i="9" s="1"/>
  <c r="BJ792" i="9"/>
  <c r="BK792" i="9" s="1"/>
  <c r="BL792" i="9" s="1" a="1"/>
  <c r="BL792" i="9" s="1"/>
  <c r="AZ833" i="9"/>
  <c r="BJ833" i="9" s="1"/>
  <c r="BK833" i="9" s="1"/>
  <c r="AZ849" i="9"/>
  <c r="CH849" i="9" s="1"/>
  <c r="CI849" i="9" s="1"/>
  <c r="CL770" i="9"/>
  <c r="CM770" i="9" s="1"/>
  <c r="CH781" i="9"/>
  <c r="CI781" i="9" s="1"/>
  <c r="CL787" i="9"/>
  <c r="CM787" i="9" s="1"/>
  <c r="BU805" i="9" a="1"/>
  <c r="BU805" i="9" s="1"/>
  <c r="BF816" i="9"/>
  <c r="BG816" i="9" s="1"/>
  <c r="CH821" i="9"/>
  <c r="CI821" i="9" s="1"/>
  <c r="CH836" i="9"/>
  <c r="CI836" i="9" s="1"/>
  <c r="AZ844" i="9"/>
  <c r="BJ844" i="9" s="1"/>
  <c r="BK844" i="9" s="1"/>
  <c r="CH860" i="9"/>
  <c r="CI860" i="9" s="1"/>
  <c r="CL746" i="9"/>
  <c r="CM746" i="9" s="1"/>
  <c r="BF752" i="9"/>
  <c r="BG752" i="9" s="1"/>
  <c r="BH752" i="9" s="1" a="1"/>
  <c r="BH752" i="9" s="1"/>
  <c r="BR779" i="9"/>
  <c r="BS779" i="9" s="1"/>
  <c r="CL739" i="9"/>
  <c r="CM739" i="9" s="1"/>
  <c r="BR746" i="9"/>
  <c r="BS746" i="9" s="1"/>
  <c r="BZ755" i="9"/>
  <c r="CA755" i="9" s="1"/>
  <c r="CB755" i="9" s="1" a="1"/>
  <c r="CB755" i="9" s="1"/>
  <c r="BJ804" i="9"/>
  <c r="BK804" i="9" s="1"/>
  <c r="BZ833" i="9"/>
  <c r="CA833" i="9" s="1"/>
  <c r="CB833" i="9" s="1" a="1"/>
  <c r="CB833" i="9" s="1"/>
  <c r="CD865" i="9"/>
  <c r="CE865" i="9" s="1"/>
  <c r="CF865" i="9" s="1" a="1"/>
  <c r="CF865" i="9" s="1"/>
  <c r="BR880" i="9"/>
  <c r="BS880" i="9" s="1"/>
  <c r="CL848" i="9"/>
  <c r="CM848" i="9" s="1"/>
  <c r="AZ892" i="9"/>
  <c r="CD892" i="9" s="1"/>
  <c r="CE892" i="9" s="1"/>
  <c r="BJ899" i="9"/>
  <c r="BK899" i="9" s="1"/>
  <c r="BF837" i="9"/>
  <c r="BG837" i="9" s="1"/>
  <c r="BH837" i="9" s="1" a="1"/>
  <c r="BH837" i="9" s="1"/>
  <c r="CD875" i="9"/>
  <c r="CE875" i="9" s="1"/>
  <c r="CF879" i="9" a="1"/>
  <c r="CF879" i="9" s="1"/>
  <c r="CH837" i="9"/>
  <c r="CI837" i="9" s="1"/>
  <c r="CL896" i="9"/>
  <c r="CM896" i="9" s="1"/>
  <c r="AZ908" i="9"/>
  <c r="BN794" i="9"/>
  <c r="BO794" i="9" s="1"/>
  <c r="BF825" i="9"/>
  <c r="BG825" i="9" s="1"/>
  <c r="BH825" i="9" s="1" a="1"/>
  <c r="BH825" i="9" s="1"/>
  <c r="CL845" i="9"/>
  <c r="CM845" i="9" s="1"/>
  <c r="BJ865" i="9"/>
  <c r="BK865" i="9" s="1"/>
  <c r="CF871" i="9" a="1"/>
  <c r="CF871" i="9" s="1"/>
  <c r="BJ885" i="9"/>
  <c r="BK885" i="9" s="1"/>
  <c r="BZ885" i="9"/>
  <c r="CA885" i="9" s="1"/>
  <c r="CF885" i="9" s="1" a="1"/>
  <c r="CF885" i="9" s="1"/>
  <c r="BF885" i="9"/>
  <c r="BG885" i="9" s="1"/>
  <c r="BH885" i="9" s="1" a="1"/>
  <c r="BH885" i="9" s="1"/>
  <c r="CL885" i="9"/>
  <c r="CM885" i="9" s="1"/>
  <c r="BJ839" i="9"/>
  <c r="BK839" i="9" s="1"/>
  <c r="CD845" i="9"/>
  <c r="CE845" i="9" s="1"/>
  <c r="BN858" i="9"/>
  <c r="BO858" i="9" s="1"/>
  <c r="BP858" i="9" s="1" a="1"/>
  <c r="BP858" i="9" s="1"/>
  <c r="BF866" i="9"/>
  <c r="BG866" i="9" s="1"/>
  <c r="BH866" i="9" s="1" a="1"/>
  <c r="BH866" i="9" s="1"/>
  <c r="BZ900" i="9"/>
  <c r="CA900" i="9" s="1"/>
  <c r="CB900" i="9" s="1" a="1"/>
  <c r="CB900" i="9" s="1"/>
  <c r="CH900" i="9"/>
  <c r="CI900" i="9" s="1"/>
  <c r="CD900" i="9"/>
  <c r="CE900" i="9" s="1"/>
  <c r="CL931" i="9"/>
  <c r="CM931" i="9" s="1"/>
  <c r="BZ945" i="9"/>
  <c r="CA945" i="9" s="1"/>
  <c r="CB945" i="9" s="1" a="1"/>
  <c r="CB945" i="9" s="1"/>
  <c r="BF945" i="9"/>
  <c r="BG945" i="9" s="1"/>
  <c r="BH945" i="9" s="1" a="1"/>
  <c r="BH945" i="9" s="1"/>
  <c r="BJ945" i="9"/>
  <c r="BK945" i="9" s="1"/>
  <c r="CH813" i="9"/>
  <c r="CI813" i="9" s="1"/>
  <c r="CJ813" i="9" s="1" a="1"/>
  <c r="CJ813" i="9" s="1"/>
  <c r="CH850" i="9"/>
  <c r="CI850" i="9" s="1"/>
  <c r="CH901" i="9"/>
  <c r="CI901" i="9" s="1"/>
  <c r="AZ933" i="9"/>
  <c r="BR933" i="9" s="1"/>
  <c r="BS933" i="9" s="1"/>
  <c r="AZ949" i="9"/>
  <c r="CD949" i="9" s="1"/>
  <c r="CE949" i="9" s="1"/>
  <c r="BJ829" i="9"/>
  <c r="BK829" i="9" s="1"/>
  <c r="BN846" i="9"/>
  <c r="BO846" i="9" s="1"/>
  <c r="BP846" i="9" s="1" a="1"/>
  <c r="BP846" i="9" s="1"/>
  <c r="BJ898" i="9"/>
  <c r="BK898" i="9" s="1"/>
  <c r="BF898" i="9"/>
  <c r="BG898" i="9" s="1"/>
  <c r="BH898" i="9" s="1" a="1"/>
  <c r="BH898" i="9" s="1"/>
  <c r="CH898" i="9"/>
  <c r="CI898" i="9" s="1"/>
  <c r="CJ898" i="9" s="1" a="1"/>
  <c r="CJ898" i="9" s="1"/>
  <c r="BZ898" i="9"/>
  <c r="CA898" i="9" s="1"/>
  <c r="CL898" i="9"/>
  <c r="CM898" i="9" s="1"/>
  <c r="BR898" i="9"/>
  <c r="BS898" i="9" s="1"/>
  <c r="BR837" i="9"/>
  <c r="BS837" i="9" s="1"/>
  <c r="CH864" i="9"/>
  <c r="CI864" i="9" s="1"/>
  <c r="BR889" i="9"/>
  <c r="BS889" i="9" s="1"/>
  <c r="AZ891" i="9"/>
  <c r="BJ938" i="9"/>
  <c r="BK938" i="9" s="1"/>
  <c r="BZ938" i="9"/>
  <c r="CA938" i="9" s="1"/>
  <c r="BF938" i="9"/>
  <c r="BG938" i="9" s="1"/>
  <c r="BH938" i="9" s="1" a="1"/>
  <c r="BH938" i="9" s="1"/>
  <c r="CH947" i="9"/>
  <c r="CI947" i="9" s="1"/>
  <c r="BR969" i="9"/>
  <c r="BS969" i="9" s="1"/>
  <c r="BJ928" i="9"/>
  <c r="BK928" i="9" s="1"/>
  <c r="BL928" i="9" s="1" a="1"/>
  <c r="BL928" i="9" s="1"/>
  <c r="BJ942" i="9"/>
  <c r="BK942" i="9" s="1"/>
  <c r="BF964" i="9"/>
  <c r="BG964" i="9" s="1"/>
  <c r="BH964" i="9" s="1" a="1"/>
  <c r="BH964" i="9" s="1"/>
  <c r="BZ964" i="9"/>
  <c r="CA964" i="9" s="1"/>
  <c r="CB964" i="9" s="1" a="1"/>
  <c r="CB964" i="9" s="1"/>
  <c r="CD928" i="9"/>
  <c r="CE928" i="9" s="1"/>
  <c r="CF928" i="9" s="1" a="1"/>
  <c r="CF928" i="9" s="1"/>
  <c r="BZ1011" i="9"/>
  <c r="CA1011" i="9" s="1"/>
  <c r="CB1011" i="9" s="1" a="1"/>
  <c r="CB1011" i="9" s="1"/>
  <c r="BF1011" i="9"/>
  <c r="BG1011" i="9" s="1"/>
  <c r="BH1011" i="9" s="1" a="1"/>
  <c r="BH1011" i="9" s="1"/>
  <c r="CH911" i="9"/>
  <c r="CI911" i="9" s="1"/>
  <c r="CD929" i="9"/>
  <c r="CE929" i="9" s="1"/>
  <c r="CF929" i="9" s="1" a="1"/>
  <c r="CF929" i="9" s="1"/>
  <c r="CD952" i="9"/>
  <c r="CE952" i="9" s="1"/>
  <c r="CF952" i="9" s="1" a="1"/>
  <c r="CF952" i="9" s="1"/>
  <c r="BJ974" i="9"/>
  <c r="BK974" i="9" s="1"/>
  <c r="CD910" i="9"/>
  <c r="CE910" i="9" s="1"/>
  <c r="CD936" i="9"/>
  <c r="CE936" i="9" s="1"/>
  <c r="CF936" i="9" s="1" a="1"/>
  <c r="CF936" i="9" s="1"/>
  <c r="CL957" i="9"/>
  <c r="CM957" i="9" s="1"/>
  <c r="CH977" i="9"/>
  <c r="CI977" i="9" s="1"/>
  <c r="BJ903" i="9"/>
  <c r="BK903" i="9" s="1"/>
  <c r="BN911" i="9"/>
  <c r="BO911" i="9" s="1"/>
  <c r="BP911" i="9" s="1" a="1"/>
  <c r="BP911" i="9" s="1"/>
  <c r="CH936" i="9"/>
  <c r="CI936" i="9" s="1"/>
  <c r="BN967" i="9"/>
  <c r="BO967" i="9" s="1"/>
  <c r="BZ969" i="9"/>
  <c r="CA969" i="9" s="1"/>
  <c r="BZ972" i="9"/>
  <c r="CA972" i="9" s="1"/>
  <c r="CB972" i="9" s="1" a="1"/>
  <c r="CB972" i="9" s="1"/>
  <c r="BF972" i="9"/>
  <c r="BG972" i="9" s="1"/>
  <c r="BJ918" i="9"/>
  <c r="BK918" i="9" s="1"/>
  <c r="BN951" i="9"/>
  <c r="BO951" i="9" s="1"/>
  <c r="BJ953" i="9"/>
  <c r="BK953" i="9" s="1"/>
  <c r="BL953" i="9" s="1" a="1"/>
  <c r="BL953" i="9" s="1"/>
  <c r="BF966" i="9"/>
  <c r="BG966" i="9" s="1"/>
  <c r="BH966" i="9" s="1" a="1"/>
  <c r="BH966" i="9" s="1"/>
  <c r="BJ966" i="9"/>
  <c r="BK966" i="9" s="1"/>
  <c r="BZ966" i="9"/>
  <c r="CA966" i="9" s="1"/>
  <c r="BN966" i="9"/>
  <c r="BO966" i="9" s="1"/>
  <c r="CL966" i="9"/>
  <c r="CM966" i="9" s="1"/>
  <c r="CH966" i="9"/>
  <c r="CI966" i="9" s="1"/>
  <c r="CJ966" i="9" s="1" a="1"/>
  <c r="CJ966" i="9" s="1"/>
  <c r="AZ973" i="9"/>
  <c r="BN976" i="9"/>
  <c r="BO976" i="9" s="1"/>
  <c r="BP976" i="9" s="1" a="1"/>
  <c r="BP976" i="9" s="1"/>
  <c r="CH1011" i="9"/>
  <c r="CI1011" i="9" s="1"/>
  <c r="BZ905" i="9"/>
  <c r="CA905" i="9" s="1"/>
  <c r="CL938" i="9"/>
  <c r="CM938" i="9" s="1"/>
  <c r="BF960" i="9"/>
  <c r="BG960" i="9" s="1"/>
  <c r="CL969" i="9"/>
  <c r="CM969" i="9" s="1"/>
  <c r="CD989" i="9"/>
  <c r="CE989" i="9" s="1"/>
  <c r="BN1011" i="9"/>
  <c r="BO1011" i="9" s="1"/>
  <c r="BP1011" i="9" s="1" a="1"/>
  <c r="BP1011" i="9" s="1"/>
  <c r="AZ1022" i="9"/>
  <c r="CL1022" i="9" s="1"/>
  <c r="CM1022" i="9" s="1"/>
  <c r="CH1009" i="9"/>
  <c r="CI1009" i="9" s="1"/>
  <c r="BZ991" i="9"/>
  <c r="CA991" i="9" s="1"/>
  <c r="BN996" i="9"/>
  <c r="BO996" i="9" s="1"/>
  <c r="BR989" i="9"/>
  <c r="BS989" i="9" s="1"/>
  <c r="BR999" i="9"/>
  <c r="BS999" i="9" s="1"/>
  <c r="BZ978" i="9"/>
  <c r="CA978" i="9" s="1"/>
  <c r="CB978" i="9" s="1" a="1"/>
  <c r="CB978" i="9" s="1"/>
  <c r="BN986" i="9"/>
  <c r="BO986" i="9" s="1"/>
  <c r="BZ1008" i="9"/>
  <c r="CA1008" i="9" s="1"/>
  <c r="BZ980" i="9"/>
  <c r="CA980" i="9" s="1"/>
  <c r="CL989" i="9"/>
  <c r="CM989" i="9" s="1"/>
  <c r="BN1010" i="9"/>
  <c r="BO1010" i="9" s="1"/>
  <c r="BP1010" i="9" s="1" a="1"/>
  <c r="BP1010" i="9" s="1"/>
  <c r="CD781" i="9"/>
  <c r="CE781" i="9" s="1"/>
  <c r="CF781" i="9" s="1" a="1"/>
  <c r="CF781" i="9" s="1"/>
  <c r="BJ785" i="9"/>
  <c r="BK785" i="9" s="1"/>
  <c r="AZ777" i="9"/>
  <c r="BF733" i="9"/>
  <c r="BG733" i="9" s="1"/>
  <c r="BZ733" i="9"/>
  <c r="CA733" i="9" s="1"/>
  <c r="BF725" i="9"/>
  <c r="BG725" i="9" s="1"/>
  <c r="BZ725" i="9"/>
  <c r="CA725" i="9" s="1"/>
  <c r="CD750" i="9"/>
  <c r="CE750" i="9" s="1"/>
  <c r="CB754" i="9" a="1"/>
  <c r="CB754" i="9" s="1"/>
  <c r="AZ767" i="9"/>
  <c r="AZ791" i="9"/>
  <c r="CH791" i="9" s="1"/>
  <c r="CI791" i="9" s="1"/>
  <c r="AZ799" i="9"/>
  <c r="CH799" i="9" s="1"/>
  <c r="CI799" i="9" s="1"/>
  <c r="CH807" i="9"/>
  <c r="CI807" i="9" s="1"/>
  <c r="BV741" i="9"/>
  <c r="Q741" i="9" s="1"/>
  <c r="BZ784" i="9"/>
  <c r="CA784" i="9" s="1"/>
  <c r="CB784" i="9" s="1" a="1"/>
  <c r="CB784" i="9" s="1"/>
  <c r="BJ794" i="9"/>
  <c r="BK794" i="9" s="1"/>
  <c r="BL794" i="9" s="1" a="1"/>
  <c r="BL794" i="9" s="1"/>
  <c r="BN738" i="9"/>
  <c r="BO738" i="9" s="1"/>
  <c r="BP738" i="9" s="1" a="1"/>
  <c r="BP738" i="9" s="1"/>
  <c r="CD747" i="9"/>
  <c r="CE747" i="9" s="1"/>
  <c r="CH754" i="9"/>
  <c r="CI754" i="9" s="1"/>
  <c r="CJ754" i="9" s="1" a="1"/>
  <c r="CJ754" i="9" s="1"/>
  <c r="BJ760" i="9"/>
  <c r="BK760" i="9" s="1"/>
  <c r="BL760" i="9" s="1" a="1"/>
  <c r="BL760" i="9" s="1"/>
  <c r="CL763" i="9"/>
  <c r="CM763" i="9" s="1"/>
  <c r="BZ801" i="9"/>
  <c r="CA801" i="9" s="1"/>
  <c r="CB801" i="9" s="1" a="1"/>
  <c r="CB801" i="9" s="1"/>
  <c r="BF801" i="9"/>
  <c r="BG801" i="9" s="1"/>
  <c r="BH801" i="9" s="1" a="1"/>
  <c r="BH801" i="9" s="1"/>
  <c r="BT820" i="9" a="1"/>
  <c r="BT820" i="9" s="1"/>
  <c r="AZ835" i="9"/>
  <c r="BR835" i="9" s="1"/>
  <c r="BS835" i="9" s="1"/>
  <c r="AZ867" i="9"/>
  <c r="BR867" i="9" s="1"/>
  <c r="BS867" i="9" s="1"/>
  <c r="BJ768" i="9"/>
  <c r="BK768" i="9" s="1"/>
  <c r="CL813" i="9"/>
  <c r="CM813" i="9" s="1"/>
  <c r="AZ817" i="9"/>
  <c r="AZ870" i="9"/>
  <c r="BJ870" i="9" s="1"/>
  <c r="BK870" i="9" s="1"/>
  <c r="CH878" i="9"/>
  <c r="CI878" i="9" s="1"/>
  <c r="AZ894" i="9"/>
  <c r="BZ894" i="9" s="1"/>
  <c r="CA894" i="9" s="1"/>
  <c r="CB894" i="9" s="1" a="1"/>
  <c r="CB894" i="9" s="1"/>
  <c r="BR760" i="9"/>
  <c r="BS760" i="9" s="1"/>
  <c r="CH762" i="9"/>
  <c r="CI762" i="9" s="1"/>
  <c r="CJ762" i="9" s="1" a="1"/>
  <c r="CJ762" i="9" s="1"/>
  <c r="CH833" i="9"/>
  <c r="CI833" i="9" s="1"/>
  <c r="BF872" i="9"/>
  <c r="BG872" i="9" s="1"/>
  <c r="BH872" i="9" s="1" a="1"/>
  <c r="BH872" i="9" s="1"/>
  <c r="BJ872" i="9"/>
  <c r="BK872" i="9" s="1"/>
  <c r="BZ872" i="9"/>
  <c r="CA872" i="9" s="1"/>
  <c r="BF768" i="9"/>
  <c r="BG768" i="9" s="1"/>
  <c r="BH768" i="9" s="1" a="1"/>
  <c r="BH768" i="9" s="1"/>
  <c r="BJ770" i="9"/>
  <c r="BK770" i="9" s="1"/>
  <c r="BL770" i="9" s="1" a="1"/>
  <c r="BL770" i="9" s="1"/>
  <c r="BJ787" i="9"/>
  <c r="BK787" i="9" s="1"/>
  <c r="BL787" i="9" s="1" a="1"/>
  <c r="BL787" i="9" s="1"/>
  <c r="AZ796" i="9"/>
  <c r="BR800" i="9"/>
  <c r="BS800" i="9" s="1"/>
  <c r="CH816" i="9"/>
  <c r="CI816" i="9" s="1"/>
  <c r="CJ816" i="9" s="1" a="1"/>
  <c r="CJ816" i="9" s="1"/>
  <c r="CD851" i="9"/>
  <c r="CE851" i="9" s="1"/>
  <c r="BN857" i="9"/>
  <c r="BO857" i="9" s="1"/>
  <c r="AZ868" i="9"/>
  <c r="BR868" i="9" s="1"/>
  <c r="BS868" i="9" s="1"/>
  <c r="BJ746" i="9"/>
  <c r="BK746" i="9" s="1"/>
  <c r="BL746" i="9" s="1" a="1"/>
  <c r="BL746" i="9" s="1"/>
  <c r="BZ752" i="9"/>
  <c r="CA752" i="9" s="1"/>
  <c r="BN776" i="9"/>
  <c r="BO776" i="9" s="1"/>
  <c r="BP776" i="9" s="1" a="1"/>
  <c r="BP776" i="9" s="1"/>
  <c r="CL779" i="9"/>
  <c r="CM779" i="9" s="1"/>
  <c r="BJ739" i="9"/>
  <c r="BK739" i="9" s="1"/>
  <c r="BR755" i="9"/>
  <c r="BS755" i="9" s="1"/>
  <c r="BR770" i="9"/>
  <c r="BS770" i="9" s="1"/>
  <c r="BN800" i="9"/>
  <c r="BO800" i="9" s="1"/>
  <c r="BP800" i="9" s="1" a="1"/>
  <c r="BP800" i="9" s="1"/>
  <c r="CL827" i="9"/>
  <c r="CM827" i="9" s="1"/>
  <c r="CD833" i="9"/>
  <c r="CE833" i="9" s="1"/>
  <c r="CF833" i="9" s="1" a="1"/>
  <c r="CF833" i="9" s="1"/>
  <c r="BR848" i="9"/>
  <c r="BS848" i="9" s="1"/>
  <c r="BZ857" i="9"/>
  <c r="CA857" i="9" s="1"/>
  <c r="CB857" i="9" s="1" a="1"/>
  <c r="CB857" i="9" s="1"/>
  <c r="BF857" i="9"/>
  <c r="BG857" i="9" s="1"/>
  <c r="BH857" i="9" s="1" a="1"/>
  <c r="BH857" i="9" s="1"/>
  <c r="BR795" i="9"/>
  <c r="BS795" i="9" s="1"/>
  <c r="CD850" i="9"/>
  <c r="CE850" i="9" s="1"/>
  <c r="CF850" i="9" s="1" a="1"/>
  <c r="CF850" i="9" s="1"/>
  <c r="BN969" i="9"/>
  <c r="BO969" i="9" s="1"/>
  <c r="BP969" i="9" s="1" a="1"/>
  <c r="BP969" i="9" s="1"/>
  <c r="BF969" i="9"/>
  <c r="BG969" i="9" s="1"/>
  <c r="CD837" i="9"/>
  <c r="CE837" i="9" s="1"/>
  <c r="CF837" i="9" s="1" a="1"/>
  <c r="CF837" i="9" s="1"/>
  <c r="CH880" i="9"/>
  <c r="CI880" i="9" s="1"/>
  <c r="CJ880" i="9" s="1" a="1"/>
  <c r="CJ880" i="9" s="1"/>
  <c r="CH846" i="9"/>
  <c r="CI846" i="9" s="1"/>
  <c r="CJ846" i="9" s="1" a="1"/>
  <c r="CJ846" i="9" s="1"/>
  <c r="BZ878" i="9"/>
  <c r="CA878" i="9" s="1"/>
  <c r="CB878" i="9" s="1" a="1"/>
  <c r="CB878" i="9" s="1"/>
  <c r="CH908" i="9"/>
  <c r="CI908" i="9" s="1"/>
  <c r="AZ916" i="9"/>
  <c r="CL916" i="9" s="1"/>
  <c r="CM916" i="9" s="1"/>
  <c r="BZ800" i="9"/>
  <c r="CA800" i="9" s="1"/>
  <c r="BZ825" i="9"/>
  <c r="CA825" i="9" s="1"/>
  <c r="CB825" i="9" s="1" a="1"/>
  <c r="CB825" i="9" s="1"/>
  <c r="CO831" i="9" a="1"/>
  <c r="CO831" i="9" s="1"/>
  <c r="BJ845" i="9"/>
  <c r="BK845" i="9" s="1"/>
  <c r="CL839" i="9"/>
  <c r="CM839" i="9" s="1"/>
  <c r="BR853" i="9"/>
  <c r="BS853" i="9" s="1"/>
  <c r="BZ866" i="9"/>
  <c r="CA866" i="9" s="1"/>
  <c r="CB866" i="9" s="1" a="1"/>
  <c r="CB866" i="9" s="1"/>
  <c r="BN869" i="9"/>
  <c r="BO869" i="9" s="1"/>
  <c r="BP869" i="9" s="1" a="1"/>
  <c r="BP869" i="9" s="1"/>
  <c r="BN880" i="9"/>
  <c r="BO880" i="9" s="1"/>
  <c r="BP880" i="9" s="1" a="1"/>
  <c r="BP880" i="9" s="1"/>
  <c r="CD945" i="9"/>
  <c r="CE945" i="9" s="1"/>
  <c r="BN850" i="9"/>
  <c r="BO850" i="9" s="1"/>
  <c r="BP850" i="9" s="1" a="1"/>
  <c r="BP850" i="9" s="1"/>
  <c r="BN856" i="9"/>
  <c r="BO856" i="9" s="1"/>
  <c r="BP856" i="9" s="1" a="1"/>
  <c r="BP856" i="9" s="1"/>
  <c r="BZ869" i="9"/>
  <c r="CA869" i="9" s="1"/>
  <c r="CB869" i="9" s="1" a="1"/>
  <c r="CB869" i="9" s="1"/>
  <c r="BF874" i="9"/>
  <c r="BG874" i="9" s="1"/>
  <c r="BH874" i="9" s="1" a="1"/>
  <c r="BH874" i="9" s="1"/>
  <c r="CD916" i="9"/>
  <c r="CE916" i="9" s="1"/>
  <c r="CH933" i="9"/>
  <c r="CI933" i="9" s="1"/>
  <c r="BF829" i="9"/>
  <c r="BG829" i="9" s="1"/>
  <c r="BH829" i="9" s="1" a="1"/>
  <c r="BH829" i="9" s="1"/>
  <c r="BN864" i="9"/>
  <c r="BO864" i="9" s="1"/>
  <c r="CL899" i="9"/>
  <c r="CM899" i="9" s="1"/>
  <c r="BF831" i="9"/>
  <c r="BG831" i="9" s="1"/>
  <c r="BR851" i="9"/>
  <c r="BS851" i="9" s="1"/>
  <c r="CD866" i="9"/>
  <c r="CE866" i="9" s="1"/>
  <c r="CF866" i="9" s="1" a="1"/>
  <c r="CF866" i="9" s="1"/>
  <c r="CD889" i="9"/>
  <c r="CE889" i="9" s="1"/>
  <c r="CL908" i="9"/>
  <c r="CM908" i="9" s="1"/>
  <c r="BJ914" i="9"/>
  <c r="BK914" i="9" s="1"/>
  <c r="BZ914" i="9"/>
  <c r="CA914" i="9" s="1"/>
  <c r="BF914" i="9"/>
  <c r="BG914" i="9" s="1"/>
  <c r="BH914" i="9" s="1" a="1"/>
  <c r="BH914" i="9" s="1"/>
  <c r="AZ955" i="9"/>
  <c r="BN898" i="9"/>
  <c r="BO898" i="9" s="1"/>
  <c r="BP898" i="9" s="1" a="1"/>
  <c r="BP898" i="9" s="1"/>
  <c r="BJ912" i="9"/>
  <c r="BK912" i="9" s="1"/>
  <c r="BL912" i="9" s="1" a="1"/>
  <c r="BL912" i="9" s="1"/>
  <c r="CH942" i="9"/>
  <c r="CI942" i="9" s="1"/>
  <c r="BZ953" i="9"/>
  <c r="CA953" i="9" s="1"/>
  <c r="BR957" i="9"/>
  <c r="BS957" i="9" s="1"/>
  <c r="AZ948" i="9"/>
  <c r="BZ948" i="9" s="1"/>
  <c r="CA948" i="9" s="1"/>
  <c r="CB948" i="9" s="1" a="1"/>
  <c r="CB948" i="9" s="1"/>
  <c r="CD1011" i="9"/>
  <c r="CE1011" i="9" s="1"/>
  <c r="CH912" i="9"/>
  <c r="CI912" i="9" s="1"/>
  <c r="CD942" i="9"/>
  <c r="CE942" i="9" s="1"/>
  <c r="BR977" i="9"/>
  <c r="BS977" i="9" s="1"/>
  <c r="BZ960" i="9"/>
  <c r="CA960" i="9" s="1"/>
  <c r="BF974" i="9"/>
  <c r="BG974" i="9" s="1"/>
  <c r="BH974" i="9" s="1" a="1"/>
  <c r="BH974" i="9" s="1"/>
  <c r="CL995" i="9"/>
  <c r="CM995" i="9" s="1"/>
  <c r="CD926" i="9"/>
  <c r="CE926" i="9" s="1"/>
  <c r="CF926" i="9" s="1" a="1"/>
  <c r="CF926" i="9" s="1"/>
  <c r="CD967" i="9"/>
  <c r="CE967" i="9" s="1"/>
  <c r="CF967" i="9" s="1" a="1"/>
  <c r="CF967" i="9" s="1"/>
  <c r="AZ981" i="9"/>
  <c r="CD981" i="9" s="1"/>
  <c r="CE981" i="9" s="1"/>
  <c r="AZ997" i="9"/>
  <c r="BZ997" i="9" s="1"/>
  <c r="CA997" i="9" s="1"/>
  <c r="CB997" i="9" s="1" a="1"/>
  <c r="CB997" i="9" s="1"/>
  <c r="AZ1013" i="9"/>
  <c r="BJ1013" i="9" s="1"/>
  <c r="BK1013" i="9" s="1"/>
  <c r="BZ912" i="9"/>
  <c r="CA912" i="9" s="1"/>
  <c r="CF912" i="9" s="1" a="1"/>
  <c r="CF912" i="9" s="1"/>
  <c r="BN968" i="9"/>
  <c r="BO968" i="9" s="1"/>
  <c r="BP968" i="9" s="1" a="1"/>
  <c r="BP968" i="9" s="1"/>
  <c r="BU979" i="9" a="1"/>
  <c r="BU979" i="9" s="1"/>
  <c r="CH918" i="9"/>
  <c r="CI918" i="9" s="1"/>
  <c r="CH953" i="9"/>
  <c r="CI953" i="9" s="1"/>
  <c r="CJ953" i="9" s="1" a="1"/>
  <c r="CJ953" i="9" s="1"/>
  <c r="CD959" i="9"/>
  <c r="CE959" i="9" s="1"/>
  <c r="BZ971" i="9"/>
  <c r="CA971" i="9" s="1"/>
  <c r="CB971" i="9" s="1" a="1"/>
  <c r="CB971" i="9" s="1"/>
  <c r="CH905" i="9"/>
  <c r="CI905" i="9" s="1"/>
  <c r="CD934" i="9"/>
  <c r="CE934" i="9" s="1"/>
  <c r="CD950" i="9"/>
  <c r="CE950" i="9" s="1"/>
  <c r="CF950" i="9" s="1" a="1"/>
  <c r="CF950" i="9" s="1"/>
  <c r="AZ982" i="9"/>
  <c r="CL1007" i="9"/>
  <c r="CM1007" i="9" s="1"/>
  <c r="BF1022" i="9"/>
  <c r="BG1022" i="9" s="1"/>
  <c r="BH1022" i="9" s="1" a="1"/>
  <c r="BH1022" i="9" s="1"/>
  <c r="BZ983" i="9"/>
  <c r="CA983" i="9" s="1"/>
  <c r="BR1007" i="9"/>
  <c r="BS1007" i="9" s="1"/>
  <c r="CJ974" i="9" a="1"/>
  <c r="CJ974" i="9" s="1"/>
  <c r="CP974" i="9" s="1"/>
  <c r="V974" i="9" s="1"/>
  <c r="BR991" i="9"/>
  <c r="BS991" i="9" s="1"/>
  <c r="BR978" i="9"/>
  <c r="BS978" i="9" s="1"/>
  <c r="BN992" i="9"/>
  <c r="BO992" i="9" s="1"/>
  <c r="BR1015" i="9"/>
  <c r="BS1015" i="9" s="1"/>
  <c r="BJ983" i="9"/>
  <c r="BK983" i="9" s="1"/>
  <c r="BL983" i="9" s="1" a="1"/>
  <c r="BL983" i="9" s="1"/>
  <c r="CF1017" i="9" a="1"/>
  <c r="CF1017" i="9" s="1"/>
  <c r="CP1017" i="9" s="1"/>
  <c r="V1017" i="9" s="1"/>
  <c r="BN1001" i="9"/>
  <c r="BO1001" i="9" s="1"/>
  <c r="BP1001" i="9" s="1" a="1"/>
  <c r="BP1001" i="9" s="1"/>
  <c r="CL979" i="9"/>
  <c r="CM979" i="9" s="1"/>
  <c r="CL1008" i="9"/>
  <c r="CM1008" i="9" s="1"/>
  <c r="BF999" i="9"/>
  <c r="BG999" i="9" s="1"/>
  <c r="BH999" i="9" s="1" a="1"/>
  <c r="BH999" i="9" s="1"/>
  <c r="AZ769" i="9"/>
  <c r="CH769" i="9" s="1"/>
  <c r="CI769" i="9" s="1"/>
  <c r="BN774" i="9"/>
  <c r="BO774" i="9" s="1"/>
  <c r="BP774" i="9" s="1" a="1"/>
  <c r="BP774" i="9" s="1"/>
  <c r="BN753" i="9"/>
  <c r="BO753" i="9" s="1"/>
  <c r="BJ684" i="9"/>
  <c r="BK684" i="9" s="1"/>
  <c r="BR684" i="9"/>
  <c r="BS684" i="9" s="1"/>
  <c r="BR757" i="9"/>
  <c r="BS757" i="9" s="1"/>
  <c r="CL760" i="9"/>
  <c r="CM760" i="9" s="1"/>
  <c r="CD774" i="9"/>
  <c r="CE774" i="9" s="1"/>
  <c r="CD782" i="9"/>
  <c r="CE782" i="9" s="1"/>
  <c r="CF782" i="9" s="1" a="1"/>
  <c r="CF782" i="9" s="1"/>
  <c r="BR784" i="9"/>
  <c r="BS784" i="9" s="1"/>
  <c r="BR821" i="9"/>
  <c r="BS821" i="9" s="1"/>
  <c r="BF754" i="9"/>
  <c r="BG754" i="9" s="1"/>
  <c r="BH754" i="9" s="1" a="1"/>
  <c r="BH754" i="9" s="1"/>
  <c r="AZ843" i="9"/>
  <c r="BR857" i="9"/>
  <c r="BS857" i="9" s="1"/>
  <c r="BJ821" i="9"/>
  <c r="BK821" i="9" s="1"/>
  <c r="BR836" i="9"/>
  <c r="BS836" i="9" s="1"/>
  <c r="BN859" i="9"/>
  <c r="BO859" i="9" s="1"/>
  <c r="AZ862" i="9"/>
  <c r="BR862" i="9" s="1"/>
  <c r="BS862" i="9" s="1"/>
  <c r="BN779" i="9"/>
  <c r="BO779" i="9" s="1"/>
  <c r="BZ768" i="9"/>
  <c r="CA768" i="9" s="1"/>
  <c r="BN770" i="9"/>
  <c r="BO770" i="9" s="1"/>
  <c r="CD822" i="9"/>
  <c r="CE822" i="9" s="1"/>
  <c r="CD827" i="9"/>
  <c r="CE827" i="9" s="1"/>
  <c r="BN833" i="9"/>
  <c r="BO833" i="9" s="1"/>
  <c r="CH844" i="9"/>
  <c r="CI844" i="9" s="1"/>
  <c r="CH746" i="9"/>
  <c r="CI746" i="9" s="1"/>
  <c r="CJ746" i="9" s="1" a="1"/>
  <c r="CJ746" i="9" s="1"/>
  <c r="BJ779" i="9"/>
  <c r="BK779" i="9" s="1"/>
  <c r="BL779" i="9" s="1" a="1"/>
  <c r="BL779" i="9" s="1"/>
  <c r="BR804" i="9"/>
  <c r="BS804" i="9" s="1"/>
  <c r="CL755" i="9"/>
  <c r="CM755" i="9" s="1"/>
  <c r="AZ793" i="9"/>
  <c r="BR801" i="9"/>
  <c r="BS801" i="9" s="1"/>
  <c r="CL814" i="9"/>
  <c r="CM814" i="9" s="1"/>
  <c r="AZ834" i="9"/>
  <c r="CD857" i="9"/>
  <c r="CE857" i="9" s="1"/>
  <c r="CD801" i="9"/>
  <c r="CE801" i="9" s="1"/>
  <c r="BZ893" i="9"/>
  <c r="CA893" i="9" s="1"/>
  <c r="CH893" i="9"/>
  <c r="CI893" i="9" s="1"/>
  <c r="CJ893" i="9" s="1" a="1"/>
  <c r="CJ893" i="9" s="1"/>
  <c r="BJ893" i="9"/>
  <c r="BK893" i="9" s="1"/>
  <c r="BF893" i="9"/>
  <c r="BG893" i="9" s="1"/>
  <c r="BH893" i="9" s="1" a="1"/>
  <c r="BH893" i="9" s="1"/>
  <c r="CL901" i="9"/>
  <c r="CM901" i="9" s="1"/>
  <c r="CL833" i="9"/>
  <c r="CM833" i="9" s="1"/>
  <c r="BF851" i="9"/>
  <c r="BG851" i="9" s="1"/>
  <c r="BH851" i="9" s="1" a="1"/>
  <c r="BH851" i="9" s="1"/>
  <c r="BN875" i="9"/>
  <c r="BO875" i="9" s="1"/>
  <c r="BR888" i="9"/>
  <c r="BS888" i="9" s="1"/>
  <c r="BN840" i="9"/>
  <c r="BO840" i="9" s="1"/>
  <c r="AZ873" i="9"/>
  <c r="BJ873" i="9" s="1"/>
  <c r="BK873" i="9" s="1"/>
  <c r="CH916" i="9"/>
  <c r="CI916" i="9" s="1"/>
  <c r="CJ916" i="9" s="1" a="1"/>
  <c r="CJ916" i="9" s="1"/>
  <c r="AZ924" i="9"/>
  <c r="BR924" i="9" s="1"/>
  <c r="BS924" i="9" s="1"/>
  <c r="CD825" i="9"/>
  <c r="CE825" i="9" s="1"/>
  <c r="BF845" i="9"/>
  <c r="BG845" i="9" s="1"/>
  <c r="BH845" i="9" s="1" a="1"/>
  <c r="BH845" i="9" s="1"/>
  <c r="BN853" i="9"/>
  <c r="BO853" i="9" s="1"/>
  <c r="BP853" i="9" s="1" a="1"/>
  <c r="BP853" i="9" s="1"/>
  <c r="CD860" i="9"/>
  <c r="CE860" i="9" s="1"/>
  <c r="CD899" i="9"/>
  <c r="CE899" i="9" s="1"/>
  <c r="CL828" i="9"/>
  <c r="CM828" i="9" s="1"/>
  <c r="BF858" i="9"/>
  <c r="BG858" i="9" s="1"/>
  <c r="BH858" i="9" s="1" a="1"/>
  <c r="BH858" i="9" s="1"/>
  <c r="BZ861" i="9"/>
  <c r="CA861" i="9" s="1"/>
  <c r="CB861" i="9" s="1" a="1"/>
  <c r="CB861" i="9" s="1"/>
  <c r="BR866" i="9"/>
  <c r="BS866" i="9" s="1"/>
  <c r="BR874" i="9"/>
  <c r="BS874" i="9" s="1"/>
  <c r="CD881" i="9"/>
  <c r="CE881" i="9" s="1"/>
  <c r="BR881" i="9"/>
  <c r="BS881" i="9" s="1"/>
  <c r="BP895" i="9" a="1"/>
  <c r="BP895" i="9" s="1"/>
  <c r="BV895" i="9" s="1"/>
  <c r="Q895" i="9" s="1"/>
  <c r="CL869" i="9"/>
  <c r="CM869" i="9" s="1"/>
  <c r="CL874" i="9"/>
  <c r="CM874" i="9" s="1"/>
  <c r="AZ925" i="9"/>
  <c r="BR931" i="9"/>
  <c r="BS931" i="9" s="1"/>
  <c r="BR829" i="9"/>
  <c r="BS829" i="9" s="1"/>
  <c r="CL865" i="9"/>
  <c r="CM865" i="9" s="1"/>
  <c r="BN885" i="9"/>
  <c r="BO885" i="9" s="1"/>
  <c r="AZ897" i="9"/>
  <c r="BJ897" i="9" s="1"/>
  <c r="BK897" i="9" s="1"/>
  <c r="CH853" i="9"/>
  <c r="CI853" i="9" s="1"/>
  <c r="CJ853" i="9" s="1" a="1"/>
  <c r="CJ853" i="9" s="1"/>
  <c r="BZ889" i="9"/>
  <c r="CA889" i="9" s="1"/>
  <c r="CB889" i="9" s="1" a="1"/>
  <c r="CB889" i="9" s="1"/>
  <c r="BF889" i="9"/>
  <c r="BG889" i="9" s="1"/>
  <c r="BH889" i="9" s="1" a="1"/>
  <c r="BH889" i="9" s="1"/>
  <c r="BJ889" i="9"/>
  <c r="BK889" i="9" s="1"/>
  <c r="BJ890" i="9"/>
  <c r="BK890" i="9" s="1"/>
  <c r="BF890" i="9"/>
  <c r="BG890" i="9" s="1"/>
  <c r="BH890" i="9" s="1" a="1"/>
  <c r="BH890" i="9" s="1"/>
  <c r="CH890" i="9"/>
  <c r="CI890" i="9" s="1"/>
  <c r="CJ890" i="9" s="1" a="1"/>
  <c r="CJ890" i="9" s="1"/>
  <c r="BZ890" i="9"/>
  <c r="CA890" i="9" s="1"/>
  <c r="BN890" i="9"/>
  <c r="BO890" i="9" s="1"/>
  <c r="CL890" i="9"/>
  <c r="CM890" i="9" s="1"/>
  <c r="BN904" i="9"/>
  <c r="BO904" i="9" s="1"/>
  <c r="BN920" i="9"/>
  <c r="BO920" i="9" s="1"/>
  <c r="BJ930" i="9"/>
  <c r="BK930" i="9" s="1"/>
  <c r="BZ930" i="9"/>
  <c r="CA930" i="9" s="1"/>
  <c r="CB930" i="9" s="1" a="1"/>
  <c r="CB930" i="9" s="1"/>
  <c r="BF930" i="9"/>
  <c r="BG930" i="9" s="1"/>
  <c r="BH930" i="9" s="1" a="1"/>
  <c r="BH930" i="9" s="1"/>
  <c r="AZ939" i="9"/>
  <c r="CH955" i="9"/>
  <c r="CI955" i="9" s="1"/>
  <c r="CD918" i="9"/>
  <c r="CE918" i="9" s="1"/>
  <c r="CF918" i="9" s="1" a="1"/>
  <c r="CF918" i="9" s="1"/>
  <c r="BF942" i="9"/>
  <c r="BG942" i="9" s="1"/>
  <c r="BH942" i="9" s="1" a="1"/>
  <c r="BH942" i="9" s="1"/>
  <c r="BN953" i="9"/>
  <c r="BO953" i="9" s="1"/>
  <c r="CD957" i="9"/>
  <c r="CE957" i="9" s="1"/>
  <c r="BZ910" i="9"/>
  <c r="CA910" i="9" s="1"/>
  <c r="CB910" i="9" s="1" a="1"/>
  <c r="CB910" i="9" s="1"/>
  <c r="CL963" i="9"/>
  <c r="CM963" i="9" s="1"/>
  <c r="CD965" i="9"/>
  <c r="CE965" i="9" s="1"/>
  <c r="CD891" i="9"/>
  <c r="CE891" i="9" s="1"/>
  <c r="CB904" i="9" a="1"/>
  <c r="CB904" i="9" s="1"/>
  <c r="CD913" i="9"/>
  <c r="CE913" i="9" s="1"/>
  <c r="CF913" i="9" s="1" a="1"/>
  <c r="CF913" i="9" s="1"/>
  <c r="CL922" i="9"/>
  <c r="CM922" i="9" s="1"/>
  <c r="BZ957" i="9"/>
  <c r="CA957" i="9" s="1"/>
  <c r="CB957" i="9" s="1" a="1"/>
  <c r="CB957" i="9" s="1"/>
  <c r="BF957" i="9"/>
  <c r="BG957" i="9" s="1"/>
  <c r="BH957" i="9" s="1" a="1"/>
  <c r="BH957" i="9" s="1"/>
  <c r="BJ967" i="9"/>
  <c r="BK967" i="9" s="1"/>
  <c r="BL967" i="9" s="1" a="1"/>
  <c r="BL967" i="9" s="1"/>
  <c r="CD977" i="9"/>
  <c r="CE977" i="9" s="1"/>
  <c r="BJ951" i="9"/>
  <c r="BK951" i="9" s="1"/>
  <c r="BZ951" i="9"/>
  <c r="CA951" i="9" s="1"/>
  <c r="BF951" i="9"/>
  <c r="BG951" i="9" s="1"/>
  <c r="BH951" i="9" s="1" a="1"/>
  <c r="BH951" i="9" s="1"/>
  <c r="CL951" i="9"/>
  <c r="CM951" i="9" s="1"/>
  <c r="BV900" i="9"/>
  <c r="Q900" i="9" s="1"/>
  <c r="BR940" i="9"/>
  <c r="BS940" i="9" s="1"/>
  <c r="BJ952" i="9"/>
  <c r="BK952" i="9" s="1"/>
  <c r="BL952" i="9" s="1" a="1"/>
  <c r="BL952" i="9" s="1"/>
  <c r="CH981" i="9"/>
  <c r="CI981" i="9" s="1"/>
  <c r="CJ981" i="9" s="1" a="1"/>
  <c r="CJ981" i="9" s="1"/>
  <c r="CH1013" i="9"/>
  <c r="CI1013" i="9" s="1"/>
  <c r="BR938" i="9"/>
  <c r="BS938" i="9" s="1"/>
  <c r="BH979" i="9" a="1"/>
  <c r="BH979" i="9" s="1"/>
  <c r="BN989" i="9"/>
  <c r="BO989" i="9" s="1"/>
  <c r="BN1021" i="9"/>
  <c r="BO1021" i="9" s="1"/>
  <c r="BP1021" i="9" s="1" a="1"/>
  <c r="BP1021" i="9" s="1"/>
  <c r="BF918" i="9"/>
  <c r="BG918" i="9" s="1"/>
  <c r="BH918" i="9" s="1" a="1"/>
  <c r="BH918" i="9" s="1"/>
  <c r="BZ934" i="9"/>
  <c r="CA934" i="9" s="1"/>
  <c r="CB934" i="9" s="1" a="1"/>
  <c r="CB934" i="9" s="1"/>
  <c r="BR967" i="9"/>
  <c r="BS967" i="9" s="1"/>
  <c r="BR971" i="9"/>
  <c r="BS971" i="9" s="1"/>
  <c r="BR976" i="9"/>
  <c r="BS976" i="9" s="1"/>
  <c r="CD978" i="9"/>
  <c r="CE978" i="9" s="1"/>
  <c r="CF978" i="9" s="1" a="1"/>
  <c r="CF978" i="9" s="1"/>
  <c r="BN942" i="9"/>
  <c r="BO942" i="9" s="1"/>
  <c r="BN964" i="9"/>
  <c r="BO964" i="9" s="1"/>
  <c r="BP964" i="9" s="1" a="1"/>
  <c r="BP964" i="9" s="1"/>
  <c r="AZ990" i="9"/>
  <c r="BN990" i="9" s="1"/>
  <c r="BO990" i="9" s="1"/>
  <c r="CH1022" i="9"/>
  <c r="CI1022" i="9" s="1"/>
  <c r="BN1009" i="9"/>
  <c r="BO1009" i="9" s="1"/>
  <c r="BP1009" i="9" s="1" a="1"/>
  <c r="BP1009" i="9" s="1"/>
  <c r="BJ1015" i="9"/>
  <c r="BK1015" i="9" s="1"/>
  <c r="BL1015" i="9" s="1" a="1"/>
  <c r="BL1015" i="9" s="1"/>
  <c r="BZ979" i="9"/>
  <c r="CA979" i="9" s="1"/>
  <c r="BZ984" i="9"/>
  <c r="CA984" i="9" s="1"/>
  <c r="CB984" i="9" s="1" a="1"/>
  <c r="CB984" i="9" s="1"/>
  <c r="BR992" i="9"/>
  <c r="BS992" i="9" s="1"/>
  <c r="BN999" i="9"/>
  <c r="BO999" i="9" s="1"/>
  <c r="BP999" i="9" s="1" a="1"/>
  <c r="BP999" i="9" s="1"/>
  <c r="BJ992" i="9"/>
  <c r="BK992" i="9" s="1"/>
  <c r="BL992" i="9" s="1" a="1"/>
  <c r="BL992" i="9" s="1"/>
  <c r="BZ999" i="9"/>
  <c r="CA999" i="9" s="1"/>
  <c r="BN790" i="9"/>
  <c r="BO790" i="9" s="1"/>
  <c r="BN735" i="9"/>
  <c r="BO735" i="9" s="1"/>
  <c r="BN761" i="9"/>
  <c r="BO761" i="9" s="1"/>
  <c r="BR765" i="9"/>
  <c r="BS765" i="9" s="1"/>
  <c r="CH767" i="9"/>
  <c r="CI767" i="9" s="1"/>
  <c r="AZ823" i="9"/>
  <c r="BH738" i="9" a="1"/>
  <c r="BH738" i="9" s="1"/>
  <c r="CD806" i="9"/>
  <c r="CE806" i="9" s="1"/>
  <c r="CF806" i="9" s="1" a="1"/>
  <c r="CF806" i="9" s="1"/>
  <c r="BZ818" i="9"/>
  <c r="CA818" i="9" s="1"/>
  <c r="CB818" i="9" s="1" a="1"/>
  <c r="CB818" i="9" s="1"/>
  <c r="CL818" i="9"/>
  <c r="CM818" i="9" s="1"/>
  <c r="BJ818" i="9"/>
  <c r="BK818" i="9" s="1"/>
  <c r="CH818" i="9"/>
  <c r="CI818" i="9" s="1"/>
  <c r="BF818" i="9"/>
  <c r="BG818" i="9" s="1"/>
  <c r="BH818" i="9" s="1" a="1"/>
  <c r="BH818" i="9" s="1"/>
  <c r="BN818" i="9"/>
  <c r="BO818" i="9" s="1"/>
  <c r="CD821" i="9"/>
  <c r="CE821" i="9" s="1"/>
  <c r="CD755" i="9"/>
  <c r="CE755" i="9" s="1"/>
  <c r="CD818" i="9"/>
  <c r="CE818" i="9" s="1"/>
  <c r="CF818" i="9" s="1" a="1"/>
  <c r="CF818" i="9" s="1"/>
  <c r="BN809" i="9"/>
  <c r="BO809" i="9" s="1"/>
  <c r="BF819" i="9"/>
  <c r="BG819" i="9" s="1"/>
  <c r="BH819" i="9" s="1" a="1"/>
  <c r="BH819" i="9" s="1"/>
  <c r="BR819" i="9"/>
  <c r="BS819" i="9" s="1"/>
  <c r="BJ819" i="9"/>
  <c r="BK819" i="9" s="1"/>
  <c r="BN819" i="9"/>
  <c r="BO819" i="9" s="1"/>
  <c r="BZ819" i="9"/>
  <c r="CA819" i="9" s="1"/>
  <c r="BF821" i="9"/>
  <c r="BG821" i="9" s="1"/>
  <c r="BH821" i="9" s="1" a="1"/>
  <c r="BH821" i="9" s="1"/>
  <c r="BZ821" i="9"/>
  <c r="CA821" i="9" s="1"/>
  <c r="CB821" i="9" s="1" a="1"/>
  <c r="CB821" i="9" s="1"/>
  <c r="BN851" i="9"/>
  <c r="BO851" i="9" s="1"/>
  <c r="BP851" i="9" s="1" a="1"/>
  <c r="BP851" i="9" s="1"/>
  <c r="AZ854" i="9"/>
  <c r="BN882" i="9"/>
  <c r="BO882" i="9" s="1"/>
  <c r="BP882" i="9" s="1" a="1"/>
  <c r="BP882" i="9" s="1"/>
  <c r="BR882" i="9"/>
  <c r="BS882" i="9" s="1"/>
  <c r="CH882" i="9"/>
  <c r="CI882" i="9" s="1"/>
  <c r="CJ882" i="9" s="1" a="1"/>
  <c r="CJ882" i="9" s="1"/>
  <c r="BZ882" i="9"/>
  <c r="CA882" i="9" s="1"/>
  <c r="CB882" i="9" s="1" a="1"/>
  <c r="CB882" i="9" s="1"/>
  <c r="CL816" i="9"/>
  <c r="CM816" i="9" s="1"/>
  <c r="BZ840" i="9"/>
  <c r="CA840" i="9" s="1"/>
  <c r="CB840" i="9" s="1" a="1"/>
  <c r="CB840" i="9" s="1"/>
  <c r="BF840" i="9"/>
  <c r="BG840" i="9" s="1"/>
  <c r="BH840" i="9" s="1" a="1"/>
  <c r="BH840" i="9" s="1"/>
  <c r="BJ840" i="9"/>
  <c r="BK840" i="9" s="1"/>
  <c r="BZ864" i="9"/>
  <c r="CA864" i="9" s="1"/>
  <c r="CB864" i="9" s="1" a="1"/>
  <c r="CB864" i="9" s="1"/>
  <c r="BF864" i="9"/>
  <c r="BG864" i="9" s="1"/>
  <c r="BH864" i="9" s="1" a="1"/>
  <c r="BH864" i="9" s="1"/>
  <c r="BJ864" i="9"/>
  <c r="BK864" i="9" s="1"/>
  <c r="BR768" i="9"/>
  <c r="BS768" i="9" s="1"/>
  <c r="BZ812" i="9"/>
  <c r="CA812" i="9" s="1"/>
  <c r="BF812" i="9"/>
  <c r="BG812" i="9" s="1"/>
  <c r="BH812" i="9" s="1" a="1"/>
  <c r="BH812" i="9" s="1"/>
  <c r="CH822" i="9"/>
  <c r="CI822" i="9" s="1"/>
  <c r="AZ852" i="9"/>
  <c r="BJ852" i="9" s="1"/>
  <c r="BK852" i="9" s="1"/>
  <c r="CH868" i="9"/>
  <c r="CI868" i="9" s="1"/>
  <c r="CL804" i="9"/>
  <c r="CM804" i="9" s="1"/>
  <c r="CD814" i="9"/>
  <c r="CE814" i="9" s="1"/>
  <c r="CH808" i="9"/>
  <c r="CI808" i="9" s="1"/>
  <c r="CH834" i="9"/>
  <c r="CI834" i="9" s="1"/>
  <c r="BR872" i="9"/>
  <c r="BS872" i="9" s="1"/>
  <c r="CB885" i="9" a="1"/>
  <c r="CB885" i="9" s="1"/>
  <c r="BR876" i="9"/>
  <c r="BS876" i="9" s="1"/>
  <c r="AZ883" i="9"/>
  <c r="CH883" i="9" s="1"/>
  <c r="CI883" i="9" s="1"/>
  <c r="BF896" i="9"/>
  <c r="BG896" i="9" s="1"/>
  <c r="BZ896" i="9"/>
  <c r="CA896" i="9" s="1"/>
  <c r="CH875" i="9"/>
  <c r="CI875" i="9" s="1"/>
  <c r="CJ875" i="9" s="1" a="1"/>
  <c r="CJ875" i="9" s="1"/>
  <c r="CL860" i="9"/>
  <c r="CM860" i="9" s="1"/>
  <c r="BJ868" i="9"/>
  <c r="BK868" i="9" s="1"/>
  <c r="CL880" i="9"/>
  <c r="CM880" i="9" s="1"/>
  <c r="BF899" i="9"/>
  <c r="BG899" i="9" s="1"/>
  <c r="BH899" i="9" s="1" a="1"/>
  <c r="BH899" i="9" s="1"/>
  <c r="BZ899" i="9"/>
  <c r="CA899" i="9" s="1"/>
  <c r="CB899" i="9" s="1" a="1"/>
  <c r="CB899" i="9" s="1"/>
  <c r="CH924" i="9"/>
  <c r="CI924" i="9" s="1"/>
  <c r="AZ932" i="9"/>
  <c r="CD932" i="9" s="1"/>
  <c r="CE932" i="9" s="1"/>
  <c r="BR806" i="9"/>
  <c r="BS806" i="9" s="1"/>
  <c r="BR861" i="9"/>
  <c r="BS861" i="9" s="1"/>
  <c r="CD901" i="9"/>
  <c r="CE901" i="9" s="1"/>
  <c r="CF901" i="9" s="1" a="1"/>
  <c r="CF901" i="9" s="1"/>
  <c r="BR909" i="9"/>
  <c r="BS909" i="9" s="1"/>
  <c r="BN916" i="9"/>
  <c r="BO916" i="9" s="1"/>
  <c r="BZ881" i="9"/>
  <c r="CA881" i="9" s="1"/>
  <c r="CB881" i="9" s="1" a="1"/>
  <c r="CB881" i="9" s="1"/>
  <c r="BF881" i="9"/>
  <c r="BG881" i="9" s="1"/>
  <c r="BH881" i="9" s="1" a="1"/>
  <c r="BH881" i="9" s="1"/>
  <c r="BF882" i="9"/>
  <c r="BG882" i="9" s="1"/>
  <c r="BH882" i="9" s="1" a="1"/>
  <c r="BH882" i="9" s="1"/>
  <c r="CL947" i="9"/>
  <c r="CM947" i="9" s="1"/>
  <c r="BJ874" i="9"/>
  <c r="BK874" i="9" s="1"/>
  <c r="BR892" i="9"/>
  <c r="BS892" i="9" s="1"/>
  <c r="BN893" i="9"/>
  <c r="BO893" i="9" s="1"/>
  <c r="BR899" i="9"/>
  <c r="BS899" i="9" s="1"/>
  <c r="CD908" i="9"/>
  <c r="CE908" i="9" s="1"/>
  <c r="AZ917" i="9"/>
  <c r="CD917" i="9" s="1"/>
  <c r="CE917" i="9" s="1"/>
  <c r="BZ931" i="9"/>
  <c r="CA931" i="9" s="1"/>
  <c r="CB931" i="9" s="1" a="1"/>
  <c r="CB931" i="9" s="1"/>
  <c r="BN848" i="9"/>
  <c r="BO848" i="9" s="1"/>
  <c r="BP848" i="9" s="1" a="1"/>
  <c r="BP848" i="9" s="1"/>
  <c r="CH856" i="9"/>
  <c r="CI856" i="9" s="1"/>
  <c r="CJ856" i="9" s="1" a="1"/>
  <c r="CJ856" i="9" s="1"/>
  <c r="BV887" i="9"/>
  <c r="Q887" i="9" s="1"/>
  <c r="AB887" i="9" s="1"/>
  <c r="BN899" i="9"/>
  <c r="BO899" i="9" s="1"/>
  <c r="BJ814" i="9"/>
  <c r="BK814" i="9" s="1"/>
  <c r="CL856" i="9"/>
  <c r="CM856" i="9" s="1"/>
  <c r="CH889" i="9"/>
  <c r="CI889" i="9" s="1"/>
  <c r="CJ889" i="9" s="1" a="1"/>
  <c r="CJ889" i="9" s="1"/>
  <c r="AZ915" i="9"/>
  <c r="BZ915" i="9" s="1"/>
  <c r="CA915" i="9" s="1"/>
  <c r="CB915" i="9" s="1" a="1"/>
  <c r="CB915" i="9" s="1"/>
  <c r="CD930" i="9"/>
  <c r="CE930" i="9" s="1"/>
  <c r="BR945" i="9"/>
  <c r="BS945" i="9" s="1"/>
  <c r="CL977" i="9"/>
  <c r="CM977" i="9" s="1"/>
  <c r="BZ902" i="9"/>
  <c r="CA902" i="9" s="1"/>
  <c r="CB902" i="9" s="1" a="1"/>
  <c r="CB902" i="9" s="1"/>
  <c r="BN963" i="9"/>
  <c r="BO963" i="9" s="1"/>
  <c r="BN945" i="9"/>
  <c r="BO945" i="9" s="1"/>
  <c r="BP945" i="9" s="1" a="1"/>
  <c r="BP945" i="9" s="1"/>
  <c r="BR951" i="9"/>
  <c r="BS951" i="9" s="1"/>
  <c r="BN902" i="9"/>
  <c r="BO902" i="9" s="1"/>
  <c r="BR954" i="9"/>
  <c r="BS954" i="9" s="1"/>
  <c r="CH968" i="9"/>
  <c r="CI968" i="9" s="1"/>
  <c r="CJ968" i="9" s="1" a="1"/>
  <c r="CJ968" i="9" s="1"/>
  <c r="BF976" i="9"/>
  <c r="BG976" i="9" s="1"/>
  <c r="BZ976" i="9"/>
  <c r="CA976" i="9" s="1"/>
  <c r="CL914" i="9"/>
  <c r="CM914" i="9" s="1"/>
  <c r="CL930" i="9"/>
  <c r="CM930" i="9" s="1"/>
  <c r="CD958" i="9"/>
  <c r="CE958" i="9" s="1"/>
  <c r="CF958" i="9" s="1" a="1"/>
  <c r="CF958" i="9" s="1"/>
  <c r="CD971" i="9"/>
  <c r="CE971" i="9" s="1"/>
  <c r="CF971" i="9" s="1" a="1"/>
  <c r="CF971" i="9" s="1"/>
  <c r="CH885" i="9"/>
  <c r="CI885" i="9" s="1"/>
  <c r="CJ885" i="9" s="1" a="1"/>
  <c r="CJ885" i="9" s="1"/>
  <c r="CL971" i="9"/>
  <c r="CM971" i="9" s="1"/>
  <c r="CD973" i="9"/>
  <c r="CE973" i="9" s="1"/>
  <c r="CH978" i="9"/>
  <c r="CI978" i="9" s="1"/>
  <c r="AZ987" i="9"/>
  <c r="CH987" i="9" s="1"/>
  <c r="CI987" i="9" s="1"/>
  <c r="AZ1003" i="9"/>
  <c r="AZ1019" i="9"/>
  <c r="CH1019" i="9" s="1"/>
  <c r="CI1019" i="9" s="1"/>
  <c r="CL956" i="9"/>
  <c r="CM956" i="9" s="1"/>
  <c r="BN956" i="9"/>
  <c r="BO956" i="9" s="1"/>
  <c r="BP956" i="9" s="1" a="1"/>
  <c r="BP956" i="9" s="1"/>
  <c r="BR960" i="9"/>
  <c r="BS960" i="9" s="1"/>
  <c r="AZ998" i="9"/>
  <c r="BJ998" i="9" s="1"/>
  <c r="BK998" i="9" s="1"/>
  <c r="BZ1013" i="9"/>
  <c r="CA1013" i="9" s="1"/>
  <c r="CB1013" i="9" s="1" a="1"/>
  <c r="CB1013" i="9" s="1"/>
  <c r="BF1013" i="9"/>
  <c r="BG1013" i="9" s="1"/>
  <c r="BH1013" i="9" s="1" a="1"/>
  <c r="BH1013" i="9" s="1"/>
  <c r="BR984" i="9"/>
  <c r="BS984" i="9" s="1"/>
  <c r="BR981" i="9"/>
  <c r="BS981" i="9" s="1"/>
  <c r="BR1005" i="9"/>
  <c r="BS1005" i="9" s="1"/>
  <c r="CL1021" i="9"/>
  <c r="CM1021" i="9" s="1"/>
  <c r="CD963" i="9"/>
  <c r="CE963" i="9" s="1"/>
  <c r="BR72" i="9"/>
  <c r="BS72" i="9" s="1"/>
  <c r="BZ72" i="9"/>
  <c r="CA72" i="9" s="1"/>
  <c r="CB72" i="9" s="1" a="1"/>
  <c r="CB72" i="9" s="1"/>
  <c r="CH106" i="9"/>
  <c r="CI106" i="9" s="1"/>
  <c r="BR106" i="9"/>
  <c r="BS106" i="9" s="1"/>
  <c r="BU106" i="9" s="1" a="1"/>
  <c r="BU106" i="9" s="1"/>
  <c r="BN72" i="9"/>
  <c r="BO72" i="9" s="1"/>
  <c r="CD95" i="9"/>
  <c r="CE95" i="9" s="1"/>
  <c r="BN90" i="9"/>
  <c r="BO90" i="9" s="1"/>
  <c r="BN89" i="9"/>
  <c r="BO89" i="9" s="1"/>
  <c r="BR82" i="9"/>
  <c r="BS82" i="9" s="1"/>
  <c r="CJ117" i="9" a="1"/>
  <c r="CJ117" i="9" s="1"/>
  <c r="BF111" i="9"/>
  <c r="BG111" i="9" s="1"/>
  <c r="BH111" i="9" s="1" a="1"/>
  <c r="BH111" i="9" s="1"/>
  <c r="CH99" i="9"/>
  <c r="CI99" i="9" s="1"/>
  <c r="BR95" i="9"/>
  <c r="BS95" i="9" s="1"/>
  <c r="BU95" i="9" s="1" a="1"/>
  <c r="BU95" i="9" s="1"/>
  <c r="BN82" i="9"/>
  <c r="BO82" i="9" s="1"/>
  <c r="BF53" i="9"/>
  <c r="BG53" i="9" s="1"/>
  <c r="BH53" i="9" s="1" a="1"/>
  <c r="BH53" i="9" s="1"/>
  <c r="CD112" i="9"/>
  <c r="CE112" i="9" s="1"/>
  <c r="CL102" i="9"/>
  <c r="CM102" i="9" s="1"/>
  <c r="CO102" i="9" s="1" a="1"/>
  <c r="CO102" i="9" s="1"/>
  <c r="CL97" i="9"/>
  <c r="CM97" i="9" s="1"/>
  <c r="CO97" i="9" s="1" a="1"/>
  <c r="CO97" i="9" s="1"/>
  <c r="CL85" i="9"/>
  <c r="CM85" i="9" s="1"/>
  <c r="CO85" i="9" s="1" a="1"/>
  <c r="CO85" i="9" s="1"/>
  <c r="BJ53" i="9"/>
  <c r="BK53" i="9" s="1"/>
  <c r="AZ60" i="9"/>
  <c r="BF60" i="9" s="1"/>
  <c r="BG60" i="9" s="1"/>
  <c r="BH60" i="9" s="1" a="1"/>
  <c r="BH60" i="9" s="1"/>
  <c r="BL120" i="9" a="1"/>
  <c r="BL120" i="9" s="1"/>
  <c r="BP120" i="9" a="1"/>
  <c r="BP120" i="9" s="1"/>
  <c r="BP117" i="9" a="1"/>
  <c r="BP117" i="9" s="1"/>
  <c r="BJ111" i="9"/>
  <c r="BK111" i="9" s="1"/>
  <c r="BN102" i="9"/>
  <c r="BO102" i="9" s="1"/>
  <c r="CD102" i="9"/>
  <c r="CE102" i="9" s="1"/>
  <c r="CJ102" i="9" s="1" a="1"/>
  <c r="CJ102" i="9" s="1"/>
  <c r="BN99" i="9"/>
  <c r="BO99" i="9" s="1"/>
  <c r="BT99" i="9" s="1" a="1"/>
  <c r="BT99" i="9" s="1"/>
  <c r="BN100" i="9"/>
  <c r="BO100" i="9" s="1"/>
  <c r="BR71" i="9"/>
  <c r="BS71" i="9" s="1"/>
  <c r="BU71" i="9" s="1" a="1"/>
  <c r="BU71" i="9" s="1"/>
  <c r="CD47" i="9"/>
  <c r="CE47" i="9" s="1"/>
  <c r="BZ102" i="9"/>
  <c r="CA102" i="9" s="1"/>
  <c r="CB102" i="9" s="1" a="1"/>
  <c r="CB102" i="9" s="1"/>
  <c r="BR111" i="9"/>
  <c r="BS111" i="9" s="1"/>
  <c r="BU111" i="9" s="1" a="1"/>
  <c r="BU111" i="9" s="1"/>
  <c r="BR102" i="9"/>
  <c r="BS102" i="9" s="1"/>
  <c r="BJ102" i="9"/>
  <c r="BK102" i="9" s="1"/>
  <c r="CD98" i="9"/>
  <c r="CE98" i="9" s="1"/>
  <c r="CJ98" i="9" s="1" a="1"/>
  <c r="CJ98" i="9" s="1"/>
  <c r="BN95" i="9"/>
  <c r="BO95" i="9" s="1"/>
  <c r="BT95" i="9" s="1" a="1"/>
  <c r="BT95" i="9" s="1"/>
  <c r="BR89" i="9"/>
  <c r="BS89" i="9" s="1"/>
  <c r="BU89" i="9" s="1" a="1"/>
  <c r="BU89" i="9" s="1"/>
  <c r="BJ82" i="9"/>
  <c r="BK82" i="9" s="1"/>
  <c r="BF82" i="9"/>
  <c r="BG82" i="9" s="1"/>
  <c r="BH82" i="9" s="1" a="1"/>
  <c r="BH82" i="9" s="1"/>
  <c r="CL53" i="9"/>
  <c r="CM53" i="9" s="1"/>
  <c r="BF56" i="9"/>
  <c r="BG56" i="9" s="1"/>
  <c r="BH56" i="9" s="1" a="1"/>
  <c r="BH56" i="9" s="1"/>
  <c r="BN36" i="9"/>
  <c r="BO36" i="9" s="1"/>
  <c r="BR60" i="9"/>
  <c r="BS60" i="9" s="1"/>
  <c r="BU60" i="9" s="1" a="1"/>
  <c r="BU60" i="9" s="1"/>
  <c r="CH120" i="9"/>
  <c r="CI120" i="9" s="1"/>
  <c r="BN98" i="9"/>
  <c r="BO98" i="9" s="1"/>
  <c r="BP98" i="9" s="1" a="1"/>
  <c r="BP98" i="9" s="1"/>
  <c r="CD89" i="9"/>
  <c r="CE89" i="9" s="1"/>
  <c r="BF102" i="9"/>
  <c r="BG102" i="9" s="1"/>
  <c r="BH102" i="9" s="1" a="1"/>
  <c r="BH102" i="9" s="1"/>
  <c r="BJ89" i="9"/>
  <c r="BK89" i="9" s="1"/>
  <c r="BN87" i="9"/>
  <c r="BO87" i="9" s="1"/>
  <c r="BN74" i="9"/>
  <c r="BO74" i="9" s="1"/>
  <c r="BN77" i="9"/>
  <c r="BO77" i="9" s="1"/>
  <c r="BP77" i="9" s="1" a="1"/>
  <c r="BP77" i="9" s="1"/>
  <c r="CD64" i="9"/>
  <c r="CE64" i="9" s="1"/>
  <c r="CH35" i="9"/>
  <c r="CI35" i="9" s="1"/>
  <c r="BR56" i="9"/>
  <c r="BS56" i="9" s="1"/>
  <c r="BU56" i="9" s="1" a="1"/>
  <c r="BU56" i="9" s="1"/>
  <c r="BN52" i="9"/>
  <c r="BO52" i="9" s="1"/>
  <c r="CJ118" i="9" a="1"/>
  <c r="CJ118" i="9" s="1"/>
  <c r="BU110" i="9" a="1"/>
  <c r="BU110" i="9" s="1"/>
  <c r="BU117" i="9" a="1"/>
  <c r="BU117" i="9" s="1"/>
  <c r="BT117" i="9" a="1"/>
  <c r="BT117" i="9" s="1"/>
  <c r="BT120" i="9" a="1"/>
  <c r="BT120" i="9" s="1"/>
  <c r="BU120" i="9" a="1"/>
  <c r="BU120" i="9" s="1"/>
  <c r="BT112" i="9" a="1"/>
  <c r="BT112" i="9" s="1"/>
  <c r="BU112" i="9" a="1"/>
  <c r="BU112" i="9" s="1"/>
  <c r="CN117" i="9" a="1"/>
  <c r="CN117" i="9" s="1"/>
  <c r="CO117" i="9" a="1"/>
  <c r="CO117" i="9" s="1"/>
  <c r="BU99" i="9" a="1"/>
  <c r="BU99" i="9" s="1"/>
  <c r="AZ105" i="9"/>
  <c r="AZ29" i="9"/>
  <c r="BR29" i="9" s="1"/>
  <c r="BS29" i="9" s="1"/>
  <c r="AZ119" i="9"/>
  <c r="BR119" i="9" s="1"/>
  <c r="BS119" i="9" s="1"/>
  <c r="AZ121" i="9"/>
  <c r="CD121" i="9" s="1"/>
  <c r="CE121" i="9" s="1"/>
  <c r="AZ92" i="9"/>
  <c r="CD99" i="9"/>
  <c r="CE99" i="9" s="1"/>
  <c r="AZ91" i="9"/>
  <c r="BR91" i="9" s="1"/>
  <c r="BS91" i="9" s="1"/>
  <c r="CD90" i="9"/>
  <c r="CE90" i="9" s="1"/>
  <c r="BZ90" i="9"/>
  <c r="CA90" i="9" s="1"/>
  <c r="CB90" i="9" s="1" a="1"/>
  <c r="CB90" i="9" s="1"/>
  <c r="BF97" i="9"/>
  <c r="BG97" i="9" s="1"/>
  <c r="BH97" i="9" s="1" a="1"/>
  <c r="BH97" i="9" s="1"/>
  <c r="BZ97" i="9"/>
  <c r="CA97" i="9" s="1"/>
  <c r="CB97" i="9" s="1" a="1"/>
  <c r="CB97" i="9" s="1"/>
  <c r="CH97" i="9"/>
  <c r="CI97" i="9" s="1"/>
  <c r="CJ97" i="9" s="1" a="1"/>
  <c r="CJ97" i="9" s="1"/>
  <c r="BN97" i="9"/>
  <c r="BO97" i="9" s="1"/>
  <c r="BN110" i="9"/>
  <c r="BO110" i="9" s="1"/>
  <c r="BT110" i="9" s="1" a="1"/>
  <c r="BT110" i="9" s="1"/>
  <c r="CH56" i="9"/>
  <c r="CI56" i="9" s="1"/>
  <c r="BZ56" i="9"/>
  <c r="CA56" i="9" s="1"/>
  <c r="CB56" i="9" s="1" a="1"/>
  <c r="CB56" i="9" s="1"/>
  <c r="BJ118" i="9"/>
  <c r="BK118" i="9" s="1"/>
  <c r="BN118" i="9"/>
  <c r="BO118" i="9" s="1"/>
  <c r="BZ118" i="9"/>
  <c r="CA118" i="9" s="1"/>
  <c r="CB118" i="9" s="1" a="1"/>
  <c r="CB118" i="9" s="1"/>
  <c r="BF118" i="9"/>
  <c r="BG118" i="9" s="1"/>
  <c r="BH118" i="9" s="1" a="1"/>
  <c r="BH118" i="9" s="1"/>
  <c r="CL118" i="9"/>
  <c r="CM118" i="9" s="1"/>
  <c r="BR118" i="9"/>
  <c r="BS118" i="9" s="1"/>
  <c r="AZ113" i="9"/>
  <c r="BF113" i="9" s="1"/>
  <c r="BG113" i="9" s="1"/>
  <c r="BH113" i="9" s="1" a="1"/>
  <c r="BH113" i="9" s="1"/>
  <c r="BF110" i="9"/>
  <c r="BG110" i="9" s="1"/>
  <c r="BH110" i="9" s="1" a="1"/>
  <c r="BH110" i="9" s="1"/>
  <c r="BU102" i="9" a="1"/>
  <c r="BU102" i="9" s="1"/>
  <c r="BR97" i="9"/>
  <c r="BS97" i="9" s="1"/>
  <c r="CL95" i="9"/>
  <c r="CM95" i="9" s="1"/>
  <c r="BJ90" i="9"/>
  <c r="BK90" i="9" s="1"/>
  <c r="BF90" i="9"/>
  <c r="BG90" i="9" s="1"/>
  <c r="BH90" i="9" s="1" a="1"/>
  <c r="BH90" i="9" s="1"/>
  <c r="CL90" i="9"/>
  <c r="CM90" i="9" s="1"/>
  <c r="AZ79" i="9"/>
  <c r="BZ79" i="9" s="1"/>
  <c r="CA79" i="9" s="1"/>
  <c r="CB79" i="9" s="1" a="1"/>
  <c r="CB79" i="9" s="1"/>
  <c r="BF74" i="9"/>
  <c r="BG74" i="9" s="1"/>
  <c r="BH74" i="9" s="1" a="1"/>
  <c r="BH74" i="9" s="1"/>
  <c r="BZ74" i="9"/>
  <c r="CA74" i="9" s="1"/>
  <c r="CB74" i="9" s="1" a="1"/>
  <c r="CB74" i="9" s="1"/>
  <c r="BJ74" i="9"/>
  <c r="BK74" i="9" s="1"/>
  <c r="CL74" i="9"/>
  <c r="CM74" i="9" s="1"/>
  <c r="CH74" i="9"/>
  <c r="CI74" i="9" s="1"/>
  <c r="BF89" i="9"/>
  <c r="BG89" i="9" s="1"/>
  <c r="BJ47" i="9"/>
  <c r="BK47" i="9" s="1"/>
  <c r="BR113" i="9"/>
  <c r="BS113" i="9" s="1"/>
  <c r="BZ93" i="9"/>
  <c r="CA93" i="9" s="1"/>
  <c r="CB93" i="9" s="1" a="1"/>
  <c r="CB93" i="9" s="1"/>
  <c r="CL93" i="9"/>
  <c r="CM93" i="9" s="1"/>
  <c r="BR93" i="9"/>
  <c r="BS93" i="9" s="1"/>
  <c r="BF93" i="9"/>
  <c r="BG93" i="9" s="1"/>
  <c r="BH93" i="9" s="1" a="1"/>
  <c r="BH93" i="9" s="1"/>
  <c r="CO112" i="9" a="1"/>
  <c r="CO112" i="9" s="1"/>
  <c r="AZ103" i="9"/>
  <c r="BF103" i="9" s="1"/>
  <c r="BG103" i="9" s="1"/>
  <c r="BH103" i="9" s="1" a="1"/>
  <c r="BH103" i="9" s="1"/>
  <c r="AZ96" i="9"/>
  <c r="BZ96" i="9" s="1"/>
  <c r="CA96" i="9" s="1"/>
  <c r="CB96" i="9" s="1" a="1"/>
  <c r="CB96" i="9" s="1"/>
  <c r="CL89" i="9"/>
  <c r="CM89" i="9" s="1"/>
  <c r="CH89" i="9"/>
  <c r="CI89" i="9" s="1"/>
  <c r="AZ73" i="9"/>
  <c r="BZ89" i="9"/>
  <c r="CA89" i="9" s="1"/>
  <c r="AZ70" i="9"/>
  <c r="CH36" i="9"/>
  <c r="CI36" i="9" s="1"/>
  <c r="CH112" i="9"/>
  <c r="CI112" i="9" s="1"/>
  <c r="CJ112" i="9" s="1" a="1"/>
  <c r="CJ112" i="9" s="1"/>
  <c r="AZ116" i="9"/>
  <c r="BR116" i="9" s="1"/>
  <c r="BS116" i="9" s="1"/>
  <c r="BZ111" i="9"/>
  <c r="CA111" i="9" s="1"/>
  <c r="CB111" i="9" s="1" a="1"/>
  <c r="CB111" i="9" s="1"/>
  <c r="CD111" i="9"/>
  <c r="CE111" i="9" s="1"/>
  <c r="CD110" i="9"/>
  <c r="CE110" i="9" s="1"/>
  <c r="AZ115" i="9"/>
  <c r="CD115" i="9" s="1"/>
  <c r="CE115" i="9" s="1"/>
  <c r="AZ114" i="9"/>
  <c r="CD114" i="9" s="1"/>
  <c r="CE114" i="9" s="1"/>
  <c r="AZ108" i="9"/>
  <c r="BJ93" i="9"/>
  <c r="BK93" i="9" s="1"/>
  <c r="CH95" i="9"/>
  <c r="CI95" i="9" s="1"/>
  <c r="CJ95" i="9" s="1" a="1"/>
  <c r="CJ95" i="9" s="1"/>
  <c r="BZ95" i="9"/>
  <c r="CA95" i="9" s="1"/>
  <c r="CB95" i="9" s="1" a="1"/>
  <c r="CB95" i="9" s="1"/>
  <c r="BP87" i="9" a="1"/>
  <c r="BP87" i="9" s="1"/>
  <c r="BJ95" i="9"/>
  <c r="BK95" i="9" s="1"/>
  <c r="AZ83" i="9"/>
  <c r="BP82" i="9" a="1"/>
  <c r="BP82" i="9" s="1"/>
  <c r="CN98" i="9" a="1"/>
  <c r="CN98" i="9" s="1"/>
  <c r="BZ98" i="9"/>
  <c r="CA98" i="9" s="1"/>
  <c r="CB98" i="9" s="1" a="1"/>
  <c r="CB98" i="9" s="1"/>
  <c r="BR48" i="9"/>
  <c r="BS48" i="9" s="1"/>
  <c r="BZ29" i="9"/>
  <c r="CA29" i="9" s="1"/>
  <c r="BZ27" i="9"/>
  <c r="CA27" i="9" s="1"/>
  <c r="CB27" i="9" s="1" a="1"/>
  <c r="CB27" i="9" s="1"/>
  <c r="BF27" i="9"/>
  <c r="BG27" i="9" s="1"/>
  <c r="BH27" i="9" s="1" a="1"/>
  <c r="BH27" i="9" s="1"/>
  <c r="BU53" i="9" a="1"/>
  <c r="BU53" i="9" s="1"/>
  <c r="BZ103" i="9"/>
  <c r="CA103" i="9" s="1"/>
  <c r="CB103" i="9" s="1" a="1"/>
  <c r="CB103" i="9" s="1"/>
  <c r="CD103" i="9"/>
  <c r="CE103" i="9" s="1"/>
  <c r="AZ101" i="9"/>
  <c r="CH101" i="9" s="1"/>
  <c r="CI101" i="9" s="1"/>
  <c r="BJ110" i="9"/>
  <c r="BK110" i="9" s="1"/>
  <c r="BH89" i="9" a="1"/>
  <c r="BH89" i="9" s="1"/>
  <c r="CD120" i="9"/>
  <c r="CE120" i="9" s="1"/>
  <c r="CF120" i="9" s="1" a="1"/>
  <c r="CF120" i="9" s="1"/>
  <c r="BF112" i="9"/>
  <c r="BG112" i="9" s="1"/>
  <c r="BH112" i="9" s="1" a="1"/>
  <c r="BH112" i="9" s="1"/>
  <c r="BJ112" i="9"/>
  <c r="BK112" i="9" s="1"/>
  <c r="BZ112" i="9"/>
  <c r="CA112" i="9" s="1"/>
  <c r="CB112" i="9" s="1" a="1"/>
  <c r="CB112" i="9" s="1"/>
  <c r="AZ107" i="9"/>
  <c r="CD100" i="9"/>
  <c r="CE100" i="9" s="1"/>
  <c r="CL110" i="9"/>
  <c r="CM110" i="9" s="1"/>
  <c r="AZ104" i="9"/>
  <c r="CD109" i="9"/>
  <c r="CE109" i="9" s="1"/>
  <c r="CL99" i="9"/>
  <c r="CM99" i="9" s="1"/>
  <c r="CL103" i="9"/>
  <c r="CM103" i="9" s="1"/>
  <c r="BR103" i="9"/>
  <c r="BS103" i="9" s="1"/>
  <c r="BN93" i="9"/>
  <c r="BO93" i="9" s="1"/>
  <c r="BH95" i="9" a="1"/>
  <c r="BH95" i="9" s="1"/>
  <c r="BF98" i="9"/>
  <c r="BG98" i="9" s="1"/>
  <c r="BR98" i="9"/>
  <c r="BS98" i="9" s="1"/>
  <c r="AZ86" i="9"/>
  <c r="CD86" i="9" s="1"/>
  <c r="CE86" i="9" s="1"/>
  <c r="AZ65" i="9"/>
  <c r="BN65" i="9" s="1"/>
  <c r="BO65" i="9" s="1"/>
  <c r="CH72" i="9"/>
  <c r="CI72" i="9" s="1"/>
  <c r="CD72" i="9"/>
  <c r="CE72" i="9" s="1"/>
  <c r="CF72" i="9" s="1" a="1"/>
  <c r="CF72" i="9" s="1"/>
  <c r="BN64" i="9"/>
  <c r="BO64" i="9" s="1"/>
  <c r="CL29" i="9"/>
  <c r="CM29" i="9" s="1"/>
  <c r="BZ35" i="9"/>
  <c r="CA35" i="9" s="1"/>
  <c r="CB35" i="9" s="1" a="1"/>
  <c r="CB35" i="9" s="1"/>
  <c r="BF35" i="9"/>
  <c r="BG35" i="9" s="1"/>
  <c r="BH35" i="9" s="1" a="1"/>
  <c r="BH35" i="9" s="1"/>
  <c r="AZ33" i="9"/>
  <c r="BZ33" i="9" s="1"/>
  <c r="CA33" i="9" s="1"/>
  <c r="CB33" i="9" s="1" a="1"/>
  <c r="CB33" i="9" s="1"/>
  <c r="CL60" i="9"/>
  <c r="CM60" i="9" s="1"/>
  <c r="CD93" i="9"/>
  <c r="CE93" i="9" s="1"/>
  <c r="AZ122" i="9"/>
  <c r="CL111" i="9"/>
  <c r="CM111" i="9" s="1"/>
  <c r="CL120" i="9"/>
  <c r="CM120" i="9" s="1"/>
  <c r="BJ97" i="9"/>
  <c r="BK97" i="9" s="1"/>
  <c r="BL97" i="9" s="1" a="1"/>
  <c r="BL97" i="9" s="1"/>
  <c r="BZ110" i="9"/>
  <c r="CA110" i="9" s="1"/>
  <c r="CB110" i="9" s="1" a="1"/>
  <c r="CB110" i="9" s="1"/>
  <c r="BF105" i="9"/>
  <c r="BG105" i="9" s="1"/>
  <c r="BH105" i="9" s="1" a="1"/>
  <c r="BH105" i="9" s="1"/>
  <c r="AZ109" i="9"/>
  <c r="BF109" i="9" s="1"/>
  <c r="BG109" i="9" s="1"/>
  <c r="BH109" i="9" s="1" a="1"/>
  <c r="BH109" i="9" s="1"/>
  <c r="BZ99" i="9"/>
  <c r="CA99" i="9" s="1"/>
  <c r="CB99" i="9" s="1" a="1"/>
  <c r="CB99" i="9" s="1"/>
  <c r="BF99" i="9"/>
  <c r="BG99" i="9" s="1"/>
  <c r="BH99" i="9" s="1" a="1"/>
  <c r="BH99" i="9" s="1"/>
  <c r="BJ99" i="9"/>
  <c r="BK99" i="9" s="1"/>
  <c r="BJ92" i="9"/>
  <c r="BK92" i="9" s="1"/>
  <c r="BF100" i="9"/>
  <c r="BG100" i="9" s="1"/>
  <c r="BH100" i="9" s="1" a="1"/>
  <c r="BH100" i="9" s="1"/>
  <c r="BZ100" i="9"/>
  <c r="CA100" i="9" s="1"/>
  <c r="CB100" i="9" s="1" a="1"/>
  <c r="CB100" i="9" s="1"/>
  <c r="CL100" i="9"/>
  <c r="CM100" i="9" s="1"/>
  <c r="CH100" i="9"/>
  <c r="CI100" i="9" s="1"/>
  <c r="BR100" i="9"/>
  <c r="BS100" i="9" s="1"/>
  <c r="BR90" i="9"/>
  <c r="BS90" i="9" s="1"/>
  <c r="CL96" i="9"/>
  <c r="CM96" i="9" s="1"/>
  <c r="BZ106" i="9"/>
  <c r="CA106" i="9" s="1"/>
  <c r="CB106" i="9" s="1" a="1"/>
  <c r="CB106" i="9" s="1"/>
  <c r="BJ106" i="9"/>
  <c r="BK106" i="9" s="1"/>
  <c r="CD106" i="9"/>
  <c r="CE106" i="9" s="1"/>
  <c r="BF106" i="9"/>
  <c r="BG106" i="9" s="1"/>
  <c r="BH106" i="9" s="1" a="1"/>
  <c r="BH106" i="9" s="1"/>
  <c r="CL106" i="9"/>
  <c r="CM106" i="9" s="1"/>
  <c r="BN106" i="9"/>
  <c r="BO106" i="9" s="1"/>
  <c r="BJ100" i="9"/>
  <c r="BK100" i="9" s="1"/>
  <c r="BP100" i="9" s="1" a="1"/>
  <c r="BP100" i="9" s="1"/>
  <c r="AZ57" i="9"/>
  <c r="BN61" i="9"/>
  <c r="BO61" i="9" s="1"/>
  <c r="CD56" i="9"/>
  <c r="CE56" i="9" s="1"/>
  <c r="CF56" i="9" s="1" a="1"/>
  <c r="CF56" i="9" s="1"/>
  <c r="AZ25" i="9"/>
  <c r="CH25" i="9" s="1"/>
  <c r="CI25" i="9" s="1"/>
  <c r="AZ75" i="9"/>
  <c r="BN75" i="9" s="1"/>
  <c r="BO75" i="9" s="1"/>
  <c r="AZ41" i="9"/>
  <c r="BR41" i="9" s="1"/>
  <c r="BS41" i="9" s="1"/>
  <c r="CH54" i="9"/>
  <c r="CI54" i="9" s="1"/>
  <c r="CD53" i="9"/>
  <c r="CE53" i="9" s="1"/>
  <c r="CL61" i="9"/>
  <c r="CM61" i="9" s="1"/>
  <c r="CL48" i="9"/>
  <c r="CM48" i="9" s="1"/>
  <c r="BF54" i="9"/>
  <c r="BG54" i="9" s="1"/>
  <c r="BH54" i="9" s="1" a="1"/>
  <c r="BH54" i="9" s="1"/>
  <c r="BZ54" i="9"/>
  <c r="CA54" i="9" s="1"/>
  <c r="CB54" i="9" s="1" a="1"/>
  <c r="CB54" i="9" s="1"/>
  <c r="BN54" i="9"/>
  <c r="BO54" i="9" s="1"/>
  <c r="BF41" i="9"/>
  <c r="BG41" i="9" s="1"/>
  <c r="BH41" i="9" s="1" a="1"/>
  <c r="BH41" i="9" s="1"/>
  <c r="BN41" i="9"/>
  <c r="BO41" i="9" s="1"/>
  <c r="AZ23" i="9"/>
  <c r="BR23" i="9" s="1"/>
  <c r="BS23" i="9" s="1"/>
  <c r="BR36" i="9"/>
  <c r="BS36" i="9" s="1"/>
  <c r="CO53" i="9" a="1"/>
  <c r="CO53" i="9" s="1"/>
  <c r="AZ28" i="9"/>
  <c r="BF28" i="9" s="1"/>
  <c r="BG28" i="9" s="1"/>
  <c r="BH28" i="9" s="1" a="1"/>
  <c r="BH28" i="9" s="1"/>
  <c r="AZ94" i="9"/>
  <c r="BZ94" i="9" s="1"/>
  <c r="CA94" i="9" s="1"/>
  <c r="CB94" i="9" s="1" a="1"/>
  <c r="CB94" i="9" s="1"/>
  <c r="AZ69" i="9"/>
  <c r="CD74" i="9"/>
  <c r="CE74" i="9" s="1"/>
  <c r="BR77" i="9"/>
  <c r="BS77" i="9" s="1"/>
  <c r="CD54" i="9"/>
  <c r="CE54" i="9" s="1"/>
  <c r="AZ50" i="9"/>
  <c r="CD50" i="9" s="1"/>
  <c r="CE50" i="9" s="1"/>
  <c r="AZ42" i="9"/>
  <c r="CL42" i="9" s="1"/>
  <c r="CM42" i="9" s="1"/>
  <c r="BF47" i="9"/>
  <c r="BG47" i="9" s="1"/>
  <c r="BH47" i="9" s="1" a="1"/>
  <c r="BH47" i="9" s="1"/>
  <c r="BZ47" i="9"/>
  <c r="CA47" i="9" s="1"/>
  <c r="AZ78" i="9"/>
  <c r="CD78" i="9" s="1"/>
  <c r="CE78" i="9" s="1"/>
  <c r="BJ64" i="9"/>
  <c r="BK64" i="9" s="1"/>
  <c r="CL47" i="9"/>
  <c r="CM47" i="9" s="1"/>
  <c r="CD27" i="9"/>
  <c r="CE27" i="9" s="1"/>
  <c r="BZ36" i="9"/>
  <c r="CA36" i="9" s="1"/>
  <c r="CB36" i="9" s="1" a="1"/>
  <c r="CB36" i="9" s="1"/>
  <c r="BF36" i="9"/>
  <c r="BG36" i="9" s="1"/>
  <c r="BH36" i="9" s="1" a="1"/>
  <c r="BH36" i="9" s="1"/>
  <c r="BF29" i="9"/>
  <c r="BG29" i="9" s="1"/>
  <c r="BH29" i="9" s="1" a="1"/>
  <c r="BH29" i="9" s="1"/>
  <c r="AZ84" i="9"/>
  <c r="CD84" i="9" s="1"/>
  <c r="CE84" i="9" s="1"/>
  <c r="AZ76" i="9"/>
  <c r="CH76" i="9" s="1"/>
  <c r="CI76" i="9" s="1"/>
  <c r="CH85" i="9"/>
  <c r="CI85" i="9" s="1"/>
  <c r="BN83" i="9"/>
  <c r="BO83" i="9" s="1"/>
  <c r="CD82" i="9"/>
  <c r="CE82" i="9" s="1"/>
  <c r="CF82" i="9" s="1" a="1"/>
  <c r="CF82" i="9" s="1"/>
  <c r="CL72" i="9"/>
  <c r="CM72" i="9" s="1"/>
  <c r="AZ66" i="9"/>
  <c r="BZ66" i="9" s="1"/>
  <c r="CA66" i="9" s="1"/>
  <c r="CB66" i="9" s="1" a="1"/>
  <c r="CB66" i="9" s="1"/>
  <c r="BF52" i="9"/>
  <c r="BG52" i="9" s="1"/>
  <c r="BH52" i="9" s="1" a="1"/>
  <c r="BH52" i="9" s="1"/>
  <c r="BZ52" i="9"/>
  <c r="CA52" i="9" s="1"/>
  <c r="CB52" i="9" s="1" a="1"/>
  <c r="CB52" i="9" s="1"/>
  <c r="BJ54" i="9"/>
  <c r="BK54" i="9" s="1"/>
  <c r="BF65" i="9"/>
  <c r="BG65" i="9" s="1"/>
  <c r="BH65" i="9" s="1" a="1"/>
  <c r="BH65" i="9" s="1"/>
  <c r="BZ48" i="9"/>
  <c r="CA48" i="9" s="1"/>
  <c r="CB48" i="9" s="1" a="1"/>
  <c r="CB48" i="9" s="1"/>
  <c r="BF48" i="9"/>
  <c r="BG48" i="9" s="1"/>
  <c r="BH48" i="9" s="1" a="1"/>
  <c r="BH48" i="9" s="1"/>
  <c r="CL64" i="9"/>
  <c r="CM64" i="9" s="1"/>
  <c r="CH48" i="9"/>
  <c r="CI48" i="9" s="1"/>
  <c r="AZ38" i="9"/>
  <c r="BJ38" i="9" s="1"/>
  <c r="BK38" i="9" s="1"/>
  <c r="AZ39" i="9"/>
  <c r="CH39" i="9" s="1"/>
  <c r="CI39" i="9" s="1"/>
  <c r="BN53" i="9"/>
  <c r="BO53" i="9" s="1"/>
  <c r="CD29" i="9"/>
  <c r="CE29" i="9" s="1"/>
  <c r="BJ27" i="9"/>
  <c r="BK27" i="9" s="1"/>
  <c r="CD36" i="9"/>
  <c r="CE36" i="9" s="1"/>
  <c r="BR35" i="9"/>
  <c r="BS35" i="9" s="1"/>
  <c r="CD35" i="9"/>
  <c r="CE35" i="9" s="1"/>
  <c r="CF35" i="9" s="1" a="1"/>
  <c r="CF35" i="9" s="1"/>
  <c r="CH47" i="9"/>
  <c r="CI47" i="9" s="1"/>
  <c r="AZ80" i="9"/>
  <c r="BJ80" i="9" s="1"/>
  <c r="BK80" i="9" s="1"/>
  <c r="CH94" i="9"/>
  <c r="CI94" i="9" s="1"/>
  <c r="AZ88" i="9"/>
  <c r="BN88" i="9" s="1"/>
  <c r="BO88" i="9" s="1"/>
  <c r="BZ87" i="9"/>
  <c r="CA87" i="9" s="1"/>
  <c r="BF87" i="9"/>
  <c r="BG87" i="9" s="1"/>
  <c r="BR87" i="9"/>
  <c r="BS87" i="9" s="1"/>
  <c r="CL73" i="9"/>
  <c r="CM73" i="9" s="1"/>
  <c r="CD83" i="9"/>
  <c r="CE83" i="9" s="1"/>
  <c r="CL71" i="9"/>
  <c r="CM71" i="9" s="1"/>
  <c r="BJ72" i="9"/>
  <c r="BK72" i="9" s="1"/>
  <c r="BF77" i="9"/>
  <c r="BG77" i="9" s="1"/>
  <c r="BZ77" i="9"/>
  <c r="CA77" i="9" s="1"/>
  <c r="CB77" i="9" s="1" a="1"/>
  <c r="CB77" i="9" s="1"/>
  <c r="BF61" i="9"/>
  <c r="BG61" i="9" s="1"/>
  <c r="BH61" i="9" s="1" a="1"/>
  <c r="BH61" i="9" s="1"/>
  <c r="BZ61" i="9"/>
  <c r="CA61" i="9" s="1"/>
  <c r="CB61" i="9" s="1" a="1"/>
  <c r="CB61" i="9" s="1"/>
  <c r="CL75" i="9"/>
  <c r="CM75" i="9" s="1"/>
  <c r="BZ71" i="9"/>
  <c r="CA71" i="9" s="1"/>
  <c r="CB71" i="9" s="1" a="1"/>
  <c r="CB71" i="9" s="1"/>
  <c r="CH71" i="9"/>
  <c r="CI71" i="9" s="1"/>
  <c r="BF71" i="9"/>
  <c r="BG71" i="9" s="1"/>
  <c r="BL71" i="9" s="1" a="1"/>
  <c r="BL71" i="9" s="1"/>
  <c r="CD52" i="9"/>
  <c r="CE52" i="9" s="1"/>
  <c r="CL54" i="9"/>
  <c r="CM54" i="9" s="1"/>
  <c r="BR61" i="9"/>
  <c r="BS61" i="9" s="1"/>
  <c r="AZ68" i="9"/>
  <c r="BN68" i="9" s="1"/>
  <c r="BO68" i="9" s="1"/>
  <c r="CD60" i="9"/>
  <c r="CE60" i="9" s="1"/>
  <c r="BJ41" i="9"/>
  <c r="BK41" i="9" s="1"/>
  <c r="CD61" i="9"/>
  <c r="CE61" i="9" s="1"/>
  <c r="AZ46" i="9"/>
  <c r="BZ53" i="9"/>
  <c r="CA53" i="9" s="1"/>
  <c r="CB53" i="9" s="1" a="1"/>
  <c r="CB53" i="9" s="1"/>
  <c r="BR47" i="9"/>
  <c r="BS47" i="9" s="1"/>
  <c r="AZ32" i="9"/>
  <c r="CD32" i="9" s="1"/>
  <c r="CE32" i="9" s="1"/>
  <c r="BJ52" i="9"/>
  <c r="BK52" i="9" s="1"/>
  <c r="AZ34" i="9"/>
  <c r="CH34" i="9" s="1"/>
  <c r="CI34" i="9" s="1"/>
  <c r="CB29" i="9" a="1"/>
  <c r="CB29" i="9" s="1"/>
  <c r="BN56" i="9"/>
  <c r="BO56" i="9" s="1"/>
  <c r="BN48" i="9"/>
  <c r="BO48" i="9" s="1"/>
  <c r="BN29" i="9"/>
  <c r="BO29" i="9" s="1"/>
  <c r="CL27" i="9"/>
  <c r="CM27" i="9" s="1"/>
  <c r="AZ24" i="9"/>
  <c r="BF50" i="9"/>
  <c r="BG50" i="9" s="1"/>
  <c r="BH50" i="9" s="1" a="1"/>
  <c r="BH50" i="9" s="1"/>
  <c r="BZ50" i="9"/>
  <c r="CA50" i="9" s="1"/>
  <c r="CB50" i="9" s="1" a="1"/>
  <c r="CB50" i="9" s="1"/>
  <c r="BN50" i="9"/>
  <c r="BO50" i="9" s="1"/>
  <c r="CL52" i="9"/>
  <c r="CM52" i="9" s="1"/>
  <c r="BJ36" i="9"/>
  <c r="BK36" i="9" s="1"/>
  <c r="BR94" i="9"/>
  <c r="BS94" i="9" s="1"/>
  <c r="AZ81" i="9"/>
  <c r="BR83" i="9"/>
  <c r="BS83" i="9" s="1"/>
  <c r="CH82" i="9"/>
  <c r="CI82" i="9" s="1"/>
  <c r="CL82" i="9"/>
  <c r="CM82" i="9" s="1"/>
  <c r="CH84" i="9"/>
  <c r="CI84" i="9" s="1"/>
  <c r="BF72" i="9"/>
  <c r="BG72" i="9" s="1"/>
  <c r="BH72" i="9" s="1" a="1"/>
  <c r="BH72" i="9" s="1"/>
  <c r="CD85" i="9"/>
  <c r="CE85" i="9" s="1"/>
  <c r="BR85" i="9"/>
  <c r="BS85" i="9" s="1"/>
  <c r="BJ85" i="9"/>
  <c r="BK85" i="9" s="1"/>
  <c r="BZ85" i="9"/>
  <c r="CA85" i="9" s="1"/>
  <c r="CB85" i="9" s="1" a="1"/>
  <c r="CB85" i="9" s="1"/>
  <c r="BF85" i="9"/>
  <c r="BG85" i="9" s="1"/>
  <c r="BH85" i="9" s="1" a="1"/>
  <c r="BH85" i="9" s="1"/>
  <c r="CL77" i="9"/>
  <c r="CM77" i="9" s="1"/>
  <c r="AZ58" i="9"/>
  <c r="BR75" i="9"/>
  <c r="BS75" i="9" s="1"/>
  <c r="AZ59" i="9"/>
  <c r="CH59" i="9" s="1"/>
  <c r="CI59" i="9" s="1"/>
  <c r="CH64" i="9"/>
  <c r="CI64" i="9" s="1"/>
  <c r="CJ64" i="9" s="1" a="1"/>
  <c r="CJ64" i="9" s="1"/>
  <c r="AZ49" i="9"/>
  <c r="BZ49" i="9" s="1"/>
  <c r="CA49" i="9" s="1"/>
  <c r="CB49" i="9" s="1" a="1"/>
  <c r="CB49" i="9" s="1"/>
  <c r="CH53" i="9"/>
  <c r="CI53" i="9" s="1"/>
  <c r="CJ53" i="9" s="1" a="1"/>
  <c r="CJ53" i="9" s="1"/>
  <c r="AZ51" i="9"/>
  <c r="BN51" i="9" s="1"/>
  <c r="BO51" i="9" s="1"/>
  <c r="AZ43" i="9"/>
  <c r="AZ44" i="9"/>
  <c r="BR44" i="9" s="1"/>
  <c r="BS44" i="9" s="1"/>
  <c r="BR64" i="9"/>
  <c r="BS64" i="9" s="1"/>
  <c r="BJ61" i="9"/>
  <c r="BK61" i="9" s="1"/>
  <c r="BL61" i="9" s="1" a="1"/>
  <c r="BL61" i="9" s="1"/>
  <c r="CD48" i="9"/>
  <c r="CE48" i="9" s="1"/>
  <c r="AZ31" i="9"/>
  <c r="CH31" i="9" s="1"/>
  <c r="CI31" i="9" s="1"/>
  <c r="AZ40" i="9"/>
  <c r="CH40" i="9" s="1"/>
  <c r="CI40" i="9" s="1"/>
  <c r="AZ63" i="9"/>
  <c r="BF63" i="9" s="1"/>
  <c r="BG63" i="9" s="1"/>
  <c r="BH63" i="9" s="1" a="1"/>
  <c r="BH63" i="9" s="1"/>
  <c r="CL36" i="9"/>
  <c r="CM36" i="9" s="1"/>
  <c r="BN35" i="9"/>
  <c r="BO35" i="9" s="1"/>
  <c r="BJ35" i="9"/>
  <c r="BK35" i="9" s="1"/>
  <c r="BL35" i="9" s="1" a="1"/>
  <c r="BL35" i="9" s="1"/>
  <c r="BJ29" i="9"/>
  <c r="BK29" i="9" s="1"/>
  <c r="BN84" i="9"/>
  <c r="BO84" i="9" s="1"/>
  <c r="CD71" i="9"/>
  <c r="CE71" i="9" s="1"/>
  <c r="BR74" i="9"/>
  <c r="BS74" i="9" s="1"/>
  <c r="CH87" i="9"/>
  <c r="CI87" i="9" s="1"/>
  <c r="CJ87" i="9" s="1" a="1"/>
  <c r="CJ87" i="9" s="1"/>
  <c r="CD77" i="9"/>
  <c r="CE77" i="9" s="1"/>
  <c r="CD75" i="9"/>
  <c r="CE75" i="9" s="1"/>
  <c r="AZ67" i="9"/>
  <c r="CH67" i="9" s="1"/>
  <c r="CI67" i="9" s="1"/>
  <c r="CL56" i="9"/>
  <c r="CM56" i="9" s="1"/>
  <c r="BN42" i="9"/>
  <c r="BO42" i="9" s="1"/>
  <c r="BZ64" i="9"/>
  <c r="CA64" i="9" s="1"/>
  <c r="BF64" i="9"/>
  <c r="BG64" i="9" s="1"/>
  <c r="BH64" i="9" s="1" a="1"/>
  <c r="BH64" i="9" s="1"/>
  <c r="AZ55" i="9"/>
  <c r="BZ55" i="9" s="1"/>
  <c r="CA55" i="9" s="1"/>
  <c r="CB55" i="9" s="1" a="1"/>
  <c r="CB55" i="9" s="1"/>
  <c r="AZ45" i="9"/>
  <c r="CH45" i="9" s="1"/>
  <c r="CI45" i="9" s="1"/>
  <c r="BJ78" i="9"/>
  <c r="BK78" i="9" s="1"/>
  <c r="BR52" i="9"/>
  <c r="BS52" i="9" s="1"/>
  <c r="BJ48" i="9"/>
  <c r="BK48" i="9" s="1"/>
  <c r="BN47" i="9"/>
  <c r="BO47" i="9" s="1"/>
  <c r="AZ30" i="9"/>
  <c r="BF30" i="9" s="1"/>
  <c r="BG30" i="9" s="1"/>
  <c r="BH30" i="9" s="1" a="1"/>
  <c r="BH30" i="9" s="1"/>
  <c r="AZ62" i="9"/>
  <c r="BN62" i="9" s="1"/>
  <c r="BO62" i="9" s="1"/>
  <c r="BR54" i="9"/>
  <c r="BS54" i="9" s="1"/>
  <c r="AZ26" i="9"/>
  <c r="CD26" i="9" s="1"/>
  <c r="CE26" i="9" s="1"/>
  <c r="AZ37" i="9"/>
  <c r="BN37" i="9" s="1"/>
  <c r="BO37" i="9" s="1"/>
  <c r="BN71" i="9"/>
  <c r="BO71" i="9" s="1"/>
  <c r="BR27" i="9"/>
  <c r="BS27" i="9" s="1"/>
  <c r="CL35" i="9"/>
  <c r="CM35" i="9" s="1"/>
  <c r="BV492" i="9" l="1"/>
  <c r="Q492" i="9" s="1"/>
  <c r="BV1020" i="9"/>
  <c r="Q1020" i="9" s="1"/>
  <c r="CP516" i="9"/>
  <c r="V516" i="9" s="1"/>
  <c r="CP269" i="9"/>
  <c r="V269" i="9" s="1"/>
  <c r="BV298" i="9"/>
  <c r="Q298" i="9" s="1"/>
  <c r="AB410" i="9"/>
  <c r="BV213" i="9"/>
  <c r="Q213" i="9" s="1"/>
  <c r="BV596" i="9"/>
  <c r="Q596" i="9" s="1"/>
  <c r="CP291" i="9"/>
  <c r="V291" i="9" s="1"/>
  <c r="BV281" i="9"/>
  <c r="Q281" i="9" s="1"/>
  <c r="CP718" i="9"/>
  <c r="V718" i="9" s="1"/>
  <c r="BV206" i="9"/>
  <c r="Q206" i="9" s="1"/>
  <c r="AB206" i="9" s="1"/>
  <c r="CP366" i="9"/>
  <c r="V366" i="9" s="1"/>
  <c r="AB985" i="9"/>
  <c r="BV979" i="9"/>
  <c r="Q979" i="9" s="1"/>
  <c r="BV198" i="9"/>
  <c r="Q198" i="9" s="1"/>
  <c r="AB198" i="9" s="1"/>
  <c r="AB686" i="9"/>
  <c r="CP638" i="9"/>
  <c r="V638" i="9" s="1"/>
  <c r="AB389" i="9"/>
  <c r="AB269" i="9"/>
  <c r="AB316" i="9"/>
  <c r="AB173" i="9"/>
  <c r="BV687" i="9"/>
  <c r="Q687" i="9" s="1"/>
  <c r="CP748" i="9"/>
  <c r="V748" i="9" s="1"/>
  <c r="AB516" i="9"/>
  <c r="CB233" i="9" a="1"/>
  <c r="CB233" i="9" s="1"/>
  <c r="CF233" i="9" a="1"/>
  <c r="CF233" i="9" s="1"/>
  <c r="BU879" i="9" a="1"/>
  <c r="BU879" i="9" s="1"/>
  <c r="BT879" i="9" a="1"/>
  <c r="BT879" i="9" s="1"/>
  <c r="BR86" i="9"/>
  <c r="BS86" i="9" s="1"/>
  <c r="BF86" i="9"/>
  <c r="BG86" i="9" s="1"/>
  <c r="BH86" i="9" s="1" a="1"/>
  <c r="BH86" i="9" s="1"/>
  <c r="CF755" i="9" a="1"/>
  <c r="CF755" i="9" s="1"/>
  <c r="CH949" i="9"/>
  <c r="CI949" i="9" s="1"/>
  <c r="CJ949" i="9" s="1" a="1"/>
  <c r="CJ949" i="9" s="1"/>
  <c r="BF833" i="9"/>
  <c r="BG833" i="9" s="1"/>
  <c r="BH833" i="9" s="1" a="1"/>
  <c r="BH833" i="9" s="1"/>
  <c r="BF822" i="9"/>
  <c r="BG822" i="9" s="1"/>
  <c r="BH822" i="9" s="1" a="1"/>
  <c r="BH822" i="9" s="1"/>
  <c r="CJ763" i="9" a="1"/>
  <c r="CJ763" i="9" s="1"/>
  <c r="BL518" i="9" a="1"/>
  <c r="BL518" i="9" s="1"/>
  <c r="BN707" i="9"/>
  <c r="BO707" i="9" s="1"/>
  <c r="CL707" i="9"/>
  <c r="CM707" i="9" s="1"/>
  <c r="CL613" i="9"/>
  <c r="CM613" i="9" s="1"/>
  <c r="CL582" i="9"/>
  <c r="CM582" i="9" s="1"/>
  <c r="CL511" i="9"/>
  <c r="CM511" i="9" s="1"/>
  <c r="BJ707" i="9"/>
  <c r="BK707" i="9" s="1"/>
  <c r="BL543" i="9" a="1"/>
  <c r="BL543" i="9" s="1"/>
  <c r="CP673" i="9"/>
  <c r="V673" i="9" s="1"/>
  <c r="BP393" i="9" a="1"/>
  <c r="BP393" i="9" s="1"/>
  <c r="BP397" i="9" a="1"/>
  <c r="BP397" i="9" s="1"/>
  <c r="CJ388" i="9" a="1"/>
  <c r="CJ388" i="9" s="1"/>
  <c r="CD449" i="9"/>
  <c r="CE449" i="9" s="1"/>
  <c r="BF188" i="9"/>
  <c r="BG188" i="9" s="1"/>
  <c r="BH188" i="9" s="1" a="1"/>
  <c r="BH188" i="9" s="1"/>
  <c r="CF475" i="9" a="1"/>
  <c r="CF475" i="9" s="1"/>
  <c r="CD263" i="9"/>
  <c r="CE263" i="9" s="1"/>
  <c r="BZ216" i="9"/>
  <c r="CA216" i="9" s="1"/>
  <c r="CB216" i="9" s="1" a="1"/>
  <c r="CB216" i="9" s="1"/>
  <c r="BL363" i="9" a="1"/>
  <c r="BL363" i="9" s="1"/>
  <c r="CD267" i="9"/>
  <c r="CE267" i="9" s="1"/>
  <c r="BN171" i="9"/>
  <c r="BO171" i="9" s="1"/>
  <c r="BP171" i="9" s="1" a="1"/>
  <c r="BP171" i="9" s="1"/>
  <c r="BL160" i="9" a="1"/>
  <c r="BL160" i="9" s="1"/>
  <c r="BP327" i="9" a="1"/>
  <c r="BP327" i="9" s="1"/>
  <c r="BP432" i="9" a="1"/>
  <c r="BP432" i="9" s="1"/>
  <c r="BV432" i="9" s="1"/>
  <c r="Q432" i="9" s="1"/>
  <c r="BN975" i="9"/>
  <c r="BO975" i="9" s="1"/>
  <c r="BP1017" i="9" a="1"/>
  <c r="BP1017" i="9" s="1"/>
  <c r="CJ100" i="9" a="1"/>
  <c r="CJ100" i="9" s="1"/>
  <c r="CF93" i="9" a="1"/>
  <c r="CF93" i="9" s="1"/>
  <c r="BP910" i="9" a="1"/>
  <c r="BP910" i="9" s="1"/>
  <c r="BZ822" i="9"/>
  <c r="CA822" i="9" s="1"/>
  <c r="CB822" i="9" s="1" a="1"/>
  <c r="CB822" i="9" s="1"/>
  <c r="BP441" i="9" a="1"/>
  <c r="BP441" i="9" s="1"/>
  <c r="CH582" i="9"/>
  <c r="CI582" i="9" s="1"/>
  <c r="CH707" i="9"/>
  <c r="CI707" i="9" s="1"/>
  <c r="BR707" i="9"/>
  <c r="BS707" i="9" s="1"/>
  <c r="CJ507" i="9" a="1"/>
  <c r="CJ507" i="9" s="1"/>
  <c r="BZ511" i="9"/>
  <c r="CA511" i="9" s="1"/>
  <c r="CB511" i="9" s="1" a="1"/>
  <c r="CB511" i="9" s="1"/>
  <c r="BL433" i="9" a="1"/>
  <c r="BL433" i="9" s="1"/>
  <c r="BJ449" i="9"/>
  <c r="BK449" i="9" s="1"/>
  <c r="BL449" i="9" s="1" a="1"/>
  <c r="BL449" i="9" s="1"/>
  <c r="BJ235" i="9"/>
  <c r="BK235" i="9" s="1"/>
  <c r="BV366" i="9"/>
  <c r="Q366" i="9" s="1"/>
  <c r="AB366" i="9" s="1"/>
  <c r="CF454" i="9" a="1"/>
  <c r="CF454" i="9" s="1"/>
  <c r="CH88" i="9"/>
  <c r="CI88" i="9" s="1"/>
  <c r="CF36" i="9" a="1"/>
  <c r="CF36" i="9" s="1"/>
  <c r="BJ119" i="9"/>
  <c r="BK119" i="9" s="1"/>
  <c r="BP89" i="9" a="1"/>
  <c r="BP89" i="9" s="1"/>
  <c r="BN987" i="9"/>
  <c r="BO987" i="9" s="1"/>
  <c r="BP899" i="9" a="1"/>
  <c r="BP899" i="9" s="1"/>
  <c r="CL868" i="9"/>
  <c r="CM868" i="9" s="1"/>
  <c r="BP770" i="9" a="1"/>
  <c r="BP770" i="9" s="1"/>
  <c r="BR809" i="9"/>
  <c r="BS809" i="9" s="1"/>
  <c r="CH750" i="9"/>
  <c r="CI750" i="9" s="1"/>
  <c r="CF829" i="9" a="1"/>
  <c r="CF829" i="9" s="1"/>
  <c r="CH940" i="9"/>
  <c r="CI940" i="9" s="1"/>
  <c r="CH851" i="9"/>
  <c r="CI851" i="9" s="1"/>
  <c r="BL729" i="9" a="1"/>
  <c r="BL729" i="9" s="1"/>
  <c r="BP696" i="9" a="1"/>
  <c r="BP696" i="9" s="1"/>
  <c r="BR582" i="9"/>
  <c r="BS582" i="9" s="1"/>
  <c r="BV1017" i="9"/>
  <c r="Q1017" i="9" s="1"/>
  <c r="AB1017" i="9" s="1"/>
  <c r="CJ511" i="9" a="1"/>
  <c r="CJ511" i="9" s="1"/>
  <c r="BL647" i="9" a="1"/>
  <c r="BL647" i="9" s="1"/>
  <c r="CH691" i="9"/>
  <c r="CI691" i="9" s="1"/>
  <c r="CJ691" i="9" s="1" a="1"/>
  <c r="CJ691" i="9" s="1"/>
  <c r="CJ575" i="9" a="1"/>
  <c r="CJ575" i="9" s="1"/>
  <c r="CH590" i="9"/>
  <c r="CI590" i="9" s="1"/>
  <c r="BP520" i="9" a="1"/>
  <c r="BP520" i="9" s="1"/>
  <c r="BL435" i="9" a="1"/>
  <c r="BL435" i="9" s="1"/>
  <c r="CL590" i="9"/>
  <c r="CM590" i="9" s="1"/>
  <c r="CF388" i="9" a="1"/>
  <c r="CF388" i="9" s="1"/>
  <c r="BN449" i="9"/>
  <c r="BO449" i="9" s="1"/>
  <c r="BP344" i="9" a="1"/>
  <c r="BP344" i="9" s="1"/>
  <c r="BL470" i="9" a="1"/>
  <c r="BL470" i="9" s="1"/>
  <c r="BR384" i="9"/>
  <c r="BS384" i="9" s="1"/>
  <c r="BL479" i="9" a="1"/>
  <c r="BL479" i="9" s="1"/>
  <c r="CF166" i="9" a="1"/>
  <c r="CF166" i="9" s="1"/>
  <c r="BZ975" i="9"/>
  <c r="CA975" i="9" s="1"/>
  <c r="CB975" i="9" s="1" a="1"/>
  <c r="CB975" i="9" s="1"/>
  <c r="BL546" i="9" a="1"/>
  <c r="BL546" i="9" s="1"/>
  <c r="BV546" i="9" s="1"/>
  <c r="Q546" i="9" s="1"/>
  <c r="CH28" i="9"/>
  <c r="CI28" i="9" s="1"/>
  <c r="BR101" i="9"/>
  <c r="BS101" i="9" s="1"/>
  <c r="CL888" i="9"/>
  <c r="CM888" i="9" s="1"/>
  <c r="CH870" i="9"/>
  <c r="CI870" i="9" s="1"/>
  <c r="CH867" i="9"/>
  <c r="CI867" i="9" s="1"/>
  <c r="CH1014" i="9"/>
  <c r="CI1014" i="9" s="1"/>
  <c r="BF608" i="9"/>
  <c r="BG608" i="9" s="1"/>
  <c r="BH608" i="9" s="1" a="1"/>
  <c r="BH608" i="9" s="1"/>
  <c r="BL584" i="9" a="1"/>
  <c r="BL584" i="9" s="1"/>
  <c r="BL499" i="9" a="1"/>
  <c r="BL499" i="9" s="1"/>
  <c r="BN582" i="9"/>
  <c r="BO582" i="9" s="1"/>
  <c r="BL267" i="9" a="1"/>
  <c r="BL267" i="9" s="1"/>
  <c r="BR254" i="9"/>
  <c r="BS254" i="9" s="1"/>
  <c r="CH384" i="9"/>
  <c r="CI384" i="9" s="1"/>
  <c r="BP335" i="9" a="1"/>
  <c r="BP335" i="9" s="1"/>
  <c r="CD182" i="9"/>
  <c r="CE182" i="9" s="1"/>
  <c r="CP462" i="9"/>
  <c r="V462" i="9" s="1"/>
  <c r="AB462" i="9" s="1"/>
  <c r="BP509" i="9" a="1"/>
  <c r="BP509" i="9" s="1"/>
  <c r="CP662" i="9"/>
  <c r="V662" i="9" s="1"/>
  <c r="BL447" i="9" a="1"/>
  <c r="BL447" i="9" s="1"/>
  <c r="BL166" i="9" a="1"/>
  <c r="BL166" i="9" s="1"/>
  <c r="BV166" i="9" s="1"/>
  <c r="Q166" i="9" s="1"/>
  <c r="BP531" i="9" a="1"/>
  <c r="BP531" i="9" s="1"/>
  <c r="BL601" i="9" a="1"/>
  <c r="BL601" i="9" s="1"/>
  <c r="BJ28" i="9"/>
  <c r="BK28" i="9" s="1"/>
  <c r="BR78" i="9"/>
  <c r="BS78" i="9" s="1"/>
  <c r="CL86" i="9"/>
  <c r="CM86" i="9" s="1"/>
  <c r="CF98" i="9" a="1"/>
  <c r="CF98" i="9" s="1"/>
  <c r="CP98" i="9" s="1"/>
  <c r="V98" i="9" s="1"/>
  <c r="BP953" i="9" a="1"/>
  <c r="BP953" i="9" s="1"/>
  <c r="BR814" i="9"/>
  <c r="BS814" i="9" s="1"/>
  <c r="BJ1022" i="9"/>
  <c r="BK1022" i="9" s="1"/>
  <c r="BJ867" i="9"/>
  <c r="BK867" i="9" s="1"/>
  <c r="BZ809" i="9"/>
  <c r="CA809" i="9" s="1"/>
  <c r="CB809" i="9" s="1" a="1"/>
  <c r="CB809" i="9" s="1"/>
  <c r="CH756" i="9"/>
  <c r="CI756" i="9" s="1"/>
  <c r="BZ907" i="9"/>
  <c r="CA907" i="9" s="1"/>
  <c r="CB907" i="9" s="1" a="1"/>
  <c r="CB907" i="9" s="1"/>
  <c r="CF900" i="9" a="1"/>
  <c r="CF900" i="9" s="1"/>
  <c r="BL954" i="9" a="1"/>
  <c r="BL954" i="9" s="1"/>
  <c r="BL848" i="9" a="1"/>
  <c r="BL848" i="9" s="1"/>
  <c r="BP934" i="9" a="1"/>
  <c r="BP934" i="9" s="1"/>
  <c r="BP690" i="9" a="1"/>
  <c r="BP690" i="9" s="1"/>
  <c r="BF629" i="9"/>
  <c r="BG629" i="9" s="1"/>
  <c r="BH629" i="9" s="1" a="1"/>
  <c r="BH629" i="9" s="1"/>
  <c r="CF618" i="9" a="1"/>
  <c r="CF618" i="9" s="1"/>
  <c r="BR683" i="9"/>
  <c r="BS683" i="9" s="1"/>
  <c r="BV327" i="9"/>
  <c r="Q327" i="9" s="1"/>
  <c r="AB327" i="9" s="1"/>
  <c r="BL380" i="9" a="1"/>
  <c r="BL380" i="9" s="1"/>
  <c r="CJ267" i="9" a="1"/>
  <c r="CJ267" i="9" s="1"/>
  <c r="BF263" i="9"/>
  <c r="BG263" i="9" s="1"/>
  <c r="BH263" i="9" s="1" a="1"/>
  <c r="BH263" i="9" s="1"/>
  <c r="BL201" i="9" a="1"/>
  <c r="BL201" i="9" s="1"/>
  <c r="BL378" i="9" a="1"/>
  <c r="BL378" i="9" s="1"/>
  <c r="CF181" i="9" a="1"/>
  <c r="CF181" i="9" s="1"/>
  <c r="CP343" i="9"/>
  <c r="V343" i="9" s="1"/>
  <c r="CD127" i="9"/>
  <c r="CE127" i="9" s="1"/>
  <c r="CD888" i="9"/>
  <c r="CE888" i="9" s="1"/>
  <c r="BJ888" i="9"/>
  <c r="BK888" i="9" s="1"/>
  <c r="CH907" i="9"/>
  <c r="CI907" i="9" s="1"/>
  <c r="BF809" i="9"/>
  <c r="BG809" i="9" s="1"/>
  <c r="BH809" i="9" s="1" a="1"/>
  <c r="BH809" i="9" s="1"/>
  <c r="BF814" i="9"/>
  <c r="BG814" i="9" s="1"/>
  <c r="BH814" i="9" s="1" a="1"/>
  <c r="BH814" i="9" s="1"/>
  <c r="BJ582" i="9"/>
  <c r="BK582" i="9" s="1"/>
  <c r="BL582" i="9" s="1" a="1"/>
  <c r="BL582" i="9" s="1"/>
  <c r="BF582" i="9"/>
  <c r="BG582" i="9" s="1"/>
  <c r="BH582" i="9" s="1" a="1"/>
  <c r="BH582" i="9" s="1"/>
  <c r="BJ254" i="9"/>
  <c r="BK254" i="9" s="1"/>
  <c r="BZ263" i="9"/>
  <c r="CA263" i="9" s="1"/>
  <c r="CB263" i="9" s="1" a="1"/>
  <c r="CB263" i="9" s="1"/>
  <c r="CF415" i="9" a="1"/>
  <c r="CF415" i="9" s="1"/>
  <c r="CF185" i="9" a="1"/>
  <c r="CF185" i="9" s="1"/>
  <c r="BP138" i="9" a="1"/>
  <c r="BP138" i="9" s="1"/>
  <c r="BP238" i="9" a="1"/>
  <c r="BP238" i="9" s="1"/>
  <c r="CJ914" i="9" a="1"/>
  <c r="CJ914" i="9" s="1"/>
  <c r="BL649" i="9" a="1"/>
  <c r="BL649" i="9" s="1"/>
  <c r="CD28" i="9"/>
  <c r="CE28" i="9" s="1"/>
  <c r="CJ47" i="9" a="1"/>
  <c r="CJ47" i="9" s="1"/>
  <c r="CF47" i="9" a="1"/>
  <c r="CF47" i="9" s="1"/>
  <c r="BZ86" i="9"/>
  <c r="CA86" i="9" s="1"/>
  <c r="CB86" i="9" s="1" a="1"/>
  <c r="CB86" i="9" s="1"/>
  <c r="CJ89" i="9" a="1"/>
  <c r="CJ89" i="9" s="1"/>
  <c r="CH997" i="9"/>
  <c r="CI997" i="9" s="1"/>
  <c r="BF870" i="9"/>
  <c r="BG870" i="9" s="1"/>
  <c r="BH870" i="9" s="1" a="1"/>
  <c r="BH870" i="9" s="1"/>
  <c r="BF1014" i="9"/>
  <c r="BG1014" i="9" s="1"/>
  <c r="BH1014" i="9" s="1" a="1"/>
  <c r="BH1014" i="9" s="1"/>
  <c r="BL511" i="9" a="1"/>
  <c r="BL511" i="9" s="1"/>
  <c r="BP786" i="9" a="1"/>
  <c r="BP786" i="9" s="1"/>
  <c r="BV509" i="9"/>
  <c r="Q509" i="9" s="1"/>
  <c r="CF636" i="9" a="1"/>
  <c r="CF636" i="9" s="1"/>
  <c r="BN606" i="9"/>
  <c r="BO606" i="9" s="1"/>
  <c r="BL369" i="9" a="1"/>
  <c r="BL369" i="9" s="1"/>
  <c r="CH449" i="9"/>
  <c r="CI449" i="9" s="1"/>
  <c r="CJ449" i="9" s="1" a="1"/>
  <c r="CJ449" i="9" s="1"/>
  <c r="CF276" i="9" a="1"/>
  <c r="CF276" i="9" s="1"/>
  <c r="CP281" i="9"/>
  <c r="V281" i="9" s="1"/>
  <c r="AB281" i="9" s="1"/>
  <c r="CJ479" i="9" a="1"/>
  <c r="CJ479" i="9" s="1"/>
  <c r="BP165" i="9" a="1"/>
  <c r="BP165" i="9" s="1"/>
  <c r="CF156" i="9" a="1"/>
  <c r="CF156" i="9" s="1"/>
  <c r="BU975" i="9" a="1"/>
  <c r="BU975" i="9" s="1"/>
  <c r="BT975" i="9" a="1"/>
  <c r="BT975" i="9" s="1"/>
  <c r="CB646" i="9" a="1"/>
  <c r="CB646" i="9" s="1"/>
  <c r="CF646" i="9" a="1"/>
  <c r="CF646" i="9" s="1"/>
  <c r="BU646" i="9" a="1"/>
  <c r="BU646" i="9" s="1"/>
  <c r="BT646" i="9" a="1"/>
  <c r="BT646" i="9" s="1"/>
  <c r="BP90" i="9" a="1"/>
  <c r="BP90" i="9" s="1"/>
  <c r="BP864" i="9" a="1"/>
  <c r="BP864" i="9" s="1"/>
  <c r="CJ950" i="9" a="1"/>
  <c r="CJ950" i="9" s="1"/>
  <c r="CJ857" i="9" a="1"/>
  <c r="CJ857" i="9" s="1"/>
  <c r="BZ310" i="9"/>
  <c r="CA310" i="9" s="1"/>
  <c r="CB310" i="9" s="1" a="1"/>
  <c r="CB310" i="9" s="1"/>
  <c r="CJ728" i="9" a="1"/>
  <c r="CJ728" i="9" s="1"/>
  <c r="CF728" i="9" a="1"/>
  <c r="CF728" i="9" s="1"/>
  <c r="BZ855" i="9"/>
  <c r="CA855" i="9" s="1"/>
  <c r="CB855" i="9" s="1" a="1"/>
  <c r="CB855" i="9" s="1"/>
  <c r="BR855" i="9"/>
  <c r="BS855" i="9" s="1"/>
  <c r="BN855" i="9"/>
  <c r="BO855" i="9" s="1"/>
  <c r="CD855" i="9"/>
  <c r="CE855" i="9" s="1"/>
  <c r="CF855" i="9" s="1" a="1"/>
  <c r="CF855" i="9" s="1"/>
  <c r="CH855" i="9"/>
  <c r="CI855" i="9" s="1"/>
  <c r="BF855" i="9"/>
  <c r="BG855" i="9" s="1"/>
  <c r="BH855" i="9" s="1" a="1"/>
  <c r="BH855" i="9" s="1"/>
  <c r="CL855" i="9"/>
  <c r="CM855" i="9" s="1"/>
  <c r="BF91" i="9"/>
  <c r="BG91" i="9" s="1"/>
  <c r="BH91" i="9" s="1" a="1"/>
  <c r="BH91" i="9" s="1"/>
  <c r="BF96" i="9"/>
  <c r="BG96" i="9" s="1"/>
  <c r="BH96" i="9" s="1" a="1"/>
  <c r="BH96" i="9" s="1"/>
  <c r="BJ86" i="9"/>
  <c r="BK86" i="9" s="1"/>
  <c r="BL86" i="9" s="1" a="1"/>
  <c r="BL86" i="9" s="1"/>
  <c r="CH103" i="9"/>
  <c r="CI103" i="9" s="1"/>
  <c r="BT111" i="9" a="1"/>
  <c r="BT111" i="9" s="1"/>
  <c r="BL53" i="9" a="1"/>
  <c r="BL53" i="9" s="1"/>
  <c r="CJ790" i="9" a="1"/>
  <c r="CJ790" i="9" s="1"/>
  <c r="BR875" i="9"/>
  <c r="BS875" i="9" s="1"/>
  <c r="BT875" i="9" s="1" a="1"/>
  <c r="BT875" i="9" s="1"/>
  <c r="BL781" i="9" a="1"/>
  <c r="BL781" i="9" s="1"/>
  <c r="CP830" i="9"/>
  <c r="V830" i="9" s="1"/>
  <c r="BL734" i="9" a="1"/>
  <c r="BL734" i="9" s="1"/>
  <c r="BL615" i="9" a="1"/>
  <c r="BL615" i="9" s="1"/>
  <c r="BV921" i="9"/>
  <c r="Q921" i="9" s="1"/>
  <c r="BV670" i="9"/>
  <c r="Q670" i="9" s="1"/>
  <c r="AB670" i="9" s="1"/>
  <c r="BL196" i="9" a="1"/>
  <c r="BL196" i="9" s="1"/>
  <c r="BP440" i="9" a="1"/>
  <c r="BP440" i="9" s="1"/>
  <c r="BF310" i="9"/>
  <c r="BG310" i="9" s="1"/>
  <c r="BH310" i="9" s="1" a="1"/>
  <c r="BH310" i="9" s="1"/>
  <c r="BZ153" i="9"/>
  <c r="CA153" i="9" s="1"/>
  <c r="CB153" i="9" s="1" a="1"/>
  <c r="CB153" i="9" s="1"/>
  <c r="CJ172" i="9" a="1"/>
  <c r="CJ172" i="9" s="1"/>
  <c r="CN646" i="9" a="1"/>
  <c r="CN646" i="9" s="1"/>
  <c r="BP980" i="9" a="1"/>
  <c r="BP980" i="9" s="1"/>
  <c r="CJ988" i="9" a="1"/>
  <c r="CJ988" i="9" s="1"/>
  <c r="BZ26" i="9"/>
  <c r="CA26" i="9" s="1"/>
  <c r="CB26" i="9" s="1" a="1"/>
  <c r="CB26" i="9" s="1"/>
  <c r="CD49" i="9"/>
  <c r="CE49" i="9" s="1"/>
  <c r="BL54" i="9" a="1"/>
  <c r="BL54" i="9" s="1"/>
  <c r="BN86" i="9"/>
  <c r="BO86" i="9" s="1"/>
  <c r="CD91" i="9"/>
  <c r="CE91" i="9" s="1"/>
  <c r="BL889" i="9" a="1"/>
  <c r="BL889" i="9" s="1"/>
  <c r="BR941" i="9"/>
  <c r="BS941" i="9" s="1"/>
  <c r="CF874" i="9" a="1"/>
  <c r="CF874" i="9" s="1"/>
  <c r="BJ875" i="9"/>
  <c r="BK875" i="9" s="1"/>
  <c r="BL875" i="9" s="1" a="1"/>
  <c r="BL875" i="9" s="1"/>
  <c r="BF598" i="9"/>
  <c r="BG598" i="9" s="1"/>
  <c r="BH598" i="9" s="1" a="1"/>
  <c r="BH598" i="9" s="1"/>
  <c r="BL630" i="9" a="1"/>
  <c r="BL630" i="9" s="1"/>
  <c r="CJ495" i="9" a="1"/>
  <c r="CJ495" i="9" s="1"/>
  <c r="BV401" i="9"/>
  <c r="Q401" i="9" s="1"/>
  <c r="AB401" i="9" s="1"/>
  <c r="CF139" i="9" a="1"/>
  <c r="CF139" i="9" s="1"/>
  <c r="BL150" i="9" a="1"/>
  <c r="BL150" i="9" s="1"/>
  <c r="BP455" i="9" a="1"/>
  <c r="BP455" i="9" s="1"/>
  <c r="BF620" i="9"/>
  <c r="BG620" i="9" s="1"/>
  <c r="BH620" i="9" s="1" a="1"/>
  <c r="BH620" i="9" s="1"/>
  <c r="BJ620" i="9"/>
  <c r="BK620" i="9" s="1"/>
  <c r="CD40" i="9"/>
  <c r="CE40" i="9" s="1"/>
  <c r="CL91" i="9"/>
  <c r="CM91" i="9" s="1"/>
  <c r="CF801" i="9" a="1"/>
  <c r="CF801" i="9" s="1"/>
  <c r="BR844" i="9"/>
  <c r="BS844" i="9" s="1"/>
  <c r="BR865" i="9"/>
  <c r="BS865" i="9" s="1"/>
  <c r="BL743" i="9" a="1"/>
  <c r="BL743" i="9" s="1"/>
  <c r="BF715" i="9"/>
  <c r="BG715" i="9" s="1"/>
  <c r="BH715" i="9" s="1" a="1"/>
  <c r="BH715" i="9" s="1"/>
  <c r="BR512" i="9"/>
  <c r="BS512" i="9" s="1"/>
  <c r="BL721" i="9" a="1"/>
  <c r="BL721" i="9" s="1"/>
  <c r="CJ590" i="9" a="1"/>
  <c r="CJ590" i="9" s="1"/>
  <c r="BL393" i="9" a="1"/>
  <c r="BL393" i="9" s="1"/>
  <c r="BL142" i="9" a="1"/>
  <c r="BL142" i="9" s="1"/>
  <c r="CJ425" i="9" a="1"/>
  <c r="CJ425" i="9" s="1"/>
  <c r="CJ326" i="9" a="1"/>
  <c r="CJ326" i="9" s="1"/>
  <c r="BL411" i="9" a="1"/>
  <c r="BL411" i="9" s="1"/>
  <c r="BL192" i="9" a="1"/>
  <c r="BL192" i="9" s="1"/>
  <c r="CP315" i="9"/>
  <c r="V315" i="9" s="1"/>
  <c r="BP646" i="9" a="1"/>
  <c r="BP646" i="9" s="1"/>
  <c r="BT442" i="9" a="1"/>
  <c r="BT442" i="9" s="1"/>
  <c r="CH585" i="9"/>
  <c r="CI585" i="9" s="1"/>
  <c r="BF585" i="9"/>
  <c r="BG585" i="9" s="1"/>
  <c r="BH585" i="9" s="1" a="1"/>
  <c r="BH585" i="9" s="1"/>
  <c r="CL585" i="9"/>
  <c r="CM585" i="9" s="1"/>
  <c r="BN585" i="9"/>
  <c r="BO585" i="9" s="1"/>
  <c r="BZ585" i="9"/>
  <c r="CA585" i="9" s="1"/>
  <c r="BR585" i="9"/>
  <c r="BS585" i="9" s="1"/>
  <c r="BJ585" i="9"/>
  <c r="BK585" i="9" s="1"/>
  <c r="CJ474" i="9" a="1"/>
  <c r="CJ474" i="9" s="1"/>
  <c r="CP474" i="9" s="1"/>
  <c r="V474" i="9" s="1"/>
  <c r="AB474" i="9" s="1"/>
  <c r="BJ855" i="9"/>
  <c r="BK855" i="9" s="1"/>
  <c r="BL855" i="9" s="1" a="1"/>
  <c r="BL855" i="9" s="1"/>
  <c r="BJ975" i="9"/>
  <c r="BK975" i="9" s="1"/>
  <c r="BL975" i="9" s="1" a="1"/>
  <c r="BL975" i="9" s="1"/>
  <c r="CD975" i="9"/>
  <c r="CE975" i="9" s="1"/>
  <c r="BL343" i="9" a="1"/>
  <c r="BL343" i="9" s="1"/>
  <c r="BP798" i="9" a="1"/>
  <c r="BP798" i="9" s="1"/>
  <c r="BZ875" i="9"/>
  <c r="CA875" i="9" s="1"/>
  <c r="CB875" i="9" s="1" a="1"/>
  <c r="CB875" i="9" s="1"/>
  <c r="BL506" i="9" a="1"/>
  <c r="BL506" i="9" s="1"/>
  <c r="BL724" i="9" a="1"/>
  <c r="BL724" i="9" s="1"/>
  <c r="CJ195" i="9" a="1"/>
  <c r="CJ195" i="9" s="1"/>
  <c r="BL310" i="9" a="1"/>
  <c r="BL310" i="9" s="1"/>
  <c r="BN364" i="9"/>
  <c r="BO364" i="9" s="1"/>
  <c r="CJ685" i="9" a="1"/>
  <c r="CJ685" i="9" s="1"/>
  <c r="CJ625" i="9" a="1"/>
  <c r="CJ625" i="9" s="1"/>
  <c r="CN768" i="9" a="1"/>
  <c r="CN768" i="9" s="1"/>
  <c r="CO768" i="9" a="1"/>
  <c r="CO768" i="9" s="1"/>
  <c r="BP360" i="9" a="1"/>
  <c r="BP360" i="9" s="1"/>
  <c r="BV360" i="9" s="1"/>
  <c r="Q360" i="9" s="1"/>
  <c r="CL28" i="9"/>
  <c r="CM28" i="9" s="1"/>
  <c r="BF84" i="9"/>
  <c r="BG84" i="9" s="1"/>
  <c r="BH84" i="9" s="1" a="1"/>
  <c r="BH84" i="9" s="1"/>
  <c r="CF74" i="9" a="1"/>
  <c r="CF74" i="9" s="1"/>
  <c r="BF78" i="9"/>
  <c r="BG78" i="9" s="1"/>
  <c r="BH78" i="9" s="1" a="1"/>
  <c r="BH78" i="9" s="1"/>
  <c r="BJ91" i="9"/>
  <c r="BK91" i="9" s="1"/>
  <c r="BL91" i="9" s="1" a="1"/>
  <c r="BL91" i="9" s="1"/>
  <c r="BZ60" i="9"/>
  <c r="CA60" i="9" s="1"/>
  <c r="CB60" i="9" s="1" a="1"/>
  <c r="CB60" i="9" s="1"/>
  <c r="BN119" i="9"/>
  <c r="BO119" i="9" s="1"/>
  <c r="CH60" i="9"/>
  <c r="CI60" i="9" s="1"/>
  <c r="CF825" i="9" a="1"/>
  <c r="CF825" i="9" s="1"/>
  <c r="BP779" i="9" a="1"/>
  <c r="BP779" i="9" s="1"/>
  <c r="BP951" i="9" a="1"/>
  <c r="BP951" i="9" s="1"/>
  <c r="BZ933" i="9"/>
  <c r="CA933" i="9" s="1"/>
  <c r="CB933" i="9" s="1" a="1"/>
  <c r="CB933" i="9" s="1"/>
  <c r="BZ989" i="9"/>
  <c r="CA989" i="9" s="1"/>
  <c r="CB989" i="9" s="1" a="1"/>
  <c r="CB989" i="9" s="1"/>
  <c r="BF828" i="9"/>
  <c r="BG828" i="9" s="1"/>
  <c r="BH828" i="9" s="1" a="1"/>
  <c r="BH828" i="9" s="1"/>
  <c r="BP810" i="9" a="1"/>
  <c r="BP810" i="9" s="1"/>
  <c r="CF740" i="9" a="1"/>
  <c r="CF740" i="9" s="1"/>
  <c r="BJ598" i="9"/>
  <c r="BK598" i="9" s="1"/>
  <c r="BL713" i="9" a="1"/>
  <c r="BL713" i="9" s="1"/>
  <c r="CH532" i="9"/>
  <c r="CI532" i="9" s="1"/>
  <c r="CL434" i="9"/>
  <c r="CM434" i="9" s="1"/>
  <c r="CF751" i="9" a="1"/>
  <c r="CF751" i="9" s="1"/>
  <c r="BL736" i="9" a="1"/>
  <c r="BL736" i="9" s="1"/>
  <c r="BR691" i="9"/>
  <c r="BS691" i="9" s="1"/>
  <c r="BL397" i="9" a="1"/>
  <c r="BL397" i="9" s="1"/>
  <c r="BP377" i="9" a="1"/>
  <c r="BP377" i="9" s="1"/>
  <c r="BF359" i="9"/>
  <c r="BG359" i="9" s="1"/>
  <c r="BH359" i="9" s="1" a="1"/>
  <c r="BH359" i="9" s="1"/>
  <c r="BN167" i="9"/>
  <c r="BO167" i="9" s="1"/>
  <c r="BL475" i="9" a="1"/>
  <c r="BL475" i="9" s="1"/>
  <c r="CF298" i="9" a="1"/>
  <c r="CF298" i="9" s="1"/>
  <c r="BR305" i="9"/>
  <c r="BS305" i="9" s="1"/>
  <c r="BP248" i="9" a="1"/>
  <c r="BP248" i="9" s="1"/>
  <c r="CJ278" i="9" a="1"/>
  <c r="CJ278" i="9" s="1"/>
  <c r="BN153" i="9"/>
  <c r="BO153" i="9" s="1"/>
  <c r="BT153" i="9" s="1" a="1"/>
  <c r="BT153" i="9" s="1"/>
  <c r="BU143" i="9" a="1"/>
  <c r="BU143" i="9" s="1"/>
  <c r="BT143" i="9" a="1"/>
  <c r="BT143" i="9" s="1"/>
  <c r="CH86" i="9"/>
  <c r="CI86" i="9" s="1"/>
  <c r="BL106" i="9" a="1"/>
  <c r="BL106" i="9" s="1"/>
  <c r="BJ60" i="9"/>
  <c r="BK60" i="9" s="1"/>
  <c r="BL60" i="9" s="1" a="1"/>
  <c r="BL60" i="9" s="1"/>
  <c r="BL56" i="9" a="1"/>
  <c r="BL56" i="9" s="1"/>
  <c r="BL864" i="9" a="1"/>
  <c r="BL864" i="9" s="1"/>
  <c r="BP833" i="9" a="1"/>
  <c r="BP833" i="9" s="1"/>
  <c r="BN867" i="9"/>
  <c r="BO867" i="9" s="1"/>
  <c r="CH941" i="9"/>
  <c r="CI941" i="9" s="1"/>
  <c r="CF848" i="9" a="1"/>
  <c r="CF848" i="9" s="1"/>
  <c r="CF795" i="9" a="1"/>
  <c r="CF795" i="9" s="1"/>
  <c r="BL959" i="9" a="1"/>
  <c r="BL959" i="9" s="1"/>
  <c r="BV959" i="9" s="1"/>
  <c r="Q959" i="9" s="1"/>
  <c r="BZ747" i="9"/>
  <c r="CA747" i="9" s="1"/>
  <c r="CB747" i="9" s="1" a="1"/>
  <c r="CB747" i="9" s="1"/>
  <c r="BZ1021" i="9"/>
  <c r="CA1021" i="9" s="1"/>
  <c r="CB1021" i="9" s="1" a="1"/>
  <c r="CB1021" i="9" s="1"/>
  <c r="BL962" i="9" a="1"/>
  <c r="BL962" i="9" s="1"/>
  <c r="BF747" i="9"/>
  <c r="BG747" i="9" s="1"/>
  <c r="BH747" i="9" s="1" a="1"/>
  <c r="BH747" i="9" s="1"/>
  <c r="CJ708" i="9" a="1"/>
  <c r="CJ708" i="9" s="1"/>
  <c r="BR598" i="9"/>
  <c r="BS598" i="9" s="1"/>
  <c r="BU598" i="9" s="1" a="1"/>
  <c r="BU598" i="9" s="1"/>
  <c r="BL765" i="9" a="1"/>
  <c r="BL765" i="9" s="1"/>
  <c r="BP551" i="9" a="1"/>
  <c r="BP551" i="9" s="1"/>
  <c r="BP701" i="9" a="1"/>
  <c r="BP701" i="9" s="1"/>
  <c r="BR392" i="9"/>
  <c r="BS392" i="9" s="1"/>
  <c r="BV638" i="9"/>
  <c r="Q638" i="9" s="1"/>
  <c r="AB638" i="9" s="1"/>
  <c r="BL472" i="9" a="1"/>
  <c r="BL472" i="9" s="1"/>
  <c r="BP209" i="9" a="1"/>
  <c r="BP209" i="9" s="1"/>
  <c r="CP654" i="9"/>
  <c r="V654" i="9" s="1"/>
  <c r="AB654" i="9" s="1"/>
  <c r="CJ186" i="9" a="1"/>
  <c r="CJ186" i="9" s="1"/>
  <c r="CF174" i="9" a="1"/>
  <c r="CF174" i="9" s="1"/>
  <c r="CP174" i="9" s="1"/>
  <c r="V174" i="9" s="1"/>
  <c r="BF153" i="9"/>
  <c r="BG153" i="9" s="1"/>
  <c r="BH153" i="9" s="1" a="1"/>
  <c r="BH153" i="9" s="1"/>
  <c r="BL513" i="9" a="1"/>
  <c r="BL513" i="9" s="1"/>
  <c r="CB492" i="9" a="1"/>
  <c r="CB492" i="9" s="1"/>
  <c r="CF492" i="9" a="1"/>
  <c r="CF492" i="9" s="1"/>
  <c r="BL1010" i="9" a="1"/>
  <c r="BL1010" i="9" s="1"/>
  <c r="CF839" i="9" a="1"/>
  <c r="CF839" i="9" s="1"/>
  <c r="CF875" i="9" a="1"/>
  <c r="CF875" i="9" s="1"/>
  <c r="CP943" i="9"/>
  <c r="V943" i="9" s="1"/>
  <c r="BJ678" i="9"/>
  <c r="BK678" i="9" s="1"/>
  <c r="BP678" i="9" s="1" a="1"/>
  <c r="BP678" i="9" s="1"/>
  <c r="BL530" i="9" a="1"/>
  <c r="BL530" i="9" s="1"/>
  <c r="CF438" i="9" a="1"/>
  <c r="CF438" i="9" s="1"/>
  <c r="BZ358" i="9"/>
  <c r="CA358" i="9" s="1"/>
  <c r="CB358" i="9" s="1" a="1"/>
  <c r="CB358" i="9" s="1"/>
  <c r="BR358" i="9"/>
  <c r="BS358" i="9" s="1"/>
  <c r="BU358" i="9" s="1" a="1"/>
  <c r="BU358" i="9" s="1"/>
  <c r="BF358" i="9"/>
  <c r="BG358" i="9" s="1"/>
  <c r="CL358" i="9"/>
  <c r="CM358" i="9" s="1"/>
  <c r="CO358" i="9" s="1" a="1"/>
  <c r="CO358" i="9" s="1"/>
  <c r="CD358" i="9"/>
  <c r="CE358" i="9" s="1"/>
  <c r="CF358" i="9" s="1" a="1"/>
  <c r="CF358" i="9" s="1"/>
  <c r="CJ28" i="9" a="1"/>
  <c r="CJ28" i="9" s="1"/>
  <c r="CH32" i="9"/>
  <c r="CI32" i="9" s="1"/>
  <c r="BZ122" i="9"/>
  <c r="CA122" i="9" s="1"/>
  <c r="CB122" i="9" s="1" a="1"/>
  <c r="CB122" i="9" s="1"/>
  <c r="BJ122" i="9"/>
  <c r="BK122" i="9" s="1"/>
  <c r="CF89" i="9" a="1"/>
  <c r="CF89" i="9" s="1"/>
  <c r="CB89" i="9" a="1"/>
  <c r="CB89" i="9" s="1"/>
  <c r="CL105" i="9"/>
  <c r="CM105" i="9" s="1"/>
  <c r="CO105" i="9" s="1" a="1"/>
  <c r="CO105" i="9" s="1"/>
  <c r="BZ105" i="9"/>
  <c r="CA105" i="9" s="1"/>
  <c r="CB105" i="9" s="1" a="1"/>
  <c r="CB105" i="9" s="1"/>
  <c r="CH105" i="9"/>
  <c r="CI105" i="9" s="1"/>
  <c r="CD105" i="9"/>
  <c r="CE105" i="9" s="1"/>
  <c r="BL111" i="9" a="1"/>
  <c r="BL111" i="9" s="1"/>
  <c r="BP111" i="9" a="1"/>
  <c r="BP111" i="9" s="1"/>
  <c r="CL878" i="9"/>
  <c r="CM878" i="9" s="1"/>
  <c r="BN878" i="9"/>
  <c r="BO878" i="9" s="1"/>
  <c r="BF878" i="9"/>
  <c r="BG878" i="9" s="1"/>
  <c r="BH878" i="9" s="1" a="1"/>
  <c r="BH878" i="9" s="1"/>
  <c r="CD878" i="9"/>
  <c r="CE878" i="9" s="1"/>
  <c r="CJ878" i="9" s="1" a="1"/>
  <c r="CJ878" i="9" s="1"/>
  <c r="BJ878" i="9"/>
  <c r="BK878" i="9" s="1"/>
  <c r="BN70" i="9"/>
  <c r="BO70" i="9" s="1"/>
  <c r="BF70" i="9"/>
  <c r="BG70" i="9" s="1"/>
  <c r="BH70" i="9" s="1" a="1"/>
  <c r="BH70" i="9" s="1"/>
  <c r="CD79" i="9"/>
  <c r="CE79" i="9" s="1"/>
  <c r="CH37" i="9"/>
  <c r="CI37" i="9" s="1"/>
  <c r="BL36" i="9" a="1"/>
  <c r="BL36" i="9" s="1"/>
  <c r="BJ1003" i="9"/>
  <c r="BK1003" i="9" s="1"/>
  <c r="CD1003" i="9"/>
  <c r="CE1003" i="9" s="1"/>
  <c r="BR1003" i="9"/>
  <c r="BS1003" i="9" s="1"/>
  <c r="CL70" i="9"/>
  <c r="CM70" i="9" s="1"/>
  <c r="CF50" i="9" a="1"/>
  <c r="CF50" i="9" s="1"/>
  <c r="BN105" i="9"/>
  <c r="BO105" i="9" s="1"/>
  <c r="BV120" i="9"/>
  <c r="Q120" i="9" s="1"/>
  <c r="CD834" i="9"/>
  <c r="CE834" i="9" s="1"/>
  <c r="CJ834" i="9" s="1" a="1"/>
  <c r="CJ834" i="9" s="1"/>
  <c r="CL834" i="9"/>
  <c r="CM834" i="9" s="1"/>
  <c r="BJ843" i="9"/>
  <c r="BK843" i="9" s="1"/>
  <c r="CH843" i="9"/>
  <c r="CI843" i="9" s="1"/>
  <c r="BR955" i="9"/>
  <c r="BS955" i="9" s="1"/>
  <c r="CL955" i="9"/>
  <c r="CM955" i="9" s="1"/>
  <c r="CH973" i="9"/>
  <c r="CI973" i="9" s="1"/>
  <c r="BR973" i="9"/>
  <c r="BS973" i="9" s="1"/>
  <c r="BU973" i="9" s="1" a="1"/>
  <c r="BU973" i="9" s="1"/>
  <c r="BZ923" i="9"/>
  <c r="CA923" i="9" s="1"/>
  <c r="CB923" i="9" s="1" a="1"/>
  <c r="CB923" i="9" s="1"/>
  <c r="CH923" i="9"/>
  <c r="CI923" i="9" s="1"/>
  <c r="CD923" i="9"/>
  <c r="CE923" i="9" s="1"/>
  <c r="CF923" i="9" s="1" a="1"/>
  <c r="CF923" i="9" s="1"/>
  <c r="BP35" i="9" a="1"/>
  <c r="BP35" i="9" s="1"/>
  <c r="BL41" i="9" a="1"/>
  <c r="BL41" i="9" s="1"/>
  <c r="CD70" i="9"/>
  <c r="CE70" i="9" s="1"/>
  <c r="CL84" i="9"/>
  <c r="CM84" i="9" s="1"/>
  <c r="BZ84" i="9"/>
  <c r="CA84" i="9" s="1"/>
  <c r="CB84" i="9" s="1" a="1"/>
  <c r="CB84" i="9" s="1"/>
  <c r="BJ70" i="9"/>
  <c r="BK70" i="9" s="1"/>
  <c r="BF33" i="9"/>
  <c r="BG33" i="9" s="1"/>
  <c r="BH33" i="9" s="1" a="1"/>
  <c r="BH33" i="9" s="1"/>
  <c r="CL33" i="9"/>
  <c r="CM33" i="9" s="1"/>
  <c r="CO33" i="9" s="1" a="1"/>
  <c r="CO33" i="9" s="1"/>
  <c r="BF107" i="9"/>
  <c r="BG107" i="9" s="1"/>
  <c r="BH107" i="9" s="1" a="1"/>
  <c r="BH107" i="9" s="1"/>
  <c r="CH107" i="9"/>
  <c r="CI107" i="9" s="1"/>
  <c r="BF101" i="9"/>
  <c r="BG101" i="9" s="1"/>
  <c r="BH101" i="9" s="1" a="1"/>
  <c r="BH101" i="9" s="1"/>
  <c r="CD101" i="9"/>
  <c r="CE101" i="9" s="1"/>
  <c r="BN101" i="9"/>
  <c r="BO101" i="9" s="1"/>
  <c r="BT101" i="9" s="1" a="1"/>
  <c r="BT101" i="9" s="1"/>
  <c r="CL83" i="9"/>
  <c r="CM83" i="9" s="1"/>
  <c r="CH83" i="9"/>
  <c r="CI83" i="9" s="1"/>
  <c r="BN108" i="9"/>
  <c r="BO108" i="9" s="1"/>
  <c r="CD108" i="9"/>
  <c r="CE108" i="9" s="1"/>
  <c r="BR982" i="9"/>
  <c r="BS982" i="9" s="1"/>
  <c r="BF982" i="9"/>
  <c r="BG982" i="9" s="1"/>
  <c r="BH982" i="9" s="1" a="1"/>
  <c r="BH982" i="9" s="1"/>
  <c r="CH982" i="9"/>
  <c r="CI982" i="9" s="1"/>
  <c r="BN982" i="9"/>
  <c r="BO982" i="9" s="1"/>
  <c r="BT982" i="9" s="1" a="1"/>
  <c r="BT982" i="9" s="1"/>
  <c r="CL94" i="9"/>
  <c r="CM94" i="9" s="1"/>
  <c r="BF94" i="9"/>
  <c r="BG94" i="9" s="1"/>
  <c r="BH94" i="9" s="1" a="1"/>
  <c r="BH94" i="9" s="1"/>
  <c r="BR70" i="9"/>
  <c r="BS70" i="9" s="1"/>
  <c r="BU70" i="9" s="1" a="1"/>
  <c r="BU70" i="9" s="1"/>
  <c r="BN96" i="9"/>
  <c r="BO96" i="9" s="1"/>
  <c r="CD96" i="9"/>
  <c r="CE96" i="9" s="1"/>
  <c r="BJ96" i="9"/>
  <c r="BK96" i="9" s="1"/>
  <c r="CH121" i="9"/>
  <c r="CI121" i="9" s="1"/>
  <c r="BR121" i="9"/>
  <c r="BS121" i="9" s="1"/>
  <c r="BN121" i="9"/>
  <c r="BO121" i="9" s="1"/>
  <c r="BJ948" i="9"/>
  <c r="BK948" i="9" s="1"/>
  <c r="BN948" i="9"/>
  <c r="BO948" i="9" s="1"/>
  <c r="BP948" i="9" s="1" a="1"/>
  <c r="BP948" i="9" s="1"/>
  <c r="BF948" i="9"/>
  <c r="BG948" i="9" s="1"/>
  <c r="BH948" i="9" s="1" a="1"/>
  <c r="BH948" i="9" s="1"/>
  <c r="CH70" i="9"/>
  <c r="CI70" i="9" s="1"/>
  <c r="BJ24" i="9"/>
  <c r="BK24" i="9" s="1"/>
  <c r="BF24" i="9"/>
  <c r="BG24" i="9" s="1"/>
  <c r="BH24" i="9" s="1" a="1"/>
  <c r="BH24" i="9" s="1"/>
  <c r="BR28" i="9"/>
  <c r="BS28" i="9" s="1"/>
  <c r="BT28" i="9" s="1" a="1"/>
  <c r="BT28" i="9" s="1"/>
  <c r="BN28" i="9"/>
  <c r="BO28" i="9" s="1"/>
  <c r="BZ70" i="9"/>
  <c r="CA70" i="9" s="1"/>
  <c r="CB70" i="9" s="1" a="1"/>
  <c r="CB70" i="9" s="1"/>
  <c r="BN115" i="9"/>
  <c r="BO115" i="9" s="1"/>
  <c r="BP115" i="9" s="1" a="1"/>
  <c r="BP115" i="9" s="1"/>
  <c r="CL115" i="9"/>
  <c r="CM115" i="9" s="1"/>
  <c r="BJ115" i="9"/>
  <c r="BK115" i="9" s="1"/>
  <c r="CL793" i="9"/>
  <c r="CM793" i="9" s="1"/>
  <c r="BJ793" i="9"/>
  <c r="BK793" i="9" s="1"/>
  <c r="BF793" i="9"/>
  <c r="BG793" i="9" s="1"/>
  <c r="BH793" i="9" s="1" a="1"/>
  <c r="BH793" i="9" s="1"/>
  <c r="BL89" i="9" a="1"/>
  <c r="BL89" i="9" s="1"/>
  <c r="BL840" i="9" a="1"/>
  <c r="BL840" i="9" s="1"/>
  <c r="BL819" i="9" a="1"/>
  <c r="BL819" i="9" s="1"/>
  <c r="BN772" i="9"/>
  <c r="BO772" i="9" s="1"/>
  <c r="BL893" i="9" a="1"/>
  <c r="BL893" i="9" s="1"/>
  <c r="BJ1005" i="9"/>
  <c r="BK1005" i="9" s="1"/>
  <c r="BF1005" i="9"/>
  <c r="BG1005" i="9" s="1"/>
  <c r="BH1005" i="9" s="1" a="1"/>
  <c r="BH1005" i="9" s="1"/>
  <c r="CD804" i="9"/>
  <c r="CE804" i="9" s="1"/>
  <c r="CD907" i="9"/>
  <c r="CE907" i="9" s="1"/>
  <c r="CJ907" i="9" s="1" a="1"/>
  <c r="CJ907" i="9" s="1"/>
  <c r="CJ901" i="9" a="1"/>
  <c r="CJ901" i="9" s="1"/>
  <c r="BL782" i="9" a="1"/>
  <c r="BL782" i="9" s="1"/>
  <c r="CL859" i="9"/>
  <c r="CM859" i="9" s="1"/>
  <c r="CJ829" i="9" a="1"/>
  <c r="CJ829" i="9" s="1"/>
  <c r="BL809" i="9" a="1"/>
  <c r="BL809" i="9" s="1"/>
  <c r="BP749" i="9" a="1"/>
  <c r="BP749" i="9" s="1"/>
  <c r="CF736" i="9" a="1"/>
  <c r="CF736" i="9" s="1"/>
  <c r="CJ734" i="9" a="1"/>
  <c r="CJ734" i="9" s="1"/>
  <c r="CP734" i="9" s="1"/>
  <c r="V734" i="9" s="1"/>
  <c r="BV500" i="9"/>
  <c r="Q500" i="9" s="1"/>
  <c r="AB500" i="9" s="1"/>
  <c r="CJ356" i="9" a="1"/>
  <c r="CJ356" i="9" s="1"/>
  <c r="BP193" i="9" a="1"/>
  <c r="BP193" i="9" s="1"/>
  <c r="BV398" i="9"/>
  <c r="Q398" i="9" s="1"/>
  <c r="BL402" i="9" a="1"/>
  <c r="BL402" i="9" s="1"/>
  <c r="BL272" i="9" a="1"/>
  <c r="BL272" i="9" s="1"/>
  <c r="BL248" i="9" a="1"/>
  <c r="BL248" i="9" s="1"/>
  <c r="BV463" i="9"/>
  <c r="Q463" i="9" s="1"/>
  <c r="BN255" i="9"/>
  <c r="BO255" i="9" s="1"/>
  <c r="CF134" i="9" a="1"/>
  <c r="CF134" i="9" s="1"/>
  <c r="CP338" i="9"/>
  <c r="V338" i="9" s="1"/>
  <c r="CP158" i="9"/>
  <c r="V158" i="9" s="1"/>
  <c r="CH147" i="9"/>
  <c r="CI147" i="9" s="1"/>
  <c r="CJ1020" i="9" a="1"/>
  <c r="CJ1020" i="9" s="1"/>
  <c r="CP1020" i="9" s="1"/>
  <c r="V1020" i="9" s="1"/>
  <c r="AB1020" i="9" s="1"/>
  <c r="BL728" i="9" a="1"/>
  <c r="BL728" i="9" s="1"/>
  <c r="BV728" i="9" s="1"/>
  <c r="Q728" i="9" s="1"/>
  <c r="CJ488" i="9" a="1"/>
  <c r="CJ488" i="9" s="1"/>
  <c r="BL471" i="9" a="1"/>
  <c r="BL471" i="9" s="1"/>
  <c r="BV471" i="9" s="1"/>
  <c r="Q471" i="9" s="1"/>
  <c r="BL143" i="9" a="1"/>
  <c r="BL143" i="9" s="1"/>
  <c r="BV143" i="9" s="1"/>
  <c r="Q143" i="9" s="1"/>
  <c r="BP119" i="9" a="1"/>
  <c r="BP119" i="9" s="1"/>
  <c r="BP102" i="9" a="1"/>
  <c r="BP102" i="9" s="1"/>
  <c r="CJ978" i="9" a="1"/>
  <c r="CJ978" i="9" s="1"/>
  <c r="CF957" i="9" a="1"/>
  <c r="CF957" i="9" s="1"/>
  <c r="BZ1005" i="9"/>
  <c r="CA1005" i="9" s="1"/>
  <c r="CB1005" i="9" s="1" a="1"/>
  <c r="CB1005" i="9" s="1"/>
  <c r="CD909" i="9"/>
  <c r="CE909" i="9" s="1"/>
  <c r="CF909" i="9" s="1" a="1"/>
  <c r="CF909" i="9" s="1"/>
  <c r="BL898" i="9" a="1"/>
  <c r="BL898" i="9" s="1"/>
  <c r="CH827" i="9"/>
  <c r="CI827" i="9" s="1"/>
  <c r="CJ848" i="9" a="1"/>
  <c r="CJ848" i="9" s="1"/>
  <c r="BP888" i="9" a="1"/>
  <c r="BP888" i="9" s="1"/>
  <c r="CH788" i="9"/>
  <c r="CI788" i="9" s="1"/>
  <c r="BP785" i="9" a="1"/>
  <c r="BP785" i="9" s="1"/>
  <c r="BN750" i="9"/>
  <c r="BO750" i="9" s="1"/>
  <c r="BN1006" i="9"/>
  <c r="BO1006" i="9" s="1"/>
  <c r="CL822" i="9"/>
  <c r="CM822" i="9" s="1"/>
  <c r="CO822" i="9" s="1" a="1"/>
  <c r="CO822" i="9" s="1"/>
  <c r="BR859" i="9"/>
  <c r="BS859" i="9" s="1"/>
  <c r="BF1021" i="9"/>
  <c r="BG1021" i="9" s="1"/>
  <c r="BH1021" i="9" s="1" a="1"/>
  <c r="BH1021" i="9" s="1"/>
  <c r="BR828" i="9"/>
  <c r="BS828" i="9" s="1"/>
  <c r="BP705" i="9" a="1"/>
  <c r="BP705" i="9" s="1"/>
  <c r="CP727" i="9"/>
  <c r="V727" i="9" s="1"/>
  <c r="CF628" i="9" a="1"/>
  <c r="CF628" i="9" s="1"/>
  <c r="CD731" i="9"/>
  <c r="CE731" i="9" s="1"/>
  <c r="BL677" i="9" a="1"/>
  <c r="BL677" i="9" s="1"/>
  <c r="BL802" i="9" a="1"/>
  <c r="BL802" i="9" s="1"/>
  <c r="CL630" i="9"/>
  <c r="CM630" i="9" s="1"/>
  <c r="BV455" i="9"/>
  <c r="Q455" i="9" s="1"/>
  <c r="BP457" i="9" a="1"/>
  <c r="BP457" i="9" s="1"/>
  <c r="BL396" i="9" a="1"/>
  <c r="BL396" i="9" s="1"/>
  <c r="BV530" i="9"/>
  <c r="Q530" i="9" s="1"/>
  <c r="CJ440" i="9" a="1"/>
  <c r="CJ440" i="9" s="1"/>
  <c r="BZ295" i="9"/>
  <c r="CA295" i="9" s="1"/>
  <c r="CB295" i="9" s="1" a="1"/>
  <c r="CB295" i="9" s="1"/>
  <c r="BL503" i="9" a="1"/>
  <c r="BL503" i="9" s="1"/>
  <c r="CF471" i="9" a="1"/>
  <c r="CF471" i="9" s="1"/>
  <c r="BL334" i="9" a="1"/>
  <c r="BL334" i="9" s="1"/>
  <c r="BL461" i="9" a="1"/>
  <c r="BL461" i="9" s="1"/>
  <c r="CL152" i="9"/>
  <c r="CM152" i="9" s="1"/>
  <c r="BV390" i="9"/>
  <c r="Q390" i="9" s="1"/>
  <c r="CP300" i="9"/>
  <c r="V300" i="9" s="1"/>
  <c r="CJ178" i="9" a="1"/>
  <c r="CJ178" i="9" s="1"/>
  <c r="CP362" i="9"/>
  <c r="V362" i="9" s="1"/>
  <c r="BV133" i="9"/>
  <c r="Q133" i="9" s="1"/>
  <c r="BV174" i="9"/>
  <c r="Q174" i="9" s="1"/>
  <c r="BL157" i="9" a="1"/>
  <c r="BL157" i="9" s="1"/>
  <c r="CD382" i="9"/>
  <c r="CE382" i="9" s="1"/>
  <c r="BN382" i="9"/>
  <c r="BO382" i="9" s="1"/>
  <c r="BP382" i="9" s="1" a="1"/>
  <c r="BP382" i="9" s="1"/>
  <c r="CL382" i="9"/>
  <c r="CM382" i="9" s="1"/>
  <c r="CH382" i="9"/>
  <c r="CI382" i="9" s="1"/>
  <c r="BF382" i="9"/>
  <c r="BG382" i="9" s="1"/>
  <c r="CB143" i="9" a="1"/>
  <c r="CB143" i="9" s="1"/>
  <c r="CF143" i="9" a="1"/>
  <c r="CF143" i="9" s="1"/>
  <c r="BT424" i="9" a="1"/>
  <c r="BT424" i="9" s="1"/>
  <c r="BV424" i="9" s="1"/>
  <c r="Q424" i="9" s="1"/>
  <c r="BL443" i="9" a="1"/>
  <c r="BL443" i="9" s="1"/>
  <c r="BP913" i="9" a="1"/>
  <c r="BP913" i="9" s="1"/>
  <c r="BV913" i="9" s="1"/>
  <c r="Q913" i="9" s="1"/>
  <c r="CN509" i="9" a="1"/>
  <c r="CN509" i="9" s="1"/>
  <c r="CP509" i="9" s="1"/>
  <c r="V509" i="9" s="1"/>
  <c r="BL354" i="9" a="1"/>
  <c r="BL354" i="9" s="1"/>
  <c r="BP443" i="9" a="1"/>
  <c r="BP443" i="9" s="1"/>
  <c r="CP687" i="9"/>
  <c r="V687" i="9" s="1"/>
  <c r="BP716" i="9" a="1"/>
  <c r="BP716" i="9" s="1"/>
  <c r="BV673" i="9"/>
  <c r="Q673" i="9" s="1"/>
  <c r="AB673" i="9" s="1"/>
  <c r="BP407" i="9" a="1"/>
  <c r="BP407" i="9" s="1"/>
  <c r="CF429" i="9" a="1"/>
  <c r="CF429" i="9" s="1"/>
  <c r="BL207" i="9" a="1"/>
  <c r="BL207" i="9" s="1"/>
  <c r="CF263" i="9" a="1"/>
  <c r="CF263" i="9" s="1"/>
  <c r="BP197" i="9" a="1"/>
  <c r="BP197" i="9" s="1"/>
  <c r="BP435" i="9" a="1"/>
  <c r="BP435" i="9" s="1"/>
  <c r="BL257" i="9" a="1"/>
  <c r="BL257" i="9" s="1"/>
  <c r="CP241" i="9"/>
  <c r="V241" i="9" s="1"/>
  <c r="AB241" i="9" s="1"/>
  <c r="BT678" i="9" a="1"/>
  <c r="BT678" i="9" s="1"/>
  <c r="BU678" i="9" a="1"/>
  <c r="BU678" i="9" s="1"/>
  <c r="CO143" i="9" a="1"/>
  <c r="CO143" i="9" s="1"/>
  <c r="CN143" i="9" a="1"/>
  <c r="CN143" i="9" s="1"/>
  <c r="BJ633" i="9"/>
  <c r="BK633" i="9" s="1"/>
  <c r="BL633" i="9" s="1" a="1"/>
  <c r="BL633" i="9" s="1"/>
  <c r="CF696" i="9" a="1"/>
  <c r="CF696" i="9" s="1"/>
  <c r="CJ646" i="9" a="1"/>
  <c r="CJ646" i="9" s="1"/>
  <c r="CP646" i="9" s="1"/>
  <c r="V646" i="9" s="1"/>
  <c r="CF422" i="9" a="1"/>
  <c r="CF422" i="9" s="1"/>
  <c r="BP158" i="9" a="1"/>
  <c r="BP158" i="9" s="1"/>
  <c r="BV158" i="9" s="1"/>
  <c r="Q158" i="9" s="1"/>
  <c r="AB158" i="9" s="1"/>
  <c r="BL29" i="9" a="1"/>
  <c r="BL29" i="9" s="1"/>
  <c r="CF29" i="9" a="1"/>
  <c r="CF29" i="9" s="1"/>
  <c r="CH29" i="9"/>
  <c r="CI29" i="9" s="1"/>
  <c r="CJ29" i="9" s="1" a="1"/>
  <c r="CJ29" i="9" s="1"/>
  <c r="BL110" i="9" a="1"/>
  <c r="BL110" i="9" s="1"/>
  <c r="BP74" i="9" a="1"/>
  <c r="BP74" i="9" s="1"/>
  <c r="BN91" i="9"/>
  <c r="BO91" i="9" s="1"/>
  <c r="BT91" i="9" s="1" a="1"/>
  <c r="BT91" i="9" s="1"/>
  <c r="BV117" i="9"/>
  <c r="Q117" i="9" s="1"/>
  <c r="CL909" i="9"/>
  <c r="CM909" i="9" s="1"/>
  <c r="BF804" i="9"/>
  <c r="BG804" i="9" s="1"/>
  <c r="BH804" i="9" s="1" a="1"/>
  <c r="BH804" i="9" s="1"/>
  <c r="BJ909" i="9"/>
  <c r="BK909" i="9" s="1"/>
  <c r="CF945" i="9" a="1"/>
  <c r="CF945" i="9" s="1"/>
  <c r="CH873" i="9"/>
  <c r="CI873" i="9" s="1"/>
  <c r="CP871" i="9"/>
  <c r="V871" i="9" s="1"/>
  <c r="AB871" i="9" s="1"/>
  <c r="CJ821" i="9" a="1"/>
  <c r="CJ821" i="9" s="1"/>
  <c r="CP895" i="9"/>
  <c r="V895" i="9" s="1"/>
  <c r="AB895" i="9" s="1"/>
  <c r="CH1005" i="9"/>
  <c r="CI1005" i="9" s="1"/>
  <c r="BJ916" i="9"/>
  <c r="BK916" i="9" s="1"/>
  <c r="CJ865" i="9" a="1"/>
  <c r="CJ865" i="9" s="1"/>
  <c r="CD809" i="9"/>
  <c r="CE809" i="9" s="1"/>
  <c r="CF809" i="9" s="1" a="1"/>
  <c r="CF809" i="9" s="1"/>
  <c r="CJ869" i="9" a="1"/>
  <c r="CJ869" i="9" s="1"/>
  <c r="CP759" i="9"/>
  <c r="V759" i="9" s="1"/>
  <c r="AB759" i="9" s="1"/>
  <c r="BL549" i="9" a="1"/>
  <c r="BL549" i="9" s="1"/>
  <c r="CF856" i="9" a="1"/>
  <c r="CF856" i="9" s="1"/>
  <c r="BP743" i="9" a="1"/>
  <c r="BP743" i="9" s="1"/>
  <c r="BZ624" i="9"/>
  <c r="CA624" i="9" s="1"/>
  <c r="CB624" i="9" s="1" a="1"/>
  <c r="CB624" i="9" s="1"/>
  <c r="BL528" i="9" a="1"/>
  <c r="BL528" i="9" s="1"/>
  <c r="CF548" i="9" a="1"/>
  <c r="CF548" i="9" s="1"/>
  <c r="BL652" i="9" a="1"/>
  <c r="BL652" i="9" s="1"/>
  <c r="BN579" i="9"/>
  <c r="BO579" i="9" s="1"/>
  <c r="BR574" i="9"/>
  <c r="BS574" i="9" s="1"/>
  <c r="BV748" i="9"/>
  <c r="Q748" i="9" s="1"/>
  <c r="CJ786" i="9" a="1"/>
  <c r="CJ786" i="9" s="1"/>
  <c r="BL757" i="9" a="1"/>
  <c r="BL757" i="9" s="1"/>
  <c r="CF697" i="9" a="1"/>
  <c r="CF697" i="9" s="1"/>
  <c r="BR497" i="9"/>
  <c r="BS497" i="9" s="1"/>
  <c r="BL480" i="9" a="1"/>
  <c r="BL480" i="9" s="1"/>
  <c r="CN696" i="9" a="1"/>
  <c r="CN696" i="9" s="1"/>
  <c r="CP696" i="9" s="1"/>
  <c r="V696" i="9" s="1"/>
  <c r="BR318" i="9"/>
  <c r="BS318" i="9" s="1"/>
  <c r="BZ357" i="9"/>
  <c r="CA357" i="9" s="1"/>
  <c r="CB357" i="9" s="1" a="1"/>
  <c r="CB357" i="9" s="1"/>
  <c r="BZ293" i="9"/>
  <c r="CA293" i="9" s="1"/>
  <c r="CB293" i="9" s="1" a="1"/>
  <c r="CB293" i="9" s="1"/>
  <c r="BP450" i="9" a="1"/>
  <c r="BP450" i="9" s="1"/>
  <c r="BL498" i="9" a="1"/>
  <c r="BL498" i="9" s="1"/>
  <c r="BL404" i="9" a="1"/>
  <c r="BL404" i="9" s="1"/>
  <c r="BL423" i="9" a="1"/>
  <c r="BL423" i="9" s="1"/>
  <c r="BL342" i="9" a="1"/>
  <c r="BL342" i="9" s="1"/>
  <c r="BL339" i="9" a="1"/>
  <c r="BL339" i="9" s="1"/>
  <c r="BT264" i="9" a="1"/>
  <c r="BT264" i="9" s="1"/>
  <c r="BL212" i="9" a="1"/>
  <c r="BL212" i="9" s="1"/>
  <c r="BL315" i="9" a="1"/>
  <c r="BL315" i="9" s="1"/>
  <c r="BL231" i="9" a="1"/>
  <c r="BL231" i="9" s="1"/>
  <c r="BL172" i="9" a="1"/>
  <c r="BL172" i="9" s="1"/>
  <c r="CF186" i="9" a="1"/>
  <c r="CF186" i="9" s="1"/>
  <c r="BV186" i="9"/>
  <c r="Q186" i="9" s="1"/>
  <c r="CJ174" i="9" a="1"/>
  <c r="CJ174" i="9" s="1"/>
  <c r="CF151" i="9" a="1"/>
  <c r="CF151" i="9" s="1"/>
  <c r="CJ156" i="9" a="1"/>
  <c r="CJ156" i="9" s="1"/>
  <c r="CN424" i="9" a="1"/>
  <c r="CN424" i="9" s="1"/>
  <c r="CO424" i="9" a="1"/>
  <c r="CO424" i="9" s="1"/>
  <c r="BH504" i="9" a="1"/>
  <c r="BH504" i="9" s="1"/>
  <c r="BL504" i="9" a="1"/>
  <c r="BL504" i="9" s="1"/>
  <c r="BR162" i="9"/>
  <c r="BS162" i="9" s="1"/>
  <c r="CH162" i="9"/>
  <c r="CI162" i="9" s="1"/>
  <c r="BJ162" i="9"/>
  <c r="BK162" i="9" s="1"/>
  <c r="BP162" i="9" s="1" a="1"/>
  <c r="BP162" i="9" s="1"/>
  <c r="CL162" i="9"/>
  <c r="CM162" i="9" s="1"/>
  <c r="CD162" i="9"/>
  <c r="CE162" i="9" s="1"/>
  <c r="BZ162" i="9"/>
  <c r="CA162" i="9" s="1"/>
  <c r="CB162" i="9" s="1" a="1"/>
  <c r="CB162" i="9" s="1"/>
  <c r="BF162" i="9"/>
  <c r="BG162" i="9" s="1"/>
  <c r="BL776" i="9" a="1"/>
  <c r="BL776" i="9" s="1"/>
  <c r="CJ166" i="9" a="1"/>
  <c r="CJ166" i="9" s="1"/>
  <c r="CP166" i="9" s="1"/>
  <c r="V166" i="9" s="1"/>
  <c r="BU430" i="9" a="1"/>
  <c r="BU430" i="9" s="1"/>
  <c r="BT430" i="9" a="1"/>
  <c r="BT430" i="9" s="1"/>
  <c r="CJ341" i="9" a="1"/>
  <c r="CJ341" i="9" s="1"/>
  <c r="CP341" i="9" s="1"/>
  <c r="V341" i="9" s="1"/>
  <c r="CJ413" i="9" a="1"/>
  <c r="CJ413" i="9" s="1"/>
  <c r="BL341" i="9" a="1"/>
  <c r="BL341" i="9" s="1"/>
  <c r="BV341" i="9" s="1"/>
  <c r="Q341" i="9" s="1"/>
  <c r="AB341" i="9" s="1"/>
  <c r="BZ804" i="9"/>
  <c r="CA804" i="9" s="1"/>
  <c r="CB804" i="9" s="1" a="1"/>
  <c r="CB804" i="9" s="1"/>
  <c r="BR1006" i="9"/>
  <c r="BS1006" i="9" s="1"/>
  <c r="CF942" i="9" a="1"/>
  <c r="CF942" i="9" s="1"/>
  <c r="CJ942" i="9" a="1"/>
  <c r="CJ942" i="9" s="1"/>
  <c r="CF747" i="9" a="1"/>
  <c r="CF747" i="9" s="1"/>
  <c r="CF1021" i="9" a="1"/>
  <c r="CF1021" i="9" s="1"/>
  <c r="CJ989" i="9" a="1"/>
  <c r="CJ989" i="9" s="1"/>
  <c r="CL788" i="9"/>
  <c r="CM788" i="9" s="1"/>
  <c r="BP962" i="9" a="1"/>
  <c r="BP962" i="9" s="1"/>
  <c r="BN780" i="9"/>
  <c r="BO780" i="9" s="1"/>
  <c r="CD712" i="9"/>
  <c r="CE712" i="9" s="1"/>
  <c r="BL751" i="9" a="1"/>
  <c r="BL751" i="9" s="1"/>
  <c r="CJ682" i="9" a="1"/>
  <c r="CJ682" i="9" s="1"/>
  <c r="BL658" i="9" a="1"/>
  <c r="BL658" i="9" s="1"/>
  <c r="CL576" i="9"/>
  <c r="CM576" i="9" s="1"/>
  <c r="BP730" i="9" a="1"/>
  <c r="BP730" i="9" s="1"/>
  <c r="BL446" i="9" a="1"/>
  <c r="BL446" i="9" s="1"/>
  <c r="CF489" i="9" a="1"/>
  <c r="CF489" i="9" s="1"/>
  <c r="CP593" i="9"/>
  <c r="V593" i="9" s="1"/>
  <c r="AB593" i="9" s="1"/>
  <c r="BL478" i="9" a="1"/>
  <c r="BL478" i="9" s="1"/>
  <c r="BP453" i="9" a="1"/>
  <c r="BP453" i="9" s="1"/>
  <c r="CP271" i="9"/>
  <c r="V271" i="9" s="1"/>
  <c r="CF558" i="9" a="1"/>
  <c r="CF558" i="9" s="1"/>
  <c r="BL678" i="9" a="1"/>
  <c r="BL678" i="9" s="1"/>
  <c r="BV678" i="9" s="1"/>
  <c r="Q678" i="9" s="1"/>
  <c r="CF1018" i="9" a="1"/>
  <c r="CF1018" i="9" s="1"/>
  <c r="CJ795" i="9" a="1"/>
  <c r="CJ795" i="9" s="1"/>
  <c r="BN909" i="9"/>
  <c r="BO909" i="9" s="1"/>
  <c r="BT909" i="9" s="1" a="1"/>
  <c r="BT909" i="9" s="1"/>
  <c r="BN1005" i="9"/>
  <c r="BO1005" i="9" s="1"/>
  <c r="BL937" i="9" a="1"/>
  <c r="BL937" i="9" s="1"/>
  <c r="BL861" i="9" a="1"/>
  <c r="BL861" i="9" s="1"/>
  <c r="BP747" i="9" a="1"/>
  <c r="BP747" i="9" s="1"/>
  <c r="BL705" i="9" a="1"/>
  <c r="BL705" i="9" s="1"/>
  <c r="CP863" i="9"/>
  <c r="V863" i="9" s="1"/>
  <c r="CJ743" i="9" a="1"/>
  <c r="CJ743" i="9" s="1"/>
  <c r="CH688" i="9"/>
  <c r="CI688" i="9" s="1"/>
  <c r="BL607" i="9" a="1"/>
  <c r="BL607" i="9" s="1"/>
  <c r="CP702" i="9"/>
  <c r="V702" i="9" s="1"/>
  <c r="CF724" i="9" a="1"/>
  <c r="CF724" i="9" s="1"/>
  <c r="BL598" i="9" a="1"/>
  <c r="BL598" i="9" s="1"/>
  <c r="BL536" i="9" a="1"/>
  <c r="BL536" i="9" s="1"/>
  <c r="BV929" i="9"/>
  <c r="Q929" i="9" s="1"/>
  <c r="BP751" i="9" a="1"/>
  <c r="BP751" i="9" s="1"/>
  <c r="CP710" i="9"/>
  <c r="V710" i="9" s="1"/>
  <c r="BL557" i="9" a="1"/>
  <c r="BL557" i="9" s="1"/>
  <c r="BL153" i="9" a="1"/>
  <c r="BL153" i="9" s="1"/>
  <c r="CF132" i="9" a="1"/>
  <c r="CF132" i="9" s="1"/>
  <c r="CP132" i="9" s="1"/>
  <c r="V132" i="9" s="1"/>
  <c r="BL442" i="9" a="1"/>
  <c r="BL442" i="9" s="1"/>
  <c r="BP442" i="9" a="1"/>
  <c r="BP442" i="9" s="1"/>
  <c r="BZ678" i="9"/>
  <c r="CA678" i="9" s="1"/>
  <c r="CB678" i="9" s="1" a="1"/>
  <c r="CB678" i="9" s="1"/>
  <c r="BL811" i="9" a="1"/>
  <c r="BL811" i="9" s="1"/>
  <c r="BL1012" i="9" a="1"/>
  <c r="BL1012" i="9" s="1"/>
  <c r="BV1012" i="9" s="1"/>
  <c r="Q1012" i="9" s="1"/>
  <c r="CJ234" i="9" a="1"/>
  <c r="CJ234" i="9" s="1"/>
  <c r="BP527" i="9" a="1"/>
  <c r="BP527" i="9" s="1"/>
  <c r="BV527" i="9" s="1"/>
  <c r="Q527" i="9" s="1"/>
  <c r="AB527" i="9" s="1"/>
  <c r="BL99" i="9" a="1"/>
  <c r="BL99" i="9" s="1"/>
  <c r="CD1005" i="9"/>
  <c r="CE1005" i="9" s="1"/>
  <c r="CF1005" i="9" s="1" a="1"/>
  <c r="CF1005" i="9" s="1"/>
  <c r="CF1011" i="9" a="1"/>
  <c r="CF1011" i="9" s="1"/>
  <c r="BL942" i="9" a="1"/>
  <c r="BL942" i="9" s="1"/>
  <c r="BV805" i="9"/>
  <c r="Q805" i="9" s="1"/>
  <c r="BF798" i="9"/>
  <c r="BG798" i="9" s="1"/>
  <c r="BH798" i="9" s="1" a="1"/>
  <c r="BH798" i="9" s="1"/>
  <c r="BZ814" i="9"/>
  <c r="CA814" i="9" s="1"/>
  <c r="CB814" i="9" s="1" a="1"/>
  <c r="CB814" i="9" s="1"/>
  <c r="CL892" i="9"/>
  <c r="CM892" i="9" s="1"/>
  <c r="CJ784" i="9" a="1"/>
  <c r="CJ784" i="9" s="1"/>
  <c r="BL856" i="9" a="1"/>
  <c r="BL856" i="9" s="1"/>
  <c r="CF658" i="9" a="1"/>
  <c r="CF658" i="9" s="1"/>
  <c r="CP711" i="9"/>
  <c r="V711" i="9" s="1"/>
  <c r="AB711" i="9" s="1"/>
  <c r="BL655" i="9" a="1"/>
  <c r="BL655" i="9" s="1"/>
  <c r="BJ542" i="9"/>
  <c r="BK542" i="9" s="1"/>
  <c r="BL690" i="9" a="1"/>
  <c r="BL690" i="9" s="1"/>
  <c r="BL552" i="9" a="1"/>
  <c r="BL552" i="9" s="1"/>
  <c r="BV1004" i="9"/>
  <c r="Q1004" i="9" s="1"/>
  <c r="CP703" i="9"/>
  <c r="V703" i="9" s="1"/>
  <c r="AB703" i="9" s="1"/>
  <c r="CF632" i="9" a="1"/>
  <c r="CF632" i="9" s="1"/>
  <c r="CD576" i="9"/>
  <c r="CE576" i="9" s="1"/>
  <c r="CF576" i="9" s="1" a="1"/>
  <c r="CF576" i="9" s="1"/>
  <c r="CJ751" i="9" a="1"/>
  <c r="CJ751" i="9" s="1"/>
  <c r="BL663" i="9" a="1"/>
  <c r="BL663" i="9" s="1"/>
  <c r="BL618" i="9" a="1"/>
  <c r="BL618" i="9" s="1"/>
  <c r="CL730" i="9"/>
  <c r="CM730" i="9" s="1"/>
  <c r="BN658" i="9"/>
  <c r="BO658" i="9" s="1"/>
  <c r="CH512" i="9"/>
  <c r="CI512" i="9" s="1"/>
  <c r="BL570" i="9" a="1"/>
  <c r="BL570" i="9" s="1"/>
  <c r="BV662" i="9"/>
  <c r="Q662" i="9" s="1"/>
  <c r="CH372" i="9"/>
  <c r="CI372" i="9" s="1"/>
  <c r="BL261" i="9" a="1"/>
  <c r="BL261" i="9" s="1"/>
  <c r="BZ590" i="9"/>
  <c r="CA590" i="9" s="1"/>
  <c r="CB590" i="9" s="1" a="1"/>
  <c r="CB590" i="9" s="1"/>
  <c r="BP465" i="9" a="1"/>
  <c r="BP465" i="9" s="1"/>
  <c r="CJ390" i="9" a="1"/>
  <c r="CJ390" i="9" s="1"/>
  <c r="BN235" i="9"/>
  <c r="BO235" i="9" s="1"/>
  <c r="BP235" i="9" s="1" a="1"/>
  <c r="BP235" i="9" s="1"/>
  <c r="BF448" i="9"/>
  <c r="BG448" i="9" s="1"/>
  <c r="BH448" i="9" s="1" a="1"/>
  <c r="BH448" i="9" s="1"/>
  <c r="CF383" i="9" a="1"/>
  <c r="CF383" i="9" s="1"/>
  <c r="BL331" i="9" a="1"/>
  <c r="BL331" i="9" s="1"/>
  <c r="BP292" i="9" a="1"/>
  <c r="BP292" i="9" s="1"/>
  <c r="CF495" i="9" a="1"/>
  <c r="CF495" i="9" s="1"/>
  <c r="BJ473" i="9"/>
  <c r="BK473" i="9" s="1"/>
  <c r="CF380" i="9" a="1"/>
  <c r="CF380" i="9" s="1"/>
  <c r="CF246" i="9" a="1"/>
  <c r="CF246" i="9" s="1"/>
  <c r="BP342" i="9" a="1"/>
  <c r="BP342" i="9" s="1"/>
  <c r="BZ253" i="9"/>
  <c r="CA253" i="9" s="1"/>
  <c r="CB253" i="9" s="1" a="1"/>
  <c r="CB253" i="9" s="1"/>
  <c r="CF177" i="9" a="1"/>
  <c r="CF177" i="9" s="1"/>
  <c r="BL468" i="9" a="1"/>
  <c r="BL468" i="9" s="1"/>
  <c r="CJ477" i="9" a="1"/>
  <c r="CJ477" i="9" s="1"/>
  <c r="CD376" i="9"/>
  <c r="CE376" i="9" s="1"/>
  <c r="CF376" i="9" s="1" a="1"/>
  <c r="CF376" i="9" s="1"/>
  <c r="CD364" i="9"/>
  <c r="CE364" i="9" s="1"/>
  <c r="CJ364" i="9" s="1" a="1"/>
  <c r="CJ364" i="9" s="1"/>
  <c r="CF479" i="9" a="1"/>
  <c r="CF479" i="9" s="1"/>
  <c r="BN145" i="9"/>
  <c r="BO145" i="9" s="1"/>
  <c r="BP145" i="9" s="1" a="1"/>
  <c r="BP145" i="9" s="1"/>
  <c r="CO975" i="9" a="1"/>
  <c r="CO975" i="9" s="1"/>
  <c r="CN975" i="9" a="1"/>
  <c r="CN975" i="9" s="1"/>
  <c r="CF617" i="9" a="1"/>
  <c r="CF617" i="9" s="1"/>
  <c r="CL685" i="9"/>
  <c r="CM685" i="9" s="1"/>
  <c r="BZ685" i="9"/>
  <c r="CA685" i="9" s="1"/>
  <c r="BR685" i="9"/>
  <c r="BS685" i="9" s="1"/>
  <c r="BU685" i="9" s="1" a="1"/>
  <c r="BU685" i="9" s="1"/>
  <c r="BJ685" i="9"/>
  <c r="BK685" i="9" s="1"/>
  <c r="BP685" i="9" s="1" a="1"/>
  <c r="BP685" i="9" s="1"/>
  <c r="BZ382" i="9"/>
  <c r="CA382" i="9" s="1"/>
  <c r="CB382" i="9" s="1" a="1"/>
  <c r="CB382" i="9" s="1"/>
  <c r="BL740" i="9" a="1"/>
  <c r="BL740" i="9" s="1"/>
  <c r="BV740" i="9" s="1"/>
  <c r="Q740" i="9" s="1"/>
  <c r="BL604" i="9" a="1"/>
  <c r="BL604" i="9" s="1"/>
  <c r="BV604" i="9" s="1"/>
  <c r="Q604" i="9" s="1"/>
  <c r="CJ320" i="9" a="1"/>
  <c r="CJ320" i="9" s="1"/>
  <c r="BZ798" i="9"/>
  <c r="CA798" i="9" s="1"/>
  <c r="CH780" i="9"/>
  <c r="CI780" i="9" s="1"/>
  <c r="CF771" i="9" a="1"/>
  <c r="CF771" i="9" s="1"/>
  <c r="CF1007" i="9" a="1"/>
  <c r="CF1007" i="9" s="1"/>
  <c r="BR772" i="9"/>
  <c r="BS772" i="9" s="1"/>
  <c r="BT772" i="9" s="1" a="1"/>
  <c r="BT772" i="9" s="1"/>
  <c r="BL488" i="9" a="1"/>
  <c r="BL488" i="9" s="1"/>
  <c r="CH459" i="9"/>
  <c r="CI459" i="9" s="1"/>
  <c r="CJ730" i="9" a="1"/>
  <c r="CJ730" i="9" s="1"/>
  <c r="CL584" i="9"/>
  <c r="CM584" i="9" s="1"/>
  <c r="BJ576" i="9"/>
  <c r="BK576" i="9" s="1"/>
  <c r="BP576" i="9" s="1" a="1"/>
  <c r="BP576" i="9" s="1"/>
  <c r="BV718" i="9"/>
  <c r="Q718" i="9" s="1"/>
  <c r="AB718" i="9" s="1"/>
  <c r="BL240" i="9" a="1"/>
  <c r="BL240" i="9" s="1"/>
  <c r="CJ260" i="9" a="1"/>
  <c r="CJ260" i="9" s="1"/>
  <c r="CF450" i="9" a="1"/>
  <c r="CF450" i="9" s="1"/>
  <c r="CF498" i="9" a="1"/>
  <c r="CF498" i="9" s="1"/>
  <c r="CF396" i="9" a="1"/>
  <c r="CF396" i="9" s="1"/>
  <c r="BL495" i="9" a="1"/>
  <c r="BL495" i="9" s="1"/>
  <c r="BN473" i="9"/>
  <c r="BO473" i="9" s="1"/>
  <c r="CF460" i="9" a="1"/>
  <c r="CF460" i="9" s="1"/>
  <c r="CJ463" i="9" a="1"/>
  <c r="CJ463" i="9" s="1"/>
  <c r="CF503" i="9" a="1"/>
  <c r="CF503" i="9" s="1"/>
  <c r="BL428" i="9" a="1"/>
  <c r="BL428" i="9" s="1"/>
  <c r="CP233" i="9"/>
  <c r="V233" i="9" s="1"/>
  <c r="AB233" i="9" s="1"/>
  <c r="BL184" i="9" a="1"/>
  <c r="BL184" i="9" s="1"/>
  <c r="BP395" i="9" a="1"/>
  <c r="BP395" i="9" s="1"/>
  <c r="BP189" i="9" a="1"/>
  <c r="BP189" i="9" s="1"/>
  <c r="BL124" i="9" a="1"/>
  <c r="BL124" i="9" s="1"/>
  <c r="BN633" i="9"/>
  <c r="BO633" i="9" s="1"/>
  <c r="CD633" i="9"/>
  <c r="CE633" i="9" s="1"/>
  <c r="CH633" i="9"/>
  <c r="CI633" i="9" s="1"/>
  <c r="BZ633" i="9"/>
  <c r="CA633" i="9" s="1"/>
  <c r="CB633" i="9" s="1" a="1"/>
  <c r="CB633" i="9" s="1"/>
  <c r="CL633" i="9"/>
  <c r="CM633" i="9" s="1"/>
  <c r="CD678" i="9"/>
  <c r="CE678" i="9" s="1"/>
  <c r="CL678" i="9"/>
  <c r="CM678" i="9" s="1"/>
  <c r="BR633" i="9"/>
  <c r="BS633" i="9" s="1"/>
  <c r="BU633" i="9" s="1" a="1"/>
  <c r="BU633" i="9" s="1"/>
  <c r="BP943" i="9" a="1"/>
  <c r="BP943" i="9" s="1"/>
  <c r="BV943" i="9" s="1"/>
  <c r="Q943" i="9" s="1"/>
  <c r="BL612" i="9" a="1"/>
  <c r="BL612" i="9" s="1"/>
  <c r="BV612" i="9" s="1"/>
  <c r="Q612" i="9" s="1"/>
  <c r="BP811" i="9" a="1"/>
  <c r="BP811" i="9" s="1"/>
  <c r="BR382" i="9"/>
  <c r="BS382" i="9" s="1"/>
  <c r="BT214" i="9" a="1"/>
  <c r="BT214" i="9" s="1"/>
  <c r="BV214" i="9" s="1"/>
  <c r="Q214" i="9" s="1"/>
  <c r="BT132" i="9" a="1"/>
  <c r="BT132" i="9" s="1"/>
  <c r="BV132" i="9" s="1"/>
  <c r="Q132" i="9" s="1"/>
  <c r="AB132" i="9" s="1"/>
  <c r="BL306" i="9" a="1"/>
  <c r="BL306" i="9" s="1"/>
  <c r="BV306" i="9" s="1"/>
  <c r="Q306" i="9" s="1"/>
  <c r="CJ354" i="9" a="1"/>
  <c r="CJ354" i="9" s="1"/>
  <c r="CN213" i="9" a="1"/>
  <c r="CN213" i="9" s="1"/>
  <c r="CP213" i="9" s="1"/>
  <c r="V213" i="9" s="1"/>
  <c r="AB213" i="9" s="1"/>
  <c r="BL151" i="9" a="1"/>
  <c r="BL151" i="9" s="1"/>
  <c r="BV151" i="9" s="1"/>
  <c r="Q151" i="9" s="1"/>
  <c r="CO947" i="9" a="1"/>
  <c r="CO947" i="9" s="1"/>
  <c r="CN947" i="9" a="1"/>
  <c r="CN947" i="9" s="1"/>
  <c r="BU876" i="9" a="1"/>
  <c r="BU876" i="9" s="1"/>
  <c r="BU862" i="9" a="1"/>
  <c r="BU862" i="9" s="1"/>
  <c r="BU977" i="9" a="1"/>
  <c r="BU977" i="9" s="1"/>
  <c r="BT977" i="9" a="1"/>
  <c r="BT977" i="9" s="1"/>
  <c r="CN908" i="9" a="1"/>
  <c r="CN908" i="9" s="1"/>
  <c r="CO908" i="9" a="1"/>
  <c r="CO908" i="9" s="1"/>
  <c r="CJ971" i="9" a="1"/>
  <c r="CJ971" i="9" s="1"/>
  <c r="BT750" i="9" a="1"/>
  <c r="BT750" i="9" s="1"/>
  <c r="BU750" i="9" a="1"/>
  <c r="BU750" i="9" s="1"/>
  <c r="BU806" i="9" a="1"/>
  <c r="BU806" i="9" s="1"/>
  <c r="CN860" i="9" a="1"/>
  <c r="CN860" i="9" s="1"/>
  <c r="CO860" i="9" a="1"/>
  <c r="CO860" i="9" s="1"/>
  <c r="CO963" i="9" a="1"/>
  <c r="CO963" i="9" s="1"/>
  <c r="CO833" i="9" a="1"/>
  <c r="CO833" i="9" s="1"/>
  <c r="CN833" i="9" a="1"/>
  <c r="CN833" i="9" s="1"/>
  <c r="BU804" i="9" a="1"/>
  <c r="BU804" i="9" s="1"/>
  <c r="BU835" i="9" a="1"/>
  <c r="BU835" i="9" s="1"/>
  <c r="CJ973" i="9" a="1"/>
  <c r="CJ973" i="9" s="1"/>
  <c r="CJ860" i="9" a="1"/>
  <c r="CJ860" i="9" s="1"/>
  <c r="BT1021" i="9" a="1"/>
  <c r="BT1021" i="9" s="1"/>
  <c r="BU1021" i="9" a="1"/>
  <c r="BU1021" i="9" s="1"/>
  <c r="BU933" i="9" a="1"/>
  <c r="BU933" i="9" s="1"/>
  <c r="CN971" i="9" a="1"/>
  <c r="CN971" i="9" s="1"/>
  <c r="CO971" i="9" a="1"/>
  <c r="CO971" i="9" s="1"/>
  <c r="BU924" i="9" a="1"/>
  <c r="BU924" i="9" s="1"/>
  <c r="BU836" i="9" a="1"/>
  <c r="BU836" i="9" s="1"/>
  <c r="BT836" i="9" a="1"/>
  <c r="BT836" i="9" s="1"/>
  <c r="BU821" i="9" a="1"/>
  <c r="BU821" i="9" s="1"/>
  <c r="BT821" i="9" a="1"/>
  <c r="BT821" i="9" s="1"/>
  <c r="CJ750" i="9" a="1"/>
  <c r="CJ750" i="9" s="1"/>
  <c r="CO941" i="9" a="1"/>
  <c r="CO941" i="9" s="1"/>
  <c r="CN941" i="9" a="1"/>
  <c r="CN941" i="9" s="1"/>
  <c r="BT780" i="9" a="1"/>
  <c r="BT780" i="9" s="1"/>
  <c r="BU780" i="9" a="1"/>
  <c r="BU780" i="9" s="1"/>
  <c r="CO955" i="9" a="1"/>
  <c r="CO955" i="9" s="1"/>
  <c r="CN955" i="9" a="1"/>
  <c r="CN955" i="9" s="1"/>
  <c r="CO1014" i="9" a="1"/>
  <c r="CO1014" i="9" s="1"/>
  <c r="CN1014" i="9" a="1"/>
  <c r="CN1014" i="9" s="1"/>
  <c r="CO1021" i="9" a="1"/>
  <c r="CO1021" i="9" s="1"/>
  <c r="CN1021" i="9" a="1"/>
  <c r="CN1021" i="9" s="1"/>
  <c r="BU971" i="9" a="1"/>
  <c r="BU971" i="9" s="1"/>
  <c r="CN916" i="9" a="1"/>
  <c r="CN916" i="9" s="1"/>
  <c r="CO916" i="9" a="1"/>
  <c r="CO916" i="9" s="1"/>
  <c r="CJ833" i="9" a="1"/>
  <c r="CJ833" i="9" s="1"/>
  <c r="BU809" i="9" a="1"/>
  <c r="BU809" i="9" s="1"/>
  <c r="BT809" i="9" a="1"/>
  <c r="BT809" i="9" s="1"/>
  <c r="CO957" i="9" a="1"/>
  <c r="CO957" i="9" s="1"/>
  <c r="CJ827" i="9" a="1"/>
  <c r="CJ827" i="9" s="1"/>
  <c r="BL1011" i="9" a="1"/>
  <c r="BL1011" i="9" s="1"/>
  <c r="BT867" i="9" a="1"/>
  <c r="BT867" i="9" s="1"/>
  <c r="BU867" i="9" a="1"/>
  <c r="BU867" i="9" s="1"/>
  <c r="CJ801" i="9" a="1"/>
  <c r="CJ801" i="9" s="1"/>
  <c r="BP865" i="9" a="1"/>
  <c r="BP865" i="9" s="1"/>
  <c r="BU1005" i="9" a="1"/>
  <c r="BU1005" i="9" s="1"/>
  <c r="BT1005" i="9" a="1"/>
  <c r="BT1005" i="9" s="1"/>
  <c r="BP916" i="9" a="1"/>
  <c r="BP916" i="9" s="1"/>
  <c r="CO865" i="9" a="1"/>
  <c r="CO865" i="9" s="1"/>
  <c r="CN865" i="9" a="1"/>
  <c r="CN865" i="9" s="1"/>
  <c r="CO814" i="9" a="1"/>
  <c r="CO814" i="9" s="1"/>
  <c r="BL948" i="9" a="1"/>
  <c r="BL948" i="9" s="1"/>
  <c r="BU955" i="9" a="1"/>
  <c r="BU955" i="9" s="1"/>
  <c r="BU851" i="9" a="1"/>
  <c r="BU851" i="9" s="1"/>
  <c r="BT851" i="9" a="1"/>
  <c r="BT851" i="9" s="1"/>
  <c r="CJ908" i="9" a="1"/>
  <c r="CJ908" i="9" s="1"/>
  <c r="CO827" i="9" a="1"/>
  <c r="CO827" i="9" s="1"/>
  <c r="CN827" i="9" a="1"/>
  <c r="CN827" i="9" s="1"/>
  <c r="BU878" i="9" a="1"/>
  <c r="BU878" i="9" s="1"/>
  <c r="BU841" i="9" a="1"/>
  <c r="BU841" i="9" s="1"/>
  <c r="CO859" i="9" a="1"/>
  <c r="CO859" i="9" s="1"/>
  <c r="CN859" i="9" a="1"/>
  <c r="CN859" i="9" s="1"/>
  <c r="BP814" i="9" a="1"/>
  <c r="BP814" i="9" s="1"/>
  <c r="CO888" i="9" a="1"/>
  <c r="CO888" i="9" s="1"/>
  <c r="CN977" i="9" a="1"/>
  <c r="CN977" i="9" s="1"/>
  <c r="CO977" i="9" a="1"/>
  <c r="CO977" i="9" s="1"/>
  <c r="BU909" i="9" a="1"/>
  <c r="BU909" i="9" s="1"/>
  <c r="BU881" i="9" a="1"/>
  <c r="BU881" i="9" s="1"/>
  <c r="CO868" i="9" a="1"/>
  <c r="CO868" i="9" s="1"/>
  <c r="CN868" i="9" a="1"/>
  <c r="CN868" i="9" s="1"/>
  <c r="BU801" i="9" a="1"/>
  <c r="BU801" i="9" s="1"/>
  <c r="BU857" i="9" a="1"/>
  <c r="BU857" i="9" s="1"/>
  <c r="BT857" i="9" a="1"/>
  <c r="BT857" i="9" s="1"/>
  <c r="CN995" i="9" a="1"/>
  <c r="CN995" i="9" s="1"/>
  <c r="CO995" i="9" a="1"/>
  <c r="CO995" i="9" s="1"/>
  <c r="CN1022" i="9" a="1"/>
  <c r="CN1022" i="9" s="1"/>
  <c r="CO1022" i="9" a="1"/>
  <c r="CO1022" i="9" s="1"/>
  <c r="BU982" i="9" a="1"/>
  <c r="BU982" i="9" s="1"/>
  <c r="BU941" i="9" a="1"/>
  <c r="BU941" i="9" s="1"/>
  <c r="BL989" i="9" a="1"/>
  <c r="BL989" i="9" s="1"/>
  <c r="BT964" i="9" a="1"/>
  <c r="BT964" i="9" s="1"/>
  <c r="BU964" i="9" a="1"/>
  <c r="BU964" i="9" s="1"/>
  <c r="CJ997" i="9" a="1"/>
  <c r="CJ997" i="9" s="1"/>
  <c r="BL870" i="9" a="1"/>
  <c r="BL870" i="9" s="1"/>
  <c r="BU981" i="9" a="1"/>
  <c r="BU981" i="9" s="1"/>
  <c r="BU1003" i="9" a="1"/>
  <c r="BU1003" i="9" s="1"/>
  <c r="BU931" i="9" a="1"/>
  <c r="BU931" i="9" s="1"/>
  <c r="CF881" i="9" a="1"/>
  <c r="CF881" i="9" s="1"/>
  <c r="BU888" i="9" a="1"/>
  <c r="BU888" i="9" s="1"/>
  <c r="BT888" i="9" a="1"/>
  <c r="BT888" i="9" s="1"/>
  <c r="BT1006" i="9" a="1"/>
  <c r="BT1006" i="9" s="1"/>
  <c r="BU1006" i="9" a="1"/>
  <c r="BU1006" i="9" s="1"/>
  <c r="CN899" i="9" a="1"/>
  <c r="CN899" i="9" s="1"/>
  <c r="CO899" i="9" a="1"/>
  <c r="CO899" i="9" s="1"/>
  <c r="BU868" i="9" a="1"/>
  <c r="BU868" i="9" s="1"/>
  <c r="CO989" i="9" a="1"/>
  <c r="CO989" i="9" s="1"/>
  <c r="CN989" i="9" a="1"/>
  <c r="CN989" i="9" s="1"/>
  <c r="CJ1011" i="9" a="1"/>
  <c r="CJ1011" i="9" s="1"/>
  <c r="BL865" i="9" a="1"/>
  <c r="BL865" i="9" s="1"/>
  <c r="CJ798" i="9" a="1"/>
  <c r="CJ798" i="9" s="1"/>
  <c r="CN851" i="9" a="1"/>
  <c r="CN851" i="9" s="1"/>
  <c r="CO851" i="9" a="1"/>
  <c r="CO851" i="9" s="1"/>
  <c r="BT790" i="9" a="1"/>
  <c r="BT790" i="9" s="1"/>
  <c r="BU790" i="9" a="1"/>
  <c r="BU790" i="9" s="1"/>
  <c r="CN836" i="9" a="1"/>
  <c r="CN836" i="9" s="1"/>
  <c r="CO836" i="9" a="1"/>
  <c r="CO836" i="9" s="1"/>
  <c r="CO788" i="9" a="1"/>
  <c r="CO788" i="9" s="1"/>
  <c r="BR998" i="9"/>
  <c r="BS998" i="9" s="1"/>
  <c r="BT954" i="9" a="1"/>
  <c r="BT954" i="9" s="1"/>
  <c r="BU954" i="9" a="1"/>
  <c r="BU954" i="9" s="1"/>
  <c r="BL874" i="9" a="1"/>
  <c r="BL874" i="9" s="1"/>
  <c r="BP874" i="9" a="1"/>
  <c r="BP874" i="9" s="1"/>
  <c r="CJ808" i="9" a="1"/>
  <c r="CJ808" i="9" s="1"/>
  <c r="CN808" i="9" a="1"/>
  <c r="CN808" i="9" s="1"/>
  <c r="BT768" i="9" a="1"/>
  <c r="BT768" i="9" s="1"/>
  <c r="BU768" i="9" a="1"/>
  <c r="BU768" i="9" s="1"/>
  <c r="BL818" i="9" a="1"/>
  <c r="BL818" i="9" s="1"/>
  <c r="CN951" i="9" a="1"/>
  <c r="CN951" i="9" s="1"/>
  <c r="CO951" i="9" a="1"/>
  <c r="CO951" i="9" s="1"/>
  <c r="BR932" i="9"/>
  <c r="BS932" i="9" s="1"/>
  <c r="CN890" i="9" a="1"/>
  <c r="CN890" i="9" s="1"/>
  <c r="CO890" i="9" a="1"/>
  <c r="CO890" i="9" s="1"/>
  <c r="CB893" i="9" a="1"/>
  <c r="CB893" i="9" s="1"/>
  <c r="CF893" i="9" a="1"/>
  <c r="CF893" i="9" s="1"/>
  <c r="BT814" i="9" a="1"/>
  <c r="BT814" i="9" s="1"/>
  <c r="BU814" i="9" a="1"/>
  <c r="BU814" i="9" s="1"/>
  <c r="BL821" i="9" a="1"/>
  <c r="BL821" i="9" s="1"/>
  <c r="CN760" i="9" a="1"/>
  <c r="CN760" i="9" s="1"/>
  <c r="CO760" i="9" a="1"/>
  <c r="CO760" i="9" s="1"/>
  <c r="CN979" i="9" a="1"/>
  <c r="CN979" i="9" s="1"/>
  <c r="CO979" i="9" a="1"/>
  <c r="CO979" i="9" s="1"/>
  <c r="BT978" i="9" a="1"/>
  <c r="BT978" i="9" s="1"/>
  <c r="BU978" i="9" a="1"/>
  <c r="BU978" i="9" s="1"/>
  <c r="CB983" i="9" a="1"/>
  <c r="CB983" i="9" s="1"/>
  <c r="CF983" i="9" a="1"/>
  <c r="CF983" i="9" s="1"/>
  <c r="CD997" i="9"/>
  <c r="CE997" i="9" s="1"/>
  <c r="CF997" i="9" s="1" a="1"/>
  <c r="CF997" i="9" s="1"/>
  <c r="BZ982" i="9"/>
  <c r="CA982" i="9" s="1"/>
  <c r="CB982" i="9" s="1" a="1"/>
  <c r="CB982" i="9" s="1"/>
  <c r="BJ982" i="9"/>
  <c r="BK982" i="9" s="1"/>
  <c r="BL982" i="9" s="1" a="1"/>
  <c r="BL982" i="9" s="1"/>
  <c r="CL982" i="9"/>
  <c r="CM982" i="9" s="1"/>
  <c r="CF959" i="9" a="1"/>
  <c r="CF959" i="9" s="1"/>
  <c r="CJ959" i="9" a="1"/>
  <c r="CJ959" i="9" s="1"/>
  <c r="BL914" i="9" a="1"/>
  <c r="BL914" i="9" s="1"/>
  <c r="BP914" i="9" a="1"/>
  <c r="BP914" i="9" s="1"/>
  <c r="BV914" i="9" s="1"/>
  <c r="Q914" i="9" s="1"/>
  <c r="CH897" i="9"/>
  <c r="CI897" i="9" s="1"/>
  <c r="CB752" i="9" a="1"/>
  <c r="CB752" i="9" s="1"/>
  <c r="CF752" i="9" a="1"/>
  <c r="CF752" i="9" s="1"/>
  <c r="BJ796" i="9"/>
  <c r="BK796" i="9" s="1"/>
  <c r="BZ796" i="9"/>
  <c r="CA796" i="9" s="1"/>
  <c r="CB796" i="9" s="1" a="1"/>
  <c r="CB796" i="9" s="1"/>
  <c r="BF796" i="9"/>
  <c r="BG796" i="9" s="1"/>
  <c r="BH796" i="9" s="1" a="1"/>
  <c r="BH796" i="9" s="1"/>
  <c r="CD796" i="9"/>
  <c r="CE796" i="9" s="1"/>
  <c r="BR796" i="9"/>
  <c r="BS796" i="9" s="1"/>
  <c r="CL817" i="9"/>
  <c r="CM817" i="9" s="1"/>
  <c r="BN817" i="9"/>
  <c r="BO817" i="9" s="1"/>
  <c r="BR817" i="9"/>
  <c r="BS817" i="9" s="1"/>
  <c r="BZ817" i="9"/>
  <c r="CA817" i="9" s="1"/>
  <c r="CB817" i="9" s="1" a="1"/>
  <c r="CB817" i="9" s="1"/>
  <c r="BF867" i="9"/>
  <c r="BG867" i="9" s="1"/>
  <c r="BH867" i="9" s="1" a="1"/>
  <c r="BH867" i="9" s="1"/>
  <c r="BZ867" i="9"/>
  <c r="CA867" i="9" s="1"/>
  <c r="CB867" i="9" s="1" a="1"/>
  <c r="CB867" i="9" s="1"/>
  <c r="CB905" i="9" a="1"/>
  <c r="CB905" i="9" s="1"/>
  <c r="CF905" i="9" a="1"/>
  <c r="CF905" i="9" s="1"/>
  <c r="BP967" i="9" a="1"/>
  <c r="BP967" i="9" s="1"/>
  <c r="CJ911" i="9" a="1"/>
  <c r="CJ911" i="9" s="1"/>
  <c r="CN911" i="9" a="1"/>
  <c r="CN911" i="9" s="1"/>
  <c r="BL938" i="9" a="1"/>
  <c r="BL938" i="9" s="1"/>
  <c r="BP938" i="9" a="1"/>
  <c r="BP938" i="9" s="1"/>
  <c r="BJ891" i="9"/>
  <c r="BK891" i="9" s="1"/>
  <c r="BZ891" i="9"/>
  <c r="CA891" i="9" s="1"/>
  <c r="CB891" i="9" s="1" a="1"/>
  <c r="CB891" i="9" s="1"/>
  <c r="BT898" i="9" a="1"/>
  <c r="BT898" i="9" s="1"/>
  <c r="BU898" i="9" a="1"/>
  <c r="BU898" i="9" s="1"/>
  <c r="BL885" i="9" a="1"/>
  <c r="BL885" i="9" s="1"/>
  <c r="CO986" i="9" a="1"/>
  <c r="CO986" i="9" s="1"/>
  <c r="CN986" i="9" a="1"/>
  <c r="CN986" i="9" s="1"/>
  <c r="BT1010" i="9" a="1"/>
  <c r="BT1010" i="9" s="1"/>
  <c r="BU1010" i="9" a="1"/>
  <c r="BU1010" i="9" s="1"/>
  <c r="BV1010" i="9" s="1"/>
  <c r="Q1010" i="9" s="1"/>
  <c r="CB1002" i="9" a="1"/>
  <c r="CB1002" i="9" s="1"/>
  <c r="CF1002" i="9" a="1"/>
  <c r="CF1002" i="9" s="1"/>
  <c r="CJ967" i="9" a="1"/>
  <c r="CJ967" i="9" s="1"/>
  <c r="BZ995" i="9"/>
  <c r="CA995" i="9" s="1"/>
  <c r="CB995" i="9" s="1" a="1"/>
  <c r="CB995" i="9" s="1"/>
  <c r="BF995" i="9"/>
  <c r="BG995" i="9" s="1"/>
  <c r="BH995" i="9" s="1" a="1"/>
  <c r="BH995" i="9" s="1"/>
  <c r="BN995" i="9"/>
  <c r="BO995" i="9" s="1"/>
  <c r="CN950" i="9" a="1"/>
  <c r="CN950" i="9" s="1"/>
  <c r="CO950" i="9" a="1"/>
  <c r="CO950" i="9" s="1"/>
  <c r="CP950" i="9" s="1"/>
  <c r="V950" i="9" s="1"/>
  <c r="CD1019" i="9"/>
  <c r="CE1019" i="9" s="1"/>
  <c r="CO942" i="9" a="1"/>
  <c r="CO942" i="9" s="1"/>
  <c r="CN942" i="9" a="1"/>
  <c r="CN942" i="9" s="1"/>
  <c r="CB954" i="9" a="1"/>
  <c r="CB954" i="9" s="1"/>
  <c r="CF954" i="9" a="1"/>
  <c r="CF954" i="9" s="1"/>
  <c r="BN947" i="9"/>
  <c r="BO947" i="9" s="1"/>
  <c r="BJ947" i="9"/>
  <c r="BK947" i="9" s="1"/>
  <c r="BF947" i="9"/>
  <c r="BG947" i="9" s="1"/>
  <c r="BH947" i="9" s="1" a="1"/>
  <c r="BH947" i="9" s="1"/>
  <c r="CD947" i="9"/>
  <c r="CE947" i="9" s="1"/>
  <c r="CF947" i="9" s="1" a="1"/>
  <c r="CF947" i="9" s="1"/>
  <c r="BR947" i="9"/>
  <c r="BS947" i="9" s="1"/>
  <c r="BR834" i="9"/>
  <c r="BS834" i="9" s="1"/>
  <c r="BZ873" i="9"/>
  <c r="CA873" i="9" s="1"/>
  <c r="CB873" i="9" s="1" a="1"/>
  <c r="CB873" i="9" s="1"/>
  <c r="BU856" i="9" a="1"/>
  <c r="BU856" i="9" s="1"/>
  <c r="BT856" i="9" a="1"/>
  <c r="BT856" i="9" s="1"/>
  <c r="CD793" i="9"/>
  <c r="CE793" i="9" s="1"/>
  <c r="CD867" i="9"/>
  <c r="CE867" i="9" s="1"/>
  <c r="CF867" i="9" s="1" a="1"/>
  <c r="CF867" i="9" s="1"/>
  <c r="BN796" i="9"/>
  <c r="BO796" i="9" s="1"/>
  <c r="CB808" i="9" a="1"/>
  <c r="CB808" i="9" s="1"/>
  <c r="CF808" i="9" a="1"/>
  <c r="CF808" i="9" s="1"/>
  <c r="BZ827" i="9"/>
  <c r="CA827" i="9" s="1"/>
  <c r="CB827" i="9" s="1" a="1"/>
  <c r="CB827" i="9" s="1"/>
  <c r="BF827" i="9"/>
  <c r="BG827" i="9" s="1"/>
  <c r="BH827" i="9" s="1" a="1"/>
  <c r="BH827" i="9" s="1"/>
  <c r="CL798" i="9"/>
  <c r="CM798" i="9" s="1"/>
  <c r="BR798" i="9"/>
  <c r="BS798" i="9" s="1"/>
  <c r="BZ735" i="9"/>
  <c r="CA735" i="9" s="1"/>
  <c r="CB735" i="9" s="1" a="1"/>
  <c r="CB735" i="9" s="1"/>
  <c r="BR735" i="9"/>
  <c r="BS735" i="9" s="1"/>
  <c r="CL735" i="9"/>
  <c r="CM735" i="9" s="1"/>
  <c r="CD735" i="9"/>
  <c r="CE735" i="9" s="1"/>
  <c r="BJ735" i="9"/>
  <c r="BK735" i="9" s="1"/>
  <c r="BF735" i="9"/>
  <c r="BG735" i="9" s="1"/>
  <c r="BH735" i="9" s="1" a="1"/>
  <c r="BH735" i="9" s="1"/>
  <c r="CH735" i="9"/>
  <c r="CI735" i="9" s="1"/>
  <c r="CN991" i="9" a="1"/>
  <c r="CN991" i="9" s="1"/>
  <c r="CO991" i="9" a="1"/>
  <c r="CO991" i="9" s="1"/>
  <c r="BL935" i="9" a="1"/>
  <c r="BL935" i="9" s="1"/>
  <c r="BP935" i="9" a="1"/>
  <c r="BP935" i="9" s="1"/>
  <c r="CH964" i="9"/>
  <c r="CI964" i="9" s="1"/>
  <c r="CL964" i="9"/>
  <c r="CM964" i="9" s="1"/>
  <c r="BF933" i="9"/>
  <c r="BG933" i="9" s="1"/>
  <c r="BH933" i="9" s="1" a="1"/>
  <c r="BH933" i="9" s="1"/>
  <c r="BZ955" i="9"/>
  <c r="CA955" i="9" s="1"/>
  <c r="CB955" i="9" s="1" a="1"/>
  <c r="CB955" i="9" s="1"/>
  <c r="BT869" i="9" a="1"/>
  <c r="BT869" i="9" s="1"/>
  <c r="BU869" i="9" a="1"/>
  <c r="BU869" i="9" s="1"/>
  <c r="BN924" i="9"/>
  <c r="BO924" i="9" s="1"/>
  <c r="CL933" i="9"/>
  <c r="CM933" i="9" s="1"/>
  <c r="BJ790" i="9"/>
  <c r="BK790" i="9" s="1"/>
  <c r="CL796" i="9"/>
  <c r="CM796" i="9" s="1"/>
  <c r="CJ841" i="9" a="1"/>
  <c r="CJ841" i="9" s="1"/>
  <c r="BR833" i="9"/>
  <c r="BS833" i="9" s="1"/>
  <c r="BT781" i="9" a="1"/>
  <c r="BT781" i="9" s="1"/>
  <c r="BU781" i="9" a="1"/>
  <c r="BU781" i="9" s="1"/>
  <c r="BR1013" i="9"/>
  <c r="BS1013" i="9" s="1"/>
  <c r="BL984" i="9" a="1"/>
  <c r="BL984" i="9" s="1"/>
  <c r="BP984" i="9" a="1"/>
  <c r="BP984" i="9" s="1"/>
  <c r="BL958" i="9" a="1"/>
  <c r="BL958" i="9" s="1"/>
  <c r="CD817" i="9"/>
  <c r="CE817" i="9" s="1"/>
  <c r="CF817" i="9" s="1" a="1"/>
  <c r="CF817" i="9" s="1"/>
  <c r="BH869" i="9" a="1"/>
  <c r="BH869" i="9" s="1"/>
  <c r="BL869" i="9" a="1"/>
  <c r="BL869" i="9" s="1"/>
  <c r="BJ842" i="9"/>
  <c r="BK842" i="9" s="1"/>
  <c r="BN843" i="9"/>
  <c r="BO843" i="9" s="1"/>
  <c r="BP1000" i="9" a="1"/>
  <c r="BP1000" i="9" s="1"/>
  <c r="BT970" i="9" a="1"/>
  <c r="BT970" i="9" s="1"/>
  <c r="BU970" i="9" a="1"/>
  <c r="BU970" i="9" s="1"/>
  <c r="BL910" i="9" a="1"/>
  <c r="BL910" i="9" s="1"/>
  <c r="CH917" i="9"/>
  <c r="CI917" i="9" s="1"/>
  <c r="CJ917" i="9" s="1" a="1"/>
  <c r="CJ917" i="9" s="1"/>
  <c r="BN804" i="9"/>
  <c r="BO804" i="9" s="1"/>
  <c r="BP804" i="9" s="1" a="1"/>
  <c r="BP804" i="9" s="1"/>
  <c r="CF840" i="9" a="1"/>
  <c r="CF840" i="9" s="1"/>
  <c r="BJ753" i="9"/>
  <c r="BK753" i="9" s="1"/>
  <c r="BR753" i="9"/>
  <c r="BS753" i="9" s="1"/>
  <c r="BF753" i="9"/>
  <c r="BG753" i="9" s="1"/>
  <c r="BH753" i="9" s="1" a="1"/>
  <c r="BH753" i="9" s="1"/>
  <c r="CL753" i="9"/>
  <c r="CM753" i="9" s="1"/>
  <c r="CH753" i="9"/>
  <c r="CI753" i="9" s="1"/>
  <c r="CJ753" i="9" s="1" a="1"/>
  <c r="CJ753" i="9" s="1"/>
  <c r="BZ753" i="9"/>
  <c r="CA753" i="9" s="1"/>
  <c r="CB753" i="9" s="1" a="1"/>
  <c r="CB753" i="9" s="1"/>
  <c r="CD753" i="9"/>
  <c r="CE753" i="9" s="1"/>
  <c r="CN953" i="9" a="1"/>
  <c r="CN953" i="9" s="1"/>
  <c r="CO656" i="9" a="1"/>
  <c r="CO656" i="9" s="1"/>
  <c r="CN714" i="9" a="1"/>
  <c r="CN714" i="9" s="1"/>
  <c r="CO714" i="9" a="1"/>
  <c r="CO714" i="9" s="1"/>
  <c r="CN700" i="9" a="1"/>
  <c r="CN700" i="9" s="1"/>
  <c r="CO700" i="9" a="1"/>
  <c r="CO700" i="9" s="1"/>
  <c r="BP622" i="9" a="1"/>
  <c r="BP622" i="9" s="1"/>
  <c r="CO526" i="9" a="1"/>
  <c r="CO526" i="9" s="1"/>
  <c r="CO518" i="9" a="1"/>
  <c r="CO518" i="9" s="1"/>
  <c r="CJ628" i="9" a="1"/>
  <c r="CJ628" i="9" s="1"/>
  <c r="CN579" i="9" a="1"/>
  <c r="CN579" i="9" s="1"/>
  <c r="CO579" i="9" a="1"/>
  <c r="CO579" i="9" s="1"/>
  <c r="CO681" i="9" a="1"/>
  <c r="CO681" i="9" s="1"/>
  <c r="BL642" i="9" a="1"/>
  <c r="BL642" i="9" s="1"/>
  <c r="CO548" i="9" a="1"/>
  <c r="CO548" i="9" s="1"/>
  <c r="CN548" i="9" a="1"/>
  <c r="CN548" i="9" s="1"/>
  <c r="CJ716" i="9" a="1"/>
  <c r="CJ716" i="9" s="1"/>
  <c r="BL608" i="9" a="1"/>
  <c r="BL608" i="9" s="1"/>
  <c r="BT650" i="9" a="1"/>
  <c r="BT650" i="9" s="1"/>
  <c r="BU650" i="9" a="1"/>
  <c r="BU650" i="9" s="1"/>
  <c r="CO692" i="9" a="1"/>
  <c r="CO692" i="9" s="1"/>
  <c r="CN692" i="9" a="1"/>
  <c r="CN692" i="9" s="1"/>
  <c r="CJ582" i="9" a="1"/>
  <c r="CJ582" i="9" s="1"/>
  <c r="BT507" i="9" a="1"/>
  <c r="BT507" i="9" s="1"/>
  <c r="BU507" i="9" a="1"/>
  <c r="BU507" i="9" s="1"/>
  <c r="CO511" i="9" a="1"/>
  <c r="CO511" i="9" s="1"/>
  <c r="CN511" i="9" a="1"/>
  <c r="CN511" i="9" s="1"/>
  <c r="BL707" i="9" a="1"/>
  <c r="BL707" i="9" s="1"/>
  <c r="BL629" i="9" a="1"/>
  <c r="BL629" i="9" s="1"/>
  <c r="CF650" i="9" a="1"/>
  <c r="CF650" i="9" s="1"/>
  <c r="BP582" i="9" a="1"/>
  <c r="BP582" i="9" s="1"/>
  <c r="CJ555" i="9" a="1"/>
  <c r="CJ555" i="9" s="1"/>
  <c r="CJ502" i="9" a="1"/>
  <c r="CJ502" i="9" s="1"/>
  <c r="CF476" i="9" a="1"/>
  <c r="CF476" i="9" s="1"/>
  <c r="BU448" i="9" a="1"/>
  <c r="BU448" i="9" s="1"/>
  <c r="BU476" i="9" a="1"/>
  <c r="BU476" i="9" s="1"/>
  <c r="CN399" i="9" a="1"/>
  <c r="CN399" i="9" s="1"/>
  <c r="CO399" i="9" a="1"/>
  <c r="CO399" i="9" s="1"/>
  <c r="BU348" i="9" a="1"/>
  <c r="BU348" i="9" s="1"/>
  <c r="BT243" i="9" a="1"/>
  <c r="BT243" i="9" s="1"/>
  <c r="BU243" i="9" a="1"/>
  <c r="BU243" i="9" s="1"/>
  <c r="BT216" i="9" a="1"/>
  <c r="BT216" i="9" s="1"/>
  <c r="BU216" i="9" a="1"/>
  <c r="BU216" i="9" s="1"/>
  <c r="CO473" i="9" a="1"/>
  <c r="CO473" i="9" s="1"/>
  <c r="CN473" i="9" a="1"/>
  <c r="CN473" i="9" s="1"/>
  <c r="CJ472" i="9" a="1"/>
  <c r="CJ472" i="9" s="1"/>
  <c r="BT403" i="9" a="1"/>
  <c r="BT403" i="9" s="1"/>
  <c r="BU403" i="9" a="1"/>
  <c r="BU403" i="9" s="1"/>
  <c r="CO253" i="9" a="1"/>
  <c r="CO253" i="9" s="1"/>
  <c r="BT408" i="9" a="1"/>
  <c r="BT408" i="9" s="1"/>
  <c r="BU408" i="9" a="1"/>
  <c r="BU408" i="9" s="1"/>
  <c r="CJ429" i="9" a="1"/>
  <c r="CJ429" i="9" s="1"/>
  <c r="CP429" i="9" s="1"/>
  <c r="V429" i="9" s="1"/>
  <c r="BT349" i="9" a="1"/>
  <c r="BT349" i="9" s="1"/>
  <c r="BU349" i="9" a="1"/>
  <c r="BU349" i="9" s="1"/>
  <c r="BV349" i="9" s="1"/>
  <c r="Q349" i="9" s="1"/>
  <c r="CO337" i="9" a="1"/>
  <c r="CO337" i="9" s="1"/>
  <c r="CO266" i="9" a="1"/>
  <c r="CO266" i="9" s="1"/>
  <c r="CO203" i="9" a="1"/>
  <c r="CO203" i="9" s="1"/>
  <c r="CO190" i="9" a="1"/>
  <c r="CO190" i="9" s="1"/>
  <c r="CN190" i="9" a="1"/>
  <c r="CN190" i="9" s="1"/>
  <c r="CO365" i="9" a="1"/>
  <c r="CO365" i="9" s="1"/>
  <c r="BU304" i="9" a="1"/>
  <c r="BU304" i="9" s="1"/>
  <c r="CN257" i="9" a="1"/>
  <c r="CN257" i="9" s="1"/>
  <c r="CP257" i="9" s="1"/>
  <c r="V257" i="9" s="1"/>
  <c r="CO257" i="9" a="1"/>
  <c r="CO257" i="9" s="1"/>
  <c r="BU136" i="9" a="1"/>
  <c r="BU136" i="9" s="1"/>
  <c r="BL476" i="9" a="1"/>
  <c r="BL476" i="9" s="1"/>
  <c r="CJ246" i="9" a="1"/>
  <c r="CJ246" i="9" s="1"/>
  <c r="CO211" i="9" a="1"/>
  <c r="CO211" i="9" s="1"/>
  <c r="CN211" i="9" a="1"/>
  <c r="CN211" i="9" s="1"/>
  <c r="BU310" i="9" a="1"/>
  <c r="BU310" i="9" s="1"/>
  <c r="BT310" i="9" a="1"/>
  <c r="BT310" i="9" s="1"/>
  <c r="BL211" i="9" a="1"/>
  <c r="BL211" i="9" s="1"/>
  <c r="CJ202" i="9" a="1"/>
  <c r="CJ202" i="9" s="1"/>
  <c r="CO152" i="9" a="1"/>
  <c r="CO152" i="9" s="1"/>
  <c r="CF127" i="9" a="1"/>
  <c r="CF127" i="9" s="1"/>
  <c r="CO880" i="9" a="1"/>
  <c r="CO880" i="9" s="1"/>
  <c r="CN880" i="9" a="1"/>
  <c r="CN880" i="9" s="1"/>
  <c r="CN816" i="9" a="1"/>
  <c r="CN816" i="9" s="1"/>
  <c r="CO816" i="9" a="1"/>
  <c r="CO816" i="9" s="1"/>
  <c r="CD854" i="9"/>
  <c r="CE854" i="9" s="1"/>
  <c r="CH854" i="9"/>
  <c r="CI854" i="9" s="1"/>
  <c r="BZ854" i="9"/>
  <c r="CA854" i="9" s="1"/>
  <c r="CB854" i="9" s="1" a="1"/>
  <c r="CB854" i="9" s="1"/>
  <c r="BR854" i="9"/>
  <c r="BS854" i="9" s="1"/>
  <c r="CL854" i="9"/>
  <c r="CM854" i="9" s="1"/>
  <c r="BJ854" i="9"/>
  <c r="BK854" i="9" s="1"/>
  <c r="BF854" i="9"/>
  <c r="BG854" i="9" s="1"/>
  <c r="BH854" i="9" s="1" a="1"/>
  <c r="BH854" i="9" s="1"/>
  <c r="BP809" i="9" a="1"/>
  <c r="BP809" i="9" s="1"/>
  <c r="BV809" i="9" s="1"/>
  <c r="Q809" i="9" s="1"/>
  <c r="CN818" i="9" a="1"/>
  <c r="CN818" i="9" s="1"/>
  <c r="CO818" i="9" a="1"/>
  <c r="CO818" i="9" s="1"/>
  <c r="BT765" i="9" a="1"/>
  <c r="BT765" i="9" s="1"/>
  <c r="BU765" i="9" a="1"/>
  <c r="BU765" i="9" s="1"/>
  <c r="CN922" i="9" a="1"/>
  <c r="CN922" i="9" s="1"/>
  <c r="CO922" i="9" a="1"/>
  <c r="CO922" i="9" s="1"/>
  <c r="BN939" i="9"/>
  <c r="BO939" i="9" s="1"/>
  <c r="BJ939" i="9"/>
  <c r="BK939" i="9" s="1"/>
  <c r="BF939" i="9"/>
  <c r="BG939" i="9" s="1"/>
  <c r="BH939" i="9" s="1" a="1"/>
  <c r="BH939" i="9" s="1"/>
  <c r="CL939" i="9"/>
  <c r="CM939" i="9" s="1"/>
  <c r="BP890" i="9" a="1"/>
  <c r="BP890" i="9" s="1"/>
  <c r="BT890" i="9" a="1"/>
  <c r="BT890" i="9" s="1"/>
  <c r="BJ925" i="9"/>
  <c r="BK925" i="9" s="1"/>
  <c r="CD925" i="9"/>
  <c r="CE925" i="9" s="1"/>
  <c r="CL925" i="9"/>
  <c r="CM925" i="9" s="1"/>
  <c r="CO874" i="9" a="1"/>
  <c r="CO874" i="9" s="1"/>
  <c r="CN874" i="9" a="1"/>
  <c r="CN874" i="9" s="1"/>
  <c r="BT874" i="9" a="1"/>
  <c r="BT874" i="9" s="1"/>
  <c r="BU874" i="9" a="1"/>
  <c r="BU874" i="9" s="1"/>
  <c r="CF822" i="9" a="1"/>
  <c r="CF822" i="9" s="1"/>
  <c r="BT757" i="9" a="1"/>
  <c r="BT757" i="9" s="1"/>
  <c r="BU757" i="9" a="1"/>
  <c r="BU757" i="9" s="1"/>
  <c r="BV757" i="9" s="1"/>
  <c r="Q757" i="9" s="1"/>
  <c r="BU853" i="9" a="1"/>
  <c r="BU853" i="9" s="1"/>
  <c r="BT853" i="9" a="1"/>
  <c r="BT853" i="9" s="1"/>
  <c r="BU795" i="9" a="1"/>
  <c r="BU795" i="9" s="1"/>
  <c r="BT795" i="9" a="1"/>
  <c r="BT795" i="9" s="1"/>
  <c r="CD894" i="9"/>
  <c r="CE894" i="9" s="1"/>
  <c r="CF894" i="9" s="1" a="1"/>
  <c r="CF894" i="9" s="1"/>
  <c r="BR894" i="9"/>
  <c r="BS894" i="9" s="1"/>
  <c r="BJ835" i="9"/>
  <c r="BK835" i="9" s="1"/>
  <c r="BF835" i="9"/>
  <c r="BG835" i="9" s="1"/>
  <c r="BH835" i="9" s="1" a="1"/>
  <c r="BH835" i="9" s="1"/>
  <c r="BZ835" i="9"/>
  <c r="CA835" i="9" s="1"/>
  <c r="CB835" i="9" s="1" a="1"/>
  <c r="CB835" i="9" s="1"/>
  <c r="BZ777" i="9"/>
  <c r="CA777" i="9" s="1"/>
  <c r="CB777" i="9" s="1" a="1"/>
  <c r="CB777" i="9" s="1"/>
  <c r="BR777" i="9"/>
  <c r="BS777" i="9" s="1"/>
  <c r="BJ777" i="9"/>
  <c r="BK777" i="9" s="1"/>
  <c r="CD777" i="9"/>
  <c r="CE777" i="9" s="1"/>
  <c r="CL777" i="9"/>
  <c r="CM777" i="9" s="1"/>
  <c r="CB1008" i="9" a="1"/>
  <c r="CB1008" i="9" s="1"/>
  <c r="CF1008" i="9" a="1"/>
  <c r="CF1008" i="9" s="1"/>
  <c r="BL1022" i="9" a="1"/>
  <c r="BL1022" i="9" s="1"/>
  <c r="CF989" i="9" a="1"/>
  <c r="CF989" i="9" s="1"/>
  <c r="CJ936" i="9" a="1"/>
  <c r="CJ936" i="9" s="1"/>
  <c r="CN936" i="9" a="1"/>
  <c r="CN936" i="9" s="1"/>
  <c r="CO898" i="9" a="1"/>
  <c r="CO898" i="9" s="1"/>
  <c r="CN898" i="9" a="1"/>
  <c r="CN898" i="9" s="1"/>
  <c r="CO931" i="9" a="1"/>
  <c r="CO931" i="9" s="1"/>
  <c r="CN931" i="9" a="1"/>
  <c r="CN931" i="9" s="1"/>
  <c r="CF845" i="9" a="1"/>
  <c r="CF845" i="9" s="1"/>
  <c r="CJ845" i="9" a="1"/>
  <c r="CJ845" i="9" s="1"/>
  <c r="CN896" i="9" a="1"/>
  <c r="CN896" i="9" s="1"/>
  <c r="CO896" i="9" a="1"/>
  <c r="CO896" i="9" s="1"/>
  <c r="BU892" i="9" a="1"/>
  <c r="BU892" i="9" s="1"/>
  <c r="CN746" i="9" a="1"/>
  <c r="CN746" i="9" s="1"/>
  <c r="CO746" i="9" a="1"/>
  <c r="CO746" i="9" s="1"/>
  <c r="BF849" i="9"/>
  <c r="BG849" i="9" s="1"/>
  <c r="BH849" i="9" s="1" a="1"/>
  <c r="BH849" i="9" s="1"/>
  <c r="BZ849" i="9"/>
  <c r="CA849" i="9" s="1"/>
  <c r="CB849" i="9" s="1" a="1"/>
  <c r="CB849" i="9" s="1"/>
  <c r="CO878" i="9" a="1"/>
  <c r="CO878" i="9" s="1"/>
  <c r="CN878" i="9" a="1"/>
  <c r="CN878" i="9" s="1"/>
  <c r="BZ824" i="9"/>
  <c r="CA824" i="9" s="1"/>
  <c r="CB824" i="9" s="1" a="1"/>
  <c r="CB824" i="9" s="1"/>
  <c r="BF824" i="9"/>
  <c r="BG824" i="9" s="1"/>
  <c r="BH824" i="9" s="1" a="1"/>
  <c r="BH824" i="9" s="1"/>
  <c r="BR824" i="9"/>
  <c r="BS824" i="9" s="1"/>
  <c r="CB1009" i="9" a="1"/>
  <c r="CB1009" i="9" s="1"/>
  <c r="CF1009" i="9" a="1"/>
  <c r="CF1009" i="9" s="1"/>
  <c r="CJ977" i="9" a="1"/>
  <c r="CJ977" i="9" s="1"/>
  <c r="BP977" i="9" a="1"/>
  <c r="BP977" i="9" s="1"/>
  <c r="CF935" i="9" a="1"/>
  <c r="CF935" i="9" s="1"/>
  <c r="CJ935" i="9" a="1"/>
  <c r="CJ935" i="9" s="1"/>
  <c r="CD987" i="9"/>
  <c r="CE987" i="9" s="1"/>
  <c r="CF907" i="9" a="1"/>
  <c r="CF907" i="9" s="1"/>
  <c r="CO829" i="9" a="1"/>
  <c r="CO829" i="9" s="1"/>
  <c r="CN829" i="9" a="1"/>
  <c r="CN829" i="9" s="1"/>
  <c r="CP829" i="9" s="1"/>
  <c r="V829" i="9" s="1"/>
  <c r="BU845" i="9" a="1"/>
  <c r="BU845" i="9" s="1"/>
  <c r="BT845" i="9" a="1"/>
  <c r="BT845" i="9" s="1"/>
  <c r="BL784" i="9" a="1"/>
  <c r="BL784" i="9" s="1"/>
  <c r="BP784" i="9" a="1"/>
  <c r="BP784" i="9" s="1"/>
  <c r="BH808" i="9" a="1"/>
  <c r="BH808" i="9" s="1"/>
  <c r="BL808" i="9" a="1"/>
  <c r="BL808" i="9" s="1"/>
  <c r="CB988" i="9" a="1"/>
  <c r="CB988" i="9" s="1"/>
  <c r="CF988" i="9" a="1"/>
  <c r="CF988" i="9" s="1"/>
  <c r="BP905" i="9" a="1"/>
  <c r="BP905" i="9" s="1"/>
  <c r="BT905" i="9" a="1"/>
  <c r="BT905" i="9" s="1"/>
  <c r="BZ925" i="9"/>
  <c r="CA925" i="9" s="1"/>
  <c r="CB925" i="9" s="1" a="1"/>
  <c r="CB925" i="9" s="1"/>
  <c r="BL964" i="9" a="1"/>
  <c r="BL964" i="9" s="1"/>
  <c r="BV964" i="9" s="1"/>
  <c r="Q964" i="9" s="1"/>
  <c r="CJ913" i="9" a="1"/>
  <c r="CJ913" i="9" s="1"/>
  <c r="CN913" i="9" a="1"/>
  <c r="CN913" i="9" s="1"/>
  <c r="BF1019" i="9"/>
  <c r="BG1019" i="9" s="1"/>
  <c r="BH1019" i="9" s="1" a="1"/>
  <c r="BH1019" i="9" s="1"/>
  <c r="BF963" i="9"/>
  <c r="BG963" i="9" s="1"/>
  <c r="BH963" i="9" s="1" a="1"/>
  <c r="BH963" i="9" s="1"/>
  <c r="BJ963" i="9"/>
  <c r="BK963" i="9" s="1"/>
  <c r="CH963" i="9"/>
  <c r="CI963" i="9" s="1"/>
  <c r="CJ963" i="9" s="1" a="1"/>
  <c r="CJ963" i="9" s="1"/>
  <c r="CB877" i="9" a="1"/>
  <c r="CB877" i="9" s="1"/>
  <c r="CF877" i="9" a="1"/>
  <c r="CF877" i="9" s="1"/>
  <c r="BR917" i="9"/>
  <c r="BS917" i="9" s="1"/>
  <c r="CD826" i="9"/>
  <c r="CE826" i="9" s="1"/>
  <c r="BF826" i="9"/>
  <c r="BG826" i="9" s="1"/>
  <c r="BH826" i="9" s="1" a="1"/>
  <c r="BH826" i="9" s="1"/>
  <c r="BL804" i="9" a="1"/>
  <c r="BL804" i="9" s="1"/>
  <c r="BT794" i="9" a="1"/>
  <c r="BT794" i="9" s="1"/>
  <c r="BU794" i="9" a="1"/>
  <c r="BU794" i="9" s="1"/>
  <c r="CN762" i="9" a="1"/>
  <c r="CN762" i="9" s="1"/>
  <c r="CO762" i="9" a="1"/>
  <c r="CO762" i="9" s="1"/>
  <c r="CD886" i="9"/>
  <c r="CE886" i="9" s="1"/>
  <c r="BR886" i="9"/>
  <c r="BS886" i="9" s="1"/>
  <c r="CN795" i="9" a="1"/>
  <c r="CN795" i="9" s="1"/>
  <c r="CO795" i="9" a="1"/>
  <c r="CO795" i="9" s="1"/>
  <c r="BU773" i="9" a="1"/>
  <c r="BU773" i="9" s="1"/>
  <c r="BT773" i="9" a="1"/>
  <c r="BT773" i="9" s="1"/>
  <c r="BJ1006" i="9"/>
  <c r="BK1006" i="9" s="1"/>
  <c r="BP1006" i="9" s="1" a="1"/>
  <c r="BP1006" i="9" s="1"/>
  <c r="BZ1006" i="9"/>
  <c r="CA1006" i="9" s="1"/>
  <c r="CB1006" i="9" s="1" a="1"/>
  <c r="CB1006" i="9" s="1"/>
  <c r="BL957" i="9" a="1"/>
  <c r="BL957" i="9" s="1"/>
  <c r="CJ899" i="9" a="1"/>
  <c r="CJ899" i="9" s="1"/>
  <c r="CF861" i="9" a="1"/>
  <c r="CF861" i="9" s="1"/>
  <c r="CF882" i="9" a="1"/>
  <c r="CF882" i="9" s="1"/>
  <c r="BU864" i="9" a="1"/>
  <c r="BU864" i="9" s="1"/>
  <c r="BT864" i="9" a="1"/>
  <c r="BT864" i="9" s="1"/>
  <c r="BH771" i="9" a="1"/>
  <c r="BH771" i="9" s="1"/>
  <c r="BL771" i="9" a="1"/>
  <c r="BL771" i="9" s="1"/>
  <c r="BU927" i="9" a="1"/>
  <c r="BU927" i="9" s="1"/>
  <c r="BT927" i="9" a="1"/>
  <c r="BT927" i="9" s="1"/>
  <c r="CH915" i="9"/>
  <c r="CI915" i="9" s="1"/>
  <c r="BJ826" i="9"/>
  <c r="BK826" i="9" s="1"/>
  <c r="BP746" i="9" a="1"/>
  <c r="BP746" i="9" s="1"/>
  <c r="BL822" i="9" a="1"/>
  <c r="BL822" i="9" s="1"/>
  <c r="CB880" i="9" a="1"/>
  <c r="CB880" i="9" s="1"/>
  <c r="CF880" i="9" a="1"/>
  <c r="CF880" i="9" s="1"/>
  <c r="BL851" i="9" a="1"/>
  <c r="BL851" i="9" s="1"/>
  <c r="BV851" i="9" s="1"/>
  <c r="Q851" i="9" s="1"/>
  <c r="BV820" i="9"/>
  <c r="Q820" i="9" s="1"/>
  <c r="BT690" i="9" a="1"/>
  <c r="BT690" i="9" s="1"/>
  <c r="BV690" i="9" s="1"/>
  <c r="Q690" i="9" s="1"/>
  <c r="BU690" i="9" a="1"/>
  <c r="BU690" i="9" s="1"/>
  <c r="CO716" i="9" a="1"/>
  <c r="CO716" i="9" s="1"/>
  <c r="CN716" i="9" a="1"/>
  <c r="CN716" i="9" s="1"/>
  <c r="CO603" i="9" a="1"/>
  <c r="CO603" i="9" s="1"/>
  <c r="CN603" i="9" a="1"/>
  <c r="CN603" i="9" s="1"/>
  <c r="BT629" i="9" a="1"/>
  <c r="BT629" i="9" s="1"/>
  <c r="BU629" i="9" a="1"/>
  <c r="BU629" i="9" s="1"/>
  <c r="CJ532" i="9" a="1"/>
  <c r="CJ532" i="9" s="1"/>
  <c r="BL434" i="9" a="1"/>
  <c r="BL434" i="9" s="1"/>
  <c r="CF584" i="9" a="1"/>
  <c r="CF584" i="9" s="1"/>
  <c r="BU706" i="9" a="1"/>
  <c r="BU706" i="9" s="1"/>
  <c r="CJ707" i="9" a="1"/>
  <c r="CJ707" i="9" s="1"/>
  <c r="BU707" i="9" a="1"/>
  <c r="BU707" i="9" s="1"/>
  <c r="BT707" i="9" a="1"/>
  <c r="BT707" i="9" s="1"/>
  <c r="BU467" i="9" a="1"/>
  <c r="BU467" i="9" s="1"/>
  <c r="BT467" i="9" a="1"/>
  <c r="BT467" i="9" s="1"/>
  <c r="CO472" i="9" a="1"/>
  <c r="CO472" i="9" s="1"/>
  <c r="CN472" i="9" a="1"/>
  <c r="CN472" i="9" s="1"/>
  <c r="CO419" i="9" a="1"/>
  <c r="CO419" i="9" s="1"/>
  <c r="CN419" i="9" a="1"/>
  <c r="CN419" i="9" s="1"/>
  <c r="CO207" i="9" a="1"/>
  <c r="CO207" i="9" s="1"/>
  <c r="CN207" i="9" a="1"/>
  <c r="CN207" i="9" s="1"/>
  <c r="CO412" i="9" a="1"/>
  <c r="CO412" i="9" s="1"/>
  <c r="BT267" i="9" a="1"/>
  <c r="BT267" i="9" s="1"/>
  <c r="BU267" i="9" a="1"/>
  <c r="BU267" i="9" s="1"/>
  <c r="BU421" i="9" a="1"/>
  <c r="BU421" i="9" s="1"/>
  <c r="CO280" i="9" a="1"/>
  <c r="CO280" i="9" s="1"/>
  <c r="CO176" i="9" a="1"/>
  <c r="CO176" i="9" s="1"/>
  <c r="CN448" i="9" a="1"/>
  <c r="CN448" i="9" s="1"/>
  <c r="CO448" i="9" a="1"/>
  <c r="CO448" i="9" s="1"/>
  <c r="CN364" i="9" a="1"/>
  <c r="CN364" i="9" s="1"/>
  <c r="CO364" i="9" a="1"/>
  <c r="CO364" i="9" s="1"/>
  <c r="BU296" i="9" a="1"/>
  <c r="BU296" i="9" s="1"/>
  <c r="BT363" i="9" a="1"/>
  <c r="BT363" i="9" s="1"/>
  <c r="BU363" i="9" a="1"/>
  <c r="BU363" i="9" s="1"/>
  <c r="BV363" i="9" s="1"/>
  <c r="Q363" i="9" s="1"/>
  <c r="CO171" i="9" a="1"/>
  <c r="CO171" i="9" s="1"/>
  <c r="CO145" i="9" a="1"/>
  <c r="CO145" i="9" s="1"/>
  <c r="CN403" i="9" a="1"/>
  <c r="CN403" i="9" s="1"/>
  <c r="CO403" i="9" a="1"/>
  <c r="CO403" i="9" s="1"/>
  <c r="CO147" i="9" a="1"/>
  <c r="CO147" i="9" s="1"/>
  <c r="CN147" i="9" a="1"/>
  <c r="CN147" i="9" s="1"/>
  <c r="BT984" i="9" a="1"/>
  <c r="BT984" i="9" s="1"/>
  <c r="BU984" i="9" a="1"/>
  <c r="BU984" i="9" s="1"/>
  <c r="CL1019" i="9"/>
  <c r="CM1019" i="9" s="1"/>
  <c r="CH925" i="9"/>
  <c r="CI925" i="9" s="1"/>
  <c r="CJ925" i="9" s="1" a="1"/>
  <c r="CJ925" i="9" s="1"/>
  <c r="BT861" i="9" a="1"/>
  <c r="BT861" i="9" s="1"/>
  <c r="BU861" i="9" a="1"/>
  <c r="BU861" i="9" s="1"/>
  <c r="CN804" i="9" a="1"/>
  <c r="CN804" i="9" s="1"/>
  <c r="CO804" i="9" a="1"/>
  <c r="CO804" i="9" s="1"/>
  <c r="CF979" i="9" a="1"/>
  <c r="CF979" i="9" s="1"/>
  <c r="CB979" i="9" a="1"/>
  <c r="CB979" i="9" s="1"/>
  <c r="BU976" i="9" a="1"/>
  <c r="BU976" i="9" s="1"/>
  <c r="BT976" i="9" a="1"/>
  <c r="BT976" i="9" s="1"/>
  <c r="BP989" i="9" a="1"/>
  <c r="BP989" i="9" s="1"/>
  <c r="CB951" i="9" a="1"/>
  <c r="CB951" i="9" s="1"/>
  <c r="CF951" i="9" a="1"/>
  <c r="CF951" i="9" s="1"/>
  <c r="CB890" i="9" a="1"/>
  <c r="CB890" i="9" s="1"/>
  <c r="CF890" i="9" a="1"/>
  <c r="CF890" i="9" s="1"/>
  <c r="CN869" i="9" a="1"/>
  <c r="CN869" i="9" s="1"/>
  <c r="CO869" i="9" a="1"/>
  <c r="CO869" i="9" s="1"/>
  <c r="BT866" i="9" a="1"/>
  <c r="BT866" i="9" s="1"/>
  <c r="BU866" i="9" a="1"/>
  <c r="BU866" i="9" s="1"/>
  <c r="CN755" i="9" a="1"/>
  <c r="CN755" i="9" s="1"/>
  <c r="CO755" i="9" a="1"/>
  <c r="CO755" i="9" s="1"/>
  <c r="BU784" i="9" a="1"/>
  <c r="BU784" i="9" s="1"/>
  <c r="BT784" i="9" a="1"/>
  <c r="BT784" i="9" s="1"/>
  <c r="BR769" i="9"/>
  <c r="BS769" i="9" s="1"/>
  <c r="BJ769" i="9"/>
  <c r="BK769" i="9" s="1"/>
  <c r="CL769" i="9"/>
  <c r="CM769" i="9" s="1"/>
  <c r="BZ769" i="9"/>
  <c r="CA769" i="9" s="1"/>
  <c r="CB769" i="9" s="1" a="1"/>
  <c r="CB769" i="9" s="1"/>
  <c r="CD769" i="9"/>
  <c r="CE769" i="9" s="1"/>
  <c r="CJ769" i="9" s="1" a="1"/>
  <c r="CJ769" i="9" s="1"/>
  <c r="BF769" i="9"/>
  <c r="BG769" i="9" s="1"/>
  <c r="BH769" i="9" s="1" a="1"/>
  <c r="BH769" i="9" s="1"/>
  <c r="CJ918" i="9" a="1"/>
  <c r="CJ918" i="9" s="1"/>
  <c r="BL1013" i="9" a="1"/>
  <c r="BL1013" i="9" s="1"/>
  <c r="CF889" i="9" a="1"/>
  <c r="CF889" i="9" s="1"/>
  <c r="CN839" i="9" a="1"/>
  <c r="CN839" i="9" s="1"/>
  <c r="CO839" i="9" a="1"/>
  <c r="CO839" i="9" s="1"/>
  <c r="CH793" i="9"/>
  <c r="CI793" i="9" s="1"/>
  <c r="CJ793" i="9" s="1" a="1"/>
  <c r="CJ793" i="9" s="1"/>
  <c r="CD870" i="9"/>
  <c r="CE870" i="9" s="1"/>
  <c r="CL870" i="9"/>
  <c r="CM870" i="9" s="1"/>
  <c r="BZ870" i="9"/>
  <c r="CA870" i="9" s="1"/>
  <c r="CB870" i="9" s="1" a="1"/>
  <c r="CB870" i="9" s="1"/>
  <c r="BR870" i="9"/>
  <c r="BS870" i="9" s="1"/>
  <c r="CF725" i="9" a="1"/>
  <c r="CF725" i="9" s="1"/>
  <c r="CB725" i="9" a="1"/>
  <c r="CB725" i="9" s="1"/>
  <c r="BP986" i="9" a="1"/>
  <c r="BP986" i="9" s="1"/>
  <c r="BT986" i="9" a="1"/>
  <c r="BT986" i="9" s="1"/>
  <c r="CO969" i="9" a="1"/>
  <c r="CO969" i="9" s="1"/>
  <c r="CN969" i="9" a="1"/>
  <c r="CN969" i="9" s="1"/>
  <c r="BL918" i="9" a="1"/>
  <c r="BL918" i="9" s="1"/>
  <c r="CF910" i="9" a="1"/>
  <c r="CF910" i="9" s="1"/>
  <c r="CB898" i="9" a="1"/>
  <c r="CB898" i="9" s="1"/>
  <c r="CF898" i="9" a="1"/>
  <c r="CF898" i="9" s="1"/>
  <c r="BL829" i="9" a="1"/>
  <c r="BL829" i="9" s="1"/>
  <c r="BP829" i="9" a="1"/>
  <c r="BP829" i="9" s="1"/>
  <c r="CL915" i="9"/>
  <c r="CM915" i="9" s="1"/>
  <c r="BL839" i="9" a="1"/>
  <c r="BL839" i="9" s="1"/>
  <c r="BP839" i="9" a="1"/>
  <c r="BP839" i="9" s="1"/>
  <c r="BN873" i="9"/>
  <c r="BO873" i="9" s="1"/>
  <c r="BP873" i="9" s="1" a="1"/>
  <c r="BP873" i="9" s="1"/>
  <c r="CO848" i="9" a="1"/>
  <c r="CO848" i="9" s="1"/>
  <c r="CN848" i="9" a="1"/>
  <c r="CN848" i="9" s="1"/>
  <c r="BZ793" i="9"/>
  <c r="CA793" i="9" s="1"/>
  <c r="CB793" i="9" s="1" a="1"/>
  <c r="CB793" i="9" s="1"/>
  <c r="CH796" i="9"/>
  <c r="CI796" i="9" s="1"/>
  <c r="CJ796" i="9" s="1" a="1"/>
  <c r="CJ796" i="9" s="1"/>
  <c r="BL775" i="9" a="1"/>
  <c r="BL775" i="9" s="1"/>
  <c r="BP775" i="9" a="1"/>
  <c r="BP775" i="9" s="1"/>
  <c r="CO774" i="9" a="1"/>
  <c r="CO774" i="9" s="1"/>
  <c r="CN774" i="9" a="1"/>
  <c r="CN774" i="9" s="1"/>
  <c r="BJ756" i="9"/>
  <c r="BK756" i="9" s="1"/>
  <c r="BR756" i="9"/>
  <c r="BS756" i="9" s="1"/>
  <c r="CL756" i="9"/>
  <c r="CM756" i="9" s="1"/>
  <c r="BZ756" i="9"/>
  <c r="CA756" i="9" s="1"/>
  <c r="CB756" i="9" s="1" a="1"/>
  <c r="CB756" i="9" s="1"/>
  <c r="CD756" i="9"/>
  <c r="CE756" i="9" s="1"/>
  <c r="BF756" i="9"/>
  <c r="BG756" i="9" s="1"/>
  <c r="BH756" i="9" s="1" a="1"/>
  <c r="BH756" i="9" s="1"/>
  <c r="BR758" i="9"/>
  <c r="BS758" i="9" s="1"/>
  <c r="CL758" i="9"/>
  <c r="CM758" i="9" s="1"/>
  <c r="CH758" i="9"/>
  <c r="CI758" i="9" s="1"/>
  <c r="BZ758" i="9"/>
  <c r="CA758" i="9" s="1"/>
  <c r="CB758" i="9" s="1" a="1"/>
  <c r="CB758" i="9" s="1"/>
  <c r="BN758" i="9"/>
  <c r="BO758" i="9" s="1"/>
  <c r="BF758" i="9"/>
  <c r="BG758" i="9" s="1"/>
  <c r="BH758" i="9" s="1" a="1"/>
  <c r="BH758" i="9" s="1"/>
  <c r="CN1012" i="9" a="1"/>
  <c r="CN1012" i="9" s="1"/>
  <c r="CO1012" i="9" a="1"/>
  <c r="CO1012" i="9" s="1"/>
  <c r="CN968" i="9" a="1"/>
  <c r="CN968" i="9" s="1"/>
  <c r="CO968" i="9" a="1"/>
  <c r="CO968" i="9" s="1"/>
  <c r="CH1006" i="9"/>
  <c r="CI1006" i="9" s="1"/>
  <c r="CJ1006" i="9" s="1" a="1"/>
  <c r="CJ1006" i="9" s="1"/>
  <c r="CJ929" i="9" a="1"/>
  <c r="CJ929" i="9" s="1"/>
  <c r="CN929" i="9" a="1"/>
  <c r="CN929" i="9" s="1"/>
  <c r="BF917" i="9"/>
  <c r="BG917" i="9" s="1"/>
  <c r="BH917" i="9" s="1" a="1"/>
  <c r="BH917" i="9" s="1"/>
  <c r="CL932" i="9"/>
  <c r="CM932" i="9" s="1"/>
  <c r="CL902" i="9"/>
  <c r="CM902" i="9" s="1"/>
  <c r="CD902" i="9"/>
  <c r="CE902" i="9" s="1"/>
  <c r="CF902" i="9" s="1" a="1"/>
  <c r="CF902" i="9" s="1"/>
  <c r="BL828" i="9" a="1"/>
  <c r="BL828" i="9" s="1"/>
  <c r="CO875" i="9" a="1"/>
  <c r="CO875" i="9" s="1"/>
  <c r="CN875" i="9" a="1"/>
  <c r="CN875" i="9" s="1"/>
  <c r="BH755" i="9" a="1"/>
  <c r="BH755" i="9" s="1"/>
  <c r="BL755" i="9" a="1"/>
  <c r="BL755" i="9" s="1"/>
  <c r="BT808" i="9" a="1"/>
  <c r="BT808" i="9" s="1"/>
  <c r="BU808" i="9" a="1"/>
  <c r="BU808" i="9" s="1"/>
  <c r="BT738" i="9" a="1"/>
  <c r="BT738" i="9" s="1"/>
  <c r="BU738" i="9" a="1"/>
  <c r="BU738" i="9" s="1"/>
  <c r="BL754" i="9" a="1"/>
  <c r="BL754" i="9" s="1"/>
  <c r="BP1002" i="9" a="1"/>
  <c r="BP1002" i="9" s="1"/>
  <c r="BT1002" i="9" a="1"/>
  <c r="BT1002" i="9" s="1"/>
  <c r="CO893" i="9" a="1"/>
  <c r="CO893" i="9" s="1"/>
  <c r="CN893" i="9" a="1"/>
  <c r="CN893" i="9" s="1"/>
  <c r="CN959" i="9" a="1"/>
  <c r="CN959" i="9" s="1"/>
  <c r="CO959" i="9" a="1"/>
  <c r="CO959" i="9" s="1"/>
  <c r="CF904" i="9" a="1"/>
  <c r="CF904" i="9" s="1"/>
  <c r="CJ904" i="9" a="1"/>
  <c r="CJ904" i="9" s="1"/>
  <c r="BZ1019" i="9"/>
  <c r="CA1019" i="9" s="1"/>
  <c r="CB1019" i="9" s="1" a="1"/>
  <c r="CB1019" i="9" s="1"/>
  <c r="CL948" i="9"/>
  <c r="CM948" i="9" s="1"/>
  <c r="CF946" i="9" a="1"/>
  <c r="CF946" i="9" s="1"/>
  <c r="CJ946" i="9" a="1"/>
  <c r="CJ946" i="9" s="1"/>
  <c r="CL886" i="9"/>
  <c r="CM886" i="9" s="1"/>
  <c r="CN819" i="9" a="1"/>
  <c r="CN819" i="9" s="1"/>
  <c r="CO819" i="9" a="1"/>
  <c r="CO819" i="9" s="1"/>
  <c r="BL877" i="9" a="1"/>
  <c r="BL877" i="9" s="1"/>
  <c r="BP877" i="9" a="1"/>
  <c r="BP877" i="9" s="1"/>
  <c r="CL826" i="9"/>
  <c r="CM826" i="9" s="1"/>
  <c r="CO747" i="9" a="1"/>
  <c r="CO747" i="9" s="1"/>
  <c r="CD758" i="9"/>
  <c r="CE758" i="9" s="1"/>
  <c r="CJ1015" i="9" a="1"/>
  <c r="CJ1015" i="9" s="1"/>
  <c r="CN1015" i="9" a="1"/>
  <c r="CN1015" i="9" s="1"/>
  <c r="BF981" i="9"/>
  <c r="BG981" i="9" s="1"/>
  <c r="BH981" i="9" s="1" a="1"/>
  <c r="BH981" i="9" s="1"/>
  <c r="CJ934" i="9" a="1"/>
  <c r="CJ934" i="9" s="1"/>
  <c r="CN934" i="9" a="1"/>
  <c r="CN934" i="9" s="1"/>
  <c r="CL1011" i="9"/>
  <c r="CM1011" i="9" s="1"/>
  <c r="BL946" i="9" a="1"/>
  <c r="BL946" i="9" s="1"/>
  <c r="BL853" i="9" a="1"/>
  <c r="BL853" i="9" s="1"/>
  <c r="CL835" i="9"/>
  <c r="CM835" i="9" s="1"/>
  <c r="BU865" i="9" a="1"/>
  <c r="BU865" i="9" s="1"/>
  <c r="BT865" i="9" a="1"/>
  <c r="BT865" i="9" s="1"/>
  <c r="CO766" i="9" a="1"/>
  <c r="CO766" i="9" s="1"/>
  <c r="CN766" i="9" a="1"/>
  <c r="CN766" i="9" s="1"/>
  <c r="CB1015" i="9" a="1"/>
  <c r="CB1015" i="9" s="1"/>
  <c r="CF1015" i="9" a="1"/>
  <c r="CF1015" i="9" s="1"/>
  <c r="CJ919" i="9" a="1"/>
  <c r="CJ919" i="9" s="1"/>
  <c r="CN919" i="9" a="1"/>
  <c r="CN919" i="9" s="1"/>
  <c r="CO889" i="9" a="1"/>
  <c r="CO889" i="9" s="1"/>
  <c r="CN889" i="9" a="1"/>
  <c r="CN889" i="9" s="1"/>
  <c r="BF940" i="9"/>
  <c r="BG940" i="9" s="1"/>
  <c r="BH940" i="9" s="1" a="1"/>
  <c r="BH940" i="9" s="1"/>
  <c r="BN940" i="9"/>
  <c r="BO940" i="9" s="1"/>
  <c r="BP940" i="9" s="1" a="1"/>
  <c r="BP940" i="9" s="1"/>
  <c r="CD940" i="9"/>
  <c r="CE940" i="9" s="1"/>
  <c r="CJ940" i="9" s="1" a="1"/>
  <c r="CJ940" i="9" s="1"/>
  <c r="BZ940" i="9"/>
  <c r="CA940" i="9" s="1"/>
  <c r="CB940" i="9" s="1" a="1"/>
  <c r="CB940" i="9" s="1"/>
  <c r="CL940" i="9"/>
  <c r="CM940" i="9" s="1"/>
  <c r="CL867" i="9"/>
  <c r="CM867" i="9" s="1"/>
  <c r="CD835" i="9"/>
  <c r="CE835" i="9" s="1"/>
  <c r="CF835" i="9" s="1" a="1"/>
  <c r="CF835" i="9" s="1"/>
  <c r="BP821" i="9" a="1"/>
  <c r="BP821" i="9" s="1"/>
  <c r="BR783" i="9"/>
  <c r="BS783" i="9" s="1"/>
  <c r="BJ783" i="9"/>
  <c r="BK783" i="9" s="1"/>
  <c r="CL783" i="9"/>
  <c r="CM783" i="9" s="1"/>
  <c r="CD783" i="9"/>
  <c r="CE783" i="9" s="1"/>
  <c r="CJ783" i="9" s="1" a="1"/>
  <c r="CJ783" i="9" s="1"/>
  <c r="BN783" i="9"/>
  <c r="BO783" i="9" s="1"/>
  <c r="BF783" i="9"/>
  <c r="BG783" i="9" s="1"/>
  <c r="BH783" i="9" s="1" a="1"/>
  <c r="BH783" i="9" s="1"/>
  <c r="BZ783" i="9"/>
  <c r="CA783" i="9" s="1"/>
  <c r="CB783" i="9" s="1" a="1"/>
  <c r="CB783" i="9" s="1"/>
  <c r="BP919" i="9" a="1"/>
  <c r="BP919" i="9" s="1"/>
  <c r="CJ782" i="9" a="1"/>
  <c r="CJ782" i="9" s="1"/>
  <c r="CO634" i="9" a="1"/>
  <c r="CO634" i="9" s="1"/>
  <c r="CN634" i="9" a="1"/>
  <c r="CN634" i="9" s="1"/>
  <c r="BU576" i="9" a="1"/>
  <c r="BU576" i="9" s="1"/>
  <c r="BT576" i="9" a="1"/>
  <c r="BT576" i="9" s="1"/>
  <c r="CP716" i="9"/>
  <c r="V716" i="9" s="1"/>
  <c r="BP699" i="9" a="1"/>
  <c r="BP699" i="9" s="1"/>
  <c r="BT606" i="9" a="1"/>
  <c r="BT606" i="9" s="1"/>
  <c r="BU606" i="9" a="1"/>
  <c r="BU606" i="9" s="1"/>
  <c r="BU613" i="9" a="1"/>
  <c r="BU613" i="9" s="1"/>
  <c r="CJ598" i="9" a="1"/>
  <c r="CJ598" i="9" s="1"/>
  <c r="CO435" i="9" a="1"/>
  <c r="CO435" i="9" s="1"/>
  <c r="CN435" i="9" a="1"/>
  <c r="CN435" i="9" s="1"/>
  <c r="BU664" i="9" a="1"/>
  <c r="BU664" i="9" s="1"/>
  <c r="BT664" i="9" a="1"/>
  <c r="BT664" i="9" s="1"/>
  <c r="BT681" i="9" a="1"/>
  <c r="BT681" i="9" s="1"/>
  <c r="BU681" i="9" a="1"/>
  <c r="BU681" i="9" s="1"/>
  <c r="BL716" i="9" a="1"/>
  <c r="BL716" i="9" s="1"/>
  <c r="BU555" i="9" a="1"/>
  <c r="BU555" i="9" s="1"/>
  <c r="BT555" i="9" a="1"/>
  <c r="BT555" i="9" s="1"/>
  <c r="CN459" i="9" a="1"/>
  <c r="CN459" i="9" s="1"/>
  <c r="CO459" i="9" a="1"/>
  <c r="CO459" i="9" s="1"/>
  <c r="BL651" i="9" a="1"/>
  <c r="BL651" i="9" s="1"/>
  <c r="CN597" i="9" a="1"/>
  <c r="CN597" i="9" s="1"/>
  <c r="CO597" i="9" a="1"/>
  <c r="CO597" i="9" s="1"/>
  <c r="CO434" i="9" a="1"/>
  <c r="CO434" i="9" s="1"/>
  <c r="CJ690" i="9" a="1"/>
  <c r="CJ690" i="9" s="1"/>
  <c r="BP651" i="9" a="1"/>
  <c r="BP651" i="9" s="1"/>
  <c r="BP555" i="9" a="1"/>
  <c r="BP555" i="9" s="1"/>
  <c r="CJ706" i="9" a="1"/>
  <c r="CJ706" i="9" s="1"/>
  <c r="BU658" i="9" a="1"/>
  <c r="BU658" i="9" s="1"/>
  <c r="BL383" i="9" a="1"/>
  <c r="BL383" i="9" s="1"/>
  <c r="CO340" i="9" a="1"/>
  <c r="CO340" i="9" s="1"/>
  <c r="BU318" i="9" a="1"/>
  <c r="BU318" i="9" s="1"/>
  <c r="CN305" i="9" a="1"/>
  <c r="CN305" i="9" s="1"/>
  <c r="CO305" i="9" a="1"/>
  <c r="CO305" i="9" s="1"/>
  <c r="CF195" i="9" a="1"/>
  <c r="CF195" i="9" s="1"/>
  <c r="BP449" i="9" a="1"/>
  <c r="BP449" i="9" s="1"/>
  <c r="BL263" i="9" a="1"/>
  <c r="BL263" i="9" s="1"/>
  <c r="BP472" i="9" a="1"/>
  <c r="BP472" i="9" s="1"/>
  <c r="CO373" i="9" a="1"/>
  <c r="CO373" i="9" s="1"/>
  <c r="BT347" i="9" a="1"/>
  <c r="BT347" i="9" s="1"/>
  <c r="BU347" i="9" a="1"/>
  <c r="BU347" i="9" s="1"/>
  <c r="CF303" i="9" a="1"/>
  <c r="CF303" i="9" s="1"/>
  <c r="BU153" i="9" a="1"/>
  <c r="BU153" i="9" s="1"/>
  <c r="BU400" i="9" a="1"/>
  <c r="BU400" i="9" s="1"/>
  <c r="CN363" i="9" a="1"/>
  <c r="CN363" i="9" s="1"/>
  <c r="CO363" i="9" a="1"/>
  <c r="CO363" i="9" s="1"/>
  <c r="CN307" i="9" a="1"/>
  <c r="CN307" i="9" s="1"/>
  <c r="CO307" i="9" a="1"/>
  <c r="CO307" i="9" s="1"/>
  <c r="BU187" i="9" a="1"/>
  <c r="BU187" i="9" s="1"/>
  <c r="BT187" i="9" a="1"/>
  <c r="BT187" i="9" s="1"/>
  <c r="BL161" i="9" a="1"/>
  <c r="BL161" i="9" s="1"/>
  <c r="CF510" i="9" a="1"/>
  <c r="CF510" i="9" s="1"/>
  <c r="CN313" i="9" a="1"/>
  <c r="CN313" i="9" s="1"/>
  <c r="CO313" i="9" a="1"/>
  <c r="CO313" i="9" s="1"/>
  <c r="CJ294" i="9" a="1"/>
  <c r="CJ294" i="9" s="1"/>
  <c r="CF197" i="9" a="1"/>
  <c r="CF197" i="9" s="1"/>
  <c r="CN476" i="9" a="1"/>
  <c r="CN476" i="9" s="1"/>
  <c r="CO476" i="9" a="1"/>
  <c r="CO476" i="9" s="1"/>
  <c r="CJ457" i="9" a="1"/>
  <c r="CJ457" i="9" s="1"/>
  <c r="BU211" i="9" a="1"/>
  <c r="BU211" i="9" s="1"/>
  <c r="BT211" i="9" a="1"/>
  <c r="BT211" i="9" s="1"/>
  <c r="BT171" i="9" a="1"/>
  <c r="BT171" i="9" s="1"/>
  <c r="BU171" i="9" a="1"/>
  <c r="BU171" i="9" s="1"/>
  <c r="CO406" i="9" a="1"/>
  <c r="CO406" i="9" s="1"/>
  <c r="BP408" i="9" a="1"/>
  <c r="BP408" i="9" s="1"/>
  <c r="BV408" i="9" s="1"/>
  <c r="Q408" i="9" s="1"/>
  <c r="CO128" i="9" a="1"/>
  <c r="CO128" i="9" s="1"/>
  <c r="CN128" i="9" a="1"/>
  <c r="CN128" i="9" s="1"/>
  <c r="BU128" i="9" a="1"/>
  <c r="BU128" i="9" s="1"/>
  <c r="BP187" i="9" a="1"/>
  <c r="BP187" i="9" s="1"/>
  <c r="BT960" i="9" a="1"/>
  <c r="BT960" i="9" s="1"/>
  <c r="BU960" i="9" a="1"/>
  <c r="BU960" i="9" s="1"/>
  <c r="CN930" i="9" a="1"/>
  <c r="CN930" i="9" s="1"/>
  <c r="CO930" i="9" a="1"/>
  <c r="CO930" i="9" s="1"/>
  <c r="CL987" i="9"/>
  <c r="CM987" i="9" s="1"/>
  <c r="CO856" i="9" a="1"/>
  <c r="CO856" i="9" s="1"/>
  <c r="CN856" i="9" a="1"/>
  <c r="CN856" i="9" s="1"/>
  <c r="CP856" i="9" s="1"/>
  <c r="V856" i="9" s="1"/>
  <c r="CD990" i="9"/>
  <c r="CE990" i="9" s="1"/>
  <c r="BZ990" i="9"/>
  <c r="CA990" i="9" s="1"/>
  <c r="CB990" i="9" s="1" a="1"/>
  <c r="CB990" i="9" s="1"/>
  <c r="BF990" i="9"/>
  <c r="BG990" i="9" s="1"/>
  <c r="BH990" i="9" s="1" a="1"/>
  <c r="BH990" i="9" s="1"/>
  <c r="CH990" i="9"/>
  <c r="CI990" i="9" s="1"/>
  <c r="BR987" i="9"/>
  <c r="BS987" i="9" s="1"/>
  <c r="BL951" i="9" a="1"/>
  <c r="BL951" i="9" s="1"/>
  <c r="CF857" i="9" a="1"/>
  <c r="CF857" i="9" s="1"/>
  <c r="CB768" i="9" a="1"/>
  <c r="CB768" i="9" s="1"/>
  <c r="CF768" i="9" a="1"/>
  <c r="CF768" i="9" s="1"/>
  <c r="CH894" i="9"/>
  <c r="CI894" i="9" s="1"/>
  <c r="CL750" i="9"/>
  <c r="CM750" i="9" s="1"/>
  <c r="BU684" i="9" a="1"/>
  <c r="BU684" i="9" s="1"/>
  <c r="BT684" i="9" a="1"/>
  <c r="BT684" i="9" s="1"/>
  <c r="BN1019" i="9"/>
  <c r="BO1019" i="9" s="1"/>
  <c r="CD939" i="9"/>
  <c r="CE939" i="9" s="1"/>
  <c r="BR963" i="9"/>
  <c r="BS963" i="9" s="1"/>
  <c r="BN932" i="9"/>
  <c r="BO932" i="9" s="1"/>
  <c r="CB800" i="9" a="1"/>
  <c r="CB800" i="9" s="1"/>
  <c r="CF800" i="9" a="1"/>
  <c r="CF800" i="9" s="1"/>
  <c r="BT770" i="9" a="1"/>
  <c r="BT770" i="9" s="1"/>
  <c r="BU770" i="9" a="1"/>
  <c r="BU770" i="9" s="1"/>
  <c r="BF868" i="9"/>
  <c r="BG868" i="9" s="1"/>
  <c r="BH868" i="9" s="1" a="1"/>
  <c r="BH868" i="9" s="1"/>
  <c r="BN868" i="9"/>
  <c r="BO868" i="9" s="1"/>
  <c r="BP868" i="9" s="1" a="1"/>
  <c r="BP868" i="9" s="1"/>
  <c r="BZ868" i="9"/>
  <c r="CA868" i="9" s="1"/>
  <c r="CB868" i="9" s="1" a="1"/>
  <c r="CB868" i="9" s="1"/>
  <c r="CO813" i="9" a="1"/>
  <c r="CO813" i="9" s="1"/>
  <c r="CN813" i="9" a="1"/>
  <c r="CN813" i="9" s="1"/>
  <c r="CN763" i="9" a="1"/>
  <c r="CN763" i="9" s="1"/>
  <c r="CO763" i="9" a="1"/>
  <c r="CO763" i="9" s="1"/>
  <c r="BH725" i="9" a="1"/>
  <c r="BH725" i="9" s="1"/>
  <c r="BL725" i="9" a="1"/>
  <c r="BL725" i="9" s="1"/>
  <c r="CJ1009" i="9" a="1"/>
  <c r="CJ1009" i="9" s="1"/>
  <c r="CN1009" i="9" a="1"/>
  <c r="CN1009" i="9" s="1"/>
  <c r="BH960" i="9" a="1"/>
  <c r="BH960" i="9" s="1"/>
  <c r="BL960" i="9" a="1"/>
  <c r="BL960" i="9" s="1"/>
  <c r="CO966" i="9" a="1"/>
  <c r="CO966" i="9" s="1"/>
  <c r="CN966" i="9" a="1"/>
  <c r="CN966" i="9" s="1"/>
  <c r="BL903" i="9" a="1"/>
  <c r="BL903" i="9" s="1"/>
  <c r="BP903" i="9" a="1"/>
  <c r="BP903" i="9" s="1"/>
  <c r="BL974" i="9" a="1"/>
  <c r="BL974" i="9" s="1"/>
  <c r="BP974" i="9" a="1"/>
  <c r="BP974" i="9" s="1"/>
  <c r="BZ963" i="9"/>
  <c r="CA963" i="9" s="1"/>
  <c r="CB963" i="9" s="1" a="1"/>
  <c r="CB963" i="9" s="1"/>
  <c r="CJ850" i="9" a="1"/>
  <c r="CJ850" i="9" s="1"/>
  <c r="BZ908" i="9"/>
  <c r="CA908" i="9" s="1"/>
  <c r="CB908" i="9" s="1" a="1"/>
  <c r="CB908" i="9" s="1"/>
  <c r="BJ908" i="9"/>
  <c r="BK908" i="9" s="1"/>
  <c r="BF908" i="9"/>
  <c r="BG908" i="9" s="1"/>
  <c r="BH908" i="9" s="1" a="1"/>
  <c r="BH908" i="9" s="1"/>
  <c r="BR908" i="9"/>
  <c r="BS908" i="9" s="1"/>
  <c r="CJ837" i="9" a="1"/>
  <c r="CJ837" i="9" s="1"/>
  <c r="BT880" i="9" a="1"/>
  <c r="BT880" i="9" s="1"/>
  <c r="BV880" i="9" s="1"/>
  <c r="Q880" i="9" s="1"/>
  <c r="BU880" i="9" a="1"/>
  <c r="BU880" i="9" s="1"/>
  <c r="BN793" i="9"/>
  <c r="BO793" i="9" s="1"/>
  <c r="BP793" i="9" s="1" a="1"/>
  <c r="BP793" i="9" s="1"/>
  <c r="CN787" i="9" a="1"/>
  <c r="CN787" i="9" s="1"/>
  <c r="CO787" i="9" a="1"/>
  <c r="CO787" i="9" s="1"/>
  <c r="CH817" i="9"/>
  <c r="CI817" i="9" s="1"/>
  <c r="BT763" i="9" a="1"/>
  <c r="BT763" i="9" s="1"/>
  <c r="BU763" i="9" a="1"/>
  <c r="BU763" i="9" s="1"/>
  <c r="CL807" i="9"/>
  <c r="CM807" i="9" s="1"/>
  <c r="BR807" i="9"/>
  <c r="BS807" i="9" s="1"/>
  <c r="BJ807" i="9"/>
  <c r="BK807" i="9" s="1"/>
  <c r="BN807" i="9"/>
  <c r="BO807" i="9" s="1"/>
  <c r="BZ807" i="9"/>
  <c r="CA807" i="9" s="1"/>
  <c r="CB807" i="9" s="1" a="1"/>
  <c r="CB807" i="9" s="1"/>
  <c r="BF807" i="9"/>
  <c r="BG807" i="9" s="1"/>
  <c r="BH807" i="9" s="1" a="1"/>
  <c r="BH807" i="9" s="1"/>
  <c r="CD807" i="9"/>
  <c r="CE807" i="9" s="1"/>
  <c r="CN784" i="9" a="1"/>
  <c r="CN784" i="9" s="1"/>
  <c r="CO784" i="9" a="1"/>
  <c r="CO784" i="9" s="1"/>
  <c r="BP782" i="9" a="1"/>
  <c r="BP782" i="9" s="1"/>
  <c r="CN999" i="9" a="1"/>
  <c r="CN999" i="9" s="1"/>
  <c r="CO999" i="9" a="1"/>
  <c r="CO999" i="9" s="1"/>
  <c r="BL950" i="9" a="1"/>
  <c r="BL950" i="9" s="1"/>
  <c r="BP950" i="9" a="1"/>
  <c r="BP950" i="9" s="1"/>
  <c r="CO906" i="9" a="1"/>
  <c r="CO906" i="9" s="1"/>
  <c r="CN906" i="9" a="1"/>
  <c r="CN906" i="9" s="1"/>
  <c r="BP928" i="9" a="1"/>
  <c r="BP928" i="9" s="1"/>
  <c r="BT928" i="9" a="1"/>
  <c r="BT928" i="9" s="1"/>
  <c r="BJ923" i="9"/>
  <c r="BK923" i="9" s="1"/>
  <c r="BF923" i="9"/>
  <c r="BG923" i="9" s="1"/>
  <c r="BH923" i="9" s="1" a="1"/>
  <c r="BH923" i="9" s="1"/>
  <c r="BN923" i="9"/>
  <c r="BO923" i="9" s="1"/>
  <c r="BR923" i="9"/>
  <c r="BS923" i="9" s="1"/>
  <c r="CL923" i="9"/>
  <c r="CM923" i="9" s="1"/>
  <c r="BJ884" i="9"/>
  <c r="BK884" i="9" s="1"/>
  <c r="BN884" i="9"/>
  <c r="BO884" i="9" s="1"/>
  <c r="BZ884" i="9"/>
  <c r="CA884" i="9" s="1"/>
  <c r="CB884" i="9" s="1" a="1"/>
  <c r="CB884" i="9" s="1"/>
  <c r="BF884" i="9"/>
  <c r="BG884" i="9" s="1"/>
  <c r="BH884" i="9" s="1" a="1"/>
  <c r="BH884" i="9" s="1"/>
  <c r="CD884" i="9"/>
  <c r="CE884" i="9" s="1"/>
  <c r="BR842" i="9"/>
  <c r="BS842" i="9" s="1"/>
  <c r="BR949" i="9"/>
  <c r="BS949" i="9" s="1"/>
  <c r="CJ825" i="9" a="1"/>
  <c r="CJ825" i="9" s="1"/>
  <c r="CN825" i="9" a="1"/>
  <c r="CN825" i="9" s="1"/>
  <c r="BL837" i="9" a="1"/>
  <c r="BL837" i="9" s="1"/>
  <c r="BP837" i="9" a="1"/>
  <c r="BP837" i="9" s="1"/>
  <c r="CB739" i="9" a="1"/>
  <c r="CB739" i="9" s="1"/>
  <c r="CF739" i="9" a="1"/>
  <c r="CF739" i="9" s="1"/>
  <c r="CO811" i="9" a="1"/>
  <c r="CO811" i="9" s="1"/>
  <c r="CN811" i="9" a="1"/>
  <c r="CN811" i="9" s="1"/>
  <c r="BU771" i="9" a="1"/>
  <c r="BU771" i="9" s="1"/>
  <c r="BT771" i="9" a="1"/>
  <c r="BT771" i="9" s="1"/>
  <c r="BN835" i="9"/>
  <c r="BO835" i="9" s="1"/>
  <c r="BP835" i="9" s="1" a="1"/>
  <c r="BP835" i="9" s="1"/>
  <c r="CH824" i="9"/>
  <c r="CI824" i="9" s="1"/>
  <c r="BZ764" i="9"/>
  <c r="CA764" i="9" s="1"/>
  <c r="CB764" i="9" s="1" a="1"/>
  <c r="CB764" i="9" s="1"/>
  <c r="BF764" i="9"/>
  <c r="BG764" i="9" s="1"/>
  <c r="BH764" i="9" s="1" a="1"/>
  <c r="BH764" i="9" s="1"/>
  <c r="BJ764" i="9"/>
  <c r="BK764" i="9" s="1"/>
  <c r="CD764" i="9"/>
  <c r="CE764" i="9" s="1"/>
  <c r="CL745" i="9"/>
  <c r="CM745" i="9" s="1"/>
  <c r="CD745" i="9"/>
  <c r="CE745" i="9" s="1"/>
  <c r="BR745" i="9"/>
  <c r="BS745" i="9" s="1"/>
  <c r="BF745" i="9"/>
  <c r="BG745" i="9" s="1"/>
  <c r="BH745" i="9" s="1" a="1"/>
  <c r="BH745" i="9" s="1"/>
  <c r="BJ745" i="9"/>
  <c r="BK745" i="9" s="1"/>
  <c r="BZ745" i="9"/>
  <c r="CA745" i="9" s="1"/>
  <c r="CB745" i="9" s="1" a="1"/>
  <c r="CB745" i="9" s="1"/>
  <c r="CF1001" i="9" a="1"/>
  <c r="CF1001" i="9" s="1"/>
  <c r="CJ1001" i="9" a="1"/>
  <c r="CJ1001" i="9" s="1"/>
  <c r="BP1015" i="9" a="1"/>
  <c r="BP1015" i="9" s="1"/>
  <c r="BL991" i="9" a="1"/>
  <c r="BL991" i="9" s="1"/>
  <c r="BP1005" i="9" a="1"/>
  <c r="BP1005" i="9" s="1"/>
  <c r="BF987" i="9"/>
  <c r="BG987" i="9" s="1"/>
  <c r="BH987" i="9" s="1" a="1"/>
  <c r="BH987" i="9" s="1"/>
  <c r="CF922" i="9" a="1"/>
  <c r="CF922" i="9" s="1"/>
  <c r="CJ922" i="9" a="1"/>
  <c r="CJ922" i="9" s="1"/>
  <c r="BF886" i="9"/>
  <c r="BG886" i="9" s="1"/>
  <c r="BH886" i="9" s="1" a="1"/>
  <c r="BH886" i="9" s="1"/>
  <c r="BZ941" i="9"/>
  <c r="CA941" i="9" s="1"/>
  <c r="CB941" i="9" s="1" a="1"/>
  <c r="CB941" i="9" s="1"/>
  <c r="BN941" i="9"/>
  <c r="BO941" i="9" s="1"/>
  <c r="BP941" i="9" s="1" a="1"/>
  <c r="BP941" i="9" s="1"/>
  <c r="BF941" i="9"/>
  <c r="BG941" i="9" s="1"/>
  <c r="BH941" i="9" s="1" a="1"/>
  <c r="BH941" i="9" s="1"/>
  <c r="BR873" i="9"/>
  <c r="BS873" i="9" s="1"/>
  <c r="BN886" i="9"/>
  <c r="BO886" i="9" s="1"/>
  <c r="BP886" i="9" s="1" a="1"/>
  <c r="BP886" i="9" s="1"/>
  <c r="CN822" i="9" a="1"/>
  <c r="CN822" i="9" s="1"/>
  <c r="BL795" i="9" a="1"/>
  <c r="BL795" i="9" s="1"/>
  <c r="BP795" i="9" a="1"/>
  <c r="BP795" i="9" s="1"/>
  <c r="BH763" i="9" a="1"/>
  <c r="BH763" i="9" s="1"/>
  <c r="BL763" i="9" a="1"/>
  <c r="BL763" i="9" s="1"/>
  <c r="BT749" i="9" a="1"/>
  <c r="BT749" i="9" s="1"/>
  <c r="BU749" i="9" a="1"/>
  <c r="BU749" i="9" s="1"/>
  <c r="CN1002" i="9" a="1"/>
  <c r="CN1002" i="9" s="1"/>
  <c r="CO1002" i="9" a="1"/>
  <c r="CO1002" i="9" s="1"/>
  <c r="BL1008" i="9" a="1"/>
  <c r="BL1008" i="9" s="1"/>
  <c r="BP1008" i="9" a="1"/>
  <c r="BP1008" i="9" s="1"/>
  <c r="CD1013" i="9"/>
  <c r="CE1013" i="9" s="1"/>
  <c r="CF1013" i="9" s="1" a="1"/>
  <c r="CF1013" i="9" s="1"/>
  <c r="BZ981" i="9"/>
  <c r="CA981" i="9" s="1"/>
  <c r="CB981" i="9" s="1" a="1"/>
  <c r="CB981" i="9" s="1"/>
  <c r="BT934" i="9" a="1"/>
  <c r="BT934" i="9" s="1"/>
  <c r="BU934" i="9" a="1"/>
  <c r="BU934" i="9" s="1"/>
  <c r="BL926" i="9" a="1"/>
  <c r="BL926" i="9" s="1"/>
  <c r="CJ910" i="9" a="1"/>
  <c r="CJ910" i="9" s="1"/>
  <c r="CN910" i="9" a="1"/>
  <c r="CN910" i="9" s="1"/>
  <c r="CD941" i="9"/>
  <c r="CE941" i="9" s="1"/>
  <c r="CF941" i="9" s="1" a="1"/>
  <c r="CF941" i="9" s="1"/>
  <c r="BP936" i="9" a="1"/>
  <c r="BP936" i="9" s="1"/>
  <c r="BT936" i="9" a="1"/>
  <c r="BT936" i="9" s="1"/>
  <c r="BL906" i="9" a="1"/>
  <c r="BL906" i="9" s="1"/>
  <c r="BP906" i="9" a="1"/>
  <c r="BP906" i="9" s="1"/>
  <c r="BT850" i="9" a="1"/>
  <c r="BT850" i="9" s="1"/>
  <c r="BU850" i="9" a="1"/>
  <c r="BU850" i="9" s="1"/>
  <c r="BJ876" i="9"/>
  <c r="BK876" i="9" s="1"/>
  <c r="CD876" i="9"/>
  <c r="CE876" i="9" s="1"/>
  <c r="CF876" i="9" s="1" a="1"/>
  <c r="CF876" i="9" s="1"/>
  <c r="BN876" i="9"/>
  <c r="BO876" i="9" s="1"/>
  <c r="CH876" i="9"/>
  <c r="CI876" i="9" s="1"/>
  <c r="CL876" i="9"/>
  <c r="CM876" i="9" s="1"/>
  <c r="BF817" i="9"/>
  <c r="BG817" i="9" s="1"/>
  <c r="BH817" i="9" s="1" a="1"/>
  <c r="BH817" i="9" s="1"/>
  <c r="CL841" i="9"/>
  <c r="CM841" i="9" s="1"/>
  <c r="BF841" i="9"/>
  <c r="BG841" i="9" s="1"/>
  <c r="BH841" i="9" s="1" a="1"/>
  <c r="BH841" i="9" s="1"/>
  <c r="BN841" i="9"/>
  <c r="BO841" i="9" s="1"/>
  <c r="BT841" i="9" s="1" a="1"/>
  <c r="BT841" i="9" s="1"/>
  <c r="BZ841" i="9"/>
  <c r="CA841" i="9" s="1"/>
  <c r="CB841" i="9" s="1" a="1"/>
  <c r="CB841" i="9" s="1"/>
  <c r="CJ851" i="9" a="1"/>
  <c r="CJ851" i="9" s="1"/>
  <c r="BL766" i="9" a="1"/>
  <c r="BL766" i="9" s="1"/>
  <c r="BZ1014" i="9"/>
  <c r="CA1014" i="9" s="1"/>
  <c r="CB1014" i="9" s="1" a="1"/>
  <c r="CB1014" i="9" s="1"/>
  <c r="BP994" i="9" a="1"/>
  <c r="BP994" i="9" s="1"/>
  <c r="BJ924" i="9"/>
  <c r="BK924" i="9" s="1"/>
  <c r="CF869" i="9" a="1"/>
  <c r="CF869" i="9" s="1"/>
  <c r="CF864" i="9" a="1"/>
  <c r="CF864" i="9" s="1"/>
  <c r="BU828" i="9" a="1"/>
  <c r="BU828" i="9" s="1"/>
  <c r="BT828" i="9" a="1"/>
  <c r="BT828" i="9" s="1"/>
  <c r="BP766" i="9" a="1"/>
  <c r="BP766" i="9" s="1"/>
  <c r="BR764" i="9"/>
  <c r="BS764" i="9" s="1"/>
  <c r="BP983" i="9" a="1"/>
  <c r="BP983" i="9" s="1"/>
  <c r="BL882" i="9" a="1"/>
  <c r="BL882" i="9" s="1"/>
  <c r="BT651" i="9" a="1"/>
  <c r="BT651" i="9" s="1"/>
  <c r="BU651" i="9" a="1"/>
  <c r="BU651" i="9" s="1"/>
  <c r="CO537" i="9" a="1"/>
  <c r="CO537" i="9" s="1"/>
  <c r="CO672" i="9" a="1"/>
  <c r="CO672" i="9" s="1"/>
  <c r="CO690" i="9" a="1"/>
  <c r="CO690" i="9" s="1"/>
  <c r="CN690" i="9" a="1"/>
  <c r="CN690" i="9" s="1"/>
  <c r="BU592" i="9" a="1"/>
  <c r="BU592" i="9" s="1"/>
  <c r="BT592" i="9" a="1"/>
  <c r="BT592" i="9" s="1"/>
  <c r="BT584" i="9" a="1"/>
  <c r="BT584" i="9" s="1"/>
  <c r="BU584" i="9" a="1"/>
  <c r="BU584" i="9" s="1"/>
  <c r="CO507" i="9" a="1"/>
  <c r="CO507" i="9" s="1"/>
  <c r="CN507" i="9" a="1"/>
  <c r="CN507" i="9" s="1"/>
  <c r="CJ766" i="9" a="1"/>
  <c r="CJ766" i="9" s="1"/>
  <c r="BU672" i="9" a="1"/>
  <c r="BU672" i="9" s="1"/>
  <c r="BT590" i="9" a="1"/>
  <c r="BT590" i="9" s="1"/>
  <c r="BU590" i="9" a="1"/>
  <c r="BU590" i="9" s="1"/>
  <c r="CJ589" i="9" a="1"/>
  <c r="CJ589" i="9" s="1"/>
  <c r="BT502" i="9" a="1"/>
  <c r="BT502" i="9" s="1"/>
  <c r="BU502" i="9" a="1"/>
  <c r="BU502" i="9" s="1"/>
  <c r="CF637" i="9" a="1"/>
  <c r="CF637" i="9" s="1"/>
  <c r="BU661" i="9" a="1"/>
  <c r="BU661" i="9" s="1"/>
  <c r="BT661" i="9" a="1"/>
  <c r="BT661" i="9" s="1"/>
  <c r="CF605" i="9" a="1"/>
  <c r="CF605" i="9" s="1"/>
  <c r="CN555" i="9" a="1"/>
  <c r="CN555" i="9" s="1"/>
  <c r="CO555" i="9" a="1"/>
  <c r="CO555" i="9" s="1"/>
  <c r="BU510" i="9" a="1"/>
  <c r="BU510" i="9" s="1"/>
  <c r="CF511" i="9" a="1"/>
  <c r="CF511" i="9" s="1"/>
  <c r="CP511" i="9" s="1"/>
  <c r="V511" i="9" s="1"/>
  <c r="CO707" i="9" a="1"/>
  <c r="CO707" i="9" s="1"/>
  <c r="CN707" i="9" a="1"/>
  <c r="CN707" i="9" s="1"/>
  <c r="CO613" i="9" a="1"/>
  <c r="CO613" i="9" s="1"/>
  <c r="BL637" i="9" a="1"/>
  <c r="BL637" i="9" s="1"/>
  <c r="BV637" i="9" s="1"/>
  <c r="Q637" i="9" s="1"/>
  <c r="CF664" i="9" a="1"/>
  <c r="CF664" i="9" s="1"/>
  <c r="BP511" i="9" a="1"/>
  <c r="BP511" i="9" s="1"/>
  <c r="BU691" i="9" a="1"/>
  <c r="BU691" i="9" s="1"/>
  <c r="CO661" i="9" a="1"/>
  <c r="CO661" i="9" s="1"/>
  <c r="CN661" i="9" a="1"/>
  <c r="CN661" i="9" s="1"/>
  <c r="BL556" i="9" a="1"/>
  <c r="BL556" i="9" s="1"/>
  <c r="BP507" i="9" a="1"/>
  <c r="BP507" i="9" s="1"/>
  <c r="CO418" i="9" a="1"/>
  <c r="CO418" i="9" s="1"/>
  <c r="CO293" i="9" a="1"/>
  <c r="CO293" i="9" s="1"/>
  <c r="BU303" i="9" a="1"/>
  <c r="BU303" i="9" s="1"/>
  <c r="BU229" i="9" a="1"/>
  <c r="BU229" i="9" s="1"/>
  <c r="BP207" i="9" a="1"/>
  <c r="BP207" i="9" s="1"/>
  <c r="BU391" i="9" a="1"/>
  <c r="BU391" i="9" s="1"/>
  <c r="BL293" i="9" a="1"/>
  <c r="BL293" i="9" s="1"/>
  <c r="BU288" i="9" a="1"/>
  <c r="BU288" i="9" s="1"/>
  <c r="BP257" i="9" a="1"/>
  <c r="BP257" i="9" s="1"/>
  <c r="CO383" i="9" a="1"/>
  <c r="CO383" i="9" s="1"/>
  <c r="BU195" i="9" a="1"/>
  <c r="BU195" i="9" s="1"/>
  <c r="CN394" i="9" a="1"/>
  <c r="CN394" i="9" s="1"/>
  <c r="CO394" i="9" a="1"/>
  <c r="CO394" i="9" s="1"/>
  <c r="BU337" i="9" a="1"/>
  <c r="BU337" i="9" s="1"/>
  <c r="CJ307" i="9" a="1"/>
  <c r="CJ307" i="9" s="1"/>
  <c r="CO225" i="9" a="1"/>
  <c r="CO225" i="9" s="1"/>
  <c r="BU170" i="9" a="1"/>
  <c r="BU170" i="9" s="1"/>
  <c r="BT255" i="9" a="1"/>
  <c r="BT255" i="9" s="1"/>
  <c r="BU255" i="9" a="1"/>
  <c r="BU255" i="9" s="1"/>
  <c r="CF267" i="9" a="1"/>
  <c r="CF267" i="9" s="1"/>
  <c r="BL394" i="9" a="1"/>
  <c r="BL394" i="9" s="1"/>
  <c r="CN914" i="9" a="1"/>
  <c r="CN914" i="9" s="1"/>
  <c r="CO914" i="9" a="1"/>
  <c r="CO914" i="9" s="1"/>
  <c r="BU951" i="9" a="1"/>
  <c r="BU951" i="9" s="1"/>
  <c r="BT951" i="9" a="1"/>
  <c r="BT951" i="9" s="1"/>
  <c r="BN917" i="9"/>
  <c r="BO917" i="9" s="1"/>
  <c r="BZ917" i="9"/>
  <c r="CA917" i="9" s="1"/>
  <c r="CB917" i="9" s="1" a="1"/>
  <c r="CB917" i="9" s="1"/>
  <c r="BU872" i="9" a="1"/>
  <c r="BU872" i="9" s="1"/>
  <c r="BT872" i="9" a="1"/>
  <c r="BT872" i="9" s="1"/>
  <c r="BV864" i="9"/>
  <c r="Q864" i="9" s="1"/>
  <c r="BT882" i="9" a="1"/>
  <c r="BT882" i="9" s="1"/>
  <c r="BU882" i="9" a="1"/>
  <c r="BU882" i="9" s="1"/>
  <c r="CB819" i="9" a="1"/>
  <c r="CB819" i="9" s="1"/>
  <c r="CF819" i="9" a="1"/>
  <c r="CF819" i="9" s="1"/>
  <c r="CF821" i="9" a="1"/>
  <c r="CF821" i="9" s="1"/>
  <c r="BU967" i="9" a="1"/>
  <c r="BU967" i="9" s="1"/>
  <c r="BT967" i="9" a="1"/>
  <c r="BT967" i="9" s="1"/>
  <c r="BT938" i="9" a="1"/>
  <c r="BT938" i="9" s="1"/>
  <c r="BU938" i="9" a="1"/>
  <c r="BU938" i="9" s="1"/>
  <c r="BP885" i="9" a="1"/>
  <c r="BP885" i="9" s="1"/>
  <c r="BT885" i="9" a="1"/>
  <c r="BT885" i="9" s="1"/>
  <c r="BV885" i="9" s="1"/>
  <c r="Q885" i="9" s="1"/>
  <c r="CN901" i="9" a="1"/>
  <c r="CN901" i="9" s="1"/>
  <c r="CO901" i="9" a="1"/>
  <c r="CO901" i="9" s="1"/>
  <c r="CL843" i="9"/>
  <c r="CM843" i="9" s="1"/>
  <c r="BF834" i="9"/>
  <c r="BG834" i="9" s="1"/>
  <c r="BH834" i="9" s="1" a="1"/>
  <c r="BH834" i="9" s="1"/>
  <c r="BJ834" i="9"/>
  <c r="BK834" i="9" s="1"/>
  <c r="BN854" i="9"/>
  <c r="BO854" i="9" s="1"/>
  <c r="BP854" i="9" s="1" a="1"/>
  <c r="BP854" i="9" s="1"/>
  <c r="CH835" i="9"/>
  <c r="CI835" i="9" s="1"/>
  <c r="CJ835" i="9" s="1" a="1"/>
  <c r="CJ835" i="9" s="1"/>
  <c r="BL684" i="9" a="1"/>
  <c r="BL684" i="9" s="1"/>
  <c r="BP684" i="9" a="1"/>
  <c r="BP684" i="9" s="1"/>
  <c r="BU991" i="9" a="1"/>
  <c r="BU991" i="9" s="1"/>
  <c r="BT991" i="9" a="1"/>
  <c r="BT991" i="9" s="1"/>
  <c r="CF934" i="9" a="1"/>
  <c r="CF934" i="9" s="1"/>
  <c r="CP934" i="9" s="1"/>
  <c r="V934" i="9" s="1"/>
  <c r="CB960" i="9" a="1"/>
  <c r="CB960" i="9" s="1"/>
  <c r="CF960" i="9" a="1"/>
  <c r="CF960" i="9" s="1"/>
  <c r="BR843" i="9"/>
  <c r="BS843" i="9" s="1"/>
  <c r="BR925" i="9"/>
  <c r="BS925" i="9" s="1"/>
  <c r="BU755" i="9" a="1"/>
  <c r="BU755" i="9" s="1"/>
  <c r="BT755" i="9" a="1"/>
  <c r="BT755" i="9" s="1"/>
  <c r="CB872" i="9" a="1"/>
  <c r="CB872" i="9" s="1"/>
  <c r="CF872" i="9" a="1"/>
  <c r="CF872" i="9" s="1"/>
  <c r="BT760" i="9" a="1"/>
  <c r="BT760" i="9" s="1"/>
  <c r="BU760" i="9" a="1"/>
  <c r="BU760" i="9" s="1"/>
  <c r="BL768" i="9" a="1"/>
  <c r="BL768" i="9" s="1"/>
  <c r="BN791" i="9"/>
  <c r="BO791" i="9" s="1"/>
  <c r="BR791" i="9"/>
  <c r="BS791" i="9" s="1"/>
  <c r="BZ791" i="9"/>
  <c r="CA791" i="9" s="1"/>
  <c r="CB791" i="9" s="1" a="1"/>
  <c r="CB791" i="9" s="1"/>
  <c r="BF791" i="9"/>
  <c r="BG791" i="9" s="1"/>
  <c r="BH791" i="9" s="1" a="1"/>
  <c r="BH791" i="9" s="1"/>
  <c r="CL791" i="9"/>
  <c r="CM791" i="9" s="1"/>
  <c r="BJ791" i="9"/>
  <c r="BK791" i="9" s="1"/>
  <c r="CD791" i="9"/>
  <c r="CE791" i="9" s="1"/>
  <c r="CF791" i="9" s="1" a="1"/>
  <c r="CF791" i="9" s="1"/>
  <c r="BN777" i="9"/>
  <c r="BO777" i="9" s="1"/>
  <c r="BP777" i="9" s="1" a="1"/>
  <c r="BP777" i="9" s="1"/>
  <c r="BU999" i="9" a="1"/>
  <c r="BU999" i="9" s="1"/>
  <c r="BT999" i="9" a="1"/>
  <c r="BT999" i="9" s="1"/>
  <c r="BJ990" i="9"/>
  <c r="BK990" i="9" s="1"/>
  <c r="BL990" i="9" s="1" a="1"/>
  <c r="BL990" i="9" s="1"/>
  <c r="CN938" i="9" a="1"/>
  <c r="CN938" i="9" s="1"/>
  <c r="CO938" i="9" a="1"/>
  <c r="CO938" i="9" s="1"/>
  <c r="BP966" i="9" a="1"/>
  <c r="BP966" i="9" s="1"/>
  <c r="BT966" i="9" a="1"/>
  <c r="BT966" i="9" s="1"/>
  <c r="BN997" i="9"/>
  <c r="BO997" i="9" s="1"/>
  <c r="BN949" i="9"/>
  <c r="BO949" i="9" s="1"/>
  <c r="CH948" i="9"/>
  <c r="CI948" i="9" s="1"/>
  <c r="BT969" i="9" a="1"/>
  <c r="BT969" i="9" s="1"/>
  <c r="BU969" i="9" a="1"/>
  <c r="BU969" i="9" s="1"/>
  <c r="BU889" i="9" a="1"/>
  <c r="BU889" i="9" s="1"/>
  <c r="BN842" i="9"/>
  <c r="BO842" i="9" s="1"/>
  <c r="CJ900" i="9" a="1"/>
  <c r="CJ900" i="9" s="1"/>
  <c r="CN900" i="9" a="1"/>
  <c r="CN900" i="9" s="1"/>
  <c r="BN908" i="9"/>
  <c r="BO908" i="9" s="1"/>
  <c r="CL852" i="9"/>
  <c r="CM852" i="9" s="1"/>
  <c r="CP879" i="9"/>
  <c r="V879" i="9" s="1"/>
  <c r="CL844" i="9"/>
  <c r="CM844" i="9" s="1"/>
  <c r="BZ844" i="9"/>
  <c r="CA844" i="9" s="1"/>
  <c r="CB844" i="9" s="1" a="1"/>
  <c r="CB844" i="9" s="1"/>
  <c r="BF844" i="9"/>
  <c r="BG844" i="9" s="1"/>
  <c r="BH844" i="9" s="1" a="1"/>
  <c r="BH844" i="9" s="1"/>
  <c r="CJ781" i="9" a="1"/>
  <c r="CJ781" i="9" s="1"/>
  <c r="BJ788" i="9"/>
  <c r="BK788" i="9" s="1"/>
  <c r="BR788" i="9"/>
  <c r="BS788" i="9" s="1"/>
  <c r="BP760" i="9" a="1"/>
  <c r="BP760" i="9" s="1"/>
  <c r="BN742" i="9"/>
  <c r="BO742" i="9" s="1"/>
  <c r="BZ742" i="9"/>
  <c r="CA742" i="9" s="1"/>
  <c r="CB742" i="9" s="1" a="1"/>
  <c r="CB742" i="9" s="1"/>
  <c r="CL742" i="9"/>
  <c r="CM742" i="9" s="1"/>
  <c r="CH742" i="9"/>
  <c r="CI742" i="9" s="1"/>
  <c r="CJ742" i="9" s="1" a="1"/>
  <c r="CJ742" i="9" s="1"/>
  <c r="BJ742" i="9"/>
  <c r="BK742" i="9" s="1"/>
  <c r="BR742" i="9"/>
  <c r="BS742" i="9" s="1"/>
  <c r="BJ1019" i="9"/>
  <c r="BK1019" i="9" s="1"/>
  <c r="BL1019" i="9" s="1" a="1"/>
  <c r="BL1019" i="9" s="1"/>
  <c r="CL1013" i="9"/>
  <c r="CM1013" i="9" s="1"/>
  <c r="BF997" i="9"/>
  <c r="BG997" i="9" s="1"/>
  <c r="BH997" i="9" s="1" a="1"/>
  <c r="BH997" i="9" s="1"/>
  <c r="BH956" i="9" a="1"/>
  <c r="BH956" i="9" s="1"/>
  <c r="BL956" i="9" a="1"/>
  <c r="BL956" i="9" s="1"/>
  <c r="CJ937" i="9" a="1"/>
  <c r="CJ937" i="9" s="1"/>
  <c r="CN937" i="9" a="1"/>
  <c r="CN937" i="9" s="1"/>
  <c r="BR902" i="9"/>
  <c r="BS902" i="9" s="1"/>
  <c r="CL1003" i="9"/>
  <c r="CM1003" i="9" s="1"/>
  <c r="BR948" i="9"/>
  <c r="BS948" i="9" s="1"/>
  <c r="BR891" i="9"/>
  <c r="BS891" i="9" s="1"/>
  <c r="BJ907" i="9"/>
  <c r="BK907" i="9" s="1"/>
  <c r="BN907" i="9"/>
  <c r="BO907" i="9" s="1"/>
  <c r="BF907" i="9"/>
  <c r="BG907" i="9" s="1"/>
  <c r="BH907" i="9" s="1" a="1"/>
  <c r="BH907" i="9" s="1"/>
  <c r="CL907" i="9"/>
  <c r="CM907" i="9" s="1"/>
  <c r="BF888" i="9"/>
  <c r="BG888" i="9" s="1"/>
  <c r="BH888" i="9" s="1" a="1"/>
  <c r="BH888" i="9" s="1"/>
  <c r="CH888" i="9"/>
  <c r="CI888" i="9" s="1"/>
  <c r="CJ888" i="9" s="1" a="1"/>
  <c r="CJ888" i="9" s="1"/>
  <c r="BZ888" i="9"/>
  <c r="CA888" i="9" s="1"/>
  <c r="CB888" i="9" s="1" a="1"/>
  <c r="CB888" i="9" s="1"/>
  <c r="BJ817" i="9"/>
  <c r="BK817" i="9" s="1"/>
  <c r="BL817" i="9" s="1" a="1"/>
  <c r="BL817" i="9" s="1"/>
  <c r="CH826" i="9"/>
  <c r="CI826" i="9" s="1"/>
  <c r="CJ826" i="9" s="1" a="1"/>
  <c r="CJ826" i="9" s="1"/>
  <c r="CL824" i="9"/>
  <c r="CM824" i="9" s="1"/>
  <c r="BN894" i="9"/>
  <c r="BO894" i="9" s="1"/>
  <c r="BL812" i="9" a="1"/>
  <c r="BL812" i="9" s="1"/>
  <c r="BP812" i="9" a="1"/>
  <c r="BP812" i="9" s="1"/>
  <c r="BU747" i="9" a="1"/>
  <c r="BU747" i="9" s="1"/>
  <c r="BT747" i="9" a="1"/>
  <c r="BT747" i="9" s="1"/>
  <c r="BN745" i="9"/>
  <c r="BO745" i="9" s="1"/>
  <c r="BP745" i="9" s="1" a="1"/>
  <c r="BP745" i="9" s="1"/>
  <c r="BT1008" i="9" a="1"/>
  <c r="BT1008" i="9" s="1"/>
  <c r="BU1008" i="9" a="1"/>
  <c r="BU1008" i="9" s="1"/>
  <c r="BJ981" i="9"/>
  <c r="BK981" i="9" s="1"/>
  <c r="BL981" i="9" s="1" a="1"/>
  <c r="BL981" i="9" s="1"/>
  <c r="BP959" i="9" a="1"/>
  <c r="BP959" i="9" s="1"/>
  <c r="CN946" i="9" a="1"/>
  <c r="CN946" i="9" s="1"/>
  <c r="CO946" i="9" a="1"/>
  <c r="CO946" i="9" s="1"/>
  <c r="CJ1021" i="9" a="1"/>
  <c r="CJ1021" i="9" s="1"/>
  <c r="BU959" i="9" a="1"/>
  <c r="BU959" i="9" s="1"/>
  <c r="BT959" i="9" a="1"/>
  <c r="BT959" i="9" s="1"/>
  <c r="CJ926" i="9" a="1"/>
  <c r="CJ926" i="9" s="1"/>
  <c r="BZ987" i="9"/>
  <c r="CA987" i="9" s="1"/>
  <c r="CB987" i="9" s="1" a="1"/>
  <c r="CB987" i="9" s="1"/>
  <c r="BF902" i="9"/>
  <c r="BG902" i="9" s="1"/>
  <c r="BH902" i="9" s="1" a="1"/>
  <c r="BH902" i="9" s="1"/>
  <c r="BP912" i="9" a="1"/>
  <c r="BP912" i="9" s="1"/>
  <c r="BT912" i="9" a="1"/>
  <c r="BT912" i="9" s="1"/>
  <c r="BZ886" i="9"/>
  <c r="CA886" i="9" s="1"/>
  <c r="CB886" i="9" s="1" a="1"/>
  <c r="CB886" i="9" s="1"/>
  <c r="BR897" i="9"/>
  <c r="BS897" i="9" s="1"/>
  <c r="CO850" i="9" a="1"/>
  <c r="CO850" i="9" s="1"/>
  <c r="CN850" i="9" a="1"/>
  <c r="CN850" i="9" s="1"/>
  <c r="BL858" i="9" a="1"/>
  <c r="BL858" i="9" s="1"/>
  <c r="CD873" i="9"/>
  <c r="CE873" i="9" s="1"/>
  <c r="CF873" i="9" s="1" a="1"/>
  <c r="CF873" i="9" s="1"/>
  <c r="BR793" i="9"/>
  <c r="BS793" i="9" s="1"/>
  <c r="CO773" i="9" a="1"/>
  <c r="CO773" i="9" s="1"/>
  <c r="CN773" i="9" a="1"/>
  <c r="CN773" i="9" s="1"/>
  <c r="CN738" i="9" a="1"/>
  <c r="CN738" i="9" s="1"/>
  <c r="CO738" i="9" a="1"/>
  <c r="CO738" i="9" s="1"/>
  <c r="CD788" i="9"/>
  <c r="CE788" i="9" s="1"/>
  <c r="CF788" i="9" s="1" a="1"/>
  <c r="CF788" i="9" s="1"/>
  <c r="BZ859" i="9"/>
  <c r="CA859" i="9" s="1"/>
  <c r="CB859" i="9" s="1" a="1"/>
  <c r="CB859" i="9" s="1"/>
  <c r="BF859" i="9"/>
  <c r="BG859" i="9" s="1"/>
  <c r="BH859" i="9" s="1" a="1"/>
  <c r="BH859" i="9" s="1"/>
  <c r="BJ859" i="9"/>
  <c r="BK859" i="9" s="1"/>
  <c r="CD859" i="9"/>
  <c r="CE859" i="9" s="1"/>
  <c r="CN754" i="9" a="1"/>
  <c r="CN754" i="9" s="1"/>
  <c r="CO754" i="9" a="1"/>
  <c r="CO754" i="9" s="1"/>
  <c r="BJ995" i="9"/>
  <c r="BK995" i="9" s="1"/>
  <c r="BL999" i="9" a="1"/>
  <c r="BL999" i="9" s="1"/>
  <c r="BT958" i="9" a="1"/>
  <c r="BT958" i="9" s="1"/>
  <c r="BU958" i="9" a="1"/>
  <c r="BU958" i="9" s="1"/>
  <c r="CL894" i="9"/>
  <c r="CM894" i="9" s="1"/>
  <c r="BF925" i="9"/>
  <c r="BG925" i="9" s="1"/>
  <c r="BH925" i="9" s="1" a="1"/>
  <c r="BH925" i="9" s="1"/>
  <c r="BF876" i="9"/>
  <c r="BG876" i="9" s="1"/>
  <c r="BH876" i="9" s="1" a="1"/>
  <c r="BH876" i="9" s="1"/>
  <c r="CH902" i="9"/>
  <c r="CI902" i="9" s="1"/>
  <c r="BU922" i="9" a="1"/>
  <c r="BU922" i="9" s="1"/>
  <c r="BT922" i="9" a="1"/>
  <c r="BT922" i="9" s="1"/>
  <c r="BR884" i="9"/>
  <c r="BS884" i="9" s="1"/>
  <c r="CH814" i="9"/>
  <c r="CI814" i="9" s="1"/>
  <c r="CJ814" i="9" s="1" a="1"/>
  <c r="CJ814" i="9" s="1"/>
  <c r="CB741" i="9" a="1"/>
  <c r="CB741" i="9" s="1"/>
  <c r="CF741" i="9" a="1"/>
  <c r="CF741" i="9" s="1"/>
  <c r="CN757" i="9" a="1"/>
  <c r="CN757" i="9" s="1"/>
  <c r="CO757" i="9" a="1"/>
  <c r="CO757" i="9" s="1"/>
  <c r="BP1007" i="9" a="1"/>
  <c r="BP1007" i="9" s="1"/>
  <c r="CN1016" i="9" a="1"/>
  <c r="CN1016" i="9" s="1"/>
  <c r="CO1016" i="9" a="1"/>
  <c r="CO1016" i="9" s="1"/>
  <c r="BF998" i="9"/>
  <c r="BG998" i="9" s="1"/>
  <c r="BH998" i="9" s="1" a="1"/>
  <c r="BH998" i="9" s="1"/>
  <c r="CH1003" i="9"/>
  <c r="CI1003" i="9" s="1"/>
  <c r="BF891" i="9"/>
  <c r="BG891" i="9" s="1"/>
  <c r="BH891" i="9" s="1" a="1"/>
  <c r="BH891" i="9" s="1"/>
  <c r="CL917" i="9"/>
  <c r="CM917" i="9" s="1"/>
  <c r="CF811" i="9" a="1"/>
  <c r="CF811" i="9" s="1"/>
  <c r="CJ811" i="9" a="1"/>
  <c r="CJ811" i="9" s="1"/>
  <c r="CO821" i="9" a="1"/>
  <c r="CO821" i="9" s="1"/>
  <c r="CN821" i="9" a="1"/>
  <c r="CN821" i="9" s="1"/>
  <c r="BU825" i="9" a="1"/>
  <c r="BU825" i="9" s="1"/>
  <c r="BT825" i="9" a="1"/>
  <c r="BT825" i="9" s="1"/>
  <c r="BZ761" i="9"/>
  <c r="CA761" i="9" s="1"/>
  <c r="CB761" i="9" s="1" a="1"/>
  <c r="CB761" i="9" s="1"/>
  <c r="CL761" i="9"/>
  <c r="CM761" i="9" s="1"/>
  <c r="BR761" i="9"/>
  <c r="BS761" i="9" s="1"/>
  <c r="CD761" i="9"/>
  <c r="CE761" i="9" s="1"/>
  <c r="CH761" i="9"/>
  <c r="CI761" i="9" s="1"/>
  <c r="BJ761" i="9"/>
  <c r="BK761" i="9" s="1"/>
  <c r="BF761" i="9"/>
  <c r="BG761" i="9" s="1"/>
  <c r="BH761" i="9" s="1" a="1"/>
  <c r="BH761" i="9" s="1"/>
  <c r="CL764" i="9"/>
  <c r="CM764" i="9" s="1"/>
  <c r="CF961" i="9" a="1"/>
  <c r="CF961" i="9" s="1"/>
  <c r="CO600" i="9" a="1"/>
  <c r="CO600" i="9" s="1"/>
  <c r="CO624" i="9" a="1"/>
  <c r="CO624" i="9" s="1"/>
  <c r="CO606" i="9" a="1"/>
  <c r="CO606" i="9" s="1"/>
  <c r="CN606" i="9" a="1"/>
  <c r="CN606" i="9" s="1"/>
  <c r="BP584" i="9" a="1"/>
  <c r="BP584" i="9" s="1"/>
  <c r="BV584" i="9" s="1"/>
  <c r="Q584" i="9" s="1"/>
  <c r="BP666" i="9" a="1"/>
  <c r="BP666" i="9" s="1"/>
  <c r="CO627" i="9" a="1"/>
  <c r="CO627" i="9" s="1"/>
  <c r="CN627" i="9" a="1"/>
  <c r="CN627" i="9" s="1"/>
  <c r="BU532" i="9" a="1"/>
  <c r="BU532" i="9" s="1"/>
  <c r="BT532" i="9" a="1"/>
  <c r="BT532" i="9" s="1"/>
  <c r="BT637" i="9" a="1"/>
  <c r="BT637" i="9" s="1"/>
  <c r="BU637" i="9" a="1"/>
  <c r="BU637" i="9" s="1"/>
  <c r="CN683" i="9" a="1"/>
  <c r="CN683" i="9" s="1"/>
  <c r="CO683" i="9" a="1"/>
  <c r="CO683" i="9" s="1"/>
  <c r="BT548" i="9" a="1"/>
  <c r="BT548" i="9" s="1"/>
  <c r="BU548" i="9" a="1"/>
  <c r="BU548" i="9" s="1"/>
  <c r="BT582" i="9" a="1"/>
  <c r="BT582" i="9" s="1"/>
  <c r="BU582" i="9" a="1"/>
  <c r="BU582" i="9" s="1"/>
  <c r="BT499" i="9" a="1"/>
  <c r="BT499" i="9" s="1"/>
  <c r="BU499" i="9" a="1"/>
  <c r="BU499" i="9" s="1"/>
  <c r="BL661" i="9" a="1"/>
  <c r="BL661" i="9" s="1"/>
  <c r="BU561" i="9" a="1"/>
  <c r="BU561" i="9" s="1"/>
  <c r="CF473" i="9" a="1"/>
  <c r="CF473" i="9" s="1"/>
  <c r="CJ774" i="9" a="1"/>
  <c r="CJ774" i="9" s="1"/>
  <c r="BU600" i="9" a="1"/>
  <c r="BU600" i="9" s="1"/>
  <c r="BL730" i="9" a="1"/>
  <c r="BL730" i="9" s="1"/>
  <c r="CF661" i="9" a="1"/>
  <c r="CF661" i="9" s="1"/>
  <c r="CN497" i="9" a="1"/>
  <c r="CN497" i="9" s="1"/>
  <c r="CO497" i="9" a="1"/>
  <c r="CO497" i="9" s="1"/>
  <c r="CN658" i="9" a="1"/>
  <c r="CN658" i="9" s="1"/>
  <c r="CO658" i="9" a="1"/>
  <c r="CO658" i="9" s="1"/>
  <c r="CF507" i="9" a="1"/>
  <c r="CF507" i="9" s="1"/>
  <c r="CJ584" i="9" a="1"/>
  <c r="CJ584" i="9" s="1"/>
  <c r="CO611" i="9" a="1"/>
  <c r="CO611" i="9" s="1"/>
  <c r="CN611" i="9" a="1"/>
  <c r="CN611" i="9" s="1"/>
  <c r="CO590" i="9" a="1"/>
  <c r="CO590" i="9" s="1"/>
  <c r="CN590" i="9" a="1"/>
  <c r="CN590" i="9" s="1"/>
  <c r="BL548" i="9" a="1"/>
  <c r="BL548" i="9" s="1"/>
  <c r="BU329" i="9" a="1"/>
  <c r="BU329" i="9" s="1"/>
  <c r="CO288" i="9" a="1"/>
  <c r="CO288" i="9" s="1"/>
  <c r="CN227" i="9" a="1"/>
  <c r="CN227" i="9" s="1"/>
  <c r="CO227" i="9" a="1"/>
  <c r="CO227" i="9" s="1"/>
  <c r="CO223" i="9" a="1"/>
  <c r="CO223" i="9" s="1"/>
  <c r="BU465" i="9" a="1"/>
  <c r="BU465" i="9" s="1"/>
  <c r="BT465" i="9" a="1"/>
  <c r="BT465" i="9" s="1"/>
  <c r="BU356" i="9" a="1"/>
  <c r="BU356" i="9" s="1"/>
  <c r="CN246" i="9" a="1"/>
  <c r="CN246" i="9" s="1"/>
  <c r="CO246" i="9" a="1"/>
  <c r="CO246" i="9" s="1"/>
  <c r="CN226" i="9" a="1"/>
  <c r="CN226" i="9" s="1"/>
  <c r="CO226" i="9" a="1"/>
  <c r="CO226" i="9" s="1"/>
  <c r="BT394" i="9" a="1"/>
  <c r="BT394" i="9" s="1"/>
  <c r="BU394" i="9" a="1"/>
  <c r="BU394" i="9" s="1"/>
  <c r="BU384" i="9" a="1"/>
  <c r="BU384" i="9" s="1"/>
  <c r="BP263" i="9" a="1"/>
  <c r="BP263" i="9" s="1"/>
  <c r="BU207" i="9" a="1"/>
  <c r="BU207" i="9" s="1"/>
  <c r="BT207" i="9" a="1"/>
  <c r="BT207" i="9" s="1"/>
  <c r="CO179" i="9" a="1"/>
  <c r="CO179" i="9" s="1"/>
  <c r="CN179" i="9" a="1"/>
  <c r="CN179" i="9" s="1"/>
  <c r="BU155" i="9" a="1"/>
  <c r="BU155" i="9" s="1"/>
  <c r="BT383" i="9" a="1"/>
  <c r="BT383" i="9" s="1"/>
  <c r="BU383" i="9" a="1"/>
  <c r="BU383" i="9" s="1"/>
  <c r="BU289" i="9" a="1"/>
  <c r="BU289" i="9" s="1"/>
  <c r="BT289" i="9" a="1"/>
  <c r="BT289" i="9" s="1"/>
  <c r="CN258" i="9" a="1"/>
  <c r="CN258" i="9" s="1"/>
  <c r="CO258" i="9" a="1"/>
  <c r="CO258" i="9" s="1"/>
  <c r="BT168" i="9" a="1"/>
  <c r="BT168" i="9" s="1"/>
  <c r="BU168" i="9" a="1"/>
  <c r="BU168" i="9" s="1"/>
  <c r="CF399" i="9" a="1"/>
  <c r="CF399" i="9" s="1"/>
  <c r="BU326" i="9" a="1"/>
  <c r="BU326" i="9" s="1"/>
  <c r="BP168" i="9" a="1"/>
  <c r="BP168" i="9" s="1"/>
  <c r="BU313" i="9" a="1"/>
  <c r="BU313" i="9" s="1"/>
  <c r="BT313" i="9" a="1"/>
  <c r="BT313" i="9" s="1"/>
  <c r="CJ399" i="9" a="1"/>
  <c r="CJ399" i="9" s="1"/>
  <c r="CO349" i="9" a="1"/>
  <c r="CO349" i="9" s="1"/>
  <c r="CN349" i="9" a="1"/>
  <c r="CN349" i="9" s="1"/>
  <c r="CF266" i="9" a="1"/>
  <c r="CF266" i="9" s="1"/>
  <c r="BU406" i="9" a="1"/>
  <c r="BU406" i="9" s="1"/>
  <c r="BT406" i="9" a="1"/>
  <c r="BT406" i="9" s="1"/>
  <c r="CF310" i="9" a="1"/>
  <c r="CF310" i="9" s="1"/>
  <c r="CO197" i="9" a="1"/>
  <c r="CO197" i="9" s="1"/>
  <c r="CN197" i="9" a="1"/>
  <c r="CN197" i="9" s="1"/>
  <c r="BT127" i="9" a="1"/>
  <c r="BT127" i="9" s="1"/>
  <c r="BU127" i="9" a="1"/>
  <c r="BU127" i="9" s="1"/>
  <c r="CN956" i="9" a="1"/>
  <c r="CN956" i="9" s="1"/>
  <c r="CO956" i="9" a="1"/>
  <c r="CO956" i="9" s="1"/>
  <c r="CB976" i="9" a="1"/>
  <c r="CB976" i="9" s="1"/>
  <c r="CF976" i="9" a="1"/>
  <c r="CF976" i="9" s="1"/>
  <c r="BU945" i="9" a="1"/>
  <c r="BU945" i="9" s="1"/>
  <c r="BT945" i="9" a="1"/>
  <c r="BT945" i="9" s="1"/>
  <c r="BU899" i="9" a="1"/>
  <c r="BU899" i="9" s="1"/>
  <c r="BT899" i="9" a="1"/>
  <c r="BT899" i="9" s="1"/>
  <c r="CD849" i="9"/>
  <c r="CE849" i="9" s="1"/>
  <c r="CF849" i="9" s="1" a="1"/>
  <c r="CF849" i="9" s="1"/>
  <c r="BN852" i="9"/>
  <c r="BO852" i="9" s="1"/>
  <c r="BP852" i="9" s="1" a="1"/>
  <c r="BP852" i="9" s="1"/>
  <c r="CD852" i="9"/>
  <c r="CE852" i="9" s="1"/>
  <c r="BF852" i="9"/>
  <c r="BG852" i="9" s="1"/>
  <c r="BH852" i="9" s="1" a="1"/>
  <c r="BH852" i="9" s="1"/>
  <c r="BZ852" i="9"/>
  <c r="CA852" i="9" s="1"/>
  <c r="CB852" i="9" s="1" a="1"/>
  <c r="CB852" i="9" s="1"/>
  <c r="CH852" i="9"/>
  <c r="CI852" i="9" s="1"/>
  <c r="CJ852" i="9" s="1" a="1"/>
  <c r="CJ852" i="9" s="1"/>
  <c r="CJ822" i="9" a="1"/>
  <c r="CJ822" i="9" s="1"/>
  <c r="BP819" i="9" a="1"/>
  <c r="BP819" i="9" s="1"/>
  <c r="BP818" i="9" a="1"/>
  <c r="BP818" i="9" s="1"/>
  <c r="BT818" i="9" a="1"/>
  <c r="BT818" i="9" s="1"/>
  <c r="BF1003" i="9"/>
  <c r="BG1003" i="9" s="1"/>
  <c r="BH1003" i="9" s="1" a="1"/>
  <c r="BH1003" i="9" s="1"/>
  <c r="BL930" i="9" a="1"/>
  <c r="BL930" i="9" s="1"/>
  <c r="BP930" i="9" a="1"/>
  <c r="BP930" i="9" s="1"/>
  <c r="BL890" i="9" a="1"/>
  <c r="BL890" i="9" s="1"/>
  <c r="CN828" i="9" a="1"/>
  <c r="CN828" i="9" s="1"/>
  <c r="CO828" i="9" a="1"/>
  <c r="CO828" i="9" s="1"/>
  <c r="BN769" i="9"/>
  <c r="BO769" i="9" s="1"/>
  <c r="BP769" i="9" s="1" a="1"/>
  <c r="BP769" i="9" s="1"/>
  <c r="CN1007" i="9" a="1"/>
  <c r="CN1007" i="9" s="1"/>
  <c r="CO1007" i="9" a="1"/>
  <c r="CO1007" i="9" s="1"/>
  <c r="CJ905" i="9" a="1"/>
  <c r="CJ905" i="9" s="1"/>
  <c r="CN905" i="9" a="1"/>
  <c r="CN905" i="9" s="1"/>
  <c r="CL924" i="9"/>
  <c r="CM924" i="9" s="1"/>
  <c r="BZ939" i="9"/>
  <c r="CA939" i="9" s="1"/>
  <c r="CB939" i="9" s="1" a="1"/>
  <c r="CB939" i="9" s="1"/>
  <c r="BH969" i="9" a="1"/>
  <c r="BH969" i="9" s="1"/>
  <c r="BL969" i="9" a="1"/>
  <c r="BL969" i="9" s="1"/>
  <c r="BT848" i="9" a="1"/>
  <c r="BT848" i="9" s="1"/>
  <c r="BU848" i="9" a="1"/>
  <c r="BU848" i="9" s="1"/>
  <c r="BL739" i="9" a="1"/>
  <c r="BL739" i="9" s="1"/>
  <c r="BP739" i="9" a="1"/>
  <c r="BP739" i="9" s="1"/>
  <c r="BL872" i="9" a="1"/>
  <c r="BL872" i="9" s="1"/>
  <c r="BP872" i="9" a="1"/>
  <c r="BP872" i="9" s="1"/>
  <c r="BF767" i="9"/>
  <c r="BG767" i="9" s="1"/>
  <c r="BH767" i="9" s="1" a="1"/>
  <c r="BH767" i="9" s="1"/>
  <c r="CD767" i="9"/>
  <c r="CE767" i="9" s="1"/>
  <c r="BJ767" i="9"/>
  <c r="BK767" i="9" s="1"/>
  <c r="BN767" i="9"/>
  <c r="BO767" i="9" s="1"/>
  <c r="CL767" i="9"/>
  <c r="CM767" i="9" s="1"/>
  <c r="BZ767" i="9"/>
  <c r="CA767" i="9" s="1"/>
  <c r="CB767" i="9" s="1" a="1"/>
  <c r="CB767" i="9" s="1"/>
  <c r="BR767" i="9"/>
  <c r="BS767" i="9" s="1"/>
  <c r="CD998" i="9"/>
  <c r="CE998" i="9" s="1"/>
  <c r="BT989" i="9" a="1"/>
  <c r="BT989" i="9" s="1"/>
  <c r="BU989" i="9" a="1"/>
  <c r="BU989" i="9" s="1"/>
  <c r="BN1022" i="9"/>
  <c r="BO1022" i="9" s="1"/>
  <c r="BP1022" i="9" s="1" a="1"/>
  <c r="BP1022" i="9" s="1"/>
  <c r="BZ1022" i="9"/>
  <c r="CA1022" i="9" s="1"/>
  <c r="CB1022" i="9" s="1" a="1"/>
  <c r="CB1022" i="9" s="1"/>
  <c r="CL973" i="9"/>
  <c r="CM973" i="9" s="1"/>
  <c r="BZ973" i="9"/>
  <c r="CA973" i="9" s="1"/>
  <c r="CB973" i="9" s="1" a="1"/>
  <c r="CB973" i="9" s="1"/>
  <c r="BF973" i="9"/>
  <c r="BG973" i="9" s="1"/>
  <c r="BH973" i="9" s="1" a="1"/>
  <c r="BH973" i="9" s="1"/>
  <c r="BJ973" i="9"/>
  <c r="BK973" i="9" s="1"/>
  <c r="CB966" i="9" a="1"/>
  <c r="CB966" i="9" s="1"/>
  <c r="CF966" i="9" a="1"/>
  <c r="CF966" i="9" s="1"/>
  <c r="BH972" i="9" a="1"/>
  <c r="BH972" i="9" s="1"/>
  <c r="BL972" i="9" a="1"/>
  <c r="BL972" i="9" s="1"/>
  <c r="CL1006" i="9"/>
  <c r="CM1006" i="9" s="1"/>
  <c r="CD948" i="9"/>
  <c r="CE948" i="9" s="1"/>
  <c r="CF948" i="9" s="1" a="1"/>
  <c r="CF948" i="9" s="1"/>
  <c r="CJ864" i="9" a="1"/>
  <c r="CJ864" i="9" s="1"/>
  <c r="CN864" i="9" a="1"/>
  <c r="CN864" i="9" s="1"/>
  <c r="BR939" i="9"/>
  <c r="BS939" i="9" s="1"/>
  <c r="CP813" i="9"/>
  <c r="V813" i="9" s="1"/>
  <c r="AB813" i="9" s="1"/>
  <c r="CN885" i="9" a="1"/>
  <c r="CN885" i="9" s="1"/>
  <c r="CO885" i="9" a="1"/>
  <c r="CO885" i="9" s="1"/>
  <c r="CN845" i="9" a="1"/>
  <c r="CN845" i="9" s="1"/>
  <c r="CO845" i="9" a="1"/>
  <c r="CO845" i="9" s="1"/>
  <c r="BJ892" i="9"/>
  <c r="BK892" i="9" s="1"/>
  <c r="BN892" i="9"/>
  <c r="BO892" i="9" s="1"/>
  <c r="BT892" i="9" s="1" a="1"/>
  <c r="BT892" i="9" s="1"/>
  <c r="BZ892" i="9"/>
  <c r="CA892" i="9" s="1"/>
  <c r="CB892" i="9" s="1" a="1"/>
  <c r="CB892" i="9" s="1"/>
  <c r="BF892" i="9"/>
  <c r="BG892" i="9" s="1"/>
  <c r="BH892" i="9" s="1" a="1"/>
  <c r="BH892" i="9" s="1"/>
  <c r="CH892" i="9"/>
  <c r="CI892" i="9" s="1"/>
  <c r="CH842" i="9"/>
  <c r="CI842" i="9" s="1"/>
  <c r="CJ842" i="9" s="1" a="1"/>
  <c r="CJ842" i="9" s="1"/>
  <c r="BT746" i="9" a="1"/>
  <c r="BT746" i="9" s="1"/>
  <c r="BU746" i="9" a="1"/>
  <c r="BU746" i="9" s="1"/>
  <c r="CD824" i="9"/>
  <c r="CE824" i="9" s="1"/>
  <c r="CF824" i="9" s="1" a="1"/>
  <c r="CF824" i="9" s="1"/>
  <c r="CN770" i="9" a="1"/>
  <c r="CN770" i="9" s="1"/>
  <c r="CO770" i="9" a="1"/>
  <c r="CO770" i="9" s="1"/>
  <c r="CN771" i="9" a="1"/>
  <c r="CN771" i="9" s="1"/>
  <c r="CO771" i="9" a="1"/>
  <c r="CO771" i="9" s="1"/>
  <c r="BU782" i="9" a="1"/>
  <c r="BU782" i="9" s="1"/>
  <c r="BT782" i="9" a="1"/>
  <c r="BT782" i="9" s="1"/>
  <c r="BP754" i="9" a="1"/>
  <c r="BP754" i="9" s="1"/>
  <c r="BT754" i="9" a="1"/>
  <c r="BT754" i="9" s="1"/>
  <c r="BF750" i="9"/>
  <c r="BG750" i="9" s="1"/>
  <c r="BH750" i="9" s="1" a="1"/>
  <c r="BH750" i="9" s="1"/>
  <c r="BU1009" i="9" a="1"/>
  <c r="BU1009" i="9" s="1"/>
  <c r="BT1009" i="9" a="1"/>
  <c r="BT1009" i="9" s="1"/>
  <c r="BU911" i="9" a="1"/>
  <c r="BU911" i="9" s="1"/>
  <c r="BT911" i="9" a="1"/>
  <c r="BT911" i="9" s="1"/>
  <c r="BF971" i="9"/>
  <c r="BG971" i="9" s="1"/>
  <c r="BH971" i="9" s="1" a="1"/>
  <c r="BH971" i="9" s="1"/>
  <c r="BJ971" i="9"/>
  <c r="BK971" i="9" s="1"/>
  <c r="BN971" i="9"/>
  <c r="BO971" i="9" s="1"/>
  <c r="CO918" i="9" a="1"/>
  <c r="CO918" i="9" s="1"/>
  <c r="CN918" i="9" a="1"/>
  <c r="CN918" i="9" s="1"/>
  <c r="BZ977" i="9"/>
  <c r="CA977" i="9" s="1"/>
  <c r="CB977" i="9" s="1" a="1"/>
  <c r="CB977" i="9" s="1"/>
  <c r="BP954" i="9" a="1"/>
  <c r="BP954" i="9" s="1"/>
  <c r="BV954" i="9" s="1"/>
  <c r="Q954" i="9" s="1"/>
  <c r="CD897" i="9"/>
  <c r="CE897" i="9" s="1"/>
  <c r="CO904" i="9" a="1"/>
  <c r="CO904" i="9" s="1"/>
  <c r="CN904" i="9" a="1"/>
  <c r="CN904" i="9" s="1"/>
  <c r="BL961" i="9" a="1"/>
  <c r="BL961" i="9" s="1"/>
  <c r="BP961" i="9" a="1"/>
  <c r="BP961" i="9" s="1"/>
  <c r="CB779" i="9" a="1"/>
  <c r="CB779" i="9" s="1"/>
  <c r="CF779" i="9" a="1"/>
  <c r="CF779" i="9" s="1"/>
  <c r="BV760" i="9"/>
  <c r="Q760" i="9" s="1"/>
  <c r="CJ803" i="9" a="1"/>
  <c r="CJ803" i="9" s="1"/>
  <c r="CJ776" i="9" a="1"/>
  <c r="CJ776" i="9" s="1"/>
  <c r="CN776" i="9" a="1"/>
  <c r="CN776" i="9" s="1"/>
  <c r="CL806" i="9"/>
  <c r="CM806" i="9" s="1"/>
  <c r="BJ806" i="9"/>
  <c r="BK806" i="9" s="1"/>
  <c r="BL806" i="9" s="1" a="1"/>
  <c r="BL806" i="9" s="1"/>
  <c r="CH806" i="9"/>
  <c r="CI806" i="9" s="1"/>
  <c r="CJ806" i="9" s="1" a="1"/>
  <c r="CJ806" i="9" s="1"/>
  <c r="BJ815" i="9"/>
  <c r="BK815" i="9" s="1"/>
  <c r="BZ815" i="9"/>
  <c r="CA815" i="9" s="1"/>
  <c r="CB815" i="9" s="1" a="1"/>
  <c r="CB815" i="9" s="1"/>
  <c r="BF815" i="9"/>
  <c r="BG815" i="9" s="1"/>
  <c r="BH815" i="9" s="1" a="1"/>
  <c r="BH815" i="9" s="1"/>
  <c r="CD815" i="9"/>
  <c r="CE815" i="9" s="1"/>
  <c r="CJ815" i="9" s="1" a="1"/>
  <c r="CJ815" i="9" s="1"/>
  <c r="CL815" i="9"/>
  <c r="CM815" i="9" s="1"/>
  <c r="BR815" i="9"/>
  <c r="BS815" i="9" s="1"/>
  <c r="BN815" i="9"/>
  <c r="BO815" i="9" s="1"/>
  <c r="CJ1018" i="9" a="1"/>
  <c r="CJ1018" i="9" s="1"/>
  <c r="CN1018" i="9" a="1"/>
  <c r="CN1018" i="9" s="1"/>
  <c r="BJ987" i="9"/>
  <c r="BK987" i="9" s="1"/>
  <c r="BL987" i="9" s="1" a="1"/>
  <c r="BL987" i="9" s="1"/>
  <c r="BT956" i="9" a="1"/>
  <c r="BT956" i="9" s="1"/>
  <c r="BU956" i="9" a="1"/>
  <c r="BU956" i="9" s="1"/>
  <c r="CJ945" i="9" a="1"/>
  <c r="CJ945" i="9" s="1"/>
  <c r="CN945" i="9" a="1"/>
  <c r="CN945" i="9" s="1"/>
  <c r="CF972" i="9" a="1"/>
  <c r="CF972" i="9" s="1"/>
  <c r="CJ972" i="9" a="1"/>
  <c r="CJ972" i="9" s="1"/>
  <c r="BR1011" i="9"/>
  <c r="BS1011" i="9" s="1"/>
  <c r="CJ927" i="9" a="1"/>
  <c r="CJ927" i="9" s="1"/>
  <c r="CN927" i="9" a="1"/>
  <c r="CN927" i="9" s="1"/>
  <c r="CD964" i="9"/>
  <c r="CE964" i="9" s="1"/>
  <c r="CF964" i="9" s="1" a="1"/>
  <c r="CF964" i="9" s="1"/>
  <c r="CF906" i="9" a="1"/>
  <c r="CF906" i="9" s="1"/>
  <c r="CJ906" i="9" a="1"/>
  <c r="CJ906" i="9" s="1"/>
  <c r="CL884" i="9"/>
  <c r="CM884" i="9" s="1"/>
  <c r="CJ861" i="9" a="1"/>
  <c r="CJ861" i="9" s="1"/>
  <c r="CN861" i="9" a="1"/>
  <c r="CN861" i="9" s="1"/>
  <c r="CJ909" i="9" a="1"/>
  <c r="CJ909" i="9" s="1"/>
  <c r="BJ902" i="9"/>
  <c r="BK902" i="9" s="1"/>
  <c r="BJ849" i="9"/>
  <c r="BK849" i="9" s="1"/>
  <c r="BL849" i="9" s="1" a="1"/>
  <c r="BL849" i="9" s="1"/>
  <c r="CD844" i="9"/>
  <c r="CE844" i="9" s="1"/>
  <c r="CF844" i="9" s="1" a="1"/>
  <c r="CF844" i="9" s="1"/>
  <c r="BU830" i="9" a="1"/>
  <c r="BU830" i="9" s="1"/>
  <c r="BT830" i="9" a="1"/>
  <c r="BT830" i="9" s="1"/>
  <c r="CL790" i="9"/>
  <c r="CM790" i="9" s="1"/>
  <c r="BN849" i="9"/>
  <c r="BO849" i="9" s="1"/>
  <c r="BR852" i="9"/>
  <c r="BS852" i="9" s="1"/>
  <c r="BN788" i="9"/>
  <c r="BO788" i="9" s="1"/>
  <c r="BU766" i="9" a="1"/>
  <c r="BU766" i="9" s="1"/>
  <c r="BT766" i="9" a="1"/>
  <c r="BT766" i="9" s="1"/>
  <c r="CF1016" i="9" a="1"/>
  <c r="CF1016" i="9" s="1"/>
  <c r="CJ1016" i="9" a="1"/>
  <c r="CJ1016" i="9" s="1"/>
  <c r="BH968" i="9" a="1"/>
  <c r="BH968" i="9" s="1"/>
  <c r="BL968" i="9" a="1"/>
  <c r="BL968" i="9" s="1"/>
  <c r="CF956" i="9" a="1"/>
  <c r="CF956" i="9" s="1"/>
  <c r="CP956" i="9" s="1"/>
  <c r="V956" i="9" s="1"/>
  <c r="BR1022" i="9"/>
  <c r="BS1022" i="9" s="1"/>
  <c r="BP918" i="9" a="1"/>
  <c r="BP918" i="9" s="1"/>
  <c r="BV918" i="9" s="1"/>
  <c r="Q918" i="9" s="1"/>
  <c r="BT918" i="9" a="1"/>
  <c r="BT918" i="9" s="1"/>
  <c r="CO1005" i="9" a="1"/>
  <c r="CO1005" i="9" s="1"/>
  <c r="CN1005" i="9" a="1"/>
  <c r="CN1005" i="9" s="1"/>
  <c r="CO847" i="9" a="1"/>
  <c r="CO847" i="9" s="1"/>
  <c r="CN847" i="9" a="1"/>
  <c r="CN847" i="9" s="1"/>
  <c r="BU859" i="9" a="1"/>
  <c r="BU859" i="9" s="1"/>
  <c r="BT859" i="9" a="1"/>
  <c r="BT859" i="9" s="1"/>
  <c r="CJ840" i="9" a="1"/>
  <c r="CJ840" i="9" s="1"/>
  <c r="CN840" i="9" a="1"/>
  <c r="CN840" i="9" s="1"/>
  <c r="BL803" i="9" a="1"/>
  <c r="BL803" i="9" s="1"/>
  <c r="BP803" i="9" a="1"/>
  <c r="BP803" i="9" s="1"/>
  <c r="BT1000" i="9" a="1"/>
  <c r="BT1000" i="9" s="1"/>
  <c r="BU1000" i="9" a="1"/>
  <c r="BU1000" i="9" s="1"/>
  <c r="CB1004" i="9" a="1"/>
  <c r="CB1004" i="9" s="1"/>
  <c r="CF1004" i="9" a="1"/>
  <c r="CF1004" i="9" s="1"/>
  <c r="BT962" i="9" a="1"/>
  <c r="BT962" i="9" s="1"/>
  <c r="BU962" i="9" a="1"/>
  <c r="BU962" i="9" s="1"/>
  <c r="BN1013" i="9"/>
  <c r="BO1013" i="9" s="1"/>
  <c r="BP1013" i="9" s="1" a="1"/>
  <c r="BP1013" i="9" s="1"/>
  <c r="BV936" i="9"/>
  <c r="Q936" i="9" s="1"/>
  <c r="BL901" i="9" a="1"/>
  <c r="BL901" i="9" s="1"/>
  <c r="BJ841" i="9"/>
  <c r="BK841" i="9" s="1"/>
  <c r="BL841" i="9" s="1" a="1"/>
  <c r="BL841" i="9" s="1"/>
  <c r="CF816" i="9" a="1"/>
  <c r="CF816" i="9" s="1"/>
  <c r="BJ758" i="9"/>
  <c r="BK758" i="9" s="1"/>
  <c r="BL758" i="9" s="1" a="1"/>
  <c r="BL758" i="9" s="1"/>
  <c r="CN737" i="9" a="1"/>
  <c r="CN737" i="9" s="1"/>
  <c r="CO737" i="9" a="1"/>
  <c r="CO737" i="9" s="1"/>
  <c r="BF909" i="9"/>
  <c r="BG909" i="9" s="1"/>
  <c r="BH909" i="9" s="1" a="1"/>
  <c r="BH909" i="9" s="1"/>
  <c r="BP574" i="9" a="1"/>
  <c r="BP574" i="9" s="1"/>
  <c r="CO573" i="9" a="1"/>
  <c r="CO573" i="9" s="1"/>
  <c r="CP1012" i="9"/>
  <c r="V1012" i="9" s="1"/>
  <c r="BU656" i="9" a="1"/>
  <c r="BU656" i="9" s="1"/>
  <c r="BL605" i="9" a="1"/>
  <c r="BL605" i="9" s="1"/>
  <c r="BU550" i="9" a="1"/>
  <c r="BU550" i="9" s="1"/>
  <c r="CN512" i="9" a="1"/>
  <c r="CN512" i="9" s="1"/>
  <c r="CO512" i="9" a="1"/>
  <c r="CO512" i="9" s="1"/>
  <c r="BV832" i="9"/>
  <c r="Q832" i="9" s="1"/>
  <c r="CN666" i="9" a="1"/>
  <c r="CN666" i="9" s="1"/>
  <c r="CO666" i="9" a="1"/>
  <c r="CO666" i="9" s="1"/>
  <c r="BU621" i="9" a="1"/>
  <c r="BU621" i="9" s="1"/>
  <c r="CN691" i="9" a="1"/>
  <c r="CN691" i="9" s="1"/>
  <c r="CO691" i="9" a="1"/>
  <c r="CO691" i="9" s="1"/>
  <c r="BL628" i="9" a="1"/>
  <c r="BL628" i="9" s="1"/>
  <c r="BL672" i="9" a="1"/>
  <c r="BL672" i="9" s="1"/>
  <c r="CF592" i="9" a="1"/>
  <c r="CF592" i="9" s="1"/>
  <c r="CO556" i="9" a="1"/>
  <c r="CO556" i="9" s="1"/>
  <c r="CN556" i="9" a="1"/>
  <c r="CN556" i="9" s="1"/>
  <c r="CO429" i="9" a="1"/>
  <c r="CO429" i="9" s="1"/>
  <c r="CN429" i="9" a="1"/>
  <c r="CN429" i="9" s="1"/>
  <c r="BP683" i="9" a="1"/>
  <c r="BP683" i="9" s="1"/>
  <c r="CF497" i="9" a="1"/>
  <c r="CF497" i="9" s="1"/>
  <c r="CO576" i="9" a="1"/>
  <c r="CO576" i="9" s="1"/>
  <c r="BL512" i="9" a="1"/>
  <c r="BL512" i="9" s="1"/>
  <c r="CO730" i="9" a="1"/>
  <c r="CO730" i="9" s="1"/>
  <c r="CN730" i="9" a="1"/>
  <c r="CN730" i="9" s="1"/>
  <c r="CJ606" i="9" a="1"/>
  <c r="CJ606" i="9" s="1"/>
  <c r="CJ512" i="9" a="1"/>
  <c r="CJ512" i="9" s="1"/>
  <c r="CJ435" i="9" a="1"/>
  <c r="CJ435" i="9" s="1"/>
  <c r="BT473" i="9" a="1"/>
  <c r="BT473" i="9" s="1"/>
  <c r="BU473" i="9" a="1"/>
  <c r="BU473" i="9" s="1"/>
  <c r="CN436" i="9" a="1"/>
  <c r="CN436" i="9" s="1"/>
  <c r="CO436" i="9" a="1"/>
  <c r="CO436" i="9" s="1"/>
  <c r="CN295" i="9" a="1"/>
  <c r="CN295" i="9" s="1"/>
  <c r="CO295" i="9" a="1"/>
  <c r="CO295" i="9" s="1"/>
  <c r="CO217" i="9" a="1"/>
  <c r="CO217" i="9" s="1"/>
  <c r="BU437" i="9" a="1"/>
  <c r="BU437" i="9" s="1"/>
  <c r="CN408" i="9" a="1"/>
  <c r="CN408" i="9" s="1"/>
  <c r="CO408" i="9" a="1"/>
  <c r="CO408" i="9" s="1"/>
  <c r="CO329" i="9" a="1"/>
  <c r="CO329" i="9" s="1"/>
  <c r="BU250" i="9" a="1"/>
  <c r="BU250" i="9" s="1"/>
  <c r="BP305" i="9" a="1"/>
  <c r="BP305" i="9" s="1"/>
  <c r="CF211" i="9" a="1"/>
  <c r="CF211" i="9" s="1"/>
  <c r="CF403" i="9" a="1"/>
  <c r="CF403" i="9" s="1"/>
  <c r="CP403" i="9" s="1"/>
  <c r="V403" i="9" s="1"/>
  <c r="BU307" i="9" a="1"/>
  <c r="BU307" i="9" s="1"/>
  <c r="BP188" i="9" a="1"/>
  <c r="BP188" i="9" s="1"/>
  <c r="BP289" i="9" a="1"/>
  <c r="BP289" i="9" s="1"/>
  <c r="CJ211" i="9" a="1"/>
  <c r="CJ211" i="9" s="1"/>
  <c r="CJ177" i="9" a="1"/>
  <c r="CJ177" i="9" s="1"/>
  <c r="BP267" i="9" a="1"/>
  <c r="BP267" i="9" s="1"/>
  <c r="CJ128" i="9" a="1"/>
  <c r="CJ128" i="9" s="1"/>
  <c r="CJ1019" i="9" a="1"/>
  <c r="CJ1019" i="9" s="1"/>
  <c r="BH976" i="9" a="1"/>
  <c r="BH976" i="9" s="1"/>
  <c r="BL976" i="9" a="1"/>
  <c r="BL976" i="9" s="1"/>
  <c r="CH939" i="9"/>
  <c r="CI939" i="9" s="1"/>
  <c r="CJ939" i="9" s="1" a="1"/>
  <c r="CJ939" i="9" s="1"/>
  <c r="BP893" i="9" a="1"/>
  <c r="BP893" i="9" s="1"/>
  <c r="BT893" i="9" a="1"/>
  <c r="BT893" i="9" s="1"/>
  <c r="CN909" i="9" a="1"/>
  <c r="CN909" i="9" s="1"/>
  <c r="CO909" i="9" a="1"/>
  <c r="CO909" i="9" s="1"/>
  <c r="CB896" i="9" a="1"/>
  <c r="CB896" i="9" s="1"/>
  <c r="CF896" i="9" a="1"/>
  <c r="CF896" i="9" s="1"/>
  <c r="BF883" i="9"/>
  <c r="BG883" i="9" s="1"/>
  <c r="BH883" i="9" s="1" a="1"/>
  <c r="BH883" i="9" s="1"/>
  <c r="BZ883" i="9"/>
  <c r="CA883" i="9" s="1"/>
  <c r="CB883" i="9" s="1" a="1"/>
  <c r="CB883" i="9" s="1"/>
  <c r="BJ883" i="9"/>
  <c r="BK883" i="9" s="1"/>
  <c r="BR883" i="9"/>
  <c r="BS883" i="9" s="1"/>
  <c r="BF823" i="9"/>
  <c r="BG823" i="9" s="1"/>
  <c r="BH823" i="9" s="1" a="1"/>
  <c r="BH823" i="9" s="1"/>
  <c r="CL823" i="9"/>
  <c r="CM823" i="9" s="1"/>
  <c r="CD823" i="9"/>
  <c r="CE823" i="9" s="1"/>
  <c r="BN823" i="9"/>
  <c r="BO823" i="9" s="1"/>
  <c r="BZ823" i="9"/>
  <c r="CA823" i="9" s="1"/>
  <c r="CB823" i="9" s="1" a="1"/>
  <c r="CB823" i="9" s="1"/>
  <c r="BJ823" i="9"/>
  <c r="BK823" i="9" s="1"/>
  <c r="BR823" i="9"/>
  <c r="BS823" i="9" s="1"/>
  <c r="CH823" i="9"/>
  <c r="CI823" i="9" s="1"/>
  <c r="CB999" i="9" a="1"/>
  <c r="CB999" i="9" s="1"/>
  <c r="CF999" i="9" a="1"/>
  <c r="CF999" i="9" s="1"/>
  <c r="BT992" i="9" a="1"/>
  <c r="BT992" i="9" s="1"/>
  <c r="BU992" i="9" a="1"/>
  <c r="BU992" i="9" s="1"/>
  <c r="BU940" i="9" a="1"/>
  <c r="BU940" i="9" s="1"/>
  <c r="BT940" i="9" a="1"/>
  <c r="BT940" i="9" s="1"/>
  <c r="BZ1003" i="9"/>
  <c r="CA1003" i="9" s="1"/>
  <c r="CB1003" i="9" s="1" a="1"/>
  <c r="CB1003" i="9" s="1"/>
  <c r="BP920" i="9" a="1"/>
  <c r="BP920" i="9" s="1"/>
  <c r="BT920" i="9" a="1"/>
  <c r="BT920" i="9" s="1"/>
  <c r="BU829" i="9" a="1"/>
  <c r="BU829" i="9" s="1"/>
  <c r="BT829" i="9" a="1"/>
  <c r="BT829" i="9" s="1"/>
  <c r="CF899" i="9" a="1"/>
  <c r="CF899" i="9" s="1"/>
  <c r="CP899" i="9" s="1"/>
  <c r="V899" i="9" s="1"/>
  <c r="CN793" i="9" a="1"/>
  <c r="CN793" i="9" s="1"/>
  <c r="CO793" i="9" a="1"/>
  <c r="CO793" i="9" s="1"/>
  <c r="BZ843" i="9"/>
  <c r="CA843" i="9" s="1"/>
  <c r="CB843" i="9" s="1" a="1"/>
  <c r="CB843" i="9" s="1"/>
  <c r="BF843" i="9"/>
  <c r="BG843" i="9" s="1"/>
  <c r="BH843" i="9" s="1" a="1"/>
  <c r="BH843" i="9" s="1"/>
  <c r="BU1015" i="9" a="1"/>
  <c r="BU1015" i="9" s="1"/>
  <c r="BT1015" i="9" a="1"/>
  <c r="BT1015" i="9" s="1"/>
  <c r="BN897" i="9"/>
  <c r="BO897" i="9" s="1"/>
  <c r="BP897" i="9" s="1" a="1"/>
  <c r="BP897" i="9" s="1"/>
  <c r="BR997" i="9"/>
  <c r="BS997" i="9" s="1"/>
  <c r="CL997" i="9"/>
  <c r="CM997" i="9" s="1"/>
  <c r="BU957" i="9" a="1"/>
  <c r="BU957" i="9" s="1"/>
  <c r="BJ955" i="9"/>
  <c r="BK955" i="9" s="1"/>
  <c r="BF955" i="9"/>
  <c r="BG955" i="9" s="1"/>
  <c r="BH955" i="9" s="1" a="1"/>
  <c r="BH955" i="9" s="1"/>
  <c r="BN955" i="9"/>
  <c r="BO955" i="9" s="1"/>
  <c r="CD955" i="9"/>
  <c r="CE955" i="9" s="1"/>
  <c r="CF955" i="9" s="1" a="1"/>
  <c r="CF955" i="9" s="1"/>
  <c r="BH831" i="9" a="1"/>
  <c r="BH831" i="9" s="1"/>
  <c r="BL831" i="9" a="1"/>
  <c r="BL831" i="9" s="1"/>
  <c r="CN779" i="9" a="1"/>
  <c r="CN779" i="9" s="1"/>
  <c r="CO779" i="9" a="1"/>
  <c r="CO779" i="9" s="1"/>
  <c r="BV872" i="9"/>
  <c r="Q872" i="9" s="1"/>
  <c r="BP867" i="9" a="1"/>
  <c r="BP867" i="9" s="1"/>
  <c r="BN799" i="9"/>
  <c r="BO799" i="9" s="1"/>
  <c r="BR799" i="9"/>
  <c r="BS799" i="9" s="1"/>
  <c r="CD799" i="9"/>
  <c r="CE799" i="9" s="1"/>
  <c r="BZ799" i="9"/>
  <c r="CA799" i="9" s="1"/>
  <c r="CB799" i="9" s="1" a="1"/>
  <c r="CB799" i="9" s="1"/>
  <c r="BF799" i="9"/>
  <c r="BG799" i="9" s="1"/>
  <c r="BH799" i="9" s="1" a="1"/>
  <c r="BH799" i="9" s="1"/>
  <c r="BJ799" i="9"/>
  <c r="BK799" i="9" s="1"/>
  <c r="CL799" i="9"/>
  <c r="CM799" i="9" s="1"/>
  <c r="CB733" i="9" a="1"/>
  <c r="CB733" i="9" s="1"/>
  <c r="CF733" i="9" a="1"/>
  <c r="CF733" i="9" s="1"/>
  <c r="BP996" i="9" a="1"/>
  <c r="BP996" i="9" s="1"/>
  <c r="BT996" i="9" a="1"/>
  <c r="BT996" i="9" s="1"/>
  <c r="BL966" i="9" a="1"/>
  <c r="BL966" i="9" s="1"/>
  <c r="CL990" i="9"/>
  <c r="CM990" i="9" s="1"/>
  <c r="CL849" i="9"/>
  <c r="CM849" i="9" s="1"/>
  <c r="BF897" i="9"/>
  <c r="BG897" i="9" s="1"/>
  <c r="BH897" i="9" s="1" a="1"/>
  <c r="BH897" i="9" s="1"/>
  <c r="BZ949" i="9"/>
  <c r="CA949" i="9" s="1"/>
  <c r="CB949" i="9" s="1" a="1"/>
  <c r="CB949" i="9" s="1"/>
  <c r="BF949" i="9"/>
  <c r="BG949" i="9" s="1"/>
  <c r="BH949" i="9" s="1" a="1"/>
  <c r="BH949" i="9" s="1"/>
  <c r="BJ949" i="9"/>
  <c r="BK949" i="9" s="1"/>
  <c r="BL945" i="9" a="1"/>
  <c r="BL945" i="9" s="1"/>
  <c r="CD868" i="9"/>
  <c r="CE868" i="9" s="1"/>
  <c r="CF868" i="9" s="1" a="1"/>
  <c r="CF868" i="9" s="1"/>
  <c r="CO892" i="9" a="1"/>
  <c r="CO892" i="9" s="1"/>
  <c r="CO739" i="9" a="1"/>
  <c r="CO739" i="9" s="1"/>
  <c r="CN739" i="9" a="1"/>
  <c r="CN739" i="9" s="1"/>
  <c r="BN870" i="9"/>
  <c r="BO870" i="9" s="1"/>
  <c r="BP870" i="9" s="1" a="1"/>
  <c r="BP870" i="9" s="1"/>
  <c r="BP768" i="9" a="1"/>
  <c r="BP768" i="9" s="1"/>
  <c r="CN794" i="9" a="1"/>
  <c r="CN794" i="9" s="1"/>
  <c r="CO794" i="9" a="1"/>
  <c r="CO794" i="9" s="1"/>
  <c r="CO782" i="9" a="1"/>
  <c r="CO782" i="9" s="1"/>
  <c r="CN782" i="9" a="1"/>
  <c r="CN782" i="9" s="1"/>
  <c r="BZ750" i="9"/>
  <c r="CA750" i="9" s="1"/>
  <c r="CB750" i="9" s="1" a="1"/>
  <c r="CB750" i="9" s="1"/>
  <c r="CF986" i="9" a="1"/>
  <c r="CF986" i="9" s="1"/>
  <c r="CJ986" i="9" a="1"/>
  <c r="CJ986" i="9" s="1"/>
  <c r="CD982" i="9"/>
  <c r="CE982" i="9" s="1"/>
  <c r="CF982" i="9" s="1" a="1"/>
  <c r="CF982" i="9" s="1"/>
  <c r="BU906" i="9" a="1"/>
  <c r="BU906" i="9" s="1"/>
  <c r="BT906" i="9" a="1"/>
  <c r="BT906" i="9" s="1"/>
  <c r="BF977" i="9"/>
  <c r="BG977" i="9" s="1"/>
  <c r="BH977" i="9" s="1" a="1"/>
  <c r="BH977" i="9" s="1"/>
  <c r="CJ928" i="9" a="1"/>
  <c r="CJ928" i="9" s="1"/>
  <c r="CN928" i="9" a="1"/>
  <c r="CN928" i="9" s="1"/>
  <c r="BZ965" i="9"/>
  <c r="CA965" i="9" s="1"/>
  <c r="CB965" i="9" s="1" a="1"/>
  <c r="CB965" i="9" s="1"/>
  <c r="CL965" i="9"/>
  <c r="CM965" i="9" s="1"/>
  <c r="BF965" i="9"/>
  <c r="BG965" i="9" s="1"/>
  <c r="BH965" i="9" s="1" a="1"/>
  <c r="BH965" i="9" s="1"/>
  <c r="CJ921" i="9" a="1"/>
  <c r="CJ921" i="9" s="1"/>
  <c r="CN921" i="9" a="1"/>
  <c r="CN921" i="9" s="1"/>
  <c r="BU907" i="9" a="1"/>
  <c r="BU907" i="9" s="1"/>
  <c r="BT907" i="9" a="1"/>
  <c r="BT907" i="9" s="1"/>
  <c r="BL863" i="9" a="1"/>
  <c r="BL863" i="9" s="1"/>
  <c r="BP863" i="9" a="1"/>
  <c r="BP863" i="9" s="1"/>
  <c r="BJ894" i="9"/>
  <c r="BK894" i="9" s="1"/>
  <c r="CL873" i="9"/>
  <c r="CM873" i="9" s="1"/>
  <c r="CL897" i="9"/>
  <c r="CM897" i="9" s="1"/>
  <c r="CJ775" i="9" a="1"/>
  <c r="CJ775" i="9" s="1"/>
  <c r="CN775" i="9" a="1"/>
  <c r="CN775" i="9" s="1"/>
  <c r="BL747" i="9" a="1"/>
  <c r="BL747" i="9" s="1"/>
  <c r="BP797" i="9" a="1"/>
  <c r="BP797" i="9" s="1"/>
  <c r="BT797" i="9" a="1"/>
  <c r="BT797" i="9" s="1"/>
  <c r="CN820" i="9" a="1"/>
  <c r="CN820" i="9" s="1"/>
  <c r="CO820" i="9" a="1"/>
  <c r="CO820" i="9" s="1"/>
  <c r="BN824" i="9"/>
  <c r="BO824" i="9" s="1"/>
  <c r="CJ797" i="9" a="1"/>
  <c r="CJ797" i="9" s="1"/>
  <c r="CN797" i="9" a="1"/>
  <c r="CN797" i="9" s="1"/>
  <c r="BT1016" i="9" a="1"/>
  <c r="BT1016" i="9" s="1"/>
  <c r="BU1016" i="9" a="1"/>
  <c r="BU1016" i="9" s="1"/>
  <c r="BF1006" i="9"/>
  <c r="BG1006" i="9" s="1"/>
  <c r="BH1006" i="9" s="1" a="1"/>
  <c r="BH1006" i="9" s="1"/>
  <c r="CB937" i="9" a="1"/>
  <c r="CB937" i="9" s="1"/>
  <c r="CF937" i="9" a="1"/>
  <c r="CF937" i="9" s="1"/>
  <c r="BJ965" i="9"/>
  <c r="BK965" i="9" s="1"/>
  <c r="BN973" i="9"/>
  <c r="BO973" i="9" s="1"/>
  <c r="BP973" i="9" s="1" a="1"/>
  <c r="BP973" i="9" s="1"/>
  <c r="CF944" i="9" a="1"/>
  <c r="CF944" i="9" s="1"/>
  <c r="CJ944" i="9" a="1"/>
  <c r="CJ944" i="9" s="1"/>
  <c r="BU901" i="9" a="1"/>
  <c r="BU901" i="9" s="1"/>
  <c r="BT901" i="9" a="1"/>
  <c r="BT901" i="9" s="1"/>
  <c r="CH884" i="9"/>
  <c r="CI884" i="9" s="1"/>
  <c r="BZ834" i="9"/>
  <c r="CA834" i="9" s="1"/>
  <c r="CB834" i="9" s="1" a="1"/>
  <c r="CB834" i="9" s="1"/>
  <c r="CL881" i="9"/>
  <c r="CM881" i="9" s="1"/>
  <c r="CH881" i="9"/>
  <c r="CI881" i="9" s="1"/>
  <c r="CJ881" i="9" s="1" a="1"/>
  <c r="CJ881" i="9" s="1"/>
  <c r="BJ881" i="9"/>
  <c r="BK881" i="9" s="1"/>
  <c r="BL881" i="9" s="1" a="1"/>
  <c r="BL881" i="9" s="1"/>
  <c r="BN834" i="9"/>
  <c r="BO834" i="9" s="1"/>
  <c r="BP834" i="9" s="1" a="1"/>
  <c r="BP834" i="9" s="1"/>
  <c r="BR826" i="9"/>
  <c r="BS826" i="9" s="1"/>
  <c r="BF790" i="9"/>
  <c r="BG790" i="9" s="1"/>
  <c r="BH790" i="9" s="1" a="1"/>
  <c r="BH790" i="9" s="1"/>
  <c r="BJ860" i="9"/>
  <c r="BK860" i="9" s="1"/>
  <c r="BL860" i="9" s="1" a="1"/>
  <c r="BL860" i="9" s="1"/>
  <c r="BN860" i="9"/>
  <c r="BO860" i="9" s="1"/>
  <c r="BP860" i="9" s="1" a="1"/>
  <c r="BP860" i="9" s="1"/>
  <c r="BZ860" i="9"/>
  <c r="CA860" i="9" s="1"/>
  <c r="CB860" i="9" s="1" a="1"/>
  <c r="CB860" i="9" s="1"/>
  <c r="BR860" i="9"/>
  <c r="BS860" i="9" s="1"/>
  <c r="CD843" i="9"/>
  <c r="CE843" i="9" s="1"/>
  <c r="CF843" i="9" s="1" a="1"/>
  <c r="CF843" i="9" s="1"/>
  <c r="BJ857" i="9"/>
  <c r="BK857" i="9" s="1"/>
  <c r="BL857" i="9" s="1" a="1"/>
  <c r="BL857" i="9" s="1"/>
  <c r="CL857" i="9"/>
  <c r="CM857" i="9" s="1"/>
  <c r="CJ789" i="9" a="1"/>
  <c r="CJ789" i="9" s="1"/>
  <c r="CN789" i="9" a="1"/>
  <c r="CN789" i="9" s="1"/>
  <c r="CF746" i="9" a="1"/>
  <c r="CF746" i="9" s="1"/>
  <c r="CP746" i="9" s="1"/>
  <c r="V746" i="9" s="1"/>
  <c r="CJ958" i="9" a="1"/>
  <c r="CJ958" i="9" s="1"/>
  <c r="CD995" i="9"/>
  <c r="CE995" i="9" s="1"/>
  <c r="CF995" i="9" s="1" a="1"/>
  <c r="CF995" i="9" s="1"/>
  <c r="BF842" i="9"/>
  <c r="BG842" i="9" s="1"/>
  <c r="BH842" i="9" s="1" a="1"/>
  <c r="BH842" i="9" s="1"/>
  <c r="BJ827" i="9"/>
  <c r="BK827" i="9" s="1"/>
  <c r="BZ826" i="9"/>
  <c r="CA826" i="9" s="1"/>
  <c r="CB826" i="9" s="1" a="1"/>
  <c r="CB826" i="9" s="1"/>
  <c r="CO803" i="9" a="1"/>
  <c r="CO803" i="9" s="1"/>
  <c r="CN803" i="9" a="1"/>
  <c r="CN803" i="9" s="1"/>
  <c r="BN806" i="9"/>
  <c r="BO806" i="9" s="1"/>
  <c r="BP806" i="9" s="1" a="1"/>
  <c r="BP806" i="9" s="1"/>
  <c r="CB994" i="9" a="1"/>
  <c r="CB994" i="9" s="1"/>
  <c r="CF994" i="9" a="1"/>
  <c r="CF994" i="9" s="1"/>
  <c r="CN926" i="9" a="1"/>
  <c r="CN926" i="9" s="1"/>
  <c r="CO926" i="9" a="1"/>
  <c r="CO926" i="9" s="1"/>
  <c r="CL891" i="9"/>
  <c r="CM891" i="9" s="1"/>
  <c r="BU816" i="9" a="1"/>
  <c r="BU816" i="9" s="1"/>
  <c r="BT816" i="9" a="1"/>
  <c r="BT816" i="9" s="1"/>
  <c r="CO882" i="9" a="1"/>
  <c r="CO882" i="9" s="1"/>
  <c r="CN882" i="9" a="1"/>
  <c r="CN882" i="9" s="1"/>
  <c r="BN844" i="9"/>
  <c r="BO844" i="9" s="1"/>
  <c r="BP844" i="9" s="1" a="1"/>
  <c r="BP844" i="9" s="1"/>
  <c r="BP787" i="9" a="1"/>
  <c r="BP787" i="9" s="1"/>
  <c r="BU787" i="9" a="1"/>
  <c r="BU787" i="9" s="1"/>
  <c r="BT787" i="9" a="1"/>
  <c r="BT787" i="9" s="1"/>
  <c r="CN744" i="9" a="1"/>
  <c r="CN744" i="9" s="1"/>
  <c r="CO744" i="9" a="1"/>
  <c r="CO744" i="9" s="1"/>
  <c r="BP937" i="9" a="1"/>
  <c r="BP937" i="9" s="1"/>
  <c r="BV937" i="9" s="1"/>
  <c r="Q937" i="9" s="1"/>
  <c r="CJ715" i="9" a="1"/>
  <c r="CJ715" i="9" s="1"/>
  <c r="BU605" i="9" a="1"/>
  <c r="BU605" i="9" s="1"/>
  <c r="CO553" i="9" a="1"/>
  <c r="CO553" i="9" s="1"/>
  <c r="CN553" i="9" a="1"/>
  <c r="CN553" i="9" s="1"/>
  <c r="BU731" i="9" a="1"/>
  <c r="BU731" i="9" s="1"/>
  <c r="BT774" i="9" a="1"/>
  <c r="BT774" i="9" s="1"/>
  <c r="BU774" i="9" a="1"/>
  <c r="BU774" i="9" s="1"/>
  <c r="CO645" i="9" a="1"/>
  <c r="CO645" i="9" s="1"/>
  <c r="CO653" i="9" a="1"/>
  <c r="CO653" i="9" s="1"/>
  <c r="CJ603" i="9" a="1"/>
  <c r="CJ603" i="9" s="1"/>
  <c r="CO722" i="9" a="1"/>
  <c r="CO722" i="9" s="1"/>
  <c r="CN722" i="9" a="1"/>
  <c r="CN722" i="9" s="1"/>
  <c r="CP661" i="9"/>
  <c r="V661" i="9" s="1"/>
  <c r="CN650" i="9" a="1"/>
  <c r="CN650" i="9" s="1"/>
  <c r="CO650" i="9" a="1"/>
  <c r="CO650" i="9" s="1"/>
  <c r="BP518" i="9" a="1"/>
  <c r="BP518" i="9" s="1"/>
  <c r="BU472" i="9" a="1"/>
  <c r="BU472" i="9" s="1"/>
  <c r="BT472" i="9" a="1"/>
  <c r="BT472" i="9" s="1"/>
  <c r="BU730" i="9" a="1"/>
  <c r="BU730" i="9" s="1"/>
  <c r="BT730" i="9" a="1"/>
  <c r="BT730" i="9" s="1"/>
  <c r="CO582" i="9" a="1"/>
  <c r="CO582" i="9" s="1"/>
  <c r="CN582" i="9" a="1"/>
  <c r="CN582" i="9" s="1"/>
  <c r="BT512" i="9" a="1"/>
  <c r="BT512" i="9" s="1"/>
  <c r="BU512" i="9" a="1"/>
  <c r="BU512" i="9" s="1"/>
  <c r="BU456" i="9" a="1"/>
  <c r="BU456" i="9" s="1"/>
  <c r="CJ664" i="9" a="1"/>
  <c r="CJ664" i="9" s="1"/>
  <c r="BL592" i="9" a="1"/>
  <c r="BL592" i="9" s="1"/>
  <c r="BU372" i="9" a="1"/>
  <c r="BU372" i="9" s="1"/>
  <c r="CJ258" i="9" a="1"/>
  <c r="CJ258" i="9" s="1"/>
  <c r="CO483" i="9" a="1"/>
  <c r="CO483" i="9" s="1"/>
  <c r="CN483" i="9" a="1"/>
  <c r="CN483" i="9" s="1"/>
  <c r="CO457" i="9" a="1"/>
  <c r="CO457" i="9" s="1"/>
  <c r="CN457" i="9" a="1"/>
  <c r="CN457" i="9" s="1"/>
  <c r="CJ289" i="9" a="1"/>
  <c r="CJ289" i="9" s="1"/>
  <c r="CN296" i="9" a="1"/>
  <c r="CN296" i="9" s="1"/>
  <c r="CO296" i="9" a="1"/>
  <c r="CO296" i="9" s="1"/>
  <c r="BT253" i="9" a="1"/>
  <c r="BT253" i="9" s="1"/>
  <c r="BU253" i="9" a="1"/>
  <c r="BU253" i="9" s="1"/>
  <c r="BT146" i="9" a="1"/>
  <c r="BT146" i="9" s="1"/>
  <c r="BU146" i="9" a="1"/>
  <c r="BU146" i="9" s="1"/>
  <c r="BU345" i="9" a="1"/>
  <c r="BU345" i="9" s="1"/>
  <c r="BU203" i="9" a="1"/>
  <c r="BU203" i="9" s="1"/>
  <c r="BT203" i="9" a="1"/>
  <c r="BT203" i="9" s="1"/>
  <c r="CN310" i="9" a="1"/>
  <c r="CN310" i="9" s="1"/>
  <c r="CO310" i="9" a="1"/>
  <c r="CO310" i="9" s="1"/>
  <c r="BL329" i="9" a="1"/>
  <c r="BL329" i="9" s="1"/>
  <c r="BU258" i="9" a="1"/>
  <c r="BU258" i="9" s="1"/>
  <c r="BP383" i="9" a="1"/>
  <c r="BP383" i="9" s="1"/>
  <c r="CN376" i="9" a="1"/>
  <c r="CN376" i="9" s="1"/>
  <c r="CO376" i="9" a="1"/>
  <c r="CO376" i="9" s="1"/>
  <c r="BL195" i="9" a="1"/>
  <c r="BL195" i="9" s="1"/>
  <c r="BL373" i="9" a="1"/>
  <c r="BL373" i="9" s="1"/>
  <c r="CF305" i="9" a="1"/>
  <c r="CF305" i="9" s="1"/>
  <c r="BP161" i="9" a="1"/>
  <c r="BP161" i="9" s="1"/>
  <c r="CN153" i="9" a="1"/>
  <c r="CN153" i="9" s="1"/>
  <c r="CO153" i="9" a="1"/>
  <c r="CO153" i="9" s="1"/>
  <c r="BZ998" i="9"/>
  <c r="CA998" i="9" s="1"/>
  <c r="CB998" i="9" s="1" a="1"/>
  <c r="CB998" i="9" s="1"/>
  <c r="CH998" i="9"/>
  <c r="CI998" i="9" s="1"/>
  <c r="CJ998" i="9" s="1" a="1"/>
  <c r="CJ998" i="9" s="1"/>
  <c r="BN998" i="9"/>
  <c r="BO998" i="9" s="1"/>
  <c r="BP998" i="9" s="1" a="1"/>
  <c r="BP998" i="9" s="1"/>
  <c r="CL998" i="9"/>
  <c r="CM998" i="9" s="1"/>
  <c r="CF930" i="9" a="1"/>
  <c r="CF930" i="9" s="1"/>
  <c r="CJ930" i="9" a="1"/>
  <c r="CJ930" i="9" s="1"/>
  <c r="BF915" i="9"/>
  <c r="BG915" i="9" s="1"/>
  <c r="BH915" i="9" s="1" a="1"/>
  <c r="BH915" i="9" s="1"/>
  <c r="BJ915" i="9"/>
  <c r="BK915" i="9" s="1"/>
  <c r="BL915" i="9" s="1" a="1"/>
  <c r="BL915" i="9" s="1"/>
  <c r="BN915" i="9"/>
  <c r="BO915" i="9" s="1"/>
  <c r="CD915" i="9"/>
  <c r="CE915" i="9" s="1"/>
  <c r="CF915" i="9" s="1" a="1"/>
  <c r="CF915" i="9" s="1"/>
  <c r="BR915" i="9"/>
  <c r="BS915" i="9" s="1"/>
  <c r="BF932" i="9"/>
  <c r="BG932" i="9" s="1"/>
  <c r="BH932" i="9" s="1" a="1"/>
  <c r="BH932" i="9" s="1"/>
  <c r="CH932" i="9"/>
  <c r="CI932" i="9" s="1"/>
  <c r="CJ932" i="9" s="1" a="1"/>
  <c r="CJ932" i="9" s="1"/>
  <c r="BZ932" i="9"/>
  <c r="CA932" i="9" s="1"/>
  <c r="CB932" i="9" s="1" a="1"/>
  <c r="CB932" i="9" s="1"/>
  <c r="BJ932" i="9"/>
  <c r="BK932" i="9" s="1"/>
  <c r="BH896" i="9" a="1"/>
  <c r="BH896" i="9" s="1"/>
  <c r="BL896" i="9" a="1"/>
  <c r="BL896" i="9" s="1"/>
  <c r="CF812" i="9" a="1"/>
  <c r="CF812" i="9" s="1"/>
  <c r="CB812" i="9" a="1"/>
  <c r="CB812" i="9" s="1"/>
  <c r="BU819" i="9" a="1"/>
  <c r="BU819" i="9" s="1"/>
  <c r="BT819" i="9" a="1"/>
  <c r="BT819" i="9" s="1"/>
  <c r="CJ818" i="9" a="1"/>
  <c r="CJ818" i="9" s="1"/>
  <c r="CP818" i="9" s="1"/>
  <c r="V818" i="9" s="1"/>
  <c r="BP942" i="9" a="1"/>
  <c r="BP942" i="9" s="1"/>
  <c r="BT942" i="9" a="1"/>
  <c r="BT942" i="9" s="1"/>
  <c r="BR1019" i="9"/>
  <c r="BS1019" i="9" s="1"/>
  <c r="BP904" i="9" a="1"/>
  <c r="BP904" i="9" s="1"/>
  <c r="BT904" i="9" a="1"/>
  <c r="BT904" i="9" s="1"/>
  <c r="BZ924" i="9"/>
  <c r="CA924" i="9" s="1"/>
  <c r="CB924" i="9" s="1" a="1"/>
  <c r="CB924" i="9" s="1"/>
  <c r="BF924" i="9"/>
  <c r="BG924" i="9" s="1"/>
  <c r="BH924" i="9" s="1" a="1"/>
  <c r="BH924" i="9" s="1"/>
  <c r="BP840" i="9" a="1"/>
  <c r="BP840" i="9" s="1"/>
  <c r="CO834" i="9" a="1"/>
  <c r="CO834" i="9" s="1"/>
  <c r="CN834" i="9" a="1"/>
  <c r="CN834" i="9" s="1"/>
  <c r="CL862" i="9"/>
  <c r="CM862" i="9" s="1"/>
  <c r="CH862" i="9"/>
  <c r="CI862" i="9" s="1"/>
  <c r="CD862" i="9"/>
  <c r="CE862" i="9" s="1"/>
  <c r="BZ862" i="9"/>
  <c r="CA862" i="9" s="1"/>
  <c r="CB862" i="9" s="1" a="1"/>
  <c r="CB862" i="9" s="1"/>
  <c r="BJ862" i="9"/>
  <c r="BK862" i="9" s="1"/>
  <c r="BF862" i="9"/>
  <c r="BG862" i="9" s="1"/>
  <c r="BH862" i="9" s="1" a="1"/>
  <c r="BH862" i="9" s="1"/>
  <c r="CF774" i="9" a="1"/>
  <c r="CF774" i="9" s="1"/>
  <c r="CH777" i="9"/>
  <c r="CI777" i="9" s="1"/>
  <c r="CN1008" i="9" a="1"/>
  <c r="CN1008" i="9" s="1"/>
  <c r="CO1008" i="9" a="1"/>
  <c r="CO1008" i="9" s="1"/>
  <c r="BP992" i="9" a="1"/>
  <c r="BP992" i="9" s="1"/>
  <c r="BT1007" i="9" a="1"/>
  <c r="BT1007" i="9" s="1"/>
  <c r="BU1007" i="9" a="1"/>
  <c r="BU1007" i="9" s="1"/>
  <c r="BN981" i="9"/>
  <c r="BO981" i="9" s="1"/>
  <c r="CL981" i="9"/>
  <c r="CM981" i="9" s="1"/>
  <c r="CJ912" i="9" a="1"/>
  <c r="CJ912" i="9" s="1"/>
  <c r="CN912" i="9" a="1"/>
  <c r="CN912" i="9" s="1"/>
  <c r="CB953" i="9" a="1"/>
  <c r="CB953" i="9" s="1"/>
  <c r="CF953" i="9" a="1"/>
  <c r="CF953" i="9" s="1"/>
  <c r="CB914" i="9" a="1"/>
  <c r="CB914" i="9" s="1"/>
  <c r="CF914" i="9" a="1"/>
  <c r="CF914" i="9" s="1"/>
  <c r="BL845" i="9" a="1"/>
  <c r="BL845" i="9" s="1"/>
  <c r="BF916" i="9"/>
  <c r="BG916" i="9" s="1"/>
  <c r="BH916" i="9" s="1" a="1"/>
  <c r="BH916" i="9" s="1"/>
  <c r="BZ916" i="9"/>
  <c r="CA916" i="9" s="1"/>
  <c r="CB916" i="9" s="1" a="1"/>
  <c r="CB916" i="9" s="1"/>
  <c r="BR916" i="9"/>
  <c r="BS916" i="9" s="1"/>
  <c r="BN883" i="9"/>
  <c r="BO883" i="9" s="1"/>
  <c r="BP883" i="9" s="1" a="1"/>
  <c r="BP883" i="9" s="1"/>
  <c r="BT800" i="9" a="1"/>
  <c r="BT800" i="9" s="1"/>
  <c r="BU800" i="9" a="1"/>
  <c r="BU800" i="9" s="1"/>
  <c r="BN862" i="9"/>
  <c r="BO862" i="9" s="1"/>
  <c r="BT862" i="9" s="1" a="1"/>
  <c r="BT862" i="9" s="1"/>
  <c r="BH733" i="9" a="1"/>
  <c r="BH733" i="9" s="1"/>
  <c r="BL733" i="9" a="1"/>
  <c r="BL733" i="9" s="1"/>
  <c r="CB980" i="9" a="1"/>
  <c r="CB980" i="9" s="1"/>
  <c r="CF980" i="9" a="1"/>
  <c r="CF980" i="9" s="1"/>
  <c r="CB991" i="9" a="1"/>
  <c r="CB991" i="9" s="1"/>
  <c r="CF991" i="9" a="1"/>
  <c r="CF991" i="9" s="1"/>
  <c r="CB912" i="9" a="1"/>
  <c r="CB912" i="9" s="1"/>
  <c r="CB969" i="9" a="1"/>
  <c r="CB969" i="9" s="1"/>
  <c r="CF969" i="9" a="1"/>
  <c r="CF969" i="9" s="1"/>
  <c r="CB938" i="9" a="1"/>
  <c r="CB938" i="9" s="1"/>
  <c r="CF938" i="9" a="1"/>
  <c r="CF938" i="9" s="1"/>
  <c r="BT837" i="9" a="1"/>
  <c r="BT837" i="9" s="1"/>
  <c r="BU837" i="9" a="1"/>
  <c r="BU837" i="9" s="1"/>
  <c r="BZ897" i="9"/>
  <c r="CA897" i="9" s="1"/>
  <c r="CB897" i="9" s="1" a="1"/>
  <c r="CB897" i="9" s="1"/>
  <c r="CD933" i="9"/>
  <c r="CE933" i="9" s="1"/>
  <c r="CF933" i="9" s="1" a="1"/>
  <c r="CF933" i="9" s="1"/>
  <c r="BJ933" i="9"/>
  <c r="BK933" i="9" s="1"/>
  <c r="BN933" i="9"/>
  <c r="BO933" i="9" s="1"/>
  <c r="CD924" i="9"/>
  <c r="CE924" i="9" s="1"/>
  <c r="CJ924" i="9" s="1" a="1"/>
  <c r="CJ924" i="9" s="1"/>
  <c r="BP794" i="9" a="1"/>
  <c r="BP794" i="9" s="1"/>
  <c r="BL899" i="9" a="1"/>
  <c r="BL899" i="9" s="1"/>
  <c r="BV899" i="9" s="1"/>
  <c r="Q899" i="9" s="1"/>
  <c r="AB899" i="9" s="1"/>
  <c r="BU779" i="9" a="1"/>
  <c r="BU779" i="9" s="1"/>
  <c r="BT779" i="9" a="1"/>
  <c r="BT779" i="9" s="1"/>
  <c r="BU844" i="9" a="1"/>
  <c r="BU844" i="9" s="1"/>
  <c r="BT844" i="9" a="1"/>
  <c r="BT844" i="9" s="1"/>
  <c r="BH816" i="9" a="1"/>
  <c r="BH816" i="9" s="1"/>
  <c r="BL816" i="9" a="1"/>
  <c r="BL816" i="9" s="1"/>
  <c r="BL833" i="9" a="1"/>
  <c r="BL833" i="9" s="1"/>
  <c r="CB760" i="9" a="1"/>
  <c r="CB760" i="9" s="1"/>
  <c r="CF760" i="9" a="1"/>
  <c r="CF760" i="9" s="1"/>
  <c r="BR849" i="9"/>
  <c r="BS849" i="9" s="1"/>
  <c r="BJ750" i="9"/>
  <c r="BK750" i="9" s="1"/>
  <c r="BL750" i="9" s="1" a="1"/>
  <c r="BL750" i="9" s="1"/>
  <c r="BJ997" i="9"/>
  <c r="BK997" i="9" s="1"/>
  <c r="BL997" i="9" s="1" a="1"/>
  <c r="BL997" i="9" s="1"/>
  <c r="CD1022" i="9"/>
  <c r="CE1022" i="9" s="1"/>
  <c r="CF1022" i="9" s="1" a="1"/>
  <c r="CF1022" i="9" s="1"/>
  <c r="BJ1014" i="9"/>
  <c r="BK1014" i="9" s="1"/>
  <c r="BL1014" i="9" s="1" a="1"/>
  <c r="BL1014" i="9" s="1"/>
  <c r="CD1014" i="9"/>
  <c r="CE1014" i="9" s="1"/>
  <c r="BN1014" i="9"/>
  <c r="BO1014" i="9" s="1"/>
  <c r="BR1014" i="9"/>
  <c r="BS1014" i="9" s="1"/>
  <c r="BJ917" i="9"/>
  <c r="BK917" i="9" s="1"/>
  <c r="BL917" i="9" s="1" a="1"/>
  <c r="BL917" i="9" s="1"/>
  <c r="CH891" i="9"/>
  <c r="CI891" i="9" s="1"/>
  <c r="CJ891" i="9" s="1" a="1"/>
  <c r="CJ891" i="9" s="1"/>
  <c r="CL842" i="9"/>
  <c r="CM842" i="9" s="1"/>
  <c r="BF894" i="9"/>
  <c r="BG894" i="9" s="1"/>
  <c r="BH894" i="9" s="1" a="1"/>
  <c r="BH894" i="9" s="1"/>
  <c r="BF873" i="9"/>
  <c r="BG873" i="9" s="1"/>
  <c r="BH873" i="9" s="1" a="1"/>
  <c r="BH873" i="9" s="1"/>
  <c r="CD883" i="9"/>
  <c r="CE883" i="9" s="1"/>
  <c r="CF883" i="9" s="1" a="1"/>
  <c r="CF883" i="9" s="1"/>
  <c r="BJ824" i="9"/>
  <c r="BK824" i="9" s="1"/>
  <c r="BL824" i="9" s="1" a="1"/>
  <c r="BL824" i="9" s="1"/>
  <c r="BF742" i="9"/>
  <c r="BG742" i="9" s="1"/>
  <c r="BH742" i="9" s="1" a="1"/>
  <c r="BH742" i="9" s="1"/>
  <c r="BF788" i="9"/>
  <c r="BG788" i="9" s="1"/>
  <c r="BH788" i="9" s="1" a="1"/>
  <c r="BH788" i="9" s="1"/>
  <c r="CF766" i="9" a="1"/>
  <c r="CF766" i="9" s="1"/>
  <c r="CP766" i="9" s="1"/>
  <c r="V766" i="9" s="1"/>
  <c r="CN996" i="9" a="1"/>
  <c r="CN996" i="9" s="1"/>
  <c r="CO996" i="9" a="1"/>
  <c r="CO996" i="9" s="1"/>
  <c r="BN1003" i="9"/>
  <c r="BO1003" i="9" s="1"/>
  <c r="BP1003" i="9" s="1" a="1"/>
  <c r="BP1003" i="9" s="1"/>
  <c r="BR995" i="9"/>
  <c r="BS995" i="9" s="1"/>
  <c r="BU910" i="9" a="1"/>
  <c r="BU910" i="9" s="1"/>
  <c r="BT910" i="9" a="1"/>
  <c r="BT910" i="9" s="1"/>
  <c r="CH965" i="9"/>
  <c r="CI965" i="9" s="1"/>
  <c r="CJ965" i="9" s="1" a="1"/>
  <c r="CJ965" i="9" s="1"/>
  <c r="BN891" i="9"/>
  <c r="BO891" i="9" s="1"/>
  <c r="BP891" i="9" s="1" a="1"/>
  <c r="BP891" i="9" s="1"/>
  <c r="BZ842" i="9"/>
  <c r="CA842" i="9" s="1"/>
  <c r="CB842" i="9" s="1" a="1"/>
  <c r="CB842" i="9" s="1"/>
  <c r="BV877" i="9"/>
  <c r="Q877" i="9" s="1"/>
  <c r="CB820" i="9" a="1"/>
  <c r="CB820" i="9" s="1"/>
  <c r="CF820" i="9" a="1"/>
  <c r="CF820" i="9" s="1"/>
  <c r="CL883" i="9"/>
  <c r="CM883" i="9" s="1"/>
  <c r="BJ801" i="9"/>
  <c r="BK801" i="9" s="1"/>
  <c r="BL801" i="9" s="1" a="1"/>
  <c r="BL801" i="9" s="1"/>
  <c r="BN801" i="9"/>
  <c r="BO801" i="9" s="1"/>
  <c r="BP801" i="9" s="1" a="1"/>
  <c r="BP801" i="9" s="1"/>
  <c r="BZ790" i="9"/>
  <c r="CA790" i="9" s="1"/>
  <c r="CB790" i="9" s="1" a="1"/>
  <c r="CB790" i="9" s="1"/>
  <c r="BJ836" i="9"/>
  <c r="BK836" i="9" s="1"/>
  <c r="BL836" i="9" s="1" a="1"/>
  <c r="BL836" i="9" s="1"/>
  <c r="CD836" i="9"/>
  <c r="CE836" i="9" s="1"/>
  <c r="CF836" i="9" s="1" a="1"/>
  <c r="CF836" i="9" s="1"/>
  <c r="CL801" i="9"/>
  <c r="CM801" i="9" s="1"/>
  <c r="BU772" i="9" a="1"/>
  <c r="BU772" i="9" s="1"/>
  <c r="CL785" i="9"/>
  <c r="CM785" i="9" s="1"/>
  <c r="BF785" i="9"/>
  <c r="BG785" i="9" s="1"/>
  <c r="BH785" i="9" s="1" a="1"/>
  <c r="BH785" i="9" s="1"/>
  <c r="CD785" i="9"/>
  <c r="CE785" i="9" s="1"/>
  <c r="CF785" i="9" s="1" a="1"/>
  <c r="CF785" i="9" s="1"/>
  <c r="BR785" i="9"/>
  <c r="BS785" i="9" s="1"/>
  <c r="BT994" i="9" a="1"/>
  <c r="BT994" i="9" s="1"/>
  <c r="BU994" i="9" a="1"/>
  <c r="BU994" i="9" s="1"/>
  <c r="BU1001" i="9" a="1"/>
  <c r="BU1001" i="9" s="1"/>
  <c r="BT1001" i="9" a="1"/>
  <c r="BT1001" i="9" s="1"/>
  <c r="BR990" i="9"/>
  <c r="BS990" i="9" s="1"/>
  <c r="BN957" i="9"/>
  <c r="BO957" i="9" s="1"/>
  <c r="BP957" i="9" s="1" a="1"/>
  <c r="BP957" i="9" s="1"/>
  <c r="CH957" i="9"/>
  <c r="CI957" i="9" s="1"/>
  <c r="CJ957" i="9" s="1" a="1"/>
  <c r="CJ957" i="9" s="1"/>
  <c r="BP946" i="9" a="1"/>
  <c r="BP946" i="9" s="1"/>
  <c r="BT946" i="9" a="1"/>
  <c r="BT946" i="9" s="1"/>
  <c r="BL922" i="9" a="1"/>
  <c r="BL922" i="9" s="1"/>
  <c r="BP922" i="9" a="1"/>
  <c r="BP922" i="9" s="1"/>
  <c r="BL825" i="9" a="1"/>
  <c r="BL825" i="9" s="1"/>
  <c r="BV825" i="9" s="1"/>
  <c r="Q825" i="9" s="1"/>
  <c r="CO858" i="9" a="1"/>
  <c r="CO858" i="9" s="1"/>
  <c r="CN858" i="9" a="1"/>
  <c r="CN858" i="9" s="1"/>
  <c r="CL949" i="9"/>
  <c r="CM949" i="9" s="1"/>
  <c r="BP845" i="9" a="1"/>
  <c r="BP845" i="9" s="1"/>
  <c r="BR827" i="9"/>
  <c r="BS827" i="9" s="1"/>
  <c r="BU803" i="9" a="1"/>
  <c r="BU803" i="9" s="1"/>
  <c r="BT803" i="9" a="1"/>
  <c r="BT803" i="9" s="1"/>
  <c r="CJ771" i="9" a="1"/>
  <c r="CJ771" i="9" s="1"/>
  <c r="BF777" i="9"/>
  <c r="BG777" i="9" s="1"/>
  <c r="BH777" i="9" s="1" a="1"/>
  <c r="BH777" i="9" s="1"/>
  <c r="BL988" i="9" a="1"/>
  <c r="BL988" i="9" s="1"/>
  <c r="BP988" i="9" a="1"/>
  <c r="BP988" i="9" s="1"/>
  <c r="BR965" i="9"/>
  <c r="BS965" i="9" s="1"/>
  <c r="BF978" i="9"/>
  <c r="BG978" i="9" s="1"/>
  <c r="BH978" i="9" s="1" a="1"/>
  <c r="BH978" i="9" s="1"/>
  <c r="BJ978" i="9"/>
  <c r="BK978" i="9" s="1"/>
  <c r="CL978" i="9"/>
  <c r="CM978" i="9" s="1"/>
  <c r="CB962" i="9" a="1"/>
  <c r="CB962" i="9" s="1"/>
  <c r="CF962" i="9" a="1"/>
  <c r="CF962" i="9" s="1"/>
  <c r="BL970" i="9" a="1"/>
  <c r="BL970" i="9" s="1"/>
  <c r="BP970" i="9" a="1"/>
  <c r="BP970" i="9" s="1"/>
  <c r="BN925" i="9"/>
  <c r="BO925" i="9" s="1"/>
  <c r="BP925" i="9" s="1" a="1"/>
  <c r="BP925" i="9" s="1"/>
  <c r="BN881" i="9"/>
  <c r="BO881" i="9" s="1"/>
  <c r="BP881" i="9" s="1" a="1"/>
  <c r="BP881" i="9" s="1"/>
  <c r="BN826" i="9"/>
  <c r="BO826" i="9" s="1"/>
  <c r="BP826" i="9" s="1" a="1"/>
  <c r="BP826" i="9" s="1"/>
  <c r="CN805" i="9" a="1"/>
  <c r="CN805" i="9" s="1"/>
  <c r="CO805" i="9" a="1"/>
  <c r="CO805" i="9" s="1"/>
  <c r="BP828" i="9" a="1"/>
  <c r="BP828" i="9" s="1"/>
  <c r="CJ765" i="9" a="1"/>
  <c r="CJ765" i="9" s="1"/>
  <c r="CN765" i="9" a="1"/>
  <c r="CN765" i="9" s="1"/>
  <c r="CF770" i="9" a="1"/>
  <c r="CF770" i="9" s="1"/>
  <c r="CJ770" i="9" a="1"/>
  <c r="CJ770" i="9" s="1"/>
  <c r="CB787" i="9" a="1"/>
  <c r="CB787" i="9" s="1"/>
  <c r="CF787" i="9" a="1"/>
  <c r="CF787" i="9" s="1"/>
  <c r="BU722" i="9" a="1"/>
  <c r="BU722" i="9" s="1"/>
  <c r="CF681" i="9" a="1"/>
  <c r="CF681" i="9" s="1"/>
  <c r="BU634" i="9" a="1"/>
  <c r="BU634" i="9" s="1"/>
  <c r="CJ548" i="9" a="1"/>
  <c r="CJ548" i="9" s="1"/>
  <c r="BU540" i="9" a="1"/>
  <c r="BU540" i="9" s="1"/>
  <c r="BT511" i="9" a="1"/>
  <c r="BT511" i="9" s="1"/>
  <c r="BU511" i="9" a="1"/>
  <c r="BU511" i="9" s="1"/>
  <c r="CO664" i="9" a="1"/>
  <c r="CO664" i="9" s="1"/>
  <c r="CN664" i="9" a="1"/>
  <c r="CN664" i="9" s="1"/>
  <c r="CO628" i="9" a="1"/>
  <c r="CO628" i="9" s="1"/>
  <c r="CN628" i="9" a="1"/>
  <c r="CN628" i="9" s="1"/>
  <c r="CN642" i="9" a="1"/>
  <c r="CN642" i="9" s="1"/>
  <c r="CO642" i="9" a="1"/>
  <c r="CO642" i="9" s="1"/>
  <c r="CN581" i="9" a="1"/>
  <c r="CN581" i="9" s="1"/>
  <c r="CO581" i="9" a="1"/>
  <c r="CO581" i="9" s="1"/>
  <c r="BP497" i="9" a="1"/>
  <c r="BP497" i="9" s="1"/>
  <c r="BT556" i="9" a="1"/>
  <c r="BT556" i="9" s="1"/>
  <c r="BU556" i="9" a="1"/>
  <c r="BU556" i="9" s="1"/>
  <c r="BP499" i="9" a="1"/>
  <c r="BP499" i="9" s="1"/>
  <c r="BT435" i="9" a="1"/>
  <c r="BT435" i="9" s="1"/>
  <c r="BU435" i="9" a="1"/>
  <c r="BU435" i="9" s="1"/>
  <c r="CN706" i="9" a="1"/>
  <c r="CN706" i="9" s="1"/>
  <c r="CO706" i="9" a="1"/>
  <c r="CO706" i="9" s="1"/>
  <c r="BL650" i="9" a="1"/>
  <c r="BL650" i="9" s="1"/>
  <c r="CO467" i="9" a="1"/>
  <c r="CO467" i="9" s="1"/>
  <c r="CN637" i="9" a="1"/>
  <c r="CN637" i="9" s="1"/>
  <c r="CO637" i="9" a="1"/>
  <c r="CO637" i="9" s="1"/>
  <c r="CF730" i="9" a="1"/>
  <c r="CF730" i="9" s="1"/>
  <c r="CP730" i="9" s="1"/>
  <c r="V730" i="9" s="1"/>
  <c r="CO493" i="9" a="1"/>
  <c r="CO493" i="9" s="1"/>
  <c r="CN493" i="9" a="1"/>
  <c r="CN493" i="9" s="1"/>
  <c r="CJ658" i="9" a="1"/>
  <c r="CJ658" i="9" s="1"/>
  <c r="CP582" i="9"/>
  <c r="V582" i="9" s="1"/>
  <c r="CJ637" i="9" a="1"/>
  <c r="CJ637" i="9" s="1"/>
  <c r="CJ497" i="9" a="1"/>
  <c r="CJ497" i="9" s="1"/>
  <c r="BT457" i="9" a="1"/>
  <c r="BT457" i="9" s="1"/>
  <c r="BU457" i="9" a="1"/>
  <c r="BU457" i="9" s="1"/>
  <c r="BU427" i="9" a="1"/>
  <c r="BU427" i="9" s="1"/>
  <c r="CO348" i="9" a="1"/>
  <c r="CO348" i="9" s="1"/>
  <c r="CN348" i="9" a="1"/>
  <c r="CN348" i="9" s="1"/>
  <c r="CF307" i="9" a="1"/>
  <c r="CF307" i="9" s="1"/>
  <c r="CP307" i="9" s="1"/>
  <c r="V307" i="9" s="1"/>
  <c r="CF329" i="9" a="1"/>
  <c r="CF329" i="9" s="1"/>
  <c r="BL307" i="9" a="1"/>
  <c r="BL307" i="9" s="1"/>
  <c r="BU254" i="9" a="1"/>
  <c r="BU254" i="9" s="1"/>
  <c r="BU365" i="9" a="1"/>
  <c r="BU365" i="9" s="1"/>
  <c r="CO289" i="9" a="1"/>
  <c r="CO289" i="9" s="1"/>
  <c r="CN289" i="9" a="1"/>
  <c r="CN289" i="9" s="1"/>
  <c r="BT246" i="9" a="1"/>
  <c r="BT246" i="9" s="1"/>
  <c r="BU246" i="9" a="1"/>
  <c r="BU246" i="9" s="1"/>
  <c r="CO236" i="9" a="1"/>
  <c r="CO236" i="9" s="1"/>
  <c r="CN236" i="9" a="1"/>
  <c r="CN236" i="9" s="1"/>
  <c r="CN202" i="9" a="1"/>
  <c r="CN202" i="9" s="1"/>
  <c r="CO202" i="9" a="1"/>
  <c r="CO202" i="9" s="1"/>
  <c r="BU266" i="9" a="1"/>
  <c r="BU266" i="9" s="1"/>
  <c r="BT266" i="9" a="1"/>
  <c r="BT266" i="9" s="1"/>
  <c r="BL197" i="9" a="1"/>
  <c r="BL197" i="9" s="1"/>
  <c r="BL188" i="9" a="1"/>
  <c r="BL188" i="9" s="1"/>
  <c r="CJ187" i="9" a="1"/>
  <c r="CJ187" i="9" s="1"/>
  <c r="BT152" i="9" a="1"/>
  <c r="BT152" i="9" s="1"/>
  <c r="BU152" i="9" a="1"/>
  <c r="BU152" i="9" s="1"/>
  <c r="BT399" i="9" a="1"/>
  <c r="BT399" i="9" s="1"/>
  <c r="BU399" i="9" a="1"/>
  <c r="BU399" i="9" s="1"/>
  <c r="BU305" i="9" a="1"/>
  <c r="BU305" i="9" s="1"/>
  <c r="BT305" i="9" a="1"/>
  <c r="BT305" i="9" s="1"/>
  <c r="CO187" i="9" a="1"/>
  <c r="CO187" i="9" s="1"/>
  <c r="CN187" i="9" a="1"/>
  <c r="CN187" i="9" s="1"/>
  <c r="CP310" i="9"/>
  <c r="V310" i="9" s="1"/>
  <c r="BP255" i="9" a="1"/>
  <c r="BP255" i="9" s="1"/>
  <c r="CJ197" i="9" a="1"/>
  <c r="CJ197" i="9" s="1"/>
  <c r="BL752" i="9" a="1"/>
  <c r="BL752" i="9" s="1"/>
  <c r="CN736" i="9" a="1"/>
  <c r="CN736" i="9" s="1"/>
  <c r="CO736" i="9" a="1"/>
  <c r="CO736" i="9" s="1"/>
  <c r="CN967" i="9" a="1"/>
  <c r="CN967" i="9" s="1"/>
  <c r="CO967" i="9" a="1"/>
  <c r="CO967" i="9" s="1"/>
  <c r="CF1000" i="9" a="1"/>
  <c r="CF1000" i="9" s="1"/>
  <c r="CO962" i="9" a="1"/>
  <c r="CO962" i="9" s="1"/>
  <c r="CN962" i="9" a="1"/>
  <c r="CN962" i="9" s="1"/>
  <c r="CN853" i="9" a="1"/>
  <c r="CN853" i="9" s="1"/>
  <c r="CO853" i="9" a="1"/>
  <c r="CO853" i="9" s="1"/>
  <c r="BT858" i="9" a="1"/>
  <c r="BT858" i="9" s="1"/>
  <c r="BU858" i="9" a="1"/>
  <c r="BU858" i="9" s="1"/>
  <c r="CH809" i="9"/>
  <c r="CI809" i="9" s="1"/>
  <c r="CJ809" i="9" s="1" a="1"/>
  <c r="CJ809" i="9" s="1"/>
  <c r="BT776" i="9" a="1"/>
  <c r="BT776" i="9" s="1"/>
  <c r="BU776" i="9" a="1"/>
  <c r="BU776" i="9" s="1"/>
  <c r="BV775" i="9"/>
  <c r="Q775" i="9" s="1"/>
  <c r="BT792" i="9" a="1"/>
  <c r="BT792" i="9" s="1"/>
  <c r="BU792" i="9" a="1"/>
  <c r="BU792" i="9" s="1"/>
  <c r="CJ810" i="9" a="1"/>
  <c r="CJ810" i="9" s="1"/>
  <c r="CO679" i="9" a="1"/>
  <c r="CO679" i="9" s="1"/>
  <c r="CN679" i="9" a="1"/>
  <c r="CN679" i="9" s="1"/>
  <c r="BN680" i="9"/>
  <c r="BO680" i="9" s="1"/>
  <c r="BJ680" i="9"/>
  <c r="BK680" i="9" s="1"/>
  <c r="CL680" i="9"/>
  <c r="CM680" i="9" s="1"/>
  <c r="BF680" i="9"/>
  <c r="BG680" i="9" s="1"/>
  <c r="BH680" i="9" s="1" a="1"/>
  <c r="BH680" i="9" s="1"/>
  <c r="BZ680" i="9"/>
  <c r="CA680" i="9" s="1"/>
  <c r="CB680" i="9" s="1" a="1"/>
  <c r="CB680" i="9" s="1"/>
  <c r="BZ688" i="9"/>
  <c r="CA688" i="9" s="1"/>
  <c r="CB688" i="9" s="1" a="1"/>
  <c r="CB688" i="9" s="1"/>
  <c r="BR542" i="9"/>
  <c r="BS542" i="9" s="1"/>
  <c r="CO740" i="9" a="1"/>
  <c r="CO740" i="9" s="1"/>
  <c r="CN740" i="9" a="1"/>
  <c r="CN740" i="9" s="1"/>
  <c r="CF743" i="9" a="1"/>
  <c r="CF743" i="9" s="1"/>
  <c r="BP729" i="9" a="1"/>
  <c r="BP729" i="9" s="1"/>
  <c r="CH698" i="9"/>
  <c r="CI698" i="9" s="1"/>
  <c r="CO632" i="9" a="1"/>
  <c r="CO632" i="9" s="1"/>
  <c r="CN632" i="9" a="1"/>
  <c r="CN632" i="9" s="1"/>
  <c r="CO671" i="9" a="1"/>
  <c r="CO671" i="9" s="1"/>
  <c r="CN671" i="9" a="1"/>
  <c r="CN671" i="9" s="1"/>
  <c r="BL676" i="9" a="1"/>
  <c r="BL676" i="9" s="1"/>
  <c r="CN591" i="9" a="1"/>
  <c r="CN591" i="9" s="1"/>
  <c r="CO591" i="9" a="1"/>
  <c r="CO591" i="9" s="1"/>
  <c r="CN583" i="9" a="1"/>
  <c r="CN583" i="9" s="1"/>
  <c r="CO583" i="9" a="1"/>
  <c r="CO583" i="9" s="1"/>
  <c r="BJ589" i="9"/>
  <c r="BK589" i="9" s="1"/>
  <c r="CN514" i="9" a="1"/>
  <c r="CN514" i="9" s="1"/>
  <c r="CJ514" i="9" a="1"/>
  <c r="CJ514" i="9" s="1"/>
  <c r="CO466" i="9" a="1"/>
  <c r="CO466" i="9" s="1"/>
  <c r="CN466" i="9" a="1"/>
  <c r="CN466" i="9" s="1"/>
  <c r="BT441" i="9" a="1"/>
  <c r="BT441" i="9" s="1"/>
  <c r="BU441" i="9" a="1"/>
  <c r="BU441" i="9" s="1"/>
  <c r="BL789" i="9" a="1"/>
  <c r="BL789" i="9" s="1"/>
  <c r="CL780" i="9"/>
  <c r="CM780" i="9" s="1"/>
  <c r="CO578" i="9" a="1"/>
  <c r="CO578" i="9" s="1"/>
  <c r="CN578" i="9" a="1"/>
  <c r="CN578" i="9" s="1"/>
  <c r="BF550" i="9"/>
  <c r="BG550" i="9" s="1"/>
  <c r="BH550" i="9" s="1" a="1"/>
  <c r="BH550" i="9" s="1"/>
  <c r="BU496" i="9" a="1"/>
  <c r="BU496" i="9" s="1"/>
  <c r="BT496" i="9" a="1"/>
  <c r="BT496" i="9" s="1"/>
  <c r="CN562" i="9" a="1"/>
  <c r="CN562" i="9" s="1"/>
  <c r="CO562" i="9" a="1"/>
  <c r="CO562" i="9" s="1"/>
  <c r="CD459" i="9"/>
  <c r="CE459" i="9" s="1"/>
  <c r="CN479" i="9" a="1"/>
  <c r="CN479" i="9" s="1"/>
  <c r="CO479" i="9" a="1"/>
  <c r="CO479" i="9" s="1"/>
  <c r="CN749" i="9" a="1"/>
  <c r="CN749" i="9" s="1"/>
  <c r="CO749" i="9" a="1"/>
  <c r="CO749" i="9" s="1"/>
  <c r="BP702" i="9" a="1"/>
  <c r="BP702" i="9" s="1"/>
  <c r="BT702" i="9" a="1"/>
  <c r="BT702" i="9" s="1"/>
  <c r="BP757" i="9" a="1"/>
  <c r="BP757" i="9" s="1"/>
  <c r="CJ721" i="9" a="1"/>
  <c r="CJ721" i="9" s="1"/>
  <c r="CO704" i="9" a="1"/>
  <c r="CO704" i="9" s="1"/>
  <c r="CN704" i="9" a="1"/>
  <c r="CN704" i="9" s="1"/>
  <c r="CJ697" i="9" a="1"/>
  <c r="CJ697" i="9" s="1"/>
  <c r="BP689" i="9" a="1"/>
  <c r="BP689" i="9" s="1"/>
  <c r="BU635" i="9" a="1"/>
  <c r="BU635" i="9" s="1"/>
  <c r="BT635" i="9" a="1"/>
  <c r="BT635" i="9" s="1"/>
  <c r="CO693" i="9" a="1"/>
  <c r="CO693" i="9" s="1"/>
  <c r="CN693" i="9" a="1"/>
  <c r="CN693" i="9" s="1"/>
  <c r="BR723" i="9"/>
  <c r="BS723" i="9" s="1"/>
  <c r="CH542" i="9"/>
  <c r="CI542" i="9" s="1"/>
  <c r="CJ542" i="9" s="1" a="1"/>
  <c r="CJ542" i="9" s="1"/>
  <c r="BN568" i="9"/>
  <c r="BO568" i="9" s="1"/>
  <c r="CH595" i="9"/>
  <c r="CI595" i="9" s="1"/>
  <c r="CJ595" i="9" s="1" a="1"/>
  <c r="CJ595" i="9" s="1"/>
  <c r="BN597" i="9"/>
  <c r="BO597" i="9" s="1"/>
  <c r="BP597" i="9" s="1" a="1"/>
  <c r="BP597" i="9" s="1"/>
  <c r="CH563" i="9"/>
  <c r="CI563" i="9" s="1"/>
  <c r="BP802" i="9" a="1"/>
  <c r="BP802" i="9" s="1"/>
  <c r="BT701" i="9" a="1"/>
  <c r="BT701" i="9" s="1"/>
  <c r="BU701" i="9" a="1"/>
  <c r="BU701" i="9" s="1"/>
  <c r="BN731" i="9"/>
  <c r="BO731" i="9" s="1"/>
  <c r="BP731" i="9" s="1" a="1"/>
  <c r="BP731" i="9" s="1"/>
  <c r="CD600" i="9"/>
  <c r="CE600" i="9" s="1"/>
  <c r="CF600" i="9" s="1" a="1"/>
  <c r="CF600" i="9" s="1"/>
  <c r="CD672" i="9"/>
  <c r="CE672" i="9" s="1"/>
  <c r="CF672" i="9" s="1" a="1"/>
  <c r="CF672" i="9" s="1"/>
  <c r="CD616" i="9"/>
  <c r="CE616" i="9" s="1"/>
  <c r="CO647" i="9" a="1"/>
  <c r="CO647" i="9" s="1"/>
  <c r="CN647" i="9" a="1"/>
  <c r="CN647" i="9" s="1"/>
  <c r="BP732" i="9" a="1"/>
  <c r="BP732" i="9" s="1"/>
  <c r="BU610" i="9" a="1"/>
  <c r="BU610" i="9" s="1"/>
  <c r="BT610" i="9" a="1"/>
  <c r="BT610" i="9" s="1"/>
  <c r="BR614" i="9"/>
  <c r="BS614" i="9" s="1"/>
  <c r="BF622" i="9"/>
  <c r="BG622" i="9" s="1"/>
  <c r="BH622" i="9" s="1" a="1"/>
  <c r="BH622" i="9" s="1"/>
  <c r="CD574" i="9"/>
  <c r="CE574" i="9" s="1"/>
  <c r="BH515" i="9" a="1"/>
  <c r="BH515" i="9" s="1"/>
  <c r="CJ505" i="9" a="1"/>
  <c r="CJ505" i="9" s="1"/>
  <c r="BN494" i="9"/>
  <c r="BO494" i="9" s="1"/>
  <c r="BR822" i="9"/>
  <c r="BS822" i="9" s="1"/>
  <c r="BJ692" i="9"/>
  <c r="BK692" i="9" s="1"/>
  <c r="BL692" i="9" s="1" a="1"/>
  <c r="BL692" i="9" s="1"/>
  <c r="CN636" i="9" a="1"/>
  <c r="CN636" i="9" s="1"/>
  <c r="CO636" i="9" a="1"/>
  <c r="CO636" i="9" s="1"/>
  <c r="BU668" i="9" a="1"/>
  <c r="BU668" i="9" s="1"/>
  <c r="BT668" i="9" a="1"/>
  <c r="BT668" i="9" s="1"/>
  <c r="BZ714" i="9"/>
  <c r="CA714" i="9" s="1"/>
  <c r="CB714" i="9" s="1" a="1"/>
  <c r="CB714" i="9" s="1"/>
  <c r="BZ571" i="9"/>
  <c r="CA571" i="9" s="1"/>
  <c r="CB571" i="9" s="1" a="1"/>
  <c r="CB571" i="9" s="1"/>
  <c r="CN618" i="9" a="1"/>
  <c r="CN618" i="9" s="1"/>
  <c r="CO618" i="9" a="1"/>
  <c r="CO618" i="9" s="1"/>
  <c r="BU725" i="9" a="1"/>
  <c r="BU725" i="9" s="1"/>
  <c r="BT725" i="9" a="1"/>
  <c r="BT725" i="9" s="1"/>
  <c r="BT636" i="9" a="1"/>
  <c r="BT636" i="9" s="1"/>
  <c r="BU636" i="9" a="1"/>
  <c r="BU636" i="9" s="1"/>
  <c r="BZ645" i="9"/>
  <c r="CA645" i="9" s="1"/>
  <c r="CB645" i="9" s="1" a="1"/>
  <c r="CB645" i="9" s="1"/>
  <c r="BP709" i="9" a="1"/>
  <c r="BP709" i="9" s="1"/>
  <c r="CL616" i="9"/>
  <c r="CM616" i="9" s="1"/>
  <c r="BF573" i="9"/>
  <c r="BG573" i="9" s="1"/>
  <c r="BH573" i="9" s="1" a="1"/>
  <c r="BH573" i="9" s="1"/>
  <c r="BU557" i="9" a="1"/>
  <c r="BU557" i="9" s="1"/>
  <c r="BT557" i="9" a="1"/>
  <c r="BT557" i="9" s="1"/>
  <c r="CL605" i="9"/>
  <c r="CM605" i="9" s="1"/>
  <c r="CL629" i="9"/>
  <c r="CM629" i="9" s="1"/>
  <c r="CH561" i="9"/>
  <c r="CI561" i="9" s="1"/>
  <c r="CJ561" i="9" s="1" a="1"/>
  <c r="CJ561" i="9" s="1"/>
  <c r="CF549" i="9" a="1"/>
  <c r="CF549" i="9" s="1"/>
  <c r="CD554" i="9"/>
  <c r="CE554" i="9" s="1"/>
  <c r="CL486" i="9"/>
  <c r="CM486" i="9" s="1"/>
  <c r="CN480" i="9" a="1"/>
  <c r="CN480" i="9" s="1"/>
  <c r="CO480" i="9" a="1"/>
  <c r="CO480" i="9" s="1"/>
  <c r="CF744" i="9" a="1"/>
  <c r="CF744" i="9" s="1"/>
  <c r="CN778" i="9" a="1"/>
  <c r="CN778" i="9" s="1"/>
  <c r="CO778" i="9" a="1"/>
  <c r="CO778" i="9" s="1"/>
  <c r="BP719" i="9" a="1"/>
  <c r="BP719" i="9" s="1"/>
  <c r="BJ664" i="9"/>
  <c r="BK664" i="9" s="1"/>
  <c r="BL664" i="9" s="1" a="1"/>
  <c r="BL664" i="9" s="1"/>
  <c r="BN691" i="9"/>
  <c r="BO691" i="9" s="1"/>
  <c r="BF698" i="9"/>
  <c r="BG698" i="9" s="1"/>
  <c r="BH698" i="9" s="1" a="1"/>
  <c r="BH698" i="9" s="1"/>
  <c r="CD692" i="9"/>
  <c r="CE692" i="9" s="1"/>
  <c r="CL571" i="9"/>
  <c r="CM571" i="9" s="1"/>
  <c r="BF542" i="9"/>
  <c r="BG542" i="9" s="1"/>
  <c r="BH542" i="9" s="1" a="1"/>
  <c r="BH542" i="9" s="1"/>
  <c r="BL575" i="9" a="1"/>
  <c r="BL575" i="9" s="1"/>
  <c r="CD568" i="9"/>
  <c r="CE568" i="9" s="1"/>
  <c r="CF568" i="9" s="1" a="1"/>
  <c r="CF568" i="9" s="1"/>
  <c r="BR589" i="9"/>
  <c r="BS589" i="9" s="1"/>
  <c r="BN595" i="9"/>
  <c r="BO595" i="9" s="1"/>
  <c r="BJ611" i="9"/>
  <c r="BK611" i="9" s="1"/>
  <c r="BF611" i="9"/>
  <c r="BG611" i="9" s="1"/>
  <c r="BH611" i="9" s="1" a="1"/>
  <c r="BH611" i="9" s="1"/>
  <c r="BR611" i="9"/>
  <c r="BS611" i="9" s="1"/>
  <c r="BP517" i="9" a="1"/>
  <c r="BP517" i="9" s="1"/>
  <c r="BR491" i="9"/>
  <c r="BS491" i="9" s="1"/>
  <c r="BZ486" i="9"/>
  <c r="CA486" i="9" s="1"/>
  <c r="CB486" i="9" s="1" a="1"/>
  <c r="CB486" i="9" s="1"/>
  <c r="BU489" i="9" a="1"/>
  <c r="BU489" i="9" s="1"/>
  <c r="BT489" i="9" a="1"/>
  <c r="BT489" i="9" s="1"/>
  <c r="CF557" i="9" a="1"/>
  <c r="CF557" i="9" s="1"/>
  <c r="CJ618" i="9" a="1"/>
  <c r="CJ618" i="9" s="1"/>
  <c r="CL589" i="9"/>
  <c r="CM589" i="9" s="1"/>
  <c r="BF581" i="9"/>
  <c r="BG581" i="9" s="1"/>
  <c r="BH581" i="9" s="1" a="1"/>
  <c r="BH581" i="9" s="1"/>
  <c r="CF501" i="9" a="1"/>
  <c r="CF501" i="9" s="1"/>
  <c r="CH467" i="9"/>
  <c r="CI467" i="9" s="1"/>
  <c r="CN467" i="9" s="1" a="1"/>
  <c r="CN467" i="9" s="1"/>
  <c r="BP261" i="9" a="1"/>
  <c r="BP261" i="9" s="1"/>
  <c r="BU209" i="9" a="1"/>
  <c r="BU209" i="9" s="1"/>
  <c r="BT209" i="9" a="1"/>
  <c r="BT209" i="9" s="1"/>
  <c r="BL562" i="9" a="1"/>
  <c r="BL562" i="9" s="1"/>
  <c r="CN489" i="9" a="1"/>
  <c r="CN489" i="9" s="1"/>
  <c r="CO489" i="9" a="1"/>
  <c r="CO489" i="9" s="1"/>
  <c r="CF417" i="9" a="1"/>
  <c r="CF417" i="9" s="1"/>
  <c r="BL377" i="9" a="1"/>
  <c r="BL377" i="9" s="1"/>
  <c r="BU325" i="9" a="1"/>
  <c r="BU325" i="9" s="1"/>
  <c r="BT325" i="9" a="1"/>
  <c r="BT325" i="9" s="1"/>
  <c r="CD372" i="9"/>
  <c r="CE372" i="9" s="1"/>
  <c r="CF372" i="9" s="1" a="1"/>
  <c r="CF372" i="9" s="1"/>
  <c r="CL228" i="9"/>
  <c r="CM228" i="9" s="1"/>
  <c r="CD228" i="9"/>
  <c r="CE228" i="9" s="1"/>
  <c r="CJ228" i="9" s="1" a="1"/>
  <c r="CJ228" i="9" s="1"/>
  <c r="BR228" i="9"/>
  <c r="BS228" i="9" s="1"/>
  <c r="BJ228" i="9"/>
  <c r="BK228" i="9" s="1"/>
  <c r="BF228" i="9"/>
  <c r="BG228" i="9" s="1"/>
  <c r="BH228" i="9" s="1" a="1"/>
  <c r="BH228" i="9" s="1"/>
  <c r="BP617" i="9" a="1"/>
  <c r="BP617" i="9" s="1"/>
  <c r="BT626" i="9" a="1"/>
  <c r="BT626" i="9" s="1"/>
  <c r="BZ614" i="9"/>
  <c r="CA614" i="9" s="1"/>
  <c r="CB614" i="9" s="1" a="1"/>
  <c r="CB614" i="9" s="1"/>
  <c r="CO470" i="9" a="1"/>
  <c r="CO470" i="9" s="1"/>
  <c r="CN470" i="9" a="1"/>
  <c r="CN470" i="9" s="1"/>
  <c r="BZ416" i="9"/>
  <c r="CA416" i="9" s="1"/>
  <c r="CB416" i="9" s="1" a="1"/>
  <c r="CB416" i="9" s="1"/>
  <c r="CJ396" i="9" a="1"/>
  <c r="CJ396" i="9" s="1"/>
  <c r="CN331" i="9" a="1"/>
  <c r="CN331" i="9" s="1"/>
  <c r="CO331" i="9" a="1"/>
  <c r="CO331" i="9" s="1"/>
  <c r="CL318" i="9"/>
  <c r="CM318" i="9" s="1"/>
  <c r="BF372" i="9"/>
  <c r="BG372" i="9" s="1"/>
  <c r="BH372" i="9" s="1" a="1"/>
  <c r="BH372" i="9" s="1"/>
  <c r="CN290" i="9" a="1"/>
  <c r="CN290" i="9" s="1"/>
  <c r="CO290" i="9" a="1"/>
  <c r="CO290" i="9" s="1"/>
  <c r="BF252" i="9"/>
  <c r="BG252" i="9" s="1"/>
  <c r="BH252" i="9" s="1" a="1"/>
  <c r="BH252" i="9" s="1"/>
  <c r="BF218" i="9"/>
  <c r="BG218" i="9" s="1"/>
  <c r="BH218" i="9" s="1" a="1"/>
  <c r="BH218" i="9" s="1"/>
  <c r="BZ218" i="9"/>
  <c r="CA218" i="9" s="1"/>
  <c r="CB218" i="9" s="1" a="1"/>
  <c r="CB218" i="9" s="1"/>
  <c r="BT685" i="9" a="1"/>
  <c r="BT685" i="9" s="1"/>
  <c r="BZ526" i="9"/>
  <c r="CA526" i="9" s="1"/>
  <c r="CB526" i="9" s="1" a="1"/>
  <c r="CB526" i="9" s="1"/>
  <c r="BN486" i="9"/>
  <c r="BO486" i="9" s="1"/>
  <c r="BU453" i="9" a="1"/>
  <c r="BU453" i="9" s="1"/>
  <c r="BT453" i="9" a="1"/>
  <c r="BT453" i="9" s="1"/>
  <c r="BJ467" i="9"/>
  <c r="BK467" i="9" s="1"/>
  <c r="BL467" i="9" s="1" a="1"/>
  <c r="BL467" i="9" s="1"/>
  <c r="CN440" i="9" a="1"/>
  <c r="CN440" i="9" s="1"/>
  <c r="CO440" i="9" a="1"/>
  <c r="CO440" i="9" s="1"/>
  <c r="BT395" i="9" a="1"/>
  <c r="BT395" i="9" s="1"/>
  <c r="BU395" i="9" a="1"/>
  <c r="BU395" i="9" s="1"/>
  <c r="BJ340" i="9"/>
  <c r="BK340" i="9" s="1"/>
  <c r="BZ324" i="9"/>
  <c r="CA324" i="9" s="1"/>
  <c r="CB324" i="9" s="1" a="1"/>
  <c r="CB324" i="9" s="1"/>
  <c r="CJ328" i="9" a="1"/>
  <c r="CJ328" i="9" s="1"/>
  <c r="BJ303" i="9"/>
  <c r="BK303" i="9" s="1"/>
  <c r="BL303" i="9" s="1" a="1"/>
  <c r="BL303" i="9" s="1"/>
  <c r="CH250" i="9"/>
  <c r="CI250" i="9" s="1"/>
  <c r="CO221" i="9" a="1"/>
  <c r="CO221" i="9" s="1"/>
  <c r="CN221" i="9" a="1"/>
  <c r="CN221" i="9" s="1"/>
  <c r="CP221" i="9" s="1"/>
  <c r="V221" i="9" s="1"/>
  <c r="CO222" i="9" a="1"/>
  <c r="CO222" i="9" s="1"/>
  <c r="CN222" i="9" a="1"/>
  <c r="CN222" i="9" s="1"/>
  <c r="BF210" i="9"/>
  <c r="BG210" i="9" s="1"/>
  <c r="BH210" i="9" s="1" a="1"/>
  <c r="BH210" i="9" s="1"/>
  <c r="BJ691" i="9"/>
  <c r="BK691" i="9" s="1"/>
  <c r="BL691" i="9" s="1" a="1"/>
  <c r="BL691" i="9" s="1"/>
  <c r="BL505" i="9" a="1"/>
  <c r="BL505" i="9" s="1"/>
  <c r="BU402" i="9" a="1"/>
  <c r="BU402" i="9" s="1"/>
  <c r="BT402" i="9" a="1"/>
  <c r="BT402" i="9" s="1"/>
  <c r="BN418" i="9"/>
  <c r="BO418" i="9" s="1"/>
  <c r="BP418" i="9" s="1" a="1"/>
  <c r="BP418" i="9" s="1"/>
  <c r="CH365" i="9"/>
  <c r="CI365" i="9" s="1"/>
  <c r="BZ392" i="9"/>
  <c r="CA392" i="9" s="1"/>
  <c r="CB392" i="9" s="1" a="1"/>
  <c r="CB392" i="9" s="1"/>
  <c r="CN375" i="9" a="1"/>
  <c r="CN375" i="9" s="1"/>
  <c r="CO375" i="9" a="1"/>
  <c r="CO375" i="9" s="1"/>
  <c r="BT368" i="9" a="1"/>
  <c r="BT368" i="9" s="1"/>
  <c r="BU368" i="9" a="1"/>
  <c r="BU368" i="9" s="1"/>
  <c r="BN359" i="9"/>
  <c r="BO359" i="9" s="1"/>
  <c r="CD347" i="9"/>
  <c r="CE347" i="9" s="1"/>
  <c r="CF347" i="9" s="1" a="1"/>
  <c r="CF347" i="9" s="1"/>
  <c r="BN303" i="9"/>
  <c r="BO303" i="9" s="1"/>
  <c r="BU320" i="9" a="1"/>
  <c r="BU320" i="9" s="1"/>
  <c r="BT320" i="9" a="1"/>
  <c r="BT320" i="9" s="1"/>
  <c r="CD273" i="9"/>
  <c r="CE273" i="9" s="1"/>
  <c r="CL273" i="9"/>
  <c r="CM273" i="9" s="1"/>
  <c r="BR273" i="9"/>
  <c r="BS273" i="9" s="1"/>
  <c r="BF273" i="9"/>
  <c r="BG273" i="9" s="1"/>
  <c r="BH273" i="9" s="1" a="1"/>
  <c r="BH273" i="9" s="1"/>
  <c r="BJ273" i="9"/>
  <c r="BK273" i="9" s="1"/>
  <c r="BZ273" i="9"/>
  <c r="CA273" i="9" s="1"/>
  <c r="CB273" i="9" s="1" a="1"/>
  <c r="CB273" i="9" s="1"/>
  <c r="BU249" i="9" a="1"/>
  <c r="BU249" i="9" s="1"/>
  <c r="BT249" i="9" a="1"/>
  <c r="BT249" i="9" s="1"/>
  <c r="CL237" i="9"/>
  <c r="CM237" i="9" s="1"/>
  <c r="BZ236" i="9"/>
  <c r="CA236" i="9" s="1"/>
  <c r="CB236" i="9" s="1" a="1"/>
  <c r="CB236" i="9" s="1"/>
  <c r="CL224" i="9"/>
  <c r="CM224" i="9" s="1"/>
  <c r="CO201" i="9" a="1"/>
  <c r="CO201" i="9" s="1"/>
  <c r="CN201" i="9" a="1"/>
  <c r="CN201" i="9" s="1"/>
  <c r="BL193" i="9" a="1"/>
  <c r="BL193" i="9" s="1"/>
  <c r="BU184" i="9" a="1"/>
  <c r="BU184" i="9" s="1"/>
  <c r="BT184" i="9" a="1"/>
  <c r="BT184" i="9" s="1"/>
  <c r="BF167" i="9"/>
  <c r="BG167" i="9" s="1"/>
  <c r="BH167" i="9" s="1" a="1"/>
  <c r="BH167" i="9" s="1"/>
  <c r="CO156" i="9" a="1"/>
  <c r="CO156" i="9" s="1"/>
  <c r="CN156" i="9" a="1"/>
  <c r="CN156" i="9" s="1"/>
  <c r="CN163" i="9" a="1"/>
  <c r="CN163" i="9" s="1"/>
  <c r="CO163" i="9" a="1"/>
  <c r="CO163" i="9" s="1"/>
  <c r="CN123" i="9" a="1"/>
  <c r="CN123" i="9" s="1"/>
  <c r="CO123" i="9" a="1"/>
  <c r="CO123" i="9" s="1"/>
  <c r="CJ577" i="9" a="1"/>
  <c r="CJ577" i="9" s="1"/>
  <c r="CP577" i="9" s="1"/>
  <c r="V577" i="9" s="1"/>
  <c r="CF520" i="9" a="1"/>
  <c r="CF520" i="9" s="1"/>
  <c r="BN456" i="9"/>
  <c r="BO456" i="9" s="1"/>
  <c r="CJ468" i="9" a="1"/>
  <c r="CJ468" i="9" s="1"/>
  <c r="CD465" i="9"/>
  <c r="CE465" i="9" s="1"/>
  <c r="CJ465" i="9" s="1" a="1"/>
  <c r="CJ465" i="9" s="1"/>
  <c r="CL465" i="9"/>
  <c r="CM465" i="9" s="1"/>
  <c r="BF426" i="9"/>
  <c r="BG426" i="9" s="1"/>
  <c r="BH426" i="9" s="1" a="1"/>
  <c r="BH426" i="9" s="1"/>
  <c r="BZ412" i="9"/>
  <c r="CA412" i="9" s="1"/>
  <c r="CB412" i="9" s="1" a="1"/>
  <c r="CB412" i="9" s="1"/>
  <c r="BJ326" i="9"/>
  <c r="BK326" i="9" s="1"/>
  <c r="BF365" i="9"/>
  <c r="BG365" i="9" s="1"/>
  <c r="BH365" i="9" s="1" a="1"/>
  <c r="BH365" i="9" s="1"/>
  <c r="BR321" i="9"/>
  <c r="BS321" i="9" s="1"/>
  <c r="CN339" i="9" a="1"/>
  <c r="CN339" i="9" s="1"/>
  <c r="CO339" i="9" a="1"/>
  <c r="CO339" i="9" s="1"/>
  <c r="BR265" i="9"/>
  <c r="BS265" i="9" s="1"/>
  <c r="CH273" i="9"/>
  <c r="CI273" i="9" s="1"/>
  <c r="BF245" i="9"/>
  <c r="BG245" i="9" s="1"/>
  <c r="BH245" i="9" s="1" a="1"/>
  <c r="BH245" i="9" s="1"/>
  <c r="BR225" i="9"/>
  <c r="BS225" i="9" s="1"/>
  <c r="BF225" i="9"/>
  <c r="BG225" i="9" s="1"/>
  <c r="BH225" i="9" s="1" a="1"/>
  <c r="BH225" i="9" s="1"/>
  <c r="BN225" i="9"/>
  <c r="BO225" i="9" s="1"/>
  <c r="BJ225" i="9"/>
  <c r="BK225" i="9" s="1"/>
  <c r="BZ225" i="9"/>
  <c r="CA225" i="9" s="1"/>
  <c r="CB225" i="9" s="1" a="1"/>
  <c r="CB225" i="9" s="1"/>
  <c r="CH188" i="9"/>
  <c r="CI188" i="9" s="1"/>
  <c r="CN610" i="9" a="1"/>
  <c r="CN610" i="9" s="1"/>
  <c r="CF626" i="9" a="1"/>
  <c r="CF626" i="9" s="1"/>
  <c r="CD611" i="9"/>
  <c r="CE611" i="9" s="1"/>
  <c r="CF611" i="9" s="1" a="1"/>
  <c r="CF611" i="9" s="1"/>
  <c r="BF494" i="9"/>
  <c r="BG494" i="9" s="1"/>
  <c r="BH494" i="9" s="1" a="1"/>
  <c r="BH494" i="9" s="1"/>
  <c r="BT515" i="9" a="1"/>
  <c r="BT515" i="9" s="1"/>
  <c r="CJ503" i="9" a="1"/>
  <c r="CJ503" i="9" s="1"/>
  <c r="BL489" i="9" a="1"/>
  <c r="BL489" i="9" s="1"/>
  <c r="BT452" i="9" a="1"/>
  <c r="BT452" i="9" s="1"/>
  <c r="BV452" i="9" s="1"/>
  <c r="Q452" i="9" s="1"/>
  <c r="BZ418" i="9"/>
  <c r="CA418" i="9" s="1"/>
  <c r="CB418" i="9" s="1" a="1"/>
  <c r="CB418" i="9" s="1"/>
  <c r="CO390" i="9" a="1"/>
  <c r="CO390" i="9" s="1"/>
  <c r="CN390" i="9" a="1"/>
  <c r="CN390" i="9" s="1"/>
  <c r="CF342" i="9" a="1"/>
  <c r="CF342" i="9" s="1"/>
  <c r="BU335" i="9" a="1"/>
  <c r="BU335" i="9" s="1"/>
  <c r="BT335" i="9" a="1"/>
  <c r="BT335" i="9" s="1"/>
  <c r="BV335" i="9" s="1"/>
  <c r="Q335" i="9" s="1"/>
  <c r="AB335" i="9" s="1"/>
  <c r="BN307" i="9"/>
  <c r="BO307" i="9" s="1"/>
  <c r="BP307" i="9" s="1" a="1"/>
  <c r="BP307" i="9" s="1"/>
  <c r="CL218" i="9"/>
  <c r="CM218" i="9" s="1"/>
  <c r="BZ217" i="9"/>
  <c r="CA217" i="9" s="1"/>
  <c r="CB217" i="9" s="1" a="1"/>
  <c r="CB217" i="9" s="1"/>
  <c r="BN195" i="9"/>
  <c r="BO195" i="9" s="1"/>
  <c r="BP195" i="9" s="1" a="1"/>
  <c r="BP195" i="9" s="1"/>
  <c r="BJ180" i="9"/>
  <c r="BK180" i="9" s="1"/>
  <c r="BL180" i="9" s="1" a="1"/>
  <c r="BL180" i="9" s="1"/>
  <c r="BR167" i="9"/>
  <c r="BS167" i="9" s="1"/>
  <c r="CH624" i="9"/>
  <c r="CI624" i="9" s="1"/>
  <c r="BT625" i="9" a="1"/>
  <c r="BT625" i="9" s="1"/>
  <c r="BV625" i="9" s="1"/>
  <c r="Q625" i="9" s="1"/>
  <c r="BU468" i="9" a="1"/>
  <c r="BU468" i="9" s="1"/>
  <c r="BT468" i="9" a="1"/>
  <c r="BT468" i="9" s="1"/>
  <c r="CD451" i="9"/>
  <c r="CE451" i="9" s="1"/>
  <c r="BZ427" i="9"/>
  <c r="CA427" i="9" s="1"/>
  <c r="CB427" i="9" s="1" a="1"/>
  <c r="CB427" i="9" s="1"/>
  <c r="BZ406" i="9"/>
  <c r="CA406" i="9" s="1"/>
  <c r="CB406" i="9" s="1" a="1"/>
  <c r="CB406" i="9" s="1"/>
  <c r="BR407" i="9"/>
  <c r="BS407" i="9" s="1"/>
  <c r="BT370" i="9" a="1"/>
  <c r="BT370" i="9" s="1"/>
  <c r="BU370" i="9" a="1"/>
  <c r="BU370" i="9" s="1"/>
  <c r="BJ357" i="9"/>
  <c r="BK357" i="9" s="1"/>
  <c r="BL357" i="9" s="1" a="1"/>
  <c r="BL357" i="9" s="1"/>
  <c r="CL359" i="9"/>
  <c r="CM359" i="9" s="1"/>
  <c r="BN337" i="9"/>
  <c r="BO337" i="9" s="1"/>
  <c r="BP337" i="9" s="1" a="1"/>
  <c r="BP337" i="9" s="1"/>
  <c r="BJ330" i="9"/>
  <c r="BK330" i="9" s="1"/>
  <c r="BL330" i="9" s="1" a="1"/>
  <c r="BL330" i="9" s="1"/>
  <c r="CF278" i="9" a="1"/>
  <c r="CF278" i="9" s="1"/>
  <c r="BP285" i="9" a="1"/>
  <c r="BP285" i="9" s="1"/>
  <c r="BN258" i="9"/>
  <c r="BO258" i="9" s="1"/>
  <c r="BF258" i="9"/>
  <c r="BG258" i="9" s="1"/>
  <c r="BH258" i="9" s="1" a="1"/>
  <c r="BH258" i="9" s="1"/>
  <c r="BJ258" i="9"/>
  <c r="BK258" i="9" s="1"/>
  <c r="CL267" i="9"/>
  <c r="CM267" i="9" s="1"/>
  <c r="CJ251" i="9" a="1"/>
  <c r="CJ251" i="9" s="1"/>
  <c r="BT240" i="9" a="1"/>
  <c r="BT240" i="9" s="1"/>
  <c r="BU240" i="9" a="1"/>
  <c r="BU240" i="9" s="1"/>
  <c r="CL180" i="9"/>
  <c r="CM180" i="9" s="1"/>
  <c r="CL168" i="9"/>
  <c r="CM168" i="9" s="1"/>
  <c r="BZ168" i="9"/>
  <c r="CA168" i="9" s="1"/>
  <c r="CB168" i="9" s="1" a="1"/>
  <c r="CB168" i="9" s="1"/>
  <c r="BT420" i="9" a="1"/>
  <c r="BT420" i="9" s="1"/>
  <c r="CN423" i="9" a="1"/>
  <c r="CN423" i="9" s="1"/>
  <c r="CF282" i="9" a="1"/>
  <c r="CF282" i="9" s="1"/>
  <c r="CN278" i="9" a="1"/>
  <c r="CN278" i="9" s="1"/>
  <c r="CF402" i="9" a="1"/>
  <c r="CF402" i="9" s="1"/>
  <c r="CJ342" i="9" a="1"/>
  <c r="CJ342" i="9" s="1"/>
  <c r="BZ226" i="9"/>
  <c r="CA226" i="9" s="1"/>
  <c r="CB226" i="9" s="1" a="1"/>
  <c r="CB226" i="9" s="1"/>
  <c r="BN200" i="9"/>
  <c r="BO200" i="9" s="1"/>
  <c r="BP200" i="9" s="1" a="1"/>
  <c r="BP200" i="9" s="1"/>
  <c r="CF178" i="9" a="1"/>
  <c r="CF178" i="9" s="1"/>
  <c r="CF165" i="9" a="1"/>
  <c r="CF165" i="9" s="1"/>
  <c r="CO138" i="9" a="1"/>
  <c r="CO138" i="9" s="1"/>
  <c r="CN138" i="9" a="1"/>
  <c r="CN138" i="9" s="1"/>
  <c r="BL353" i="9" a="1"/>
  <c r="BL353" i="9" s="1"/>
  <c r="CF249" i="9" a="1"/>
  <c r="CF249" i="9" s="1"/>
  <c r="CD168" i="9"/>
  <c r="CE168" i="9" s="1"/>
  <c r="BL129" i="9" a="1"/>
  <c r="BL129" i="9" s="1"/>
  <c r="CF452" i="9" a="1"/>
  <c r="CF452" i="9" s="1"/>
  <c r="CB299" i="9" a="1"/>
  <c r="CB299" i="9" s="1"/>
  <c r="BT247" i="9" a="1"/>
  <c r="BT247" i="9" s="1"/>
  <c r="CH210" i="9"/>
  <c r="CI210" i="9" s="1"/>
  <c r="CJ210" i="9" s="1" a="1"/>
  <c r="CJ210" i="9" s="1"/>
  <c r="CF159" i="9" a="1"/>
  <c r="CF159" i="9" s="1"/>
  <c r="BJ136" i="9"/>
  <c r="BK136" i="9" s="1"/>
  <c r="BL136" i="9" s="1" a="1"/>
  <c r="BL136" i="9" s="1"/>
  <c r="CO141" i="9" a="1"/>
  <c r="CO141" i="9" s="1"/>
  <c r="CN141" i="9" a="1"/>
  <c r="CN141" i="9" s="1"/>
  <c r="CL407" i="9"/>
  <c r="CM407" i="9" s="1"/>
  <c r="BJ429" i="9"/>
  <c r="BK429" i="9" s="1"/>
  <c r="BL429" i="9" s="1" a="1"/>
  <c r="BL429" i="9" s="1"/>
  <c r="CL392" i="9"/>
  <c r="CM392" i="9" s="1"/>
  <c r="BL247" i="9" a="1"/>
  <c r="BL247" i="9" s="1"/>
  <c r="CL170" i="9"/>
  <c r="CM170" i="9" s="1"/>
  <c r="BL135" i="9" a="1"/>
  <c r="BL135" i="9" s="1"/>
  <c r="BP339" i="9" a="1"/>
  <c r="BP339" i="9" s="1"/>
  <c r="CF262" i="9" a="1"/>
  <c r="CF262" i="9" s="1"/>
  <c r="BL230" i="9" a="1"/>
  <c r="BL230" i="9" s="1"/>
  <c r="CN181" i="9" a="1"/>
  <c r="CN181" i="9" s="1"/>
  <c r="CP181" i="9" s="1"/>
  <c r="V181" i="9" s="1"/>
  <c r="BZ175" i="9"/>
  <c r="CA175" i="9" s="1"/>
  <c r="CB175" i="9" s="1" a="1"/>
  <c r="CB175" i="9" s="1"/>
  <c r="BT142" i="9" a="1"/>
  <c r="BT142" i="9" s="1"/>
  <c r="BU142" i="9" a="1"/>
  <c r="BU142" i="9" s="1"/>
  <c r="CD394" i="9"/>
  <c r="CE394" i="9" s="1"/>
  <c r="CF394" i="9" s="1" a="1"/>
  <c r="CF394" i="9" s="1"/>
  <c r="BP300" i="9" a="1"/>
  <c r="BP300" i="9" s="1"/>
  <c r="CF240" i="9" a="1"/>
  <c r="CF240" i="9" s="1"/>
  <c r="CL188" i="9"/>
  <c r="CM188" i="9" s="1"/>
  <c r="CL161" i="9"/>
  <c r="CM161" i="9" s="1"/>
  <c r="BH144" i="9" a="1"/>
  <c r="BH144" i="9" s="1"/>
  <c r="CL127" i="9"/>
  <c r="CM127" i="9" s="1"/>
  <c r="BJ127" i="9"/>
  <c r="BK127" i="9" s="1"/>
  <c r="BL127" i="9" s="1" a="1"/>
  <c r="BL127" i="9" s="1"/>
  <c r="BT358" i="9" a="1"/>
  <c r="BT358" i="9" s="1"/>
  <c r="CL250" i="9"/>
  <c r="CM250" i="9" s="1"/>
  <c r="BN190" i="9"/>
  <c r="BO190" i="9" s="1"/>
  <c r="BP190" i="9" s="1" a="1"/>
  <c r="BP190" i="9" s="1"/>
  <c r="BJ152" i="9"/>
  <c r="BK152" i="9" s="1"/>
  <c r="CD153" i="9"/>
  <c r="CE153" i="9" s="1"/>
  <c r="BP991" i="9" a="1"/>
  <c r="BP991" i="9" s="1"/>
  <c r="BT972" i="9" a="1"/>
  <c r="BT972" i="9" s="1"/>
  <c r="BU972" i="9" a="1"/>
  <c r="BU972" i="9" s="1"/>
  <c r="BU919" i="9" a="1"/>
  <c r="BU919" i="9" s="1"/>
  <c r="BT919" i="9" a="1"/>
  <c r="BT919" i="9" s="1"/>
  <c r="CP850" i="9"/>
  <c r="V850" i="9" s="1"/>
  <c r="BV789" i="9"/>
  <c r="Q789" i="9" s="1"/>
  <c r="CF763" i="9" a="1"/>
  <c r="CF763" i="9" s="1"/>
  <c r="CF794" i="9" a="1"/>
  <c r="CF794" i="9" s="1"/>
  <c r="CF784" i="9" a="1"/>
  <c r="CF784" i="9" s="1"/>
  <c r="CJ585" i="9" a="1"/>
  <c r="CJ585" i="9" s="1"/>
  <c r="BF688" i="9"/>
  <c r="BG688" i="9" s="1"/>
  <c r="BH688" i="9" s="1" a="1"/>
  <c r="BH688" i="9" s="1"/>
  <c r="BJ537" i="9"/>
  <c r="BK537" i="9" s="1"/>
  <c r="BR537" i="9"/>
  <c r="BS537" i="9" s="1"/>
  <c r="BF537" i="9"/>
  <c r="BG537" i="9" s="1"/>
  <c r="BH537" i="9" s="1" a="1"/>
  <c r="BH537" i="9" s="1"/>
  <c r="BF675" i="9"/>
  <c r="BG675" i="9" s="1"/>
  <c r="BH675" i="9" s="1" a="1"/>
  <c r="BH675" i="9" s="1"/>
  <c r="BF589" i="9"/>
  <c r="BG589" i="9" s="1"/>
  <c r="BH589" i="9" s="1" a="1"/>
  <c r="BH589" i="9" s="1"/>
  <c r="CO604" i="9" a="1"/>
  <c r="CO604" i="9" s="1"/>
  <c r="CN604" i="9" a="1"/>
  <c r="CN604" i="9" s="1"/>
  <c r="CP513" i="9"/>
  <c r="V513" i="9" s="1"/>
  <c r="BL441" i="9" a="1"/>
  <c r="BL441" i="9" s="1"/>
  <c r="BL773" i="9" a="1"/>
  <c r="BL773" i="9" s="1"/>
  <c r="CH731" i="9"/>
  <c r="CI731" i="9" s="1"/>
  <c r="CJ731" i="9" s="1" a="1"/>
  <c r="CJ731" i="9" s="1"/>
  <c r="BT724" i="9" a="1"/>
  <c r="BT724" i="9" s="1"/>
  <c r="BU724" i="9" a="1"/>
  <c r="BU724" i="9" s="1"/>
  <c r="CH614" i="9"/>
  <c r="CI614" i="9" s="1"/>
  <c r="BT544" i="9" a="1"/>
  <c r="BT544" i="9" s="1"/>
  <c r="BU544" i="9" a="1"/>
  <c r="BU544" i="9" s="1"/>
  <c r="CF528" i="9" a="1"/>
  <c r="CF528" i="9" s="1"/>
  <c r="CJ459" i="9" a="1"/>
  <c r="CJ459" i="9" s="1"/>
  <c r="BP927" i="9" a="1"/>
  <c r="BP927" i="9" s="1"/>
  <c r="CL772" i="9"/>
  <c r="CM772" i="9" s="1"/>
  <c r="BL696" i="9" a="1"/>
  <c r="BL696" i="9" s="1"/>
  <c r="BT632" i="9" a="1"/>
  <c r="BT632" i="9" s="1"/>
  <c r="BU632" i="9" a="1"/>
  <c r="BU632" i="9" s="1"/>
  <c r="CJ693" i="9" a="1"/>
  <c r="CJ693" i="9" s="1"/>
  <c r="CO639" i="9" a="1"/>
  <c r="CO639" i="9" s="1"/>
  <c r="CN639" i="9" a="1"/>
  <c r="CN639" i="9" s="1"/>
  <c r="BR715" i="9"/>
  <c r="BS715" i="9" s="1"/>
  <c r="CN626" i="9" a="1"/>
  <c r="CN626" i="9" s="1"/>
  <c r="CO626" i="9" a="1"/>
  <c r="CO626" i="9" s="1"/>
  <c r="CL614" i="9"/>
  <c r="CM614" i="9" s="1"/>
  <c r="CL598" i="9"/>
  <c r="CM598" i="9" s="1"/>
  <c r="BJ619" i="9"/>
  <c r="BK619" i="9" s="1"/>
  <c r="BF619" i="9"/>
  <c r="BG619" i="9" s="1"/>
  <c r="BH619" i="9" s="1" a="1"/>
  <c r="BH619" i="9" s="1"/>
  <c r="BR619" i="9"/>
  <c r="BS619" i="9" s="1"/>
  <c r="BN589" i="9"/>
  <c r="BO589" i="9" s="1"/>
  <c r="BP589" i="9" s="1" a="1"/>
  <c r="BP589" i="9" s="1"/>
  <c r="BN554" i="9"/>
  <c r="BO554" i="9" s="1"/>
  <c r="CD524" i="9"/>
  <c r="CE524" i="9" s="1"/>
  <c r="CJ524" i="9" s="1" a="1"/>
  <c r="CJ524" i="9" s="1"/>
  <c r="CL491" i="9"/>
  <c r="CM491" i="9" s="1"/>
  <c r="CF832" i="9" a="1"/>
  <c r="CF832" i="9" s="1"/>
  <c r="CP832" i="9" s="1"/>
  <c r="V832" i="9" s="1"/>
  <c r="CF802" i="9" a="1"/>
  <c r="CF802" i="9" s="1"/>
  <c r="BT751" i="9" a="1"/>
  <c r="BT751" i="9" s="1"/>
  <c r="BU751" i="9" a="1"/>
  <c r="BU751" i="9" s="1"/>
  <c r="BJ780" i="9"/>
  <c r="BK780" i="9" s="1"/>
  <c r="CJ726" i="9" a="1"/>
  <c r="CJ726" i="9" s="1"/>
  <c r="BL558" i="9" a="1"/>
  <c r="BL558" i="9" s="1"/>
  <c r="CN660" i="9" a="1"/>
  <c r="CN660" i="9" s="1"/>
  <c r="CO660" i="9" a="1"/>
  <c r="CO660" i="9" s="1"/>
  <c r="BT732" i="9" a="1"/>
  <c r="BT732" i="9" s="1"/>
  <c r="BU732" i="9" a="1"/>
  <c r="BU732" i="9" s="1"/>
  <c r="BU617" i="9" a="1"/>
  <c r="BU617" i="9" s="1"/>
  <c r="BT617" i="9" a="1"/>
  <c r="BT617" i="9" s="1"/>
  <c r="BT560" i="9" a="1"/>
  <c r="BT560" i="9" s="1"/>
  <c r="BU560" i="9" a="1"/>
  <c r="BU560" i="9" s="1"/>
  <c r="BN608" i="9"/>
  <c r="BO608" i="9" s="1"/>
  <c r="BP608" i="9" s="1" a="1"/>
  <c r="BP608" i="9" s="1"/>
  <c r="BZ622" i="9"/>
  <c r="CA622" i="9" s="1"/>
  <c r="CB622" i="9" s="1" a="1"/>
  <c r="CB622" i="9" s="1"/>
  <c r="CH491" i="9"/>
  <c r="CI491" i="9" s="1"/>
  <c r="BJ521" i="9"/>
  <c r="BK521" i="9" s="1"/>
  <c r="BF521" i="9"/>
  <c r="BG521" i="9" s="1"/>
  <c r="BH521" i="9" s="1" a="1"/>
  <c r="BH521" i="9" s="1"/>
  <c r="BR521" i="9"/>
  <c r="BS521" i="9" s="1"/>
  <c r="BN464" i="9"/>
  <c r="BO464" i="9" s="1"/>
  <c r="CN485" i="9" a="1"/>
  <c r="CN485" i="9" s="1"/>
  <c r="CO485" i="9" a="1"/>
  <c r="CO485" i="9" s="1"/>
  <c r="CL809" i="9"/>
  <c r="CM809" i="9" s="1"/>
  <c r="BU736" i="9" a="1"/>
  <c r="BU736" i="9" s="1"/>
  <c r="BT736" i="9" a="1"/>
  <c r="BT736" i="9" s="1"/>
  <c r="CH672" i="9"/>
  <c r="CI672" i="9" s="1"/>
  <c r="CJ672" i="9" s="1" a="1"/>
  <c r="CJ672" i="9" s="1"/>
  <c r="BZ656" i="9"/>
  <c r="CA656" i="9" s="1"/>
  <c r="CB656" i="9" s="1" a="1"/>
  <c r="CB656" i="9" s="1"/>
  <c r="BJ656" i="9"/>
  <c r="BK656" i="9" s="1"/>
  <c r="BF656" i="9"/>
  <c r="BG656" i="9" s="1"/>
  <c r="BH656" i="9" s="1" a="1"/>
  <c r="BH656" i="9" s="1"/>
  <c r="CH600" i="9"/>
  <c r="CI600" i="9" s="1"/>
  <c r="CJ600" i="9" s="1" a="1"/>
  <c r="CJ600" i="9" s="1"/>
  <c r="BR628" i="9"/>
  <c r="BS628" i="9" s="1"/>
  <c r="CL648" i="9"/>
  <c r="CM648" i="9" s="1"/>
  <c r="BN605" i="9"/>
  <c r="BO605" i="9" s="1"/>
  <c r="BP605" i="9" s="1" a="1"/>
  <c r="BP605" i="9" s="1"/>
  <c r="BJ486" i="9"/>
  <c r="BK486" i="9" s="1"/>
  <c r="BL486" i="9" s="1" a="1"/>
  <c r="BL486" i="9" s="1"/>
  <c r="CL494" i="9"/>
  <c r="CM494" i="9" s="1"/>
  <c r="CH712" i="9"/>
  <c r="CI712" i="9" s="1"/>
  <c r="BP721" i="9" a="1"/>
  <c r="BP721" i="9" s="1"/>
  <c r="BN672" i="9"/>
  <c r="BO672" i="9" s="1"/>
  <c r="BP672" i="9" s="1" a="1"/>
  <c r="BP672" i="9" s="1"/>
  <c r="BN600" i="9"/>
  <c r="BO600" i="9" s="1"/>
  <c r="BP600" i="9" s="1" a="1"/>
  <c r="BP600" i="9" s="1"/>
  <c r="CF709" i="9" a="1"/>
  <c r="CF709" i="9" s="1"/>
  <c r="BR648" i="9"/>
  <c r="BS648" i="9" s="1"/>
  <c r="BU528" i="9" a="1"/>
  <c r="BU528" i="9" s="1"/>
  <c r="BT528" i="9" a="1"/>
  <c r="BT528" i="9" s="1"/>
  <c r="CL592" i="9"/>
  <c r="CM592" i="9" s="1"/>
  <c r="BN613" i="9"/>
  <c r="BO613" i="9" s="1"/>
  <c r="BT613" i="9" s="1" a="1"/>
  <c r="BT613" i="9" s="1"/>
  <c r="CN557" i="9" a="1"/>
  <c r="CN557" i="9" s="1"/>
  <c r="CO557" i="9" a="1"/>
  <c r="CO557" i="9" s="1"/>
  <c r="BJ581" i="9"/>
  <c r="BK581" i="9" s="1"/>
  <c r="BL581" i="9" s="1" a="1"/>
  <c r="BL581" i="9" s="1"/>
  <c r="CJ523" i="9" a="1"/>
  <c r="CJ523" i="9" s="1"/>
  <c r="CJ1000" i="9" a="1"/>
  <c r="CJ1000" i="9" s="1"/>
  <c r="CP838" i="9"/>
  <c r="V838" i="9" s="1"/>
  <c r="BL778" i="9" a="1"/>
  <c r="BL778" i="9" s="1"/>
  <c r="BP744" i="9" a="1"/>
  <c r="BP744" i="9" s="1"/>
  <c r="CL715" i="9"/>
  <c r="CM715" i="9" s="1"/>
  <c r="BJ706" i="9"/>
  <c r="BK706" i="9" s="1"/>
  <c r="BN706" i="9"/>
  <c r="BO706" i="9" s="1"/>
  <c r="BF706" i="9"/>
  <c r="BG706" i="9" s="1"/>
  <c r="BH706" i="9" s="1" a="1"/>
  <c r="BH706" i="9" s="1"/>
  <c r="BN656" i="9"/>
  <c r="BO656" i="9" s="1"/>
  <c r="BP656" i="9" s="1" a="1"/>
  <c r="BP656" i="9" s="1"/>
  <c r="BP655" i="9" a="1"/>
  <c r="BP655" i="9" s="1"/>
  <c r="CL682" i="9"/>
  <c r="CM682" i="9" s="1"/>
  <c r="BZ698" i="9"/>
  <c r="CA698" i="9" s="1"/>
  <c r="CB698" i="9" s="1" a="1"/>
  <c r="CB698" i="9" s="1"/>
  <c r="BR692" i="9"/>
  <c r="BS692" i="9" s="1"/>
  <c r="CL622" i="9"/>
  <c r="CM622" i="9" s="1"/>
  <c r="CH592" i="9"/>
  <c r="CI592" i="9" s="1"/>
  <c r="CJ592" i="9" s="1" a="1"/>
  <c r="CJ592" i="9" s="1"/>
  <c r="BZ542" i="9"/>
  <c r="CA542" i="9" s="1"/>
  <c r="CB542" i="9" s="1" a="1"/>
  <c r="CB542" i="9" s="1"/>
  <c r="CF641" i="9" a="1"/>
  <c r="CF641" i="9" s="1"/>
  <c r="CP558" i="9"/>
  <c r="V558" i="9" s="1"/>
  <c r="BR573" i="9"/>
  <c r="BS573" i="9" s="1"/>
  <c r="BJ587" i="9"/>
  <c r="BK587" i="9" s="1"/>
  <c r="BP587" i="9" s="1" a="1"/>
  <c r="BP587" i="9" s="1"/>
  <c r="BR587" i="9"/>
  <c r="BS587" i="9" s="1"/>
  <c r="BF587" i="9"/>
  <c r="BG587" i="9" s="1"/>
  <c r="BH587" i="9" s="1" a="1"/>
  <c r="BH587" i="9" s="1"/>
  <c r="CL587" i="9"/>
  <c r="CM587" i="9" s="1"/>
  <c r="CD526" i="9"/>
  <c r="CE526" i="9" s="1"/>
  <c r="CH573" i="9"/>
  <c r="CI573" i="9" s="1"/>
  <c r="CJ487" i="9" a="1"/>
  <c r="CJ487" i="9" s="1"/>
  <c r="BN524" i="9"/>
  <c r="BO524" i="9" s="1"/>
  <c r="CD491" i="9"/>
  <c r="CE491" i="9" s="1"/>
  <c r="CJ639" i="9" a="1"/>
  <c r="CJ639" i="9" s="1"/>
  <c r="BZ606" i="9"/>
  <c r="CA606" i="9" s="1"/>
  <c r="CB606" i="9" s="1" a="1"/>
  <c r="CB606" i="9" s="1"/>
  <c r="BP607" i="9" a="1"/>
  <c r="BP607" i="9" s="1"/>
  <c r="CF458" i="9" a="1"/>
  <c r="CF458" i="9" s="1"/>
  <c r="CO393" i="9" a="1"/>
  <c r="CO393" i="9" s="1"/>
  <c r="CN393" i="9" a="1"/>
  <c r="CN393" i="9" s="1"/>
  <c r="BU309" i="9" a="1"/>
  <c r="BU309" i="9" s="1"/>
  <c r="BT309" i="9" a="1"/>
  <c r="BT309" i="9" s="1"/>
  <c r="CO261" i="9" a="1"/>
  <c r="CO261" i="9" s="1"/>
  <c r="CN261" i="9" a="1"/>
  <c r="CN261" i="9" s="1"/>
  <c r="CJ612" i="9" a="1"/>
  <c r="CJ612" i="9" s="1"/>
  <c r="CP612" i="9" s="1"/>
  <c r="V612" i="9" s="1"/>
  <c r="CF594" i="9" a="1"/>
  <c r="CF594" i="9" s="1"/>
  <c r="BJ573" i="9"/>
  <c r="BK573" i="9" s="1"/>
  <c r="BR434" i="9"/>
  <c r="BS434" i="9" s="1"/>
  <c r="BT445" i="9" a="1"/>
  <c r="BT445" i="9" s="1"/>
  <c r="BU445" i="9" a="1"/>
  <c r="BU445" i="9" s="1"/>
  <c r="BT423" i="9" a="1"/>
  <c r="BT423" i="9" s="1"/>
  <c r="BU423" i="9" a="1"/>
  <c r="BU423" i="9" s="1"/>
  <c r="BP375" i="9" a="1"/>
  <c r="BP375" i="9" s="1"/>
  <c r="CO369" i="9" a="1"/>
  <c r="CO369" i="9" s="1"/>
  <c r="CN369" i="9" a="1"/>
  <c r="CN369" i="9" s="1"/>
  <c r="CH245" i="9"/>
  <c r="CI245" i="9" s="1"/>
  <c r="CH224" i="9"/>
  <c r="CI224" i="9" s="1"/>
  <c r="BZ223" i="9"/>
  <c r="CA223" i="9" s="1"/>
  <c r="CB223" i="9" s="1" a="1"/>
  <c r="CB223" i="9" s="1"/>
  <c r="CF525" i="9" a="1"/>
  <c r="CF525" i="9" s="1"/>
  <c r="BF451" i="9"/>
  <c r="BG451" i="9" s="1"/>
  <c r="BH451" i="9" s="1" a="1"/>
  <c r="BH451" i="9" s="1"/>
  <c r="BN436" i="9"/>
  <c r="BO436" i="9" s="1"/>
  <c r="BR436" i="9"/>
  <c r="BS436" i="9" s="1"/>
  <c r="BJ436" i="9"/>
  <c r="BK436" i="9" s="1"/>
  <c r="BL436" i="9" s="1" a="1"/>
  <c r="BL436" i="9" s="1"/>
  <c r="CJ431" i="9" a="1"/>
  <c r="CJ431" i="9" s="1"/>
  <c r="CO275" i="9" a="1"/>
  <c r="CO275" i="9" s="1"/>
  <c r="CN275" i="9" a="1"/>
  <c r="CN275" i="9" s="1"/>
  <c r="BT355" i="9" a="1"/>
  <c r="BT355" i="9" s="1"/>
  <c r="BU355" i="9" a="1"/>
  <c r="BU355" i="9" s="1"/>
  <c r="BV355" i="9" s="1"/>
  <c r="Q355" i="9" s="1"/>
  <c r="BL290" i="9" a="1"/>
  <c r="BL290" i="9" s="1"/>
  <c r="BP220" i="9" a="1"/>
  <c r="BP220" i="9" s="1"/>
  <c r="BF155" i="9"/>
  <c r="BG155" i="9" s="1"/>
  <c r="BH155" i="9" s="1" a="1"/>
  <c r="BH155" i="9" s="1"/>
  <c r="BJ155" i="9"/>
  <c r="BK155" i="9" s="1"/>
  <c r="BZ691" i="9"/>
  <c r="CA691" i="9" s="1"/>
  <c r="CB691" i="9" s="1" a="1"/>
  <c r="CB691" i="9" s="1"/>
  <c r="BL564" i="9" a="1"/>
  <c r="BL564" i="9" s="1"/>
  <c r="BV564" i="9" s="1"/>
  <c r="Q564" i="9" s="1"/>
  <c r="BT495" i="9" a="1"/>
  <c r="BT495" i="9" s="1"/>
  <c r="BU495" i="9" a="1"/>
  <c r="BU495" i="9" s="1"/>
  <c r="CD521" i="9"/>
  <c r="CE521" i="9" s="1"/>
  <c r="CJ521" i="9" s="1" a="1"/>
  <c r="CJ521" i="9" s="1"/>
  <c r="CD483" i="9"/>
  <c r="CE483" i="9" s="1"/>
  <c r="CH412" i="9"/>
  <c r="CI412" i="9" s="1"/>
  <c r="CJ412" i="9" s="1" a="1"/>
  <c r="CJ412" i="9" s="1"/>
  <c r="BN392" i="9"/>
  <c r="BO392" i="9" s="1"/>
  <c r="CN371" i="9" a="1"/>
  <c r="CN371" i="9" s="1"/>
  <c r="CO371" i="9" a="1"/>
  <c r="CO371" i="9" s="1"/>
  <c r="BN356" i="9"/>
  <c r="BO356" i="9" s="1"/>
  <c r="BT356" i="9" s="1" a="1"/>
  <c r="BT356" i="9" s="1"/>
  <c r="BJ356" i="9"/>
  <c r="BK356" i="9" s="1"/>
  <c r="BL356" i="9" s="1" a="1"/>
  <c r="BL356" i="9" s="1"/>
  <c r="BF356" i="9"/>
  <c r="BG356" i="9" s="1"/>
  <c r="BH356" i="9" s="1" a="1"/>
  <c r="BH356" i="9" s="1"/>
  <c r="BN321" i="9"/>
  <c r="BO321" i="9" s="1"/>
  <c r="BP321" i="9" s="1" a="1"/>
  <c r="BP321" i="9" s="1"/>
  <c r="CL324" i="9"/>
  <c r="CM324" i="9" s="1"/>
  <c r="BT256" i="9" a="1"/>
  <c r="BT256" i="9" s="1"/>
  <c r="BU256" i="9" a="1"/>
  <c r="BU256" i="9" s="1"/>
  <c r="CL330" i="9"/>
  <c r="CM330" i="9" s="1"/>
  <c r="BJ250" i="9"/>
  <c r="BK250" i="9" s="1"/>
  <c r="BJ229" i="9"/>
  <c r="BK229" i="9" s="1"/>
  <c r="BL229" i="9" s="1" a="1"/>
  <c r="BL229" i="9" s="1"/>
  <c r="BF229" i="9"/>
  <c r="BG229" i="9" s="1"/>
  <c r="BH229" i="9" s="1" a="1"/>
  <c r="BH229" i="9" s="1"/>
  <c r="BR223" i="9"/>
  <c r="BS223" i="9" s="1"/>
  <c r="BT183" i="9" a="1"/>
  <c r="BT183" i="9" s="1"/>
  <c r="BU183" i="9" a="1"/>
  <c r="BU183" i="9" s="1"/>
  <c r="BZ146" i="9"/>
  <c r="CA146" i="9" s="1"/>
  <c r="CB146" i="9" s="1" a="1"/>
  <c r="CB146" i="9" s="1"/>
  <c r="BP506" i="9" a="1"/>
  <c r="BP506" i="9" s="1"/>
  <c r="CN352" i="9" a="1"/>
  <c r="CN352" i="9" s="1"/>
  <c r="CO352" i="9" a="1"/>
  <c r="CO352" i="9" s="1"/>
  <c r="BN437" i="9"/>
  <c r="BO437" i="9" s="1"/>
  <c r="BP454" i="9" a="1"/>
  <c r="BP454" i="9" s="1"/>
  <c r="CO405" i="9" a="1"/>
  <c r="CO405" i="9" s="1"/>
  <c r="CN405" i="9" a="1"/>
  <c r="CN405" i="9" s="1"/>
  <c r="CH386" i="9"/>
  <c r="CI386" i="9" s="1"/>
  <c r="CJ386" i="9" s="1" a="1"/>
  <c r="CJ386" i="9" s="1"/>
  <c r="CO328" i="9" a="1"/>
  <c r="CO328" i="9" s="1"/>
  <c r="CN328" i="9" a="1"/>
  <c r="CN328" i="9" s="1"/>
  <c r="BL312" i="9" a="1"/>
  <c r="BL312" i="9" s="1"/>
  <c r="BT308" i="9" a="1"/>
  <c r="BT308" i="9" s="1"/>
  <c r="BU308" i="9" a="1"/>
  <c r="BU308" i="9" s="1"/>
  <c r="CD280" i="9"/>
  <c r="CE280" i="9" s="1"/>
  <c r="CF256" i="9" a="1"/>
  <c r="CF256" i="9" s="1"/>
  <c r="BF236" i="9"/>
  <c r="BG236" i="9" s="1"/>
  <c r="BH236" i="9" s="1" a="1"/>
  <c r="BH236" i="9" s="1"/>
  <c r="BP201" i="9" a="1"/>
  <c r="BP201" i="9" s="1"/>
  <c r="BZ167" i="9"/>
  <c r="CA167" i="9" s="1"/>
  <c r="CB167" i="9" s="1" a="1"/>
  <c r="CB167" i="9" s="1"/>
  <c r="CH137" i="9"/>
  <c r="CI137" i="9" s="1"/>
  <c r="CJ729" i="9" a="1"/>
  <c r="CJ729" i="9" s="1"/>
  <c r="CN732" i="9" a="1"/>
  <c r="CN732" i="9" s="1"/>
  <c r="CF657" i="9" a="1"/>
  <c r="CF657" i="9" s="1"/>
  <c r="CP657" i="9" s="1"/>
  <c r="V657" i="9" s="1"/>
  <c r="AB657" i="9" s="1"/>
  <c r="BT562" i="9" a="1"/>
  <c r="BT562" i="9" s="1"/>
  <c r="BN510" i="9"/>
  <c r="BO510" i="9" s="1"/>
  <c r="BP510" i="9" s="1" a="1"/>
  <c r="BP510" i="9" s="1"/>
  <c r="CL510" i="9"/>
  <c r="CM510" i="9" s="1"/>
  <c r="BF510" i="9"/>
  <c r="BG510" i="9" s="1"/>
  <c r="BH510" i="9" s="1" a="1"/>
  <c r="BH510" i="9" s="1"/>
  <c r="CL502" i="9"/>
  <c r="CM502" i="9" s="1"/>
  <c r="BN434" i="9"/>
  <c r="BO434" i="9" s="1"/>
  <c r="BP434" i="9" s="1" a="1"/>
  <c r="BP434" i="9" s="1"/>
  <c r="CH451" i="9"/>
  <c r="CI451" i="9" s="1"/>
  <c r="BL477" i="9" a="1"/>
  <c r="BL477" i="9" s="1"/>
  <c r="BZ449" i="9"/>
  <c r="CA449" i="9" s="1"/>
  <c r="CB449" i="9" s="1" a="1"/>
  <c r="CB449" i="9" s="1"/>
  <c r="BN412" i="9"/>
  <c r="BO412" i="9" s="1"/>
  <c r="BP412" i="9" s="1" a="1"/>
  <c r="BP412" i="9" s="1"/>
  <c r="CD345" i="9"/>
  <c r="CE345" i="9" s="1"/>
  <c r="BF326" i="9"/>
  <c r="BG326" i="9" s="1"/>
  <c r="BH326" i="9" s="1" a="1"/>
  <c r="BH326" i="9" s="1"/>
  <c r="BZ365" i="9"/>
  <c r="CA365" i="9" s="1"/>
  <c r="CB365" i="9" s="1" a="1"/>
  <c r="CB365" i="9" s="1"/>
  <c r="BF321" i="9"/>
  <c r="BG321" i="9" s="1"/>
  <c r="BH321" i="9" s="1" a="1"/>
  <c r="BH321" i="9" s="1"/>
  <c r="BZ337" i="9"/>
  <c r="CA337" i="9" s="1"/>
  <c r="CB337" i="9" s="1" a="1"/>
  <c r="CB337" i="9" s="1"/>
  <c r="CH303" i="9"/>
  <c r="CI303" i="9" s="1"/>
  <c r="CJ303" i="9" s="1" a="1"/>
  <c r="CJ303" i="9" s="1"/>
  <c r="CD296" i="9"/>
  <c r="CE296" i="9" s="1"/>
  <c r="CF296" i="9" s="1" a="1"/>
  <c r="CF296" i="9" s="1"/>
  <c r="BN296" i="9"/>
  <c r="BO296" i="9" s="1"/>
  <c r="BF296" i="9"/>
  <c r="BG296" i="9" s="1"/>
  <c r="BH296" i="9" s="1" a="1"/>
  <c r="BH296" i="9" s="1"/>
  <c r="BJ296" i="9"/>
  <c r="BK296" i="9" s="1"/>
  <c r="BU291" i="9" a="1"/>
  <c r="BU291" i="9" s="1"/>
  <c r="BT291" i="9" a="1"/>
  <c r="BT291" i="9" s="1"/>
  <c r="CO247" i="9" a="1"/>
  <c r="CO247" i="9" s="1"/>
  <c r="CN247" i="9" a="1"/>
  <c r="CN247" i="9" s="1"/>
  <c r="BP212" i="9" a="1"/>
  <c r="BP212" i="9" s="1"/>
  <c r="BP196" i="9" a="1"/>
  <c r="BP196" i="9" s="1"/>
  <c r="BU185" i="9" a="1"/>
  <c r="BU185" i="9" s="1"/>
  <c r="BT185" i="9" a="1"/>
  <c r="BT185" i="9" s="1"/>
  <c r="CF631" i="9" a="1"/>
  <c r="CF631" i="9" s="1"/>
  <c r="CF610" i="9" a="1"/>
  <c r="CF610" i="9" s="1"/>
  <c r="CF565" i="9" a="1"/>
  <c r="CF565" i="9" s="1"/>
  <c r="CF544" i="9" a="1"/>
  <c r="CF544" i="9" s="1"/>
  <c r="BZ494" i="9"/>
  <c r="CA494" i="9" s="1"/>
  <c r="CB494" i="9" s="1" a="1"/>
  <c r="CB494" i="9" s="1"/>
  <c r="BU444" i="9" a="1"/>
  <c r="BU444" i="9" s="1"/>
  <c r="BT444" i="9" a="1"/>
  <c r="BT444" i="9" s="1"/>
  <c r="BT405" i="9" a="1"/>
  <c r="BT405" i="9" s="1"/>
  <c r="BU405" i="9" a="1"/>
  <c r="BU405" i="9" s="1"/>
  <c r="BU411" i="9" a="1"/>
  <c r="BU411" i="9" s="1"/>
  <c r="BT411" i="9" a="1"/>
  <c r="BT411" i="9" s="1"/>
  <c r="CD365" i="9"/>
  <c r="CE365" i="9" s="1"/>
  <c r="CH383" i="9"/>
  <c r="CI383" i="9" s="1"/>
  <c r="CJ383" i="9" s="1" a="1"/>
  <c r="CJ383" i="9" s="1"/>
  <c r="BR376" i="9"/>
  <c r="BS376" i="9" s="1"/>
  <c r="CD359" i="9"/>
  <c r="CE359" i="9" s="1"/>
  <c r="CF359" i="9" s="1" a="1"/>
  <c r="CF359" i="9" s="1"/>
  <c r="BN329" i="9"/>
  <c r="BO329" i="9" s="1"/>
  <c r="BP329" i="9" s="1" a="1"/>
  <c r="BP329" i="9" s="1"/>
  <c r="CL303" i="9"/>
  <c r="CM303" i="9" s="1"/>
  <c r="BR227" i="9"/>
  <c r="BS227" i="9" s="1"/>
  <c r="BR217" i="9"/>
  <c r="BS217" i="9" s="1"/>
  <c r="BP192" i="9" a="1"/>
  <c r="BP192" i="9" s="1"/>
  <c r="BZ205" i="9"/>
  <c r="CA205" i="9" s="1"/>
  <c r="CB205" i="9" s="1" a="1"/>
  <c r="CB205" i="9" s="1"/>
  <c r="CD205" i="9"/>
  <c r="CE205" i="9" s="1"/>
  <c r="CL205" i="9"/>
  <c r="CM205" i="9" s="1"/>
  <c r="CO185" i="9" a="1"/>
  <c r="CO185" i="9" s="1"/>
  <c r="CN185" i="9" a="1"/>
  <c r="CN185" i="9" s="1"/>
  <c r="BJ715" i="9"/>
  <c r="BK715" i="9" s="1"/>
  <c r="CN565" i="9" a="1"/>
  <c r="CN565" i="9" s="1"/>
  <c r="BP536" i="9" a="1"/>
  <c r="BP536" i="9" s="1"/>
  <c r="CF461" i="9" a="1"/>
  <c r="CF461" i="9" s="1"/>
  <c r="BP445" i="9" a="1"/>
  <c r="BP445" i="9" s="1"/>
  <c r="BZ451" i="9"/>
  <c r="CA451" i="9" s="1"/>
  <c r="CB451" i="9" s="1" a="1"/>
  <c r="CB451" i="9" s="1"/>
  <c r="CN413" i="9" a="1"/>
  <c r="CN413" i="9" s="1"/>
  <c r="CO413" i="9" a="1"/>
  <c r="CO413" i="9" s="1"/>
  <c r="BT404" i="9" a="1"/>
  <c r="BT404" i="9" s="1"/>
  <c r="BU404" i="9" a="1"/>
  <c r="BU404" i="9" s="1"/>
  <c r="BL395" i="9" a="1"/>
  <c r="BL395" i="9" s="1"/>
  <c r="BR419" i="9"/>
  <c r="BS419" i="9" s="1"/>
  <c r="BU375" i="9" a="1"/>
  <c r="BU375" i="9" s="1"/>
  <c r="BT375" i="9" a="1"/>
  <c r="BT375" i="9" s="1"/>
  <c r="BU351" i="9" a="1"/>
  <c r="BU351" i="9" s="1"/>
  <c r="BT351" i="9" a="1"/>
  <c r="BT351" i="9" s="1"/>
  <c r="BU300" i="9" a="1"/>
  <c r="BU300" i="9" s="1"/>
  <c r="BT300" i="9" a="1"/>
  <c r="BT300" i="9" s="1"/>
  <c r="CL265" i="9"/>
  <c r="CM265" i="9" s="1"/>
  <c r="CH266" i="9"/>
  <c r="CI266" i="9" s="1"/>
  <c r="CJ266" i="9" s="1" a="1"/>
  <c r="CJ266" i="9" s="1"/>
  <c r="BP275" i="9" a="1"/>
  <c r="BP275" i="9" s="1"/>
  <c r="BV275" i="9" s="1"/>
  <c r="Q275" i="9" s="1"/>
  <c r="CD237" i="9"/>
  <c r="CE237" i="9" s="1"/>
  <c r="CJ237" i="9" s="1" a="1"/>
  <c r="CJ237" i="9" s="1"/>
  <c r="CL255" i="9"/>
  <c r="CM255" i="9" s="1"/>
  <c r="CD255" i="9"/>
  <c r="CE255" i="9" s="1"/>
  <c r="BZ255" i="9"/>
  <c r="CA255" i="9" s="1"/>
  <c r="CB255" i="9" s="1" a="1"/>
  <c r="CB255" i="9" s="1"/>
  <c r="CD227" i="9"/>
  <c r="CE227" i="9" s="1"/>
  <c r="CF227" i="9" s="1" a="1"/>
  <c r="CF227" i="9" s="1"/>
  <c r="BL215" i="9" a="1"/>
  <c r="BL215" i="9" s="1"/>
  <c r="BN223" i="9"/>
  <c r="BO223" i="9" s="1"/>
  <c r="BR200" i="9"/>
  <c r="BS200" i="9" s="1"/>
  <c r="CD180" i="9"/>
  <c r="CE180" i="9" s="1"/>
  <c r="CD176" i="9"/>
  <c r="CE176" i="9" s="1"/>
  <c r="CF176" i="9" s="1" a="1"/>
  <c r="CF176" i="9" s="1"/>
  <c r="BL165" i="9" a="1"/>
  <c r="BL165" i="9" s="1"/>
  <c r="BT148" i="9" a="1"/>
  <c r="BT148" i="9" s="1"/>
  <c r="BU148" i="9" a="1"/>
  <c r="BU148" i="9" s="1"/>
  <c r="BT140" i="9" a="1"/>
  <c r="BT140" i="9" s="1"/>
  <c r="BU140" i="9" a="1"/>
  <c r="BU140" i="9" s="1"/>
  <c r="CF405" i="9" a="1"/>
  <c r="CF405" i="9" s="1"/>
  <c r="CP405" i="9" s="1"/>
  <c r="V405" i="9" s="1"/>
  <c r="BL351" i="9" a="1"/>
  <c r="BL351" i="9" s="1"/>
  <c r="CF352" i="9" a="1"/>
  <c r="CF352" i="9" s="1"/>
  <c r="BR197" i="9"/>
  <c r="BS197" i="9" s="1"/>
  <c r="CL167" i="9"/>
  <c r="CM167" i="9" s="1"/>
  <c r="CD146" i="9"/>
  <c r="CE146" i="9" s="1"/>
  <c r="CF146" i="9" s="1" a="1"/>
  <c r="CF146" i="9" s="1"/>
  <c r="CF395" i="9" a="1"/>
  <c r="CF395" i="9" s="1"/>
  <c r="CJ334" i="9" a="1"/>
  <c r="CJ334" i="9" s="1"/>
  <c r="CN314" i="9" a="1"/>
  <c r="CN314" i="9" s="1"/>
  <c r="CP314" i="9" s="1"/>
  <c r="V314" i="9" s="1"/>
  <c r="BL278" i="9" a="1"/>
  <c r="BL278" i="9" s="1"/>
  <c r="BV278" i="9" s="1"/>
  <c r="Q278" i="9" s="1"/>
  <c r="CJ199" i="9" a="1"/>
  <c r="CJ199" i="9" s="1"/>
  <c r="CF201" i="9" a="1"/>
  <c r="CF201" i="9" s="1"/>
  <c r="CN441" i="9" a="1"/>
  <c r="CN441" i="9" s="1"/>
  <c r="CJ417" i="9" a="1"/>
  <c r="CJ417" i="9" s="1"/>
  <c r="BT387" i="9" a="1"/>
  <c r="BT387" i="9" s="1"/>
  <c r="BV387" i="9" s="1"/>
  <c r="Q387" i="9" s="1"/>
  <c r="AB387" i="9" s="1"/>
  <c r="CJ276" i="9" a="1"/>
  <c r="CJ276" i="9" s="1"/>
  <c r="BN250" i="9"/>
  <c r="BO250" i="9" s="1"/>
  <c r="BP250" i="9" s="1" a="1"/>
  <c r="BP250" i="9" s="1"/>
  <c r="CB219" i="9" a="1"/>
  <c r="CB219" i="9" s="1"/>
  <c r="CF135" i="9" a="1"/>
  <c r="CF135" i="9" s="1"/>
  <c r="CF244" i="9" a="1"/>
  <c r="CF244" i="9" s="1"/>
  <c r="BL178" i="9" a="1"/>
  <c r="BL178" i="9" s="1"/>
  <c r="BU172" i="9" a="1"/>
  <c r="BU172" i="9" s="1"/>
  <c r="BT172" i="9" a="1"/>
  <c r="BT172" i="9" s="1"/>
  <c r="CF154" i="9" a="1"/>
  <c r="CF154" i="9" s="1"/>
  <c r="CN140" i="9" a="1"/>
  <c r="CN140" i="9" s="1"/>
  <c r="CP140" i="9" s="1"/>
  <c r="V140" i="9" s="1"/>
  <c r="CO140" i="9" a="1"/>
  <c r="CO140" i="9" s="1"/>
  <c r="CP432" i="9"/>
  <c r="V432" i="9" s="1"/>
  <c r="CL416" i="9"/>
  <c r="CM416" i="9" s="1"/>
  <c r="BR257" i="9"/>
  <c r="BS257" i="9" s="1"/>
  <c r="CF247" i="9" a="1"/>
  <c r="CF247" i="9" s="1"/>
  <c r="BL189" i="9" a="1"/>
  <c r="BL189" i="9" s="1"/>
  <c r="CD137" i="9"/>
  <c r="CE137" i="9" s="1"/>
  <c r="CF137" i="9" s="1" a="1"/>
  <c r="CF137" i="9" s="1"/>
  <c r="BT381" i="9" a="1"/>
  <c r="BT381" i="9" s="1"/>
  <c r="CJ360" i="9" a="1"/>
  <c r="CJ360" i="9" s="1"/>
  <c r="CF274" i="9" a="1"/>
  <c r="CF274" i="9" s="1"/>
  <c r="BL194" i="9" a="1"/>
  <c r="BL194" i="9" s="1"/>
  <c r="BP140" i="9" a="1"/>
  <c r="BP140" i="9" s="1"/>
  <c r="CF130" i="9" a="1"/>
  <c r="CF130" i="9" s="1"/>
  <c r="CF445" i="9" a="1"/>
  <c r="CF445" i="9" s="1"/>
  <c r="BT259" i="9" a="1"/>
  <c r="BT259" i="9" s="1"/>
  <c r="CN242" i="9" a="1"/>
  <c r="CN242" i="9" s="1"/>
  <c r="BZ188" i="9"/>
  <c r="CA188" i="9" s="1"/>
  <c r="CB188" i="9" s="1" a="1"/>
  <c r="CB188" i="9" s="1"/>
  <c r="CP156" i="9"/>
  <c r="V156" i="9" s="1"/>
  <c r="BU157" i="9" a="1"/>
  <c r="BU157" i="9" s="1"/>
  <c r="BT157" i="9" a="1"/>
  <c r="BT157" i="9" s="1"/>
  <c r="CJ140" i="9" a="1"/>
  <c r="CJ140" i="9" s="1"/>
  <c r="BP446" i="9" a="1"/>
  <c r="BP446" i="9" s="1"/>
  <c r="CF423" i="9" a="1"/>
  <c r="CF423" i="9" s="1"/>
  <c r="CN358" i="9" a="1"/>
  <c r="CN358" i="9" s="1"/>
  <c r="BN330" i="9"/>
  <c r="BO330" i="9" s="1"/>
  <c r="BP330" i="9" s="1" a="1"/>
  <c r="BP330" i="9" s="1"/>
  <c r="CB285" i="9" a="1"/>
  <c r="CB285" i="9" s="1"/>
  <c r="CJ192" i="9" a="1"/>
  <c r="CJ192" i="9" s="1"/>
  <c r="CO150" i="9" a="1"/>
  <c r="CO150" i="9" s="1"/>
  <c r="CN150" i="9" a="1"/>
  <c r="CN150" i="9" s="1"/>
  <c r="CJ144" i="9" a="1"/>
  <c r="CJ144" i="9" s="1"/>
  <c r="BL148" i="9" a="1"/>
  <c r="BL148" i="9" s="1"/>
  <c r="CO877" i="9" a="1"/>
  <c r="CO877" i="9" s="1"/>
  <c r="CN877" i="9" a="1"/>
  <c r="CN877" i="9" s="1"/>
  <c r="CN837" i="9" a="1"/>
  <c r="CN837" i="9" s="1"/>
  <c r="CO837" i="9" a="1"/>
  <c r="CO837" i="9" s="1"/>
  <c r="CO741" i="9" a="1"/>
  <c r="CO741" i="9" s="1"/>
  <c r="CN741" i="9" a="1"/>
  <c r="CN741" i="9" s="1"/>
  <c r="CF992" i="9" a="1"/>
  <c r="CF992" i="9" s="1"/>
  <c r="CJ920" i="9" a="1"/>
  <c r="CJ920" i="9" s="1"/>
  <c r="BP958" i="9" a="1"/>
  <c r="BP958" i="9" s="1"/>
  <c r="CO872" i="9" a="1"/>
  <c r="CO872" i="9" s="1"/>
  <c r="CN872" i="9" a="1"/>
  <c r="CN872" i="9" s="1"/>
  <c r="CP762" i="9"/>
  <c r="V762" i="9" s="1"/>
  <c r="BU1018" i="9" a="1"/>
  <c r="BU1018" i="9" s="1"/>
  <c r="BT1018" i="9" a="1"/>
  <c r="BT1018" i="9" s="1"/>
  <c r="BT988" i="9" a="1"/>
  <c r="BT988" i="9" s="1"/>
  <c r="BU988" i="9" a="1"/>
  <c r="BU988" i="9" s="1"/>
  <c r="BT974" i="9" a="1"/>
  <c r="BT974" i="9" s="1"/>
  <c r="BU974" i="9" a="1"/>
  <c r="BU974" i="9" s="1"/>
  <c r="CN972" i="9" a="1"/>
  <c r="CN972" i="9" s="1"/>
  <c r="CO972" i="9" a="1"/>
  <c r="CO972" i="9" s="1"/>
  <c r="BT926" i="9" a="1"/>
  <c r="BT926" i="9" s="1"/>
  <c r="BU926" i="9" a="1"/>
  <c r="BU926" i="9" s="1"/>
  <c r="BT961" i="9" a="1"/>
  <c r="BT961" i="9" s="1"/>
  <c r="BU961" i="9" a="1"/>
  <c r="BU961" i="9" s="1"/>
  <c r="CO781" i="9" a="1"/>
  <c r="CO781" i="9" s="1"/>
  <c r="CN781" i="9" a="1"/>
  <c r="CN781" i="9" s="1"/>
  <c r="BT762" i="9" a="1"/>
  <c r="BT762" i="9" s="1"/>
  <c r="BU762" i="9" a="1"/>
  <c r="BU762" i="9" s="1"/>
  <c r="BP792" i="9" a="1"/>
  <c r="BP792" i="9" s="1"/>
  <c r="BV792" i="9" s="1"/>
  <c r="Q792" i="9" s="1"/>
  <c r="CJ755" i="9" a="1"/>
  <c r="CJ755" i="9" s="1"/>
  <c r="CN800" i="9" a="1"/>
  <c r="CN800" i="9" s="1"/>
  <c r="CO800" i="9" a="1"/>
  <c r="CO800" i="9" s="1"/>
  <c r="BZ731" i="9"/>
  <c r="CA731" i="9" s="1"/>
  <c r="CB731" i="9" s="1" a="1"/>
  <c r="CB731" i="9" s="1"/>
  <c r="BL1016" i="9" a="1"/>
  <c r="BL1016" i="9" s="1"/>
  <c r="BV1016" i="9" s="1"/>
  <c r="Q1016" i="9" s="1"/>
  <c r="CF810" i="9" a="1"/>
  <c r="CF810" i="9" s="1"/>
  <c r="CF789" i="9" a="1"/>
  <c r="CF789" i="9" s="1"/>
  <c r="CP789" i="9" s="1"/>
  <c r="V789" i="9" s="1"/>
  <c r="BF723" i="9"/>
  <c r="BG723" i="9" s="1"/>
  <c r="BH723" i="9" s="1" a="1"/>
  <c r="BH723" i="9" s="1"/>
  <c r="BU705" i="9" a="1"/>
  <c r="BU705" i="9" s="1"/>
  <c r="BT705" i="9" a="1"/>
  <c r="BT705" i="9" s="1"/>
  <c r="BN723" i="9"/>
  <c r="BO723" i="9" s="1"/>
  <c r="BP723" i="9" s="1" a="1"/>
  <c r="BP723" i="9" s="1"/>
  <c r="BJ554" i="9"/>
  <c r="BK554" i="9" s="1"/>
  <c r="CD772" i="9"/>
  <c r="CE772" i="9" s="1"/>
  <c r="CF772" i="9" s="1" a="1"/>
  <c r="CF772" i="9" s="1"/>
  <c r="CD737" i="9"/>
  <c r="CE737" i="9" s="1"/>
  <c r="CF737" i="9" s="1" a="1"/>
  <c r="CF737" i="9" s="1"/>
  <c r="BT575" i="9" a="1"/>
  <c r="BT575" i="9" s="1"/>
  <c r="BU575" i="9" a="1"/>
  <c r="BU575" i="9" s="1"/>
  <c r="BL671" i="9" a="1"/>
  <c r="BL671" i="9" s="1"/>
  <c r="BL623" i="9" a="1"/>
  <c r="BL623" i="9" s="1"/>
  <c r="CN644" i="9" a="1"/>
  <c r="CN644" i="9" s="1"/>
  <c r="CO644" i="9" a="1"/>
  <c r="CO644" i="9" s="1"/>
  <c r="BT586" i="9" a="1"/>
  <c r="BT586" i="9" s="1"/>
  <c r="BU586" i="9" a="1"/>
  <c r="BU586" i="9" s="1"/>
  <c r="CL568" i="9"/>
  <c r="CM568" i="9" s="1"/>
  <c r="BZ589" i="9"/>
  <c r="CA589" i="9" s="1"/>
  <c r="CB589" i="9" s="1" a="1"/>
  <c r="CB589" i="9" s="1"/>
  <c r="CO543" i="9" a="1"/>
  <c r="CO543" i="9" s="1"/>
  <c r="CN543" i="9" a="1"/>
  <c r="CN543" i="9" s="1"/>
  <c r="BN529" i="9"/>
  <c r="BO529" i="9" s="1"/>
  <c r="CF749" i="9" a="1"/>
  <c r="CF749" i="9" s="1"/>
  <c r="CP749" i="9" s="1"/>
  <c r="V749" i="9" s="1"/>
  <c r="BP752" i="9" a="1"/>
  <c r="BP752" i="9" s="1"/>
  <c r="BJ653" i="9"/>
  <c r="BK653" i="9" s="1"/>
  <c r="CL731" i="9"/>
  <c r="CM731" i="9" s="1"/>
  <c r="CD624" i="9"/>
  <c r="CE624" i="9" s="1"/>
  <c r="CF624" i="9" s="1" a="1"/>
  <c r="CF624" i="9" s="1"/>
  <c r="BL602" i="9" a="1"/>
  <c r="BL602" i="9" s="1"/>
  <c r="BP578" i="9" a="1"/>
  <c r="BP578" i="9" s="1"/>
  <c r="BL578" i="9" a="1"/>
  <c r="BL578" i="9" s="1"/>
  <c r="BU536" i="9" a="1"/>
  <c r="BU536" i="9" s="1"/>
  <c r="BT536" i="9" a="1"/>
  <c r="BT536" i="9" s="1"/>
  <c r="CN490" i="9" a="1"/>
  <c r="CN490" i="9" s="1"/>
  <c r="CO490" i="9" a="1"/>
  <c r="CO490" i="9" s="1"/>
  <c r="BT487" i="9" a="1"/>
  <c r="BT487" i="9" s="1"/>
  <c r="BU487" i="9" a="1"/>
  <c r="BU487" i="9" s="1"/>
  <c r="BU644" i="9" a="1"/>
  <c r="BU644" i="9" s="1"/>
  <c r="BT644" i="9" a="1"/>
  <c r="BT644" i="9" s="1"/>
  <c r="BP677" i="9" a="1"/>
  <c r="BP677" i="9" s="1"/>
  <c r="BL639" i="9" a="1"/>
  <c r="BL639" i="9" s="1"/>
  <c r="BR688" i="9"/>
  <c r="BS688" i="9" s="1"/>
  <c r="CH653" i="9"/>
  <c r="CI653" i="9" s="1"/>
  <c r="CH648" i="9"/>
  <c r="CI648" i="9" s="1"/>
  <c r="BL626" i="9" a="1"/>
  <c r="BL626" i="9" s="1"/>
  <c r="BT652" i="9" a="1"/>
  <c r="BT652" i="9" s="1"/>
  <c r="BU652" i="9" a="1"/>
  <c r="BU652" i="9" s="1"/>
  <c r="CD614" i="9"/>
  <c r="CE614" i="9" s="1"/>
  <c r="CF614" i="9" s="1" a="1"/>
  <c r="CF614" i="9" s="1"/>
  <c r="CD597" i="9"/>
  <c r="CE597" i="9" s="1"/>
  <c r="BJ603" i="9"/>
  <c r="BK603" i="9" s="1"/>
  <c r="BF603" i="9"/>
  <c r="BG603" i="9" s="1"/>
  <c r="BH603" i="9" s="1" a="1"/>
  <c r="BH603" i="9" s="1"/>
  <c r="BR603" i="9"/>
  <c r="BS603" i="9" s="1"/>
  <c r="BN581" i="9"/>
  <c r="BO581" i="9" s="1"/>
  <c r="CO539" i="9" a="1"/>
  <c r="CO539" i="9" s="1"/>
  <c r="CN539" i="9" a="1"/>
  <c r="CN539" i="9" s="1"/>
  <c r="BL544" i="9" a="1"/>
  <c r="BL544" i="9" s="1"/>
  <c r="BV544" i="9" s="1"/>
  <c r="Q544" i="9" s="1"/>
  <c r="CH494" i="9"/>
  <c r="CI494" i="9" s="1"/>
  <c r="CJ494" i="9" s="1" a="1"/>
  <c r="CJ494" i="9" s="1"/>
  <c r="CO751" i="9" a="1"/>
  <c r="CO751" i="9" s="1"/>
  <c r="CN751" i="9" a="1"/>
  <c r="CN751" i="9" s="1"/>
  <c r="BF780" i="9"/>
  <c r="BG780" i="9" s="1"/>
  <c r="BH780" i="9" s="1" a="1"/>
  <c r="BH780" i="9" s="1"/>
  <c r="BZ712" i="9"/>
  <c r="CA712" i="9" s="1"/>
  <c r="CB712" i="9" s="1" a="1"/>
  <c r="CB712" i="9" s="1"/>
  <c r="BN645" i="9"/>
  <c r="BO645" i="9" s="1"/>
  <c r="CD622" i="9"/>
  <c r="CE622" i="9" s="1"/>
  <c r="CF622" i="9" s="1" a="1"/>
  <c r="CF622" i="9" s="1"/>
  <c r="BZ597" i="9"/>
  <c r="CA597" i="9" s="1"/>
  <c r="CB597" i="9" s="1" a="1"/>
  <c r="CB597" i="9" s="1"/>
  <c r="CF602" i="9" a="1"/>
  <c r="CF602" i="9" s="1"/>
  <c r="CP602" i="9" s="1"/>
  <c r="V602" i="9" s="1"/>
  <c r="CL464" i="9"/>
  <c r="CM464" i="9" s="1"/>
  <c r="BR459" i="9"/>
  <c r="BS459" i="9" s="1"/>
  <c r="CH434" i="9"/>
  <c r="CI434" i="9" s="1"/>
  <c r="CN434" i="9" s="1" a="1"/>
  <c r="CN434" i="9" s="1"/>
  <c r="CN831" i="9" a="1"/>
  <c r="CN831" i="9" s="1"/>
  <c r="CP831" i="9" s="1"/>
  <c r="V831" i="9" s="1"/>
  <c r="BN700" i="9"/>
  <c r="BO700" i="9" s="1"/>
  <c r="CO663" i="9" a="1"/>
  <c r="CO663" i="9" s="1"/>
  <c r="CN663" i="9" a="1"/>
  <c r="CN663" i="9" s="1"/>
  <c r="BT517" i="9" a="1"/>
  <c r="BT517" i="9" s="1"/>
  <c r="BU517" i="9" a="1"/>
  <c r="BU517" i="9" s="1"/>
  <c r="CD723" i="9"/>
  <c r="CE723" i="9" s="1"/>
  <c r="BL668" i="9" a="1"/>
  <c r="BL668" i="9" s="1"/>
  <c r="CD698" i="9"/>
  <c r="CE698" i="9" s="1"/>
  <c r="CN586" i="9" a="1"/>
  <c r="CN586" i="9" s="1"/>
  <c r="CO586" i="9" a="1"/>
  <c r="CO586" i="9" s="1"/>
  <c r="CH613" i="9"/>
  <c r="CI613" i="9" s="1"/>
  <c r="CJ613" i="9" s="1" a="1"/>
  <c r="CJ613" i="9" s="1"/>
  <c r="BZ547" i="9"/>
  <c r="CA547" i="9" s="1"/>
  <c r="CB547" i="9" s="1" a="1"/>
  <c r="CB547" i="9" s="1"/>
  <c r="BZ692" i="9"/>
  <c r="CA692" i="9" s="1"/>
  <c r="CB692" i="9" s="1" a="1"/>
  <c r="CB692" i="9" s="1"/>
  <c r="BP660" i="9" a="1"/>
  <c r="BP660" i="9" s="1"/>
  <c r="BT631" i="9" a="1"/>
  <c r="BT631" i="9" s="1"/>
  <c r="BU631" i="9" a="1"/>
  <c r="BU631" i="9" s="1"/>
  <c r="CJ709" i="9" a="1"/>
  <c r="CJ709" i="9" s="1"/>
  <c r="BR682" i="9"/>
  <c r="BS682" i="9" s="1"/>
  <c r="CD550" i="9"/>
  <c r="CE550" i="9" s="1"/>
  <c r="BL610" i="9" a="1"/>
  <c r="BL610" i="9" s="1"/>
  <c r="CP557" i="9"/>
  <c r="V557" i="9" s="1"/>
  <c r="CH576" i="9"/>
  <c r="CI576" i="9" s="1"/>
  <c r="CJ576" i="9" s="1" a="1"/>
  <c r="CJ576" i="9" s="1"/>
  <c r="CL608" i="9"/>
  <c r="CM608" i="9" s="1"/>
  <c r="BR547" i="9"/>
  <c r="BS547" i="9" s="1"/>
  <c r="BT551" i="9" a="1"/>
  <c r="BT551" i="9" s="1"/>
  <c r="BU551" i="9" a="1"/>
  <c r="BU551" i="9" s="1"/>
  <c r="BR518" i="9"/>
  <c r="BS518" i="9" s="1"/>
  <c r="CJ992" i="9" a="1"/>
  <c r="CJ992" i="9" s="1"/>
  <c r="BP778" i="9" a="1"/>
  <c r="BP778" i="9" s="1"/>
  <c r="CF738" i="9" a="1"/>
  <c r="CF738" i="9" s="1"/>
  <c r="CP738" i="9" s="1"/>
  <c r="V738" i="9" s="1"/>
  <c r="BR716" i="9"/>
  <c r="BS716" i="9" s="1"/>
  <c r="BZ722" i="9"/>
  <c r="CA722" i="9" s="1"/>
  <c r="CB722" i="9" s="1" a="1"/>
  <c r="CB722" i="9" s="1"/>
  <c r="CD645" i="9"/>
  <c r="CE645" i="9" s="1"/>
  <c r="CF645" i="9" s="1" a="1"/>
  <c r="CF645" i="9" s="1"/>
  <c r="BJ682" i="9"/>
  <c r="BK682" i="9" s="1"/>
  <c r="BL682" i="9" s="1" a="1"/>
  <c r="BL682" i="9" s="1"/>
  <c r="BN692" i="9"/>
  <c r="BO692" i="9" s="1"/>
  <c r="BJ616" i="9"/>
  <c r="BK616" i="9" s="1"/>
  <c r="BL616" i="9" s="1" a="1"/>
  <c r="BL616" i="9" s="1"/>
  <c r="BF613" i="9"/>
  <c r="BG613" i="9" s="1"/>
  <c r="BH613" i="9" s="1" a="1"/>
  <c r="BH613" i="9" s="1"/>
  <c r="CJ591" i="9" a="1"/>
  <c r="CJ591" i="9" s="1"/>
  <c r="CP591" i="9" s="1"/>
  <c r="V591" i="9" s="1"/>
  <c r="CN665" i="9" a="1"/>
  <c r="CN665" i="9" s="1"/>
  <c r="CP665" i="9" s="1"/>
  <c r="V665" i="9" s="1"/>
  <c r="BL599" i="9" a="1"/>
  <c r="BL599" i="9" s="1"/>
  <c r="CD629" i="9"/>
  <c r="CE629" i="9" s="1"/>
  <c r="BT533" i="9" a="1"/>
  <c r="BT533" i="9" s="1"/>
  <c r="BU533" i="9" a="1"/>
  <c r="BU533" i="9" s="1"/>
  <c r="BN571" i="9"/>
  <c r="BO571" i="9" s="1"/>
  <c r="CO520" i="9" a="1"/>
  <c r="CO520" i="9" s="1"/>
  <c r="CN520" i="9" a="1"/>
  <c r="CN520" i="9" s="1"/>
  <c r="CN566" i="9" a="1"/>
  <c r="CN566" i="9" s="1"/>
  <c r="CO566" i="9" a="1"/>
  <c r="CO566" i="9" s="1"/>
  <c r="CL554" i="9"/>
  <c r="CM554" i="9" s="1"/>
  <c r="BU482" i="9" a="1"/>
  <c r="BU482" i="9" s="1"/>
  <c r="BT482" i="9" a="1"/>
  <c r="BT482" i="9" s="1"/>
  <c r="BJ491" i="9"/>
  <c r="BK491" i="9" s="1"/>
  <c r="BL491" i="9" s="1" a="1"/>
  <c r="BL491" i="9" s="1"/>
  <c r="BF712" i="9"/>
  <c r="BG712" i="9" s="1"/>
  <c r="BH712" i="9" s="1" a="1"/>
  <c r="BH712" i="9" s="1"/>
  <c r="BL560" i="9" a="1"/>
  <c r="BL560" i="9" s="1"/>
  <c r="BP569" i="9" a="1"/>
  <c r="BP569" i="9" s="1"/>
  <c r="BV569" i="9" s="1"/>
  <c r="Q569" i="9" s="1"/>
  <c r="CF535" i="9" a="1"/>
  <c r="CF535" i="9" s="1"/>
  <c r="BU446" i="9" a="1"/>
  <c r="BU446" i="9" s="1"/>
  <c r="BT446" i="9" a="1"/>
  <c r="BT446" i="9" s="1"/>
  <c r="CF442" i="9" a="1"/>
  <c r="CF442" i="9" s="1"/>
  <c r="CO455" i="9" a="1"/>
  <c r="CO455" i="9" s="1"/>
  <c r="CN455" i="9" a="1"/>
  <c r="CN455" i="9" s="1"/>
  <c r="BL388" i="9" a="1"/>
  <c r="BL388" i="9" s="1"/>
  <c r="BL239" i="9" a="1"/>
  <c r="BL239" i="9" s="1"/>
  <c r="BJ224" i="9"/>
  <c r="BK224" i="9" s="1"/>
  <c r="BL224" i="9" s="1" a="1"/>
  <c r="BL224" i="9" s="1"/>
  <c r="BR224" i="9"/>
  <c r="BS224" i="9" s="1"/>
  <c r="BL220" i="9" a="1"/>
  <c r="BL220" i="9" s="1"/>
  <c r="BZ640" i="9"/>
  <c r="CA640" i="9" s="1"/>
  <c r="CB640" i="9" s="1" a="1"/>
  <c r="CB640" i="9" s="1"/>
  <c r="CF586" i="9" a="1"/>
  <c r="CF586" i="9" s="1"/>
  <c r="BP549" i="9" a="1"/>
  <c r="BP549" i="9" s="1"/>
  <c r="CJ489" i="9" a="1"/>
  <c r="CJ489" i="9" s="1"/>
  <c r="CN445" i="9" a="1"/>
  <c r="CN445" i="9" s="1"/>
  <c r="CO445" i="9" a="1"/>
  <c r="CO445" i="9" s="1"/>
  <c r="CD416" i="9"/>
  <c r="CE416" i="9" s="1"/>
  <c r="CF416" i="9" s="1" a="1"/>
  <c r="CF416" i="9" s="1"/>
  <c r="BZ318" i="9"/>
  <c r="CA318" i="9" s="1"/>
  <c r="CB318" i="9" s="1" a="1"/>
  <c r="CB318" i="9" s="1"/>
  <c r="CO344" i="9" a="1"/>
  <c r="CO344" i="9" s="1"/>
  <c r="CN344" i="9" a="1"/>
  <c r="CN344" i="9" s="1"/>
  <c r="BV291" i="9"/>
  <c r="Q291" i="9" s="1"/>
  <c r="AB291" i="9" s="1"/>
  <c r="BU215" i="9" a="1"/>
  <c r="BU215" i="9" s="1"/>
  <c r="BT215" i="9" a="1"/>
  <c r="BT215" i="9" s="1"/>
  <c r="BF223" i="9"/>
  <c r="BG223" i="9" s="1"/>
  <c r="BH223" i="9" s="1" a="1"/>
  <c r="BH223" i="9" s="1"/>
  <c r="BT591" i="9" a="1"/>
  <c r="BT591" i="9" s="1"/>
  <c r="BV591" i="9" s="1"/>
  <c r="Q591" i="9" s="1"/>
  <c r="BT519" i="9" a="1"/>
  <c r="BT519" i="9" s="1"/>
  <c r="BV519" i="9" s="1"/>
  <c r="Q519" i="9" s="1"/>
  <c r="BZ532" i="9"/>
  <c r="CA532" i="9" s="1"/>
  <c r="CB532" i="9" s="1" a="1"/>
  <c r="CB532" i="9" s="1"/>
  <c r="BJ459" i="9"/>
  <c r="BK459" i="9" s="1"/>
  <c r="CO450" i="9" a="1"/>
  <c r="CO450" i="9" s="1"/>
  <c r="CN450" i="9" a="1"/>
  <c r="CN450" i="9" s="1"/>
  <c r="BJ448" i="9"/>
  <c r="BK448" i="9" s="1"/>
  <c r="CH437" i="9"/>
  <c r="CI437" i="9" s="1"/>
  <c r="CP444" i="9"/>
  <c r="V444" i="9" s="1"/>
  <c r="BR412" i="9"/>
  <c r="BS412" i="9" s="1"/>
  <c r="CN395" i="9" a="1"/>
  <c r="CN395" i="9" s="1"/>
  <c r="CO395" i="9" a="1"/>
  <c r="CO395" i="9" s="1"/>
  <c r="BT331" i="9" a="1"/>
  <c r="BT331" i="9" s="1"/>
  <c r="BU331" i="9" a="1"/>
  <c r="BU331" i="9" s="1"/>
  <c r="CN336" i="9" a="1"/>
  <c r="CN336" i="9" s="1"/>
  <c r="CO336" i="9" a="1"/>
  <c r="CO336" i="9" s="1"/>
  <c r="BT328" i="9" a="1"/>
  <c r="BT328" i="9" s="1"/>
  <c r="BU328" i="9" a="1"/>
  <c r="BU328" i="9" s="1"/>
  <c r="BN245" i="9"/>
  <c r="BO245" i="9" s="1"/>
  <c r="BP245" i="9" s="1" a="1"/>
  <c r="BP245" i="9" s="1"/>
  <c r="BN237" i="9"/>
  <c r="BO237" i="9" s="1"/>
  <c r="CD226" i="9"/>
  <c r="CE226" i="9" s="1"/>
  <c r="CF226" i="9" s="1" a="1"/>
  <c r="CF226" i="9" s="1"/>
  <c r="BJ175" i="9"/>
  <c r="BK175" i="9" s="1"/>
  <c r="BF175" i="9"/>
  <c r="BG175" i="9" s="1"/>
  <c r="BH175" i="9" s="1" a="1"/>
  <c r="BH175" i="9" s="1"/>
  <c r="CL521" i="9"/>
  <c r="CM521" i="9" s="1"/>
  <c r="BF473" i="9"/>
  <c r="BG473" i="9" s="1"/>
  <c r="BH473" i="9" s="1" a="1"/>
  <c r="BH473" i="9" s="1"/>
  <c r="BL453" i="9" a="1"/>
  <c r="BL453" i="9" s="1"/>
  <c r="CF425" i="9" a="1"/>
  <c r="CF425" i="9" s="1"/>
  <c r="BL440" i="9" a="1"/>
  <c r="BL440" i="9" s="1"/>
  <c r="BJ392" i="9"/>
  <c r="BK392" i="9" s="1"/>
  <c r="BL392" i="9" s="1" a="1"/>
  <c r="BL392" i="9" s="1"/>
  <c r="BN384" i="9"/>
  <c r="BO384" i="9" s="1"/>
  <c r="BN318" i="9"/>
  <c r="BO318" i="9" s="1"/>
  <c r="BT323" i="9" a="1"/>
  <c r="BT323" i="9" s="1"/>
  <c r="BU323" i="9" a="1"/>
  <c r="BU323" i="9" s="1"/>
  <c r="BN324" i="9"/>
  <c r="BO324" i="9" s="1"/>
  <c r="BN293" i="9"/>
  <c r="BO293" i="9" s="1"/>
  <c r="BP293" i="9" s="1" a="1"/>
  <c r="BP293" i="9" s="1"/>
  <c r="BP249" i="9" a="1"/>
  <c r="BP249" i="9" s="1"/>
  <c r="BV249" i="9" s="1"/>
  <c r="Q249" i="9" s="1"/>
  <c r="CD250" i="9"/>
  <c r="CE250" i="9" s="1"/>
  <c r="BT219" i="9" a="1"/>
  <c r="BT219" i="9" s="1"/>
  <c r="BU219" i="9" a="1"/>
  <c r="BU219" i="9" s="1"/>
  <c r="BJ218" i="9"/>
  <c r="BK218" i="9" s="1"/>
  <c r="BL218" i="9" s="1" a="1"/>
  <c r="BL218" i="9" s="1"/>
  <c r="BJ210" i="9"/>
  <c r="BK210" i="9" s="1"/>
  <c r="BL210" i="9" s="1" a="1"/>
  <c r="BL210" i="9" s="1"/>
  <c r="BR169" i="9"/>
  <c r="BS169" i="9" s="1"/>
  <c r="CD169" i="9"/>
  <c r="CE169" i="9" s="1"/>
  <c r="CJ169" i="9" s="1" a="1"/>
  <c r="CJ169" i="9" s="1"/>
  <c r="BF146" i="9"/>
  <c r="BG146" i="9" s="1"/>
  <c r="BH146" i="9" s="1" a="1"/>
  <c r="BH146" i="9" s="1"/>
  <c r="BL643" i="9" a="1"/>
  <c r="BL643" i="9" s="1"/>
  <c r="BZ437" i="9"/>
  <c r="CA437" i="9" s="1"/>
  <c r="CB437" i="9" s="1" a="1"/>
  <c r="CB437" i="9" s="1"/>
  <c r="CF447" i="9" a="1"/>
  <c r="CF447" i="9" s="1"/>
  <c r="CP374" i="9"/>
  <c r="V374" i="9" s="1"/>
  <c r="CN380" i="9" a="1"/>
  <c r="CN380" i="9" s="1"/>
  <c r="CO380" i="9" a="1"/>
  <c r="CO380" i="9" s="1"/>
  <c r="BU343" i="9" a="1"/>
  <c r="BU343" i="9" s="1"/>
  <c r="BT343" i="9" a="1"/>
  <c r="BT343" i="9" s="1"/>
  <c r="BL297" i="9" a="1"/>
  <c r="BL297" i="9" s="1"/>
  <c r="CP298" i="9"/>
  <c r="V298" i="9" s="1"/>
  <c r="AB298" i="9" s="1"/>
  <c r="BN280" i="9"/>
  <c r="BO280" i="9" s="1"/>
  <c r="CL245" i="9"/>
  <c r="CM245" i="9" s="1"/>
  <c r="BU230" i="9" a="1"/>
  <c r="BU230" i="9" s="1"/>
  <c r="BT230" i="9" a="1"/>
  <c r="BT230" i="9" s="1"/>
  <c r="BJ236" i="9"/>
  <c r="BK236" i="9" s="1"/>
  <c r="BL236" i="9" s="1" a="1"/>
  <c r="BL236" i="9" s="1"/>
  <c r="BZ224" i="9"/>
  <c r="CA224" i="9" s="1"/>
  <c r="CB224" i="9" s="1" a="1"/>
  <c r="CB224" i="9" s="1"/>
  <c r="CL169" i="9"/>
  <c r="CM169" i="9" s="1"/>
  <c r="CH146" i="9"/>
  <c r="CI146" i="9" s="1"/>
  <c r="CJ146" i="9" s="1" a="1"/>
  <c r="CJ146" i="9" s="1"/>
  <c r="CF713" i="9" a="1"/>
  <c r="CF713" i="9" s="1"/>
  <c r="BL644" i="9" a="1"/>
  <c r="BL644" i="9" s="1"/>
  <c r="BR608" i="9"/>
  <c r="BS608" i="9" s="1"/>
  <c r="BZ537" i="9"/>
  <c r="CA537" i="9" s="1"/>
  <c r="CB537" i="9" s="1" a="1"/>
  <c r="CB537" i="9" s="1"/>
  <c r="BN448" i="9"/>
  <c r="BO448" i="9" s="1"/>
  <c r="BP448" i="9" s="1" a="1"/>
  <c r="BP448" i="9" s="1"/>
  <c r="CN477" i="9" a="1"/>
  <c r="CN477" i="9" s="1"/>
  <c r="CO477" i="9" a="1"/>
  <c r="CO477" i="9" s="1"/>
  <c r="BT447" i="9" a="1"/>
  <c r="BT447" i="9" s="1"/>
  <c r="BV447" i="9" s="1"/>
  <c r="Q447" i="9" s="1"/>
  <c r="BU393" i="9" a="1"/>
  <c r="BU393" i="9" s="1"/>
  <c r="BT393" i="9" a="1"/>
  <c r="BT393" i="9" s="1"/>
  <c r="BF407" i="9"/>
  <c r="BG407" i="9" s="1"/>
  <c r="BH407" i="9" s="1" a="1"/>
  <c r="BH407" i="9" s="1"/>
  <c r="BN416" i="9"/>
  <c r="BO416" i="9" s="1"/>
  <c r="BR386" i="9"/>
  <c r="BS386" i="9" s="1"/>
  <c r="BZ326" i="9"/>
  <c r="CA326" i="9" s="1"/>
  <c r="CB326" i="9" s="1" a="1"/>
  <c r="CB326" i="9" s="1"/>
  <c r="CF371" i="9" a="1"/>
  <c r="CF371" i="9" s="1"/>
  <c r="BZ321" i="9"/>
  <c r="CA321" i="9" s="1"/>
  <c r="CB321" i="9" s="1" a="1"/>
  <c r="CB321" i="9" s="1"/>
  <c r="BN376" i="9"/>
  <c r="BO376" i="9" s="1"/>
  <c r="BF376" i="9"/>
  <c r="BG376" i="9" s="1"/>
  <c r="BH376" i="9" s="1" a="1"/>
  <c r="BH376" i="9" s="1"/>
  <c r="BF337" i="9"/>
  <c r="BG337" i="9" s="1"/>
  <c r="BH337" i="9" s="1" a="1"/>
  <c r="BH337" i="9" s="1"/>
  <c r="BT297" i="9" a="1"/>
  <c r="BT297" i="9" s="1"/>
  <c r="BU297" i="9" a="1"/>
  <c r="BU297" i="9" s="1"/>
  <c r="BU262" i="9" a="1"/>
  <c r="BU262" i="9" s="1"/>
  <c r="BT262" i="9" a="1"/>
  <c r="BT262" i="9" s="1"/>
  <c r="CN220" i="9" a="1"/>
  <c r="CN220" i="9" s="1"/>
  <c r="CO220" i="9" a="1"/>
  <c r="CO220" i="9" s="1"/>
  <c r="BU192" i="9" a="1"/>
  <c r="BU192" i="9" s="1"/>
  <c r="BT192" i="9" a="1"/>
  <c r="BT192" i="9" s="1"/>
  <c r="CD179" i="9"/>
  <c r="CE179" i="9" s="1"/>
  <c r="CH170" i="9"/>
  <c r="CI170" i="9" s="1"/>
  <c r="CJ170" i="9" s="1" a="1"/>
  <c r="CJ170" i="9" s="1"/>
  <c r="BT570" i="9" a="1"/>
  <c r="BT570" i="9" s="1"/>
  <c r="BV570" i="9" s="1"/>
  <c r="Q570" i="9" s="1"/>
  <c r="BP558" i="9" a="1"/>
  <c r="BP558" i="9" s="1"/>
  <c r="BF532" i="9"/>
  <c r="BG532" i="9" s="1"/>
  <c r="BH532" i="9" s="1" a="1"/>
  <c r="BH532" i="9" s="1"/>
  <c r="CN482" i="9" a="1"/>
  <c r="CN482" i="9" s="1"/>
  <c r="CP482" i="9" s="1"/>
  <c r="V482" i="9" s="1"/>
  <c r="CP503" i="9"/>
  <c r="V503" i="9" s="1"/>
  <c r="BR439" i="9"/>
  <c r="BS439" i="9" s="1"/>
  <c r="CN428" i="9" a="1"/>
  <c r="CN428" i="9" s="1"/>
  <c r="CO428" i="9" a="1"/>
  <c r="CO428" i="9" s="1"/>
  <c r="BP425" i="9" a="1"/>
  <c r="BP425" i="9" s="1"/>
  <c r="BJ359" i="9"/>
  <c r="BK359" i="9" s="1"/>
  <c r="BL359" i="9" s="1" a="1"/>
  <c r="BL359" i="9" s="1"/>
  <c r="CN285" i="9" a="1"/>
  <c r="CN285" i="9" s="1"/>
  <c r="CO285" i="9" a="1"/>
  <c r="CO285" i="9" s="1"/>
  <c r="CO272" i="9" a="1"/>
  <c r="CO272" i="9" s="1"/>
  <c r="CN272" i="9" a="1"/>
  <c r="CN272" i="9" s="1"/>
  <c r="CO248" i="9" a="1"/>
  <c r="CO248" i="9" s="1"/>
  <c r="CN248" i="9" a="1"/>
  <c r="CN248" i="9" s="1"/>
  <c r="BF217" i="9"/>
  <c r="BG217" i="9" s="1"/>
  <c r="BH217" i="9" s="1" a="1"/>
  <c r="BH217" i="9" s="1"/>
  <c r="BL209" i="9" a="1"/>
  <c r="BL209" i="9" s="1"/>
  <c r="CN184" i="9" a="1"/>
  <c r="CN184" i="9" s="1"/>
  <c r="CO184" i="9" a="1"/>
  <c r="CO184" i="9" s="1"/>
  <c r="BP185" i="9" a="1"/>
  <c r="BP185" i="9" s="1"/>
  <c r="BJ700" i="9"/>
  <c r="BK700" i="9" s="1"/>
  <c r="BJ524" i="9"/>
  <c r="BK524" i="9" s="1"/>
  <c r="BL524" i="9" s="1" a="1"/>
  <c r="BL524" i="9" s="1"/>
  <c r="CN461" i="9" a="1"/>
  <c r="CN461" i="9" s="1"/>
  <c r="CO461" i="9" a="1"/>
  <c r="CO461" i="9" s="1"/>
  <c r="BT479" i="9" a="1"/>
  <c r="BT479" i="9" s="1"/>
  <c r="BU479" i="9" a="1"/>
  <c r="BU479" i="9" s="1"/>
  <c r="CD448" i="9"/>
  <c r="CE448" i="9" s="1"/>
  <c r="CF448" i="9" s="1" a="1"/>
  <c r="CF448" i="9" s="1"/>
  <c r="CP430" i="9"/>
  <c r="V430" i="9" s="1"/>
  <c r="BJ439" i="9"/>
  <c r="BK439" i="9" s="1"/>
  <c r="BL439" i="9" s="1" a="1"/>
  <c r="BL439" i="9" s="1"/>
  <c r="BT413" i="9" a="1"/>
  <c r="BT413" i="9" s="1"/>
  <c r="BU413" i="9" a="1"/>
  <c r="BU413" i="9" s="1"/>
  <c r="BJ403" i="9"/>
  <c r="BK403" i="9" s="1"/>
  <c r="BL403" i="9" s="1" a="1"/>
  <c r="BL403" i="9" s="1"/>
  <c r="BU377" i="9" a="1"/>
  <c r="BU377" i="9" s="1"/>
  <c r="BT377" i="9" a="1"/>
  <c r="BT377" i="9" s="1"/>
  <c r="CD392" i="9"/>
  <c r="CE392" i="9" s="1"/>
  <c r="CF392" i="9" s="1" a="1"/>
  <c r="CF392" i="9" s="1"/>
  <c r="BF340" i="9"/>
  <c r="BG340" i="9" s="1"/>
  <c r="BH340" i="9" s="1" a="1"/>
  <c r="BH340" i="9" s="1"/>
  <c r="BP361" i="9" a="1"/>
  <c r="BP361" i="9" s="1"/>
  <c r="BJ376" i="9"/>
  <c r="BK376" i="9" s="1"/>
  <c r="BL376" i="9" s="1" a="1"/>
  <c r="BL376" i="9" s="1"/>
  <c r="CP262" i="9"/>
  <c r="V262" i="9" s="1"/>
  <c r="BL262" i="9" a="1"/>
  <c r="BL262" i="9" s="1"/>
  <c r="CJ231" i="9" a="1"/>
  <c r="CJ231" i="9" s="1"/>
  <c r="BP251" i="9" a="1"/>
  <c r="BP251" i="9" s="1"/>
  <c r="BT238" i="9" a="1"/>
  <c r="BT238" i="9" s="1"/>
  <c r="BU238" i="9" a="1"/>
  <c r="BU238" i="9" s="1"/>
  <c r="CJ214" i="9" a="1"/>
  <c r="CJ214" i="9" s="1"/>
  <c r="BU221" i="9" a="1"/>
  <c r="BU221" i="9" s="1"/>
  <c r="BT221" i="9" a="1"/>
  <c r="BT221" i="9" s="1"/>
  <c r="BJ179" i="9"/>
  <c r="BK179" i="9" s="1"/>
  <c r="BL179" i="9" s="1" a="1"/>
  <c r="BL179" i="9" s="1"/>
  <c r="CF204" i="9" a="1"/>
  <c r="CF204" i="9" s="1"/>
  <c r="CD175" i="9"/>
  <c r="CE175" i="9" s="1"/>
  <c r="CN178" i="9" a="1"/>
  <c r="CN178" i="9" s="1"/>
  <c r="CO178" i="9" a="1"/>
  <c r="CO178" i="9" s="1"/>
  <c r="CF381" i="9" a="1"/>
  <c r="CF381" i="9" s="1"/>
  <c r="BP315" i="9" a="1"/>
  <c r="BP315" i="9" s="1"/>
  <c r="BV315" i="9" s="1"/>
  <c r="Q315" i="9" s="1"/>
  <c r="CD236" i="9"/>
  <c r="CE236" i="9" s="1"/>
  <c r="CF236" i="9" s="1" a="1"/>
  <c r="CF236" i="9" s="1"/>
  <c r="BR190" i="9"/>
  <c r="BS190" i="9" s="1"/>
  <c r="BP488" i="9" a="1"/>
  <c r="BP488" i="9" s="1"/>
  <c r="BL381" i="9" a="1"/>
  <c r="BL381" i="9" s="1"/>
  <c r="CF367" i="9" a="1"/>
  <c r="CF367" i="9" s="1"/>
  <c r="CP367" i="9" s="1"/>
  <c r="V367" i="9" s="1"/>
  <c r="CD324" i="9"/>
  <c r="CE324" i="9" s="1"/>
  <c r="CF324" i="9" s="1" a="1"/>
  <c r="CF324" i="9" s="1"/>
  <c r="CF277" i="9" a="1"/>
  <c r="CF277" i="9" s="1"/>
  <c r="BP184" i="9" a="1"/>
  <c r="BP184" i="9" s="1"/>
  <c r="CJ148" i="9" a="1"/>
  <c r="CJ148" i="9" s="1"/>
  <c r="CN129" i="9" a="1"/>
  <c r="CN129" i="9" s="1"/>
  <c r="CO129" i="9" a="1"/>
  <c r="CO129" i="9" s="1"/>
  <c r="CJ471" i="9" a="1"/>
  <c r="CJ471" i="9" s="1"/>
  <c r="BL264" i="9" a="1"/>
  <c r="BL264" i="9" s="1"/>
  <c r="BV264" i="9" s="1"/>
  <c r="Q264" i="9" s="1"/>
  <c r="CF248" i="9" a="1"/>
  <c r="CF248" i="9" s="1"/>
  <c r="BF152" i="9"/>
  <c r="BG152" i="9" s="1"/>
  <c r="BH152" i="9" s="1" a="1"/>
  <c r="BH152" i="9" s="1"/>
  <c r="BN476" i="9"/>
  <c r="BO476" i="9" s="1"/>
  <c r="BP476" i="9" s="1" a="1"/>
  <c r="BP476" i="9" s="1"/>
  <c r="CJ370" i="9" a="1"/>
  <c r="CJ370" i="9" s="1"/>
  <c r="CP370" i="9" s="1"/>
  <c r="V370" i="9" s="1"/>
  <c r="CJ238" i="9" a="1"/>
  <c r="CJ238" i="9" s="1"/>
  <c r="CN214" i="9" a="1"/>
  <c r="CN214" i="9" s="1"/>
  <c r="BZ170" i="9"/>
  <c r="CA170" i="9" s="1"/>
  <c r="CB170" i="9" s="1" a="1"/>
  <c r="CB170" i="9" s="1"/>
  <c r="BL154" i="9" a="1"/>
  <c r="BL154" i="9" s="1"/>
  <c r="CO131" i="9" a="1"/>
  <c r="CO131" i="9" s="1"/>
  <c r="CN131" i="9" a="1"/>
  <c r="CN131" i="9" s="1"/>
  <c r="BU125" i="9" a="1"/>
  <c r="BU125" i="9" s="1"/>
  <c r="BT125" i="9" a="1"/>
  <c r="BT125" i="9" s="1"/>
  <c r="BP396" i="9" a="1"/>
  <c r="BP396" i="9" s="1"/>
  <c r="BV396" i="9" s="1"/>
  <c r="Q396" i="9" s="1"/>
  <c r="CL347" i="9"/>
  <c r="CM347" i="9" s="1"/>
  <c r="BF235" i="9"/>
  <c r="BG235" i="9" s="1"/>
  <c r="BH235" i="9" s="1" a="1"/>
  <c r="BH235" i="9" s="1"/>
  <c r="BU144" i="9" a="1"/>
  <c r="BU144" i="9" s="1"/>
  <c r="BT144" i="9" a="1"/>
  <c r="BT144" i="9" s="1"/>
  <c r="BP414" i="9" a="1"/>
  <c r="BP414" i="9" s="1"/>
  <c r="BV414" i="9" s="1"/>
  <c r="Q414" i="9" s="1"/>
  <c r="CL216" i="9"/>
  <c r="CM216" i="9" s="1"/>
  <c r="CF164" i="9" a="1"/>
  <c r="CF164" i="9" s="1"/>
  <c r="CF129" i="9" a="1"/>
  <c r="CF129" i="9" s="1"/>
  <c r="BP405" i="9" a="1"/>
  <c r="BP405" i="9" s="1"/>
  <c r="BV405" i="9" s="1"/>
  <c r="Q405" i="9" s="1"/>
  <c r="BL336" i="9" a="1"/>
  <c r="BL336" i="9" s="1"/>
  <c r="BP279" i="9" a="1"/>
  <c r="BP279" i="9" s="1"/>
  <c r="BV279" i="9" s="1"/>
  <c r="Q279" i="9" s="1"/>
  <c r="CD207" i="9"/>
  <c r="CE207" i="9" s="1"/>
  <c r="CF207" i="9" s="1" a="1"/>
  <c r="CF207" i="9" s="1"/>
  <c r="BP157" i="9" a="1"/>
  <c r="BP157" i="9" s="1"/>
  <c r="BV157" i="9" s="1"/>
  <c r="Q157" i="9" s="1"/>
  <c r="CJ147" i="9" a="1"/>
  <c r="CJ147" i="9" s="1"/>
  <c r="CF397" i="9" a="1"/>
  <c r="CF397" i="9" s="1"/>
  <c r="CL384" i="9"/>
  <c r="CM384" i="9" s="1"/>
  <c r="CF290" i="9" a="1"/>
  <c r="CF290" i="9" s="1"/>
  <c r="CL260" i="9"/>
  <c r="CM260" i="9" s="1"/>
  <c r="BP239" i="9" a="1"/>
  <c r="BP239" i="9" s="1"/>
  <c r="BT165" i="9" a="1"/>
  <c r="BT165" i="9" s="1"/>
  <c r="BP142" i="9" a="1"/>
  <c r="BP142" i="9" s="1"/>
  <c r="BV142" i="9" s="1"/>
  <c r="Q142" i="9" s="1"/>
  <c r="BR134" i="9"/>
  <c r="BS134" i="9" s="1"/>
  <c r="BF134" i="9"/>
  <c r="BG134" i="9" s="1"/>
  <c r="BH134" i="9" s="1" a="1"/>
  <c r="BH134" i="9" s="1"/>
  <c r="CH134" i="9"/>
  <c r="CI134" i="9" s="1"/>
  <c r="CJ134" i="9" s="1" a="1"/>
  <c r="CJ134" i="9" s="1"/>
  <c r="BN134" i="9"/>
  <c r="BO134" i="9" s="1"/>
  <c r="BJ134" i="9"/>
  <c r="BK134" i="9" s="1"/>
  <c r="CL134" i="9"/>
  <c r="CM134" i="9" s="1"/>
  <c r="BP124" i="9" a="1"/>
  <c r="BP124" i="9" s="1"/>
  <c r="BL149" i="9" a="1"/>
  <c r="BL149" i="9" s="1"/>
  <c r="CJ194" i="9" a="1"/>
  <c r="CJ194" i="9" s="1"/>
  <c r="CP194" i="9" s="1"/>
  <c r="V194" i="9" s="1"/>
  <c r="BT150" i="9" a="1"/>
  <c r="BT150" i="9" s="1"/>
  <c r="BV150" i="9" s="1"/>
  <c r="Q150" i="9" s="1"/>
  <c r="CJ124" i="9" a="1"/>
  <c r="CJ124" i="9" s="1"/>
  <c r="CN157" i="9" a="1"/>
  <c r="CN157" i="9" s="1"/>
  <c r="BU968" i="9" a="1"/>
  <c r="BU968" i="9" s="1"/>
  <c r="BT968" i="9" a="1"/>
  <c r="BT968" i="9" s="1"/>
  <c r="CO958" i="9" a="1"/>
  <c r="CO958" i="9" s="1"/>
  <c r="CN958" i="9" a="1"/>
  <c r="CN958" i="9" s="1"/>
  <c r="BP926" i="9" a="1"/>
  <c r="BP926" i="9" s="1"/>
  <c r="BU953" i="9" a="1"/>
  <c r="BU953" i="9" s="1"/>
  <c r="BT953" i="9" a="1"/>
  <c r="BT953" i="9" s="1"/>
  <c r="CJ866" i="9" a="1"/>
  <c r="CJ866" i="9" s="1"/>
  <c r="BP861" i="9" a="1"/>
  <c r="BP861" i="9" s="1"/>
  <c r="BV861" i="9" s="1"/>
  <c r="Q861" i="9" s="1"/>
  <c r="BU983" i="9" a="1"/>
  <c r="BU983" i="9" s="1"/>
  <c r="BT983" i="9" a="1"/>
  <c r="BT983" i="9" s="1"/>
  <c r="CF984" i="9" a="1"/>
  <c r="CF984" i="9" s="1"/>
  <c r="BL934" i="9" a="1"/>
  <c r="BL934" i="9" s="1"/>
  <c r="CN970" i="9" a="1"/>
  <c r="CN970" i="9" s="1"/>
  <c r="CO970" i="9" a="1"/>
  <c r="CO970" i="9" s="1"/>
  <c r="CJ952" i="9" a="1"/>
  <c r="CJ952" i="9" s="1"/>
  <c r="CP952" i="9" s="1"/>
  <c r="V952" i="9" s="1"/>
  <c r="CN961" i="9" a="1"/>
  <c r="CN961" i="9" s="1"/>
  <c r="CO961" i="9" a="1"/>
  <c r="CO961" i="9" s="1"/>
  <c r="BP952" i="9" a="1"/>
  <c r="BP952" i="9" s="1"/>
  <c r="BV952" i="9" s="1"/>
  <c r="Q952" i="9" s="1"/>
  <c r="AB952" i="9" s="1"/>
  <c r="BN931" i="9"/>
  <c r="BO931" i="9" s="1"/>
  <c r="BJ931" i="9"/>
  <c r="BK931" i="9" s="1"/>
  <c r="BF931" i="9"/>
  <c r="BG931" i="9" s="1"/>
  <c r="BH931" i="9" s="1" a="1"/>
  <c r="BH931" i="9" s="1"/>
  <c r="BU846" i="9" a="1"/>
  <c r="BU846" i="9" s="1"/>
  <c r="BT846" i="9" a="1"/>
  <c r="BT846" i="9" s="1"/>
  <c r="BU739" i="9" a="1"/>
  <c r="BU739" i="9" s="1"/>
  <c r="BT739" i="9" a="1"/>
  <c r="BT739" i="9" s="1"/>
  <c r="CF754" i="9" a="1"/>
  <c r="CF754" i="9" s="1"/>
  <c r="CP754" i="9" s="1"/>
  <c r="V754" i="9" s="1"/>
  <c r="CN792" i="9" a="1"/>
  <c r="CN792" i="9" s="1"/>
  <c r="CO792" i="9" a="1"/>
  <c r="CO792" i="9" s="1"/>
  <c r="BL810" i="9" a="1"/>
  <c r="BL810" i="9" s="1"/>
  <c r="BU709" i="9" a="1"/>
  <c r="BU709" i="9" s="1"/>
  <c r="BT709" i="9" a="1"/>
  <c r="BT709" i="9" s="1"/>
  <c r="CL674" i="9"/>
  <c r="CM674" i="9" s="1"/>
  <c r="BN674" i="9"/>
  <c r="BO674" i="9" s="1"/>
  <c r="BR674" i="9"/>
  <c r="BS674" i="9" s="1"/>
  <c r="BZ674" i="9"/>
  <c r="CA674" i="9" s="1"/>
  <c r="CB674" i="9" s="1" a="1"/>
  <c r="CB674" i="9" s="1"/>
  <c r="BL679" i="9" a="1"/>
  <c r="BL679" i="9" s="1"/>
  <c r="CO519" i="9" a="1"/>
  <c r="CO519" i="9" s="1"/>
  <c r="CN519" i="9" a="1"/>
  <c r="CN519" i="9" s="1"/>
  <c r="BL541" i="9" a="1"/>
  <c r="BL541" i="9" s="1"/>
  <c r="BR554" i="9"/>
  <c r="BS554" i="9" s="1"/>
  <c r="BN537" i="9"/>
  <c r="BO537" i="9" s="1"/>
  <c r="BU729" i="9" a="1"/>
  <c r="BU729" i="9" s="1"/>
  <c r="BT729" i="9" a="1"/>
  <c r="BT729" i="9" s="1"/>
  <c r="BF624" i="9"/>
  <c r="BG624" i="9" s="1"/>
  <c r="BH624" i="9" s="1" a="1"/>
  <c r="BH624" i="9" s="1"/>
  <c r="CO607" i="9" a="1"/>
  <c r="CO607" i="9" s="1"/>
  <c r="CN607" i="9" a="1"/>
  <c r="CN607" i="9" s="1"/>
  <c r="CO528" i="9" a="1"/>
  <c r="CO528" i="9" s="1"/>
  <c r="CN528" i="9" a="1"/>
  <c r="CN528" i="9" s="1"/>
  <c r="BT565" i="9" a="1"/>
  <c r="BT565" i="9" s="1"/>
  <c r="BU565" i="9" a="1"/>
  <c r="BU565" i="9" s="1"/>
  <c r="BJ529" i="9"/>
  <c r="BK529" i="9" s="1"/>
  <c r="BF529" i="9"/>
  <c r="BG529" i="9" s="1"/>
  <c r="BH529" i="9" s="1" a="1"/>
  <c r="BH529" i="9" s="1"/>
  <c r="BR529" i="9"/>
  <c r="BS529" i="9" s="1"/>
  <c r="CH747" i="9"/>
  <c r="CI747" i="9" s="1"/>
  <c r="CJ747" i="9" s="1" a="1"/>
  <c r="CJ747" i="9" s="1"/>
  <c r="CO655" i="9" a="1"/>
  <c r="CO655" i="9" s="1"/>
  <c r="CN655" i="9" a="1"/>
  <c r="CN655" i="9" s="1"/>
  <c r="CN724" i="9" a="1"/>
  <c r="CN724" i="9" s="1"/>
  <c r="CO724" i="9" a="1"/>
  <c r="CO724" i="9" s="1"/>
  <c r="CN631" i="9" a="1"/>
  <c r="CN631" i="9" s="1"/>
  <c r="CO631" i="9" a="1"/>
  <c r="CO631" i="9" s="1"/>
  <c r="CP631" i="9" s="1"/>
  <c r="V631" i="9" s="1"/>
  <c r="CO596" i="9" a="1"/>
  <c r="CO596" i="9" s="1"/>
  <c r="CN596" i="9" a="1"/>
  <c r="CN596" i="9" s="1"/>
  <c r="BV562" i="9"/>
  <c r="Q562" i="9" s="1"/>
  <c r="CL529" i="9"/>
  <c r="CM529" i="9" s="1"/>
  <c r="BR545" i="9"/>
  <c r="BS545" i="9" s="1"/>
  <c r="BF545" i="9"/>
  <c r="BG545" i="9" s="1"/>
  <c r="BH545" i="9" s="1" a="1"/>
  <c r="BH545" i="9" s="1"/>
  <c r="BJ545" i="9"/>
  <c r="BK545" i="9" s="1"/>
  <c r="BT704" i="9" a="1"/>
  <c r="BT704" i="9" s="1"/>
  <c r="BU704" i="9" a="1"/>
  <c r="BU704" i="9" s="1"/>
  <c r="CF786" i="9" a="1"/>
  <c r="CF786" i="9" s="1"/>
  <c r="BL749" i="9" a="1"/>
  <c r="BL749" i="9" s="1"/>
  <c r="BP765" i="9" a="1"/>
  <c r="BP765" i="9" s="1"/>
  <c r="BU727" i="9" a="1"/>
  <c r="BU727" i="9" s="1"/>
  <c r="BT727" i="9" a="1"/>
  <c r="BT727" i="9" s="1"/>
  <c r="CD780" i="9"/>
  <c r="CE780" i="9" s="1"/>
  <c r="BU713" i="9" a="1"/>
  <c r="BU713" i="9" s="1"/>
  <c r="BT713" i="9" a="1"/>
  <c r="BT713" i="9" s="1"/>
  <c r="BT697" i="9" a="1"/>
  <c r="BT697" i="9" s="1"/>
  <c r="BU697" i="9" a="1"/>
  <c r="BU697" i="9" s="1"/>
  <c r="CD674" i="9"/>
  <c r="CE674" i="9" s="1"/>
  <c r="CF693" i="9" a="1"/>
  <c r="CF693" i="9" s="1"/>
  <c r="BJ640" i="9"/>
  <c r="BK640" i="9" s="1"/>
  <c r="BT615" i="9" a="1"/>
  <c r="BT615" i="9" s="1"/>
  <c r="BU615" i="9" a="1"/>
  <c r="BU615" i="9" s="1"/>
  <c r="BV615" i="9" s="1"/>
  <c r="Q615" i="9" s="1"/>
  <c r="CH608" i="9"/>
  <c r="CI608" i="9" s="1"/>
  <c r="BR581" i="9"/>
  <c r="BS581" i="9" s="1"/>
  <c r="CD573" i="9"/>
  <c r="CE573" i="9" s="1"/>
  <c r="CO572" i="9" a="1"/>
  <c r="CO572" i="9" s="1"/>
  <c r="CN572" i="9" a="1"/>
  <c r="CN572" i="9" s="1"/>
  <c r="BN573" i="9"/>
  <c r="BO573" i="9" s="1"/>
  <c r="CJ802" i="9" a="1"/>
  <c r="CJ802" i="9" s="1"/>
  <c r="BT726" i="9" a="1"/>
  <c r="BT726" i="9" s="1"/>
  <c r="BU726" i="9" a="1"/>
  <c r="BU726" i="9" s="1"/>
  <c r="BZ780" i="9"/>
  <c r="CA780" i="9" s="1"/>
  <c r="CB780" i="9" s="1" a="1"/>
  <c r="CB780" i="9" s="1"/>
  <c r="CF679" i="9" a="1"/>
  <c r="CF679" i="9" s="1"/>
  <c r="BN616" i="9"/>
  <c r="BO616" i="9" s="1"/>
  <c r="BP616" i="9" s="1" a="1"/>
  <c r="BP616" i="9" s="1"/>
  <c r="BR568" i="9"/>
  <c r="BS568" i="9" s="1"/>
  <c r="BJ526" i="9"/>
  <c r="BK526" i="9" s="1"/>
  <c r="BL526" i="9" s="1" a="1"/>
  <c r="BL526" i="9" s="1"/>
  <c r="BN459" i="9"/>
  <c r="BO459" i="9" s="1"/>
  <c r="BP459" i="9" s="1" a="1"/>
  <c r="BP459" i="9" s="1"/>
  <c r="CD434" i="9"/>
  <c r="CE434" i="9" s="1"/>
  <c r="CF434" i="9" s="1" a="1"/>
  <c r="CF434" i="9" s="1"/>
  <c r="CN920" i="9" a="1"/>
  <c r="CN920" i="9" s="1"/>
  <c r="BP717" i="9" a="1"/>
  <c r="BP717" i="9" s="1"/>
  <c r="BZ573" i="9"/>
  <c r="CA573" i="9" s="1"/>
  <c r="CB573" i="9" s="1" a="1"/>
  <c r="CB573" i="9" s="1"/>
  <c r="BN642" i="9"/>
  <c r="BO642" i="9" s="1"/>
  <c r="BP642" i="9" s="1" a="1"/>
  <c r="BP642" i="9" s="1"/>
  <c r="BF568" i="9"/>
  <c r="BG568" i="9" s="1"/>
  <c r="BH568" i="9" s="1" a="1"/>
  <c r="BH568" i="9" s="1"/>
  <c r="BF621" i="9"/>
  <c r="BG621" i="9" s="1"/>
  <c r="BH621" i="9" s="1" a="1"/>
  <c r="BH621" i="9" s="1"/>
  <c r="BJ621" i="9"/>
  <c r="BK621" i="9" s="1"/>
  <c r="BZ554" i="9"/>
  <c r="CA554" i="9" s="1"/>
  <c r="CB554" i="9" s="1" a="1"/>
  <c r="CB554" i="9" s="1"/>
  <c r="BF547" i="9"/>
  <c r="BG547" i="9" s="1"/>
  <c r="BH547" i="9" s="1" a="1"/>
  <c r="BH547" i="9" s="1"/>
  <c r="BN553" i="9"/>
  <c r="BO553" i="9" s="1"/>
  <c r="BJ645" i="9"/>
  <c r="BK645" i="9" s="1"/>
  <c r="CH656" i="9"/>
  <c r="CI656" i="9" s="1"/>
  <c r="CJ656" i="9" s="1" a="1"/>
  <c r="CJ656" i="9" s="1"/>
  <c r="BR680" i="9"/>
  <c r="BS680" i="9" s="1"/>
  <c r="BN628" i="9"/>
  <c r="BO628" i="9" s="1"/>
  <c r="BP628" i="9" s="1" a="1"/>
  <c r="BP628" i="9" s="1"/>
  <c r="BR653" i="9"/>
  <c r="BS653" i="9" s="1"/>
  <c r="CD642" i="9"/>
  <c r="CE642" i="9" s="1"/>
  <c r="CF642" i="9" s="1" a="1"/>
  <c r="CF642" i="9" s="1"/>
  <c r="BP533" i="9" a="1"/>
  <c r="BP533" i="9" s="1"/>
  <c r="CD545" i="9"/>
  <c r="CE545" i="9" s="1"/>
  <c r="CF545" i="9" s="1" a="1"/>
  <c r="CF545" i="9" s="1"/>
  <c r="BR494" i="9"/>
  <c r="BS494" i="9" s="1"/>
  <c r="CF504" i="9" a="1"/>
  <c r="CF504" i="9" s="1"/>
  <c r="CP504" i="9" s="1"/>
  <c r="V504" i="9" s="1"/>
  <c r="BF464" i="9"/>
  <c r="BG464" i="9" s="1"/>
  <c r="BH464" i="9" s="1" a="1"/>
  <c r="BH464" i="9" s="1"/>
  <c r="CJ984" i="9" a="1"/>
  <c r="CJ984" i="9" s="1"/>
  <c r="CJ778" i="9" a="1"/>
  <c r="CJ778" i="9" s="1"/>
  <c r="CP778" i="9" s="1"/>
  <c r="V778" i="9" s="1"/>
  <c r="CN701" i="9" a="1"/>
  <c r="CN701" i="9" s="1"/>
  <c r="CO701" i="9" a="1"/>
  <c r="CO701" i="9" s="1"/>
  <c r="BU733" i="9" a="1"/>
  <c r="BU733" i="9" s="1"/>
  <c r="BT733" i="9" a="1"/>
  <c r="BT733" i="9" s="1"/>
  <c r="CL699" i="9"/>
  <c r="CM699" i="9" s="1"/>
  <c r="BR666" i="9"/>
  <c r="BS666" i="9" s="1"/>
  <c r="BF666" i="9"/>
  <c r="BG666" i="9" s="1"/>
  <c r="BH666" i="9" s="1" a="1"/>
  <c r="BH666" i="9" s="1"/>
  <c r="CP636" i="9"/>
  <c r="V636" i="9" s="1"/>
  <c r="BJ624" i="9"/>
  <c r="BK624" i="9" s="1"/>
  <c r="BJ688" i="9"/>
  <c r="BK688" i="9" s="1"/>
  <c r="BL688" i="9" s="1" a="1"/>
  <c r="BL688" i="9" s="1"/>
  <c r="CF615" i="9" a="1"/>
  <c r="CF615" i="9" s="1"/>
  <c r="CN609" i="9" a="1"/>
  <c r="CN609" i="9" s="1"/>
  <c r="CO609" i="9" a="1"/>
  <c r="CO609" i="9" s="1"/>
  <c r="CF566" i="9" a="1"/>
  <c r="CF566" i="9" s="1"/>
  <c r="CP566" i="9" s="1"/>
  <c r="V566" i="9" s="1"/>
  <c r="CJ538" i="9" a="1"/>
  <c r="CJ538" i="9" s="1"/>
  <c r="CP538" i="9" s="1"/>
  <c r="V538" i="9" s="1"/>
  <c r="AB538" i="9" s="1"/>
  <c r="BT505" i="9" a="1"/>
  <c r="BT505" i="9" s="1"/>
  <c r="BU505" i="9" a="1"/>
  <c r="BU505" i="9" s="1"/>
  <c r="CH537" i="9"/>
  <c r="CI537" i="9" s="1"/>
  <c r="CN537" i="9" s="1" a="1"/>
  <c r="CN537" i="9" s="1"/>
  <c r="CD683" i="9"/>
  <c r="CE683" i="9" s="1"/>
  <c r="CF683" i="9" s="1" a="1"/>
  <c r="CF683" i="9" s="1"/>
  <c r="CF649" i="9" a="1"/>
  <c r="CF649" i="9" s="1"/>
  <c r="CP649" i="9" s="1"/>
  <c r="V649" i="9" s="1"/>
  <c r="BT520" i="9" a="1"/>
  <c r="BT520" i="9" s="1"/>
  <c r="BN491" i="9"/>
  <c r="BO491" i="9" s="1"/>
  <c r="BP491" i="9" s="1" a="1"/>
  <c r="BP491" i="9" s="1"/>
  <c r="CN469" i="9" a="1"/>
  <c r="CN469" i="9" s="1"/>
  <c r="CF455" i="9" a="1"/>
  <c r="CF455" i="9" s="1"/>
  <c r="BV393" i="9"/>
  <c r="Q393" i="9" s="1"/>
  <c r="CN388" i="9" a="1"/>
  <c r="CN388" i="9" s="1"/>
  <c r="CO388" i="9" a="1"/>
  <c r="CO388" i="9" s="1"/>
  <c r="CO292" i="9" a="1"/>
  <c r="CO292" i="9" s="1"/>
  <c r="CN292" i="9" a="1"/>
  <c r="CN292" i="9" s="1"/>
  <c r="CO284" i="9" a="1"/>
  <c r="CO284" i="9" s="1"/>
  <c r="CN284" i="9" a="1"/>
  <c r="CN284" i="9" s="1"/>
  <c r="CN239" i="9" a="1"/>
  <c r="CN239" i="9" s="1"/>
  <c r="CO239" i="9" a="1"/>
  <c r="CO239" i="9" s="1"/>
  <c r="BL242" i="9" a="1"/>
  <c r="BL242" i="9" s="1"/>
  <c r="BT717" i="9" a="1"/>
  <c r="BT717" i="9" s="1"/>
  <c r="CF578" i="9" a="1"/>
  <c r="CF578" i="9" s="1"/>
  <c r="BV531" i="9"/>
  <c r="Q531" i="9" s="1"/>
  <c r="BL445" i="9" a="1"/>
  <c r="BL445" i="9" s="1"/>
  <c r="CF431" i="9" a="1"/>
  <c r="CF431" i="9" s="1"/>
  <c r="BL444" i="9" a="1"/>
  <c r="BL444" i="9" s="1"/>
  <c r="BP369" i="9" a="1"/>
  <c r="BP369" i="9" s="1"/>
  <c r="BF318" i="9"/>
  <c r="BG318" i="9" s="1"/>
  <c r="BH318" i="9" s="1" a="1"/>
  <c r="BH318" i="9" s="1"/>
  <c r="BT344" i="9" a="1"/>
  <c r="BT344" i="9" s="1"/>
  <c r="BU344" i="9" a="1"/>
  <c r="BU344" i="9" s="1"/>
  <c r="CN301" i="9" a="1"/>
  <c r="CN301" i="9" s="1"/>
  <c r="CO301" i="9" a="1"/>
  <c r="CO301" i="9" s="1"/>
  <c r="CH252" i="9"/>
  <c r="CI252" i="9" s="1"/>
  <c r="BL631" i="9" a="1"/>
  <c r="BL631" i="9" s="1"/>
  <c r="BP623" i="9" a="1"/>
  <c r="BP623" i="9" s="1"/>
  <c r="BJ568" i="9"/>
  <c r="BK568" i="9" s="1"/>
  <c r="BP583" i="9" a="1"/>
  <c r="BP583" i="9" s="1"/>
  <c r="BP528" i="9" a="1"/>
  <c r="BP528" i="9" s="1"/>
  <c r="BV528" i="9" s="1"/>
  <c r="Q528" i="9" s="1"/>
  <c r="CF508" i="9" a="1"/>
  <c r="CF508" i="9" s="1"/>
  <c r="CL532" i="9"/>
  <c r="CM532" i="9" s="1"/>
  <c r="BF459" i="9"/>
  <c r="BG459" i="9" s="1"/>
  <c r="BH459" i="9" s="1" a="1"/>
  <c r="BH459" i="9" s="1"/>
  <c r="BT431" i="9" a="1"/>
  <c r="BT431" i="9" s="1"/>
  <c r="BU431" i="9" a="1"/>
  <c r="BU431" i="9" s="1"/>
  <c r="CN346" i="9" a="1"/>
  <c r="CN346" i="9" s="1"/>
  <c r="CO346" i="9" a="1"/>
  <c r="CO346" i="9" s="1"/>
  <c r="BU270" i="9" a="1"/>
  <c r="BU270" i="9" s="1"/>
  <c r="BT270" i="9" a="1"/>
  <c r="BT270" i="9" s="1"/>
  <c r="BN252" i="9"/>
  <c r="BO252" i="9" s="1"/>
  <c r="BP252" i="9" s="1" a="1"/>
  <c r="BP252" i="9" s="1"/>
  <c r="BU212" i="9" a="1"/>
  <c r="BU212" i="9" s="1"/>
  <c r="BT212" i="9" a="1"/>
  <c r="BT212" i="9" s="1"/>
  <c r="BR642" i="9"/>
  <c r="BS642" i="9" s="1"/>
  <c r="BJ502" i="9"/>
  <c r="BK502" i="9" s="1"/>
  <c r="BL502" i="9" s="1" a="1"/>
  <c r="BL502" i="9" s="1"/>
  <c r="BZ521" i="9"/>
  <c r="CA521" i="9" s="1"/>
  <c r="CB521" i="9" s="1" a="1"/>
  <c r="CB521" i="9" s="1"/>
  <c r="CF485" i="9" a="1"/>
  <c r="CF485" i="9" s="1"/>
  <c r="CO409" i="9" a="1"/>
  <c r="CO409" i="9" s="1"/>
  <c r="CN409" i="9" a="1"/>
  <c r="CN409" i="9" s="1"/>
  <c r="CO391" i="9" a="1"/>
  <c r="CO391" i="9" s="1"/>
  <c r="CN368" i="9" a="1"/>
  <c r="CN368" i="9" s="1"/>
  <c r="CO368" i="9" a="1"/>
  <c r="CO368" i="9" s="1"/>
  <c r="CF356" i="9" a="1"/>
  <c r="CF356" i="9" s="1"/>
  <c r="CF336" i="9" a="1"/>
  <c r="CF336" i="9" s="1"/>
  <c r="CD318" i="9"/>
  <c r="CE318" i="9" s="1"/>
  <c r="CF318" i="9" s="1" a="1"/>
  <c r="CF318" i="9" s="1"/>
  <c r="CN323" i="9" a="1"/>
  <c r="CN323" i="9" s="1"/>
  <c r="CO323" i="9" a="1"/>
  <c r="CO323" i="9" s="1"/>
  <c r="CF328" i="9" a="1"/>
  <c r="CF328" i="9" s="1"/>
  <c r="BU285" i="9" a="1"/>
  <c r="BU285" i="9" s="1"/>
  <c r="BT285" i="9" a="1"/>
  <c r="BT285" i="9" s="1"/>
  <c r="BJ260" i="9"/>
  <c r="BK260" i="9" s="1"/>
  <c r="BP260" i="9" s="1" a="1"/>
  <c r="BP260" i="9" s="1"/>
  <c r="BF250" i="9"/>
  <c r="BG250" i="9" s="1"/>
  <c r="BH250" i="9" s="1" a="1"/>
  <c r="BH250" i="9" s="1"/>
  <c r="CN230" i="9" a="1"/>
  <c r="CN230" i="9" s="1"/>
  <c r="CO230" i="9" a="1"/>
  <c r="CO230" i="9" s="1"/>
  <c r="CD218" i="9"/>
  <c r="CE218" i="9" s="1"/>
  <c r="CF218" i="9" s="1" a="1"/>
  <c r="CF218" i="9" s="1"/>
  <c r="CL210" i="9"/>
  <c r="CM210" i="9" s="1"/>
  <c r="BF437" i="9"/>
  <c r="BG437" i="9" s="1"/>
  <c r="BH437" i="9" s="1" a="1"/>
  <c r="BH437" i="9" s="1"/>
  <c r="BL466" i="9" a="1"/>
  <c r="BL466" i="9" s="1"/>
  <c r="CO447" i="9" a="1"/>
  <c r="CO447" i="9" s="1"/>
  <c r="CP447" i="9" s="1"/>
  <c r="V447" i="9" s="1"/>
  <c r="CN447" i="9" a="1"/>
  <c r="CN447" i="9" s="1"/>
  <c r="BT374" i="9" a="1"/>
  <c r="BT374" i="9" s="1"/>
  <c r="BU374" i="9" a="1"/>
  <c r="BU374" i="9" s="1"/>
  <c r="BT380" i="9" a="1"/>
  <c r="BT380" i="9" s="1"/>
  <c r="BU380" i="9" a="1"/>
  <c r="BU380" i="9" s="1"/>
  <c r="CN360" i="9" a="1"/>
  <c r="CN360" i="9" s="1"/>
  <c r="CO360" i="9" a="1"/>
  <c r="CO360" i="9" s="1"/>
  <c r="CN353" i="9" a="1"/>
  <c r="CN353" i="9" s="1"/>
  <c r="CO353" i="9" a="1"/>
  <c r="CO353" i="9" s="1"/>
  <c r="CB368" i="9" a="1"/>
  <c r="CB368" i="9" s="1"/>
  <c r="CD293" i="9"/>
  <c r="CE293" i="9" s="1"/>
  <c r="CF293" i="9" s="1" a="1"/>
  <c r="CF293" i="9" s="1"/>
  <c r="BU295" i="9" a="1"/>
  <c r="BU295" i="9" s="1"/>
  <c r="CO256" i="9" a="1"/>
  <c r="CO256" i="9" s="1"/>
  <c r="CN256" i="9" a="1"/>
  <c r="CN256" i="9" s="1"/>
  <c r="CH229" i="9"/>
  <c r="CI229" i="9" s="1"/>
  <c r="CJ229" i="9" s="1" a="1"/>
  <c r="CJ229" i="9" s="1"/>
  <c r="CD235" i="9"/>
  <c r="CE235" i="9" s="1"/>
  <c r="CF235" i="9" s="1" a="1"/>
  <c r="CF235" i="9" s="1"/>
  <c r="BN218" i="9"/>
  <c r="BO218" i="9" s="1"/>
  <c r="BP218" i="9" s="1" a="1"/>
  <c r="BP218" i="9" s="1"/>
  <c r="BZ169" i="9"/>
  <c r="CA169" i="9" s="1"/>
  <c r="CB169" i="9" s="1" a="1"/>
  <c r="CB169" i="9" s="1"/>
  <c r="CF142" i="9" a="1"/>
  <c r="CF142" i="9" s="1"/>
  <c r="CD619" i="9"/>
  <c r="CE619" i="9" s="1"/>
  <c r="CF619" i="9" s="1" a="1"/>
  <c r="CF619" i="9" s="1"/>
  <c r="CF546" i="9" a="1"/>
  <c r="CF546" i="9" s="1"/>
  <c r="BN483" i="9"/>
  <c r="BO483" i="9" s="1"/>
  <c r="BZ407" i="9"/>
  <c r="CA407" i="9" s="1"/>
  <c r="CB407" i="9" s="1" a="1"/>
  <c r="CB407" i="9" s="1"/>
  <c r="BR357" i="9"/>
  <c r="BS357" i="9" s="1"/>
  <c r="BN386" i="9"/>
  <c r="BO386" i="9" s="1"/>
  <c r="CF355" i="9" a="1"/>
  <c r="CF355" i="9" s="1"/>
  <c r="CD348" i="9"/>
  <c r="CE348" i="9" s="1"/>
  <c r="BJ348" i="9"/>
  <c r="BK348" i="9" s="1"/>
  <c r="BN348" i="9"/>
  <c r="BO348" i="9" s="1"/>
  <c r="BF348" i="9"/>
  <c r="BG348" i="9" s="1"/>
  <c r="BH348" i="9" s="1" a="1"/>
  <c r="BH348" i="9" s="1"/>
  <c r="BJ318" i="9"/>
  <c r="BK318" i="9" s="1"/>
  <c r="BL318" i="9" s="1" a="1"/>
  <c r="BL318" i="9" s="1"/>
  <c r="CH329" i="9"/>
  <c r="CI329" i="9" s="1"/>
  <c r="CJ329" i="9" s="1" a="1"/>
  <c r="CJ329" i="9" s="1"/>
  <c r="BT334" i="9" a="1"/>
  <c r="BT334" i="9" s="1"/>
  <c r="BU334" i="9" a="1"/>
  <c r="BU334" i="9" s="1"/>
  <c r="CH293" i="9"/>
  <c r="CI293" i="9" s="1"/>
  <c r="CJ293" i="9" s="1" a="1"/>
  <c r="CJ293" i="9" s="1"/>
  <c r="CD245" i="9"/>
  <c r="CE245" i="9" s="1"/>
  <c r="BJ223" i="9"/>
  <c r="BK223" i="9" s="1"/>
  <c r="BL223" i="9" s="1" a="1"/>
  <c r="BL223" i="9" s="1"/>
  <c r="BT191" i="9" a="1"/>
  <c r="BT191" i="9" s="1"/>
  <c r="BU191" i="9" a="1"/>
  <c r="BU191" i="9" s="1"/>
  <c r="BF200" i="9"/>
  <c r="BG200" i="9" s="1"/>
  <c r="BH200" i="9" s="1" a="1"/>
  <c r="BH200" i="9" s="1"/>
  <c r="CN617" i="9" a="1"/>
  <c r="CN617" i="9" s="1"/>
  <c r="CP617" i="9" s="1"/>
  <c r="V617" i="9" s="1"/>
  <c r="BF597" i="9"/>
  <c r="BG597" i="9" s="1"/>
  <c r="BH597" i="9" s="1" a="1"/>
  <c r="BH597" i="9" s="1"/>
  <c r="CJ481" i="9" a="1"/>
  <c r="CJ481" i="9" s="1"/>
  <c r="CP481" i="9" s="1"/>
  <c r="V481" i="9" s="1"/>
  <c r="CF469" i="9" a="1"/>
  <c r="CF469" i="9" s="1"/>
  <c r="BR449" i="9"/>
  <c r="BS449" i="9" s="1"/>
  <c r="CO425" i="9" a="1"/>
  <c r="CO425" i="9" s="1"/>
  <c r="CN425" i="9" a="1"/>
  <c r="CN425" i="9" s="1"/>
  <c r="BT378" i="9" a="1"/>
  <c r="BT378" i="9" s="1"/>
  <c r="BU378" i="9" a="1"/>
  <c r="BU378" i="9" s="1"/>
  <c r="BT425" i="9" a="1"/>
  <c r="BT425" i="9" s="1"/>
  <c r="BU425" i="9" a="1"/>
  <c r="BU425" i="9" s="1"/>
  <c r="CH337" i="9"/>
  <c r="CI337" i="9" s="1"/>
  <c r="CJ337" i="9" s="1" a="1"/>
  <c r="CJ337" i="9" s="1"/>
  <c r="CJ319" i="9" a="1"/>
  <c r="CJ319" i="9" s="1"/>
  <c r="CJ336" i="9" a="1"/>
  <c r="CJ336" i="9" s="1"/>
  <c r="BH322" i="9" a="1"/>
  <c r="BH322" i="9" s="1"/>
  <c r="BV322" i="9" s="1"/>
  <c r="Q322" i="9" s="1"/>
  <c r="BR280" i="9"/>
  <c r="BS280" i="9" s="1"/>
  <c r="BR263" i="9"/>
  <c r="BS263" i="9" s="1"/>
  <c r="CO238" i="9" a="1"/>
  <c r="CO238" i="9" s="1"/>
  <c r="CN238" i="9" a="1"/>
  <c r="CN238" i="9" s="1"/>
  <c r="CH225" i="9"/>
  <c r="CI225" i="9" s="1"/>
  <c r="CJ225" i="9" s="1" a="1"/>
  <c r="CJ225" i="9" s="1"/>
  <c r="CH223" i="9"/>
  <c r="CI223" i="9" s="1"/>
  <c r="CN223" i="9" s="1" a="1"/>
  <c r="CN223" i="9" s="1"/>
  <c r="BZ202" i="9"/>
  <c r="CA202" i="9" s="1"/>
  <c r="CB202" i="9" s="1" a="1"/>
  <c r="CB202" i="9" s="1"/>
  <c r="BF202" i="9"/>
  <c r="BG202" i="9" s="1"/>
  <c r="BH202" i="9" s="1" a="1"/>
  <c r="BH202" i="9" s="1"/>
  <c r="BR202" i="9"/>
  <c r="BS202" i="9" s="1"/>
  <c r="BJ202" i="9"/>
  <c r="BK202" i="9" s="1"/>
  <c r="BP202" i="9" s="1" a="1"/>
  <c r="BP202" i="9" s="1"/>
  <c r="BL185" i="9" a="1"/>
  <c r="BL185" i="9" s="1"/>
  <c r="BF648" i="9"/>
  <c r="BG648" i="9" s="1"/>
  <c r="BH648" i="9" s="1" a="1"/>
  <c r="BH648" i="9" s="1"/>
  <c r="CF488" i="9" a="1"/>
  <c r="CF488" i="9" s="1"/>
  <c r="BP461" i="9" a="1"/>
  <c r="BP461" i="9" s="1"/>
  <c r="CH416" i="9"/>
  <c r="CI416" i="9" s="1"/>
  <c r="CJ416" i="9" s="1" a="1"/>
  <c r="CJ416" i="9" s="1"/>
  <c r="CL386" i="9"/>
  <c r="CM386" i="9" s="1"/>
  <c r="CD384" i="9"/>
  <c r="CE384" i="9" s="1"/>
  <c r="CF384" i="9" s="1" a="1"/>
  <c r="CF384" i="9" s="1"/>
  <c r="BZ340" i="9"/>
  <c r="CA340" i="9" s="1"/>
  <c r="CB340" i="9" s="1" a="1"/>
  <c r="CB340" i="9" s="1"/>
  <c r="BJ347" i="9"/>
  <c r="BK347" i="9" s="1"/>
  <c r="BL347" i="9" s="1" a="1"/>
  <c r="BL347" i="9" s="1"/>
  <c r="BH299" i="9" a="1"/>
  <c r="BH299" i="9" s="1"/>
  <c r="BP276" i="9" a="1"/>
  <c r="BP276" i="9" s="1"/>
  <c r="CL252" i="9"/>
  <c r="CM252" i="9" s="1"/>
  <c r="BN227" i="9"/>
  <c r="BO227" i="9" s="1"/>
  <c r="CH217" i="9"/>
  <c r="CI217" i="9" s="1"/>
  <c r="BN182" i="9"/>
  <c r="BO182" i="9" s="1"/>
  <c r="CO189" i="9" a="1"/>
  <c r="CO189" i="9" s="1"/>
  <c r="CN189" i="9" a="1"/>
  <c r="CN189" i="9" s="1"/>
  <c r="BF171" i="9"/>
  <c r="BG171" i="9" s="1"/>
  <c r="BH171" i="9" s="1" a="1"/>
  <c r="BH171" i="9" s="1"/>
  <c r="CN172" i="9" a="1"/>
  <c r="CN172" i="9" s="1"/>
  <c r="CO172" i="9" a="1"/>
  <c r="CO172" i="9" s="1"/>
  <c r="BL320" i="9" a="1"/>
  <c r="BL320" i="9" s="1"/>
  <c r="BT251" i="9" a="1"/>
  <c r="BT251" i="9" s="1"/>
  <c r="CF209" i="9" a="1"/>
  <c r="CF209" i="9" s="1"/>
  <c r="CF361" i="9" a="1"/>
  <c r="CF361" i="9" s="1"/>
  <c r="CD332" i="9"/>
  <c r="CE332" i="9" s="1"/>
  <c r="CF332" i="9" s="1" a="1"/>
  <c r="CF332" i="9" s="1"/>
  <c r="CF320" i="9" a="1"/>
  <c r="CF320" i="9" s="1"/>
  <c r="CP320" i="9" s="1"/>
  <c r="V320" i="9" s="1"/>
  <c r="CJ259" i="9" a="1"/>
  <c r="CJ259" i="9" s="1"/>
  <c r="BR180" i="9"/>
  <c r="BS180" i="9" s="1"/>
  <c r="BU138" i="9" a="1"/>
  <c r="BU138" i="9" s="1"/>
  <c r="BT138" i="9" a="1"/>
  <c r="BT138" i="9" s="1"/>
  <c r="BL460" i="9" a="1"/>
  <c r="BL460" i="9" s="1"/>
  <c r="CB404" i="9" a="1"/>
  <c r="CB404" i="9" s="1"/>
  <c r="CL356" i="9"/>
  <c r="CM356" i="9" s="1"/>
  <c r="BT292" i="9" a="1"/>
  <c r="BT292" i="9" s="1"/>
  <c r="BV292" i="9" s="1"/>
  <c r="Q292" i="9" s="1"/>
  <c r="BN170" i="9"/>
  <c r="BO170" i="9" s="1"/>
  <c r="BP170" i="9" s="1" a="1"/>
  <c r="BP170" i="9" s="1"/>
  <c r="BZ152" i="9"/>
  <c r="CA152" i="9" s="1"/>
  <c r="CB152" i="9" s="1" a="1"/>
  <c r="CB152" i="9" s="1"/>
  <c r="BU135" i="9" a="1"/>
  <c r="BU135" i="9" s="1"/>
  <c r="BT135" i="9" a="1"/>
  <c r="BT135" i="9" s="1"/>
  <c r="BP413" i="9" a="1"/>
  <c r="BP413" i="9" s="1"/>
  <c r="CJ350" i="9" a="1"/>
  <c r="CJ350" i="9" s="1"/>
  <c r="BJ324" i="9"/>
  <c r="BK324" i="9" s="1"/>
  <c r="BL324" i="9" s="1" a="1"/>
  <c r="BL324" i="9" s="1"/>
  <c r="CN277" i="9" a="1"/>
  <c r="CN277" i="9" s="1"/>
  <c r="CL182" i="9"/>
  <c r="CM182" i="9" s="1"/>
  <c r="BF170" i="9"/>
  <c r="BG170" i="9" s="1"/>
  <c r="BH170" i="9" s="1" a="1"/>
  <c r="BH170" i="9" s="1"/>
  <c r="BT141" i="9" a="1"/>
  <c r="BT141" i="9" s="1"/>
  <c r="CL155" i="9"/>
  <c r="CM155" i="9" s="1"/>
  <c r="CH136" i="9"/>
  <c r="CI136" i="9" s="1"/>
  <c r="CJ136" i="9" s="1" a="1"/>
  <c r="CJ136" i="9" s="1"/>
  <c r="CF453" i="9" a="1"/>
  <c r="CF453" i="9" s="1"/>
  <c r="BP277" i="9" a="1"/>
  <c r="BP277" i="9" s="1"/>
  <c r="BV277" i="9" s="1"/>
  <c r="Q277" i="9" s="1"/>
  <c r="CF189" i="9" a="1"/>
  <c r="CF189" i="9" s="1"/>
  <c r="CJ151" i="9" a="1"/>
  <c r="CJ151" i="9" s="1"/>
  <c r="CN431" i="9" a="1"/>
  <c r="CN431" i="9" s="1"/>
  <c r="BZ349" i="9"/>
  <c r="CA349" i="9" s="1"/>
  <c r="CB349" i="9" s="1" a="1"/>
  <c r="CB349" i="9" s="1"/>
  <c r="BL287" i="9" a="1"/>
  <c r="BL287" i="9" s="1"/>
  <c r="BV287" i="9" s="1"/>
  <c r="Q287" i="9" s="1"/>
  <c r="BT220" i="9" a="1"/>
  <c r="BT220" i="9" s="1"/>
  <c r="BP164" i="9" a="1"/>
  <c r="BP164" i="9" s="1"/>
  <c r="BL163" i="9" a="1"/>
  <c r="BL163" i="9" s="1"/>
  <c r="BV163" i="9" s="1"/>
  <c r="Q163" i="9" s="1"/>
  <c r="BT361" i="9" a="1"/>
  <c r="BT361" i="9" s="1"/>
  <c r="BL328" i="9" a="1"/>
  <c r="BL328" i="9" s="1"/>
  <c r="CL195" i="9"/>
  <c r="CM195" i="9" s="1"/>
  <c r="CJ139" i="9" a="1"/>
  <c r="CJ139" i="9" s="1"/>
  <c r="CP139" i="9" s="1"/>
  <c r="V139" i="9" s="1"/>
  <c r="BP129" i="9" a="1"/>
  <c r="BP129" i="9" s="1"/>
  <c r="BL325" i="9" a="1"/>
  <c r="BL325" i="9" s="1"/>
  <c r="BL317" i="9" a="1"/>
  <c r="BL317" i="9" s="1"/>
  <c r="BL259" i="9" a="1"/>
  <c r="BL259" i="9" s="1"/>
  <c r="CF242" i="9" a="1"/>
  <c r="CF242" i="9" s="1"/>
  <c r="BJ128" i="9"/>
  <c r="BK128" i="9" s="1"/>
  <c r="BL128" i="9" s="1" a="1"/>
  <c r="BL128" i="9" s="1"/>
  <c r="BF128" i="9"/>
  <c r="BG128" i="9" s="1"/>
  <c r="BH128" i="9" s="1" a="1"/>
  <c r="BH128" i="9" s="1"/>
  <c r="BN128" i="9"/>
  <c r="BO128" i="9" s="1"/>
  <c r="CJ135" i="9" a="1"/>
  <c r="CJ135" i="9" s="1"/>
  <c r="CF157" i="9" a="1"/>
  <c r="CF157" i="9" s="1"/>
  <c r="CP157" i="9" s="1"/>
  <c r="V157" i="9" s="1"/>
  <c r="CO552" i="9" a="1"/>
  <c r="CO552" i="9" s="1"/>
  <c r="CN552" i="9" a="1"/>
  <c r="CN552" i="9" s="1"/>
  <c r="BR534" i="9"/>
  <c r="BS534" i="9" s="1"/>
  <c r="BZ534" i="9"/>
  <c r="CA534" i="9" s="1"/>
  <c r="CB534" i="9" s="1" a="1"/>
  <c r="CB534" i="9" s="1"/>
  <c r="BF534" i="9"/>
  <c r="BG534" i="9" s="1"/>
  <c r="BH534" i="9" s="1" a="1"/>
  <c r="BH534" i="9" s="1"/>
  <c r="CO488" i="9" a="1"/>
  <c r="CO488" i="9" s="1"/>
  <c r="CN488" i="9" a="1"/>
  <c r="CN488" i="9" s="1"/>
  <c r="BU744" i="9" a="1"/>
  <c r="BU744" i="9" s="1"/>
  <c r="BT744" i="9" a="1"/>
  <c r="BT744" i="9" s="1"/>
  <c r="BT743" i="9" a="1"/>
  <c r="BT743" i="9" s="1"/>
  <c r="BU743" i="9" a="1"/>
  <c r="BU743" i="9" s="1"/>
  <c r="CN729" i="9" a="1"/>
  <c r="CN729" i="9" s="1"/>
  <c r="CO729" i="9" a="1"/>
  <c r="CO729" i="9" s="1"/>
  <c r="BU676" i="9" a="1"/>
  <c r="BU676" i="9" s="1"/>
  <c r="BT676" i="9" a="1"/>
  <c r="BT676" i="9" s="1"/>
  <c r="CL675" i="9"/>
  <c r="CM675" i="9" s="1"/>
  <c r="BZ675" i="9"/>
  <c r="CA675" i="9" s="1"/>
  <c r="CB675" i="9" s="1" a="1"/>
  <c r="CB675" i="9" s="1"/>
  <c r="CH675" i="9"/>
  <c r="CI675" i="9" s="1"/>
  <c r="CD675" i="9"/>
  <c r="CE675" i="9" s="1"/>
  <c r="CJ506" i="9" a="1"/>
  <c r="CJ506" i="9" s="1"/>
  <c r="CN506" i="9" a="1"/>
  <c r="CN506" i="9" s="1"/>
  <c r="BR524" i="9"/>
  <c r="BS524" i="9" s="1"/>
  <c r="CO458" i="9" a="1"/>
  <c r="CO458" i="9" s="1"/>
  <c r="CN458" i="9" a="1"/>
  <c r="CN458" i="9" s="1"/>
  <c r="BR737" i="9"/>
  <c r="BS737" i="9" s="1"/>
  <c r="BT719" i="9" a="1"/>
  <c r="BT719" i="9" s="1"/>
  <c r="BV719" i="9" s="1"/>
  <c r="Q719" i="9" s="1"/>
  <c r="BU719" i="9" a="1"/>
  <c r="BU719" i="9" s="1"/>
  <c r="BR616" i="9"/>
  <c r="BS616" i="9" s="1"/>
  <c r="CH568" i="9"/>
  <c r="CI568" i="9" s="1"/>
  <c r="CJ568" i="9" s="1" a="1"/>
  <c r="CJ568" i="9" s="1"/>
  <c r="BN534" i="9"/>
  <c r="BO534" i="9" s="1"/>
  <c r="CH550" i="9"/>
  <c r="CI550" i="9" s="1"/>
  <c r="BF563" i="9"/>
  <c r="BG563" i="9" s="1"/>
  <c r="BH563" i="9" s="1" a="1"/>
  <c r="BH563" i="9" s="1"/>
  <c r="BN563" i="9"/>
  <c r="BO563" i="9" s="1"/>
  <c r="BT720" i="9" a="1"/>
  <c r="BT720" i="9" s="1"/>
  <c r="BU720" i="9" a="1"/>
  <c r="BU720" i="9" s="1"/>
  <c r="BJ772" i="9"/>
  <c r="BK772" i="9" s="1"/>
  <c r="BP772" i="9" s="1" a="1"/>
  <c r="BP772" i="9" s="1"/>
  <c r="CO697" i="9" a="1"/>
  <c r="CO697" i="9" s="1"/>
  <c r="CN697" i="9" a="1"/>
  <c r="CN697" i="9" s="1"/>
  <c r="CJ722" i="9" a="1"/>
  <c r="CJ722" i="9" s="1"/>
  <c r="CN713" i="9" a="1"/>
  <c r="CN713" i="9" s="1"/>
  <c r="CO713" i="9" a="1"/>
  <c r="CO713" i="9" s="1"/>
  <c r="BL660" i="9" a="1"/>
  <c r="BL660" i="9" s="1"/>
  <c r="CH681" i="9"/>
  <c r="CI681" i="9" s="1"/>
  <c r="CJ681" i="9" s="1" a="1"/>
  <c r="CJ681" i="9" s="1"/>
  <c r="BR624" i="9"/>
  <c r="BS624" i="9" s="1"/>
  <c r="BP679" i="9" a="1"/>
  <c r="BP679" i="9" s="1"/>
  <c r="CH622" i="9"/>
  <c r="CI622" i="9" s="1"/>
  <c r="BV644" i="9"/>
  <c r="Q644" i="9" s="1"/>
  <c r="BZ634" i="9"/>
  <c r="CA634" i="9" s="1"/>
  <c r="CB634" i="9" s="1" a="1"/>
  <c r="CB634" i="9" s="1"/>
  <c r="BP525" i="9" a="1"/>
  <c r="BP525" i="9" s="1"/>
  <c r="BU566" i="9" a="1"/>
  <c r="BU566" i="9" s="1"/>
  <c r="BT566" i="9" a="1"/>
  <c r="BT566" i="9" s="1"/>
  <c r="BN550" i="9"/>
  <c r="BO550" i="9" s="1"/>
  <c r="CN536" i="9" a="1"/>
  <c r="CN536" i="9" s="1"/>
  <c r="CO536" i="9" a="1"/>
  <c r="CO536" i="9" s="1"/>
  <c r="CN544" i="9" a="1"/>
  <c r="CN544" i="9" s="1"/>
  <c r="CO544" i="9" a="1"/>
  <c r="CO544" i="9" s="1"/>
  <c r="CP515" i="9"/>
  <c r="V515" i="9" s="1"/>
  <c r="CN866" i="9" a="1"/>
  <c r="CN866" i="9" s="1"/>
  <c r="CF701" i="9" a="1"/>
  <c r="CF701" i="9" s="1"/>
  <c r="BP710" i="9" a="1"/>
  <c r="BP710" i="9" s="1"/>
  <c r="BV710" i="9" s="1"/>
  <c r="Q710" i="9" s="1"/>
  <c r="AB710" i="9" s="1"/>
  <c r="BN624" i="9"/>
  <c r="BO624" i="9" s="1"/>
  <c r="BP624" i="9" s="1" a="1"/>
  <c r="BP624" i="9" s="1"/>
  <c r="BN648" i="9"/>
  <c r="BO648" i="9" s="1"/>
  <c r="BP648" i="9" s="1" a="1"/>
  <c r="BP648" i="9" s="1"/>
  <c r="CN615" i="9" a="1"/>
  <c r="CN615" i="9" s="1"/>
  <c r="CO615" i="9" a="1"/>
  <c r="CO615" i="9" s="1"/>
  <c r="BN542" i="9"/>
  <c r="BO542" i="9" s="1"/>
  <c r="BP542" i="9" s="1" a="1"/>
  <c r="BP542" i="9" s="1"/>
  <c r="CO567" i="9" a="1"/>
  <c r="CO567" i="9" s="1"/>
  <c r="CN567" i="9" a="1"/>
  <c r="CN567" i="9" s="1"/>
  <c r="CF588" i="9" a="1"/>
  <c r="CF588" i="9" s="1"/>
  <c r="BT583" i="9" a="1"/>
  <c r="BT583" i="9" s="1"/>
  <c r="BU583" i="9" a="1"/>
  <c r="BU583" i="9" s="1"/>
  <c r="CH526" i="9"/>
  <c r="CI526" i="9" s="1"/>
  <c r="CJ526" i="9" s="1" a="1"/>
  <c r="CJ526" i="9" s="1"/>
  <c r="CF564" i="9" a="1"/>
  <c r="CF564" i="9" s="1"/>
  <c r="CP564" i="9" s="1"/>
  <c r="V564" i="9" s="1"/>
  <c r="CO541" i="9" a="1"/>
  <c r="CO541" i="9" s="1"/>
  <c r="CN541" i="9" a="1"/>
  <c r="CN541" i="9" s="1"/>
  <c r="BN889" i="9"/>
  <c r="BO889" i="9" s="1"/>
  <c r="BP889" i="9" s="1" a="1"/>
  <c r="BP889" i="9" s="1"/>
  <c r="CF695" i="9" a="1"/>
  <c r="CF695" i="9" s="1"/>
  <c r="BU663" i="9" a="1"/>
  <c r="BU663" i="9" s="1"/>
  <c r="BT663" i="9" a="1"/>
  <c r="BT663" i="9" s="1"/>
  <c r="CL698" i="9"/>
  <c r="CM698" i="9" s="1"/>
  <c r="CF567" i="9" a="1"/>
  <c r="CF567" i="9" s="1"/>
  <c r="CO669" i="9" a="1"/>
  <c r="CO669" i="9" s="1"/>
  <c r="CN669" i="9" a="1"/>
  <c r="CN669" i="9" s="1"/>
  <c r="BF700" i="9"/>
  <c r="BG700" i="9" s="1"/>
  <c r="BH700" i="9" s="1" a="1"/>
  <c r="BH700" i="9" s="1"/>
  <c r="BT649" i="9" a="1"/>
  <c r="BT649" i="9" s="1"/>
  <c r="BV649" i="9" s="1"/>
  <c r="Q649" i="9" s="1"/>
  <c r="AB649" i="9" s="1"/>
  <c r="BL586" i="9" a="1"/>
  <c r="BL586" i="9" s="1"/>
  <c r="BL576" i="9" a="1"/>
  <c r="BL576" i="9" s="1"/>
  <c r="BF554" i="9"/>
  <c r="BG554" i="9" s="1"/>
  <c r="BH554" i="9" s="1" a="1"/>
  <c r="BH554" i="9" s="1"/>
  <c r="BZ540" i="9"/>
  <c r="CA540" i="9" s="1"/>
  <c r="CB540" i="9" s="1" a="1"/>
  <c r="CB540" i="9" s="1"/>
  <c r="BJ540" i="9"/>
  <c r="BK540" i="9" s="1"/>
  <c r="BT721" i="9" a="1"/>
  <c r="BT721" i="9" s="1"/>
  <c r="BU721" i="9" a="1"/>
  <c r="BU721" i="9" s="1"/>
  <c r="CJ695" i="9" a="1"/>
  <c r="CJ695" i="9" s="1"/>
  <c r="BF653" i="9"/>
  <c r="BG653" i="9" s="1"/>
  <c r="BH653" i="9" s="1" a="1"/>
  <c r="BH653" i="9" s="1"/>
  <c r="BZ651" i="9"/>
  <c r="CA651" i="9" s="1"/>
  <c r="CB651" i="9" s="1" a="1"/>
  <c r="CB651" i="9" s="1"/>
  <c r="CD651" i="9"/>
  <c r="CE651" i="9" s="1"/>
  <c r="CH651" i="9"/>
  <c r="CI651" i="9" s="1"/>
  <c r="CL651" i="9"/>
  <c r="CM651" i="9" s="1"/>
  <c r="CJ632" i="9" a="1"/>
  <c r="CJ632" i="9" s="1"/>
  <c r="CP632" i="9" s="1"/>
  <c r="V632" i="9" s="1"/>
  <c r="CP667" i="9"/>
  <c r="V667" i="9" s="1"/>
  <c r="CH621" i="9"/>
  <c r="CI621" i="9" s="1"/>
  <c r="CJ621" i="9" s="1" a="1"/>
  <c r="CJ621" i="9" s="1"/>
  <c r="CN523" i="9" a="1"/>
  <c r="CN523" i="9" s="1"/>
  <c r="CO523" i="9" a="1"/>
  <c r="CO523" i="9" s="1"/>
  <c r="CD581" i="9"/>
  <c r="CE581" i="9" s="1"/>
  <c r="CH540" i="9"/>
  <c r="CI540" i="9" s="1"/>
  <c r="CJ540" i="9" s="1" a="1"/>
  <c r="CJ540" i="9" s="1"/>
  <c r="BT480" i="9" a="1"/>
  <c r="BT480" i="9" s="1"/>
  <c r="BU480" i="9" a="1"/>
  <c r="BU480" i="9" s="1"/>
  <c r="BZ464" i="9"/>
  <c r="CA464" i="9" s="1"/>
  <c r="CB464" i="9" s="1" a="1"/>
  <c r="CB464" i="9" s="1"/>
  <c r="BU469" i="9" a="1"/>
  <c r="BU469" i="9" s="1"/>
  <c r="BT469" i="9" a="1"/>
  <c r="BT469" i="9" s="1"/>
  <c r="BV980" i="9"/>
  <c r="Q980" i="9" s="1"/>
  <c r="CF717" i="9" a="1"/>
  <c r="CF717" i="9" s="1"/>
  <c r="BU696" i="9" a="1"/>
  <c r="BU696" i="9" s="1"/>
  <c r="BT696" i="9" a="1"/>
  <c r="BT696" i="9" s="1"/>
  <c r="CF689" i="9" a="1"/>
  <c r="CF689" i="9" s="1"/>
  <c r="CD699" i="9"/>
  <c r="CE699" i="9" s="1"/>
  <c r="BU695" i="9" a="1"/>
  <c r="BU695" i="9" s="1"/>
  <c r="BT695" i="9" a="1"/>
  <c r="BT695" i="9" s="1"/>
  <c r="CF580" i="9" a="1"/>
  <c r="CF580" i="9" s="1"/>
  <c r="CD653" i="9"/>
  <c r="CE653" i="9" s="1"/>
  <c r="BL667" i="9" a="1"/>
  <c r="BL667" i="9" s="1"/>
  <c r="CN570" i="9" a="1"/>
  <c r="CN570" i="9" s="1"/>
  <c r="CO570" i="9" a="1"/>
  <c r="CO570" i="9" s="1"/>
  <c r="CP643" i="9"/>
  <c r="V643" i="9" s="1"/>
  <c r="CN630" i="9" a="1"/>
  <c r="CN630" i="9" s="1"/>
  <c r="CO630" i="9" a="1"/>
  <c r="CO630" i="9" s="1"/>
  <c r="BN621" i="9"/>
  <c r="BO621" i="9" s="1"/>
  <c r="BP621" i="9" s="1" a="1"/>
  <c r="BP621" i="9" s="1"/>
  <c r="BL520" i="9" a="1"/>
  <c r="BL520" i="9" s="1"/>
  <c r="BV520" i="9" s="1"/>
  <c r="Q520" i="9" s="1"/>
  <c r="CD518" i="9"/>
  <c r="CE518" i="9" s="1"/>
  <c r="CF518" i="9" s="1" a="1"/>
  <c r="CF518" i="9" s="1"/>
  <c r="BU485" i="9" a="1"/>
  <c r="BU485" i="9" s="1"/>
  <c r="BT485" i="9" a="1"/>
  <c r="BT485" i="9" s="1"/>
  <c r="CO456" i="9" a="1"/>
  <c r="CO456" i="9" s="1"/>
  <c r="BP667" i="9" a="1"/>
  <c r="BP667" i="9" s="1"/>
  <c r="BL431" i="9" a="1"/>
  <c r="BL431" i="9" s="1"/>
  <c r="CN397" i="9" a="1"/>
  <c r="CN397" i="9" s="1"/>
  <c r="CO397" i="9" a="1"/>
  <c r="CO397" i="9" s="1"/>
  <c r="BV239" i="9"/>
  <c r="Q239" i="9" s="1"/>
  <c r="BP240" i="9" a="1"/>
  <c r="BP240" i="9" s="1"/>
  <c r="BV240" i="9" s="1"/>
  <c r="Q240" i="9" s="1"/>
  <c r="BP204" i="9" a="1"/>
  <c r="BP204" i="9" s="1"/>
  <c r="BL204" i="9" a="1"/>
  <c r="BL204" i="9" s="1"/>
  <c r="CF570" i="9" a="1"/>
  <c r="CF570" i="9" s="1"/>
  <c r="BR464" i="9"/>
  <c r="BS464" i="9" s="1"/>
  <c r="CN487" i="9" a="1"/>
  <c r="CN487" i="9" s="1"/>
  <c r="BU477" i="9" a="1"/>
  <c r="BU477" i="9" s="1"/>
  <c r="BT477" i="9" a="1"/>
  <c r="BT477" i="9" s="1"/>
  <c r="CN361" i="9" a="1"/>
  <c r="CN361" i="9" s="1"/>
  <c r="CO361" i="9" a="1"/>
  <c r="CO361" i="9" s="1"/>
  <c r="BT417" i="9" a="1"/>
  <c r="BT417" i="9" s="1"/>
  <c r="BU417" i="9" a="1"/>
  <c r="BU417" i="9" s="1"/>
  <c r="CH340" i="9"/>
  <c r="CI340" i="9" s="1"/>
  <c r="CN340" i="9" s="1" a="1"/>
  <c r="CN340" i="9" s="1"/>
  <c r="BZ699" i="9"/>
  <c r="CA699" i="9" s="1"/>
  <c r="CB699" i="9" s="1" a="1"/>
  <c r="CB699" i="9" s="1"/>
  <c r="BJ606" i="9"/>
  <c r="BK606" i="9" s="1"/>
  <c r="BL606" i="9" s="1" a="1"/>
  <c r="BL606" i="9" s="1"/>
  <c r="CF599" i="9" a="1"/>
  <c r="CF599" i="9" s="1"/>
  <c r="CF552" i="9" a="1"/>
  <c r="CF552" i="9" s="1"/>
  <c r="CN453" i="9" a="1"/>
  <c r="CN453" i="9" s="1"/>
  <c r="CO453" i="9" a="1"/>
  <c r="CO453" i="9" s="1"/>
  <c r="BZ459" i="9"/>
  <c r="CA459" i="9" s="1"/>
  <c r="CB459" i="9" s="1" a="1"/>
  <c r="CB459" i="9" s="1"/>
  <c r="CO454" i="9" a="1"/>
  <c r="CO454" i="9" s="1"/>
  <c r="CN454" i="9" a="1"/>
  <c r="CN454" i="9" s="1"/>
  <c r="BJ426" i="9"/>
  <c r="BK426" i="9" s="1"/>
  <c r="BT440" i="9" a="1"/>
  <c r="BT440" i="9" s="1"/>
  <c r="BU440" i="9" a="1"/>
  <c r="BU440" i="9" s="1"/>
  <c r="BU385" i="9" a="1"/>
  <c r="BU385" i="9" s="1"/>
  <c r="BT385" i="9" a="1"/>
  <c r="BT385" i="9" s="1"/>
  <c r="CO385" i="9" a="1"/>
  <c r="CO385" i="9" s="1"/>
  <c r="CN385" i="9" a="1"/>
  <c r="CN385" i="9" s="1"/>
  <c r="CN355" i="9" a="1"/>
  <c r="CN355" i="9" s="1"/>
  <c r="CO355" i="9" a="1"/>
  <c r="CO355" i="9" s="1"/>
  <c r="CH324" i="9"/>
  <c r="CI324" i="9" s="1"/>
  <c r="CJ324" i="9" s="1" a="1"/>
  <c r="CJ324" i="9" s="1"/>
  <c r="CD224" i="9"/>
  <c r="CE224" i="9" s="1"/>
  <c r="CF224" i="9" s="1" a="1"/>
  <c r="CF224" i="9" s="1"/>
  <c r="CD223" i="9"/>
  <c r="CE223" i="9" s="1"/>
  <c r="BR630" i="9"/>
  <c r="BS630" i="9" s="1"/>
  <c r="BF540" i="9"/>
  <c r="BG540" i="9" s="1"/>
  <c r="BH540" i="9" s="1" a="1"/>
  <c r="BH540" i="9" s="1"/>
  <c r="BZ491" i="9"/>
  <c r="CA491" i="9" s="1"/>
  <c r="CB491" i="9" s="1" a="1"/>
  <c r="CB491" i="9" s="1"/>
  <c r="BP495" i="9" a="1"/>
  <c r="BP495" i="9" s="1"/>
  <c r="CN478" i="9" a="1"/>
  <c r="CN478" i="9" s="1"/>
  <c r="CO478" i="9" a="1"/>
  <c r="CO478" i="9" s="1"/>
  <c r="BP423" i="9" a="1"/>
  <c r="BP423" i="9" s="1"/>
  <c r="CN350" i="9" a="1"/>
  <c r="CN350" i="9" s="1"/>
  <c r="CO350" i="9" a="1"/>
  <c r="CO350" i="9" s="1"/>
  <c r="BL323" i="9" a="1"/>
  <c r="BL323" i="9" s="1"/>
  <c r="CJ311" i="9" a="1"/>
  <c r="CJ311" i="9" s="1"/>
  <c r="CF311" i="9" a="1"/>
  <c r="CF311" i="9" s="1"/>
  <c r="BT282" i="9" a="1"/>
  <c r="BT282" i="9" s="1"/>
  <c r="BU282" i="9" a="1"/>
  <c r="BU282" i="9" s="1"/>
  <c r="BF260" i="9"/>
  <c r="BG260" i="9" s="1"/>
  <c r="BH260" i="9" s="1" a="1"/>
  <c r="BH260" i="9" s="1"/>
  <c r="BZ250" i="9"/>
  <c r="CA250" i="9" s="1"/>
  <c r="CB250" i="9" s="1" a="1"/>
  <c r="CB250" i="9" s="1"/>
  <c r="BN226" i="9"/>
  <c r="BO226" i="9" s="1"/>
  <c r="BN210" i="9"/>
  <c r="BO210" i="9" s="1"/>
  <c r="BP210" i="9" s="1" a="1"/>
  <c r="BP210" i="9" s="1"/>
  <c r="BZ616" i="9"/>
  <c r="CA616" i="9" s="1"/>
  <c r="CB616" i="9" s="1" a="1"/>
  <c r="CB616" i="9" s="1"/>
  <c r="CL449" i="9"/>
  <c r="CM449" i="9" s="1"/>
  <c r="CN452" i="9" a="1"/>
  <c r="CN452" i="9" s="1"/>
  <c r="CO452" i="9" a="1"/>
  <c r="CO452" i="9" s="1"/>
  <c r="BU362" i="9" a="1"/>
  <c r="BU362" i="9" s="1"/>
  <c r="BT362" i="9" a="1"/>
  <c r="BT362" i="9" s="1"/>
  <c r="BZ421" i="9"/>
  <c r="CA421" i="9" s="1"/>
  <c r="CB421" i="9" s="1" a="1"/>
  <c r="CB421" i="9" s="1"/>
  <c r="CL421" i="9"/>
  <c r="CM421" i="9" s="1"/>
  <c r="CD421" i="9"/>
  <c r="CE421" i="9" s="1"/>
  <c r="BT409" i="9" a="1"/>
  <c r="BT409" i="9" s="1"/>
  <c r="BU409" i="9" a="1"/>
  <c r="BU409" i="9" s="1"/>
  <c r="CJ375" i="9" a="1"/>
  <c r="CJ375" i="9" s="1"/>
  <c r="BT339" i="9" a="1"/>
  <c r="BT339" i="9" s="1"/>
  <c r="BU339" i="9" a="1"/>
  <c r="BU339" i="9" s="1"/>
  <c r="CL332" i="9"/>
  <c r="CM332" i="9" s="1"/>
  <c r="CF353" i="9" a="1"/>
  <c r="CF353" i="9" s="1"/>
  <c r="CF264" i="9" a="1"/>
  <c r="CF264" i="9" s="1"/>
  <c r="CB264" i="9" a="1"/>
  <c r="CB264" i="9" s="1"/>
  <c r="BU248" i="9" a="1"/>
  <c r="BU248" i="9" s="1"/>
  <c r="BT248" i="9" a="1"/>
  <c r="BT248" i="9" s="1"/>
  <c r="BF243" i="9"/>
  <c r="BG243" i="9" s="1"/>
  <c r="BH243" i="9" s="1" a="1"/>
  <c r="BH243" i="9" s="1"/>
  <c r="BR218" i="9"/>
  <c r="BS218" i="9" s="1"/>
  <c r="CN208" i="9" a="1"/>
  <c r="CN208" i="9" s="1"/>
  <c r="CO208" i="9" a="1"/>
  <c r="CO208" i="9" s="1"/>
  <c r="CH200" i="9"/>
  <c r="CI200" i="9" s="1"/>
  <c r="BN169" i="9"/>
  <c r="BO169" i="9" s="1"/>
  <c r="CN160" i="9" a="1"/>
  <c r="CN160" i="9" s="1"/>
  <c r="CO160" i="9" a="1"/>
  <c r="CO160" i="9" s="1"/>
  <c r="CN705" i="9" a="1"/>
  <c r="CN705" i="9" s="1"/>
  <c r="CD587" i="9"/>
  <c r="CE587" i="9" s="1"/>
  <c r="CF587" i="9" s="1" a="1"/>
  <c r="CF587" i="9" s="1"/>
  <c r="CO442" i="9" a="1"/>
  <c r="CO442" i="9" s="1"/>
  <c r="CN442" i="9" a="1"/>
  <c r="CN442" i="9" s="1"/>
  <c r="BP478" i="9" a="1"/>
  <c r="BP478" i="9" s="1"/>
  <c r="CD436" i="9"/>
  <c r="CE436" i="9" s="1"/>
  <c r="CF436" i="9" s="1" a="1"/>
  <c r="CF436" i="9" s="1"/>
  <c r="CL439" i="9"/>
  <c r="CM439" i="9" s="1"/>
  <c r="CD439" i="9"/>
  <c r="CE439" i="9" s="1"/>
  <c r="BZ439" i="9"/>
  <c r="CA439" i="9" s="1"/>
  <c r="CB439" i="9" s="1" a="1"/>
  <c r="CB439" i="9" s="1"/>
  <c r="CH439" i="9"/>
  <c r="CI439" i="9" s="1"/>
  <c r="CH407" i="9"/>
  <c r="CI407" i="9" s="1"/>
  <c r="CD357" i="9"/>
  <c r="CE357" i="9" s="1"/>
  <c r="CF357" i="9" s="1" a="1"/>
  <c r="CF357" i="9" s="1"/>
  <c r="BL371" i="9" a="1"/>
  <c r="BL371" i="9" s="1"/>
  <c r="BJ345" i="9"/>
  <c r="BK345" i="9" s="1"/>
  <c r="BL345" i="9" s="1" a="1"/>
  <c r="BL345" i="9" s="1"/>
  <c r="BF345" i="9"/>
  <c r="BG345" i="9" s="1"/>
  <c r="BH345" i="9" s="1" a="1"/>
  <c r="BH345" i="9" s="1"/>
  <c r="BT311" i="9" a="1"/>
  <c r="BT311" i="9" s="1"/>
  <c r="BU311" i="9" a="1"/>
  <c r="BU311" i="9" s="1"/>
  <c r="BR252" i="9"/>
  <c r="BS252" i="9" s="1"/>
  <c r="CD253" i="9"/>
  <c r="CE253" i="9" s="1"/>
  <c r="CF253" i="9" s="1" a="1"/>
  <c r="CF253" i="9" s="1"/>
  <c r="BJ253" i="9"/>
  <c r="BK253" i="9" s="1"/>
  <c r="BP253" i="9" s="1" a="1"/>
  <c r="BP253" i="9" s="1"/>
  <c r="BP234" i="9" a="1"/>
  <c r="BP234" i="9" s="1"/>
  <c r="BV234" i="9" s="1"/>
  <c r="Q234" i="9" s="1"/>
  <c r="CD217" i="9"/>
  <c r="CE217" i="9" s="1"/>
  <c r="CF191" i="9" a="1"/>
  <c r="CF191" i="9" s="1"/>
  <c r="BZ200" i="9"/>
  <c r="CA200" i="9" s="1"/>
  <c r="CB200" i="9" s="1" a="1"/>
  <c r="CB200" i="9" s="1"/>
  <c r="BT156" i="9" a="1"/>
  <c r="BT156" i="9" s="1"/>
  <c r="BU156" i="9" a="1"/>
  <c r="BU156" i="9" s="1"/>
  <c r="CJ668" i="9" a="1"/>
  <c r="CJ668" i="9" s="1"/>
  <c r="BL720" i="9" a="1"/>
  <c r="BL720" i="9" s="1"/>
  <c r="CJ641" i="9" a="1"/>
  <c r="CJ641" i="9" s="1"/>
  <c r="CJ543" i="9" a="1"/>
  <c r="CJ543" i="9" s="1"/>
  <c r="CP543" i="9" s="1"/>
  <c r="V543" i="9" s="1"/>
  <c r="BZ524" i="9"/>
  <c r="CA524" i="9" s="1"/>
  <c r="CB524" i="9" s="1" a="1"/>
  <c r="CB524" i="9" s="1"/>
  <c r="BU503" i="9" a="1"/>
  <c r="BU503" i="9" s="1"/>
  <c r="BT503" i="9" a="1"/>
  <c r="BT503" i="9" s="1"/>
  <c r="BR451" i="9"/>
  <c r="BS451" i="9" s="1"/>
  <c r="BJ437" i="9"/>
  <c r="BK437" i="9" s="1"/>
  <c r="BL437" i="9" s="1" a="1"/>
  <c r="BL437" i="9" s="1"/>
  <c r="CO471" i="9" a="1"/>
  <c r="CO471" i="9" s="1"/>
  <c r="CN471" i="9" a="1"/>
  <c r="CN471" i="9" s="1"/>
  <c r="CD427" i="9"/>
  <c r="CE427" i="9" s="1"/>
  <c r="CF427" i="9" s="1" a="1"/>
  <c r="CF427" i="9" s="1"/>
  <c r="CL357" i="9"/>
  <c r="CM357" i="9" s="1"/>
  <c r="BZ419" i="9"/>
  <c r="CA419" i="9" s="1"/>
  <c r="CB419" i="9" s="1" a="1"/>
  <c r="CB419" i="9" s="1"/>
  <c r="CD340" i="9"/>
  <c r="CE340" i="9" s="1"/>
  <c r="CF340" i="9" s="1" a="1"/>
  <c r="CF340" i="9" s="1"/>
  <c r="BN295" i="9"/>
  <c r="BO295" i="9" s="1"/>
  <c r="BP295" i="9" s="1" a="1"/>
  <c r="BP295" i="9" s="1"/>
  <c r="CD252" i="9"/>
  <c r="CE252" i="9" s="1"/>
  <c r="CJ256" i="9" a="1"/>
  <c r="CJ256" i="9" s="1"/>
  <c r="BN224" i="9"/>
  <c r="BO224" i="9" s="1"/>
  <c r="BP224" i="9" s="1" a="1"/>
  <c r="BP224" i="9" s="1"/>
  <c r="CP192" i="9"/>
  <c r="V192" i="9" s="1"/>
  <c r="CH182" i="9"/>
  <c r="CI182" i="9" s="1"/>
  <c r="CJ182" i="9" s="1" a="1"/>
  <c r="CJ182" i="9" s="1"/>
  <c r="BZ715" i="9"/>
  <c r="CA715" i="9" s="1"/>
  <c r="CB715" i="9" s="1" a="1"/>
  <c r="CB715" i="9" s="1"/>
  <c r="CL621" i="9"/>
  <c r="CM621" i="9" s="1"/>
  <c r="CL574" i="9"/>
  <c r="CM574" i="9" s="1"/>
  <c r="CJ530" i="9" a="1"/>
  <c r="CJ530" i="9" s="1"/>
  <c r="CP530" i="9" s="1"/>
  <c r="V530" i="9" s="1"/>
  <c r="CO446" i="9" a="1"/>
  <c r="CO446" i="9" s="1"/>
  <c r="CN446" i="9" a="1"/>
  <c r="CN446" i="9" s="1"/>
  <c r="CF433" i="9" a="1"/>
  <c r="CF433" i="9" s="1"/>
  <c r="CD437" i="9"/>
  <c r="CE437" i="9" s="1"/>
  <c r="CF437" i="9" s="1" a="1"/>
  <c r="CF437" i="9" s="1"/>
  <c r="CD418" i="9"/>
  <c r="CE418" i="9" s="1"/>
  <c r="CO420" i="9" a="1"/>
  <c r="CO420" i="9" s="1"/>
  <c r="CN420" i="9" a="1"/>
  <c r="CN420" i="9" s="1"/>
  <c r="CL427" i="9"/>
  <c r="CM427" i="9" s="1"/>
  <c r="BJ406" i="9"/>
  <c r="BK406" i="9" s="1"/>
  <c r="BL406" i="9" s="1" a="1"/>
  <c r="BL406" i="9" s="1"/>
  <c r="BF406" i="9"/>
  <c r="BG406" i="9" s="1"/>
  <c r="BH406" i="9" s="1" a="1"/>
  <c r="BH406" i="9" s="1"/>
  <c r="BL350" i="9" a="1"/>
  <c r="BL350" i="9" s="1"/>
  <c r="CJ346" i="9" a="1"/>
  <c r="CJ346" i="9" s="1"/>
  <c r="CH330" i="9"/>
  <c r="CI330" i="9" s="1"/>
  <c r="BP312" i="9" a="1"/>
  <c r="BP312" i="9" s="1"/>
  <c r="CJ301" i="9" a="1"/>
  <c r="CJ301" i="9" s="1"/>
  <c r="CN287" i="9" a="1"/>
  <c r="CN287" i="9" s="1"/>
  <c r="CO287" i="9" a="1"/>
  <c r="CO287" i="9" s="1"/>
  <c r="CD190" i="9"/>
  <c r="CE190" i="9" s="1"/>
  <c r="CJ190" i="9" s="1" a="1"/>
  <c r="CJ190" i="9" s="1"/>
  <c r="BZ456" i="9"/>
  <c r="CA456" i="9" s="1"/>
  <c r="CB456" i="9" s="1" a="1"/>
  <c r="CB456" i="9" s="1"/>
  <c r="CJ442" i="9" a="1"/>
  <c r="CJ442" i="9" s="1"/>
  <c r="BP380" i="9" a="1"/>
  <c r="BP380" i="9" s="1"/>
  <c r="BT178" i="9" a="1"/>
  <c r="BT178" i="9" s="1"/>
  <c r="CN325" i="9" a="1"/>
  <c r="CN325" i="9" s="1"/>
  <c r="BP282" i="9" a="1"/>
  <c r="BP282" i="9" s="1"/>
  <c r="BL274" i="9" a="1"/>
  <c r="BL274" i="9" s="1"/>
  <c r="BZ180" i="9"/>
  <c r="CA180" i="9" s="1"/>
  <c r="CB180" i="9" s="1" a="1"/>
  <c r="CB180" i="9" s="1"/>
  <c r="CN135" i="9" a="1"/>
  <c r="CN135" i="9" s="1"/>
  <c r="CO135" i="9" a="1"/>
  <c r="CO135" i="9" s="1"/>
  <c r="CJ460" i="9" a="1"/>
  <c r="CJ460" i="9" s="1"/>
  <c r="BJ384" i="9"/>
  <c r="BK384" i="9" s="1"/>
  <c r="BL384" i="9" s="1" a="1"/>
  <c r="BL384" i="9" s="1"/>
  <c r="CF306" i="9" a="1"/>
  <c r="CF306" i="9" s="1"/>
  <c r="CP306" i="9" s="1"/>
  <c r="V306" i="9" s="1"/>
  <c r="BT276" i="9" a="1"/>
  <c r="BT276" i="9" s="1"/>
  <c r="CN274" i="9" a="1"/>
  <c r="CN274" i="9" s="1"/>
  <c r="CN191" i="9" a="1"/>
  <c r="CN191" i="9" s="1"/>
  <c r="CO191" i="9" a="1"/>
  <c r="CO191" i="9" s="1"/>
  <c r="CN174" i="9" a="1"/>
  <c r="CN174" i="9" s="1"/>
  <c r="CO174" i="9" a="1"/>
  <c r="CO174" i="9" s="1"/>
  <c r="CN159" i="9" a="1"/>
  <c r="CN159" i="9" s="1"/>
  <c r="CO159" i="9" a="1"/>
  <c r="CO159" i="9" s="1"/>
  <c r="BP130" i="9" a="1"/>
  <c r="BP130" i="9" s="1"/>
  <c r="CN438" i="9" a="1"/>
  <c r="CN438" i="9" s="1"/>
  <c r="BL368" i="9" a="1"/>
  <c r="BL368" i="9" s="1"/>
  <c r="BV368" i="9" s="1"/>
  <c r="Q368" i="9" s="1"/>
  <c r="BF457" i="9"/>
  <c r="BG457" i="9" s="1"/>
  <c r="BH457" i="9" s="1" a="1"/>
  <c r="BH457" i="9" s="1"/>
  <c r="CJ420" i="9" a="1"/>
  <c r="CJ420" i="9" s="1"/>
  <c r="CN286" i="9" a="1"/>
  <c r="CN286" i="9" s="1"/>
  <c r="CP286" i="9" s="1"/>
  <c r="V286" i="9" s="1"/>
  <c r="BT164" i="9" a="1"/>
  <c r="BT164" i="9" s="1"/>
  <c r="BU164" i="9" a="1"/>
  <c r="BU164" i="9" s="1"/>
  <c r="BJ386" i="9"/>
  <c r="BK386" i="9" s="1"/>
  <c r="CJ270" i="9" a="1"/>
  <c r="CJ270" i="9" s="1"/>
  <c r="CH171" i="9"/>
  <c r="CI171" i="9" s="1"/>
  <c r="BJ177" i="9"/>
  <c r="BK177" i="9" s="1"/>
  <c r="BL177" i="9" s="1" a="1"/>
  <c r="BL177" i="9" s="1"/>
  <c r="CL177" i="9"/>
  <c r="CM177" i="9" s="1"/>
  <c r="BR177" i="9"/>
  <c r="BS177" i="9" s="1"/>
  <c r="BN136" i="9"/>
  <c r="BO136" i="9" s="1"/>
  <c r="CN411" i="9" a="1"/>
  <c r="CN411" i="9" s="1"/>
  <c r="CP411" i="9" s="1"/>
  <c r="V411" i="9" s="1"/>
  <c r="CF272" i="9" a="1"/>
  <c r="CF272" i="9" s="1"/>
  <c r="BF168" i="9"/>
  <c r="BG168" i="9" s="1"/>
  <c r="BH168" i="9" s="1" a="1"/>
  <c r="BH168" i="9" s="1"/>
  <c r="BR145" i="9"/>
  <c r="BS145" i="9" s="1"/>
  <c r="CN124" i="9" a="1"/>
  <c r="CN124" i="9" s="1"/>
  <c r="CO124" i="9" a="1"/>
  <c r="CO124" i="9" s="1"/>
  <c r="BL139" i="9" a="1"/>
  <c r="BL139" i="9" s="1"/>
  <c r="CH152" i="9"/>
  <c r="CI152" i="9" s="1"/>
  <c r="CJ152" i="9" s="1" a="1"/>
  <c r="CJ152" i="9" s="1"/>
  <c r="BT549" i="9" a="1"/>
  <c r="BT549" i="9" s="1"/>
  <c r="BU549" i="9" a="1"/>
  <c r="BU549" i="9" s="1"/>
  <c r="CJ740" i="9" a="1"/>
  <c r="CJ740" i="9" s="1"/>
  <c r="CO743" i="9" a="1"/>
  <c r="CO743" i="9" s="1"/>
  <c r="CN743" i="9" a="1"/>
  <c r="CN743" i="9" s="1"/>
  <c r="CP743" i="9" s="1"/>
  <c r="V743" i="9" s="1"/>
  <c r="BT623" i="9" a="1"/>
  <c r="BT623" i="9" s="1"/>
  <c r="BU623" i="9" a="1"/>
  <c r="BU623" i="9" s="1"/>
  <c r="BT607" i="9" a="1"/>
  <c r="BT607" i="9" s="1"/>
  <c r="BU607" i="9" a="1"/>
  <c r="BU607" i="9" s="1"/>
  <c r="CN641" i="9" a="1"/>
  <c r="CN641" i="9" s="1"/>
  <c r="CO641" i="9" a="1"/>
  <c r="CO641" i="9" s="1"/>
  <c r="BT490" i="9" a="1"/>
  <c r="BT490" i="9" s="1"/>
  <c r="BU490" i="9" a="1"/>
  <c r="BU490" i="9" s="1"/>
  <c r="BT786" i="9" a="1"/>
  <c r="BT786" i="9" s="1"/>
  <c r="BU786" i="9" a="1"/>
  <c r="BU786" i="9" s="1"/>
  <c r="BF772" i="9"/>
  <c r="BG772" i="9" s="1"/>
  <c r="BH772" i="9" s="1" a="1"/>
  <c r="BH772" i="9" s="1"/>
  <c r="BF681" i="9"/>
  <c r="BG681" i="9" s="1"/>
  <c r="BH681" i="9" s="1" a="1"/>
  <c r="BH681" i="9" s="1"/>
  <c r="BF722" i="9"/>
  <c r="BG722" i="9" s="1"/>
  <c r="BH722" i="9" s="1" a="1"/>
  <c r="BH722" i="9" s="1"/>
  <c r="BJ722" i="9"/>
  <c r="BK722" i="9" s="1"/>
  <c r="BN722" i="9"/>
  <c r="BO722" i="9" s="1"/>
  <c r="BT722" i="9" s="1" a="1"/>
  <c r="BT722" i="9" s="1"/>
  <c r="BR714" i="9"/>
  <c r="BS714" i="9" s="1"/>
  <c r="CN652" i="9" a="1"/>
  <c r="CN652" i="9" s="1"/>
  <c r="CO652" i="9" a="1"/>
  <c r="CO652" i="9" s="1"/>
  <c r="BU693" i="9" a="1"/>
  <c r="BU693" i="9" s="1"/>
  <c r="BT693" i="9" a="1"/>
  <c r="BT693" i="9" s="1"/>
  <c r="CF676" i="9" a="1"/>
  <c r="CF676" i="9" s="1"/>
  <c r="CH616" i="9"/>
  <c r="CI616" i="9" s="1"/>
  <c r="BF634" i="9"/>
  <c r="BG634" i="9" s="1"/>
  <c r="BH634" i="9" s="1" a="1"/>
  <c r="BH634" i="9" s="1"/>
  <c r="BN547" i="9"/>
  <c r="BO547" i="9" s="1"/>
  <c r="BP547" i="9" s="1" a="1"/>
  <c r="BP547" i="9" s="1"/>
  <c r="BT535" i="9" a="1"/>
  <c r="BT535" i="9" s="1"/>
  <c r="BU535" i="9" a="1"/>
  <c r="BU535" i="9" s="1"/>
  <c r="CD537" i="9"/>
  <c r="CE537" i="9" s="1"/>
  <c r="CF537" i="9" s="1" a="1"/>
  <c r="CF537" i="9" s="1"/>
  <c r="CN802" i="9" a="1"/>
  <c r="CN802" i="9" s="1"/>
  <c r="CO802" i="9" a="1"/>
  <c r="CO802" i="9" s="1"/>
  <c r="BU734" i="9" a="1"/>
  <c r="BU734" i="9" s="1"/>
  <c r="BT734" i="9" a="1"/>
  <c r="BT734" i="9" s="1"/>
  <c r="CN694" i="9" a="1"/>
  <c r="CN694" i="9" s="1"/>
  <c r="CO694" i="9" a="1"/>
  <c r="CO694" i="9" s="1"/>
  <c r="BN714" i="9"/>
  <c r="BO714" i="9" s="1"/>
  <c r="BT647" i="9" a="1"/>
  <c r="BT647" i="9" s="1"/>
  <c r="BU647" i="9" a="1"/>
  <c r="BU647" i="9" s="1"/>
  <c r="CH640" i="9"/>
  <c r="CI640" i="9" s="1"/>
  <c r="CJ640" i="9" s="1" a="1"/>
  <c r="CJ640" i="9" s="1"/>
  <c r="BN614" i="9"/>
  <c r="BO614" i="9" s="1"/>
  <c r="BP614" i="9" s="1" a="1"/>
  <c r="BP614" i="9" s="1"/>
  <c r="CH605" i="9"/>
  <c r="CI605" i="9" s="1"/>
  <c r="CJ605" i="9" s="1" a="1"/>
  <c r="CJ605" i="9" s="1"/>
  <c r="BR595" i="9"/>
  <c r="BS595" i="9" s="1"/>
  <c r="BF595" i="9"/>
  <c r="BG595" i="9" s="1"/>
  <c r="BH595" i="9" s="1" a="1"/>
  <c r="BH595" i="9" s="1"/>
  <c r="BJ595" i="9"/>
  <c r="BK595" i="9" s="1"/>
  <c r="CH486" i="9"/>
  <c r="CI486" i="9" s="1"/>
  <c r="CJ1010" i="9" a="1"/>
  <c r="CJ1010" i="9" s="1"/>
  <c r="CP1010" i="9" s="1"/>
  <c r="V1010" i="9" s="1"/>
  <c r="CF705" i="9" a="1"/>
  <c r="CF705" i="9" s="1"/>
  <c r="BR712" i="9"/>
  <c r="BS712" i="9" s="1"/>
  <c r="BT659" i="9" a="1"/>
  <c r="BT659" i="9" s="1"/>
  <c r="BU659" i="9" a="1"/>
  <c r="BU659" i="9" s="1"/>
  <c r="BR700" i="9"/>
  <c r="BS700" i="9" s="1"/>
  <c r="BN634" i="9"/>
  <c r="BO634" i="9" s="1"/>
  <c r="BP634" i="9" s="1" a="1"/>
  <c r="BP634" i="9" s="1"/>
  <c r="CF533" i="9" a="1"/>
  <c r="CF533" i="9" s="1"/>
  <c r="CN533" i="9" a="1"/>
  <c r="CN533" i="9" s="1"/>
  <c r="CO533" i="9" a="1"/>
  <c r="CO533" i="9" s="1"/>
  <c r="BR571" i="9"/>
  <c r="BS571" i="9" s="1"/>
  <c r="BJ571" i="9"/>
  <c r="BK571" i="9" s="1"/>
  <c r="BF571" i="9"/>
  <c r="BG571" i="9" s="1"/>
  <c r="BH571" i="9" s="1" a="1"/>
  <c r="BH571" i="9" s="1"/>
  <c r="CL534" i="9"/>
  <c r="CM534" i="9" s="1"/>
  <c r="CL550" i="9"/>
  <c r="CM550" i="9" s="1"/>
  <c r="BV993" i="9"/>
  <c r="Q993" i="9" s="1"/>
  <c r="AB993" i="9" s="1"/>
  <c r="CF773" i="9" a="1"/>
  <c r="CF773" i="9" s="1"/>
  <c r="CN721" i="9" a="1"/>
  <c r="CN721" i="9" s="1"/>
  <c r="CO721" i="9" a="1"/>
  <c r="CO721" i="9" s="1"/>
  <c r="CD648" i="9"/>
  <c r="CE648" i="9" s="1"/>
  <c r="CN695" i="9" a="1"/>
  <c r="CN695" i="9" s="1"/>
  <c r="CO695" i="9" a="1"/>
  <c r="CO695" i="9" s="1"/>
  <c r="BZ653" i="9"/>
  <c r="CA653" i="9" s="1"/>
  <c r="CB653" i="9" s="1" a="1"/>
  <c r="CB653" i="9" s="1"/>
  <c r="CH629" i="9"/>
  <c r="CI629" i="9" s="1"/>
  <c r="CJ629" i="9" s="1" a="1"/>
  <c r="CJ629" i="9" s="1"/>
  <c r="BH659" i="9" a="1"/>
  <c r="BH659" i="9" s="1"/>
  <c r="CL542" i="9"/>
  <c r="CM542" i="9" s="1"/>
  <c r="CP658" i="9"/>
  <c r="V658" i="9" s="1"/>
  <c r="BP508" i="9" a="1"/>
  <c r="BP508" i="9" s="1"/>
  <c r="BJ534" i="9"/>
  <c r="BK534" i="9" s="1"/>
  <c r="BL534" i="9" s="1" a="1"/>
  <c r="BL534" i="9" s="1"/>
  <c r="BJ553" i="9"/>
  <c r="BK553" i="9" s="1"/>
  <c r="BR553" i="9"/>
  <c r="BS553" i="9" s="1"/>
  <c r="BF553" i="9"/>
  <c r="BG553" i="9" s="1"/>
  <c r="BH553" i="9" s="1" a="1"/>
  <c r="BH553" i="9" s="1"/>
  <c r="BJ464" i="9"/>
  <c r="BK464" i="9" s="1"/>
  <c r="BL464" i="9" s="1" a="1"/>
  <c r="BL464" i="9" s="1"/>
  <c r="BJ681" i="9"/>
  <c r="BK681" i="9" s="1"/>
  <c r="BP681" i="9" s="1" a="1"/>
  <c r="BP681" i="9" s="1"/>
  <c r="CO594" i="9" a="1"/>
  <c r="CO594" i="9" s="1"/>
  <c r="CP594" i="9" s="1"/>
  <c r="V594" i="9" s="1"/>
  <c r="CN594" i="9" a="1"/>
  <c r="CN594" i="9" s="1"/>
  <c r="CD680" i="9"/>
  <c r="CE680" i="9" s="1"/>
  <c r="CF680" i="9" s="1" a="1"/>
  <c r="CF680" i="9" s="1"/>
  <c r="CJ679" i="9" a="1"/>
  <c r="CJ679" i="9" s="1"/>
  <c r="CH723" i="9"/>
  <c r="CI723" i="9" s="1"/>
  <c r="BR640" i="9"/>
  <c r="BS640" i="9" s="1"/>
  <c r="CJ583" i="9" a="1"/>
  <c r="CJ583" i="9" s="1"/>
  <c r="CP583" i="9" s="1"/>
  <c r="V583" i="9" s="1"/>
  <c r="BZ595" i="9"/>
  <c r="CA595" i="9" s="1"/>
  <c r="CB595" i="9" s="1" a="1"/>
  <c r="CB595" i="9" s="1"/>
  <c r="BT543" i="9" a="1"/>
  <c r="BT543" i="9" s="1"/>
  <c r="BU543" i="9" a="1"/>
  <c r="BU543" i="9" s="1"/>
  <c r="BJ627" i="9"/>
  <c r="BK627" i="9" s="1"/>
  <c r="BF627" i="9"/>
  <c r="BG627" i="9" s="1"/>
  <c r="BH627" i="9" s="1" a="1"/>
  <c r="BH627" i="9" s="1"/>
  <c r="BR627" i="9"/>
  <c r="BS627" i="9" s="1"/>
  <c r="CJ611" i="9" a="1"/>
  <c r="CJ611" i="9" s="1"/>
  <c r="CL540" i="9"/>
  <c r="CM540" i="9" s="1"/>
  <c r="CJ493" i="9" a="1"/>
  <c r="CJ493" i="9" s="1"/>
  <c r="CF647" i="9" a="1"/>
  <c r="CF647" i="9" s="1"/>
  <c r="CP647" i="9" s="1"/>
  <c r="V647" i="9" s="1"/>
  <c r="BJ613" i="9"/>
  <c r="BK613" i="9" s="1"/>
  <c r="BL613" i="9" s="1" a="1"/>
  <c r="BL613" i="9" s="1"/>
  <c r="CL451" i="9"/>
  <c r="CM451" i="9" s="1"/>
  <c r="BU340" i="9" a="1"/>
  <c r="BU340" i="9" s="1"/>
  <c r="CO309" i="9" a="1"/>
  <c r="CO309" i="9" s="1"/>
  <c r="CN309" i="9" a="1"/>
  <c r="CN309" i="9" s="1"/>
  <c r="CO204" i="9" a="1"/>
  <c r="CO204" i="9" s="1"/>
  <c r="CN204" i="9" a="1"/>
  <c r="CN204" i="9" s="1"/>
  <c r="CP204" i="9" s="1"/>
  <c r="V204" i="9" s="1"/>
  <c r="CL688" i="9"/>
  <c r="CM688" i="9" s="1"/>
  <c r="CJ588" i="9" a="1"/>
  <c r="CJ588" i="9" s="1"/>
  <c r="CJ483" i="9" a="1"/>
  <c r="CJ483" i="9" s="1"/>
  <c r="CN437" i="9" a="1"/>
  <c r="CN437" i="9" s="1"/>
  <c r="CO437" i="9" a="1"/>
  <c r="CO437" i="9" s="1"/>
  <c r="BV377" i="9"/>
  <c r="Q377" i="9" s="1"/>
  <c r="BF226" i="9"/>
  <c r="BG226" i="9" s="1"/>
  <c r="BH226" i="9" s="1" a="1"/>
  <c r="BH226" i="9" s="1"/>
  <c r="BR226" i="9"/>
  <c r="BS226" i="9" s="1"/>
  <c r="BJ226" i="9"/>
  <c r="BK226" i="9" s="1"/>
  <c r="BP663" i="9" a="1"/>
  <c r="BP663" i="9" s="1"/>
  <c r="BP567" i="9" a="1"/>
  <c r="BP567" i="9" s="1"/>
  <c r="CN522" i="9" a="1"/>
  <c r="CN522" i="9" s="1"/>
  <c r="CL545" i="9"/>
  <c r="CM545" i="9" s="1"/>
  <c r="BU498" i="9" a="1"/>
  <c r="BU498" i="9" s="1"/>
  <c r="BT498" i="9" a="1"/>
  <c r="BT498" i="9" s="1"/>
  <c r="BU454" i="9" a="1"/>
  <c r="BU454" i="9" s="1"/>
  <c r="BT454" i="9" a="1"/>
  <c r="BT454" i="9" s="1"/>
  <c r="CF441" i="9" a="1"/>
  <c r="CF441" i="9" s="1"/>
  <c r="CP441" i="9" s="1"/>
  <c r="V441" i="9" s="1"/>
  <c r="CH426" i="9"/>
  <c r="CI426" i="9" s="1"/>
  <c r="BU367" i="9" a="1"/>
  <c r="BU367" i="9" s="1"/>
  <c r="BT367" i="9" a="1"/>
  <c r="BT367" i="9" s="1"/>
  <c r="BJ416" i="9"/>
  <c r="BK416" i="9" s="1"/>
  <c r="BL416" i="9" s="1" a="1"/>
  <c r="BL416" i="9" s="1"/>
  <c r="BN340" i="9"/>
  <c r="BO340" i="9" s="1"/>
  <c r="BP340" i="9" s="1" a="1"/>
  <c r="BP340" i="9" s="1"/>
  <c r="BZ302" i="9"/>
  <c r="CA302" i="9" s="1"/>
  <c r="CB302" i="9" s="1" a="1"/>
  <c r="CB302" i="9" s="1"/>
  <c r="BR302" i="9"/>
  <c r="BS302" i="9" s="1"/>
  <c r="BJ302" i="9"/>
  <c r="BK302" i="9" s="1"/>
  <c r="CD302" i="9"/>
  <c r="CE302" i="9" s="1"/>
  <c r="BN302" i="9"/>
  <c r="BO302" i="9" s="1"/>
  <c r="CL302" i="9"/>
  <c r="CM302" i="9" s="1"/>
  <c r="BF302" i="9"/>
  <c r="BG302" i="9" s="1"/>
  <c r="BH302" i="9" s="1" a="1"/>
  <c r="BH302" i="9" s="1"/>
  <c r="BU242" i="9" a="1"/>
  <c r="BU242" i="9" s="1"/>
  <c r="BT242" i="9" a="1"/>
  <c r="BT242" i="9" s="1"/>
  <c r="CF196" i="9" a="1"/>
  <c r="CF196" i="9" s="1"/>
  <c r="BT149" i="9" a="1"/>
  <c r="BT149" i="9" s="1"/>
  <c r="BU149" i="9" a="1"/>
  <c r="BU149" i="9" s="1"/>
  <c r="CJ519" i="9" a="1"/>
  <c r="CJ519" i="9" s="1"/>
  <c r="BT478" i="9" a="1"/>
  <c r="BT478" i="9" s="1"/>
  <c r="BU478" i="9" a="1"/>
  <c r="BU478" i="9" s="1"/>
  <c r="CN381" i="9" a="1"/>
  <c r="CN381" i="9" s="1"/>
  <c r="CO381" i="9" a="1"/>
  <c r="CO381" i="9" s="1"/>
  <c r="CH359" i="9"/>
  <c r="CI359" i="9" s="1"/>
  <c r="CN351" i="9" a="1"/>
  <c r="CN351" i="9" s="1"/>
  <c r="CO351" i="9" a="1"/>
  <c r="CO351" i="9" s="1"/>
  <c r="CH347" i="9"/>
  <c r="CI347" i="9" s="1"/>
  <c r="CJ347" i="9" s="1" a="1"/>
  <c r="CJ347" i="9" s="1"/>
  <c r="CN308" i="9" a="1"/>
  <c r="CN308" i="9" s="1"/>
  <c r="CO308" i="9" a="1"/>
  <c r="CO308" i="9" s="1"/>
  <c r="BF280" i="9"/>
  <c r="BG280" i="9" s="1"/>
  <c r="BH280" i="9" s="1" a="1"/>
  <c r="BH280" i="9" s="1"/>
  <c r="BF288" i="9"/>
  <c r="BG288" i="9" s="1"/>
  <c r="BH288" i="9" s="1" a="1"/>
  <c r="BH288" i="9" s="1"/>
  <c r="BJ288" i="9"/>
  <c r="BK288" i="9" s="1"/>
  <c r="BN288" i="9"/>
  <c r="BO288" i="9" s="1"/>
  <c r="BZ260" i="9"/>
  <c r="CA260" i="9" s="1"/>
  <c r="CB260" i="9" s="1" a="1"/>
  <c r="CB260" i="9" s="1"/>
  <c r="CN249" i="9" a="1"/>
  <c r="CN249" i="9" s="1"/>
  <c r="CO249" i="9" a="1"/>
  <c r="CO249" i="9" s="1"/>
  <c r="BT194" i="9" a="1"/>
  <c r="BT194" i="9" s="1"/>
  <c r="BU194" i="9" a="1"/>
  <c r="BU194" i="9" s="1"/>
  <c r="CN149" i="9" a="1"/>
  <c r="CN149" i="9" s="1"/>
  <c r="CO149" i="9" a="1"/>
  <c r="CO149" i="9" s="1"/>
  <c r="BP615" i="9" a="1"/>
  <c r="BP615" i="9" s="1"/>
  <c r="BP552" i="9" a="1"/>
  <c r="BP552" i="9" s="1"/>
  <c r="BV552" i="9" s="1"/>
  <c r="Q552" i="9" s="1"/>
  <c r="BT481" i="9" a="1"/>
  <c r="BT481" i="9" s="1"/>
  <c r="CN415" i="9" a="1"/>
  <c r="CN415" i="9" s="1"/>
  <c r="CO415" i="9" a="1"/>
  <c r="CO415" i="9" s="1"/>
  <c r="BR429" i="9"/>
  <c r="BS429" i="9" s="1"/>
  <c r="BN357" i="9"/>
  <c r="BO357" i="9" s="1"/>
  <c r="BP357" i="9" s="1" a="1"/>
  <c r="BP357" i="9" s="1"/>
  <c r="BR416" i="9"/>
  <c r="BS416" i="9" s="1"/>
  <c r="BT371" i="9" a="1"/>
  <c r="BT371" i="9" s="1"/>
  <c r="BU371" i="9" a="1"/>
  <c r="BU371" i="9" s="1"/>
  <c r="BN332" i="9"/>
  <c r="BO332" i="9" s="1"/>
  <c r="BR324" i="9"/>
  <c r="BS324" i="9" s="1"/>
  <c r="CN311" i="9" a="1"/>
  <c r="CN311" i="9" s="1"/>
  <c r="CO311" i="9" a="1"/>
  <c r="CO311" i="9" s="1"/>
  <c r="BT317" i="9" a="1"/>
  <c r="BT317" i="9" s="1"/>
  <c r="BU317" i="9" a="1"/>
  <c r="BU317" i="9" s="1"/>
  <c r="BP301" i="9" a="1"/>
  <c r="BP301" i="9" s="1"/>
  <c r="BV301" i="9" s="1"/>
  <c r="Q301" i="9" s="1"/>
  <c r="CH265" i="9"/>
  <c r="CI265" i="9" s="1"/>
  <c r="CJ265" i="9" s="1" a="1"/>
  <c r="CJ265" i="9" s="1"/>
  <c r="CN244" i="9" a="1"/>
  <c r="CN244" i="9" s="1"/>
  <c r="CO244" i="9" a="1"/>
  <c r="CO244" i="9" s="1"/>
  <c r="BZ243" i="9"/>
  <c r="CA243" i="9" s="1"/>
  <c r="CB243" i="9" s="1" a="1"/>
  <c r="CB243" i="9" s="1"/>
  <c r="BF227" i="9"/>
  <c r="BG227" i="9" s="1"/>
  <c r="BH227" i="9" s="1" a="1"/>
  <c r="BH227" i="9" s="1"/>
  <c r="BT204" i="9" a="1"/>
  <c r="BT204" i="9" s="1"/>
  <c r="BU204" i="9" a="1"/>
  <c r="BU204" i="9" s="1"/>
  <c r="BF169" i="9"/>
  <c r="BG169" i="9" s="1"/>
  <c r="BH169" i="9" s="1" a="1"/>
  <c r="BH169" i="9" s="1"/>
  <c r="BN155" i="9"/>
  <c r="BO155" i="9" s="1"/>
  <c r="BP155" i="9" s="1" a="1"/>
  <c r="BP155" i="9" s="1"/>
  <c r="BZ706" i="9"/>
  <c r="CA706" i="9" s="1"/>
  <c r="CB706" i="9" s="1" a="1"/>
  <c r="CB706" i="9" s="1"/>
  <c r="BZ648" i="9"/>
  <c r="CA648" i="9" s="1"/>
  <c r="CB648" i="9" s="1" a="1"/>
  <c r="CB648" i="9" s="1"/>
  <c r="BR675" i="9"/>
  <c r="BS675" i="9" s="1"/>
  <c r="CL499" i="9"/>
  <c r="CM499" i="9" s="1"/>
  <c r="BZ499" i="9"/>
  <c r="CA499" i="9" s="1"/>
  <c r="CB499" i="9" s="1" a="1"/>
  <c r="CB499" i="9" s="1"/>
  <c r="BJ483" i="9"/>
  <c r="BK483" i="9" s="1"/>
  <c r="BZ467" i="9"/>
  <c r="CA467" i="9" s="1"/>
  <c r="CB467" i="9" s="1" a="1"/>
  <c r="CB467" i="9" s="1"/>
  <c r="BR483" i="9"/>
  <c r="BS483" i="9" s="1"/>
  <c r="BZ465" i="9"/>
  <c r="CA465" i="9" s="1"/>
  <c r="CB465" i="9" s="1" a="1"/>
  <c r="CB465" i="9" s="1"/>
  <c r="BT369" i="9" a="1"/>
  <c r="BT369" i="9" s="1"/>
  <c r="BU369" i="9" a="1"/>
  <c r="BU369" i="9" s="1"/>
  <c r="BT346" i="9" a="1"/>
  <c r="BT346" i="9" s="1"/>
  <c r="BU346" i="9" a="1"/>
  <c r="BU346" i="9" s="1"/>
  <c r="BT319" i="9" a="1"/>
  <c r="BT319" i="9" s="1"/>
  <c r="BU319" i="9" a="1"/>
  <c r="BU319" i="9" s="1"/>
  <c r="CL294" i="9"/>
  <c r="CM294" i="9" s="1"/>
  <c r="BJ294" i="9"/>
  <c r="BK294" i="9" s="1"/>
  <c r="BF294" i="9"/>
  <c r="BG294" i="9" s="1"/>
  <c r="BH294" i="9" s="1" a="1"/>
  <c r="BH294" i="9" s="1"/>
  <c r="BN294" i="9"/>
  <c r="BO294" i="9" s="1"/>
  <c r="BP294" i="9" s="1" a="1"/>
  <c r="BP294" i="9" s="1"/>
  <c r="BR294" i="9"/>
  <c r="BS294" i="9" s="1"/>
  <c r="BN265" i="9"/>
  <c r="BO265" i="9" s="1"/>
  <c r="CJ263" i="9" a="1"/>
  <c r="CJ263" i="9" s="1"/>
  <c r="CH243" i="9"/>
  <c r="CI243" i="9" s="1"/>
  <c r="CJ243" i="9" s="1" a="1"/>
  <c r="CJ243" i="9" s="1"/>
  <c r="BJ227" i="9"/>
  <c r="BK227" i="9" s="1"/>
  <c r="BP219" i="9" a="1"/>
  <c r="BP219" i="9" s="1"/>
  <c r="BV219" i="9" s="1"/>
  <c r="Q219" i="9" s="1"/>
  <c r="CF148" i="9" a="1"/>
  <c r="CF148" i="9" s="1"/>
  <c r="BP639" i="9" a="1"/>
  <c r="BP639" i="9" s="1"/>
  <c r="CL524" i="9"/>
  <c r="CM524" i="9" s="1"/>
  <c r="BN451" i="9"/>
  <c r="BO451" i="9" s="1"/>
  <c r="BP451" i="9" s="1" a="1"/>
  <c r="BP451" i="9" s="1"/>
  <c r="BP417" i="9" a="1"/>
  <c r="BP417" i="9" s="1"/>
  <c r="BV417" i="9" s="1"/>
  <c r="Q417" i="9" s="1"/>
  <c r="CD426" i="9"/>
  <c r="CE426" i="9" s="1"/>
  <c r="CF426" i="9" s="1" a="1"/>
  <c r="CF426" i="9" s="1"/>
  <c r="BP319" i="9" a="1"/>
  <c r="BP319" i="9" s="1"/>
  <c r="BU352" i="9" a="1"/>
  <c r="BU352" i="9" s="1"/>
  <c r="BT352" i="9" a="1"/>
  <c r="BT352" i="9" s="1"/>
  <c r="BZ364" i="9"/>
  <c r="CA364" i="9" s="1"/>
  <c r="CB364" i="9" s="1" a="1"/>
  <c r="CB364" i="9" s="1"/>
  <c r="BP297" i="9" a="1"/>
  <c r="BP297" i="9" s="1"/>
  <c r="CH304" i="9"/>
  <c r="CI304" i="9" s="1"/>
  <c r="CJ304" i="9" s="1" a="1"/>
  <c r="CJ304" i="9" s="1"/>
  <c r="BT271" i="9" a="1"/>
  <c r="BT271" i="9" s="1"/>
  <c r="BU271" i="9" a="1"/>
  <c r="BU271" i="9" s="1"/>
  <c r="CD268" i="9"/>
  <c r="CE268" i="9" s="1"/>
  <c r="CL268" i="9"/>
  <c r="CM268" i="9" s="1"/>
  <c r="BN268" i="9"/>
  <c r="BO268" i="9" s="1"/>
  <c r="BZ268" i="9"/>
  <c r="CA268" i="9" s="1"/>
  <c r="CB268" i="9" s="1" a="1"/>
  <c r="CB268" i="9" s="1"/>
  <c r="BF268" i="9"/>
  <c r="BG268" i="9" s="1"/>
  <c r="BH268" i="9" s="1" a="1"/>
  <c r="BH268" i="9" s="1"/>
  <c r="BJ268" i="9"/>
  <c r="BK268" i="9" s="1"/>
  <c r="BL268" i="9" s="1" a="1"/>
  <c r="BL268" i="9" s="1"/>
  <c r="CD216" i="9"/>
  <c r="CE216" i="9" s="1"/>
  <c r="CF216" i="9" s="1" a="1"/>
  <c r="CF216" i="9" s="1"/>
  <c r="CN199" i="9" a="1"/>
  <c r="CN199" i="9" s="1"/>
  <c r="CO199" i="9" a="1"/>
  <c r="CO199" i="9" s="1"/>
  <c r="BN180" i="9"/>
  <c r="BO180" i="9" s="1"/>
  <c r="BP180" i="9" s="1" a="1"/>
  <c r="BP180" i="9" s="1"/>
  <c r="CF671" i="9" a="1"/>
  <c r="CF671" i="9" s="1"/>
  <c r="BP671" i="9" a="1"/>
  <c r="BP671" i="9" s="1"/>
  <c r="CN569" i="9" a="1"/>
  <c r="CN569" i="9" s="1"/>
  <c r="CP569" i="9" s="1"/>
  <c r="V569" i="9" s="1"/>
  <c r="BZ603" i="9"/>
  <c r="CA603" i="9" s="1"/>
  <c r="CB603" i="9" s="1" a="1"/>
  <c r="CB603" i="9" s="1"/>
  <c r="CF522" i="9" a="1"/>
  <c r="CF522" i="9" s="1"/>
  <c r="CP522" i="9" s="1"/>
  <c r="V522" i="9" s="1"/>
  <c r="AB522" i="9" s="1"/>
  <c r="BP496" i="9" a="1"/>
  <c r="BP496" i="9" s="1"/>
  <c r="CN475" i="9" a="1"/>
  <c r="CN475" i="9" s="1"/>
  <c r="CO475" i="9" a="1"/>
  <c r="CO475" i="9" s="1"/>
  <c r="CJ415" i="9" a="1"/>
  <c r="CJ415" i="9" s="1"/>
  <c r="BR426" i="9"/>
  <c r="BS426" i="9" s="1"/>
  <c r="BJ391" i="9"/>
  <c r="BK391" i="9" s="1"/>
  <c r="CF398" i="9" a="1"/>
  <c r="CF398" i="9" s="1"/>
  <c r="CH392" i="9"/>
  <c r="CI392" i="9" s="1"/>
  <c r="CJ392" i="9" s="1" a="1"/>
  <c r="CJ392" i="9" s="1"/>
  <c r="CH373" i="9"/>
  <c r="CI373" i="9" s="1"/>
  <c r="CJ373" i="9" s="1" a="1"/>
  <c r="CJ373" i="9" s="1"/>
  <c r="BR364" i="9"/>
  <c r="BS364" i="9" s="1"/>
  <c r="CF351" i="9" a="1"/>
  <c r="CF351" i="9" s="1"/>
  <c r="BN345" i="9"/>
  <c r="BO345" i="9" s="1"/>
  <c r="CO322" i="9" a="1"/>
  <c r="CO322" i="9" s="1"/>
  <c r="CN322" i="9" a="1"/>
  <c r="CN322" i="9" s="1"/>
  <c r="BR260" i="9"/>
  <c r="BS260" i="9" s="1"/>
  <c r="CL263" i="9"/>
  <c r="CM263" i="9" s="1"/>
  <c r="CL243" i="9"/>
  <c r="CM243" i="9" s="1"/>
  <c r="BZ190" i="9"/>
  <c r="CA190" i="9" s="1"/>
  <c r="CB190" i="9" s="1" a="1"/>
  <c r="CB190" i="9" s="1"/>
  <c r="BT189" i="9" a="1"/>
  <c r="BT189" i="9" s="1"/>
  <c r="BU189" i="9" a="1"/>
  <c r="BU189" i="9" s="1"/>
  <c r="BV172" i="9"/>
  <c r="Q172" i="9" s="1"/>
  <c r="CF413" i="9" a="1"/>
  <c r="CF413" i="9" s="1"/>
  <c r="BP409" i="9" a="1"/>
  <c r="BP409" i="9" s="1"/>
  <c r="BP290" i="9" a="1"/>
  <c r="BP290" i="9" s="1"/>
  <c r="BV290" i="9" s="1"/>
  <c r="Q290" i="9" s="1"/>
  <c r="BR268" i="9"/>
  <c r="BS268" i="9" s="1"/>
  <c r="BJ217" i="9"/>
  <c r="BK217" i="9" s="1"/>
  <c r="BN427" i="9"/>
  <c r="BO427" i="9" s="1"/>
  <c r="BL256" i="9" a="1"/>
  <c r="BL256" i="9" s="1"/>
  <c r="BR205" i="9"/>
  <c r="BS205" i="9" s="1"/>
  <c r="BP428" i="9" a="1"/>
  <c r="BP428" i="9" s="1"/>
  <c r="BP334" i="9" a="1"/>
  <c r="BP334" i="9" s="1"/>
  <c r="BV334" i="9" s="1"/>
  <c r="Q334" i="9" s="1"/>
  <c r="BZ288" i="9"/>
  <c r="CA288" i="9" s="1"/>
  <c r="CB288" i="9" s="1" a="1"/>
  <c r="CB288" i="9" s="1"/>
  <c r="CL235" i="9"/>
  <c r="CM235" i="9" s="1"/>
  <c r="BJ332" i="9"/>
  <c r="BK332" i="9" s="1"/>
  <c r="BT286" i="9" a="1"/>
  <c r="BT286" i="9" s="1"/>
  <c r="BV286" i="9" s="1"/>
  <c r="Q286" i="9" s="1"/>
  <c r="AB286" i="9" s="1"/>
  <c r="CJ185" i="9" a="1"/>
  <c r="CJ185" i="9" s="1"/>
  <c r="CP185" i="9" s="1"/>
  <c r="V185" i="9" s="1"/>
  <c r="CN151" i="9" a="1"/>
  <c r="CN151" i="9" s="1"/>
  <c r="CO151" i="9" a="1"/>
  <c r="CO151" i="9" s="1"/>
  <c r="BT131" i="9" a="1"/>
  <c r="BT131" i="9" s="1"/>
  <c r="BU131" i="9" a="1"/>
  <c r="BU131" i="9" s="1"/>
  <c r="BT126" i="9" a="1"/>
  <c r="BT126" i="9" s="1"/>
  <c r="BU126" i="9" a="1"/>
  <c r="BU126" i="9" s="1"/>
  <c r="CN422" i="9" a="1"/>
  <c r="CN422" i="9" s="1"/>
  <c r="CP422" i="9" s="1"/>
  <c r="V422" i="9" s="1"/>
  <c r="CN402" i="9" a="1"/>
  <c r="CN402" i="9" s="1"/>
  <c r="CP402" i="9" s="1"/>
  <c r="V402" i="9" s="1"/>
  <c r="CF344" i="9" a="1"/>
  <c r="CF344" i="9" s="1"/>
  <c r="BP231" i="9" a="1"/>
  <c r="BP231" i="9" s="1"/>
  <c r="BR175" i="9"/>
  <c r="BS175" i="9" s="1"/>
  <c r="BL309" i="9" a="1"/>
  <c r="BL309" i="9" s="1"/>
  <c r="BZ265" i="9"/>
  <c r="CA265" i="9" s="1"/>
  <c r="CB265" i="9" s="1" a="1"/>
  <c r="CB265" i="9" s="1"/>
  <c r="BR179" i="9"/>
  <c r="BS179" i="9" s="1"/>
  <c r="CN164" i="9" a="1"/>
  <c r="CN164" i="9" s="1"/>
  <c r="CO164" i="9" a="1"/>
  <c r="CO164" i="9" s="1"/>
  <c r="CJ160" i="9" a="1"/>
  <c r="CJ160" i="9" s="1"/>
  <c r="CP160" i="9" s="1"/>
  <c r="V160" i="9" s="1"/>
  <c r="CJ455" i="9" a="1"/>
  <c r="CJ455" i="9" s="1"/>
  <c r="BP323" i="9" a="1"/>
  <c r="BP323" i="9" s="1"/>
  <c r="BJ280" i="9"/>
  <c r="BK280" i="9" s="1"/>
  <c r="BL280" i="9" s="1" a="1"/>
  <c r="BL280" i="9" s="1"/>
  <c r="BP262" i="9" a="1"/>
  <c r="BP262" i="9" s="1"/>
  <c r="BL199" i="9" a="1"/>
  <c r="BL199" i="9" s="1"/>
  <c r="CL136" i="9"/>
  <c r="CM136" i="9" s="1"/>
  <c r="BU139" i="9" a="1"/>
  <c r="BU139" i="9" s="1"/>
  <c r="BT139" i="9" a="1"/>
  <c r="BT139" i="9" s="1"/>
  <c r="BL123" i="9" a="1"/>
  <c r="BL123" i="9" s="1"/>
  <c r="BR373" i="9"/>
  <c r="BS373" i="9" s="1"/>
  <c r="CN312" i="9" a="1"/>
  <c r="CN312" i="9" s="1"/>
  <c r="CN212" i="9" a="1"/>
  <c r="CN212" i="9" s="1"/>
  <c r="BJ182" i="9"/>
  <c r="BK182" i="9" s="1"/>
  <c r="BL182" i="9" s="1" a="1"/>
  <c r="BL182" i="9" s="1"/>
  <c r="CN148" i="9" a="1"/>
  <c r="CN148" i="9" s="1"/>
  <c r="CO148" i="9" a="1"/>
  <c r="CO148" i="9" s="1"/>
  <c r="BR161" i="9"/>
  <c r="BS161" i="9" s="1"/>
  <c r="CF138" i="9" a="1"/>
  <c r="CF138" i="9" s="1"/>
  <c r="BL866" i="9" a="1"/>
  <c r="BL866" i="9" s="1"/>
  <c r="CN846" i="9" a="1"/>
  <c r="CN846" i="9" s="1"/>
  <c r="CO846" i="9" a="1"/>
  <c r="CO846" i="9" s="1"/>
  <c r="BT840" i="9" a="1"/>
  <c r="BT840" i="9" s="1"/>
  <c r="BU840" i="9" a="1"/>
  <c r="BU840" i="9" s="1"/>
  <c r="BT812" i="9" a="1"/>
  <c r="BT812" i="9" s="1"/>
  <c r="BU812" i="9" a="1"/>
  <c r="BU812" i="9" s="1"/>
  <c r="BV838" i="9"/>
  <c r="Q838" i="9" s="1"/>
  <c r="AB838" i="9" s="1"/>
  <c r="BZ851" i="9"/>
  <c r="CA851" i="9" s="1"/>
  <c r="CB851" i="9" s="1" a="1"/>
  <c r="CB851" i="9" s="1"/>
  <c r="BT810" i="9" a="1"/>
  <c r="BT810" i="9" s="1"/>
  <c r="BU810" i="9" a="1"/>
  <c r="BU810" i="9" s="1"/>
  <c r="BU671" i="9" a="1"/>
  <c r="BU671" i="9" s="1"/>
  <c r="BT671" i="9" a="1"/>
  <c r="BT671" i="9" s="1"/>
  <c r="BU689" i="9" a="1"/>
  <c r="BU689" i="9" s="1"/>
  <c r="BT689" i="9" a="1"/>
  <c r="BT689" i="9" s="1"/>
  <c r="CN549" i="9" a="1"/>
  <c r="CN549" i="9" s="1"/>
  <c r="CO549" i="9" a="1"/>
  <c r="CO549" i="9" s="1"/>
  <c r="BV488" i="9"/>
  <c r="Q488" i="9" s="1"/>
  <c r="CD828" i="9"/>
  <c r="CE828" i="9" s="1"/>
  <c r="CF828" i="9" s="1" a="1"/>
  <c r="CF828" i="9" s="1"/>
  <c r="BP781" i="9" a="1"/>
  <c r="BP781" i="9" s="1"/>
  <c r="CL723" i="9"/>
  <c r="CM723" i="9" s="1"/>
  <c r="BJ675" i="9"/>
  <c r="BK675" i="9" s="1"/>
  <c r="BL675" i="9" s="1" a="1"/>
  <c r="BL675" i="9" s="1"/>
  <c r="CO623" i="9" a="1"/>
  <c r="CO623" i="9" s="1"/>
  <c r="CN623" i="9" a="1"/>
  <c r="CN623" i="9" s="1"/>
  <c r="BV607" i="9"/>
  <c r="Q607" i="9" s="1"/>
  <c r="CO676" i="9" a="1"/>
  <c r="CO676" i="9" s="1"/>
  <c r="CN676" i="9" a="1"/>
  <c r="CN676" i="9" s="1"/>
  <c r="CL547" i="9"/>
  <c r="CM547" i="9" s="1"/>
  <c r="BT458" i="9" a="1"/>
  <c r="BT458" i="9" s="1"/>
  <c r="BP458" i="9" a="1"/>
  <c r="BP458" i="9" s="1"/>
  <c r="CF792" i="9" a="1"/>
  <c r="CF792" i="9" s="1"/>
  <c r="CJ652" i="9" a="1"/>
  <c r="CJ652" i="9" s="1"/>
  <c r="CP652" i="9" s="1"/>
  <c r="V652" i="9" s="1"/>
  <c r="BT660" i="9" a="1"/>
  <c r="BT660" i="9" s="1"/>
  <c r="BU660" i="9" a="1"/>
  <c r="BU660" i="9" s="1"/>
  <c r="CP588" i="9"/>
  <c r="V588" i="9" s="1"/>
  <c r="AB588" i="9" s="1"/>
  <c r="BZ608" i="9"/>
  <c r="CA608" i="9" s="1"/>
  <c r="CB608" i="9" s="1" a="1"/>
  <c r="CB608" i="9" s="1"/>
  <c r="CD608" i="9"/>
  <c r="CE608" i="9" s="1"/>
  <c r="CH547" i="9"/>
  <c r="CI547" i="9" s="1"/>
  <c r="CD931" i="9"/>
  <c r="CE931" i="9" s="1"/>
  <c r="CF931" i="9" s="1" a="1"/>
  <c r="CF931" i="9" s="1"/>
  <c r="CN786" i="9" a="1"/>
  <c r="CN786" i="9" s="1"/>
  <c r="CO786" i="9" a="1"/>
  <c r="CO786" i="9" s="1"/>
  <c r="CN717" i="9" a="1"/>
  <c r="CN717" i="9" s="1"/>
  <c r="CO717" i="9" a="1"/>
  <c r="CO717" i="9" s="1"/>
  <c r="CJ757" i="9" a="1"/>
  <c r="CJ757" i="9" s="1"/>
  <c r="BR698" i="9"/>
  <c r="BS698" i="9" s="1"/>
  <c r="BF614" i="9"/>
  <c r="BG614" i="9" s="1"/>
  <c r="BH614" i="9" s="1" a="1"/>
  <c r="BH614" i="9" s="1"/>
  <c r="BZ529" i="9"/>
  <c r="CA529" i="9" s="1"/>
  <c r="CB529" i="9" s="1" a="1"/>
  <c r="CB529" i="9" s="1"/>
  <c r="CN531" i="9" a="1"/>
  <c r="CN531" i="9" s="1"/>
  <c r="CO531" i="9" a="1"/>
  <c r="CO531" i="9" s="1"/>
  <c r="CP501" i="9"/>
  <c r="V501" i="9" s="1"/>
  <c r="CO495" i="9" a="1"/>
  <c r="CO495" i="9" s="1"/>
  <c r="CN495" i="9" a="1"/>
  <c r="CN495" i="9" s="1"/>
  <c r="CJ719" i="9" a="1"/>
  <c r="CJ719" i="9" s="1"/>
  <c r="CJ692" i="9" a="1"/>
  <c r="CJ692" i="9" s="1"/>
  <c r="BN653" i="9"/>
  <c r="BO653" i="9" s="1"/>
  <c r="BP653" i="9" s="1" a="1"/>
  <c r="BP653" i="9" s="1"/>
  <c r="BR597" i="9"/>
  <c r="BS597" i="9" s="1"/>
  <c r="CJ551" i="9" a="1"/>
  <c r="CJ551" i="9" s="1"/>
  <c r="CH518" i="9"/>
  <c r="CI518" i="9" s="1"/>
  <c r="CJ518" i="9" s="1" a="1"/>
  <c r="CJ518" i="9" s="1"/>
  <c r="CJ541" i="9" a="1"/>
  <c r="CJ541" i="9" s="1"/>
  <c r="CP541" i="9" s="1"/>
  <c r="V541" i="9" s="1"/>
  <c r="CJ539" i="9" a="1"/>
  <c r="CJ539" i="9" s="1"/>
  <c r="BL695" i="9" a="1"/>
  <c r="BL695" i="9" s="1"/>
  <c r="BU683" i="9" a="1"/>
  <c r="BU683" i="9" s="1"/>
  <c r="BT683" i="9" a="1"/>
  <c r="BT683" i="9" s="1"/>
  <c r="CN668" i="9" a="1"/>
  <c r="CN668" i="9" s="1"/>
  <c r="CO668" i="9" a="1"/>
  <c r="CO668" i="9" s="1"/>
  <c r="BZ700" i="9"/>
  <c r="CA700" i="9" s="1"/>
  <c r="CB700" i="9" s="1" a="1"/>
  <c r="CB700" i="9" s="1"/>
  <c r="CN551" i="9" a="1"/>
  <c r="CN551" i="9" s="1"/>
  <c r="CO551" i="9" a="1"/>
  <c r="CO551" i="9" s="1"/>
  <c r="BZ561" i="9"/>
  <c r="CA561" i="9" s="1"/>
  <c r="CB561" i="9" s="1" a="1"/>
  <c r="CB561" i="9" s="1"/>
  <c r="CL561" i="9"/>
  <c r="CM561" i="9" s="1"/>
  <c r="BF561" i="9"/>
  <c r="BG561" i="9" s="1"/>
  <c r="BH561" i="9" s="1" a="1"/>
  <c r="BH561" i="9" s="1"/>
  <c r="BN561" i="9"/>
  <c r="BO561" i="9" s="1"/>
  <c r="BP561" i="9" s="1" a="1"/>
  <c r="BP561" i="9" s="1"/>
  <c r="BN526" i="9"/>
  <c r="BO526" i="9" s="1"/>
  <c r="BP526" i="9" s="1" a="1"/>
  <c r="BP526" i="9" s="1"/>
  <c r="CP487" i="9"/>
  <c r="V487" i="9" s="1"/>
  <c r="CF970" i="9" a="1"/>
  <c r="CF970" i="9" s="1"/>
  <c r="CO708" i="9" a="1"/>
  <c r="CO708" i="9" s="1"/>
  <c r="CN708" i="9" a="1"/>
  <c r="CN708" i="9" s="1"/>
  <c r="BJ712" i="9"/>
  <c r="BK712" i="9" s="1"/>
  <c r="BL712" i="9" s="1" a="1"/>
  <c r="BL712" i="9" s="1"/>
  <c r="BR645" i="9"/>
  <c r="BS645" i="9" s="1"/>
  <c r="CL640" i="9"/>
  <c r="CM640" i="9" s="1"/>
  <c r="BR622" i="9"/>
  <c r="BS622" i="9" s="1"/>
  <c r="CP659" i="9"/>
  <c r="V659" i="9" s="1"/>
  <c r="BZ629" i="9"/>
  <c r="CA629" i="9" s="1"/>
  <c r="CB629" i="9" s="1" a="1"/>
  <c r="CB629" i="9" s="1"/>
  <c r="BJ563" i="9"/>
  <c r="BK563" i="9" s="1"/>
  <c r="BL563" i="9" s="1" a="1"/>
  <c r="BL563" i="9" s="1"/>
  <c r="BR526" i="9"/>
  <c r="BS526" i="9" s="1"/>
  <c r="CN505" i="9" a="1"/>
  <c r="CN505" i="9" s="1"/>
  <c r="CO505" i="9" a="1"/>
  <c r="CO505" i="9" s="1"/>
  <c r="BT525" i="9" a="1"/>
  <c r="BT525" i="9" s="1"/>
  <c r="BU525" i="9" a="1"/>
  <c r="BU525" i="9" s="1"/>
  <c r="BJ737" i="9"/>
  <c r="BK737" i="9" s="1"/>
  <c r="BL737" i="9" s="1" a="1"/>
  <c r="BL737" i="9" s="1"/>
  <c r="BL704" i="9" a="1"/>
  <c r="BL704" i="9" s="1"/>
  <c r="BF674" i="9"/>
  <c r="BG674" i="9" s="1"/>
  <c r="BH674" i="9" s="1" a="1"/>
  <c r="BH674" i="9" s="1"/>
  <c r="BU667" i="9" a="1"/>
  <c r="BU667" i="9" s="1"/>
  <c r="BT667" i="9" a="1"/>
  <c r="BT667" i="9" s="1"/>
  <c r="BU677" i="9" a="1"/>
  <c r="BU677" i="9" s="1"/>
  <c r="BT677" i="9" a="1"/>
  <c r="BT677" i="9" s="1"/>
  <c r="BN698" i="9"/>
  <c r="BO698" i="9" s="1"/>
  <c r="BP698" i="9" s="1" a="1"/>
  <c r="BP698" i="9" s="1"/>
  <c r="BT599" i="9" a="1"/>
  <c r="BT599" i="9" s="1"/>
  <c r="BU599" i="9" a="1"/>
  <c r="BU599" i="9" s="1"/>
  <c r="BT602" i="9" a="1"/>
  <c r="BT602" i="9" s="1"/>
  <c r="BU602" i="9" a="1"/>
  <c r="BU602" i="9" s="1"/>
  <c r="CF607" i="9" a="1"/>
  <c r="CF607" i="9" s="1"/>
  <c r="BT513" i="9" a="1"/>
  <c r="BT513" i="9" s="1"/>
  <c r="BU513" i="9" a="1"/>
  <c r="BU513" i="9" s="1"/>
  <c r="BN598" i="9"/>
  <c r="BO598" i="9" s="1"/>
  <c r="BP598" i="9" s="1" a="1"/>
  <c r="BP598" i="9" s="1"/>
  <c r="CL563" i="9"/>
  <c r="CM563" i="9" s="1"/>
  <c r="BN540" i="9"/>
  <c r="BO540" i="9" s="1"/>
  <c r="BP540" i="9" s="1" a="1"/>
  <c r="BP540" i="9" s="1"/>
  <c r="BR486" i="9"/>
  <c r="BS486" i="9" s="1"/>
  <c r="BR493" i="9"/>
  <c r="BS493" i="9" s="1"/>
  <c r="BF493" i="9"/>
  <c r="BG493" i="9" s="1"/>
  <c r="BH493" i="9" s="1" a="1"/>
  <c r="BH493" i="9" s="1"/>
  <c r="BJ493" i="9"/>
  <c r="BK493" i="9" s="1"/>
  <c r="BP493" i="9" s="1" a="1"/>
  <c r="BP493" i="9" s="1"/>
  <c r="BZ493" i="9"/>
  <c r="CA493" i="9" s="1"/>
  <c r="CB493" i="9" s="1" a="1"/>
  <c r="CB493" i="9" s="1"/>
  <c r="CN726" i="9" a="1"/>
  <c r="CN726" i="9" s="1"/>
  <c r="CF623" i="9" a="1"/>
  <c r="CF623" i="9" s="1"/>
  <c r="BP636" i="9" a="1"/>
  <c r="BP636" i="9" s="1"/>
  <c r="CJ604" i="9" a="1"/>
  <c r="CJ604" i="9" s="1"/>
  <c r="BP557" i="9" a="1"/>
  <c r="BP557" i="9" s="1"/>
  <c r="BV557" i="9" s="1"/>
  <c r="Q557" i="9" s="1"/>
  <c r="AB557" i="9" s="1"/>
  <c r="BL490" i="9" a="1"/>
  <c r="BL490" i="9" s="1"/>
  <c r="BT392" i="9" a="1"/>
  <c r="BT392" i="9" s="1"/>
  <c r="BU392" i="9" a="1"/>
  <c r="BU392" i="9" s="1"/>
  <c r="CN334" i="9" a="1"/>
  <c r="CN334" i="9" s="1"/>
  <c r="CO334" i="9" a="1"/>
  <c r="CO334" i="9" s="1"/>
  <c r="BZ330" i="9"/>
  <c r="CA330" i="9" s="1"/>
  <c r="CB330" i="9" s="1" a="1"/>
  <c r="CB330" i="9" s="1"/>
  <c r="CD330" i="9"/>
  <c r="CE330" i="9" s="1"/>
  <c r="BT336" i="9" a="1"/>
  <c r="BT336" i="9" s="1"/>
  <c r="BU336" i="9" a="1"/>
  <c r="BU336" i="9" s="1"/>
  <c r="BU299" i="9" a="1"/>
  <c r="BU299" i="9" s="1"/>
  <c r="BT299" i="9" a="1"/>
  <c r="BT299" i="9" s="1"/>
  <c r="BL245" i="9" a="1"/>
  <c r="BL245" i="9" s="1"/>
  <c r="CO240" i="9" a="1"/>
  <c r="CO240" i="9" s="1"/>
  <c r="CN240" i="9" a="1"/>
  <c r="CN240" i="9" s="1"/>
  <c r="BT193" i="9" a="1"/>
  <c r="BT193" i="9" s="1"/>
  <c r="BU193" i="9" a="1"/>
  <c r="BU193" i="9" s="1"/>
  <c r="CJ580" i="9" a="1"/>
  <c r="CJ580" i="9" s="1"/>
  <c r="CD553" i="9"/>
  <c r="CE553" i="9" s="1"/>
  <c r="CF553" i="9" s="1" a="1"/>
  <c r="CF553" i="9" s="1"/>
  <c r="BL458" i="9" a="1"/>
  <c r="BL458" i="9" s="1"/>
  <c r="CO433" i="9" a="1"/>
  <c r="CO433" i="9" s="1"/>
  <c r="CN433" i="9" a="1"/>
  <c r="CN433" i="9" s="1"/>
  <c r="CF466" i="9" a="1"/>
  <c r="CF466" i="9" s="1"/>
  <c r="CP466" i="9" s="1"/>
  <c r="V466" i="9" s="1"/>
  <c r="CO417" i="9" a="1"/>
  <c r="CO417" i="9" s="1"/>
  <c r="CN417" i="9" a="1"/>
  <c r="CN417" i="9" s="1"/>
  <c r="CN377" i="9" a="1"/>
  <c r="CN377" i="9" s="1"/>
  <c r="CO377" i="9" a="1"/>
  <c r="CO377" i="9" s="1"/>
  <c r="BT333" i="9" a="1"/>
  <c r="BT333" i="9" s="1"/>
  <c r="BV333" i="9" s="1"/>
  <c r="Q333" i="9" s="1"/>
  <c r="BL344" i="9" a="1"/>
  <c r="BL344" i="9" s="1"/>
  <c r="CF655" i="9" a="1"/>
  <c r="CF655" i="9" s="1"/>
  <c r="BP647" i="9" a="1"/>
  <c r="BP647" i="9" s="1"/>
  <c r="BV647" i="9" s="1"/>
  <c r="Q647" i="9" s="1"/>
  <c r="CL595" i="9"/>
  <c r="CM595" i="9" s="1"/>
  <c r="BT508" i="9" a="1"/>
  <c r="BT508" i="9" s="1"/>
  <c r="BV508" i="9" s="1"/>
  <c r="Q508" i="9" s="1"/>
  <c r="BL450" i="9" a="1"/>
  <c r="BL450" i="9" s="1"/>
  <c r="BP498" i="9" a="1"/>
  <c r="BP498" i="9" s="1"/>
  <c r="BU470" i="9" a="1"/>
  <c r="BU470" i="9" s="1"/>
  <c r="BT470" i="9" a="1"/>
  <c r="BT470" i="9" s="1"/>
  <c r="BJ456" i="9"/>
  <c r="BK456" i="9" s="1"/>
  <c r="CN404" i="9" a="1"/>
  <c r="CN404" i="9" s="1"/>
  <c r="CO404" i="9" a="1"/>
  <c r="CO404" i="9" s="1"/>
  <c r="BL385" i="9" a="1"/>
  <c r="BL385" i="9" s="1"/>
  <c r="CH321" i="9"/>
  <c r="CI321" i="9" s="1"/>
  <c r="CJ321" i="9" s="1" a="1"/>
  <c r="CJ321" i="9" s="1"/>
  <c r="BJ372" i="9"/>
  <c r="BK372" i="9" s="1"/>
  <c r="BL372" i="9" s="1" a="1"/>
  <c r="BL372" i="9" s="1"/>
  <c r="CF220" i="9" a="1"/>
  <c r="CF220" i="9" s="1"/>
  <c r="CP220" i="9" s="1"/>
  <c r="V220" i="9" s="1"/>
  <c r="BR210" i="9"/>
  <c r="BS210" i="9" s="1"/>
  <c r="CJ736" i="9" a="1"/>
  <c r="CJ736" i="9" s="1"/>
  <c r="BF640" i="9"/>
  <c r="BG640" i="9" s="1"/>
  <c r="BH640" i="9" s="1" a="1"/>
  <c r="BH640" i="9" s="1"/>
  <c r="CF663" i="9" a="1"/>
  <c r="CF663" i="9" s="1"/>
  <c r="BZ581" i="9"/>
  <c r="CA581" i="9" s="1"/>
  <c r="CB581" i="9" s="1" a="1"/>
  <c r="CB581" i="9" s="1"/>
  <c r="CN546" i="9" a="1"/>
  <c r="CN546" i="9" s="1"/>
  <c r="BV495" i="9"/>
  <c r="Q495" i="9" s="1"/>
  <c r="BZ483" i="9"/>
  <c r="CA483" i="9" s="1"/>
  <c r="CB483" i="9" s="1" a="1"/>
  <c r="CB483" i="9" s="1"/>
  <c r="CL321" i="9"/>
  <c r="CM321" i="9" s="1"/>
  <c r="BZ280" i="9"/>
  <c r="CA280" i="9" s="1"/>
  <c r="CB280" i="9" s="1" a="1"/>
  <c r="CB280" i="9" s="1"/>
  <c r="BN254" i="9"/>
  <c r="BO254" i="9" s="1"/>
  <c r="BP254" i="9" s="1" a="1"/>
  <c r="BP254" i="9" s="1"/>
  <c r="CH254" i="9"/>
  <c r="CI254" i="9" s="1"/>
  <c r="CJ254" i="9" s="1" a="1"/>
  <c r="CJ254" i="9" s="1"/>
  <c r="BZ254" i="9"/>
  <c r="CA254" i="9" s="1"/>
  <c r="CB254" i="9" s="1" a="1"/>
  <c r="CB254" i="9" s="1"/>
  <c r="BF254" i="9"/>
  <c r="BG254" i="9" s="1"/>
  <c r="BH254" i="9" s="1" a="1"/>
  <c r="BH254" i="9" s="1"/>
  <c r="CH235" i="9"/>
  <c r="CI235" i="9" s="1"/>
  <c r="BJ167" i="9"/>
  <c r="BK167" i="9" s="1"/>
  <c r="BL167" i="9" s="1" a="1"/>
  <c r="BL167" i="9" s="1"/>
  <c r="BR137" i="9"/>
  <c r="BS137" i="9" s="1"/>
  <c r="CL137" i="9"/>
  <c r="CM137" i="9" s="1"/>
  <c r="BJ137" i="9"/>
  <c r="BK137" i="9" s="1"/>
  <c r="BN137" i="9"/>
  <c r="BO137" i="9" s="1"/>
  <c r="BF137" i="9"/>
  <c r="BG137" i="9" s="1"/>
  <c r="BH137" i="9" s="1" a="1"/>
  <c r="BH137" i="9" s="1"/>
  <c r="CF660" i="9" a="1"/>
  <c r="CF660" i="9" s="1"/>
  <c r="CP660" i="9" s="1"/>
  <c r="V660" i="9" s="1"/>
  <c r="BT601" i="9" a="1"/>
  <c r="BT601" i="9" s="1"/>
  <c r="BV601" i="9" s="1"/>
  <c r="Q601" i="9" s="1"/>
  <c r="CD627" i="9"/>
  <c r="CE627" i="9" s="1"/>
  <c r="CF627" i="9" s="1" a="1"/>
  <c r="CF627" i="9" s="1"/>
  <c r="BL501" i="9" a="1"/>
  <c r="BL501" i="9" s="1"/>
  <c r="BV501" i="9" s="1"/>
  <c r="Q501" i="9" s="1"/>
  <c r="AB501" i="9" s="1"/>
  <c r="BP485" i="9" a="1"/>
  <c r="BP485" i="9" s="1"/>
  <c r="BF386" i="9"/>
  <c r="BG386" i="9" s="1"/>
  <c r="BH386" i="9" s="1" a="1"/>
  <c r="BH386" i="9" s="1"/>
  <c r="BT314" i="9" a="1"/>
  <c r="BT314" i="9" s="1"/>
  <c r="BU314" i="9" a="1"/>
  <c r="BU314" i="9" s="1"/>
  <c r="BT312" i="9" a="1"/>
  <c r="BT312" i="9" s="1"/>
  <c r="BU312" i="9" a="1"/>
  <c r="BU312" i="9" s="1"/>
  <c r="BF332" i="9"/>
  <c r="BG332" i="9" s="1"/>
  <c r="BH332" i="9" s="1" a="1"/>
  <c r="BH332" i="9" s="1"/>
  <c r="CN333" i="9" a="1"/>
  <c r="CN333" i="9" s="1"/>
  <c r="CO333" i="9" a="1"/>
  <c r="CO333" i="9" s="1"/>
  <c r="CJ292" i="9" a="1"/>
  <c r="CJ292" i="9" s="1"/>
  <c r="BF295" i="9"/>
  <c r="BG295" i="9" s="1"/>
  <c r="BH295" i="9" s="1" a="1"/>
  <c r="BH295" i="9" s="1"/>
  <c r="CP244" i="9"/>
  <c r="V244" i="9" s="1"/>
  <c r="BR236" i="9"/>
  <c r="BS236" i="9" s="1"/>
  <c r="CO154" i="9" a="1"/>
  <c r="CO154" i="9" s="1"/>
  <c r="CN154" i="9" a="1"/>
  <c r="CN154" i="9" s="1"/>
  <c r="BZ723" i="9"/>
  <c r="CA723" i="9" s="1"/>
  <c r="CB723" i="9" s="1" a="1"/>
  <c r="CB723" i="9" s="1"/>
  <c r="BH632" i="9" a="1"/>
  <c r="BH632" i="9" s="1"/>
  <c r="BV632" i="9" s="1"/>
  <c r="Q632" i="9" s="1"/>
  <c r="AB632" i="9" s="1"/>
  <c r="CF506" i="9" a="1"/>
  <c r="CF506" i="9" s="1"/>
  <c r="CP506" i="9" s="1"/>
  <c r="V506" i="9" s="1"/>
  <c r="BL487" i="9" a="1"/>
  <c r="BL487" i="9" s="1"/>
  <c r="BF483" i="9"/>
  <c r="BG483" i="9" s="1"/>
  <c r="BH483" i="9" s="1" a="1"/>
  <c r="BH483" i="9" s="1"/>
  <c r="CF477" i="9" a="1"/>
  <c r="CF477" i="9" s="1"/>
  <c r="CF463" i="9" a="1"/>
  <c r="CF463" i="9" s="1"/>
  <c r="BT428" i="9" a="1"/>
  <c r="BT428" i="9" s="1"/>
  <c r="BU428" i="9" a="1"/>
  <c r="BU428" i="9" s="1"/>
  <c r="CH427" i="9"/>
  <c r="CI427" i="9" s="1"/>
  <c r="BF419" i="9"/>
  <c r="BG419" i="9" s="1"/>
  <c r="BH419" i="9" s="1" a="1"/>
  <c r="BH419" i="9" s="1"/>
  <c r="BN372" i="9"/>
  <c r="BO372" i="9" s="1"/>
  <c r="BT372" i="9" s="1" a="1"/>
  <c r="BT372" i="9" s="1"/>
  <c r="CO276" i="9" a="1"/>
  <c r="CO276" i="9" s="1"/>
  <c r="CN276" i="9" a="1"/>
  <c r="CN276" i="9" s="1"/>
  <c r="CP276" i="9" s="1"/>
  <c r="V276" i="9" s="1"/>
  <c r="BN229" i="9"/>
  <c r="BO229" i="9" s="1"/>
  <c r="CH216" i="9"/>
  <c r="CI216" i="9" s="1"/>
  <c r="CJ216" i="9" s="1" a="1"/>
  <c r="CJ216" i="9" s="1"/>
  <c r="BT199" i="9" a="1"/>
  <c r="BT199" i="9" s="1"/>
  <c r="BU199" i="9" a="1"/>
  <c r="BU199" i="9" s="1"/>
  <c r="CH180" i="9"/>
  <c r="CI180" i="9" s="1"/>
  <c r="CD167" i="9"/>
  <c r="CE167" i="9" s="1"/>
  <c r="CF167" i="9" s="1" a="1"/>
  <c r="CF167" i="9" s="1"/>
  <c r="CL712" i="9"/>
  <c r="CM712" i="9" s="1"/>
  <c r="BP676" i="9" a="1"/>
  <c r="BP676" i="9" s="1"/>
  <c r="CF625" i="9" a="1"/>
  <c r="CF625" i="9" s="1"/>
  <c r="CP625" i="9" s="1"/>
  <c r="V625" i="9" s="1"/>
  <c r="BP565" i="9" a="1"/>
  <c r="BP565" i="9" s="1"/>
  <c r="BJ494" i="9"/>
  <c r="BK494" i="9" s="1"/>
  <c r="CD486" i="9"/>
  <c r="CE486" i="9" s="1"/>
  <c r="CF486" i="9" s="1" a="1"/>
  <c r="CF486" i="9" s="1"/>
  <c r="BP503" i="9" a="1"/>
  <c r="BP503" i="9" s="1"/>
  <c r="CN468" i="9" a="1"/>
  <c r="CN468" i="9" s="1"/>
  <c r="CO468" i="9" a="1"/>
  <c r="CO468" i="9" s="1"/>
  <c r="BP431" i="9" a="1"/>
  <c r="BP431" i="9" s="1"/>
  <c r="BR418" i="9"/>
  <c r="BS418" i="9" s="1"/>
  <c r="CD407" i="9"/>
  <c r="CE407" i="9" s="1"/>
  <c r="CF407" i="9" s="1" a="1"/>
  <c r="CF407" i="9" s="1"/>
  <c r="CN398" i="9" a="1"/>
  <c r="CN398" i="9" s="1"/>
  <c r="CO398" i="9" a="1"/>
  <c r="CO398" i="9" s="1"/>
  <c r="BJ364" i="9"/>
  <c r="BK364" i="9" s="1"/>
  <c r="BL364" i="9" s="1" a="1"/>
  <c r="BL364" i="9" s="1"/>
  <c r="BN326" i="9"/>
  <c r="BO326" i="9" s="1"/>
  <c r="BP326" i="9" s="1" a="1"/>
  <c r="BP326" i="9" s="1"/>
  <c r="BU272" i="9" a="1"/>
  <c r="BU272" i="9" s="1"/>
  <c r="BT272" i="9" a="1"/>
  <c r="BT272" i="9" s="1"/>
  <c r="BR245" i="9"/>
  <c r="BS245" i="9" s="1"/>
  <c r="BP242" i="9" a="1"/>
  <c r="BP242" i="9" s="1"/>
  <c r="BN217" i="9"/>
  <c r="BO217" i="9" s="1"/>
  <c r="BP217" i="9" s="1" a="1"/>
  <c r="BP217" i="9" s="1"/>
  <c r="BT196" i="9" a="1"/>
  <c r="BT196" i="9" s="1"/>
  <c r="BU196" i="9" a="1"/>
  <c r="BU196" i="9" s="1"/>
  <c r="BZ179" i="9"/>
  <c r="CA179" i="9" s="1"/>
  <c r="CB179" i="9" s="1" a="1"/>
  <c r="CB179" i="9" s="1"/>
  <c r="BZ666" i="9"/>
  <c r="CA666" i="9" s="1"/>
  <c r="CB666" i="9" s="1" a="1"/>
  <c r="CB666" i="9" s="1"/>
  <c r="BP535" i="9" a="1"/>
  <c r="BP535" i="9" s="1"/>
  <c r="BP514" i="9" a="1"/>
  <c r="BP514" i="9" s="1"/>
  <c r="BV514" i="9" s="1"/>
  <c r="Q514" i="9" s="1"/>
  <c r="CJ461" i="9" a="1"/>
  <c r="CJ461" i="9" s="1"/>
  <c r="BP469" i="9" a="1"/>
  <c r="BP469" i="9" s="1"/>
  <c r="BV469" i="9" s="1"/>
  <c r="Q469" i="9" s="1"/>
  <c r="BJ427" i="9"/>
  <c r="BK427" i="9" s="1"/>
  <c r="BL427" i="9" s="1" a="1"/>
  <c r="BL427" i="9" s="1"/>
  <c r="BL420" i="9" a="1"/>
  <c r="BL420" i="9" s="1"/>
  <c r="CL426" i="9"/>
  <c r="CM426" i="9" s="1"/>
  <c r="CL400" i="9"/>
  <c r="CM400" i="9" s="1"/>
  <c r="BZ400" i="9"/>
  <c r="CA400" i="9" s="1"/>
  <c r="CB400" i="9" s="1" a="1"/>
  <c r="CB400" i="9" s="1"/>
  <c r="BF391" i="9"/>
  <c r="BG391" i="9" s="1"/>
  <c r="BH391" i="9" s="1" a="1"/>
  <c r="BH391" i="9" s="1"/>
  <c r="CF369" i="9" a="1"/>
  <c r="CF369" i="9" s="1"/>
  <c r="BZ348" i="9"/>
  <c r="CA348" i="9" s="1"/>
  <c r="CB348" i="9" s="1" a="1"/>
  <c r="CB348" i="9" s="1"/>
  <c r="CL345" i="9"/>
  <c r="CM345" i="9" s="1"/>
  <c r="CF325" i="9" a="1"/>
  <c r="CF325" i="9" s="1"/>
  <c r="BR293" i="9"/>
  <c r="BS293" i="9" s="1"/>
  <c r="CO282" i="9" a="1"/>
  <c r="CO282" i="9" s="1"/>
  <c r="CN282" i="9" a="1"/>
  <c r="CN282" i="9" s="1"/>
  <c r="CD295" i="9"/>
  <c r="CE295" i="9" s="1"/>
  <c r="CJ309" i="9" a="1"/>
  <c r="CJ309" i="9" s="1"/>
  <c r="CP274" i="9"/>
  <c r="V274" i="9" s="1"/>
  <c r="BZ294" i="9"/>
  <c r="CA294" i="9" s="1"/>
  <c r="CB294" i="9" s="1" a="1"/>
  <c r="CB294" i="9" s="1"/>
  <c r="CN231" i="9" a="1"/>
  <c r="CN231" i="9" s="1"/>
  <c r="CO231" i="9" a="1"/>
  <c r="CO231" i="9" s="1"/>
  <c r="CL229" i="9"/>
  <c r="CM229" i="9" s="1"/>
  <c r="BZ228" i="9"/>
  <c r="CA228" i="9" s="1"/>
  <c r="CB228" i="9" s="1" a="1"/>
  <c r="CB228" i="9" s="1"/>
  <c r="CL200" i="9"/>
  <c r="CM200" i="9" s="1"/>
  <c r="BF190" i="9"/>
  <c r="BG190" i="9" s="1"/>
  <c r="BH190" i="9" s="1" a="1"/>
  <c r="BH190" i="9" s="1"/>
  <c r="BL164" i="9" a="1"/>
  <c r="BL164" i="9" s="1"/>
  <c r="CO165" i="9" a="1"/>
  <c r="CO165" i="9" s="1"/>
  <c r="CN165" i="9" a="1"/>
  <c r="CN165" i="9" s="1"/>
  <c r="CF393" i="9" a="1"/>
  <c r="CF393" i="9" s="1"/>
  <c r="BL284" i="9" a="1"/>
  <c r="BL284" i="9" s="1"/>
  <c r="BV284" i="9" s="1"/>
  <c r="Q284" i="9" s="1"/>
  <c r="CF261" i="9" a="1"/>
  <c r="CF261" i="9" s="1"/>
  <c r="CH253" i="9"/>
  <c r="CI253" i="9" s="1"/>
  <c r="CJ253" i="9" s="1" a="1"/>
  <c r="CJ253" i="9" s="1"/>
  <c r="CF378" i="9" a="1"/>
  <c r="CF378" i="9" s="1"/>
  <c r="CP378" i="9" s="1"/>
  <c r="V378" i="9" s="1"/>
  <c r="BT283" i="9" a="1"/>
  <c r="BT283" i="9" s="1"/>
  <c r="BV283" i="9" s="1"/>
  <c r="Q283" i="9" s="1"/>
  <c r="BJ246" i="9"/>
  <c r="BK246" i="9" s="1"/>
  <c r="BP246" i="9" s="1" a="1"/>
  <c r="BP246" i="9" s="1"/>
  <c r="CF212" i="9" a="1"/>
  <c r="CF212" i="9" s="1"/>
  <c r="CP212" i="9" s="1"/>
  <c r="V212" i="9" s="1"/>
  <c r="BT201" i="9" a="1"/>
  <c r="BT201" i="9" s="1"/>
  <c r="CH145" i="9"/>
  <c r="CI145" i="9" s="1"/>
  <c r="CJ145" i="9" s="1" a="1"/>
  <c r="CJ145" i="9" s="1"/>
  <c r="BL138" i="9" a="1"/>
  <c r="BL138" i="9" s="1"/>
  <c r="CH406" i="9"/>
  <c r="CI406" i="9" s="1"/>
  <c r="CJ406" i="9" s="1" a="1"/>
  <c r="CJ406" i="9" s="1"/>
  <c r="BR359" i="9"/>
  <c r="BS359" i="9" s="1"/>
  <c r="CN319" i="9" a="1"/>
  <c r="CN319" i="9" s="1"/>
  <c r="CF312" i="9" a="1"/>
  <c r="CF312" i="9" s="1"/>
  <c r="BT397" i="9" a="1"/>
  <c r="BT397" i="9" s="1"/>
  <c r="BV397" i="9" s="1"/>
  <c r="Q397" i="9" s="1"/>
  <c r="CP379" i="9"/>
  <c r="V379" i="9" s="1"/>
  <c r="AB379" i="9" s="1"/>
  <c r="CL372" i="9"/>
  <c r="CM372" i="9" s="1"/>
  <c r="CF331" i="9" a="1"/>
  <c r="CF331" i="9" s="1"/>
  <c r="CL254" i="9"/>
  <c r="CM254" i="9" s="1"/>
  <c r="CF239" i="9" a="1"/>
  <c r="CF239" i="9" s="1"/>
  <c r="BR176" i="9"/>
  <c r="BS176" i="9" s="1"/>
  <c r="CJ141" i="9" a="1"/>
  <c r="CJ141" i="9" s="1"/>
  <c r="CP141" i="9" s="1"/>
  <c r="V141" i="9" s="1"/>
  <c r="CJ398" i="9" a="1"/>
  <c r="CJ398" i="9" s="1"/>
  <c r="CF234" i="9" a="1"/>
  <c r="CF234" i="9" s="1"/>
  <c r="CP234" i="9" s="1"/>
  <c r="V234" i="9" s="1"/>
  <c r="BJ169" i="9"/>
  <c r="BK169" i="9" s="1"/>
  <c r="BL169" i="9" s="1" a="1"/>
  <c r="BL169" i="9" s="1"/>
  <c r="CJ133" i="9" a="1"/>
  <c r="CJ133" i="9" s="1"/>
  <c r="CN133" i="9" a="1"/>
  <c r="CN133" i="9" s="1"/>
  <c r="CF446" i="9" a="1"/>
  <c r="CF446" i="9" s="1"/>
  <c r="BL238" i="9" a="1"/>
  <c r="BL238" i="9" s="1"/>
  <c r="BL191" i="9" a="1"/>
  <c r="BL191" i="9" s="1"/>
  <c r="BR188" i="9"/>
  <c r="BS188" i="9" s="1"/>
  <c r="CH175" i="9"/>
  <c r="CI175" i="9" s="1"/>
  <c r="CJ175" i="9" s="1" a="1"/>
  <c r="CJ175" i="9" s="1"/>
  <c r="BZ145" i="9"/>
  <c r="CA145" i="9" s="1"/>
  <c r="CB145" i="9" s="1" a="1"/>
  <c r="CB145" i="9" s="1"/>
  <c r="CF377" i="9" a="1"/>
  <c r="CF377" i="9" s="1"/>
  <c r="CP377" i="9" s="1"/>
  <c r="V377" i="9" s="1"/>
  <c r="BP244" i="9" a="1"/>
  <c r="BP244" i="9" s="1"/>
  <c r="BV244" i="9" s="1"/>
  <c r="Q244" i="9" s="1"/>
  <c r="AB244" i="9" s="1"/>
  <c r="CN209" i="9" a="1"/>
  <c r="CN209" i="9" s="1"/>
  <c r="CN193" i="9" a="1"/>
  <c r="CN193" i="9" s="1"/>
  <c r="BZ136" i="9"/>
  <c r="CA136" i="9" s="1"/>
  <c r="CB136" i="9" s="1" a="1"/>
  <c r="CB136" i="9" s="1"/>
  <c r="CL146" i="9"/>
  <c r="CM146" i="9" s="1"/>
  <c r="CJ129" i="9" a="1"/>
  <c r="CJ129" i="9" s="1"/>
  <c r="BN400" i="9"/>
  <c r="BO400" i="9" s="1"/>
  <c r="BP400" i="9" s="1" a="1"/>
  <c r="BP400" i="9" s="1"/>
  <c r="BJ399" i="9"/>
  <c r="BK399" i="9" s="1"/>
  <c r="BL399" i="9" s="1" a="1"/>
  <c r="BL399" i="9" s="1"/>
  <c r="CF287" i="9" a="1"/>
  <c r="CF287" i="9" s="1"/>
  <c r="BJ216" i="9"/>
  <c r="BK216" i="9" s="1"/>
  <c r="BL216" i="9" s="1" a="1"/>
  <c r="BL216" i="9" s="1"/>
  <c r="BZ182" i="9"/>
  <c r="CA182" i="9" s="1"/>
  <c r="CB182" i="9" s="1" a="1"/>
  <c r="CB182" i="9" s="1"/>
  <c r="BF176" i="9"/>
  <c r="BG176" i="9" s="1"/>
  <c r="BH176" i="9" s="1" a="1"/>
  <c r="BH176" i="9" s="1"/>
  <c r="CD155" i="9"/>
  <c r="CE155" i="9" s="1"/>
  <c r="BT129" i="9" a="1"/>
  <c r="BT129" i="9" s="1"/>
  <c r="CF126" i="9" a="1"/>
  <c r="CF126" i="9" s="1"/>
  <c r="CO810" i="9" a="1"/>
  <c r="CO810" i="9" s="1"/>
  <c r="CN810" i="9" a="1"/>
  <c r="CN810" i="9" s="1"/>
  <c r="BL689" i="9" a="1"/>
  <c r="BL689" i="9" s="1"/>
  <c r="BV689" i="9" s="1"/>
  <c r="Q689" i="9" s="1"/>
  <c r="BT618" i="9" a="1"/>
  <c r="BT618" i="9" s="1"/>
  <c r="BU618" i="9" a="1"/>
  <c r="BU618" i="9" s="1"/>
  <c r="CN575" i="9" a="1"/>
  <c r="CN575" i="9" s="1"/>
  <c r="CO575" i="9" a="1"/>
  <c r="CO575" i="9" s="1"/>
  <c r="BU655" i="9" a="1"/>
  <c r="BU655" i="9" s="1"/>
  <c r="BT655" i="9" a="1"/>
  <c r="BT655" i="9" s="1"/>
  <c r="BT643" i="9" a="1"/>
  <c r="BT643" i="9" s="1"/>
  <c r="BU643" i="9" a="1"/>
  <c r="BU643" i="9" s="1"/>
  <c r="CP676" i="9"/>
  <c r="V676" i="9" s="1"/>
  <c r="CH534" i="9"/>
  <c r="CI534" i="9" s="1"/>
  <c r="CJ534" i="9" s="1" a="1"/>
  <c r="CJ534" i="9" s="1"/>
  <c r="BU506" i="9" a="1"/>
  <c r="BU506" i="9" s="1"/>
  <c r="BT506" i="9" a="1"/>
  <c r="BT506" i="9" s="1"/>
  <c r="CO496" i="9" a="1"/>
  <c r="CO496" i="9" s="1"/>
  <c r="CN496" i="9" a="1"/>
  <c r="CN496" i="9" s="1"/>
  <c r="BT466" i="9" a="1"/>
  <c r="BT466" i="9" s="1"/>
  <c r="BU466" i="9" a="1"/>
  <c r="BU466" i="9" s="1"/>
  <c r="BP944" i="9" a="1"/>
  <c r="BP944" i="9" s="1"/>
  <c r="BV944" i="9" s="1"/>
  <c r="Q944" i="9" s="1"/>
  <c r="BL717" i="9" a="1"/>
  <c r="BL717" i="9" s="1"/>
  <c r="BV717" i="9" s="1"/>
  <c r="Q717" i="9" s="1"/>
  <c r="CJ677" i="9" a="1"/>
  <c r="CJ677" i="9" s="1"/>
  <c r="CP677" i="9" s="1"/>
  <c r="V677" i="9" s="1"/>
  <c r="BP724" i="9" a="1"/>
  <c r="BP724" i="9" s="1"/>
  <c r="BP541" i="9" a="1"/>
  <c r="BP541" i="9" s="1"/>
  <c r="CO535" i="9" a="1"/>
  <c r="CO535" i="9" s="1"/>
  <c r="CN535" i="9" a="1"/>
  <c r="CN535" i="9" s="1"/>
  <c r="BF579" i="9"/>
  <c r="BG579" i="9" s="1"/>
  <c r="BH579" i="9" s="1" a="1"/>
  <c r="BH579" i="9" s="1"/>
  <c r="BR579" i="9"/>
  <c r="BS579" i="9" s="1"/>
  <c r="BJ579" i="9"/>
  <c r="BK579" i="9" s="1"/>
  <c r="BT567" i="9" a="1"/>
  <c r="BT567" i="9" s="1"/>
  <c r="BU567" i="9" a="1"/>
  <c r="BU567" i="9" s="1"/>
  <c r="BL786" i="9" a="1"/>
  <c r="BL786" i="9" s="1"/>
  <c r="BJ714" i="9"/>
  <c r="BK714" i="9" s="1"/>
  <c r="BL714" i="9" s="1" a="1"/>
  <c r="BL714" i="9" s="1"/>
  <c r="BP713" i="9" a="1"/>
  <c r="BP713" i="9" s="1"/>
  <c r="BP697" i="9" a="1"/>
  <c r="BP697" i="9" s="1"/>
  <c r="BP652" i="9" a="1"/>
  <c r="BP652" i="9" s="1"/>
  <c r="CH645" i="9"/>
  <c r="CI645" i="9" s="1"/>
  <c r="CJ645" i="9" s="1" a="1"/>
  <c r="CJ645" i="9" s="1"/>
  <c r="CD714" i="9"/>
  <c r="CE714" i="9" s="1"/>
  <c r="CF714" i="9" s="1" a="1"/>
  <c r="CF714" i="9" s="1"/>
  <c r="CO525" i="9" a="1"/>
  <c r="CO525" i="9" s="1"/>
  <c r="CN525" i="9" a="1"/>
  <c r="CN525" i="9" s="1"/>
  <c r="CJ528" i="9" a="1"/>
  <c r="CJ528" i="9" s="1"/>
  <c r="CO517" i="9" a="1"/>
  <c r="CO517" i="9" s="1"/>
  <c r="CN517" i="9" a="1"/>
  <c r="CN517" i="9" s="1"/>
  <c r="BT802" i="9" a="1"/>
  <c r="BT802" i="9" s="1"/>
  <c r="BU802" i="9" a="1"/>
  <c r="BU802" i="9" s="1"/>
  <c r="BP734" i="9" a="1"/>
  <c r="BP734" i="9" s="1"/>
  <c r="BT708" i="9" a="1"/>
  <c r="BT708" i="9" s="1"/>
  <c r="BU708" i="9" a="1"/>
  <c r="BU708" i="9" s="1"/>
  <c r="CD688" i="9"/>
  <c r="CE688" i="9" s="1"/>
  <c r="CF688" i="9" s="1" a="1"/>
  <c r="CF688" i="9" s="1"/>
  <c r="BU669" i="9" a="1"/>
  <c r="BU669" i="9" s="1"/>
  <c r="BT669" i="9" a="1"/>
  <c r="BT669" i="9" s="1"/>
  <c r="BZ574" i="9"/>
  <c r="CA574" i="9" s="1"/>
  <c r="CB574" i="9" s="1" a="1"/>
  <c r="CB574" i="9" s="1"/>
  <c r="CJ701" i="9" a="1"/>
  <c r="CJ701" i="9" s="1"/>
  <c r="BL726" i="9" a="1"/>
  <c r="BL726" i="9" s="1"/>
  <c r="CJ620" i="9" a="1"/>
  <c r="CJ620" i="9" s="1"/>
  <c r="CP620" i="9" s="1"/>
  <c r="V620" i="9" s="1"/>
  <c r="BP602" i="9" a="1"/>
  <c r="BP602" i="9" s="1"/>
  <c r="BV602" i="9" s="1"/>
  <c r="Q602" i="9" s="1"/>
  <c r="CD547" i="9"/>
  <c r="CE547" i="9" s="1"/>
  <c r="CF547" i="9" s="1" a="1"/>
  <c r="CF547" i="9" s="1"/>
  <c r="BR563" i="9"/>
  <c r="BS563" i="9" s="1"/>
  <c r="CP732" i="9"/>
  <c r="V732" i="9" s="1"/>
  <c r="BF645" i="9"/>
  <c r="BG645" i="9" s="1"/>
  <c r="BH645" i="9" s="1" a="1"/>
  <c r="BH645" i="9" s="1"/>
  <c r="CN709" i="9" a="1"/>
  <c r="CN709" i="9" s="1"/>
  <c r="CO709" i="9" a="1"/>
  <c r="CO709" i="9" s="1"/>
  <c r="BP665" i="9" a="1"/>
  <c r="BP665" i="9" s="1"/>
  <c r="BV665" i="9" s="1"/>
  <c r="Q665" i="9" s="1"/>
  <c r="AB665" i="9" s="1"/>
  <c r="CL619" i="9"/>
  <c r="CM619" i="9" s="1"/>
  <c r="CD579" i="9"/>
  <c r="CE579" i="9" s="1"/>
  <c r="CF579" i="9" s="1" a="1"/>
  <c r="CF579" i="9" s="1"/>
  <c r="BJ550" i="9"/>
  <c r="BK550" i="9" s="1"/>
  <c r="BL550" i="9" s="1" a="1"/>
  <c r="BL550" i="9" s="1"/>
  <c r="BN521" i="9"/>
  <c r="BO521" i="9" s="1"/>
  <c r="BP521" i="9" s="1" a="1"/>
  <c r="BP521" i="9" s="1"/>
  <c r="BT778" i="9" a="1"/>
  <c r="BT778" i="9" s="1"/>
  <c r="BU778" i="9" a="1"/>
  <c r="BU778" i="9" s="1"/>
  <c r="BR699" i="9"/>
  <c r="BS699" i="9" s="1"/>
  <c r="BL594" i="9" a="1"/>
  <c r="BL594" i="9" s="1"/>
  <c r="BV594" i="9" s="1"/>
  <c r="Q594" i="9" s="1"/>
  <c r="BJ674" i="9"/>
  <c r="BK674" i="9" s="1"/>
  <c r="BL674" i="9" s="1" a="1"/>
  <c r="BL674" i="9" s="1"/>
  <c r="BL669" i="9" a="1"/>
  <c r="BL669" i="9" s="1"/>
  <c r="CN599" i="9" a="1"/>
  <c r="CN599" i="9" s="1"/>
  <c r="CO599" i="9" a="1"/>
  <c r="CO599" i="9" s="1"/>
  <c r="CJ562" i="9" a="1"/>
  <c r="CJ562" i="9" s="1"/>
  <c r="CP562" i="9" s="1"/>
  <c r="V562" i="9" s="1"/>
  <c r="BU504" i="9" a="1"/>
  <c r="BU504" i="9" s="1"/>
  <c r="BT504" i="9" a="1"/>
  <c r="BT504" i="9" s="1"/>
  <c r="CD563" i="9"/>
  <c r="CE563" i="9" s="1"/>
  <c r="CF563" i="9" s="1" a="1"/>
  <c r="CF563" i="9" s="1"/>
  <c r="CP539" i="9"/>
  <c r="V539" i="9" s="1"/>
  <c r="CD467" i="9"/>
  <c r="CE467" i="9" s="1"/>
  <c r="CF467" i="9" s="1" a="1"/>
  <c r="CF467" i="9" s="1"/>
  <c r="BL693" i="9" a="1"/>
  <c r="BL693" i="9" s="1"/>
  <c r="CD630" i="9"/>
  <c r="CE630" i="9" s="1"/>
  <c r="CF630" i="9" s="1" a="1"/>
  <c r="CF630" i="9" s="1"/>
  <c r="BP577" i="9" a="1"/>
  <c r="BP577" i="9" s="1"/>
  <c r="BV577" i="9" s="1"/>
  <c r="Q577" i="9" s="1"/>
  <c r="AB577" i="9" s="1"/>
  <c r="CF596" i="9" a="1"/>
  <c r="CF596" i="9" s="1"/>
  <c r="BL539" i="9" a="1"/>
  <c r="BL539" i="9" s="1"/>
  <c r="CN508" i="9" a="1"/>
  <c r="CN508" i="9" s="1"/>
  <c r="BV481" i="9"/>
  <c r="Q481" i="9" s="1"/>
  <c r="AB481" i="9" s="1"/>
  <c r="BV446" i="9"/>
  <c r="Q446" i="9" s="1"/>
  <c r="BT353" i="9" a="1"/>
  <c r="BT353" i="9" s="1"/>
  <c r="BU353" i="9" a="1"/>
  <c r="BU353" i="9" s="1"/>
  <c r="CF309" i="9" a="1"/>
  <c r="CF309" i="9" s="1"/>
  <c r="BR330" i="9"/>
  <c r="BS330" i="9" s="1"/>
  <c r="CN299" i="9" a="1"/>
  <c r="CN299" i="9" s="1"/>
  <c r="CO299" i="9" a="1"/>
  <c r="CO299" i="9" s="1"/>
  <c r="BJ237" i="9"/>
  <c r="BK237" i="9" s="1"/>
  <c r="BR237" i="9"/>
  <c r="BS237" i="9" s="1"/>
  <c r="BF237" i="9"/>
  <c r="BG237" i="9" s="1"/>
  <c r="BH237" i="9" s="1" a="1"/>
  <c r="BH237" i="9" s="1"/>
  <c r="CF644" i="9" a="1"/>
  <c r="CF644" i="9" s="1"/>
  <c r="BP433" i="9" a="1"/>
  <c r="BP433" i="9" s="1"/>
  <c r="BL361" i="9" a="1"/>
  <c r="BL361" i="9" s="1"/>
  <c r="CP259" i="9"/>
  <c r="V259" i="9" s="1"/>
  <c r="CN196" i="9" a="1"/>
  <c r="CN196" i="9" s="1"/>
  <c r="CO196" i="9" a="1"/>
  <c r="CO196" i="9" s="1"/>
  <c r="CN719" i="9" a="1"/>
  <c r="CN719" i="9" s="1"/>
  <c r="CJ724" i="9" a="1"/>
  <c r="CJ724" i="9" s="1"/>
  <c r="BP635" i="9" a="1"/>
  <c r="BP635" i="9" s="1"/>
  <c r="BV635" i="9" s="1"/>
  <c r="Q635" i="9" s="1"/>
  <c r="AB635" i="9" s="1"/>
  <c r="BT450" i="9" a="1"/>
  <c r="BT450" i="9" s="1"/>
  <c r="BU450" i="9" a="1"/>
  <c r="BU450" i="9" s="1"/>
  <c r="CO498" i="9" a="1"/>
  <c r="CO498" i="9" s="1"/>
  <c r="CN498" i="9" a="1"/>
  <c r="CN498" i="9" s="1"/>
  <c r="CF470" i="9" a="1"/>
  <c r="CF470" i="9" s="1"/>
  <c r="CP470" i="9" s="1"/>
  <c r="V470" i="9" s="1"/>
  <c r="BF456" i="9"/>
  <c r="BG456" i="9" s="1"/>
  <c r="BH456" i="9" s="1" a="1"/>
  <c r="BH456" i="9" s="1"/>
  <c r="BP404" i="9" a="1"/>
  <c r="BP404" i="9" s="1"/>
  <c r="BT354" i="9" a="1"/>
  <c r="BT354" i="9" s="1"/>
  <c r="BU354" i="9" a="1"/>
  <c r="BU354" i="9" s="1"/>
  <c r="CN396" i="9" a="1"/>
  <c r="CN396" i="9" s="1"/>
  <c r="CO396" i="9" a="1"/>
  <c r="CO396" i="9" s="1"/>
  <c r="BP385" i="9" a="1"/>
  <c r="BP385" i="9" s="1"/>
  <c r="BZ252" i="9"/>
  <c r="CA252" i="9" s="1"/>
  <c r="CB252" i="9" s="1" a="1"/>
  <c r="CB252" i="9" s="1"/>
  <c r="BT274" i="9" a="1"/>
  <c r="BT274" i="9" s="1"/>
  <c r="BU274" i="9" a="1"/>
  <c r="BU274" i="9" s="1"/>
  <c r="CN219" i="9" a="1"/>
  <c r="CN219" i="9" s="1"/>
  <c r="CO219" i="9" a="1"/>
  <c r="CO219" i="9" s="1"/>
  <c r="CN183" i="9" a="1"/>
  <c r="CN183" i="9" s="1"/>
  <c r="CO183" i="9" a="1"/>
  <c r="CO183" i="9" s="1"/>
  <c r="CN689" i="9" a="1"/>
  <c r="CN689" i="9" s="1"/>
  <c r="BL708" i="9" a="1"/>
  <c r="BL708" i="9" s="1"/>
  <c r="BU475" i="9" a="1"/>
  <c r="BU475" i="9" s="1"/>
  <c r="BT475" i="9" a="1"/>
  <c r="BT475" i="9" s="1"/>
  <c r="CF478" i="9" a="1"/>
  <c r="CF478" i="9" s="1"/>
  <c r="CF440" i="9" a="1"/>
  <c r="CF440" i="9" s="1"/>
  <c r="CP440" i="9" s="1"/>
  <c r="V440" i="9" s="1"/>
  <c r="CH418" i="9"/>
  <c r="CI418" i="9" s="1"/>
  <c r="CJ418" i="9" s="1" a="1"/>
  <c r="CJ418" i="9" s="1"/>
  <c r="BN426" i="9"/>
  <c r="BO426" i="9" s="1"/>
  <c r="BJ365" i="9"/>
  <c r="BK365" i="9" s="1"/>
  <c r="BV380" i="9"/>
  <c r="Q380" i="9" s="1"/>
  <c r="BL346" i="9" a="1"/>
  <c r="BL346" i="9" s="1"/>
  <c r="CH332" i="9"/>
  <c r="CI332" i="9" s="1"/>
  <c r="CJ332" i="9" s="1" a="1"/>
  <c r="CJ332" i="9" s="1"/>
  <c r="BT338" i="9" a="1"/>
  <c r="BT338" i="9" s="1"/>
  <c r="BU338" i="9" a="1"/>
  <c r="BU338" i="9" s="1"/>
  <c r="CH280" i="9"/>
  <c r="CI280" i="9" s="1"/>
  <c r="BJ265" i="9"/>
  <c r="BK265" i="9" s="1"/>
  <c r="BF265" i="9"/>
  <c r="BG265" i="9" s="1"/>
  <c r="BH265" i="9" s="1" a="1"/>
  <c r="BH265" i="9" s="1"/>
  <c r="CH218" i="9"/>
  <c r="CI218" i="9" s="1"/>
  <c r="CJ218" i="9" s="1" a="1"/>
  <c r="CJ218" i="9" s="1"/>
  <c r="BZ210" i="9"/>
  <c r="CA210" i="9" s="1"/>
  <c r="CB210" i="9" s="1" a="1"/>
  <c r="CB210" i="9" s="1"/>
  <c r="CH155" i="9"/>
  <c r="CI155" i="9" s="1"/>
  <c r="BZ550" i="9"/>
  <c r="CA550" i="9" s="1"/>
  <c r="CB550" i="9" s="1" a="1"/>
  <c r="CB550" i="9" s="1"/>
  <c r="CF536" i="9" a="1"/>
  <c r="CF536" i="9" s="1"/>
  <c r="CP536" i="9" s="1"/>
  <c r="V536" i="9" s="1"/>
  <c r="BF421" i="9"/>
  <c r="BG421" i="9" s="1"/>
  <c r="BH421" i="9" s="1" a="1"/>
  <c r="BH421" i="9" s="1"/>
  <c r="CH456" i="9"/>
  <c r="CI456" i="9" s="1"/>
  <c r="CN456" i="9" s="1" a="1"/>
  <c r="CN456" i="9" s="1"/>
  <c r="BT422" i="9" a="1"/>
  <c r="BT422" i="9" s="1"/>
  <c r="BP422" i="9" a="1"/>
  <c r="BP422" i="9" s="1"/>
  <c r="CH391" i="9"/>
  <c r="CI391" i="9" s="1"/>
  <c r="CJ391" i="9" s="1" a="1"/>
  <c r="CJ391" i="9" s="1"/>
  <c r="CF346" i="9" a="1"/>
  <c r="CF346" i="9" s="1"/>
  <c r="BV320" i="9"/>
  <c r="Q320" i="9" s="1"/>
  <c r="AB320" i="9" s="1"/>
  <c r="CF317" i="9" a="1"/>
  <c r="CF317" i="9" s="1"/>
  <c r="CP317" i="9" s="1"/>
  <c r="V317" i="9" s="1"/>
  <c r="CO270" i="9" a="1"/>
  <c r="CO270" i="9" s="1"/>
  <c r="CN270" i="9" a="1"/>
  <c r="CN270" i="9" s="1"/>
  <c r="CH288" i="9"/>
  <c r="CI288" i="9" s="1"/>
  <c r="CJ288" i="9" s="1" a="1"/>
  <c r="CJ288" i="9" s="1"/>
  <c r="CN251" i="9" a="1"/>
  <c r="CN251" i="9" s="1"/>
  <c r="CO251" i="9" a="1"/>
  <c r="CO251" i="9" s="1"/>
  <c r="BN236" i="9"/>
  <c r="BO236" i="9" s="1"/>
  <c r="CF193" i="9" a="1"/>
  <c r="CF193" i="9" s="1"/>
  <c r="CP193" i="9" s="1"/>
  <c r="V193" i="9" s="1"/>
  <c r="BZ203" i="9"/>
  <c r="CA203" i="9" s="1"/>
  <c r="CB203" i="9" s="1" a="1"/>
  <c r="CB203" i="9" s="1"/>
  <c r="CH203" i="9"/>
  <c r="CI203" i="9" s="1"/>
  <c r="CJ203" i="9" s="1" a="1"/>
  <c r="CJ203" i="9" s="1"/>
  <c r="BF203" i="9"/>
  <c r="BG203" i="9" s="1"/>
  <c r="BH203" i="9" s="1" a="1"/>
  <c r="BH203" i="9" s="1"/>
  <c r="BV123" i="9"/>
  <c r="Q123" i="9" s="1"/>
  <c r="BL126" i="9" a="1"/>
  <c r="BL126" i="9" s="1"/>
  <c r="BP482" i="9" a="1"/>
  <c r="BP482" i="9" s="1"/>
  <c r="BP480" i="9" a="1"/>
  <c r="BP480" i="9" s="1"/>
  <c r="CO463" i="9" a="1"/>
  <c r="CO463" i="9" s="1"/>
  <c r="CN463" i="9" a="1"/>
  <c r="CN463" i="9" s="1"/>
  <c r="BN391" i="9"/>
  <c r="BO391" i="9" s="1"/>
  <c r="BN365" i="9"/>
  <c r="BO365" i="9" s="1"/>
  <c r="BP365" i="9" s="1" a="1"/>
  <c r="BP365" i="9" s="1"/>
  <c r="BN421" i="9"/>
  <c r="BO421" i="9" s="1"/>
  <c r="BP421" i="9" s="1" a="1"/>
  <c r="BP421" i="9" s="1"/>
  <c r="CL326" i="9"/>
  <c r="CM326" i="9" s="1"/>
  <c r="CJ322" i="9" a="1"/>
  <c r="CJ322" i="9" s="1"/>
  <c r="BR332" i="9"/>
  <c r="BS332" i="9" s="1"/>
  <c r="CL304" i="9"/>
  <c r="CM304" i="9" s="1"/>
  <c r="BJ304" i="9"/>
  <c r="BK304" i="9" s="1"/>
  <c r="BN304" i="9"/>
  <c r="BO304" i="9" s="1"/>
  <c r="BF304" i="9"/>
  <c r="BG304" i="9" s="1"/>
  <c r="BH304" i="9" s="1" a="1"/>
  <c r="BH304" i="9" s="1"/>
  <c r="BH270" i="9" a="1"/>
  <c r="BH270" i="9" s="1"/>
  <c r="BL270" i="9" a="1"/>
  <c r="BL270" i="9" s="1"/>
  <c r="BZ245" i="9"/>
  <c r="CA245" i="9" s="1"/>
  <c r="CB245" i="9" s="1" a="1"/>
  <c r="CB245" i="9" s="1"/>
  <c r="BT181" i="9" a="1"/>
  <c r="BT181" i="9" s="1"/>
  <c r="BU181" i="9" a="1"/>
  <c r="BU181" i="9" s="1"/>
  <c r="CF560" i="9" a="1"/>
  <c r="CF560" i="9" s="1"/>
  <c r="CP560" i="9" s="1"/>
  <c r="V560" i="9" s="1"/>
  <c r="BT539" i="9" a="1"/>
  <c r="BT539" i="9" s="1"/>
  <c r="CJ533" i="9" a="1"/>
  <c r="CJ533" i="9" s="1"/>
  <c r="CJ496" i="9" a="1"/>
  <c r="CJ496" i="9" s="1"/>
  <c r="BU460" i="9" a="1"/>
  <c r="BU460" i="9" s="1"/>
  <c r="BT460" i="9" a="1"/>
  <c r="BT460" i="9" s="1"/>
  <c r="BF418" i="9"/>
  <c r="BG418" i="9" s="1"/>
  <c r="BH418" i="9" s="1" a="1"/>
  <c r="BH418" i="9" s="1"/>
  <c r="BP378" i="9" a="1"/>
  <c r="BP378" i="9" s="1"/>
  <c r="CO283" i="9" a="1"/>
  <c r="CO283" i="9" s="1"/>
  <c r="CN283" i="9" a="1"/>
  <c r="CN283" i="9" s="1"/>
  <c r="BN273" i="9"/>
  <c r="BO273" i="9" s="1"/>
  <c r="BP273" i="9" s="1" a="1"/>
  <c r="BP273" i="9" s="1"/>
  <c r="BF266" i="9"/>
  <c r="BG266" i="9" s="1"/>
  <c r="BH266" i="9" s="1" a="1"/>
  <c r="BH266" i="9" s="1"/>
  <c r="BJ266" i="9"/>
  <c r="BK266" i="9" s="1"/>
  <c r="BP266" i="9" s="1" a="1"/>
  <c r="BP266" i="9" s="1"/>
  <c r="BR235" i="9"/>
  <c r="BS235" i="9" s="1"/>
  <c r="BT208" i="9" a="1"/>
  <c r="BT208" i="9" s="1"/>
  <c r="BU208" i="9" a="1"/>
  <c r="BU208" i="9" s="1"/>
  <c r="CD200" i="9"/>
  <c r="CE200" i="9" s="1"/>
  <c r="CF200" i="9" s="1" a="1"/>
  <c r="CF200" i="9" s="1"/>
  <c r="CD188" i="9"/>
  <c r="CE188" i="9" s="1"/>
  <c r="CF188" i="9" s="1" a="1"/>
  <c r="CF188" i="9" s="1"/>
  <c r="CH176" i="9"/>
  <c r="CI176" i="9" s="1"/>
  <c r="CJ176" i="9" s="1" a="1"/>
  <c r="CJ176" i="9" s="1"/>
  <c r="CN601" i="9" a="1"/>
  <c r="CN601" i="9" s="1"/>
  <c r="CP601" i="9" s="1"/>
  <c r="V601" i="9" s="1"/>
  <c r="BT541" i="9" a="1"/>
  <c r="BT541" i="9" s="1"/>
  <c r="CF480" i="9" a="1"/>
  <c r="CF480" i="9" s="1"/>
  <c r="CP480" i="9" s="1"/>
  <c r="V480" i="9" s="1"/>
  <c r="BV461" i="9"/>
  <c r="Q461" i="9" s="1"/>
  <c r="CD456" i="9"/>
  <c r="CE456" i="9" s="1"/>
  <c r="CF456" i="9" s="1" a="1"/>
  <c r="CF456" i="9" s="1"/>
  <c r="BT438" i="9" a="1"/>
  <c r="BT438" i="9" s="1"/>
  <c r="BU438" i="9" a="1"/>
  <c r="BU438" i="9" s="1"/>
  <c r="BZ391" i="9"/>
  <c r="CA391" i="9" s="1"/>
  <c r="CB391" i="9" s="1" a="1"/>
  <c r="CB391" i="9" s="1"/>
  <c r="BP388" i="9" a="1"/>
  <c r="BP388" i="9" s="1"/>
  <c r="CN354" i="9" a="1"/>
  <c r="CN354" i="9" s="1"/>
  <c r="CO354" i="9" a="1"/>
  <c r="CO354" i="9" s="1"/>
  <c r="BU342" i="9" a="1"/>
  <c r="BU342" i="9" s="1"/>
  <c r="BT342" i="9" a="1"/>
  <c r="BT342" i="9" s="1"/>
  <c r="BV342" i="9" s="1"/>
  <c r="Q342" i="9" s="1"/>
  <c r="CF333" i="9" a="1"/>
  <c r="CF333" i="9" s="1"/>
  <c r="CP333" i="9" s="1"/>
  <c r="V333" i="9" s="1"/>
  <c r="CF297" i="9" a="1"/>
  <c r="CF297" i="9" s="1"/>
  <c r="CP297" i="9" s="1"/>
  <c r="V297" i="9" s="1"/>
  <c r="CF279" i="9" a="1"/>
  <c r="CF279" i="9" s="1"/>
  <c r="CP279" i="9" s="1"/>
  <c r="V279" i="9" s="1"/>
  <c r="BU261" i="9" a="1"/>
  <c r="BU261" i="9" s="1"/>
  <c r="BT261" i="9" a="1"/>
  <c r="BT261" i="9" s="1"/>
  <c r="BL251" i="9" a="1"/>
  <c r="BL251" i="9" s="1"/>
  <c r="BF246" i="9"/>
  <c r="BG246" i="9" s="1"/>
  <c r="BH246" i="9" s="1" a="1"/>
  <c r="BH246" i="9" s="1"/>
  <c r="BV238" i="9"/>
  <c r="Q238" i="9" s="1"/>
  <c r="BN228" i="9"/>
  <c r="BO228" i="9" s="1"/>
  <c r="BP228" i="9" s="1" a="1"/>
  <c r="BP228" i="9" s="1"/>
  <c r="BJ205" i="9"/>
  <c r="BK205" i="9" s="1"/>
  <c r="BL205" i="9" s="1" a="1"/>
  <c r="BL205" i="9" s="1"/>
  <c r="BR182" i="9"/>
  <c r="BS182" i="9" s="1"/>
  <c r="BV165" i="9"/>
  <c r="Q165" i="9" s="1"/>
  <c r="CN144" i="9" a="1"/>
  <c r="CN144" i="9" s="1"/>
  <c r="CO144" i="9" a="1"/>
  <c r="CO144" i="9" s="1"/>
  <c r="BP331" i="9" a="1"/>
  <c r="BP331" i="9" s="1"/>
  <c r="CF230" i="9" a="1"/>
  <c r="CF230" i="9" s="1"/>
  <c r="CP230" i="9" s="1"/>
  <c r="V230" i="9" s="1"/>
  <c r="CN186" i="9" a="1"/>
  <c r="CN186" i="9" s="1"/>
  <c r="CO186" i="9" a="1"/>
  <c r="CO186" i="9" s="1"/>
  <c r="BU130" i="9" a="1"/>
  <c r="BU130" i="9" s="1"/>
  <c r="BT130" i="9" a="1"/>
  <c r="BT130" i="9" s="1"/>
  <c r="CH168" i="9"/>
  <c r="CI168" i="9" s="1"/>
  <c r="CJ168" i="9" s="1" a="1"/>
  <c r="CJ168" i="9" s="1"/>
  <c r="BT350" i="9" a="1"/>
  <c r="BT350" i="9" s="1"/>
  <c r="CD171" i="9"/>
  <c r="CE171" i="9" s="1"/>
  <c r="CF171" i="9" s="1" a="1"/>
  <c r="CF171" i="9" s="1"/>
  <c r="CN130" i="9" a="1"/>
  <c r="CN130" i="9" s="1"/>
  <c r="CO130" i="9" a="1"/>
  <c r="CO130" i="9" s="1"/>
  <c r="CO126" i="9" a="1"/>
  <c r="CO126" i="9" s="1"/>
  <c r="CN126" i="9" a="1"/>
  <c r="CN126" i="9" s="1"/>
  <c r="CJ433" i="9" a="1"/>
  <c r="CJ433" i="9" s="1"/>
  <c r="CJ428" i="9" a="1"/>
  <c r="CJ428" i="9" s="1"/>
  <c r="CF323" i="9" a="1"/>
  <c r="CF323" i="9" s="1"/>
  <c r="CP323" i="9" s="1"/>
  <c r="V323" i="9" s="1"/>
  <c r="BP208" i="9" a="1"/>
  <c r="BP208" i="9" s="1"/>
  <c r="BJ176" i="9"/>
  <c r="BK176" i="9" s="1"/>
  <c r="BL176" i="9" s="1" a="1"/>
  <c r="BL176" i="9" s="1"/>
  <c r="CF172" i="9" a="1"/>
  <c r="CF172" i="9" s="1"/>
  <c r="CP172" i="9" s="1"/>
  <c r="V172" i="9" s="1"/>
  <c r="CO142" i="9" a="1"/>
  <c r="CO142" i="9" s="1"/>
  <c r="CN142" i="9" a="1"/>
  <c r="CN142" i="9" s="1"/>
  <c r="BL141" i="9" a="1"/>
  <c r="BL141" i="9" s="1"/>
  <c r="BV141" i="9" s="1"/>
  <c r="Q141" i="9" s="1"/>
  <c r="AB141" i="9" s="1"/>
  <c r="CN414" i="9" a="1"/>
  <c r="CN414" i="9" s="1"/>
  <c r="CP414" i="9" s="1"/>
  <c r="V414" i="9" s="1"/>
  <c r="BL367" i="9" a="1"/>
  <c r="BL367" i="9" s="1"/>
  <c r="BV367" i="9" s="1"/>
  <c r="Q367" i="9" s="1"/>
  <c r="AB367" i="9" s="1"/>
  <c r="BP160" i="9" a="1"/>
  <c r="BP160" i="9" s="1"/>
  <c r="CJ475" i="9" a="1"/>
  <c r="CJ475" i="9" s="1"/>
  <c r="CP475" i="9" s="1"/>
  <c r="V475" i="9" s="1"/>
  <c r="CF339" i="9" a="1"/>
  <c r="CF339" i="9" s="1"/>
  <c r="BZ237" i="9"/>
  <c r="CA237" i="9" s="1"/>
  <c r="CB237" i="9" s="1" a="1"/>
  <c r="CB237" i="9" s="1"/>
  <c r="CF184" i="9" a="1"/>
  <c r="CF184" i="9" s="1"/>
  <c r="CP184" i="9" s="1"/>
  <c r="V184" i="9" s="1"/>
  <c r="CL175" i="9"/>
  <c r="CM175" i="9" s="1"/>
  <c r="CF443" i="9" a="1"/>
  <c r="CF443" i="9" s="1"/>
  <c r="CP443" i="9" s="1"/>
  <c r="V443" i="9" s="1"/>
  <c r="CJ371" i="9" a="1"/>
  <c r="CJ371" i="9" s="1"/>
  <c r="BF253" i="9"/>
  <c r="BG253" i="9" s="1"/>
  <c r="BH253" i="9" s="1" a="1"/>
  <c r="BH253" i="9" s="1"/>
  <c r="CJ215" i="9" a="1"/>
  <c r="CJ215" i="9" s="1"/>
  <c r="CP215" i="9" s="1"/>
  <c r="V215" i="9" s="1"/>
  <c r="BP181" i="9" a="1"/>
  <c r="BP181" i="9" s="1"/>
  <c r="CB163" i="9" a="1"/>
  <c r="CB163" i="9" s="1"/>
  <c r="BN147" i="9"/>
  <c r="BO147" i="9" s="1"/>
  <c r="BJ147" i="9"/>
  <c r="BK147" i="9" s="1"/>
  <c r="BR147" i="9"/>
  <c r="BS147" i="9" s="1"/>
  <c r="BF147" i="9"/>
  <c r="BG147" i="9" s="1"/>
  <c r="BH147" i="9" s="1" a="1"/>
  <c r="BH147" i="9" s="1"/>
  <c r="BL415" i="9" a="1"/>
  <c r="BL415" i="9" s="1"/>
  <c r="BV415" i="9" s="1"/>
  <c r="Q415" i="9" s="1"/>
  <c r="CF385" i="9" a="1"/>
  <c r="CF385" i="9" s="1"/>
  <c r="BP352" i="9" a="1"/>
  <c r="BP352" i="9" s="1"/>
  <c r="BZ345" i="9"/>
  <c r="CA345" i="9" s="1"/>
  <c r="CB345" i="9" s="1" a="1"/>
  <c r="CB345" i="9" s="1"/>
  <c r="BF255" i="9"/>
  <c r="BG255" i="9" s="1"/>
  <c r="BH255" i="9" s="1" a="1"/>
  <c r="BH255" i="9" s="1"/>
  <c r="BZ155" i="9"/>
  <c r="CA155" i="9" s="1"/>
  <c r="CB155" i="9" s="1" a="1"/>
  <c r="CB155" i="9" s="1"/>
  <c r="BT160" i="9" a="1"/>
  <c r="BT160" i="9" s="1"/>
  <c r="CJ130" i="9" a="1"/>
  <c r="CJ130" i="9" s="1"/>
  <c r="CH127" i="9"/>
  <c r="CI127" i="9" s="1"/>
  <c r="CJ127" i="9" s="1" a="1"/>
  <c r="CJ127" i="9" s="1"/>
  <c r="CJ125" i="9" a="1"/>
  <c r="CJ125" i="9" s="1"/>
  <c r="CP125" i="9" s="1"/>
  <c r="V125" i="9" s="1"/>
  <c r="BP126" i="9" a="1"/>
  <c r="BP126" i="9" s="1"/>
  <c r="BT154" i="9" a="1"/>
  <c r="BT154" i="9" s="1"/>
  <c r="BV154" i="9" s="1"/>
  <c r="Q154" i="9" s="1"/>
  <c r="BT124" i="9" a="1"/>
  <c r="BT124" i="9" s="1"/>
  <c r="CJ84" i="9" a="1"/>
  <c r="CJ84" i="9" s="1"/>
  <c r="BL24" i="9" a="1"/>
  <c r="BL24" i="9" s="1"/>
  <c r="BR114" i="9"/>
  <c r="BS114" i="9" s="1"/>
  <c r="BJ105" i="9"/>
  <c r="BK105" i="9" s="1"/>
  <c r="BL90" i="9" a="1"/>
  <c r="BL90" i="9" s="1"/>
  <c r="CL108" i="9"/>
  <c r="CM108" i="9" s="1"/>
  <c r="CN102" i="9" a="1"/>
  <c r="CN102" i="9" s="1"/>
  <c r="BL82" i="9" a="1"/>
  <c r="BL82" i="9" s="1"/>
  <c r="BN60" i="9"/>
  <c r="BO60" i="9" s="1"/>
  <c r="CF48" i="9" a="1"/>
  <c r="CF48" i="9" s="1"/>
  <c r="CJ82" i="9" a="1"/>
  <c r="CJ82" i="9" s="1"/>
  <c r="CJ83" i="9" a="1"/>
  <c r="CJ83" i="9" s="1"/>
  <c r="BJ114" i="9"/>
  <c r="BK114" i="9" s="1"/>
  <c r="CJ121" i="9" a="1"/>
  <c r="CJ121" i="9" s="1"/>
  <c r="CF97" i="9" a="1"/>
  <c r="CF97" i="9" s="1"/>
  <c r="BZ114" i="9"/>
  <c r="CA114" i="9" s="1"/>
  <c r="CB114" i="9" s="1" a="1"/>
  <c r="CB114" i="9" s="1"/>
  <c r="CJ32" i="9" a="1"/>
  <c r="CJ32" i="9" s="1"/>
  <c r="BL85" i="9" a="1"/>
  <c r="BL85" i="9" s="1"/>
  <c r="BP48" i="9" a="1"/>
  <c r="BP48" i="9" s="1"/>
  <c r="BL96" i="9" a="1"/>
  <c r="BL96" i="9" s="1"/>
  <c r="BF114" i="9"/>
  <c r="BG114" i="9" s="1"/>
  <c r="BH114" i="9" s="1" a="1"/>
  <c r="BH114" i="9" s="1"/>
  <c r="BL93" i="9" a="1"/>
  <c r="BL93" i="9" s="1"/>
  <c r="BR79" i="9"/>
  <c r="BS79" i="9" s="1"/>
  <c r="BL102" i="9" a="1"/>
  <c r="BL102" i="9" s="1"/>
  <c r="BU82" i="9" a="1"/>
  <c r="BU82" i="9" s="1"/>
  <c r="BT82" i="9" a="1"/>
  <c r="BT82" i="9" s="1"/>
  <c r="BP47" i="9" a="1"/>
  <c r="BP47" i="9" s="1"/>
  <c r="BZ62" i="9"/>
  <c r="CA62" i="9" s="1"/>
  <c r="CB62" i="9" s="1" a="1"/>
  <c r="CB62" i="9" s="1"/>
  <c r="CJ48" i="9" a="1"/>
  <c r="CJ48" i="9" s="1"/>
  <c r="BZ107" i="9"/>
  <c r="CA107" i="9" s="1"/>
  <c r="CB107" i="9" s="1" a="1"/>
  <c r="CB107" i="9" s="1"/>
  <c r="BR109" i="9"/>
  <c r="BS109" i="9" s="1"/>
  <c r="CF110" i="9" a="1"/>
  <c r="CF110" i="9" s="1"/>
  <c r="BP118" i="9" a="1"/>
  <c r="BP118" i="9" s="1"/>
  <c r="CP117" i="9"/>
  <c r="V117" i="9" s="1"/>
  <c r="BT102" i="9" a="1"/>
  <c r="BT102" i="9" s="1"/>
  <c r="CF85" i="9" a="1"/>
  <c r="CF85" i="9" s="1"/>
  <c r="BR25" i="9"/>
  <c r="BS25" i="9" s="1"/>
  <c r="BU25" i="9" s="1" a="1"/>
  <c r="BU25" i="9" s="1"/>
  <c r="CL114" i="9"/>
  <c r="CM114" i="9" s="1"/>
  <c r="BR108" i="9"/>
  <c r="BS108" i="9" s="1"/>
  <c r="BN113" i="9"/>
  <c r="BO113" i="9" s="1"/>
  <c r="BT113" i="9" s="1" a="1"/>
  <c r="BT113" i="9" s="1"/>
  <c r="CL122" i="9"/>
  <c r="CM122" i="9" s="1"/>
  <c r="CO122" i="9" s="1" a="1"/>
  <c r="CO122" i="9" s="1"/>
  <c r="BF83" i="9"/>
  <c r="BG83" i="9" s="1"/>
  <c r="BH83" i="9" s="1" a="1"/>
  <c r="BH83" i="9" s="1"/>
  <c r="BF108" i="9"/>
  <c r="BG108" i="9" s="1"/>
  <c r="BH108" i="9" s="1" a="1"/>
  <c r="BH108" i="9" s="1"/>
  <c r="BN116" i="9"/>
  <c r="BO116" i="9" s="1"/>
  <c r="BT116" i="9" s="1" a="1"/>
  <c r="BT116" i="9" s="1"/>
  <c r="BZ109" i="9"/>
  <c r="CA109" i="9" s="1"/>
  <c r="CB109" i="9" s="1" a="1"/>
  <c r="CB109" i="9" s="1"/>
  <c r="CF102" i="9" a="1"/>
  <c r="CF102" i="9" s="1"/>
  <c r="BU72" i="9" a="1"/>
  <c r="BU72" i="9" s="1"/>
  <c r="BT72" i="9" a="1"/>
  <c r="BT72" i="9" s="1"/>
  <c r="CH114" i="9"/>
  <c r="CI114" i="9" s="1"/>
  <c r="CJ101" i="9" a="1"/>
  <c r="CJ101" i="9" s="1"/>
  <c r="CF105" i="9" a="1"/>
  <c r="CF105" i="9" s="1"/>
  <c r="BT89" i="9" a="1"/>
  <c r="BT89" i="9" s="1"/>
  <c r="BU44" i="9" a="1"/>
  <c r="BU44" i="9" s="1"/>
  <c r="CO84" i="9" a="1"/>
  <c r="CO84" i="9" s="1"/>
  <c r="CN84" i="9" a="1"/>
  <c r="CN84" i="9" s="1"/>
  <c r="BU75" i="9" a="1"/>
  <c r="BU75" i="9" s="1"/>
  <c r="BT75" i="9" a="1"/>
  <c r="BT75" i="9" s="1"/>
  <c r="CO42" i="9" a="1"/>
  <c r="CO42" i="9" s="1"/>
  <c r="BL78" i="9" a="1"/>
  <c r="BL78" i="9" s="1"/>
  <c r="CJ40" i="9" a="1"/>
  <c r="CJ40" i="9" s="1"/>
  <c r="BU23" i="9" a="1"/>
  <c r="BU23" i="9" s="1"/>
  <c r="CO115" i="9" a="1"/>
  <c r="CO115" i="9" s="1"/>
  <c r="BJ43" i="9"/>
  <c r="BK43" i="9" s="1"/>
  <c r="BF43" i="9"/>
  <c r="BG43" i="9" s="1"/>
  <c r="BH43" i="9" s="1" a="1"/>
  <c r="BH43" i="9" s="1"/>
  <c r="CD43" i="9"/>
  <c r="CE43" i="9" s="1"/>
  <c r="BN43" i="9"/>
  <c r="BO43" i="9" s="1"/>
  <c r="CD58" i="9"/>
  <c r="CE58" i="9" s="1"/>
  <c r="BZ58" i="9"/>
  <c r="CA58" i="9" s="1"/>
  <c r="CB58" i="9" s="1" a="1"/>
  <c r="CB58" i="9" s="1"/>
  <c r="CH58" i="9"/>
  <c r="CI58" i="9" s="1"/>
  <c r="BR58" i="9"/>
  <c r="BS58" i="9" s="1"/>
  <c r="BN58" i="9"/>
  <c r="BO58" i="9" s="1"/>
  <c r="BF58" i="9"/>
  <c r="BG58" i="9" s="1"/>
  <c r="BH58" i="9" s="1" a="1"/>
  <c r="BH58" i="9" s="1"/>
  <c r="CL58" i="9"/>
  <c r="CM58" i="9" s="1"/>
  <c r="CD46" i="9"/>
  <c r="CE46" i="9" s="1"/>
  <c r="CL46" i="9"/>
  <c r="CM46" i="9" s="1"/>
  <c r="CO35" i="9" a="1"/>
  <c r="CO35" i="9" s="1"/>
  <c r="CN35" i="9" a="1"/>
  <c r="CN35" i="9" s="1"/>
  <c r="BU54" i="9" a="1"/>
  <c r="BU54" i="9" s="1"/>
  <c r="BT54" i="9" a="1"/>
  <c r="BT54" i="9" s="1"/>
  <c r="BJ58" i="9"/>
  <c r="BK58" i="9" s="1"/>
  <c r="CF79" i="9" a="1"/>
  <c r="CF79" i="9" s="1"/>
  <c r="BJ31" i="9"/>
  <c r="BK31" i="9" s="1"/>
  <c r="BR31" i="9"/>
  <c r="BS31" i="9" s="1"/>
  <c r="BF31" i="9"/>
  <c r="BG31" i="9" s="1"/>
  <c r="BH31" i="9" s="1" a="1"/>
  <c r="BH31" i="9" s="1"/>
  <c r="CD31" i="9"/>
  <c r="CE31" i="9" s="1"/>
  <c r="CF31" i="9" s="1" a="1"/>
  <c r="CF31" i="9" s="1"/>
  <c r="BZ31" i="9"/>
  <c r="CA31" i="9" s="1"/>
  <c r="CB31" i="9" s="1" a="1"/>
  <c r="CB31" i="9" s="1"/>
  <c r="BN31" i="9"/>
  <c r="BO31" i="9" s="1"/>
  <c r="BR62" i="9"/>
  <c r="BS62" i="9" s="1"/>
  <c r="CL49" i="9"/>
  <c r="CM49" i="9" s="1"/>
  <c r="BR49" i="9"/>
  <c r="BS49" i="9" s="1"/>
  <c r="BF49" i="9"/>
  <c r="BG49" i="9" s="1"/>
  <c r="BH49" i="9" s="1" a="1"/>
  <c r="BH49" i="9" s="1"/>
  <c r="CH49" i="9"/>
  <c r="CI49" i="9" s="1"/>
  <c r="CJ49" i="9" s="1" a="1"/>
  <c r="CJ49" i="9" s="1"/>
  <c r="BF55" i="9"/>
  <c r="BG55" i="9" s="1"/>
  <c r="BH55" i="9" s="1" a="1"/>
  <c r="BH55" i="9" s="1"/>
  <c r="BN30" i="9"/>
  <c r="BO30" i="9" s="1"/>
  <c r="BP56" i="9" a="1"/>
  <c r="BP56" i="9" s="1"/>
  <c r="BT56" i="9" a="1"/>
  <c r="BT56" i="9" s="1"/>
  <c r="BU47" i="9" a="1"/>
  <c r="BU47" i="9" s="1"/>
  <c r="BT47" i="9" a="1"/>
  <c r="BT47" i="9" s="1"/>
  <c r="CH44" i="9"/>
  <c r="CI44" i="9" s="1"/>
  <c r="CO70" i="9" a="1"/>
  <c r="CO70" i="9" s="1"/>
  <c r="BH77" i="9" a="1"/>
  <c r="BH77" i="9" s="1"/>
  <c r="BL77" i="9" a="1"/>
  <c r="BL77" i="9" s="1"/>
  <c r="BH87" i="9" a="1"/>
  <c r="BH87" i="9" s="1"/>
  <c r="BL87" i="9" a="1"/>
  <c r="BL87" i="9" s="1"/>
  <c r="CL37" i="9"/>
  <c r="CM37" i="9" s="1"/>
  <c r="BL27" i="9" a="1"/>
  <c r="BL27" i="9" s="1"/>
  <c r="BP27" i="9" a="1"/>
  <c r="BP27" i="9" s="1"/>
  <c r="CH55" i="9"/>
  <c r="CI55" i="9" s="1"/>
  <c r="CL62" i="9"/>
  <c r="CM62" i="9" s="1"/>
  <c r="BN78" i="9"/>
  <c r="BO78" i="9" s="1"/>
  <c r="CH78" i="9"/>
  <c r="CI78" i="9" s="1"/>
  <c r="CJ78" i="9" s="1" a="1"/>
  <c r="CJ78" i="9" s="1"/>
  <c r="BU77" i="9" a="1"/>
  <c r="BU77" i="9" s="1"/>
  <c r="BT77" i="9" a="1"/>
  <c r="BT77" i="9" s="1"/>
  <c r="CD23" i="9"/>
  <c r="CE23" i="9" s="1"/>
  <c r="BT36" i="9" a="1"/>
  <c r="BT36" i="9" s="1"/>
  <c r="BU36" i="9" a="1"/>
  <c r="BU36" i="9" s="1"/>
  <c r="BN44" i="9"/>
  <c r="BO44" i="9" s="1"/>
  <c r="BR68" i="9"/>
  <c r="BS68" i="9" s="1"/>
  <c r="CH75" i="9"/>
  <c r="CI75" i="9" s="1"/>
  <c r="CJ75" i="9" s="1" a="1"/>
  <c r="CJ75" i="9" s="1"/>
  <c r="BJ75" i="9"/>
  <c r="BK75" i="9" s="1"/>
  <c r="BF75" i="9"/>
  <c r="BG75" i="9" s="1"/>
  <c r="BH75" i="9" s="1" a="1"/>
  <c r="BH75" i="9" s="1"/>
  <c r="CH57" i="9"/>
  <c r="CI57" i="9" s="1"/>
  <c r="BZ57" i="9"/>
  <c r="CA57" i="9" s="1"/>
  <c r="CB57" i="9" s="1" a="1"/>
  <c r="CB57" i="9" s="1"/>
  <c r="CL57" i="9"/>
  <c r="CM57" i="9" s="1"/>
  <c r="BJ57" i="9"/>
  <c r="BK57" i="9" s="1"/>
  <c r="CD57" i="9"/>
  <c r="CE57" i="9" s="1"/>
  <c r="BF57" i="9"/>
  <c r="BG57" i="9" s="1"/>
  <c r="BH57" i="9" s="1" a="1"/>
  <c r="BH57" i="9" s="1"/>
  <c r="BR57" i="9"/>
  <c r="BS57" i="9" s="1"/>
  <c r="CF106" i="9" a="1"/>
  <c r="CF106" i="9" s="1"/>
  <c r="CJ106" i="9" a="1"/>
  <c r="CJ106" i="9" s="1"/>
  <c r="BU100" i="9" a="1"/>
  <c r="BU100" i="9" s="1"/>
  <c r="BT100" i="9" a="1"/>
  <c r="BT100" i="9" s="1"/>
  <c r="BH71" i="9" a="1"/>
  <c r="BH71" i="9" s="1"/>
  <c r="CN99" i="9" a="1"/>
  <c r="CN99" i="9" s="1"/>
  <c r="CO99" i="9" a="1"/>
  <c r="CO99" i="9" s="1"/>
  <c r="CO110" i="9" a="1"/>
  <c r="CO110" i="9" s="1"/>
  <c r="CN110" i="9" a="1"/>
  <c r="CN110" i="9" s="1"/>
  <c r="BU91" i="9" a="1"/>
  <c r="BU91" i="9" s="1"/>
  <c r="CN56" i="9" a="1"/>
  <c r="CN56" i="9" s="1"/>
  <c r="CO56" i="9" a="1"/>
  <c r="CO56" i="9" s="1"/>
  <c r="BT29" i="9" a="1"/>
  <c r="BT29" i="9" s="1"/>
  <c r="BU29" i="9" a="1"/>
  <c r="BU29" i="9" s="1"/>
  <c r="CN103" i="9" a="1"/>
  <c r="CN103" i="9" s="1"/>
  <c r="CO103" i="9" a="1"/>
  <c r="CO103" i="9" s="1"/>
  <c r="CN28" i="9" a="1"/>
  <c r="CN28" i="9" s="1"/>
  <c r="CO28" i="9" a="1"/>
  <c r="CO28" i="9" s="1"/>
  <c r="BR37" i="9"/>
  <c r="BS37" i="9" s="1"/>
  <c r="BZ63" i="9"/>
  <c r="CA63" i="9" s="1"/>
  <c r="CB63" i="9" s="1" a="1"/>
  <c r="CB63" i="9" s="1"/>
  <c r="CL63" i="9"/>
  <c r="CM63" i="9" s="1"/>
  <c r="BN63" i="9"/>
  <c r="BO63" i="9" s="1"/>
  <c r="CD63" i="9"/>
  <c r="CE63" i="9" s="1"/>
  <c r="CD59" i="9"/>
  <c r="CE59" i="9" s="1"/>
  <c r="BN59" i="9"/>
  <c r="BO59" i="9" s="1"/>
  <c r="BF59" i="9"/>
  <c r="BG59" i="9" s="1"/>
  <c r="BH59" i="9" s="1" a="1"/>
  <c r="BH59" i="9" s="1"/>
  <c r="BJ59" i="9"/>
  <c r="BK59" i="9" s="1"/>
  <c r="BR59" i="9"/>
  <c r="BS59" i="9" s="1"/>
  <c r="CL59" i="9"/>
  <c r="CM59" i="9" s="1"/>
  <c r="BZ59" i="9"/>
  <c r="CA59" i="9" s="1"/>
  <c r="CB59" i="9" s="1" a="1"/>
  <c r="CB59" i="9" s="1"/>
  <c r="BT83" i="9" a="1"/>
  <c r="BT83" i="9" s="1"/>
  <c r="BU83" i="9" a="1"/>
  <c r="BU83" i="9" s="1"/>
  <c r="BZ30" i="9"/>
  <c r="CA30" i="9" s="1"/>
  <c r="CB30" i="9" s="1" a="1"/>
  <c r="CB30" i="9" s="1"/>
  <c r="BN34" i="9"/>
  <c r="BO34" i="9" s="1"/>
  <c r="CL34" i="9"/>
  <c r="CM34" i="9" s="1"/>
  <c r="CD34" i="9"/>
  <c r="CE34" i="9" s="1"/>
  <c r="CJ34" i="9" s="1" a="1"/>
  <c r="CJ34" i="9" s="1"/>
  <c r="BF34" i="9"/>
  <c r="BG34" i="9" s="1"/>
  <c r="BH34" i="9" s="1" a="1"/>
  <c r="BH34" i="9" s="1"/>
  <c r="CH43" i="9"/>
  <c r="CI43" i="9" s="1"/>
  <c r="CJ43" i="9" s="1" a="1"/>
  <c r="CJ43" i="9" s="1"/>
  <c r="BL72" i="9" a="1"/>
  <c r="BL72" i="9" s="1"/>
  <c r="BP72" i="9" a="1"/>
  <c r="BP72" i="9" s="1"/>
  <c r="CB87" i="9" a="1"/>
  <c r="CB87" i="9" s="1"/>
  <c r="CF87" i="9" a="1"/>
  <c r="CF87" i="9" s="1"/>
  <c r="BN39" i="9"/>
  <c r="BO39" i="9" s="1"/>
  <c r="BF39" i="9"/>
  <c r="BG39" i="9" s="1"/>
  <c r="BH39" i="9" s="1" a="1"/>
  <c r="BH39" i="9" s="1"/>
  <c r="BR39" i="9"/>
  <c r="BS39" i="9" s="1"/>
  <c r="BZ39" i="9"/>
  <c r="CA39" i="9" s="1"/>
  <c r="CB39" i="9" s="1" a="1"/>
  <c r="CB39" i="9" s="1"/>
  <c r="CL39" i="9"/>
  <c r="CM39" i="9" s="1"/>
  <c r="CD39" i="9"/>
  <c r="CE39" i="9" s="1"/>
  <c r="BJ39" i="9"/>
  <c r="BK39" i="9" s="1"/>
  <c r="CL68" i="9"/>
  <c r="CM68" i="9" s="1"/>
  <c r="CN47" i="9" a="1"/>
  <c r="CN47" i="9" s="1"/>
  <c r="CO47" i="9" a="1"/>
  <c r="CO47" i="9" s="1"/>
  <c r="BR46" i="9"/>
  <c r="BS46" i="9" s="1"/>
  <c r="BJ63" i="9"/>
  <c r="BK63" i="9" s="1"/>
  <c r="BL63" i="9" s="1" a="1"/>
  <c r="BL63" i="9" s="1"/>
  <c r="BP54" i="9" a="1"/>
  <c r="BP54" i="9" s="1"/>
  <c r="BF66" i="9"/>
  <c r="BG66" i="9" s="1"/>
  <c r="BH66" i="9" s="1" a="1"/>
  <c r="BH66" i="9" s="1"/>
  <c r="BR84" i="9"/>
  <c r="BS84" i="9" s="1"/>
  <c r="CF109" i="9" a="1"/>
  <c r="CF109" i="9" s="1"/>
  <c r="BN57" i="9"/>
  <c r="BO57" i="9" s="1"/>
  <c r="BP57" i="9" s="1" a="1"/>
  <c r="BP57" i="9" s="1"/>
  <c r="BZ75" i="9"/>
  <c r="CA75" i="9" s="1"/>
  <c r="CB75" i="9" s="1" a="1"/>
  <c r="CB75" i="9" s="1"/>
  <c r="CL23" i="9"/>
  <c r="CM23" i="9" s="1"/>
  <c r="CJ103" i="9" a="1"/>
  <c r="CJ103" i="9" s="1"/>
  <c r="CJ105" i="9" a="1"/>
  <c r="CJ105" i="9" s="1"/>
  <c r="BU113" i="9" a="1"/>
  <c r="BU113" i="9" s="1"/>
  <c r="CO91" i="9" a="1"/>
  <c r="CO91" i="9" s="1"/>
  <c r="CO77" i="9" a="1"/>
  <c r="CO77" i="9" s="1"/>
  <c r="CN77" i="9" a="1"/>
  <c r="CN77" i="9" s="1"/>
  <c r="BP41" i="9" a="1"/>
  <c r="BP41" i="9" s="1"/>
  <c r="BU27" i="9" a="1"/>
  <c r="BU27" i="9" s="1"/>
  <c r="BT27" i="9" a="1"/>
  <c r="BT27" i="9" s="1"/>
  <c r="CD62" i="9"/>
  <c r="CE62" i="9" s="1"/>
  <c r="CH62" i="9"/>
  <c r="CI62" i="9" s="1"/>
  <c r="BJ62" i="9"/>
  <c r="BK62" i="9" s="1"/>
  <c r="BN55" i="9"/>
  <c r="BO55" i="9" s="1"/>
  <c r="CL55" i="9"/>
  <c r="CM55" i="9" s="1"/>
  <c r="CF49" i="9" a="1"/>
  <c r="CF49" i="9" s="1"/>
  <c r="BU86" i="9" a="1"/>
  <c r="BU86" i="9" s="1"/>
  <c r="BR81" i="9"/>
  <c r="BS81" i="9" s="1"/>
  <c r="CD81" i="9"/>
  <c r="CE81" i="9" s="1"/>
  <c r="BN81" i="9"/>
  <c r="BO81" i="9" s="1"/>
  <c r="BZ81" i="9"/>
  <c r="CA81" i="9" s="1"/>
  <c r="CB81" i="9" s="1" a="1"/>
  <c r="CB81" i="9" s="1"/>
  <c r="BF81" i="9"/>
  <c r="BG81" i="9" s="1"/>
  <c r="BH81" i="9" s="1" a="1"/>
  <c r="BH81" i="9" s="1"/>
  <c r="BJ81" i="9"/>
  <c r="BK81" i="9" s="1"/>
  <c r="CH81" i="9"/>
  <c r="CI81" i="9" s="1"/>
  <c r="BJ55" i="9"/>
  <c r="BK55" i="9" s="1"/>
  <c r="CJ71" i="9" a="1"/>
  <c r="CJ71" i="9" s="1"/>
  <c r="BN49" i="9"/>
  <c r="BO49" i="9" s="1"/>
  <c r="BN45" i="9"/>
  <c r="BO45" i="9" s="1"/>
  <c r="BN76" i="9"/>
  <c r="BO76" i="9" s="1"/>
  <c r="BR76" i="9"/>
  <c r="BS76" i="9" s="1"/>
  <c r="BZ76" i="9"/>
  <c r="CA76" i="9" s="1"/>
  <c r="CB76" i="9" s="1" a="1"/>
  <c r="CB76" i="9" s="1"/>
  <c r="CD76" i="9"/>
  <c r="CE76" i="9" s="1"/>
  <c r="BJ76" i="9"/>
  <c r="BK76" i="9" s="1"/>
  <c r="CL76" i="9"/>
  <c r="CM76" i="9" s="1"/>
  <c r="BF76" i="9"/>
  <c r="BG76" i="9" s="1"/>
  <c r="BH76" i="9" s="1" a="1"/>
  <c r="BH76" i="9" s="1"/>
  <c r="BJ84" i="9"/>
  <c r="BK84" i="9" s="1"/>
  <c r="BL84" i="9" s="1" a="1"/>
  <c r="BL84" i="9" s="1"/>
  <c r="BR63" i="9"/>
  <c r="BS63" i="9" s="1"/>
  <c r="BL64" i="9" a="1"/>
  <c r="BL64" i="9" s="1"/>
  <c r="BZ46" i="9"/>
  <c r="CA46" i="9" s="1"/>
  <c r="CB46" i="9" s="1" a="1"/>
  <c r="CB46" i="9" s="1"/>
  <c r="CH63" i="9"/>
  <c r="CI63" i="9" s="1"/>
  <c r="BR55" i="9"/>
  <c r="BS55" i="9" s="1"/>
  <c r="BR24" i="9"/>
  <c r="BS24" i="9" s="1"/>
  <c r="BR43" i="9"/>
  <c r="BS43" i="9" s="1"/>
  <c r="CO60" i="9" a="1"/>
  <c r="CO60" i="9" s="1"/>
  <c r="CN60" i="9" a="1"/>
  <c r="CN60" i="9" s="1"/>
  <c r="CO29" i="9" a="1"/>
  <c r="CO29" i="9" s="1"/>
  <c r="CN29" i="9" a="1"/>
  <c r="CN29" i="9" s="1"/>
  <c r="BT98" i="9" a="1"/>
  <c r="BT98" i="9" s="1"/>
  <c r="BU98" i="9" a="1"/>
  <c r="BU98" i="9" s="1"/>
  <c r="BJ104" i="9"/>
  <c r="BK104" i="9" s="1"/>
  <c r="CL104" i="9"/>
  <c r="CM104" i="9" s="1"/>
  <c r="CD104" i="9"/>
  <c r="CE104" i="9" s="1"/>
  <c r="BF104" i="9"/>
  <c r="BG104" i="9" s="1"/>
  <c r="BH104" i="9" s="1" a="1"/>
  <c r="BH104" i="9" s="1"/>
  <c r="BR104" i="9"/>
  <c r="BS104" i="9" s="1"/>
  <c r="BN104" i="9"/>
  <c r="BO104" i="9" s="1"/>
  <c r="BZ104" i="9"/>
  <c r="CA104" i="9" s="1"/>
  <c r="CB104" i="9" s="1" a="1"/>
  <c r="CB104" i="9" s="1"/>
  <c r="BN66" i="9"/>
  <c r="BO66" i="9" s="1"/>
  <c r="BP96" i="9" a="1"/>
  <c r="BP96" i="9" s="1"/>
  <c r="CF99" i="9" a="1"/>
  <c r="CF99" i="9" s="1"/>
  <c r="CJ99" i="9" a="1"/>
  <c r="CJ99" i="9" s="1"/>
  <c r="BL28" i="9" a="1"/>
  <c r="BL28" i="9" s="1"/>
  <c r="CN82" i="9" a="1"/>
  <c r="CN82" i="9" s="1"/>
  <c r="CO82" i="9" a="1"/>
  <c r="CO82" i="9" s="1"/>
  <c r="BU87" i="9" a="1"/>
  <c r="BU87" i="9" s="1"/>
  <c r="BT87" i="9" a="1"/>
  <c r="BT87" i="9" s="1"/>
  <c r="BL112" i="9" a="1"/>
  <c r="BL112" i="9" s="1"/>
  <c r="BP112" i="9" a="1"/>
  <c r="BP112" i="9" s="1"/>
  <c r="BP70" i="9" a="1"/>
  <c r="BP70" i="9" s="1"/>
  <c r="BP71" i="9" a="1"/>
  <c r="BP71" i="9" s="1"/>
  <c r="BT71" i="9" a="1"/>
  <c r="BT71" i="9" s="1"/>
  <c r="BJ26" i="9"/>
  <c r="BK26" i="9" s="1"/>
  <c r="BR26" i="9"/>
  <c r="BS26" i="9" s="1"/>
  <c r="BN26" i="9"/>
  <c r="BO26" i="9" s="1"/>
  <c r="CL26" i="9"/>
  <c r="CM26" i="9" s="1"/>
  <c r="CD30" i="9"/>
  <c r="CE30" i="9" s="1"/>
  <c r="CF30" i="9" s="1" a="1"/>
  <c r="CF30" i="9" s="1"/>
  <c r="CL30" i="9"/>
  <c r="CM30" i="9" s="1"/>
  <c r="CH30" i="9"/>
  <c r="CI30" i="9" s="1"/>
  <c r="BR30" i="9"/>
  <c r="BS30" i="9" s="1"/>
  <c r="CB64" i="9" a="1"/>
  <c r="CB64" i="9" s="1"/>
  <c r="CF64" i="9" a="1"/>
  <c r="CF64" i="9" s="1"/>
  <c r="CF77" i="9" a="1"/>
  <c r="CF77" i="9" s="1"/>
  <c r="CJ77" i="9" a="1"/>
  <c r="CJ77" i="9" s="1"/>
  <c r="BU64" i="9" a="1"/>
  <c r="BU64" i="9" s="1"/>
  <c r="BT64" i="9" a="1"/>
  <c r="BT64" i="9" s="1"/>
  <c r="BJ46" i="9"/>
  <c r="BK46" i="9" s="1"/>
  <c r="BT85" i="9" a="1"/>
  <c r="BT85" i="9" s="1"/>
  <c r="BU85" i="9" a="1"/>
  <c r="BU85" i="9" s="1"/>
  <c r="BP28" i="9" a="1"/>
  <c r="BP28" i="9" s="1"/>
  <c r="CO27" i="9" a="1"/>
  <c r="CO27" i="9" s="1"/>
  <c r="CN27" i="9" a="1"/>
  <c r="CN27" i="9" s="1"/>
  <c r="CF61" i="9" a="1"/>
  <c r="CF61" i="9" s="1"/>
  <c r="CJ61" i="9" a="1"/>
  <c r="CJ61" i="9" s="1"/>
  <c r="BU61" i="9" a="1"/>
  <c r="BU61" i="9" s="1"/>
  <c r="BT61" i="9" a="1"/>
  <c r="BT61" i="9" s="1"/>
  <c r="CO71" i="9" a="1"/>
  <c r="CO71" i="9" s="1"/>
  <c r="CN71" i="9" a="1"/>
  <c r="CN71" i="9" s="1"/>
  <c r="BZ88" i="9"/>
  <c r="CA88" i="9" s="1"/>
  <c r="CB88" i="9" s="1" a="1"/>
  <c r="CB88" i="9" s="1"/>
  <c r="BF88" i="9"/>
  <c r="BG88" i="9" s="1"/>
  <c r="BH88" i="9" s="1" a="1"/>
  <c r="BH88" i="9" s="1"/>
  <c r="CL88" i="9"/>
  <c r="CM88" i="9" s="1"/>
  <c r="BR88" i="9"/>
  <c r="BS88" i="9" s="1"/>
  <c r="CD88" i="9"/>
  <c r="CE88" i="9" s="1"/>
  <c r="BJ88" i="9"/>
  <c r="BK88" i="9" s="1"/>
  <c r="BT35" i="9" a="1"/>
  <c r="BT35" i="9" s="1"/>
  <c r="BU35" i="9" a="1"/>
  <c r="BU35" i="9" s="1"/>
  <c r="BN38" i="9"/>
  <c r="BO38" i="9" s="1"/>
  <c r="BP38" i="9" s="1" a="1"/>
  <c r="BP38" i="9" s="1"/>
  <c r="CH38" i="9"/>
  <c r="CI38" i="9" s="1"/>
  <c r="CD38" i="9"/>
  <c r="CE38" i="9" s="1"/>
  <c r="CL38" i="9"/>
  <c r="CM38" i="9" s="1"/>
  <c r="BF38" i="9"/>
  <c r="BG38" i="9" s="1"/>
  <c r="BH38" i="9" s="1" a="1"/>
  <c r="BH38" i="9" s="1"/>
  <c r="BZ38" i="9"/>
  <c r="CA38" i="9" s="1"/>
  <c r="CB38" i="9" s="1" a="1"/>
  <c r="CB38" i="9" s="1"/>
  <c r="CO72" i="9" a="1"/>
  <c r="CO72" i="9" s="1"/>
  <c r="CN72" i="9" a="1"/>
  <c r="CN72" i="9" s="1"/>
  <c r="CF27" i="9" a="1"/>
  <c r="CF27" i="9" s="1"/>
  <c r="CJ27" i="9" a="1"/>
  <c r="CJ27" i="9" s="1"/>
  <c r="BF46" i="9"/>
  <c r="BG46" i="9" s="1"/>
  <c r="BH46" i="9" s="1" a="1"/>
  <c r="BH46" i="9" s="1"/>
  <c r="BF45" i="9"/>
  <c r="BG45" i="9" s="1"/>
  <c r="BH45" i="9" s="1" a="1"/>
  <c r="BH45" i="9" s="1"/>
  <c r="BF25" i="9"/>
  <c r="BG25" i="9" s="1"/>
  <c r="BH25" i="9" s="1" a="1"/>
  <c r="BH25" i="9" s="1"/>
  <c r="BJ25" i="9"/>
  <c r="BK25" i="9" s="1"/>
  <c r="CD25" i="9"/>
  <c r="CE25" i="9" s="1"/>
  <c r="BN25" i="9"/>
  <c r="BO25" i="9" s="1"/>
  <c r="BZ25" i="9"/>
  <c r="CA25" i="9" s="1"/>
  <c r="CB25" i="9" s="1" a="1"/>
  <c r="CB25" i="9" s="1"/>
  <c r="CL25" i="9"/>
  <c r="CM25" i="9" s="1"/>
  <c r="CO96" i="9" a="1"/>
  <c r="CO96" i="9" s="1"/>
  <c r="BJ34" i="9"/>
  <c r="BK34" i="9" s="1"/>
  <c r="BP64" i="9" a="1"/>
  <c r="BP64" i="9" s="1"/>
  <c r="CF86" i="9" a="1"/>
  <c r="CF86" i="9" s="1"/>
  <c r="BH98" i="9" a="1"/>
  <c r="BH98" i="9" s="1"/>
  <c r="BL98" i="9" a="1"/>
  <c r="BL98" i="9" s="1"/>
  <c r="BU108" i="9" a="1"/>
  <c r="BU108" i="9" s="1"/>
  <c r="CL78" i="9"/>
  <c r="CM78" i="9" s="1"/>
  <c r="BJ66" i="9"/>
  <c r="BK66" i="9" s="1"/>
  <c r="BU116" i="9" a="1"/>
  <c r="BU116" i="9" s="1"/>
  <c r="CF103" i="9" a="1"/>
  <c r="CF103" i="9" s="1"/>
  <c r="BP36" i="9" a="1"/>
  <c r="BP36" i="9" s="1"/>
  <c r="BF68" i="9"/>
  <c r="BG68" i="9" s="1"/>
  <c r="BH68" i="9" s="1" a="1"/>
  <c r="BH68" i="9" s="1"/>
  <c r="BZ68" i="9"/>
  <c r="CA68" i="9" s="1"/>
  <c r="CB68" i="9" s="1" a="1"/>
  <c r="CB68" i="9" s="1"/>
  <c r="BF26" i="9"/>
  <c r="BG26" i="9" s="1"/>
  <c r="BH26" i="9" s="1" a="1"/>
  <c r="BH26" i="9" s="1"/>
  <c r="BJ37" i="9"/>
  <c r="BK37" i="9" s="1"/>
  <c r="CD37" i="9"/>
  <c r="CE37" i="9" s="1"/>
  <c r="CH26" i="9"/>
  <c r="CI26" i="9" s="1"/>
  <c r="CJ26" i="9" s="1" a="1"/>
  <c r="CJ26" i="9" s="1"/>
  <c r="CD24" i="9"/>
  <c r="CE24" i="9" s="1"/>
  <c r="BN24" i="9"/>
  <c r="BO24" i="9" s="1"/>
  <c r="BP24" i="9" s="1" a="1"/>
  <c r="BP24" i="9" s="1"/>
  <c r="CH24" i="9"/>
  <c r="CI24" i="9" s="1"/>
  <c r="CL24" i="9"/>
  <c r="CM24" i="9" s="1"/>
  <c r="BP29" i="9" a="1"/>
  <c r="BP29" i="9" s="1"/>
  <c r="BL52" i="9" a="1"/>
  <c r="BL52" i="9" s="1"/>
  <c r="BP52" i="9" a="1"/>
  <c r="BP52" i="9" s="1"/>
  <c r="BJ32" i="9"/>
  <c r="BK32" i="9" s="1"/>
  <c r="BF32" i="9"/>
  <c r="BG32" i="9" s="1"/>
  <c r="BH32" i="9" s="1" a="1"/>
  <c r="BH32" i="9" s="1"/>
  <c r="BN32" i="9"/>
  <c r="BO32" i="9" s="1"/>
  <c r="CL32" i="9"/>
  <c r="CM32" i="9" s="1"/>
  <c r="BZ32" i="9"/>
  <c r="CA32" i="9" s="1"/>
  <c r="CB32" i="9" s="1" a="1"/>
  <c r="CB32" i="9" s="1"/>
  <c r="CN54" i="9" a="1"/>
  <c r="CN54" i="9" s="1"/>
  <c r="CO54" i="9" a="1"/>
  <c r="CO54" i="9" s="1"/>
  <c r="CN75" i="9" a="1"/>
  <c r="CN75" i="9" s="1"/>
  <c r="CO75" i="9" a="1"/>
  <c r="CO75" i="9" s="1"/>
  <c r="CH46" i="9"/>
  <c r="CI46" i="9" s="1"/>
  <c r="CJ46" i="9" s="1" a="1"/>
  <c r="CJ46" i="9" s="1"/>
  <c r="BJ30" i="9"/>
  <c r="BK30" i="9" s="1"/>
  <c r="BL30" i="9" s="1" a="1"/>
  <c r="BL30" i="9" s="1"/>
  <c r="BJ49" i="9"/>
  <c r="BK49" i="9" s="1"/>
  <c r="CD55" i="9"/>
  <c r="CE55" i="9" s="1"/>
  <c r="CF55" i="9" s="1" a="1"/>
  <c r="CF55" i="9" s="1"/>
  <c r="BR32" i="9"/>
  <c r="BS32" i="9" s="1"/>
  <c r="CF53" i="9" a="1"/>
  <c r="CF53" i="9" s="1"/>
  <c r="BZ24" i="9"/>
  <c r="CA24" i="9" s="1"/>
  <c r="CB24" i="9" s="1" a="1"/>
  <c r="CB24" i="9" s="1"/>
  <c r="CF96" i="9" a="1"/>
  <c r="CF96" i="9" s="1"/>
  <c r="BZ34" i="9"/>
  <c r="CA34" i="9" s="1"/>
  <c r="CB34" i="9" s="1" a="1"/>
  <c r="CB34" i="9" s="1"/>
  <c r="CJ114" i="9" a="1"/>
  <c r="CJ114" i="9" s="1"/>
  <c r="BN79" i="9"/>
  <c r="BO79" i="9" s="1"/>
  <c r="BF79" i="9"/>
  <c r="BG79" i="9" s="1"/>
  <c r="BH79" i="9" s="1" a="1"/>
  <c r="BH79" i="9" s="1"/>
  <c r="BJ79" i="9"/>
  <c r="BK79" i="9" s="1"/>
  <c r="CL79" i="9"/>
  <c r="CM79" i="9" s="1"/>
  <c r="CH79" i="9"/>
  <c r="CI79" i="9" s="1"/>
  <c r="CJ79" i="9" s="1" a="1"/>
  <c r="CJ79" i="9" s="1"/>
  <c r="BP99" i="9" a="1"/>
  <c r="BP99" i="9" s="1"/>
  <c r="BV99" i="9" s="1"/>
  <c r="Q99" i="9" s="1"/>
  <c r="BZ67" i="9"/>
  <c r="CA67" i="9" s="1"/>
  <c r="CB67" i="9" s="1" a="1"/>
  <c r="CB67" i="9" s="1"/>
  <c r="BJ67" i="9"/>
  <c r="BK67" i="9" s="1"/>
  <c r="CL67" i="9"/>
  <c r="CM67" i="9" s="1"/>
  <c r="CD67" i="9"/>
  <c r="CE67" i="9" s="1"/>
  <c r="BR67" i="9"/>
  <c r="BS67" i="9" s="1"/>
  <c r="BF67" i="9"/>
  <c r="BG67" i="9" s="1"/>
  <c r="BH67" i="9" s="1" a="1"/>
  <c r="BH67" i="9" s="1"/>
  <c r="BN67" i="9"/>
  <c r="BO67" i="9" s="1"/>
  <c r="BR51" i="9"/>
  <c r="BS51" i="9" s="1"/>
  <c r="BF51" i="9"/>
  <c r="BG51" i="9" s="1"/>
  <c r="BH51" i="9" s="1" a="1"/>
  <c r="BH51" i="9" s="1"/>
  <c r="BJ51" i="9"/>
  <c r="BK51" i="9" s="1"/>
  <c r="BZ51" i="9"/>
  <c r="CA51" i="9" s="1"/>
  <c r="CB51" i="9" s="1" a="1"/>
  <c r="CB51" i="9" s="1"/>
  <c r="CD51" i="9"/>
  <c r="CE51" i="9" s="1"/>
  <c r="CF51" i="9" s="1" a="1"/>
  <c r="CF51" i="9" s="1"/>
  <c r="CL51" i="9"/>
  <c r="CM51" i="9" s="1"/>
  <c r="BU114" i="9" a="1"/>
  <c r="BU114" i="9" s="1"/>
  <c r="CD33" i="9"/>
  <c r="CE33" i="9" s="1"/>
  <c r="CF33" i="9" s="1" a="1"/>
  <c r="CF33" i="9" s="1"/>
  <c r="BJ33" i="9"/>
  <c r="BK33" i="9" s="1"/>
  <c r="BL33" i="9" s="1" a="1"/>
  <c r="BL33" i="9" s="1"/>
  <c r="BR33" i="9"/>
  <c r="BS33" i="9" s="1"/>
  <c r="CH33" i="9"/>
  <c r="CI33" i="9" s="1"/>
  <c r="CF90" i="9" a="1"/>
  <c r="CF90" i="9" s="1"/>
  <c r="CJ90" i="9" a="1"/>
  <c r="CJ90" i="9" s="1"/>
  <c r="BL48" i="9" a="1"/>
  <c r="BL48" i="9" s="1"/>
  <c r="CH51" i="9"/>
  <c r="CI51" i="9" s="1"/>
  <c r="BU74" i="9" a="1"/>
  <c r="BU74" i="9" s="1"/>
  <c r="BT74" i="9" a="1"/>
  <c r="BT74" i="9" s="1"/>
  <c r="BF40" i="9"/>
  <c r="BG40" i="9" s="1"/>
  <c r="BH40" i="9" s="1" a="1"/>
  <c r="BH40" i="9" s="1"/>
  <c r="BZ40" i="9"/>
  <c r="CA40" i="9" s="1"/>
  <c r="CB40" i="9" s="1" a="1"/>
  <c r="CB40" i="9" s="1"/>
  <c r="BJ40" i="9"/>
  <c r="BK40" i="9" s="1"/>
  <c r="BR40" i="9"/>
  <c r="BS40" i="9" s="1"/>
  <c r="BN40" i="9"/>
  <c r="BO40" i="9" s="1"/>
  <c r="BP40" i="9" s="1" a="1"/>
  <c r="BP40" i="9" s="1"/>
  <c r="CL44" i="9"/>
  <c r="CM44" i="9" s="1"/>
  <c r="CD44" i="9"/>
  <c r="CE44" i="9" s="1"/>
  <c r="BZ44" i="9"/>
  <c r="CA44" i="9" s="1"/>
  <c r="CB44" i="9" s="1" a="1"/>
  <c r="CB44" i="9" s="1"/>
  <c r="BF44" i="9"/>
  <c r="BG44" i="9" s="1"/>
  <c r="BH44" i="9" s="1" a="1"/>
  <c r="BH44" i="9" s="1"/>
  <c r="BJ44" i="9"/>
  <c r="BK44" i="9" s="1"/>
  <c r="BJ68" i="9"/>
  <c r="BK68" i="9" s="1"/>
  <c r="CO52" i="9" a="1"/>
  <c r="CO52" i="9" s="1"/>
  <c r="CN52" i="9" a="1"/>
  <c r="CN52" i="9" s="1"/>
  <c r="BN46" i="9"/>
  <c r="BO46" i="9" s="1"/>
  <c r="BP46" i="9" s="1" a="1"/>
  <c r="BP46" i="9" s="1"/>
  <c r="CH68" i="9"/>
  <c r="CI68" i="9" s="1"/>
  <c r="CO73" i="9" a="1"/>
  <c r="CO73" i="9" s="1"/>
  <c r="CO64" i="9" a="1"/>
  <c r="CO64" i="9" s="1"/>
  <c r="CN64" i="9" a="1"/>
  <c r="CN64" i="9" s="1"/>
  <c r="CD66" i="9"/>
  <c r="CE66" i="9" s="1"/>
  <c r="CF66" i="9" s="1" a="1"/>
  <c r="CF66" i="9" s="1"/>
  <c r="CL66" i="9"/>
  <c r="CM66" i="9" s="1"/>
  <c r="CH66" i="9"/>
  <c r="CI66" i="9" s="1"/>
  <c r="BR66" i="9"/>
  <c r="BS66" i="9" s="1"/>
  <c r="BF37" i="9"/>
  <c r="BG37" i="9" s="1"/>
  <c r="BH37" i="9" s="1" a="1"/>
  <c r="BH37" i="9" s="1"/>
  <c r="CB47" i="9" a="1"/>
  <c r="CB47" i="9" s="1"/>
  <c r="BU78" i="9" a="1"/>
  <c r="BU78" i="9" s="1"/>
  <c r="CD68" i="9"/>
  <c r="CE68" i="9" s="1"/>
  <c r="BF23" i="9"/>
  <c r="BG23" i="9" s="1"/>
  <c r="BH23" i="9" s="1" a="1"/>
  <c r="BH23" i="9" s="1"/>
  <c r="BZ23" i="9"/>
  <c r="CA23" i="9" s="1"/>
  <c r="CB23" i="9" s="1" a="1"/>
  <c r="CB23" i="9" s="1"/>
  <c r="BN23" i="9"/>
  <c r="BO23" i="9" s="1"/>
  <c r="BT23" i="9" s="1" a="1"/>
  <c r="BT23" i="9" s="1"/>
  <c r="CH23" i="9"/>
  <c r="CI23" i="9" s="1"/>
  <c r="CJ23" i="9" s="1" a="1"/>
  <c r="CJ23" i="9" s="1"/>
  <c r="BJ23" i="9"/>
  <c r="BK23" i="9" s="1"/>
  <c r="BP106" i="9" a="1"/>
  <c r="BP106" i="9" s="1"/>
  <c r="BT106" i="9" a="1"/>
  <c r="BT106" i="9" s="1"/>
  <c r="CO120" i="9" a="1"/>
  <c r="CO120" i="9" s="1"/>
  <c r="CN120" i="9" a="1"/>
  <c r="CN120" i="9" s="1"/>
  <c r="BR34" i="9"/>
  <c r="BS34" i="9" s="1"/>
  <c r="CL43" i="9"/>
  <c r="CM43" i="9" s="1"/>
  <c r="BU101" i="9" a="1"/>
  <c r="BU101" i="9" s="1"/>
  <c r="CN87" i="9" a="1"/>
  <c r="CN87" i="9" s="1"/>
  <c r="CO108" i="9" a="1"/>
  <c r="CO108" i="9" s="1"/>
  <c r="BT41" i="9" a="1"/>
  <c r="BT41" i="9" s="1"/>
  <c r="BU41" i="9" a="1"/>
  <c r="BU41" i="9" s="1"/>
  <c r="BU79" i="9" a="1"/>
  <c r="BU79" i="9" s="1"/>
  <c r="BT79" i="9" a="1"/>
  <c r="BT79" i="9" s="1"/>
  <c r="CO86" i="9" a="1"/>
  <c r="CO86" i="9" s="1"/>
  <c r="BU119" i="9" a="1"/>
  <c r="BU119" i="9" s="1"/>
  <c r="BT119" i="9" a="1"/>
  <c r="BT119" i="9" s="1"/>
  <c r="BT52" i="9" a="1"/>
  <c r="BT52" i="9" s="1"/>
  <c r="BU52" i="9" a="1"/>
  <c r="BU52" i="9" s="1"/>
  <c r="BR45" i="9"/>
  <c r="BS45" i="9" s="1"/>
  <c r="BZ45" i="9"/>
  <c r="CA45" i="9" s="1"/>
  <c r="CB45" i="9" s="1" a="1"/>
  <c r="CB45" i="9" s="1"/>
  <c r="CL45" i="9"/>
  <c r="CM45" i="9" s="1"/>
  <c r="BJ45" i="9"/>
  <c r="BK45" i="9" s="1"/>
  <c r="CD45" i="9"/>
  <c r="CE45" i="9" s="1"/>
  <c r="CF71" i="9" a="1"/>
  <c r="CF71" i="9" s="1"/>
  <c r="CO36" i="9" a="1"/>
  <c r="CO36" i="9" s="1"/>
  <c r="CN36" i="9" a="1"/>
  <c r="CN36" i="9" s="1"/>
  <c r="BF62" i="9"/>
  <c r="BG62" i="9" s="1"/>
  <c r="BH62" i="9" s="1" a="1"/>
  <c r="BH62" i="9" s="1"/>
  <c r="BU94" i="9" a="1"/>
  <c r="BU94" i="9" s="1"/>
  <c r="CL40" i="9"/>
  <c r="CM40" i="9" s="1"/>
  <c r="CF60" i="9" a="1"/>
  <c r="CF60" i="9" s="1"/>
  <c r="CJ60" i="9" a="1"/>
  <c r="CJ60" i="9" s="1"/>
  <c r="CF52" i="9" a="1"/>
  <c r="CF52" i="9" s="1"/>
  <c r="CJ52" i="9" a="1"/>
  <c r="CJ52" i="9" s="1"/>
  <c r="CL81" i="9"/>
  <c r="CM81" i="9" s="1"/>
  <c r="CD80" i="9"/>
  <c r="CE80" i="9" s="1"/>
  <c r="CL80" i="9"/>
  <c r="CM80" i="9" s="1"/>
  <c r="BF80" i="9"/>
  <c r="BG80" i="9" s="1"/>
  <c r="BH80" i="9" s="1" a="1"/>
  <c r="BH80" i="9" s="1"/>
  <c r="BZ80" i="9"/>
  <c r="CA80" i="9" s="1"/>
  <c r="CB80" i="9" s="1" a="1"/>
  <c r="CB80" i="9" s="1"/>
  <c r="BN80" i="9"/>
  <c r="BO80" i="9" s="1"/>
  <c r="BP80" i="9" s="1" a="1"/>
  <c r="BP80" i="9" s="1"/>
  <c r="BR80" i="9"/>
  <c r="BS80" i="9" s="1"/>
  <c r="CH80" i="9"/>
  <c r="CI80" i="9" s="1"/>
  <c r="CJ80" i="9" s="1" a="1"/>
  <c r="CJ80" i="9" s="1"/>
  <c r="BZ28" i="9"/>
  <c r="CA28" i="9" s="1"/>
  <c r="CB28" i="9" s="1" a="1"/>
  <c r="CB28" i="9" s="1"/>
  <c r="BP53" i="9" a="1"/>
  <c r="BP53" i="9" s="1"/>
  <c r="BT53" i="9" a="1"/>
  <c r="BT53" i="9" s="1"/>
  <c r="CJ85" i="9" a="1"/>
  <c r="CJ85" i="9" s="1"/>
  <c r="CN85" i="9" a="1"/>
  <c r="CN85" i="9" s="1"/>
  <c r="BZ37" i="9"/>
  <c r="CA37" i="9" s="1"/>
  <c r="CB37" i="9" s="1" a="1"/>
  <c r="CB37" i="9" s="1"/>
  <c r="BN33" i="9"/>
  <c r="BO33" i="9" s="1"/>
  <c r="BJ42" i="9"/>
  <c r="BK42" i="9" s="1"/>
  <c r="BZ42" i="9"/>
  <c r="CA42" i="9" s="1"/>
  <c r="CB42" i="9" s="1" a="1"/>
  <c r="CB42" i="9" s="1"/>
  <c r="CD42" i="9"/>
  <c r="CE42" i="9" s="1"/>
  <c r="CH42" i="9"/>
  <c r="CI42" i="9" s="1"/>
  <c r="BR42" i="9"/>
  <c r="BS42" i="9" s="1"/>
  <c r="BF42" i="9"/>
  <c r="BG42" i="9" s="1"/>
  <c r="BH42" i="9" s="1" a="1"/>
  <c r="BH42" i="9" s="1"/>
  <c r="BZ78" i="9"/>
  <c r="CA78" i="9" s="1"/>
  <c r="CB78" i="9" s="1" a="1"/>
  <c r="CB78" i="9" s="1"/>
  <c r="CD41" i="9"/>
  <c r="CE41" i="9" s="1"/>
  <c r="BZ41" i="9"/>
  <c r="CA41" i="9" s="1"/>
  <c r="CB41" i="9" s="1" a="1"/>
  <c r="CB41" i="9" s="1"/>
  <c r="CL41" i="9"/>
  <c r="CM41" i="9" s="1"/>
  <c r="CH41" i="9"/>
  <c r="CI41" i="9" s="1"/>
  <c r="BR38" i="9"/>
  <c r="BS38" i="9" s="1"/>
  <c r="BZ43" i="9"/>
  <c r="CA43" i="9" s="1"/>
  <c r="CB43" i="9" s="1" a="1"/>
  <c r="CB43" i="9" s="1"/>
  <c r="BP85" i="9" a="1"/>
  <c r="BP85" i="9" s="1"/>
  <c r="BU109" i="9" a="1"/>
  <c r="BU109" i="9" s="1"/>
  <c r="CH104" i="9"/>
  <c r="CI104" i="9" s="1"/>
  <c r="CN111" i="9" a="1"/>
  <c r="CN111" i="9" s="1"/>
  <c r="CO111" i="9" a="1"/>
  <c r="CO111" i="9" s="1"/>
  <c r="CJ35" i="9" a="1"/>
  <c r="CJ35" i="9" s="1"/>
  <c r="CN53" i="9" a="1"/>
  <c r="CN53" i="9" s="1"/>
  <c r="CL65" i="9"/>
  <c r="CM65" i="9" s="1"/>
  <c r="BZ65" i="9"/>
  <c r="CA65" i="9" s="1"/>
  <c r="CB65" i="9" s="1" a="1"/>
  <c r="CB65" i="9" s="1"/>
  <c r="CD65" i="9"/>
  <c r="CE65" i="9" s="1"/>
  <c r="BJ65" i="9"/>
  <c r="BK65" i="9" s="1"/>
  <c r="BL65" i="9" s="1" a="1"/>
  <c r="BL65" i="9" s="1"/>
  <c r="BU103" i="9" a="1"/>
  <c r="BU103" i="9" s="1"/>
  <c r="CL31" i="9"/>
  <c r="CM31" i="9" s="1"/>
  <c r="BR65" i="9"/>
  <c r="BS65" i="9" s="1"/>
  <c r="CH65" i="9"/>
  <c r="CI65" i="9" s="1"/>
  <c r="CF54" i="9" a="1"/>
  <c r="CF54" i="9" s="1"/>
  <c r="BP61" i="9" a="1"/>
  <c r="BP61" i="9" s="1"/>
  <c r="CN106" i="9" a="1"/>
  <c r="CN106" i="9" s="1"/>
  <c r="CO106" i="9" a="1"/>
  <c r="CO106" i="9" s="1"/>
  <c r="BP93" i="9" a="1"/>
  <c r="BP93" i="9" s="1"/>
  <c r="CF100" i="9" a="1"/>
  <c r="CF100" i="9" s="1"/>
  <c r="BJ94" i="9"/>
  <c r="BK94" i="9" s="1"/>
  <c r="BL94" i="9" s="1" a="1"/>
  <c r="BL94" i="9" s="1"/>
  <c r="BZ108" i="9"/>
  <c r="CA108" i="9" s="1"/>
  <c r="CB108" i="9" s="1" a="1"/>
  <c r="CB108" i="9" s="1"/>
  <c r="BJ103" i="9"/>
  <c r="BK103" i="9" s="1"/>
  <c r="BL103" i="9" s="1" a="1"/>
  <c r="BL103" i="9" s="1"/>
  <c r="BL118" i="9" a="1"/>
  <c r="BL118" i="9" s="1"/>
  <c r="CD113" i="9"/>
  <c r="CE113" i="9" s="1"/>
  <c r="BF119" i="9"/>
  <c r="BG119" i="9" s="1"/>
  <c r="BH119" i="9" s="1" a="1"/>
  <c r="BH119" i="9" s="1"/>
  <c r="CL119" i="9"/>
  <c r="CM119" i="9" s="1"/>
  <c r="BZ119" i="9"/>
  <c r="CA119" i="9" s="1"/>
  <c r="CB119" i="9" s="1" a="1"/>
  <c r="CB119" i="9" s="1"/>
  <c r="CD119" i="9"/>
  <c r="CE119" i="9" s="1"/>
  <c r="BJ116" i="9"/>
  <c r="BK116" i="9" s="1"/>
  <c r="CJ110" i="9" a="1"/>
  <c r="CJ110" i="9" s="1"/>
  <c r="CH119" i="9"/>
  <c r="CI119" i="9" s="1"/>
  <c r="BR105" i="9"/>
  <c r="BS105" i="9" s="1"/>
  <c r="BJ50" i="9"/>
  <c r="BK50" i="9" s="1"/>
  <c r="BL50" i="9" s="1" a="1"/>
  <c r="BL50" i="9" s="1"/>
  <c r="CL50" i="9"/>
  <c r="CM50" i="9" s="1"/>
  <c r="BZ69" i="9"/>
  <c r="CA69" i="9" s="1"/>
  <c r="CB69" i="9" s="1" a="1"/>
  <c r="CB69" i="9" s="1"/>
  <c r="BJ69" i="9"/>
  <c r="BK69" i="9" s="1"/>
  <c r="BN69" i="9"/>
  <c r="BO69" i="9" s="1"/>
  <c r="CL69" i="9"/>
  <c r="CM69" i="9" s="1"/>
  <c r="CD69" i="9"/>
  <c r="CE69" i="9" s="1"/>
  <c r="BF69" i="9"/>
  <c r="BG69" i="9" s="1"/>
  <c r="BH69" i="9" s="1" a="1"/>
  <c r="BH69" i="9" s="1"/>
  <c r="CH69" i="9"/>
  <c r="CI69" i="9" s="1"/>
  <c r="BR69" i="9"/>
  <c r="BS69" i="9" s="1"/>
  <c r="CN94" i="9" a="1"/>
  <c r="CN94" i="9" s="1"/>
  <c r="CO94" i="9" a="1"/>
  <c r="CO94" i="9" s="1"/>
  <c r="CN48" i="9" a="1"/>
  <c r="CN48" i="9" s="1"/>
  <c r="CO48" i="9" a="1"/>
  <c r="CO48" i="9" s="1"/>
  <c r="CH50" i="9"/>
  <c r="CI50" i="9" s="1"/>
  <c r="CJ50" i="9" s="1" a="1"/>
  <c r="CJ50" i="9" s="1"/>
  <c r="BT90" i="9" a="1"/>
  <c r="BT90" i="9" s="1"/>
  <c r="BU90" i="9" a="1"/>
  <c r="BU90" i="9" s="1"/>
  <c r="BN107" i="9"/>
  <c r="BO107" i="9" s="1"/>
  <c r="BJ107" i="9"/>
  <c r="BK107" i="9" s="1"/>
  <c r="BL107" i="9" s="1" a="1"/>
  <c r="BL107" i="9" s="1"/>
  <c r="BR107" i="9"/>
  <c r="BS107" i="9" s="1"/>
  <c r="CH109" i="9"/>
  <c r="CI109" i="9" s="1"/>
  <c r="CJ109" i="9" s="1" a="1"/>
  <c r="CJ109" i="9" s="1"/>
  <c r="CF111" i="9" a="1"/>
  <c r="CF111" i="9" s="1"/>
  <c r="BZ116" i="9"/>
  <c r="CA116" i="9" s="1"/>
  <c r="CB116" i="9" s="1" a="1"/>
  <c r="CB116" i="9" s="1"/>
  <c r="CL116" i="9"/>
  <c r="CM116" i="9" s="1"/>
  <c r="CH116" i="9"/>
  <c r="CI116" i="9" s="1"/>
  <c r="BU93" i="9" a="1"/>
  <c r="BU93" i="9" s="1"/>
  <c r="BT93" i="9" a="1"/>
  <c r="BT93" i="9" s="1"/>
  <c r="CN90" i="9" a="1"/>
  <c r="CN90" i="9" s="1"/>
  <c r="CO90" i="9" a="1"/>
  <c r="CO90" i="9" s="1"/>
  <c r="CD122" i="9"/>
  <c r="CE122" i="9" s="1"/>
  <c r="CF122" i="9" s="1" a="1"/>
  <c r="CF122" i="9" s="1"/>
  <c r="BP110" i="9" a="1"/>
  <c r="BP110" i="9" s="1"/>
  <c r="BN94" i="9"/>
  <c r="BO94" i="9" s="1"/>
  <c r="BP94" i="9" s="1" a="1"/>
  <c r="BP94" i="9" s="1"/>
  <c r="BJ109" i="9"/>
  <c r="BK109" i="9" s="1"/>
  <c r="BL109" i="9" s="1" a="1"/>
  <c r="BL109" i="9" s="1"/>
  <c r="BZ83" i="9"/>
  <c r="CA83" i="9" s="1"/>
  <c r="CB83" i="9" s="1" a="1"/>
  <c r="CB83" i="9" s="1"/>
  <c r="BN114" i="9"/>
  <c r="BO114" i="9" s="1"/>
  <c r="BP114" i="9" s="1" a="1"/>
  <c r="BP114" i="9" s="1"/>
  <c r="CO89" i="9" a="1"/>
  <c r="CO89" i="9" s="1"/>
  <c r="CN89" i="9" a="1"/>
  <c r="CN89" i="9" s="1"/>
  <c r="CN93" i="9" a="1"/>
  <c r="CN93" i="9" s="1"/>
  <c r="CO93" i="9" a="1"/>
  <c r="CO93" i="9" s="1"/>
  <c r="BN109" i="9"/>
  <c r="BO109" i="9" s="1"/>
  <c r="BU118" i="9" a="1"/>
  <c r="BU118" i="9" s="1"/>
  <c r="BT118" i="9" a="1"/>
  <c r="BT118" i="9" s="1"/>
  <c r="BR122" i="9"/>
  <c r="BS122" i="9" s="1"/>
  <c r="BP97" i="9" a="1"/>
  <c r="BP97" i="9" s="1"/>
  <c r="BF116" i="9"/>
  <c r="BG116" i="9" s="1"/>
  <c r="BH116" i="9" s="1" a="1"/>
  <c r="BH116" i="9" s="1"/>
  <c r="CL92" i="9"/>
  <c r="CM92" i="9" s="1"/>
  <c r="CD92" i="9"/>
  <c r="CE92" i="9" s="1"/>
  <c r="BN92" i="9"/>
  <c r="BO92" i="9" s="1"/>
  <c r="BP92" i="9" s="1" a="1"/>
  <c r="BP92" i="9" s="1"/>
  <c r="BZ92" i="9"/>
  <c r="CA92" i="9" s="1"/>
  <c r="CB92" i="9" s="1" a="1"/>
  <c r="CB92" i="9" s="1"/>
  <c r="BR92" i="9"/>
  <c r="BS92" i="9" s="1"/>
  <c r="CH92" i="9"/>
  <c r="CI92" i="9" s="1"/>
  <c r="BF92" i="9"/>
  <c r="BG92" i="9" s="1"/>
  <c r="BH92" i="9" s="1" a="1"/>
  <c r="BH92" i="9" s="1"/>
  <c r="BJ108" i="9"/>
  <c r="BK108" i="9" s="1"/>
  <c r="CL101" i="9"/>
  <c r="CM101" i="9" s="1"/>
  <c r="CD107" i="9"/>
  <c r="CE107" i="9" s="1"/>
  <c r="CF107" i="9" s="1" a="1"/>
  <c r="CF107" i="9" s="1"/>
  <c r="CJ74" i="9" a="1"/>
  <c r="CJ74" i="9" s="1"/>
  <c r="CN118" i="9" a="1"/>
  <c r="CN118" i="9" s="1"/>
  <c r="CO118" i="9" a="1"/>
  <c r="CO118" i="9" s="1"/>
  <c r="BR50" i="9"/>
  <c r="BS50" i="9" s="1"/>
  <c r="BN103" i="9"/>
  <c r="BO103" i="9" s="1"/>
  <c r="BP103" i="9" s="1" a="1"/>
  <c r="BP103" i="9" s="1"/>
  <c r="BJ113" i="9"/>
  <c r="BK113" i="9" s="1"/>
  <c r="BL113" i="9" s="1" a="1"/>
  <c r="BL113" i="9" s="1"/>
  <c r="BZ113" i="9"/>
  <c r="CA113" i="9" s="1"/>
  <c r="CB113" i="9" s="1" a="1"/>
  <c r="CB113" i="9" s="1"/>
  <c r="CF95" i="9" a="1"/>
  <c r="CF95" i="9" s="1"/>
  <c r="CJ120" i="9" a="1"/>
  <c r="CJ120" i="9" s="1"/>
  <c r="CN112" i="9" a="1"/>
  <c r="CN112" i="9" s="1"/>
  <c r="CO61" i="9" a="1"/>
  <c r="CO61" i="9" s="1"/>
  <c r="CN61" i="9" a="1"/>
  <c r="CN61" i="9" s="1"/>
  <c r="CJ54" i="9" a="1"/>
  <c r="CJ54" i="9" s="1"/>
  <c r="BL100" i="9" a="1"/>
  <c r="BL100" i="9" s="1"/>
  <c r="CO100" i="9" a="1"/>
  <c r="CO100" i="9" s="1"/>
  <c r="CN100" i="9" a="1"/>
  <c r="CN100" i="9" s="1"/>
  <c r="BF122" i="9"/>
  <c r="BG122" i="9" s="1"/>
  <c r="BH122" i="9" s="1" a="1"/>
  <c r="BH122" i="9" s="1"/>
  <c r="BN122" i="9"/>
  <c r="BO122" i="9" s="1"/>
  <c r="BP122" i="9" s="1" a="1"/>
  <c r="BP122" i="9" s="1"/>
  <c r="CJ72" i="9" a="1"/>
  <c r="CJ72" i="9" s="1"/>
  <c r="BR96" i="9"/>
  <c r="BS96" i="9" s="1"/>
  <c r="CH122" i="9"/>
  <c r="CI122" i="9" s="1"/>
  <c r="BT48" i="9" a="1"/>
  <c r="BT48" i="9" s="1"/>
  <c r="BU48" i="9" a="1"/>
  <c r="BU48" i="9" s="1"/>
  <c r="BJ101" i="9"/>
  <c r="BK101" i="9" s="1"/>
  <c r="BL101" i="9" s="1" a="1"/>
  <c r="BL101" i="9" s="1"/>
  <c r="CN83" i="9" a="1"/>
  <c r="CN83" i="9" s="1"/>
  <c r="CO83" i="9" a="1"/>
  <c r="CO83" i="9" s="1"/>
  <c r="BL95" i="9" a="1"/>
  <c r="BL95" i="9" s="1"/>
  <c r="BP95" i="9" a="1"/>
  <c r="BP95" i="9" s="1"/>
  <c r="CH96" i="9"/>
  <c r="CI96" i="9" s="1"/>
  <c r="CJ96" i="9" s="1" a="1"/>
  <c r="CJ96" i="9" s="1"/>
  <c r="CH115" i="9"/>
  <c r="CI115" i="9" s="1"/>
  <c r="CJ115" i="9" s="1" a="1"/>
  <c r="CJ115" i="9" s="1"/>
  <c r="BR115" i="9"/>
  <c r="BS115" i="9" s="1"/>
  <c r="BJ83" i="9"/>
  <c r="BK83" i="9" s="1"/>
  <c r="BL83" i="9" s="1" a="1"/>
  <c r="BL83" i="9" s="1"/>
  <c r="CH113" i="9"/>
  <c r="CI113" i="9" s="1"/>
  <c r="BL47" i="9" a="1"/>
  <c r="BL47" i="9" s="1"/>
  <c r="CN74" i="9" a="1"/>
  <c r="CN74" i="9" s="1"/>
  <c r="CO74" i="9" a="1"/>
  <c r="CO74" i="9" s="1"/>
  <c r="CO95" i="9" a="1"/>
  <c r="CO95" i="9" s="1"/>
  <c r="CN95" i="9" a="1"/>
  <c r="CN95" i="9" s="1"/>
  <c r="CH108" i="9"/>
  <c r="CI108" i="9" s="1"/>
  <c r="CJ108" i="9" s="1" a="1"/>
  <c r="CJ108" i="9" s="1"/>
  <c r="CL113" i="9"/>
  <c r="CM113" i="9" s="1"/>
  <c r="CL107" i="9"/>
  <c r="CM107" i="9" s="1"/>
  <c r="BF121" i="9"/>
  <c r="BG121" i="9" s="1"/>
  <c r="BH121" i="9" s="1" a="1"/>
  <c r="BH121" i="9" s="1"/>
  <c r="BJ121" i="9"/>
  <c r="BK121" i="9" s="1"/>
  <c r="BZ121" i="9"/>
  <c r="CA121" i="9" s="1"/>
  <c r="CB121" i="9" s="1" a="1"/>
  <c r="CB121" i="9" s="1"/>
  <c r="CL121" i="9"/>
  <c r="CM121" i="9" s="1"/>
  <c r="CJ111" i="9" a="1"/>
  <c r="CJ111" i="9" s="1"/>
  <c r="CJ93" i="9" a="1"/>
  <c r="CJ93" i="9" s="1"/>
  <c r="CD94" i="9"/>
  <c r="CE94" i="9" s="1"/>
  <c r="CF94" i="9" s="1" a="1"/>
  <c r="CF94" i="9" s="1"/>
  <c r="BL74" i="9" a="1"/>
  <c r="BL74" i="9" s="1"/>
  <c r="BU97" i="9" a="1"/>
  <c r="BU97" i="9" s="1"/>
  <c r="BT97" i="9" a="1"/>
  <c r="BT97" i="9" s="1"/>
  <c r="BZ101" i="9"/>
  <c r="CA101" i="9" s="1"/>
  <c r="CB101" i="9" s="1" a="1"/>
  <c r="CB101" i="9" s="1"/>
  <c r="BZ91" i="9"/>
  <c r="CA91" i="9" s="1"/>
  <c r="CB91" i="9" s="1" a="1"/>
  <c r="CB91" i="9" s="1"/>
  <c r="CH91" i="9"/>
  <c r="CI91" i="9" s="1"/>
  <c r="CJ91" i="9" s="1" a="1"/>
  <c r="CJ91" i="9" s="1"/>
  <c r="BF115" i="9"/>
  <c r="BG115" i="9" s="1"/>
  <c r="BH115" i="9" s="1" a="1"/>
  <c r="BH115" i="9" s="1"/>
  <c r="CL109" i="9"/>
  <c r="CM109" i="9" s="1"/>
  <c r="CF118" i="9" a="1"/>
  <c r="CF118" i="9" s="1"/>
  <c r="CN97" i="9" a="1"/>
  <c r="CN97" i="9" s="1"/>
  <c r="CP97" i="9" s="1"/>
  <c r="V97" i="9" s="1"/>
  <c r="CJ36" i="9" a="1"/>
  <c r="CJ36" i="9" s="1"/>
  <c r="BR73" i="9"/>
  <c r="BS73" i="9" s="1"/>
  <c r="CD73" i="9"/>
  <c r="CE73" i="9" s="1"/>
  <c r="CH73" i="9"/>
  <c r="CI73" i="9" s="1"/>
  <c r="CJ73" i="9" s="1" a="1"/>
  <c r="CJ73" i="9" s="1"/>
  <c r="BN73" i="9"/>
  <c r="BO73" i="9" s="1"/>
  <c r="BJ73" i="9"/>
  <c r="BK73" i="9" s="1"/>
  <c r="BF73" i="9"/>
  <c r="BG73" i="9" s="1"/>
  <c r="BH73" i="9" s="1" a="1"/>
  <c r="BH73" i="9" s="1"/>
  <c r="BZ73" i="9"/>
  <c r="CA73" i="9" s="1"/>
  <c r="CB73" i="9" s="1" a="1"/>
  <c r="CB73" i="9" s="1"/>
  <c r="CJ56" i="9" a="1"/>
  <c r="CJ56" i="9" s="1"/>
  <c r="BZ115" i="9"/>
  <c r="CA115" i="9" s="1"/>
  <c r="CB115" i="9" s="1" a="1"/>
  <c r="CB115" i="9" s="1"/>
  <c r="CD116" i="9"/>
  <c r="CE116" i="9" s="1"/>
  <c r="CF112" i="9" a="1"/>
  <c r="CF112" i="9" s="1"/>
  <c r="AB594" i="9" l="1"/>
  <c r="CP331" i="9"/>
  <c r="V331" i="9" s="1"/>
  <c r="BV138" i="9"/>
  <c r="Q138" i="9" s="1"/>
  <c r="BV431" i="9"/>
  <c r="Q431" i="9" s="1"/>
  <c r="CP147" i="9"/>
  <c r="V147" i="9" s="1"/>
  <c r="AB315" i="9"/>
  <c r="CP423" i="9"/>
  <c r="V423" i="9" s="1"/>
  <c r="BV650" i="9"/>
  <c r="Q650" i="9" s="1"/>
  <c r="BV896" i="9"/>
  <c r="Q896" i="9" s="1"/>
  <c r="CP473" i="9"/>
  <c r="V473" i="9" s="1"/>
  <c r="AB662" i="9"/>
  <c r="CP792" i="9"/>
  <c r="V792" i="9" s="1"/>
  <c r="CP773" i="9"/>
  <c r="V773" i="9" s="1"/>
  <c r="BV727" i="9"/>
  <c r="Q727" i="9" s="1"/>
  <c r="AB727" i="9" s="1"/>
  <c r="CP958" i="9"/>
  <c r="V958" i="9" s="1"/>
  <c r="AB591" i="9"/>
  <c r="CP774" i="9"/>
  <c r="V774" i="9" s="1"/>
  <c r="BV267" i="9"/>
  <c r="Q267" i="9" s="1"/>
  <c r="CP755" i="9"/>
  <c r="V755" i="9" s="1"/>
  <c r="AB943" i="9"/>
  <c r="BV89" i="9"/>
  <c r="Q89" i="9" s="1"/>
  <c r="BV433" i="9"/>
  <c r="Q433" i="9" s="1"/>
  <c r="BV256" i="9"/>
  <c r="Q256" i="9" s="1"/>
  <c r="CP242" i="9"/>
  <c r="V242" i="9" s="1"/>
  <c r="BV702" i="9"/>
  <c r="Q702" i="9" s="1"/>
  <c r="AB702" i="9" s="1"/>
  <c r="CP258" i="9"/>
  <c r="V258" i="9" s="1"/>
  <c r="CP1001" i="9"/>
  <c r="V1001" i="9" s="1"/>
  <c r="BV950" i="9"/>
  <c r="Q950" i="9" s="1"/>
  <c r="AB950" i="9" s="1"/>
  <c r="CP644" i="9"/>
  <c r="V644" i="9" s="1"/>
  <c r="AB644" i="9" s="1"/>
  <c r="BV191" i="9"/>
  <c r="Q191" i="9" s="1"/>
  <c r="AB647" i="9"/>
  <c r="BV781" i="9"/>
  <c r="Q781" i="9" s="1"/>
  <c r="BV749" i="9"/>
  <c r="Q749" i="9" s="1"/>
  <c r="BV381" i="9"/>
  <c r="Q381" i="9" s="1"/>
  <c r="CP489" i="9"/>
  <c r="V489" i="9" s="1"/>
  <c r="BV970" i="9"/>
  <c r="Q970" i="9" s="1"/>
  <c r="CP944" i="9"/>
  <c r="V944" i="9" s="1"/>
  <c r="AB944" i="9" s="1"/>
  <c r="BV747" i="9"/>
  <c r="Q747" i="9" s="1"/>
  <c r="CP782" i="9"/>
  <c r="V782" i="9" s="1"/>
  <c r="AB748" i="9"/>
  <c r="AB432" i="9"/>
  <c r="BV992" i="9"/>
  <c r="Q992" i="9" s="1"/>
  <c r="BV592" i="9"/>
  <c r="Q592" i="9" s="1"/>
  <c r="CP875" i="9"/>
  <c r="V875" i="9" s="1"/>
  <c r="CP989" i="9"/>
  <c r="V989" i="9" s="1"/>
  <c r="BV310" i="9"/>
  <c r="Q310" i="9" s="1"/>
  <c r="AB310" i="9" s="1"/>
  <c r="CP911" i="9"/>
  <c r="V911" i="9" s="1"/>
  <c r="BV251" i="9"/>
  <c r="Q251" i="9" s="1"/>
  <c r="CP239" i="9"/>
  <c r="V239" i="9" s="1"/>
  <c r="CP726" i="9"/>
  <c r="V726" i="9" s="1"/>
  <c r="BV517" i="9"/>
  <c r="Q517" i="9" s="1"/>
  <c r="BV586" i="9"/>
  <c r="Q586" i="9" s="1"/>
  <c r="BV351" i="9"/>
  <c r="Q351" i="9" s="1"/>
  <c r="BV375" i="9"/>
  <c r="Q375" i="9" s="1"/>
  <c r="CP626" i="9"/>
  <c r="V626" i="9" s="1"/>
  <c r="BV904" i="9"/>
  <c r="Q904" i="9" s="1"/>
  <c r="CP921" i="9"/>
  <c r="V921" i="9" s="1"/>
  <c r="CP901" i="9"/>
  <c r="V901" i="9" s="1"/>
  <c r="BV187" i="9"/>
  <c r="Q187" i="9" s="1"/>
  <c r="CP72" i="9"/>
  <c r="V72" i="9" s="1"/>
  <c r="AB172" i="9"/>
  <c r="AB377" i="9"/>
  <c r="AB789" i="9"/>
  <c r="BV942" i="9"/>
  <c r="Q942" i="9" s="1"/>
  <c r="CP211" i="9"/>
  <c r="V211" i="9" s="1"/>
  <c r="CP56" i="9"/>
  <c r="V56" i="9" s="1"/>
  <c r="AB157" i="9"/>
  <c r="AB414" i="9"/>
  <c r="AB625" i="9"/>
  <c r="BV362" i="9"/>
  <c r="Q362" i="9" s="1"/>
  <c r="AB362" i="9" s="1"/>
  <c r="BV566" i="9"/>
  <c r="Q566" i="9" s="1"/>
  <c r="AB566" i="9" s="1"/>
  <c r="CP729" i="9"/>
  <c r="V729" i="9" s="1"/>
  <c r="CP409" i="9"/>
  <c r="V409" i="9" s="1"/>
  <c r="BV1018" i="9"/>
  <c r="Q1018" i="9" s="1"/>
  <c r="AB612" i="9"/>
  <c r="CP106" i="9"/>
  <c r="V106" i="9" s="1"/>
  <c r="AB602" i="9"/>
  <c r="BV713" i="9"/>
  <c r="Q713" i="9" s="1"/>
  <c r="BV704" i="9"/>
  <c r="Q704" i="9" s="1"/>
  <c r="CP970" i="9"/>
  <c r="V970" i="9" s="1"/>
  <c r="AB292" i="9"/>
  <c r="AB279" i="9"/>
  <c r="AB569" i="9"/>
  <c r="AB792" i="9"/>
  <c r="AB1010" i="9"/>
  <c r="AB530" i="9"/>
  <c r="BV242" i="9"/>
  <c r="Q242" i="9" s="1"/>
  <c r="AB242" i="9" s="1"/>
  <c r="AB749" i="9"/>
  <c r="AB562" i="9"/>
  <c r="AB447" i="9"/>
  <c r="BV435" i="9"/>
  <c r="Q435" i="9" s="1"/>
  <c r="AB970" i="9"/>
  <c r="AB832" i="9"/>
  <c r="AB921" i="9"/>
  <c r="CP525" i="9"/>
  <c r="V525" i="9" s="1"/>
  <c r="AB601" i="9"/>
  <c r="AB333" i="9"/>
  <c r="CP149" i="9"/>
  <c r="V149" i="9" s="1"/>
  <c r="AB239" i="9"/>
  <c r="CP336" i="9"/>
  <c r="V336" i="9" s="1"/>
  <c r="BV709" i="9"/>
  <c r="Q709" i="9" s="1"/>
  <c r="AB405" i="9"/>
  <c r="BV651" i="9"/>
  <c r="Q651" i="9" s="1"/>
  <c r="AB306" i="9"/>
  <c r="AB117" i="9"/>
  <c r="AB564" i="9"/>
  <c r="AB174" i="9"/>
  <c r="AB509" i="9"/>
  <c r="BV338" i="9"/>
  <c r="Q338" i="9" s="1"/>
  <c r="AB338" i="9" s="1"/>
  <c r="CP478" i="9"/>
  <c r="V478" i="9" s="1"/>
  <c r="BV490" i="9"/>
  <c r="Q490" i="9" s="1"/>
  <c r="CP607" i="9"/>
  <c r="V607" i="9" s="1"/>
  <c r="AB607" i="9" s="1"/>
  <c r="CP455" i="9"/>
  <c r="V455" i="9" s="1"/>
  <c r="AB455" i="9" s="1"/>
  <c r="AB234" i="9"/>
  <c r="AB1012" i="9"/>
  <c r="AB166" i="9"/>
  <c r="AB687" i="9"/>
  <c r="BV149" i="9"/>
  <c r="Q149" i="9" s="1"/>
  <c r="AB149" i="9" s="1"/>
  <c r="BV185" i="9"/>
  <c r="Q185" i="9" s="1"/>
  <c r="AB185" i="9" s="1"/>
  <c r="BV445" i="9"/>
  <c r="Q445" i="9" s="1"/>
  <c r="CP604" i="9"/>
  <c r="V604" i="9" s="1"/>
  <c r="AB604" i="9" s="1"/>
  <c r="BV313" i="9"/>
  <c r="Q313" i="9" s="1"/>
  <c r="CP246" i="9"/>
  <c r="V246" i="9" s="1"/>
  <c r="BV850" i="9"/>
  <c r="Q850" i="9" s="1"/>
  <c r="AB850" i="9" s="1"/>
  <c r="CN70" i="9" a="1"/>
  <c r="CN70" i="9" s="1"/>
  <c r="CP492" i="9"/>
  <c r="V492" i="9" s="1"/>
  <c r="AB492" i="9" s="1"/>
  <c r="BV962" i="9"/>
  <c r="Q962" i="9" s="1"/>
  <c r="CF68" i="9" a="1"/>
  <c r="CF68" i="9" s="1"/>
  <c r="BV539" i="9"/>
  <c r="Q539" i="9" s="1"/>
  <c r="AB539" i="9" s="1"/>
  <c r="BV504" i="9"/>
  <c r="Q504" i="9" s="1"/>
  <c r="AB504" i="9" s="1"/>
  <c r="CF330" i="9" a="1"/>
  <c r="CF330" i="9" s="1"/>
  <c r="BV194" i="9"/>
  <c r="Q194" i="9" s="1"/>
  <c r="AB194" i="9" s="1"/>
  <c r="CP191" i="9"/>
  <c r="V191" i="9" s="1"/>
  <c r="AB191" i="9" s="1"/>
  <c r="CF651" i="9" a="1"/>
  <c r="CF651" i="9" s="1"/>
  <c r="CP572" i="9"/>
  <c r="V572" i="9" s="1"/>
  <c r="AB572" i="9" s="1"/>
  <c r="CF205" i="9" a="1"/>
  <c r="CF205" i="9" s="1"/>
  <c r="CP610" i="9"/>
  <c r="V610" i="9" s="1"/>
  <c r="BV626" i="9"/>
  <c r="Q626" i="9" s="1"/>
  <c r="AB626" i="9" s="1"/>
  <c r="BV209" i="9"/>
  <c r="Q209" i="9" s="1"/>
  <c r="CP812" i="9"/>
  <c r="V812" i="9" s="1"/>
  <c r="BL883" i="9" a="1"/>
  <c r="BL883" i="9" s="1"/>
  <c r="BV901" i="9"/>
  <c r="Q901" i="9" s="1"/>
  <c r="AB901" i="9" s="1"/>
  <c r="CP847" i="9"/>
  <c r="V847" i="9" s="1"/>
  <c r="AB847" i="9" s="1"/>
  <c r="BV848" i="9"/>
  <c r="Q848" i="9" s="1"/>
  <c r="BV912" i="9"/>
  <c r="Q912" i="9" s="1"/>
  <c r="CP313" i="9"/>
  <c r="V313" i="9" s="1"/>
  <c r="BL756" i="9" a="1"/>
  <c r="BL756" i="9" s="1"/>
  <c r="BL814" i="9" a="1"/>
  <c r="BL814" i="9" s="1"/>
  <c r="BV814" i="9" s="1"/>
  <c r="Q814" i="9" s="1"/>
  <c r="CP781" i="9"/>
  <c r="V781" i="9" s="1"/>
  <c r="AB781" i="9" s="1"/>
  <c r="BV966" i="9"/>
  <c r="Q966" i="9" s="1"/>
  <c r="CP906" i="9"/>
  <c r="V906" i="9" s="1"/>
  <c r="CP910" i="9"/>
  <c r="V910" i="9" s="1"/>
  <c r="BV853" i="9"/>
  <c r="Q853" i="9" s="1"/>
  <c r="CP472" i="9"/>
  <c r="V472" i="9" s="1"/>
  <c r="CP399" i="9"/>
  <c r="V399" i="9" s="1"/>
  <c r="BP473" i="9" a="1"/>
  <c r="BP473" i="9" s="1"/>
  <c r="BT108" i="9" a="1"/>
  <c r="BT108" i="9" s="1"/>
  <c r="BV274" i="9"/>
  <c r="Q274" i="9" s="1"/>
  <c r="AB274" i="9" s="1"/>
  <c r="CP334" i="9"/>
  <c r="V334" i="9" s="1"/>
  <c r="AB334" i="9" s="1"/>
  <c r="BL134" i="9" a="1"/>
  <c r="BL134" i="9" s="1"/>
  <c r="BV575" i="9"/>
  <c r="Q575" i="9" s="1"/>
  <c r="CP150" i="9"/>
  <c r="V150" i="9" s="1"/>
  <c r="AB150" i="9" s="1"/>
  <c r="BV140" i="9"/>
  <c r="Q140" i="9" s="1"/>
  <c r="AB140" i="9" s="1"/>
  <c r="BV178" i="9"/>
  <c r="Q178" i="9" s="1"/>
  <c r="CP247" i="9"/>
  <c r="V247" i="9" s="1"/>
  <c r="BV183" i="9"/>
  <c r="Q183" i="9" s="1"/>
  <c r="CP457" i="9"/>
  <c r="V457" i="9" s="1"/>
  <c r="BV938" i="9"/>
  <c r="Q938" i="9" s="1"/>
  <c r="BP707" i="9" a="1"/>
  <c r="BP707" i="9" s="1"/>
  <c r="BV707" i="9" s="1"/>
  <c r="Q707" i="9" s="1"/>
  <c r="BL553" i="9" a="1"/>
  <c r="BL553" i="9" s="1"/>
  <c r="CP325" i="9"/>
  <c r="V325" i="9" s="1"/>
  <c r="BV388" i="9"/>
  <c r="Q388" i="9" s="1"/>
  <c r="CJ358" i="9" a="1"/>
  <c r="CJ358" i="9" s="1"/>
  <c r="BV879" i="9"/>
  <c r="Q879" i="9" s="1"/>
  <c r="AB879" i="9" s="1"/>
  <c r="CP95" i="9"/>
  <c r="V95" i="9" s="1"/>
  <c r="BV72" i="9"/>
  <c r="Q72" i="9" s="1"/>
  <c r="AB72" i="9" s="1"/>
  <c r="BV54" i="9"/>
  <c r="Q54" i="9" s="1"/>
  <c r="BL43" i="9" a="1"/>
  <c r="BL43" i="9" s="1"/>
  <c r="BV102" i="9"/>
  <c r="Q102" i="9" s="1"/>
  <c r="BV660" i="9"/>
  <c r="Q660" i="9" s="1"/>
  <c r="AB660" i="9" s="1"/>
  <c r="BL627" i="9" a="1"/>
  <c r="BL627" i="9" s="1"/>
  <c r="BV156" i="9"/>
  <c r="Q156" i="9" s="1"/>
  <c r="AB156" i="9" s="1"/>
  <c r="BV339" i="9"/>
  <c r="Q339" i="9" s="1"/>
  <c r="CP361" i="9"/>
  <c r="V361" i="9" s="1"/>
  <c r="BV953" i="9"/>
  <c r="Q953" i="9" s="1"/>
  <c r="BV762" i="9"/>
  <c r="Q762" i="9" s="1"/>
  <c r="AB762" i="9" s="1"/>
  <c r="CP972" i="9"/>
  <c r="V972" i="9" s="1"/>
  <c r="BV919" i="9"/>
  <c r="Q919" i="9" s="1"/>
  <c r="BL978" i="9" a="1"/>
  <c r="BL978" i="9" s="1"/>
  <c r="BV803" i="9"/>
  <c r="Q803" i="9" s="1"/>
  <c r="BL932" i="9" a="1"/>
  <c r="BL932" i="9" s="1"/>
  <c r="CP896" i="9"/>
  <c r="V896" i="9" s="1"/>
  <c r="AB896" i="9" s="1"/>
  <c r="BV945" i="9"/>
  <c r="Q945" i="9" s="1"/>
  <c r="BV730" i="9"/>
  <c r="Q730" i="9" s="1"/>
  <c r="AB730" i="9" s="1"/>
  <c r="CP507" i="9"/>
  <c r="V507" i="9" s="1"/>
  <c r="BP923" i="9" a="1"/>
  <c r="BP923" i="9" s="1"/>
  <c r="BV770" i="9"/>
  <c r="Q770" i="9" s="1"/>
  <c r="AB770" i="9" s="1"/>
  <c r="CF712" i="9" a="1"/>
  <c r="CF712" i="9" s="1"/>
  <c r="BV248" i="9"/>
  <c r="Q248" i="9" s="1"/>
  <c r="CF804" i="9" a="1"/>
  <c r="CF804" i="9" s="1"/>
  <c r="CF116" i="9" a="1"/>
  <c r="CF116" i="9" s="1"/>
  <c r="CF69" i="9" a="1"/>
  <c r="CF69" i="9" s="1"/>
  <c r="BL45" i="9" a="1"/>
  <c r="BL45" i="9" s="1"/>
  <c r="CF32" i="9" a="1"/>
  <c r="CF32" i="9" s="1"/>
  <c r="CP498" i="9"/>
  <c r="V498" i="9" s="1"/>
  <c r="CP575" i="9"/>
  <c r="V575" i="9" s="1"/>
  <c r="BL706" i="9" a="1"/>
  <c r="BL706" i="9" s="1"/>
  <c r="BV285" i="9"/>
  <c r="Q285" i="9" s="1"/>
  <c r="CP290" i="9"/>
  <c r="V290" i="9" s="1"/>
  <c r="AB290" i="9" s="1"/>
  <c r="CF884" i="9" a="1"/>
  <c r="CF884" i="9" s="1"/>
  <c r="BP807" i="9" a="1"/>
  <c r="BP807" i="9" s="1"/>
  <c r="CP112" i="9"/>
  <c r="V112" i="9" s="1"/>
  <c r="BV428" i="9"/>
  <c r="Q428" i="9" s="1"/>
  <c r="CP669" i="9"/>
  <c r="V669" i="9" s="1"/>
  <c r="CP189" i="9"/>
  <c r="V189" i="9" s="1"/>
  <c r="CP431" i="9"/>
  <c r="V431" i="9" s="1"/>
  <c r="AB431" i="9" s="1"/>
  <c r="CP469" i="9"/>
  <c r="V469" i="9" s="1"/>
  <c r="AB469" i="9" s="1"/>
  <c r="CP770" i="9"/>
  <c r="V770" i="9" s="1"/>
  <c r="BV582" i="9"/>
  <c r="Q582" i="9" s="1"/>
  <c r="AB582" i="9" s="1"/>
  <c r="BV818" i="9"/>
  <c r="Q818" i="9" s="1"/>
  <c r="AB818" i="9" s="1"/>
  <c r="CJ855" i="9" a="1"/>
  <c r="CJ855" i="9" s="1"/>
  <c r="CO584" i="9" a="1"/>
  <c r="CO584" i="9" s="1"/>
  <c r="CN584" i="9" a="1"/>
  <c r="CN584" i="9" s="1"/>
  <c r="CB798" i="9" a="1"/>
  <c r="CB798" i="9" s="1"/>
  <c r="CF798" i="9" a="1"/>
  <c r="CF798" i="9" s="1"/>
  <c r="BU855" i="9" a="1"/>
  <c r="BU855" i="9" s="1"/>
  <c r="BT855" i="9" a="1"/>
  <c r="BT855" i="9" s="1"/>
  <c r="CP495" i="9"/>
  <c r="V495" i="9" s="1"/>
  <c r="AB495" i="9" s="1"/>
  <c r="BP86" i="9" a="1"/>
  <c r="BP86" i="9" s="1"/>
  <c r="BT86" i="9" a="1"/>
  <c r="BT86" i="9" s="1"/>
  <c r="BV309" i="9"/>
  <c r="Q309" i="9" s="1"/>
  <c r="CP385" i="9"/>
  <c r="V385" i="9" s="1"/>
  <c r="CP292" i="9"/>
  <c r="V292" i="9" s="1"/>
  <c r="BL573" i="9" a="1"/>
  <c r="BL573" i="9" s="1"/>
  <c r="CJ902" i="9" a="1"/>
  <c r="CJ902" i="9" s="1"/>
  <c r="CB585" i="9" a="1"/>
  <c r="CB585" i="9" s="1"/>
  <c r="CF585" i="9" a="1"/>
  <c r="CF585" i="9" s="1"/>
  <c r="BP105" i="9" a="1"/>
  <c r="BP105" i="9" s="1"/>
  <c r="BL105" i="9" a="1"/>
  <c r="BL105" i="9" s="1"/>
  <c r="BV361" i="9"/>
  <c r="Q361" i="9" s="1"/>
  <c r="AB361" i="9" s="1"/>
  <c r="BV164" i="9"/>
  <c r="Q164" i="9" s="1"/>
  <c r="BV193" i="9"/>
  <c r="Q193" i="9" s="1"/>
  <c r="AB193" i="9" s="1"/>
  <c r="BV560" i="9"/>
  <c r="Q560" i="9" s="1"/>
  <c r="AB560" i="9" s="1"/>
  <c r="CP840" i="9"/>
  <c r="V840" i="9" s="1"/>
  <c r="CP959" i="9"/>
  <c r="V959" i="9" s="1"/>
  <c r="AB959" i="9" s="1"/>
  <c r="BV751" i="9"/>
  <c r="Q751" i="9" s="1"/>
  <c r="BT574" i="9" a="1"/>
  <c r="BT574" i="9" s="1"/>
  <c r="BU574" i="9" a="1"/>
  <c r="BU574" i="9" s="1"/>
  <c r="BT121" i="9" a="1"/>
  <c r="BT121" i="9" s="1"/>
  <c r="BU121" i="9" a="1"/>
  <c r="BU121" i="9" s="1"/>
  <c r="CP839" i="9"/>
  <c r="V839" i="9" s="1"/>
  <c r="CJ86" i="9" a="1"/>
  <c r="CJ86" i="9" s="1"/>
  <c r="CN86" i="9" a="1"/>
  <c r="CN86" i="9" s="1"/>
  <c r="CP82" i="9"/>
  <c r="V82" i="9" s="1"/>
  <c r="CP552" i="9"/>
  <c r="V552" i="9" s="1"/>
  <c r="AB552" i="9" s="1"/>
  <c r="CJ892" i="9" a="1"/>
  <c r="CJ892" i="9" s="1"/>
  <c r="CN892" i="9" a="1"/>
  <c r="CN892" i="9" s="1"/>
  <c r="CP485" i="9"/>
  <c r="V485" i="9" s="1"/>
  <c r="BV41" i="9"/>
  <c r="Q41" i="9" s="1"/>
  <c r="CP740" i="9"/>
  <c r="V740" i="9" s="1"/>
  <c r="AB740" i="9" s="1"/>
  <c r="BV536" i="9"/>
  <c r="Q536" i="9" s="1"/>
  <c r="AB536" i="9" s="1"/>
  <c r="CP520" i="9"/>
  <c r="V520" i="9" s="1"/>
  <c r="AB520" i="9" s="1"/>
  <c r="CP1007" i="9"/>
  <c r="V1007" i="9" s="1"/>
  <c r="BP78" i="9" a="1"/>
  <c r="BP78" i="9" s="1"/>
  <c r="BT78" i="9" a="1"/>
  <c r="BT78" i="9" s="1"/>
  <c r="BV535" i="9"/>
  <c r="Q535" i="9" s="1"/>
  <c r="CF217" i="9" a="1"/>
  <c r="CF217" i="9" s="1"/>
  <c r="BP692" i="9" a="1"/>
  <c r="BP692" i="9" s="1"/>
  <c r="BT658" i="9" a="1"/>
  <c r="BT658" i="9" s="1"/>
  <c r="BP658" i="9" a="1"/>
  <c r="BP658" i="9" s="1"/>
  <c r="BV856" i="9"/>
  <c r="Q856" i="9" s="1"/>
  <c r="AB856" i="9" s="1"/>
  <c r="BV231" i="9"/>
  <c r="Q231" i="9" s="1"/>
  <c r="BT497" i="9" a="1"/>
  <c r="BT497" i="9" s="1"/>
  <c r="BU497" i="9" a="1"/>
  <c r="BU497" i="9" s="1"/>
  <c r="BL108" i="9" a="1"/>
  <c r="BL108" i="9" s="1"/>
  <c r="CP89" i="9"/>
  <c r="V89" i="9" s="1"/>
  <c r="AB89" i="9" s="1"/>
  <c r="CJ104" i="9" a="1"/>
  <c r="CJ104" i="9" s="1"/>
  <c r="CF41" i="9" a="1"/>
  <c r="CF41" i="9" s="1"/>
  <c r="BP33" i="9" a="1"/>
  <c r="BP33" i="9" s="1"/>
  <c r="BL34" i="9" a="1"/>
  <c r="BL34" i="9" s="1"/>
  <c r="BU28" i="9" a="1"/>
  <c r="BU28" i="9" s="1"/>
  <c r="BV28" i="9" s="1"/>
  <c r="Q28" i="9" s="1"/>
  <c r="BV160" i="9"/>
  <c r="Q160" i="9" s="1"/>
  <c r="AB160" i="9" s="1"/>
  <c r="CP186" i="9"/>
  <c r="V186" i="9" s="1"/>
  <c r="AB186" i="9" s="1"/>
  <c r="BP391" i="9" a="1"/>
  <c r="BP391" i="9" s="1"/>
  <c r="CP724" i="9"/>
  <c r="V724" i="9" s="1"/>
  <c r="CP596" i="9"/>
  <c r="V596" i="9" s="1"/>
  <c r="AB596" i="9" s="1"/>
  <c r="CP517" i="9"/>
  <c r="V517" i="9" s="1"/>
  <c r="AB517" i="9" s="1"/>
  <c r="BL579" i="9" a="1"/>
  <c r="BL579" i="9" s="1"/>
  <c r="CP369" i="9"/>
  <c r="V369" i="9" s="1"/>
  <c r="CP461" i="9"/>
  <c r="V461" i="9" s="1"/>
  <c r="AB461" i="9" s="1"/>
  <c r="BL494" i="9" a="1"/>
  <c r="BL494" i="9" s="1"/>
  <c r="CJ427" i="9" a="1"/>
  <c r="CJ427" i="9" s="1"/>
  <c r="CP736" i="9"/>
  <c r="V736" i="9" s="1"/>
  <c r="CP344" i="9"/>
  <c r="V344" i="9" s="1"/>
  <c r="CP151" i="9"/>
  <c r="V151" i="9" s="1"/>
  <c r="AB151" i="9" s="1"/>
  <c r="BV204" i="9"/>
  <c r="Q204" i="9" s="1"/>
  <c r="AB204" i="9" s="1"/>
  <c r="BV317" i="9"/>
  <c r="Q317" i="9" s="1"/>
  <c r="AB317" i="9" s="1"/>
  <c r="CP438" i="9"/>
  <c r="V438" i="9" s="1"/>
  <c r="CP375" i="9"/>
  <c r="V375" i="9" s="1"/>
  <c r="BV744" i="9"/>
  <c r="Q744" i="9" s="1"/>
  <c r="BV259" i="9"/>
  <c r="Q259" i="9" s="1"/>
  <c r="AB259" i="9" s="1"/>
  <c r="CP248" i="9"/>
  <c r="V248" i="9" s="1"/>
  <c r="CP751" i="9"/>
  <c r="V751" i="9" s="1"/>
  <c r="CP445" i="9"/>
  <c r="V445" i="9" s="1"/>
  <c r="CJ712" i="9" a="1"/>
  <c r="CJ712" i="9" s="1"/>
  <c r="BV794" i="9"/>
  <c r="Q794" i="9" s="1"/>
  <c r="CP928" i="9"/>
  <c r="V928" i="9" s="1"/>
  <c r="CP733" i="9"/>
  <c r="V733" i="9" s="1"/>
  <c r="CP816" i="9"/>
  <c r="V816" i="9" s="1"/>
  <c r="BV930" i="9"/>
  <c r="Q930" i="9" s="1"/>
  <c r="CP825" i="9"/>
  <c r="V825" i="9" s="1"/>
  <c r="AB825" i="9" s="1"/>
  <c r="BP153" i="9" a="1"/>
  <c r="BP153" i="9" s="1"/>
  <c r="BV153" i="9" s="1"/>
  <c r="Q153" i="9" s="1"/>
  <c r="CP929" i="9"/>
  <c r="V929" i="9" s="1"/>
  <c r="AB929" i="9" s="1"/>
  <c r="CP555" i="9"/>
  <c r="V555" i="9" s="1"/>
  <c r="BV507" i="9"/>
  <c r="Q507" i="9" s="1"/>
  <c r="AB507" i="9" s="1"/>
  <c r="CP865" i="9"/>
  <c r="V865" i="9" s="1"/>
  <c r="BP585" i="9" a="1"/>
  <c r="BP585" i="9" s="1"/>
  <c r="BP975" i="9" a="1"/>
  <c r="BP975" i="9" s="1"/>
  <c r="CP110" i="9"/>
  <c r="V110" i="9" s="1"/>
  <c r="CP60" i="9"/>
  <c r="V60" i="9" s="1"/>
  <c r="CP371" i="9"/>
  <c r="V371" i="9" s="1"/>
  <c r="BL304" i="9" a="1"/>
  <c r="BL304" i="9" s="1"/>
  <c r="BL365" i="9" a="1"/>
  <c r="BL365" i="9" s="1"/>
  <c r="CP129" i="9"/>
  <c r="V129" i="9" s="1"/>
  <c r="CF295" i="9" a="1"/>
  <c r="CF295" i="9" s="1"/>
  <c r="BV565" i="9"/>
  <c r="Q565" i="9" s="1"/>
  <c r="CP668" i="9"/>
  <c r="V668" i="9" s="1"/>
  <c r="BV189" i="9"/>
  <c r="Q189" i="9" s="1"/>
  <c r="AB189" i="9" s="1"/>
  <c r="BP345" i="9" a="1"/>
  <c r="BP345" i="9" s="1"/>
  <c r="CP415" i="9"/>
  <c r="V415" i="9" s="1"/>
  <c r="AB415" i="9" s="1"/>
  <c r="CP671" i="9"/>
  <c r="V671" i="9" s="1"/>
  <c r="BV543" i="9"/>
  <c r="Q543" i="9" s="1"/>
  <c r="AB543" i="9" s="1"/>
  <c r="CP272" i="9"/>
  <c r="V272" i="9" s="1"/>
  <c r="CF223" i="9" a="1"/>
  <c r="CF223" i="9" s="1"/>
  <c r="BV721" i="9"/>
  <c r="Q721" i="9" s="1"/>
  <c r="CP697" i="9"/>
  <c r="V697" i="9" s="1"/>
  <c r="CJ550" i="9" a="1"/>
  <c r="CJ550" i="9" s="1"/>
  <c r="CP458" i="9"/>
  <c r="V458" i="9" s="1"/>
  <c r="BP573" i="9" a="1"/>
  <c r="BP573" i="9" s="1"/>
  <c r="BL931" i="9" a="1"/>
  <c r="BL931" i="9" s="1"/>
  <c r="BV926" i="9"/>
  <c r="Q926" i="9" s="1"/>
  <c r="BV184" i="9"/>
  <c r="Q184" i="9" s="1"/>
  <c r="AB184" i="9" s="1"/>
  <c r="BL603" i="9" a="1"/>
  <c r="BL603" i="9" s="1"/>
  <c r="CP490" i="9"/>
  <c r="V490" i="9" s="1"/>
  <c r="BV927" i="9"/>
  <c r="Q927" i="9" s="1"/>
  <c r="CP794" i="9"/>
  <c r="V794" i="9" s="1"/>
  <c r="BV247" i="9"/>
  <c r="Q247" i="9" s="1"/>
  <c r="BL611" i="9" a="1"/>
  <c r="BL611" i="9" s="1"/>
  <c r="BV305" i="9"/>
  <c r="Q305" i="9" s="1"/>
  <c r="AB305" i="9" s="1"/>
  <c r="CP765" i="9"/>
  <c r="V765" i="9" s="1"/>
  <c r="CJ777" i="9" a="1"/>
  <c r="CJ777" i="9" s="1"/>
  <c r="CP882" i="9"/>
  <c r="V882" i="9" s="1"/>
  <c r="CP994" i="9"/>
  <c r="V994" i="9" s="1"/>
  <c r="BV911" i="9"/>
  <c r="Q911" i="9" s="1"/>
  <c r="AB911" i="9" s="1"/>
  <c r="CP811" i="9"/>
  <c r="V811" i="9" s="1"/>
  <c r="BL995" i="9" a="1"/>
  <c r="BL995" i="9" s="1"/>
  <c r="BL907" i="9" a="1"/>
  <c r="BL907" i="9" s="1"/>
  <c r="BL791" i="9" a="1"/>
  <c r="BL791" i="9" s="1"/>
  <c r="CJ817" i="9" a="1"/>
  <c r="CJ817" i="9" s="1"/>
  <c r="CP363" i="9"/>
  <c r="V363" i="9" s="1"/>
  <c r="AB363" i="9" s="1"/>
  <c r="CP919" i="9"/>
  <c r="V919" i="9" s="1"/>
  <c r="BV738" i="9"/>
  <c r="Q738" i="9" s="1"/>
  <c r="AB738" i="9" s="1"/>
  <c r="BV828" i="9"/>
  <c r="Q828" i="9" s="1"/>
  <c r="CP848" i="9"/>
  <c r="V848" i="9" s="1"/>
  <c r="CP889" i="9"/>
  <c r="V889" i="9" s="1"/>
  <c r="CP979" i="9"/>
  <c r="V979" i="9" s="1"/>
  <c r="AB979" i="9" s="1"/>
  <c r="BV984" i="9"/>
  <c r="Q984" i="9" s="1"/>
  <c r="BV784" i="9"/>
  <c r="Q784" i="9" s="1"/>
  <c r="CP936" i="9"/>
  <c r="V936" i="9" s="1"/>
  <c r="AB936" i="9" s="1"/>
  <c r="BV795" i="9"/>
  <c r="Q795" i="9" s="1"/>
  <c r="CP874" i="9"/>
  <c r="V874" i="9" s="1"/>
  <c r="BV869" i="9"/>
  <c r="Q869" i="9" s="1"/>
  <c r="BL796" i="9" a="1"/>
  <c r="BL796" i="9" s="1"/>
  <c r="BL70" i="9" a="1"/>
  <c r="BL70" i="9" s="1"/>
  <c r="BL878" i="9" a="1"/>
  <c r="BL878" i="9" s="1"/>
  <c r="CF975" i="9" a="1"/>
  <c r="CF975" i="9" s="1"/>
  <c r="CJ975" i="9" a="1"/>
  <c r="CJ975" i="9" s="1"/>
  <c r="CN585" i="9" a="1"/>
  <c r="CN585" i="9" s="1"/>
  <c r="CO585" i="9" a="1"/>
  <c r="CO585" i="9" s="1"/>
  <c r="BL620" i="9" a="1"/>
  <c r="BL620" i="9" s="1"/>
  <c r="BP620" i="9" a="1"/>
  <c r="BP620" i="9" s="1"/>
  <c r="CP728" i="9"/>
  <c r="V728" i="9" s="1"/>
  <c r="AB728" i="9" s="1"/>
  <c r="BV646" i="9"/>
  <c r="Q646" i="9" s="1"/>
  <c r="AB646" i="9" s="1"/>
  <c r="BV975" i="9"/>
  <c r="Q975" i="9" s="1"/>
  <c r="CO855" i="9" a="1"/>
  <c r="CO855" i="9" s="1"/>
  <c r="CN855" i="9" a="1"/>
  <c r="CN855" i="9" s="1"/>
  <c r="CJ280" i="9" a="1"/>
  <c r="CJ280" i="9" s="1"/>
  <c r="CJ235" i="9" a="1"/>
  <c r="CJ235" i="9" s="1"/>
  <c r="BL217" i="9" a="1"/>
  <c r="BL217" i="9" s="1"/>
  <c r="CP308" i="9"/>
  <c r="V308" i="9" s="1"/>
  <c r="CP721" i="9"/>
  <c r="V721" i="9" s="1"/>
  <c r="CP705" i="9"/>
  <c r="V705" i="9" s="1"/>
  <c r="BP136" i="9" a="1"/>
  <c r="BP136" i="9" s="1"/>
  <c r="CP488" i="9"/>
  <c r="V488" i="9" s="1"/>
  <c r="AB488" i="9" s="1"/>
  <c r="BP128" i="9" a="1"/>
  <c r="BP128" i="9" s="1"/>
  <c r="CP609" i="9"/>
  <c r="V609" i="9" s="1"/>
  <c r="AB609" i="9" s="1"/>
  <c r="CP837" i="9"/>
  <c r="V837" i="9" s="1"/>
  <c r="CJ451" i="9" a="1"/>
  <c r="CJ451" i="9" s="1"/>
  <c r="CF526" i="9" a="1"/>
  <c r="CF526" i="9" s="1"/>
  <c r="BL521" i="9" a="1"/>
  <c r="BL521" i="9" s="1"/>
  <c r="BV773" i="9"/>
  <c r="Q773" i="9" s="1"/>
  <c r="AB773" i="9" s="1"/>
  <c r="CF153" i="9" a="1"/>
  <c r="CF153" i="9" s="1"/>
  <c r="BV395" i="9"/>
  <c r="Q395" i="9" s="1"/>
  <c r="BV617" i="9"/>
  <c r="Q617" i="9" s="1"/>
  <c r="AB617" i="9" s="1"/>
  <c r="BV325" i="9"/>
  <c r="Q325" i="9" s="1"/>
  <c r="AB325" i="9" s="1"/>
  <c r="CP618" i="9"/>
  <c r="V618" i="9" s="1"/>
  <c r="BV610" i="9"/>
  <c r="Q610" i="9" s="1"/>
  <c r="AB610" i="9" s="1"/>
  <c r="CP479" i="9"/>
  <c r="V479" i="9" s="1"/>
  <c r="BL933" i="9" a="1"/>
  <c r="BL933" i="9" s="1"/>
  <c r="CP969" i="9"/>
  <c r="V969" i="9" s="1"/>
  <c r="BP981" i="9" a="1"/>
  <c r="BP981" i="9" s="1"/>
  <c r="CP744" i="9"/>
  <c r="V744" i="9" s="1"/>
  <c r="BL823" i="9" a="1"/>
  <c r="BL823" i="9" s="1"/>
  <c r="BV683" i="9"/>
  <c r="Q683" i="9" s="1"/>
  <c r="CF767" i="9" a="1"/>
  <c r="CF767" i="9" s="1"/>
  <c r="BV548" i="9"/>
  <c r="Q548" i="9" s="1"/>
  <c r="CP922" i="9"/>
  <c r="V922" i="9" s="1"/>
  <c r="CP968" i="9"/>
  <c r="V968" i="9" s="1"/>
  <c r="CP890" i="9"/>
  <c r="V890" i="9" s="1"/>
  <c r="CJ804" i="9" a="1"/>
  <c r="CJ804" i="9" s="1"/>
  <c r="CF878" i="9" a="1"/>
  <c r="CF878" i="9" s="1"/>
  <c r="CP878" i="9" s="1"/>
  <c r="V878" i="9" s="1"/>
  <c r="CF162" i="9" a="1"/>
  <c r="CF162" i="9" s="1"/>
  <c r="CP424" i="9"/>
  <c r="V424" i="9" s="1"/>
  <c r="AB424" i="9" s="1"/>
  <c r="CN788" i="9" a="1"/>
  <c r="CN788" i="9" s="1"/>
  <c r="BV47" i="9"/>
  <c r="Q47" i="9" s="1"/>
  <c r="BV29" i="9"/>
  <c r="Q29" i="9" s="1"/>
  <c r="BV82" i="9"/>
  <c r="Q82" i="9" s="1"/>
  <c r="AB82" i="9" s="1"/>
  <c r="BV693" i="9"/>
  <c r="Q693" i="9" s="1"/>
  <c r="CP118" i="9"/>
  <c r="V118" i="9" s="1"/>
  <c r="BV74" i="9"/>
  <c r="Q74" i="9" s="1"/>
  <c r="BL38" i="9" a="1"/>
  <c r="BL38" i="9" s="1"/>
  <c r="BL49" i="9" a="1"/>
  <c r="BL49" i="9" s="1"/>
  <c r="BL104" i="9" a="1"/>
  <c r="BL104" i="9" s="1"/>
  <c r="BV124" i="9"/>
  <c r="Q124" i="9" s="1"/>
  <c r="BP147" i="9" a="1"/>
  <c r="BP147" i="9" s="1"/>
  <c r="CP322" i="9"/>
  <c r="V322" i="9" s="1"/>
  <c r="AB322" i="9" s="1"/>
  <c r="BV482" i="9"/>
  <c r="Q482" i="9" s="1"/>
  <c r="AB482" i="9" s="1"/>
  <c r="CJ155" i="9" a="1"/>
  <c r="CJ155" i="9" s="1"/>
  <c r="BV669" i="9"/>
  <c r="Q669" i="9" s="1"/>
  <c r="AB669" i="9" s="1"/>
  <c r="CP398" i="9"/>
  <c r="V398" i="9" s="1"/>
  <c r="AB398" i="9" s="1"/>
  <c r="BV201" i="9"/>
  <c r="Q201" i="9" s="1"/>
  <c r="AB201" i="9" s="1"/>
  <c r="CP393" i="9"/>
  <c r="V393" i="9" s="1"/>
  <c r="AB393" i="9" s="1"/>
  <c r="CP477" i="9"/>
  <c r="V477" i="9" s="1"/>
  <c r="BV498" i="9"/>
  <c r="Q498" i="9" s="1"/>
  <c r="CP623" i="9"/>
  <c r="V623" i="9" s="1"/>
  <c r="CP549" i="9"/>
  <c r="V549" i="9" s="1"/>
  <c r="BV866" i="9"/>
  <c r="Q866" i="9" s="1"/>
  <c r="CP312" i="9"/>
  <c r="V312" i="9" s="1"/>
  <c r="BV496" i="9"/>
  <c r="Q496" i="9" s="1"/>
  <c r="BV319" i="9"/>
  <c r="Q319" i="9" s="1"/>
  <c r="CP519" i="9"/>
  <c r="V519" i="9" s="1"/>
  <c r="AB519" i="9" s="1"/>
  <c r="CJ616" i="9" a="1"/>
  <c r="CJ616" i="9" s="1"/>
  <c r="CP460" i="9"/>
  <c r="V460" i="9" s="1"/>
  <c r="CP301" i="9"/>
  <c r="V301" i="9" s="1"/>
  <c r="AB301" i="9" s="1"/>
  <c r="CP256" i="9"/>
  <c r="V256" i="9" s="1"/>
  <c r="AB256" i="9" s="1"/>
  <c r="BV477" i="9"/>
  <c r="Q477" i="9" s="1"/>
  <c r="CP567" i="9"/>
  <c r="V567" i="9" s="1"/>
  <c r="CP615" i="9"/>
  <c r="V615" i="9" s="1"/>
  <c r="AB615" i="9" s="1"/>
  <c r="BV720" i="9"/>
  <c r="Q720" i="9" s="1"/>
  <c r="AB720" i="9" s="1"/>
  <c r="BL568" i="9" a="1"/>
  <c r="BL568" i="9" s="1"/>
  <c r="BV765" i="9"/>
  <c r="Q765" i="9" s="1"/>
  <c r="AB765" i="9" s="1"/>
  <c r="BV739" i="9"/>
  <c r="Q739" i="9" s="1"/>
  <c r="BV551" i="9"/>
  <c r="Q551" i="9" s="1"/>
  <c r="BL715" i="9" a="1"/>
  <c r="BL715" i="9" s="1"/>
  <c r="BV736" i="9"/>
  <c r="Q736" i="9" s="1"/>
  <c r="CJ491" i="9" a="1"/>
  <c r="CJ491" i="9" s="1"/>
  <c r="BV732" i="9"/>
  <c r="Q732" i="9" s="1"/>
  <c r="AB732" i="9" s="1"/>
  <c r="BL619" i="9" a="1"/>
  <c r="BL619" i="9" s="1"/>
  <c r="CP693" i="9"/>
  <c r="V693" i="9" s="1"/>
  <c r="BV441" i="9"/>
  <c r="Q441" i="9" s="1"/>
  <c r="AB441" i="9" s="1"/>
  <c r="BL537" i="9" a="1"/>
  <c r="BL537" i="9" s="1"/>
  <c r="BV230" i="9"/>
  <c r="Q230" i="9" s="1"/>
  <c r="AB230" i="9" s="1"/>
  <c r="CP452" i="9"/>
  <c r="V452" i="9" s="1"/>
  <c r="AB452" i="9" s="1"/>
  <c r="CP178" i="9"/>
  <c r="V178" i="9" s="1"/>
  <c r="BL258" i="9" a="1"/>
  <c r="BL258" i="9" s="1"/>
  <c r="BV468" i="9"/>
  <c r="Q468" i="9" s="1"/>
  <c r="BV489" i="9"/>
  <c r="Q489" i="9" s="1"/>
  <c r="AB489" i="9" s="1"/>
  <c r="CP201" i="9"/>
  <c r="V201" i="9" s="1"/>
  <c r="BV402" i="9"/>
  <c r="Q402" i="9" s="1"/>
  <c r="AB402" i="9" s="1"/>
  <c r="BV910" i="9"/>
  <c r="Q910" i="9" s="1"/>
  <c r="AB910" i="9" s="1"/>
  <c r="CP1018" i="9"/>
  <c r="V1018" i="9" s="1"/>
  <c r="BV465" i="9"/>
  <c r="Q465" i="9" s="1"/>
  <c r="CJ1003" i="9" a="1"/>
  <c r="CJ1003" i="9" s="1"/>
  <c r="CF859" i="9" a="1"/>
  <c r="CF859" i="9" s="1"/>
  <c r="BV556" i="9"/>
  <c r="Q556" i="9" s="1"/>
  <c r="CP707" i="9"/>
  <c r="V707" i="9" s="1"/>
  <c r="BV661" i="9"/>
  <c r="Q661" i="9" s="1"/>
  <c r="AB661" i="9" s="1"/>
  <c r="BV906" i="9"/>
  <c r="Q906" i="9" s="1"/>
  <c r="AB906" i="9" s="1"/>
  <c r="BL826" i="9" a="1"/>
  <c r="BL826" i="9" s="1"/>
  <c r="BL854" i="9" a="1"/>
  <c r="BL854" i="9" s="1"/>
  <c r="CJ633" i="9" a="1"/>
  <c r="CJ633" i="9" s="1"/>
  <c r="CP975" i="9"/>
  <c r="V975" i="9" s="1"/>
  <c r="BL1005" i="9" a="1"/>
  <c r="BL1005" i="9" s="1"/>
  <c r="BV1005" i="9" s="1"/>
  <c r="Q1005" i="9" s="1"/>
  <c r="AB1005" i="9" s="1"/>
  <c r="CF70" i="9" a="1"/>
  <c r="CF70" i="9" s="1"/>
  <c r="BP878" i="9" a="1"/>
  <c r="BP878" i="9" s="1"/>
  <c r="BH358" i="9" a="1"/>
  <c r="BH358" i="9" s="1"/>
  <c r="BL358" i="9" a="1"/>
  <c r="BL358" i="9" s="1"/>
  <c r="BV93" i="9"/>
  <c r="Q93" i="9" s="1"/>
  <c r="CF84" i="9" a="1"/>
  <c r="CF84" i="9" s="1"/>
  <c r="CP84" i="9" s="1"/>
  <c r="V84" i="9" s="1"/>
  <c r="CF26" i="9" a="1"/>
  <c r="CF26" i="9" s="1"/>
  <c r="BL237" i="9" a="1"/>
  <c r="BL237" i="9" s="1"/>
  <c r="BV786" i="9"/>
  <c r="Q786" i="9" s="1"/>
  <c r="BV541" i="9"/>
  <c r="Q541" i="9" s="1"/>
  <c r="AB541" i="9" s="1"/>
  <c r="BV636" i="9"/>
  <c r="Q636" i="9" s="1"/>
  <c r="AB636" i="9" s="1"/>
  <c r="BV695" i="9"/>
  <c r="Q695" i="9" s="1"/>
  <c r="CF302" i="9" a="1"/>
  <c r="CF302" i="9" s="1"/>
  <c r="CJ723" i="9" a="1"/>
  <c r="CJ723" i="9" s="1"/>
  <c r="BL426" i="9" a="1"/>
  <c r="BL426" i="9" s="1"/>
  <c r="BV533" i="9"/>
  <c r="Q533" i="9" s="1"/>
  <c r="CF175" i="9" a="1"/>
  <c r="CF175" i="9" s="1"/>
  <c r="BL448" i="9" a="1"/>
  <c r="BL448" i="9" s="1"/>
  <c r="BV631" i="9"/>
  <c r="Q631" i="9" s="1"/>
  <c r="AB631" i="9" s="1"/>
  <c r="CF698" i="9" a="1"/>
  <c r="CF698" i="9" s="1"/>
  <c r="BV423" i="9"/>
  <c r="Q423" i="9" s="1"/>
  <c r="AB423" i="9" s="1"/>
  <c r="CP771" i="9"/>
  <c r="V771" i="9" s="1"/>
  <c r="BV1001" i="9"/>
  <c r="Q1001" i="9" s="1"/>
  <c r="AB1001" i="9" s="1"/>
  <c r="CP912" i="9"/>
  <c r="V912" i="9" s="1"/>
  <c r="CP914" i="9"/>
  <c r="V914" i="9" s="1"/>
  <c r="AB914" i="9" s="1"/>
  <c r="CP305" i="9"/>
  <c r="V305" i="9" s="1"/>
  <c r="BV829" i="9"/>
  <c r="Q829" i="9" s="1"/>
  <c r="AB829" i="9" s="1"/>
  <c r="BP815" i="9" a="1"/>
  <c r="BP815" i="9" s="1"/>
  <c r="BL973" i="9" a="1"/>
  <c r="BL973" i="9" s="1"/>
  <c r="BP908" i="9" a="1"/>
  <c r="BP908" i="9" s="1"/>
  <c r="BV394" i="9"/>
  <c r="Q394" i="9" s="1"/>
  <c r="CJ894" i="9" a="1"/>
  <c r="CJ894" i="9" s="1"/>
  <c r="BU875" i="9" a="1"/>
  <c r="BU875" i="9" s="1"/>
  <c r="CP942" i="9"/>
  <c r="V942" i="9" s="1"/>
  <c r="BV898" i="9"/>
  <c r="Q898" i="9" s="1"/>
  <c r="BV821" i="9"/>
  <c r="Q821" i="9" s="1"/>
  <c r="BV453" i="9"/>
  <c r="Q453" i="9" s="1"/>
  <c r="BP875" i="9" a="1"/>
  <c r="BP875" i="9" s="1"/>
  <c r="CP471" i="9"/>
  <c r="V471" i="9" s="1"/>
  <c r="AB471" i="9" s="1"/>
  <c r="BL585" i="9" a="1"/>
  <c r="BL585" i="9" s="1"/>
  <c r="CP93" i="9"/>
  <c r="V93" i="9" s="1"/>
  <c r="BV110" i="9"/>
  <c r="Q110" i="9" s="1"/>
  <c r="AB110" i="9" s="1"/>
  <c r="CJ63" i="9" a="1"/>
  <c r="CJ63" i="9" s="1"/>
  <c r="BV352" i="9"/>
  <c r="Q352" i="9" s="1"/>
  <c r="BV181" i="9"/>
  <c r="Q181" i="9" s="1"/>
  <c r="AB181" i="9" s="1"/>
  <c r="CP251" i="9"/>
  <c r="V251" i="9" s="1"/>
  <c r="AB251" i="9" s="1"/>
  <c r="BV422" i="9"/>
  <c r="Q422" i="9" s="1"/>
  <c r="AB422" i="9" s="1"/>
  <c r="BV475" i="9"/>
  <c r="Q475" i="9" s="1"/>
  <c r="AB475" i="9" s="1"/>
  <c r="BV724" i="9"/>
  <c r="Q724" i="9" s="1"/>
  <c r="CP810" i="9"/>
  <c r="V810" i="9" s="1"/>
  <c r="CP287" i="9"/>
  <c r="V287" i="9" s="1"/>
  <c r="AB287" i="9" s="1"/>
  <c r="CP446" i="9"/>
  <c r="V446" i="9" s="1"/>
  <c r="AB446" i="9" s="1"/>
  <c r="BV503" i="9"/>
  <c r="Q503" i="9" s="1"/>
  <c r="AB503" i="9" s="1"/>
  <c r="CJ180" i="9" a="1"/>
  <c r="CJ180" i="9" s="1"/>
  <c r="BV487" i="9"/>
  <c r="Q487" i="9" s="1"/>
  <c r="AB487" i="9" s="1"/>
  <c r="CP663" i="9"/>
  <c r="V663" i="9" s="1"/>
  <c r="CP417" i="9"/>
  <c r="V417" i="9" s="1"/>
  <c r="AB417" i="9" s="1"/>
  <c r="CP757" i="9"/>
  <c r="V757" i="9" s="1"/>
  <c r="AB757" i="9" s="1"/>
  <c r="CP138" i="9"/>
  <c r="V138" i="9" s="1"/>
  <c r="AB138" i="9" s="1"/>
  <c r="BV131" i="9"/>
  <c r="Q131" i="9" s="1"/>
  <c r="BV409" i="9"/>
  <c r="Q409" i="9" s="1"/>
  <c r="AB409" i="9" s="1"/>
  <c r="BV271" i="9"/>
  <c r="Q271" i="9" s="1"/>
  <c r="AB271" i="9" s="1"/>
  <c r="BV663" i="9"/>
  <c r="Q663" i="9" s="1"/>
  <c r="BL595" i="9" a="1"/>
  <c r="BL595" i="9" s="1"/>
  <c r="CF418" i="9" a="1"/>
  <c r="CF418" i="9" s="1"/>
  <c r="BV328" i="9"/>
  <c r="Q328" i="9" s="1"/>
  <c r="AB328" i="9" s="1"/>
  <c r="CP328" i="9"/>
  <c r="V328" i="9" s="1"/>
  <c r="BL624" i="9" a="1"/>
  <c r="BL624" i="9" s="1"/>
  <c r="BL175" i="9" a="1"/>
  <c r="BL175" i="9" s="1"/>
  <c r="BV668" i="9"/>
  <c r="Q668" i="9" s="1"/>
  <c r="AB668" i="9" s="1"/>
  <c r="CP358" i="9"/>
  <c r="V358" i="9" s="1"/>
  <c r="CP639" i="9"/>
  <c r="V639" i="9" s="1"/>
  <c r="CP967" i="9"/>
  <c r="V967" i="9" s="1"/>
  <c r="BV922" i="9"/>
  <c r="Q922" i="9" s="1"/>
  <c r="AB922" i="9" s="1"/>
  <c r="BV472" i="9"/>
  <c r="Q472" i="9" s="1"/>
  <c r="AB472" i="9" s="1"/>
  <c r="BL827" i="9" a="1"/>
  <c r="BL827" i="9" s="1"/>
  <c r="CP986" i="9"/>
  <c r="V986" i="9" s="1"/>
  <c r="BV996" i="9"/>
  <c r="Q996" i="9" s="1"/>
  <c r="BV289" i="9"/>
  <c r="Q289" i="9" s="1"/>
  <c r="CP556" i="9"/>
  <c r="V556" i="9" s="1"/>
  <c r="BP971" i="9" a="1"/>
  <c r="BP971" i="9" s="1"/>
  <c r="BL892" i="9" a="1"/>
  <c r="BL892" i="9" s="1"/>
  <c r="BV890" i="9"/>
  <c r="Q890" i="9" s="1"/>
  <c r="AB890" i="9" s="1"/>
  <c r="BV812" i="9"/>
  <c r="Q812" i="9" s="1"/>
  <c r="CP900" i="9"/>
  <c r="V900" i="9" s="1"/>
  <c r="AB900" i="9" s="1"/>
  <c r="BP876" i="9" a="1"/>
  <c r="BP876" i="9" s="1"/>
  <c r="BP884" i="9" a="1"/>
  <c r="BP884" i="9" s="1"/>
  <c r="BV928" i="9"/>
  <c r="Q928" i="9" s="1"/>
  <c r="AB928" i="9" s="1"/>
  <c r="BV935" i="9"/>
  <c r="Q935" i="9" s="1"/>
  <c r="BT585" i="9" a="1"/>
  <c r="BT585" i="9" s="1"/>
  <c r="BU585" i="9" a="1"/>
  <c r="BU585" i="9" s="1"/>
  <c r="BP855" i="9" a="1"/>
  <c r="BP855" i="9" s="1"/>
  <c r="BV855" i="9" s="1"/>
  <c r="Q855" i="9" s="1"/>
  <c r="CJ41" i="9" a="1"/>
  <c r="CJ41" i="9" s="1"/>
  <c r="CP36" i="9"/>
  <c r="V36" i="9" s="1"/>
  <c r="BV100" i="9"/>
  <c r="Q100" i="9" s="1"/>
  <c r="CP74" i="9"/>
  <c r="V74" i="9" s="1"/>
  <c r="BV61" i="9"/>
  <c r="Q61" i="9" s="1"/>
  <c r="CP47" i="9"/>
  <c r="V47" i="9" s="1"/>
  <c r="CJ24" i="9" a="1"/>
  <c r="CJ24" i="9" s="1"/>
  <c r="CP99" i="9"/>
  <c r="V99" i="9" s="1"/>
  <c r="AB99" i="9" s="1"/>
  <c r="CF104" i="9" a="1"/>
  <c r="CF104" i="9" s="1"/>
  <c r="BP91" i="9" a="1"/>
  <c r="BP91" i="9" s="1"/>
  <c r="BV91" i="9" s="1"/>
  <c r="Q91" i="9" s="1"/>
  <c r="BL147" i="9" a="1"/>
  <c r="BL147" i="9" s="1"/>
  <c r="CP428" i="9"/>
  <c r="V428" i="9" s="1"/>
  <c r="BV331" i="9"/>
  <c r="Q331" i="9" s="1"/>
  <c r="AB331" i="9" s="1"/>
  <c r="BV438" i="9"/>
  <c r="Q438" i="9" s="1"/>
  <c r="AB438" i="9" s="1"/>
  <c r="CP283" i="9"/>
  <c r="V283" i="9" s="1"/>
  <c r="AB283" i="9" s="1"/>
  <c r="BP304" i="9" a="1"/>
  <c r="BP304" i="9" s="1"/>
  <c r="BV346" i="9"/>
  <c r="Q346" i="9" s="1"/>
  <c r="BV353" i="9"/>
  <c r="Q353" i="9" s="1"/>
  <c r="BV734" i="9"/>
  <c r="Q734" i="9" s="1"/>
  <c r="AB734" i="9" s="1"/>
  <c r="BV466" i="9"/>
  <c r="Q466" i="9" s="1"/>
  <c r="AB466" i="9" s="1"/>
  <c r="CP126" i="9"/>
  <c r="V126" i="9" s="1"/>
  <c r="CP133" i="9"/>
  <c r="V133" i="9" s="1"/>
  <c r="AB133" i="9" s="1"/>
  <c r="CP468" i="9"/>
  <c r="V468" i="9" s="1"/>
  <c r="BV470" i="9"/>
  <c r="Q470" i="9" s="1"/>
  <c r="AB470" i="9" s="1"/>
  <c r="BV344" i="9"/>
  <c r="Q344" i="9" s="1"/>
  <c r="AB344" i="9" s="1"/>
  <c r="BV513" i="9"/>
  <c r="Q513" i="9" s="1"/>
  <c r="AB513" i="9" s="1"/>
  <c r="CP846" i="9"/>
  <c r="V846" i="9" s="1"/>
  <c r="BV199" i="9"/>
  <c r="Q199" i="9" s="1"/>
  <c r="BV671" i="9"/>
  <c r="Q671" i="9" s="1"/>
  <c r="AB671" i="9" s="1"/>
  <c r="BL288" i="9" a="1"/>
  <c r="BL288" i="9" s="1"/>
  <c r="CJ359" i="9" a="1"/>
  <c r="CJ359" i="9" s="1"/>
  <c r="BV567" i="9"/>
  <c r="Q567" i="9" s="1"/>
  <c r="AB567" i="9" s="1"/>
  <c r="CJ439" i="9" a="1"/>
  <c r="CJ439" i="9" s="1"/>
  <c r="CP599" i="9"/>
  <c r="V599" i="9" s="1"/>
  <c r="BV413" i="9"/>
  <c r="Q413" i="9" s="1"/>
  <c r="BV460" i="9"/>
  <c r="Q460" i="9" s="1"/>
  <c r="CP209" i="9"/>
  <c r="V209" i="9" s="1"/>
  <c r="CP508" i="9"/>
  <c r="V508" i="9" s="1"/>
  <c r="AB508" i="9" s="1"/>
  <c r="CP284" i="9"/>
  <c r="V284" i="9" s="1"/>
  <c r="AB284" i="9" s="1"/>
  <c r="BP537" i="9" a="1"/>
  <c r="BP537" i="9" s="1"/>
  <c r="BV983" i="9"/>
  <c r="Q983" i="9" s="1"/>
  <c r="CP397" i="9"/>
  <c r="V397" i="9" s="1"/>
  <c r="AB397" i="9" s="1"/>
  <c r="CP164" i="9"/>
  <c r="V164" i="9" s="1"/>
  <c r="BV125" i="9"/>
  <c r="Q125" i="9" s="1"/>
  <c r="AB125" i="9" s="1"/>
  <c r="BV221" i="9"/>
  <c r="Q221" i="9" s="1"/>
  <c r="AB221" i="9" s="1"/>
  <c r="BV425" i="9"/>
  <c r="Q425" i="9" s="1"/>
  <c r="BV343" i="9"/>
  <c r="Q343" i="9" s="1"/>
  <c r="AB343" i="9" s="1"/>
  <c r="BV643" i="9"/>
  <c r="Q643" i="9" s="1"/>
  <c r="AB643" i="9" s="1"/>
  <c r="CP450" i="9"/>
  <c r="V450" i="9" s="1"/>
  <c r="CP535" i="9"/>
  <c r="V535" i="9" s="1"/>
  <c r="BV599" i="9"/>
  <c r="Q599" i="9" s="1"/>
  <c r="BV148" i="9"/>
  <c r="Q148" i="9" s="1"/>
  <c r="CP199" i="9"/>
  <c r="V199" i="9" s="1"/>
  <c r="CP352" i="9"/>
  <c r="V352" i="9" s="1"/>
  <c r="BV308" i="9"/>
  <c r="Q308" i="9" s="1"/>
  <c r="AB308" i="9" s="1"/>
  <c r="CP523" i="9"/>
  <c r="V523" i="9" s="1"/>
  <c r="AB523" i="9" s="1"/>
  <c r="CP165" i="9"/>
  <c r="V165" i="9" s="1"/>
  <c r="AB165" i="9" s="1"/>
  <c r="BL273" i="9" a="1"/>
  <c r="BL273" i="9" s="1"/>
  <c r="CP704" i="9"/>
  <c r="V704" i="9" s="1"/>
  <c r="CP514" i="9"/>
  <c r="V514" i="9" s="1"/>
  <c r="AB514" i="9" s="1"/>
  <c r="CP1000" i="9"/>
  <c r="V1000" i="9" s="1"/>
  <c r="BV752" i="9"/>
  <c r="Q752" i="9" s="1"/>
  <c r="BV779" i="9"/>
  <c r="Q779" i="9" s="1"/>
  <c r="BL862" i="9" a="1"/>
  <c r="BL862" i="9" s="1"/>
  <c r="CP289" i="9"/>
  <c r="V289" i="9" s="1"/>
  <c r="CP650" i="9"/>
  <c r="V650" i="9" s="1"/>
  <c r="AB650" i="9" s="1"/>
  <c r="BV863" i="9"/>
  <c r="Q863" i="9" s="1"/>
  <c r="AB863" i="9" s="1"/>
  <c r="BV1015" i="9"/>
  <c r="Q1015" i="9" s="1"/>
  <c r="CP497" i="9"/>
  <c r="V497" i="9" s="1"/>
  <c r="CP909" i="9"/>
  <c r="V909" i="9" s="1"/>
  <c r="CP927" i="9"/>
  <c r="V927" i="9" s="1"/>
  <c r="CP803" i="9"/>
  <c r="V803" i="9" s="1"/>
  <c r="BV782" i="9"/>
  <c r="Q782" i="9" s="1"/>
  <c r="AB782" i="9" s="1"/>
  <c r="BV994" i="9"/>
  <c r="Q994" i="9" s="1"/>
  <c r="AB994" i="9" s="1"/>
  <c r="BL764" i="9" a="1"/>
  <c r="BL764" i="9" s="1"/>
  <c r="BV211" i="9"/>
  <c r="Q211" i="9" s="1"/>
  <c r="AB211" i="9" s="1"/>
  <c r="BP783" i="9" a="1"/>
  <c r="BP783" i="9" s="1"/>
  <c r="BV754" i="9"/>
  <c r="Q754" i="9" s="1"/>
  <c r="AB754" i="9" s="1"/>
  <c r="BV874" i="9"/>
  <c r="Q874" i="9" s="1"/>
  <c r="AB874" i="9" s="1"/>
  <c r="CJ854" i="9" a="1"/>
  <c r="CJ854" i="9" s="1"/>
  <c r="BP843" i="9" a="1"/>
  <c r="BP843" i="9" s="1"/>
  <c r="CF735" i="9" a="1"/>
  <c r="CF735" i="9" s="1"/>
  <c r="BV865" i="9"/>
  <c r="Q865" i="9" s="1"/>
  <c r="CF633" i="9" a="1"/>
  <c r="CF633" i="9" s="1"/>
  <c r="BL685" i="9" a="1"/>
  <c r="BL685" i="9" s="1"/>
  <c r="BV685" i="9" s="1"/>
  <c r="Q685" i="9" s="1"/>
  <c r="CP143" i="9"/>
  <c r="V143" i="9" s="1"/>
  <c r="AB143" i="9" s="1"/>
  <c r="BL1021" i="9" a="1"/>
  <c r="BL1021" i="9" s="1"/>
  <c r="BV1021" i="9" s="1"/>
  <c r="Q1021" i="9" s="1"/>
  <c r="BL69" i="9" a="1"/>
  <c r="BL69" i="9" s="1"/>
  <c r="CN105" i="9" a="1"/>
  <c r="CN105" i="9" s="1"/>
  <c r="CP105" i="9" s="1"/>
  <c r="V105" i="9" s="1"/>
  <c r="BL42" i="9" a="1"/>
  <c r="BL42" i="9" s="1"/>
  <c r="BV36" i="9"/>
  <c r="Q36" i="9" s="1"/>
  <c r="BV112" i="9"/>
  <c r="Q112" i="9" s="1"/>
  <c r="CF62" i="9" a="1"/>
  <c r="CF62" i="9" s="1"/>
  <c r="CF39" i="9" a="1"/>
  <c r="CF39" i="9" s="1"/>
  <c r="CP163" i="9"/>
  <c r="V163" i="9" s="1"/>
  <c r="AB163" i="9" s="1"/>
  <c r="BV261" i="9"/>
  <c r="Q261" i="9" s="1"/>
  <c r="AB261" i="9" s="1"/>
  <c r="BV378" i="9"/>
  <c r="Q378" i="9" s="1"/>
  <c r="AB378" i="9" s="1"/>
  <c r="BV708" i="9"/>
  <c r="Q708" i="9" s="1"/>
  <c r="CP709" i="9"/>
  <c r="V709" i="9" s="1"/>
  <c r="BV802" i="9"/>
  <c r="Q802" i="9" s="1"/>
  <c r="CP261" i="9"/>
  <c r="V261" i="9" s="1"/>
  <c r="CP240" i="9"/>
  <c r="V240" i="9" s="1"/>
  <c r="AB240" i="9" s="1"/>
  <c r="BV525" i="9"/>
  <c r="Q525" i="9" s="1"/>
  <c r="AB525" i="9" s="1"/>
  <c r="CP551" i="9"/>
  <c r="V551" i="9" s="1"/>
  <c r="CF608" i="9" a="1"/>
  <c r="CF608" i="9" s="1"/>
  <c r="CP351" i="9"/>
  <c r="V351" i="9" s="1"/>
  <c r="AB351" i="9" s="1"/>
  <c r="BV639" i="9"/>
  <c r="Q639" i="9" s="1"/>
  <c r="BL226" i="9" a="1"/>
  <c r="BL226" i="9" s="1"/>
  <c r="CP270" i="9"/>
  <c r="V270" i="9" s="1"/>
  <c r="BV350" i="9"/>
  <c r="Q350" i="9" s="1"/>
  <c r="CP433" i="9"/>
  <c r="V433" i="9" s="1"/>
  <c r="AB433" i="9" s="1"/>
  <c r="BV311" i="9"/>
  <c r="Q311" i="9" s="1"/>
  <c r="CP454" i="9"/>
  <c r="V454" i="9" s="1"/>
  <c r="BV583" i="9"/>
  <c r="Q583" i="9" s="1"/>
  <c r="AB583" i="9" s="1"/>
  <c r="CP578" i="9"/>
  <c r="V578" i="9" s="1"/>
  <c r="CP131" i="9"/>
  <c r="V131" i="9" s="1"/>
  <c r="CP277" i="9"/>
  <c r="V277" i="9" s="1"/>
  <c r="AB277" i="9" s="1"/>
  <c r="CP381" i="9"/>
  <c r="V381" i="9" s="1"/>
  <c r="AB381" i="9" s="1"/>
  <c r="CP214" i="9"/>
  <c r="V214" i="9" s="1"/>
  <c r="AB214" i="9" s="1"/>
  <c r="BV440" i="9"/>
  <c r="Q440" i="9" s="1"/>
  <c r="AB440" i="9" s="1"/>
  <c r="BV549" i="9"/>
  <c r="Q549" i="9" s="1"/>
  <c r="AB549" i="9" s="1"/>
  <c r="BV677" i="9"/>
  <c r="Q677" i="9" s="1"/>
  <c r="AB677" i="9" s="1"/>
  <c r="CP130" i="9"/>
  <c r="V130" i="9" s="1"/>
  <c r="BV701" i="9"/>
  <c r="Q701" i="9" s="1"/>
  <c r="BV499" i="9"/>
  <c r="Q499" i="9" s="1"/>
  <c r="CP548" i="9"/>
  <c r="V548" i="9" s="1"/>
  <c r="CP760" i="9"/>
  <c r="V760" i="9" s="1"/>
  <c r="AB760" i="9" s="1"/>
  <c r="BV800" i="9"/>
  <c r="Q800" i="9" s="1"/>
  <c r="CF862" i="9" a="1"/>
  <c r="CF862" i="9" s="1"/>
  <c r="CP930" i="9"/>
  <c r="V930" i="9" s="1"/>
  <c r="BV774" i="9"/>
  <c r="Q774" i="9" s="1"/>
  <c r="AB774" i="9" s="1"/>
  <c r="CJ1005" i="9" a="1"/>
  <c r="CJ1005" i="9" s="1"/>
  <c r="CP1005" i="9" s="1"/>
  <c r="V1005" i="9" s="1"/>
  <c r="CP797" i="9"/>
  <c r="V797" i="9" s="1"/>
  <c r="CP775" i="9"/>
  <c r="V775" i="9" s="1"/>
  <c r="AB775" i="9" s="1"/>
  <c r="BV920" i="9"/>
  <c r="Q920" i="9" s="1"/>
  <c r="CP861" i="9"/>
  <c r="V861" i="9" s="1"/>
  <c r="AB861" i="9" s="1"/>
  <c r="BL815" i="9" a="1"/>
  <c r="BL815" i="9" s="1"/>
  <c r="CP885" i="9"/>
  <c r="V885" i="9" s="1"/>
  <c r="AB885" i="9" s="1"/>
  <c r="BP767" i="9" a="1"/>
  <c r="BP767" i="9" s="1"/>
  <c r="CJ761" i="9" a="1"/>
  <c r="CJ761" i="9" s="1"/>
  <c r="BV858" i="9"/>
  <c r="Q858" i="9" s="1"/>
  <c r="CP690" i="9"/>
  <c r="V690" i="9" s="1"/>
  <c r="AB690" i="9" s="1"/>
  <c r="BV766" i="9"/>
  <c r="Q766" i="9" s="1"/>
  <c r="AB766" i="9" s="1"/>
  <c r="CJ876" i="9" a="1"/>
  <c r="CJ876" i="9" s="1"/>
  <c r="BL745" i="9" a="1"/>
  <c r="BL745" i="9" s="1"/>
  <c r="CJ990" i="9" a="1"/>
  <c r="CJ990" i="9" s="1"/>
  <c r="BV383" i="9"/>
  <c r="Q383" i="9" s="1"/>
  <c r="BV905" i="9"/>
  <c r="Q905" i="9" s="1"/>
  <c r="BL939" i="9" a="1"/>
  <c r="BL939" i="9" s="1"/>
  <c r="BP909" i="9" a="1"/>
  <c r="BP909" i="9" s="1"/>
  <c r="BP796" i="9" a="1"/>
  <c r="BP796" i="9" s="1"/>
  <c r="BV442" i="9"/>
  <c r="Q442" i="9" s="1"/>
  <c r="BL798" i="9" a="1"/>
  <c r="BL798" i="9" s="1"/>
  <c r="CO162" i="9" a="1"/>
  <c r="CO162" i="9" s="1"/>
  <c r="CN162" i="9" a="1"/>
  <c r="CN162" i="9" s="1"/>
  <c r="CJ382" i="9" a="1"/>
  <c r="CJ382" i="9" s="1"/>
  <c r="BT633" i="9" a="1"/>
  <c r="BT633" i="9" s="1"/>
  <c r="BP633" i="9" a="1"/>
  <c r="BP633" i="9" s="1"/>
  <c r="BP73" i="9" a="1"/>
  <c r="BP73" i="9" s="1"/>
  <c r="CJ113" i="9" a="1"/>
  <c r="CJ113" i="9" s="1"/>
  <c r="BV85" i="9"/>
  <c r="Q85" i="9" s="1"/>
  <c r="CP71" i="9"/>
  <c r="V71" i="9" s="1"/>
  <c r="BL32" i="9" a="1"/>
  <c r="BL32" i="9" s="1"/>
  <c r="CP103" i="9"/>
  <c r="V103" i="9" s="1"/>
  <c r="CP27" i="9"/>
  <c r="V27" i="9" s="1"/>
  <c r="CP77" i="9"/>
  <c r="V77" i="9" s="1"/>
  <c r="BP26" i="9" a="1"/>
  <c r="BP26" i="9" s="1"/>
  <c r="BL76" i="9" a="1"/>
  <c r="BL76" i="9" s="1"/>
  <c r="BL55" i="9" a="1"/>
  <c r="BL55" i="9" s="1"/>
  <c r="BV27" i="9"/>
  <c r="Q27" i="9" s="1"/>
  <c r="AB27" i="9" s="1"/>
  <c r="BT70" i="9" a="1"/>
  <c r="BT70" i="9" s="1"/>
  <c r="CP339" i="9"/>
  <c r="V339" i="9" s="1"/>
  <c r="CP354" i="9"/>
  <c r="V354" i="9" s="1"/>
  <c r="BV480" i="9"/>
  <c r="Q480" i="9" s="1"/>
  <c r="AB480" i="9" s="1"/>
  <c r="BP236" i="9" a="1"/>
  <c r="BP236" i="9" s="1"/>
  <c r="BL265" i="9" a="1"/>
  <c r="BL265" i="9" s="1"/>
  <c r="BP426" i="9" a="1"/>
  <c r="BP426" i="9" s="1"/>
  <c r="CP689" i="9"/>
  <c r="V689" i="9" s="1"/>
  <c r="AB689" i="9" s="1"/>
  <c r="BV404" i="9"/>
  <c r="Q404" i="9" s="1"/>
  <c r="BV726" i="9"/>
  <c r="Q726" i="9" s="1"/>
  <c r="AB726" i="9" s="1"/>
  <c r="BV506" i="9"/>
  <c r="Q506" i="9" s="1"/>
  <c r="AB506" i="9" s="1"/>
  <c r="BV655" i="9"/>
  <c r="Q655" i="9" s="1"/>
  <c r="BV618" i="9"/>
  <c r="Q618" i="9" s="1"/>
  <c r="AB618" i="9" s="1"/>
  <c r="CP282" i="9"/>
  <c r="V282" i="9" s="1"/>
  <c r="BV314" i="9"/>
  <c r="Q314" i="9" s="1"/>
  <c r="AB314" i="9" s="1"/>
  <c r="BP137" i="9" a="1"/>
  <c r="BP137" i="9" s="1"/>
  <c r="BV385" i="9"/>
  <c r="Q385" i="9" s="1"/>
  <c r="AB385" i="9" s="1"/>
  <c r="BV450" i="9"/>
  <c r="Q450" i="9" s="1"/>
  <c r="AB450" i="9" s="1"/>
  <c r="BV458" i="9"/>
  <c r="Q458" i="9" s="1"/>
  <c r="AB458" i="9" s="1"/>
  <c r="BV323" i="9"/>
  <c r="Q323" i="9" s="1"/>
  <c r="AB323" i="9" s="1"/>
  <c r="CP148" i="9"/>
  <c r="V148" i="9" s="1"/>
  <c r="CP533" i="9"/>
  <c r="V533" i="9" s="1"/>
  <c r="CP802" i="9"/>
  <c r="V802" i="9" s="1"/>
  <c r="BL722" i="9" a="1"/>
  <c r="BL722" i="9" s="1"/>
  <c r="BV130" i="9"/>
  <c r="Q130" i="9" s="1"/>
  <c r="AB130" i="9" s="1"/>
  <c r="BV282" i="9"/>
  <c r="Q282" i="9" s="1"/>
  <c r="BV667" i="9"/>
  <c r="Q667" i="9" s="1"/>
  <c r="AB667" i="9" s="1"/>
  <c r="BV576" i="9"/>
  <c r="Q576" i="9" s="1"/>
  <c r="BV846" i="9"/>
  <c r="Q846" i="9" s="1"/>
  <c r="BV192" i="9"/>
  <c r="Q192" i="9" s="1"/>
  <c r="AB192" i="9" s="1"/>
  <c r="CP380" i="9"/>
  <c r="V380" i="9" s="1"/>
  <c r="AB380" i="9" s="1"/>
  <c r="CP425" i="9"/>
  <c r="V425" i="9" s="1"/>
  <c r="CP586" i="9"/>
  <c r="V586" i="9" s="1"/>
  <c r="AB586" i="9" s="1"/>
  <c r="BV578" i="9"/>
  <c r="Q578" i="9" s="1"/>
  <c r="BP296" i="9" a="1"/>
  <c r="BP296" i="9" s="1"/>
  <c r="CP275" i="9"/>
  <c r="V275" i="9" s="1"/>
  <c r="AB275" i="9" s="1"/>
  <c r="BV300" i="9"/>
  <c r="Q300" i="9" s="1"/>
  <c r="AB300" i="9" s="1"/>
  <c r="BP258" i="9" a="1"/>
  <c r="BP258" i="9" s="1"/>
  <c r="BV370" i="9"/>
  <c r="Q370" i="9" s="1"/>
  <c r="AB370" i="9" s="1"/>
  <c r="BP225" i="9" a="1"/>
  <c r="BP225" i="9" s="1"/>
  <c r="CP396" i="9"/>
  <c r="V396" i="9" s="1"/>
  <c r="AB396" i="9" s="1"/>
  <c r="CP505" i="9"/>
  <c r="V505" i="9" s="1"/>
  <c r="CP628" i="9"/>
  <c r="V628" i="9" s="1"/>
  <c r="CP996" i="9"/>
  <c r="V996" i="9" s="1"/>
  <c r="CF1014" i="9" a="1"/>
  <c r="CF1014" i="9" s="1"/>
  <c r="BV837" i="9"/>
  <c r="Q837" i="9" s="1"/>
  <c r="AB837" i="9" s="1"/>
  <c r="BL965" i="9" a="1"/>
  <c r="BL965" i="9" s="1"/>
  <c r="BL799" i="9" a="1"/>
  <c r="BL799" i="9" s="1"/>
  <c r="BL955" i="9" a="1"/>
  <c r="BL955" i="9" s="1"/>
  <c r="CJ823" i="9" a="1"/>
  <c r="CJ823" i="9" s="1"/>
  <c r="CP128" i="9"/>
  <c r="V128" i="9" s="1"/>
  <c r="BV830" i="9"/>
  <c r="Q830" i="9" s="1"/>
  <c r="AB830" i="9" s="1"/>
  <c r="BV1009" i="9"/>
  <c r="Q1009" i="9" s="1"/>
  <c r="BV1007" i="9"/>
  <c r="Q1007" i="9" s="1"/>
  <c r="AB1007" i="9" s="1"/>
  <c r="BV999" i="9"/>
  <c r="Q999" i="9" s="1"/>
  <c r="CP926" i="9"/>
  <c r="V926" i="9" s="1"/>
  <c r="BP907" i="9" a="1"/>
  <c r="BP907" i="9" s="1"/>
  <c r="BP842" i="9" a="1"/>
  <c r="BP842" i="9" s="1"/>
  <c r="BV768" i="9"/>
  <c r="Q768" i="9" s="1"/>
  <c r="CP819" i="9"/>
  <c r="V819" i="9" s="1"/>
  <c r="BV207" i="9"/>
  <c r="Q207" i="9" s="1"/>
  <c r="BV960" i="9"/>
  <c r="Q960" i="9" s="1"/>
  <c r="CP918" i="9"/>
  <c r="V918" i="9" s="1"/>
  <c r="AB918" i="9" s="1"/>
  <c r="CP584" i="9"/>
  <c r="V584" i="9" s="1"/>
  <c r="AB584" i="9" s="1"/>
  <c r="BV746" i="9"/>
  <c r="Q746" i="9" s="1"/>
  <c r="AB746" i="9" s="1"/>
  <c r="BL963" i="9" a="1"/>
  <c r="BL963" i="9" s="1"/>
  <c r="CP845" i="9"/>
  <c r="V845" i="9" s="1"/>
  <c r="CN678" i="9" a="1"/>
  <c r="CN678" i="9" s="1"/>
  <c r="CO678" i="9" a="1"/>
  <c r="CO678" i="9" s="1"/>
  <c r="CF590" i="9" a="1"/>
  <c r="CF590" i="9" s="1"/>
  <c r="CP590" i="9" s="1"/>
  <c r="V590" i="9" s="1"/>
  <c r="BV430" i="9"/>
  <c r="Q430" i="9" s="1"/>
  <c r="AB430" i="9" s="1"/>
  <c r="CO382" i="9" a="1"/>
  <c r="CO382" i="9" s="1"/>
  <c r="CN382" i="9" a="1"/>
  <c r="CN382" i="9" s="1"/>
  <c r="CP821" i="9"/>
  <c r="V821" i="9" s="1"/>
  <c r="CP53" i="9"/>
  <c r="V53" i="9" s="1"/>
  <c r="CJ37" i="9" a="1"/>
  <c r="CJ37" i="9" s="1"/>
  <c r="CJ81" i="9" a="1"/>
  <c r="CJ81" i="9" s="1"/>
  <c r="BV652" i="9"/>
  <c r="Q652" i="9" s="1"/>
  <c r="AB652" i="9" s="1"/>
  <c r="BV272" i="9"/>
  <c r="Q272" i="9" s="1"/>
  <c r="AB272" i="9" s="1"/>
  <c r="CF268" i="9" a="1"/>
  <c r="CF268" i="9" s="1"/>
  <c r="CF260" i="9" a="1"/>
  <c r="CF260" i="9" s="1"/>
  <c r="CP717" i="9"/>
  <c r="V717" i="9" s="1"/>
  <c r="AB717" i="9" s="1"/>
  <c r="BV276" i="9"/>
  <c r="Q276" i="9" s="1"/>
  <c r="AB276" i="9" s="1"/>
  <c r="CP319" i="9"/>
  <c r="V319" i="9" s="1"/>
  <c r="CP546" i="9"/>
  <c r="V546" i="9" s="1"/>
  <c r="AB546" i="9" s="1"/>
  <c r="BV369" i="9"/>
  <c r="Q369" i="9" s="1"/>
  <c r="AB369" i="9" s="1"/>
  <c r="CP866" i="9"/>
  <c r="V866" i="9" s="1"/>
  <c r="BP581" i="9" a="1"/>
  <c r="BP581" i="9" s="1"/>
  <c r="BV623" i="9"/>
  <c r="Q623" i="9" s="1"/>
  <c r="AB623" i="9" s="1"/>
  <c r="BV705" i="9"/>
  <c r="Q705" i="9" s="1"/>
  <c r="AB705" i="9" s="1"/>
  <c r="BV958" i="9"/>
  <c r="Q958" i="9" s="1"/>
  <c r="AB958" i="9" s="1"/>
  <c r="CP395" i="9"/>
  <c r="V395" i="9" s="1"/>
  <c r="BV215" i="9"/>
  <c r="Q215" i="9" s="1"/>
  <c r="AB215" i="9" s="1"/>
  <c r="BV212" i="9"/>
  <c r="Q212" i="9" s="1"/>
  <c r="AB212" i="9" s="1"/>
  <c r="BV558" i="9"/>
  <c r="Q558" i="9" s="1"/>
  <c r="AB558" i="9" s="1"/>
  <c r="BV696" i="9"/>
  <c r="Q696" i="9" s="1"/>
  <c r="AB696" i="9" s="1"/>
  <c r="BV135" i="9"/>
  <c r="Q135" i="9" s="1"/>
  <c r="CP342" i="9"/>
  <c r="V342" i="9" s="1"/>
  <c r="AB342" i="9" s="1"/>
  <c r="CJ884" i="9" a="1"/>
  <c r="CJ884" i="9" s="1"/>
  <c r="CP1015" i="9"/>
  <c r="V1015" i="9" s="1"/>
  <c r="BV946" i="9"/>
  <c r="Q946" i="9" s="1"/>
  <c r="AB946" i="9" s="1"/>
  <c r="BV989" i="9"/>
  <c r="Q989" i="9" s="1"/>
  <c r="AB989" i="9" s="1"/>
  <c r="CJ678" i="9" a="1"/>
  <c r="CJ678" i="9" s="1"/>
  <c r="CF678" i="9" a="1"/>
  <c r="CF678" i="9" s="1"/>
  <c r="CF685" i="9" a="1"/>
  <c r="CF685" i="9" s="1"/>
  <c r="CB685" i="9" a="1"/>
  <c r="CB685" i="9" s="1"/>
  <c r="CJ162" i="9" a="1"/>
  <c r="CJ162" i="9" s="1"/>
  <c r="CP637" i="9"/>
  <c r="V637" i="9" s="1"/>
  <c r="AB637" i="9" s="1"/>
  <c r="BL79" i="9" a="1"/>
  <c r="BL79" i="9" s="1"/>
  <c r="BV126" i="9"/>
  <c r="Q126" i="9" s="1"/>
  <c r="AB126" i="9" s="1"/>
  <c r="CP346" i="9"/>
  <c r="V346" i="9" s="1"/>
  <c r="CP183" i="9"/>
  <c r="V183" i="9" s="1"/>
  <c r="BV697" i="9"/>
  <c r="Q697" i="9" s="1"/>
  <c r="AB697" i="9" s="1"/>
  <c r="BP229" i="9" a="1"/>
  <c r="BP229" i="9" s="1"/>
  <c r="CP154" i="9"/>
  <c r="V154" i="9" s="1"/>
  <c r="AB154" i="9" s="1"/>
  <c r="BV485" i="9"/>
  <c r="Q485" i="9" s="1"/>
  <c r="AB485" i="9" s="1"/>
  <c r="CP708" i="9"/>
  <c r="V708" i="9" s="1"/>
  <c r="CP786" i="9"/>
  <c r="V786" i="9" s="1"/>
  <c r="CP249" i="9"/>
  <c r="V249" i="9" s="1"/>
  <c r="AB249" i="9" s="1"/>
  <c r="CP159" i="9"/>
  <c r="V159" i="9" s="1"/>
  <c r="AB159" i="9" s="1"/>
  <c r="BV371" i="9"/>
  <c r="Q371" i="9" s="1"/>
  <c r="AB371" i="9" s="1"/>
  <c r="BV478" i="9"/>
  <c r="Q478" i="9" s="1"/>
  <c r="AB478" i="9" s="1"/>
  <c r="CP570" i="9"/>
  <c r="V570" i="9" s="1"/>
  <c r="AB570" i="9" s="1"/>
  <c r="CP580" i="9"/>
  <c r="V580" i="9" s="1"/>
  <c r="AB580" i="9" s="1"/>
  <c r="CP695" i="9"/>
  <c r="V695" i="9" s="1"/>
  <c r="CJ675" i="9" a="1"/>
  <c r="CJ675" i="9" s="1"/>
  <c r="BV743" i="9"/>
  <c r="Q743" i="9" s="1"/>
  <c r="AB743" i="9" s="1"/>
  <c r="CP388" i="9"/>
  <c r="V388" i="9" s="1"/>
  <c r="BL529" i="9" a="1"/>
  <c r="BL529" i="9" s="1"/>
  <c r="BV729" i="9"/>
  <c r="Q729" i="9" s="1"/>
  <c r="AB729" i="9" s="1"/>
  <c r="BV679" i="9"/>
  <c r="Q679" i="9" s="1"/>
  <c r="BP134" i="9" a="1"/>
  <c r="BP134" i="9" s="1"/>
  <c r="BV336" i="9"/>
  <c r="Q336" i="9" s="1"/>
  <c r="AB336" i="9" s="1"/>
  <c r="CP713" i="9"/>
  <c r="V713" i="9" s="1"/>
  <c r="BV220" i="9"/>
  <c r="Q220" i="9" s="1"/>
  <c r="AB220" i="9" s="1"/>
  <c r="CP442" i="9"/>
  <c r="V442" i="9" s="1"/>
  <c r="BV411" i="9"/>
  <c r="Q411" i="9" s="1"/>
  <c r="AB411" i="9" s="1"/>
  <c r="CP544" i="9"/>
  <c r="V544" i="9" s="1"/>
  <c r="AB544" i="9" s="1"/>
  <c r="BL155" i="9" a="1"/>
  <c r="BL155" i="9" s="1"/>
  <c r="CP784" i="9"/>
  <c r="V784" i="9" s="1"/>
  <c r="CP278" i="9"/>
  <c r="V278" i="9" s="1"/>
  <c r="AB278" i="9" s="1"/>
  <c r="CP390" i="9"/>
  <c r="V390" i="9" s="1"/>
  <c r="AB390" i="9" s="1"/>
  <c r="CP611" i="9"/>
  <c r="V611" i="9" s="1"/>
  <c r="CP853" i="9"/>
  <c r="V853" i="9" s="1"/>
  <c r="CP820" i="9"/>
  <c r="V820" i="9" s="1"/>
  <c r="AB820" i="9" s="1"/>
  <c r="CP938" i="9"/>
  <c r="V938" i="9" s="1"/>
  <c r="CP980" i="9"/>
  <c r="V980" i="9" s="1"/>
  <c r="AB980" i="9" s="1"/>
  <c r="BV787" i="9"/>
  <c r="Q787" i="9" s="1"/>
  <c r="BV893" i="9"/>
  <c r="Q893" i="9" s="1"/>
  <c r="CP408" i="9"/>
  <c r="V408" i="9" s="1"/>
  <c r="AB408" i="9" s="1"/>
  <c r="BV961" i="9"/>
  <c r="Q961" i="9" s="1"/>
  <c r="BV511" i="9"/>
  <c r="Q511" i="9" s="1"/>
  <c r="AB511" i="9" s="1"/>
  <c r="BV1008" i="9"/>
  <c r="Q1008" i="9" s="1"/>
  <c r="BV991" i="9"/>
  <c r="Q991" i="9" s="1"/>
  <c r="CF745" i="9" a="1"/>
  <c r="CF745" i="9" s="1"/>
  <c r="BV974" i="9"/>
  <c r="Q974" i="9" s="1"/>
  <c r="AB974" i="9" s="1"/>
  <c r="CP476" i="9"/>
  <c r="V476" i="9" s="1"/>
  <c r="CP946" i="9"/>
  <c r="V946" i="9" s="1"/>
  <c r="CF870" i="9" a="1"/>
  <c r="CF870" i="9" s="1"/>
  <c r="CP951" i="9"/>
  <c r="V951" i="9" s="1"/>
  <c r="CP795" i="9"/>
  <c r="V795" i="9" s="1"/>
  <c r="BL835" i="9" a="1"/>
  <c r="BL835" i="9" s="1"/>
  <c r="CN633" i="9" a="1"/>
  <c r="CN633" i="9" s="1"/>
  <c r="CO633" i="9" a="1"/>
  <c r="CO633" i="9" s="1"/>
  <c r="CN685" i="9" a="1"/>
  <c r="CN685" i="9" s="1"/>
  <c r="CO685" i="9" a="1"/>
  <c r="CO685" i="9" s="1"/>
  <c r="CJ376" i="9" a="1"/>
  <c r="CJ376" i="9" s="1"/>
  <c r="CP376" i="9" s="1"/>
  <c r="V376" i="9" s="1"/>
  <c r="BT162" i="9" a="1"/>
  <c r="BT162" i="9" s="1"/>
  <c r="BU162" i="9" a="1"/>
  <c r="BU162" i="9" s="1"/>
  <c r="BV443" i="9"/>
  <c r="Q443" i="9" s="1"/>
  <c r="AB443" i="9" s="1"/>
  <c r="CF382" i="9" a="1"/>
  <c r="CF382" i="9" s="1"/>
  <c r="BL793" i="9" a="1"/>
  <c r="BL793" i="9" s="1"/>
  <c r="BV111" i="9"/>
  <c r="Q111" i="9" s="1"/>
  <c r="BV129" i="9"/>
  <c r="Q129" i="9" s="1"/>
  <c r="CP144" i="9"/>
  <c r="V144" i="9" s="1"/>
  <c r="CP85" i="9"/>
  <c r="V85" i="9" s="1"/>
  <c r="CF67" i="9" a="1"/>
  <c r="CF67" i="9" s="1"/>
  <c r="BV208" i="9"/>
  <c r="Q208" i="9" s="1"/>
  <c r="CP496" i="9"/>
  <c r="V496" i="9" s="1"/>
  <c r="BV270" i="9"/>
  <c r="Q270" i="9" s="1"/>
  <c r="AB270" i="9" s="1"/>
  <c r="CP309" i="9"/>
  <c r="V309" i="9" s="1"/>
  <c r="CP528" i="9"/>
  <c r="V528" i="9" s="1"/>
  <c r="AB528" i="9" s="1"/>
  <c r="BV420" i="9"/>
  <c r="Q420" i="9" s="1"/>
  <c r="AB420" i="9" s="1"/>
  <c r="BV676" i="9"/>
  <c r="Q676" i="9" s="1"/>
  <c r="AB676" i="9" s="1"/>
  <c r="CP463" i="9"/>
  <c r="V463" i="9" s="1"/>
  <c r="AB463" i="9" s="1"/>
  <c r="CP719" i="9"/>
  <c r="V719" i="9" s="1"/>
  <c r="AB719" i="9" s="1"/>
  <c r="CP413" i="9"/>
  <c r="V413" i="9" s="1"/>
  <c r="BV139" i="9"/>
  <c r="Q139" i="9" s="1"/>
  <c r="AB139" i="9" s="1"/>
  <c r="CP353" i="9"/>
  <c r="V353" i="9" s="1"/>
  <c r="CJ622" i="9" a="1"/>
  <c r="CJ622" i="9" s="1"/>
  <c r="CP142" i="9"/>
  <c r="V142" i="9" s="1"/>
  <c r="AB142" i="9" s="1"/>
  <c r="BV444" i="9"/>
  <c r="Q444" i="9" s="1"/>
  <c r="AB444" i="9" s="1"/>
  <c r="BV934" i="9"/>
  <c r="Q934" i="9" s="1"/>
  <c r="AB934" i="9" s="1"/>
  <c r="CP124" i="9"/>
  <c r="V124" i="9" s="1"/>
  <c r="CP231" i="9"/>
  <c r="V231" i="9" s="1"/>
  <c r="CP920" i="9"/>
  <c r="V920" i="9" s="1"/>
  <c r="CP565" i="9"/>
  <c r="V565" i="9" s="1"/>
  <c r="CP641" i="9"/>
  <c r="V641" i="9" s="1"/>
  <c r="AB641" i="9" s="1"/>
  <c r="BL680" i="9" a="1"/>
  <c r="BL680" i="9" s="1"/>
  <c r="CP187" i="9"/>
  <c r="V187" i="9" s="1"/>
  <c r="AB187" i="9" s="1"/>
  <c r="CP805" i="9"/>
  <c r="V805" i="9" s="1"/>
  <c r="AB805" i="9" s="1"/>
  <c r="CP858" i="9"/>
  <c r="V858" i="9" s="1"/>
  <c r="BV512" i="9"/>
  <c r="Q512" i="9" s="1"/>
  <c r="CF799" i="9" a="1"/>
  <c r="CF799" i="9" s="1"/>
  <c r="BV831" i="9"/>
  <c r="Q831" i="9" s="1"/>
  <c r="AB831" i="9" s="1"/>
  <c r="CP435" i="9"/>
  <c r="V435" i="9" s="1"/>
  <c r="CP945" i="9"/>
  <c r="V945" i="9" s="1"/>
  <c r="CP904" i="9"/>
  <c r="V904" i="9" s="1"/>
  <c r="AB904" i="9" s="1"/>
  <c r="CP961" i="9"/>
  <c r="V961" i="9" s="1"/>
  <c r="CP1021" i="9"/>
  <c r="V1021" i="9" s="1"/>
  <c r="CP664" i="9"/>
  <c r="V664" i="9" s="1"/>
  <c r="CP869" i="9"/>
  <c r="V869" i="9" s="1"/>
  <c r="CP197" i="9"/>
  <c r="V197" i="9" s="1"/>
  <c r="CP822" i="9"/>
  <c r="V822" i="9" s="1"/>
  <c r="BT878" i="9" a="1"/>
  <c r="BT878" i="9" s="1"/>
  <c r="CP971" i="9"/>
  <c r="V971" i="9" s="1"/>
  <c r="BU382" i="9" a="1"/>
  <c r="BU382" i="9" s="1"/>
  <c r="BT382" i="9" a="1"/>
  <c r="BT382" i="9" s="1"/>
  <c r="BV811" i="9"/>
  <c r="Q811" i="9" s="1"/>
  <c r="AB811" i="9" s="1"/>
  <c r="BH382" i="9" a="1"/>
  <c r="BH382" i="9" s="1"/>
  <c r="BL382" i="9" a="1"/>
  <c r="BL382" i="9" s="1"/>
  <c r="CJ65" i="9" a="1"/>
  <c r="CJ65" i="9" s="1"/>
  <c r="CP35" i="9"/>
  <c r="V35" i="9" s="1"/>
  <c r="CP90" i="9"/>
  <c r="V90" i="9" s="1"/>
  <c r="BV118" i="9"/>
  <c r="Q118" i="9" s="1"/>
  <c r="AB118" i="9" s="1"/>
  <c r="BL68" i="9" a="1"/>
  <c r="BL68" i="9" s="1"/>
  <c r="CF75" i="9" a="1"/>
  <c r="CF75" i="9" s="1"/>
  <c r="BV56" i="9"/>
  <c r="Q56" i="9" s="1"/>
  <c r="AB56" i="9" s="1"/>
  <c r="CN114" i="9" a="1"/>
  <c r="CN114" i="9" s="1"/>
  <c r="CP196" i="9"/>
  <c r="V196" i="9" s="1"/>
  <c r="BV778" i="9"/>
  <c r="Q778" i="9" s="1"/>
  <c r="AB778" i="9" s="1"/>
  <c r="BV196" i="9"/>
  <c r="Q196" i="9" s="1"/>
  <c r="CP655" i="9"/>
  <c r="V655" i="9" s="1"/>
  <c r="BV810" i="9"/>
  <c r="Q810" i="9" s="1"/>
  <c r="AB810" i="9" s="1"/>
  <c r="CP694" i="9"/>
  <c r="V694" i="9" s="1"/>
  <c r="AB694" i="9" s="1"/>
  <c r="CP420" i="9"/>
  <c r="V420" i="9" s="1"/>
  <c r="BV312" i="9"/>
  <c r="Q312" i="9" s="1"/>
  <c r="AB312" i="9" s="1"/>
  <c r="CP208" i="9"/>
  <c r="V208" i="9" s="1"/>
  <c r="CP311" i="9"/>
  <c r="V311" i="9" s="1"/>
  <c r="CP701" i="9"/>
  <c r="V701" i="9" s="1"/>
  <c r="CP453" i="9"/>
  <c r="V453" i="9" s="1"/>
  <c r="CP350" i="9"/>
  <c r="V350" i="9" s="1"/>
  <c r="CP355" i="9"/>
  <c r="V355" i="9" s="1"/>
  <c r="AB355" i="9" s="1"/>
  <c r="CP368" i="9"/>
  <c r="V368" i="9" s="1"/>
  <c r="AB368" i="9" s="1"/>
  <c r="BV505" i="9"/>
  <c r="Q505" i="9" s="1"/>
  <c r="AB505" i="9" s="1"/>
  <c r="CP679" i="9"/>
  <c r="V679" i="9" s="1"/>
  <c r="CP984" i="9"/>
  <c r="V984" i="9" s="1"/>
  <c r="CP238" i="9"/>
  <c r="V238" i="9" s="1"/>
  <c r="AB238" i="9" s="1"/>
  <c r="BV262" i="9"/>
  <c r="Q262" i="9" s="1"/>
  <c r="AB262" i="9" s="1"/>
  <c r="BV479" i="9"/>
  <c r="Q479" i="9" s="1"/>
  <c r="AB479" i="9" s="1"/>
  <c r="BV297" i="9"/>
  <c r="Q297" i="9" s="1"/>
  <c r="AB297" i="9" s="1"/>
  <c r="CP992" i="9"/>
  <c r="V992" i="9" s="1"/>
  <c r="AB992" i="9" s="1"/>
  <c r="CP360" i="9"/>
  <c r="V360" i="9" s="1"/>
  <c r="AB360" i="9" s="1"/>
  <c r="CP135" i="9"/>
  <c r="V135" i="9" s="1"/>
  <c r="CF255" i="9" a="1"/>
  <c r="CF255" i="9" s="1"/>
  <c r="BV454" i="9"/>
  <c r="Q454" i="9" s="1"/>
  <c r="CP763" i="9"/>
  <c r="V763" i="9" s="1"/>
  <c r="CJ273" i="9" a="1"/>
  <c r="CJ273" i="9" s="1"/>
  <c r="CP123" i="9"/>
  <c r="V123" i="9" s="1"/>
  <c r="AB123" i="9" s="1"/>
  <c r="BP303" i="9" a="1"/>
  <c r="BP303" i="9" s="1"/>
  <c r="BV776" i="9"/>
  <c r="Q776" i="9" s="1"/>
  <c r="BV845" i="9"/>
  <c r="Q845" i="9" s="1"/>
  <c r="AB845" i="9" s="1"/>
  <c r="BV840" i="9"/>
  <c r="Q840" i="9" s="1"/>
  <c r="AB840" i="9" s="1"/>
  <c r="CP512" i="9"/>
  <c r="V512" i="9" s="1"/>
  <c r="BP788" i="9" a="1"/>
  <c r="BP788" i="9" s="1"/>
  <c r="BL902" i="9" a="1"/>
  <c r="BL902" i="9" s="1"/>
  <c r="CP864" i="9"/>
  <c r="V864" i="9" s="1"/>
  <c r="AB864" i="9" s="1"/>
  <c r="BV819" i="9"/>
  <c r="Q819" i="9" s="1"/>
  <c r="AB819" i="9" s="1"/>
  <c r="BV967" i="9"/>
  <c r="Q967" i="9" s="1"/>
  <c r="AB967" i="9" s="1"/>
  <c r="BV590" i="9"/>
  <c r="Q590" i="9" s="1"/>
  <c r="AB590" i="9" s="1"/>
  <c r="BV882" i="9"/>
  <c r="Q882" i="9" s="1"/>
  <c r="AB882" i="9" s="1"/>
  <c r="BV903" i="9"/>
  <c r="Q903" i="9" s="1"/>
  <c r="AB903" i="9" s="1"/>
  <c r="BV951" i="9"/>
  <c r="Q951" i="9" s="1"/>
  <c r="BV555" i="9"/>
  <c r="Q555" i="9" s="1"/>
  <c r="AB555" i="9" s="1"/>
  <c r="BV1002" i="9"/>
  <c r="Q1002" i="9" s="1"/>
  <c r="BV986" i="9"/>
  <c r="Q986" i="9" s="1"/>
  <c r="AB986" i="9" s="1"/>
  <c r="BV629" i="9"/>
  <c r="Q629" i="9" s="1"/>
  <c r="CP913" i="9"/>
  <c r="V913" i="9" s="1"/>
  <c r="AB913" i="9" s="1"/>
  <c r="BV1000" i="9"/>
  <c r="Q1000" i="9" s="1"/>
  <c r="AB1000" i="9" s="1"/>
  <c r="CP833" i="9"/>
  <c r="V833" i="9" s="1"/>
  <c r="CJ923" i="9" a="1"/>
  <c r="CJ923" i="9" s="1"/>
  <c r="CF814" i="9" a="1"/>
  <c r="CF814" i="9" s="1"/>
  <c r="BL162" i="9" a="1"/>
  <c r="BL162" i="9" s="1"/>
  <c r="BH162" i="9" a="1"/>
  <c r="BH162" i="9" s="1"/>
  <c r="CJ70" i="9" a="1"/>
  <c r="CJ70" i="9" s="1"/>
  <c r="CP70" i="9" s="1"/>
  <c r="V70" i="9" s="1"/>
  <c r="BT359" i="9" a="1"/>
  <c r="BT359" i="9" s="1"/>
  <c r="BU359" i="9" a="1"/>
  <c r="BU359" i="9" s="1"/>
  <c r="CO563" i="9" a="1"/>
  <c r="CO563" i="9" s="1"/>
  <c r="CN563" i="9" a="1"/>
  <c r="CN563" i="9" s="1"/>
  <c r="BU526" i="9" a="1"/>
  <c r="BU526" i="9" s="1"/>
  <c r="BT526" i="9" a="1"/>
  <c r="BT526" i="9" s="1"/>
  <c r="CO235" i="9" a="1"/>
  <c r="CO235" i="9" s="1"/>
  <c r="CN235" i="9" a="1"/>
  <c r="CN235" i="9" s="1"/>
  <c r="BT426" i="9" a="1"/>
  <c r="BT426" i="9" s="1"/>
  <c r="BU426" i="9" a="1"/>
  <c r="BU426" i="9" s="1"/>
  <c r="CN499" i="9" a="1"/>
  <c r="CN499" i="9" s="1"/>
  <c r="CO499" i="9" a="1"/>
  <c r="CO499" i="9" s="1"/>
  <c r="BT416" i="9" a="1"/>
  <c r="BT416" i="9" s="1"/>
  <c r="BU416" i="9" a="1"/>
  <c r="BU416" i="9" s="1"/>
  <c r="BP288" i="9" a="1"/>
  <c r="BP288" i="9" s="1"/>
  <c r="BU553" i="9" a="1"/>
  <c r="BU553" i="9" s="1"/>
  <c r="BT553" i="9" a="1"/>
  <c r="BT553" i="9" s="1"/>
  <c r="BU595" i="9" a="1"/>
  <c r="BU595" i="9" s="1"/>
  <c r="BT595" i="9" a="1"/>
  <c r="BT595" i="9" s="1"/>
  <c r="BP579" i="9" a="1"/>
  <c r="BP579" i="9" s="1"/>
  <c r="BU145" i="9" a="1"/>
  <c r="BU145" i="9" s="1"/>
  <c r="BT145" i="9" a="1"/>
  <c r="BT145" i="9" s="1"/>
  <c r="CJ171" i="9" a="1"/>
  <c r="CJ171" i="9" s="1"/>
  <c r="BT252" i="9" a="1"/>
  <c r="BT252" i="9" s="1"/>
  <c r="BU252" i="9" a="1"/>
  <c r="BU252" i="9" s="1"/>
  <c r="CJ200" i="9" a="1"/>
  <c r="CJ200" i="9" s="1"/>
  <c r="CP264" i="9"/>
  <c r="V264" i="9" s="1"/>
  <c r="AB264" i="9" s="1"/>
  <c r="BT630" i="9" a="1"/>
  <c r="BT630" i="9" s="1"/>
  <c r="BU630" i="9" a="1"/>
  <c r="BU630" i="9" s="1"/>
  <c r="CF653" i="9" a="1"/>
  <c r="CF653" i="9" s="1"/>
  <c r="BP534" i="9" a="1"/>
  <c r="BP534" i="9" s="1"/>
  <c r="BU534" i="9" a="1"/>
  <c r="BU534" i="9" s="1"/>
  <c r="BT534" i="9" a="1"/>
  <c r="BT534" i="9" s="1"/>
  <c r="CP404" i="9"/>
  <c r="V404" i="9" s="1"/>
  <c r="CN210" i="9" a="1"/>
  <c r="CN210" i="9" s="1"/>
  <c r="CO210" i="9" a="1"/>
  <c r="CO210" i="9" s="1"/>
  <c r="BU494" i="9" a="1"/>
  <c r="BU494" i="9" s="1"/>
  <c r="BT494" i="9" a="1"/>
  <c r="BT494" i="9" s="1"/>
  <c r="BU190" i="9" a="1"/>
  <c r="BU190" i="9" s="1"/>
  <c r="BT190" i="9" a="1"/>
  <c r="BT190" i="9" s="1"/>
  <c r="CF179" i="9" a="1"/>
  <c r="CF179" i="9" s="1"/>
  <c r="BT386" i="9" a="1"/>
  <c r="BT386" i="9" s="1"/>
  <c r="BU386" i="9" a="1"/>
  <c r="BU386" i="9" s="1"/>
  <c r="BP237" i="9" a="1"/>
  <c r="BP237" i="9" s="1"/>
  <c r="BT224" i="9" a="1"/>
  <c r="BT224" i="9" s="1"/>
  <c r="BU224" i="9" a="1"/>
  <c r="BU224" i="9" s="1"/>
  <c r="BU518" i="9" a="1"/>
  <c r="BU518" i="9" s="1"/>
  <c r="BT518" i="9" a="1"/>
  <c r="BT518" i="9" s="1"/>
  <c r="CF550" i="9" a="1"/>
  <c r="CF550" i="9" s="1"/>
  <c r="CJ648" i="9" a="1"/>
  <c r="CJ648" i="9" s="1"/>
  <c r="BP529" i="9" a="1"/>
  <c r="BP529" i="9" s="1"/>
  <c r="CO167" i="9" a="1"/>
  <c r="CO167" i="9" s="1"/>
  <c r="CN167" i="9" a="1"/>
  <c r="CN167" i="9" s="1"/>
  <c r="CO265" i="9" a="1"/>
  <c r="CO265" i="9" s="1"/>
  <c r="CN265" i="9" a="1"/>
  <c r="CN265" i="9" s="1"/>
  <c r="CN205" i="9" a="1"/>
  <c r="CN205" i="9" s="1"/>
  <c r="CO205" i="9" a="1"/>
  <c r="CO205" i="9" s="1"/>
  <c r="CF345" i="9" a="1"/>
  <c r="CF345" i="9" s="1"/>
  <c r="CJ224" i="9" a="1"/>
  <c r="CJ224" i="9" s="1"/>
  <c r="CJ573" i="9" a="1"/>
  <c r="CJ573" i="9" s="1"/>
  <c r="BL780" i="9" a="1"/>
  <c r="BL780" i="9" s="1"/>
  <c r="BP554" i="9" a="1"/>
  <c r="BP554" i="9" s="1"/>
  <c r="CO218" i="9" a="1"/>
  <c r="CO218" i="9" s="1"/>
  <c r="CN218" i="9" a="1"/>
  <c r="CN218" i="9" s="1"/>
  <c r="BU225" i="9" a="1"/>
  <c r="BU225" i="9" s="1"/>
  <c r="BT225" i="9" a="1"/>
  <c r="BT225" i="9" s="1"/>
  <c r="BP456" i="9" a="1"/>
  <c r="BP456" i="9" s="1"/>
  <c r="CO224" i="9" a="1"/>
  <c r="CO224" i="9" s="1"/>
  <c r="CN224" i="9" a="1"/>
  <c r="CN224" i="9" s="1"/>
  <c r="BU273" i="9" a="1"/>
  <c r="BU273" i="9" s="1"/>
  <c r="BT273" i="9" a="1"/>
  <c r="BT273" i="9" s="1"/>
  <c r="BP359" i="9" a="1"/>
  <c r="BP359" i="9" s="1"/>
  <c r="CO589" i="9" a="1"/>
  <c r="CO589" i="9" s="1"/>
  <c r="CN589" i="9" a="1"/>
  <c r="CN589" i="9" s="1"/>
  <c r="BU723" i="9" a="1"/>
  <c r="BU723" i="9" s="1"/>
  <c r="BT723" i="9" a="1"/>
  <c r="BT723" i="9" s="1"/>
  <c r="CJ698" i="9" a="1"/>
  <c r="CJ698" i="9" s="1"/>
  <c r="CJ236" i="9" a="1"/>
  <c r="CJ236" i="9" s="1"/>
  <c r="CP236" i="9" s="1"/>
  <c r="V236" i="9" s="1"/>
  <c r="CN978" i="9" a="1"/>
  <c r="CN978" i="9" s="1"/>
  <c r="CO978" i="9" a="1"/>
  <c r="CO978" i="9" s="1"/>
  <c r="BT785" i="9" a="1"/>
  <c r="BT785" i="9" s="1"/>
  <c r="BU785" i="9" a="1"/>
  <c r="BU785" i="9" s="1"/>
  <c r="CO842" i="9" a="1"/>
  <c r="CO842" i="9" s="1"/>
  <c r="CN842" i="9" a="1"/>
  <c r="CN842" i="9" s="1"/>
  <c r="CN862" i="9" a="1"/>
  <c r="CN862" i="9" s="1"/>
  <c r="CO862" i="9" a="1"/>
  <c r="CO862" i="9" s="1"/>
  <c r="BP915" i="9" a="1"/>
  <c r="BP915" i="9" s="1"/>
  <c r="BL203" i="9" a="1"/>
  <c r="BL203" i="9" s="1"/>
  <c r="BL252" i="9" a="1"/>
  <c r="BL252" i="9" s="1"/>
  <c r="BV252" i="9" s="1"/>
  <c r="Q252" i="9" s="1"/>
  <c r="CF595" i="9" a="1"/>
  <c r="CF595" i="9" s="1"/>
  <c r="CF603" i="9" a="1"/>
  <c r="CF603" i="9" s="1"/>
  <c r="BL171" i="9" a="1"/>
  <c r="BL171" i="9" s="1"/>
  <c r="CN576" i="9" a="1"/>
  <c r="CN576" i="9" s="1"/>
  <c r="CP576" i="9" s="1"/>
  <c r="V576" i="9" s="1"/>
  <c r="CJ619" i="9" a="1"/>
  <c r="CJ619" i="9" s="1"/>
  <c r="BP737" i="9" a="1"/>
  <c r="BP737" i="9" s="1"/>
  <c r="CP779" i="9"/>
  <c r="V779" i="9" s="1"/>
  <c r="CF998" i="9" a="1"/>
  <c r="CF998" i="9" s="1"/>
  <c r="CF406" i="9" a="1"/>
  <c r="CF406" i="9" s="1"/>
  <c r="BL407" i="9" a="1"/>
  <c r="BL407" i="9" s="1"/>
  <c r="CJ630" i="9" a="1"/>
  <c r="CJ630" i="9" s="1"/>
  <c r="CP630" i="9" s="1"/>
  <c r="V630" i="9" s="1"/>
  <c r="BP715" i="9" a="1"/>
  <c r="BP715" i="9" s="1"/>
  <c r="BV907" i="9"/>
  <c r="Q907" i="9" s="1"/>
  <c r="CN844" i="9" a="1"/>
  <c r="CN844" i="9" s="1"/>
  <c r="CO844" i="9" a="1"/>
  <c r="CO844" i="9" s="1"/>
  <c r="BU925" i="9" a="1"/>
  <c r="BU925" i="9" s="1"/>
  <c r="BT925" i="9" a="1"/>
  <c r="BT925" i="9" s="1"/>
  <c r="CN225" i="9" a="1"/>
  <c r="CN225" i="9" s="1"/>
  <c r="BT288" i="9" a="1"/>
  <c r="BT288" i="9" s="1"/>
  <c r="CN613" i="9" a="1"/>
  <c r="CN613" i="9" s="1"/>
  <c r="CP613" i="9" s="1"/>
  <c r="V613" i="9" s="1"/>
  <c r="CF764" i="9" a="1"/>
  <c r="CF764" i="9" s="1"/>
  <c r="CO923" i="9" a="1"/>
  <c r="CO923" i="9" s="1"/>
  <c r="CN923" i="9" a="1"/>
  <c r="CN923" i="9" s="1"/>
  <c r="CF807" i="9" a="1"/>
  <c r="CF807" i="9" s="1"/>
  <c r="BU908" i="9" a="1"/>
  <c r="BU908" i="9" s="1"/>
  <c r="BT908" i="9" a="1"/>
  <c r="BT908" i="9" s="1"/>
  <c r="CP800" i="9"/>
  <c r="V800" i="9" s="1"/>
  <c r="CF589" i="9" a="1"/>
  <c r="CF589" i="9" s="1"/>
  <c r="BT783" i="9" a="1"/>
  <c r="BT783" i="9" s="1"/>
  <c r="BU783" i="9" a="1"/>
  <c r="BU783" i="9" s="1"/>
  <c r="CN835" i="9" a="1"/>
  <c r="CN835" i="9" s="1"/>
  <c r="CO835" i="9" a="1"/>
  <c r="CO835" i="9" s="1"/>
  <c r="CO826" i="9" a="1"/>
  <c r="CO826" i="9" s="1"/>
  <c r="CN826" i="9" a="1"/>
  <c r="CN826" i="9" s="1"/>
  <c r="CF756" i="9" a="1"/>
  <c r="CF756" i="9" s="1"/>
  <c r="CO915" i="9" a="1"/>
  <c r="CO915" i="9" s="1"/>
  <c r="CN915" i="9" a="1"/>
  <c r="CN915" i="9" s="1"/>
  <c r="BU769" i="9" a="1"/>
  <c r="BU769" i="9" s="1"/>
  <c r="BT769" i="9" a="1"/>
  <c r="BT769" i="9" s="1"/>
  <c r="CF493" i="9" a="1"/>
  <c r="CF493" i="9" s="1"/>
  <c r="CP493" i="9" s="1"/>
  <c r="V493" i="9" s="1"/>
  <c r="CF987" i="9" a="1"/>
  <c r="CF987" i="9" s="1"/>
  <c r="CJ756" i="9" a="1"/>
  <c r="CJ756" i="9" s="1"/>
  <c r="BL777" i="9" a="1"/>
  <c r="BL777" i="9" s="1"/>
  <c r="BU894" i="9" a="1"/>
  <c r="BU894" i="9" s="1"/>
  <c r="BT894" i="9" a="1"/>
  <c r="BT894" i="9" s="1"/>
  <c r="CJ268" i="9" a="1"/>
  <c r="CJ268" i="9" s="1"/>
  <c r="CJ436" i="9" a="1"/>
  <c r="CJ436" i="9" s="1"/>
  <c r="CP436" i="9" s="1"/>
  <c r="V436" i="9" s="1"/>
  <c r="BT476" i="9" a="1"/>
  <c r="BT476" i="9" s="1"/>
  <c r="BV476" i="9" s="1"/>
  <c r="Q476" i="9" s="1"/>
  <c r="AB476" i="9" s="1"/>
  <c r="CF499" i="9" a="1"/>
  <c r="CF499" i="9" s="1"/>
  <c r="CN681" i="9" a="1"/>
  <c r="CN681" i="9" s="1"/>
  <c r="CP681" i="9" s="1"/>
  <c r="V681" i="9" s="1"/>
  <c r="CN526" i="9" a="1"/>
  <c r="CN526" i="9" s="1"/>
  <c r="CN656" i="9" a="1"/>
  <c r="CN656" i="9" s="1"/>
  <c r="CO753" i="9" a="1"/>
  <c r="CO753" i="9" s="1"/>
  <c r="CN753" i="9" a="1"/>
  <c r="CN753" i="9" s="1"/>
  <c r="BT735" i="9" a="1"/>
  <c r="BT735" i="9" s="1"/>
  <c r="BU735" i="9" a="1"/>
  <c r="BU735" i="9" s="1"/>
  <c r="CF1019" i="9" a="1"/>
  <c r="CF1019" i="9" s="1"/>
  <c r="BL891" i="9" a="1"/>
  <c r="BL891" i="9" s="1"/>
  <c r="CP905" i="9"/>
  <c r="V905" i="9" s="1"/>
  <c r="BT817" i="9" a="1"/>
  <c r="BT817" i="9" s="1"/>
  <c r="BU817" i="9" a="1"/>
  <c r="BU817" i="9" s="1"/>
  <c r="BT998" i="9" a="1"/>
  <c r="BT998" i="9" s="1"/>
  <c r="BU998" i="9" a="1"/>
  <c r="BU998" i="9" s="1"/>
  <c r="BL867" i="9" a="1"/>
  <c r="BL867" i="9" s="1"/>
  <c r="BL843" i="9" a="1"/>
  <c r="BL843" i="9" s="1"/>
  <c r="BT941" i="9" a="1"/>
  <c r="BT941" i="9" s="1"/>
  <c r="BT801" i="9" a="1"/>
  <c r="BT801" i="9" s="1"/>
  <c r="BV801" i="9" s="1"/>
  <c r="Q801" i="9" s="1"/>
  <c r="CJ843" i="9" a="1"/>
  <c r="CJ843" i="9" s="1"/>
  <c r="CF842" i="9" a="1"/>
  <c r="CF842" i="9" s="1"/>
  <c r="CJ1022" i="9" a="1"/>
  <c r="CJ1022" i="9" s="1"/>
  <c r="BL977" i="9" a="1"/>
  <c r="BL977" i="9" s="1"/>
  <c r="BV977" i="9" s="1"/>
  <c r="Q977" i="9" s="1"/>
  <c r="CJ868" i="9" a="1"/>
  <c r="CJ868" i="9" s="1"/>
  <c r="BT804" i="9" a="1"/>
  <c r="BT804" i="9" s="1"/>
  <c r="BV804" i="9" s="1"/>
  <c r="Q804" i="9" s="1"/>
  <c r="BP982" i="9" a="1"/>
  <c r="BP982" i="9" s="1"/>
  <c r="BV982" i="9" s="1"/>
  <c r="Q982" i="9" s="1"/>
  <c r="CN254" i="9" a="1"/>
  <c r="CN254" i="9" s="1"/>
  <c r="CO254" i="9" a="1"/>
  <c r="CO254" i="9" s="1"/>
  <c r="CN345" i="9" a="1"/>
  <c r="CN345" i="9" s="1"/>
  <c r="CO345" i="9" a="1"/>
  <c r="CO345" i="9" s="1"/>
  <c r="BL456" i="9" a="1"/>
  <c r="BL456" i="9" s="1"/>
  <c r="CO561" i="9" a="1"/>
  <c r="CO561" i="9" s="1"/>
  <c r="CN561" i="9" a="1"/>
  <c r="CN561" i="9" s="1"/>
  <c r="CJ547" i="9" a="1"/>
  <c r="CJ547" i="9" s="1"/>
  <c r="BT161" i="9" a="1"/>
  <c r="BT161" i="9" s="1"/>
  <c r="BU161" i="9" a="1"/>
  <c r="BU161" i="9" s="1"/>
  <c r="BT175" i="9" a="1"/>
  <c r="BT175" i="9" s="1"/>
  <c r="BU175" i="9" a="1"/>
  <c r="BU175" i="9" s="1"/>
  <c r="BU675" i="9" a="1"/>
  <c r="BU675" i="9" s="1"/>
  <c r="BT675" i="9" a="1"/>
  <c r="BT675" i="9" s="1"/>
  <c r="BU226" i="9" a="1"/>
  <c r="BU226" i="9" s="1"/>
  <c r="BT226" i="9" a="1"/>
  <c r="BT226" i="9" s="1"/>
  <c r="CJ486" i="9" a="1"/>
  <c r="CJ486" i="9" s="1"/>
  <c r="CF581" i="9" a="1"/>
  <c r="CF581" i="9" s="1"/>
  <c r="BP182" i="9" a="1"/>
  <c r="BP182" i="9" s="1"/>
  <c r="CO260" i="9" a="1"/>
  <c r="CO260" i="9" s="1"/>
  <c r="CN260" i="9" a="1"/>
  <c r="CN260" i="9" s="1"/>
  <c r="BT439" i="9" a="1"/>
  <c r="BT439" i="9" s="1"/>
  <c r="BU439" i="9" a="1"/>
  <c r="BU439" i="9" s="1"/>
  <c r="BP416" i="9" a="1"/>
  <c r="BP416" i="9" s="1"/>
  <c r="BP324" i="9" a="1"/>
  <c r="BP324" i="9" s="1"/>
  <c r="BT682" i="9" a="1"/>
  <c r="BT682" i="9" s="1"/>
  <c r="BU682" i="9" a="1"/>
  <c r="BU682" i="9" s="1"/>
  <c r="CJ434" i="9" a="1"/>
  <c r="CJ434" i="9" s="1"/>
  <c r="CP434" i="9" s="1"/>
  <c r="V434" i="9" s="1"/>
  <c r="CJ653" i="9" a="1"/>
  <c r="CJ653" i="9" s="1"/>
  <c r="BU197" i="9" a="1"/>
  <c r="BU197" i="9" s="1"/>
  <c r="BT197" i="9" a="1"/>
  <c r="BT197" i="9" s="1"/>
  <c r="BT419" i="9" a="1"/>
  <c r="BT419" i="9" s="1"/>
  <c r="BU419" i="9" a="1"/>
  <c r="BU419" i="9" s="1"/>
  <c r="CO510" i="9" a="1"/>
  <c r="CO510" i="9" s="1"/>
  <c r="CN510" i="9" a="1"/>
  <c r="CN510" i="9" s="1"/>
  <c r="BT436" i="9" a="1"/>
  <c r="BT436" i="9" s="1"/>
  <c r="BU436" i="9" a="1"/>
  <c r="BU436" i="9" s="1"/>
  <c r="CJ245" i="9" a="1"/>
  <c r="CJ245" i="9" s="1"/>
  <c r="BP613" i="9" a="1"/>
  <c r="BP613" i="9" s="1"/>
  <c r="BU628" i="9" a="1"/>
  <c r="BU628" i="9" s="1"/>
  <c r="BT628" i="9" a="1"/>
  <c r="BT628" i="9" s="1"/>
  <c r="CJ614" i="9" a="1"/>
  <c r="CJ614" i="9" s="1"/>
  <c r="CN250" i="9" a="1"/>
  <c r="CN250" i="9" s="1"/>
  <c r="CO250" i="9" a="1"/>
  <c r="CO250" i="9" s="1"/>
  <c r="BL326" i="9" a="1"/>
  <c r="BL326" i="9" s="1"/>
  <c r="CO273" i="9" a="1"/>
  <c r="CO273" i="9" s="1"/>
  <c r="CN273" i="9" a="1"/>
  <c r="CN273" i="9" s="1"/>
  <c r="BL340" i="9" a="1"/>
  <c r="BL340" i="9" s="1"/>
  <c r="BU611" i="9" a="1"/>
  <c r="BU611" i="9" s="1"/>
  <c r="BT611" i="9" a="1"/>
  <c r="BT611" i="9" s="1"/>
  <c r="CO486" i="9" a="1"/>
  <c r="CO486" i="9" s="1"/>
  <c r="CN486" i="9" a="1"/>
  <c r="CN486" i="9" s="1"/>
  <c r="BV515" i="9"/>
  <c r="Q515" i="9" s="1"/>
  <c r="AB515" i="9" s="1"/>
  <c r="CF210" i="9" a="1"/>
  <c r="CF210" i="9" s="1"/>
  <c r="CP210" i="9" s="1"/>
  <c r="V210" i="9" s="1"/>
  <c r="CJ384" i="9" a="1"/>
  <c r="CJ384" i="9" s="1"/>
  <c r="CF542" i="9" a="1"/>
  <c r="CF542" i="9" s="1"/>
  <c r="BP675" i="9" a="1"/>
  <c r="BP675" i="9" s="1"/>
  <c r="CF731" i="9" a="1"/>
  <c r="CF731" i="9" s="1"/>
  <c r="BT634" i="9" a="1"/>
  <c r="BT634" i="9" s="1"/>
  <c r="BT990" i="9" a="1"/>
  <c r="BT990" i="9" s="1"/>
  <c r="BU990" i="9" a="1"/>
  <c r="BU990" i="9" s="1"/>
  <c r="BT995" i="9" a="1"/>
  <c r="BT995" i="9" s="1"/>
  <c r="BU995" i="9" a="1"/>
  <c r="BU995" i="9" s="1"/>
  <c r="BL295" i="9" a="1"/>
  <c r="BL295" i="9" s="1"/>
  <c r="BP347" i="9" a="1"/>
  <c r="BP347" i="9" s="1"/>
  <c r="BV347" i="9" s="1"/>
  <c r="Q347" i="9" s="1"/>
  <c r="CF666" i="9" a="1"/>
  <c r="CF666" i="9" s="1"/>
  <c r="CP666" i="9" s="1"/>
  <c r="V666" i="9" s="1"/>
  <c r="BT605" i="9" a="1"/>
  <c r="BT605" i="9" s="1"/>
  <c r="BV605" i="9" s="1"/>
  <c r="Q605" i="9" s="1"/>
  <c r="CO857" i="9" a="1"/>
  <c r="CO857" i="9" s="1"/>
  <c r="CN857" i="9" a="1"/>
  <c r="CN857" i="9" s="1"/>
  <c r="BT826" i="9" a="1"/>
  <c r="BT826" i="9" s="1"/>
  <c r="BU826" i="9" a="1"/>
  <c r="BU826" i="9" s="1"/>
  <c r="BP824" i="9" a="1"/>
  <c r="BP824" i="9" s="1"/>
  <c r="CO897" i="9" a="1"/>
  <c r="CO897" i="9" s="1"/>
  <c r="CN897" i="9" a="1"/>
  <c r="CN897" i="9" s="1"/>
  <c r="CO997" i="9" a="1"/>
  <c r="CO997" i="9" s="1"/>
  <c r="CN997" i="9" a="1"/>
  <c r="CN997" i="9" s="1"/>
  <c r="BT823" i="9" a="1"/>
  <c r="BT823" i="9" s="1"/>
  <c r="BU823" i="9" a="1"/>
  <c r="BU823" i="9" s="1"/>
  <c r="BT883" i="9" a="1"/>
  <c r="BT883" i="9" s="1"/>
  <c r="BU883" i="9" a="1"/>
  <c r="BU883" i="9" s="1"/>
  <c r="CJ205" i="9" a="1"/>
  <c r="CJ205" i="9" s="1"/>
  <c r="CN329" i="9" a="1"/>
  <c r="CN329" i="9" s="1"/>
  <c r="CP329" i="9" s="1"/>
  <c r="V329" i="9" s="1"/>
  <c r="BT621" i="9" a="1"/>
  <c r="BT621" i="9" s="1"/>
  <c r="BT1022" i="9" a="1"/>
  <c r="BT1022" i="9" s="1"/>
  <c r="BU1022" i="9" a="1"/>
  <c r="BU1022" i="9" s="1"/>
  <c r="CN1006" i="9" a="1"/>
  <c r="CN1006" i="9" s="1"/>
  <c r="CO1006" i="9" a="1"/>
  <c r="CO1006" i="9" s="1"/>
  <c r="CO973" i="9" a="1"/>
  <c r="CO973" i="9" s="1"/>
  <c r="CN973" i="9" a="1"/>
  <c r="CN973" i="9" s="1"/>
  <c r="BT767" i="9" a="1"/>
  <c r="BT767" i="9" s="1"/>
  <c r="BU767" i="9" a="1"/>
  <c r="BU767" i="9" s="1"/>
  <c r="CO924" i="9" a="1"/>
  <c r="CO924" i="9" s="1"/>
  <c r="CN924" i="9" a="1"/>
  <c r="CN924" i="9" s="1"/>
  <c r="BT326" i="9" a="1"/>
  <c r="BT326" i="9" s="1"/>
  <c r="BV326" i="9" s="1"/>
  <c r="Q326" i="9" s="1"/>
  <c r="BL200" i="9" a="1"/>
  <c r="BL200" i="9" s="1"/>
  <c r="CJ302" i="9" a="1"/>
  <c r="CJ302" i="9" s="1"/>
  <c r="CJ394" i="9" a="1"/>
  <c r="CJ394" i="9" s="1"/>
  <c r="CP394" i="9" s="1"/>
  <c r="V394" i="9" s="1"/>
  <c r="CN764" i="9" a="1"/>
  <c r="CN764" i="9" s="1"/>
  <c r="CO764" i="9" a="1"/>
  <c r="CO764" i="9" s="1"/>
  <c r="BT843" i="9" a="1"/>
  <c r="BT843" i="9" s="1"/>
  <c r="BU843" i="9" a="1"/>
  <c r="BU843" i="9" s="1"/>
  <c r="BL337" i="9" a="1"/>
  <c r="BL337" i="9" s="1"/>
  <c r="BP176" i="9" a="1"/>
  <c r="BP176" i="9" s="1"/>
  <c r="CN383" i="9" a="1"/>
  <c r="CN383" i="9" s="1"/>
  <c r="CP383" i="9" s="1"/>
  <c r="V383" i="9" s="1"/>
  <c r="BT229" i="9" a="1"/>
  <c r="BT229" i="9" s="1"/>
  <c r="BT672" i="9" a="1"/>
  <c r="BT672" i="9" s="1"/>
  <c r="BV672" i="9" s="1"/>
  <c r="Q672" i="9" s="1"/>
  <c r="CN672" i="9" a="1"/>
  <c r="CN672" i="9" s="1"/>
  <c r="CP672" i="9" s="1"/>
  <c r="V672" i="9" s="1"/>
  <c r="CN876" i="9" a="1"/>
  <c r="CN876" i="9" s="1"/>
  <c r="CO876" i="9" a="1"/>
  <c r="CO876" i="9" s="1"/>
  <c r="CJ737" i="9" a="1"/>
  <c r="CJ737" i="9" s="1"/>
  <c r="CP737" i="9" s="1"/>
  <c r="V737" i="9" s="1"/>
  <c r="BU949" i="9" a="1"/>
  <c r="BU949" i="9" s="1"/>
  <c r="BT949" i="9" a="1"/>
  <c r="BT949" i="9" s="1"/>
  <c r="BU923" i="9" a="1"/>
  <c r="BU923" i="9" s="1"/>
  <c r="BT923" i="9" a="1"/>
  <c r="BT923" i="9" s="1"/>
  <c r="BP857" i="9" a="1"/>
  <c r="BP857" i="9" s="1"/>
  <c r="BV857" i="9" s="1"/>
  <c r="Q857" i="9" s="1"/>
  <c r="BP932" i="9" a="1"/>
  <c r="BP932" i="9" s="1"/>
  <c r="CO750" i="9" a="1"/>
  <c r="CO750" i="9" s="1"/>
  <c r="CN750" i="9" a="1"/>
  <c r="CN750" i="9" s="1"/>
  <c r="BL419" i="9" a="1"/>
  <c r="BL419" i="9" s="1"/>
  <c r="BT400" i="9" a="1"/>
  <c r="BT400" i="9" s="1"/>
  <c r="BV400" i="9" s="1"/>
  <c r="Q400" i="9" s="1"/>
  <c r="CF700" i="9" a="1"/>
  <c r="CF700" i="9" s="1"/>
  <c r="CN948" i="9" a="1"/>
  <c r="CN948" i="9" s="1"/>
  <c r="CO948" i="9" a="1"/>
  <c r="CO948" i="9" s="1"/>
  <c r="CN870" i="9" a="1"/>
  <c r="CN870" i="9" s="1"/>
  <c r="CO870" i="9" a="1"/>
  <c r="CO870" i="9" s="1"/>
  <c r="BT296" i="9" a="1"/>
  <c r="BT296" i="9" s="1"/>
  <c r="BP502" i="9" a="1"/>
  <c r="BP502" i="9" s="1"/>
  <c r="BV502" i="9" s="1"/>
  <c r="Q502" i="9" s="1"/>
  <c r="CJ545" i="9" a="1"/>
  <c r="CJ545" i="9" s="1"/>
  <c r="CF532" i="9" a="1"/>
  <c r="CF532" i="9" s="1"/>
  <c r="CJ915" i="9" a="1"/>
  <c r="CJ915" i="9" s="1"/>
  <c r="BV771" i="9"/>
  <c r="Q771" i="9" s="1"/>
  <c r="AB771" i="9" s="1"/>
  <c r="CP877" i="9"/>
  <c r="V877" i="9" s="1"/>
  <c r="AB877" i="9" s="1"/>
  <c r="BT777" i="9" a="1"/>
  <c r="BT777" i="9" s="1"/>
  <c r="BU777" i="9" a="1"/>
  <c r="BU777" i="9" s="1"/>
  <c r="CN854" i="9" a="1"/>
  <c r="CN854" i="9" s="1"/>
  <c r="CO854" i="9" a="1"/>
  <c r="CO854" i="9" s="1"/>
  <c r="CJ345" i="9" a="1"/>
  <c r="CJ345" i="9" s="1"/>
  <c r="CN253" i="9" a="1"/>
  <c r="CN253" i="9" s="1"/>
  <c r="CP253" i="9" s="1"/>
  <c r="V253" i="9" s="1"/>
  <c r="CN796" i="9" a="1"/>
  <c r="CN796" i="9" s="1"/>
  <c r="CO796" i="9" a="1"/>
  <c r="CO796" i="9" s="1"/>
  <c r="CP1002" i="9"/>
  <c r="V1002" i="9" s="1"/>
  <c r="BP817" i="9" a="1"/>
  <c r="BP817" i="9" s="1"/>
  <c r="CP752" i="9"/>
  <c r="V752" i="9" s="1"/>
  <c r="CF827" i="9" a="1"/>
  <c r="CF827" i="9" s="1"/>
  <c r="BT1003" i="9" a="1"/>
  <c r="BT1003" i="9" s="1"/>
  <c r="CF841" i="9" a="1"/>
  <c r="CF841" i="9" s="1"/>
  <c r="CN888" i="9" a="1"/>
  <c r="CN888" i="9" s="1"/>
  <c r="CN814" i="9" a="1"/>
  <c r="CN814" i="9" s="1"/>
  <c r="CF891" i="9" a="1"/>
  <c r="CF891" i="9" s="1"/>
  <c r="CJ859" i="9" a="1"/>
  <c r="CJ859" i="9" s="1"/>
  <c r="BP978" i="9" a="1"/>
  <c r="BP978" i="9" s="1"/>
  <c r="BV978" i="9" s="1"/>
  <c r="Q978" i="9" s="1"/>
  <c r="CJ995" i="9" a="1"/>
  <c r="CJ995" i="9" s="1"/>
  <c r="CJ785" i="9" a="1"/>
  <c r="CJ785" i="9" s="1"/>
  <c r="CJ873" i="9" a="1"/>
  <c r="CJ873" i="9" s="1"/>
  <c r="BT876" i="9" a="1"/>
  <c r="BT876" i="9" s="1"/>
  <c r="BV203" i="9"/>
  <c r="Q203" i="9" s="1"/>
  <c r="BT330" i="9" a="1"/>
  <c r="BT330" i="9" s="1"/>
  <c r="BU330" i="9" a="1"/>
  <c r="BU330" i="9" s="1"/>
  <c r="BU699" i="9" a="1"/>
  <c r="BU699" i="9" s="1"/>
  <c r="BT699" i="9" a="1"/>
  <c r="BT699" i="9" s="1"/>
  <c r="CN712" i="9" a="1"/>
  <c r="CN712" i="9" s="1"/>
  <c r="CO712" i="9" a="1"/>
  <c r="CO712" i="9" s="1"/>
  <c r="BT597" i="9" a="1"/>
  <c r="BT597" i="9" s="1"/>
  <c r="BU597" i="9" a="1"/>
  <c r="BU597" i="9" s="1"/>
  <c r="CP531" i="9"/>
  <c r="V531" i="9" s="1"/>
  <c r="AB531" i="9" s="1"/>
  <c r="BL294" i="9" a="1"/>
  <c r="BL294" i="9" s="1"/>
  <c r="BU429" i="9" a="1"/>
  <c r="BU429" i="9" s="1"/>
  <c r="BT429" i="9" a="1"/>
  <c r="BT429" i="9" s="1"/>
  <c r="BV288" i="9"/>
  <c r="Q288" i="9" s="1"/>
  <c r="CO302" i="9" a="1"/>
  <c r="CO302" i="9" s="1"/>
  <c r="CN302" i="9" a="1"/>
  <c r="CN302" i="9" s="1"/>
  <c r="CN688" i="9" a="1"/>
  <c r="CN688" i="9" s="1"/>
  <c r="CO688" i="9" a="1"/>
  <c r="CO688" i="9" s="1"/>
  <c r="CN550" i="9" a="1"/>
  <c r="CN550" i="9" s="1"/>
  <c r="CO550" i="9" a="1"/>
  <c r="CO550" i="9" s="1"/>
  <c r="CO427" i="9" a="1"/>
  <c r="CO427" i="9" s="1"/>
  <c r="CN427" i="9" a="1"/>
  <c r="CN427" i="9" s="1"/>
  <c r="CO357" i="9" a="1"/>
  <c r="CO357" i="9" s="1"/>
  <c r="CN357" i="9" a="1"/>
  <c r="CN357" i="9" s="1"/>
  <c r="CF439" i="9" a="1"/>
  <c r="CF439" i="9" s="1"/>
  <c r="CO651" i="9" a="1"/>
  <c r="CO651" i="9" s="1"/>
  <c r="CN651" i="9" a="1"/>
  <c r="CN651" i="9" s="1"/>
  <c r="BT616" i="9" a="1"/>
  <c r="BT616" i="9" s="1"/>
  <c r="BU616" i="9" a="1"/>
  <c r="BU616" i="9" s="1"/>
  <c r="CO675" i="9" a="1"/>
  <c r="CO675" i="9" s="1"/>
  <c r="CN675" i="9" a="1"/>
  <c r="CN675" i="9" s="1"/>
  <c r="CN155" i="9" a="1"/>
  <c r="CN155" i="9" s="1"/>
  <c r="CO155" i="9" a="1"/>
  <c r="CO155" i="9" s="1"/>
  <c r="CJ217" i="9" a="1"/>
  <c r="CJ217" i="9" s="1"/>
  <c r="BV299" i="9"/>
  <c r="Q299" i="9" s="1"/>
  <c r="CJ223" i="9" a="1"/>
  <c r="CJ223" i="9" s="1"/>
  <c r="BU449" i="9" a="1"/>
  <c r="BU449" i="9" s="1"/>
  <c r="BT449" i="9" a="1"/>
  <c r="BT449" i="9" s="1"/>
  <c r="BP348" i="9" a="1"/>
  <c r="BP348" i="9" s="1"/>
  <c r="BV374" i="9"/>
  <c r="Q374" i="9" s="1"/>
  <c r="AB374" i="9" s="1"/>
  <c r="BU680" i="9" a="1"/>
  <c r="BU680" i="9" s="1"/>
  <c r="BT680" i="9" a="1"/>
  <c r="BT680" i="9" s="1"/>
  <c r="BL621" i="9" a="1"/>
  <c r="BL621" i="9" s="1"/>
  <c r="BL640" i="9" a="1"/>
  <c r="BL640" i="9" s="1"/>
  <c r="CF780" i="9" a="1"/>
  <c r="CF780" i="9" s="1"/>
  <c r="BL545" i="9" a="1"/>
  <c r="BL545" i="9" s="1"/>
  <c r="BU529" i="9" a="1"/>
  <c r="BU529" i="9" s="1"/>
  <c r="BT529" i="9" a="1"/>
  <c r="BT529" i="9" s="1"/>
  <c r="BU674" i="9" a="1"/>
  <c r="BU674" i="9" s="1"/>
  <c r="BT674" i="9" a="1"/>
  <c r="BT674" i="9" s="1"/>
  <c r="BP931" i="9" a="1"/>
  <c r="BP931" i="9" s="1"/>
  <c r="BT716" i="9" a="1"/>
  <c r="BT716" i="9" s="1"/>
  <c r="BU716" i="9" a="1"/>
  <c r="BU716" i="9" s="1"/>
  <c r="CF723" i="9" a="1"/>
  <c r="CF723" i="9" s="1"/>
  <c r="BU459" i="9" a="1"/>
  <c r="BU459" i="9" s="1"/>
  <c r="BT459" i="9" a="1"/>
  <c r="BT459" i="9" s="1"/>
  <c r="BP645" i="9" a="1"/>
  <c r="BP645" i="9" s="1"/>
  <c r="CF597" i="9" a="1"/>
  <c r="CF597" i="9" s="1"/>
  <c r="BT688" i="9" a="1"/>
  <c r="BT688" i="9" s="1"/>
  <c r="BU688" i="9" a="1"/>
  <c r="BU688" i="9" s="1"/>
  <c r="CO731" i="9" a="1"/>
  <c r="CO731" i="9" s="1"/>
  <c r="CN731" i="9" a="1"/>
  <c r="CN731" i="9" s="1"/>
  <c r="CP219" i="9"/>
  <c r="V219" i="9" s="1"/>
  <c r="AB219" i="9" s="1"/>
  <c r="CO303" i="9" a="1"/>
  <c r="CO303" i="9" s="1"/>
  <c r="CN303" i="9" a="1"/>
  <c r="CN303" i="9" s="1"/>
  <c r="BP437" i="9" a="1"/>
  <c r="BP437" i="9" s="1"/>
  <c r="BU223" i="9" a="1"/>
  <c r="BU223" i="9" s="1"/>
  <c r="BT223" i="9" a="1"/>
  <c r="BT223" i="9" s="1"/>
  <c r="CO324" i="9" a="1"/>
  <c r="CO324" i="9" s="1"/>
  <c r="CN324" i="9" a="1"/>
  <c r="CN324" i="9" s="1"/>
  <c r="BP392" i="9" a="1"/>
  <c r="BP392" i="9" s="1"/>
  <c r="BV392" i="9" s="1"/>
  <c r="Q392" i="9" s="1"/>
  <c r="BP436" i="9" a="1"/>
  <c r="BP436" i="9" s="1"/>
  <c r="BV436" i="9" s="1"/>
  <c r="Q436" i="9" s="1"/>
  <c r="AB436" i="9" s="1"/>
  <c r="BT434" i="9" a="1"/>
  <c r="BT434" i="9" s="1"/>
  <c r="BU434" i="9" a="1"/>
  <c r="BU434" i="9" s="1"/>
  <c r="CN587" i="9" a="1"/>
  <c r="CN587" i="9" s="1"/>
  <c r="CO587" i="9" a="1"/>
  <c r="CO587" i="9" s="1"/>
  <c r="CO592" i="9" a="1"/>
  <c r="CO592" i="9" s="1"/>
  <c r="CN592" i="9" a="1"/>
  <c r="CN592" i="9" s="1"/>
  <c r="CN809" i="9" a="1"/>
  <c r="CN809" i="9" s="1"/>
  <c r="CO809" i="9" a="1"/>
  <c r="CO809" i="9" s="1"/>
  <c r="BU619" i="9" a="1"/>
  <c r="BU619" i="9" s="1"/>
  <c r="BT619" i="9" a="1"/>
  <c r="BT619" i="9" s="1"/>
  <c r="BU715" i="9" a="1"/>
  <c r="BU715" i="9" s="1"/>
  <c r="BT715" i="9" a="1"/>
  <c r="BT715" i="9" s="1"/>
  <c r="CF168" i="9" a="1"/>
  <c r="CF168" i="9" s="1"/>
  <c r="CN237" i="9" a="1"/>
  <c r="CN237" i="9" s="1"/>
  <c r="CO237" i="9" a="1"/>
  <c r="CO237" i="9" s="1"/>
  <c r="CF273" i="9" a="1"/>
  <c r="CF273" i="9" s="1"/>
  <c r="CF554" i="9" a="1"/>
  <c r="CF554" i="9" s="1"/>
  <c r="CF574" i="9" a="1"/>
  <c r="CF574" i="9" s="1"/>
  <c r="CF616" i="9" a="1"/>
  <c r="CF616" i="9" s="1"/>
  <c r="CJ563" i="9" a="1"/>
  <c r="CJ563" i="9" s="1"/>
  <c r="CP563" i="9" s="1"/>
  <c r="V563" i="9" s="1"/>
  <c r="CF459" i="9" a="1"/>
  <c r="CF459" i="9" s="1"/>
  <c r="CP459" i="9" s="1"/>
  <c r="V459" i="9" s="1"/>
  <c r="CF254" i="9" a="1"/>
  <c r="CF254" i="9" s="1"/>
  <c r="BT254" i="9" a="1"/>
  <c r="BT254" i="9" s="1"/>
  <c r="BP627" i="9" a="1"/>
  <c r="BP627" i="9" s="1"/>
  <c r="CP991" i="9"/>
  <c r="V991" i="9" s="1"/>
  <c r="CF349" i="9" a="1"/>
  <c r="CF349" i="9" s="1"/>
  <c r="CP349" i="9" s="1"/>
  <c r="V349" i="9" s="1"/>
  <c r="AB349" i="9" s="1"/>
  <c r="CF326" i="9" a="1"/>
  <c r="CF326" i="9" s="1"/>
  <c r="CN653" i="9" a="1"/>
  <c r="CN653" i="9" s="1"/>
  <c r="CP653" i="9" s="1"/>
  <c r="V653" i="9" s="1"/>
  <c r="BP712" i="9" a="1"/>
  <c r="BP712" i="9" s="1"/>
  <c r="CO891" i="9" a="1"/>
  <c r="CO891" i="9" s="1"/>
  <c r="CN891" i="9" a="1"/>
  <c r="CN891" i="9" s="1"/>
  <c r="CP937" i="9"/>
  <c r="V937" i="9" s="1"/>
  <c r="AB937" i="9" s="1"/>
  <c r="CO873" i="9" a="1"/>
  <c r="CO873" i="9" s="1"/>
  <c r="CN873" i="9" a="1"/>
  <c r="CN873" i="9" s="1"/>
  <c r="CP873" i="9" s="1"/>
  <c r="V873" i="9" s="1"/>
  <c r="BT799" i="9" a="1"/>
  <c r="BT799" i="9" s="1"/>
  <c r="BU799" i="9" a="1"/>
  <c r="BU799" i="9" s="1"/>
  <c r="BT997" i="9" a="1"/>
  <c r="BT997" i="9" s="1"/>
  <c r="BU997" i="9" a="1"/>
  <c r="BU997" i="9" s="1"/>
  <c r="CJ372" i="9" a="1"/>
  <c r="CJ372" i="9" s="1"/>
  <c r="CN573" i="9" a="1"/>
  <c r="CN573" i="9" s="1"/>
  <c r="BU815" i="9" a="1"/>
  <c r="BU815" i="9" s="1"/>
  <c r="BT815" i="9" a="1"/>
  <c r="BT815" i="9" s="1"/>
  <c r="CN806" i="9" a="1"/>
  <c r="CN806" i="9" s="1"/>
  <c r="CO806" i="9" a="1"/>
  <c r="CO806" i="9" s="1"/>
  <c r="CP1022" i="9"/>
  <c r="V1022" i="9" s="1"/>
  <c r="CF337" i="9" a="1"/>
  <c r="CF337" i="9" s="1"/>
  <c r="BP216" i="9" a="1"/>
  <c r="BP216" i="9" s="1"/>
  <c r="BV216" i="9" s="1"/>
  <c r="Q216" i="9" s="1"/>
  <c r="BP429" i="9" a="1"/>
  <c r="BP429" i="9" s="1"/>
  <c r="BL451" i="9" a="1"/>
  <c r="BL451" i="9" s="1"/>
  <c r="BL648" i="9" a="1"/>
  <c r="BL648" i="9" s="1"/>
  <c r="CF640" i="9" a="1"/>
  <c r="CF640" i="9" s="1"/>
  <c r="BT742" i="9" a="1"/>
  <c r="BT742" i="9" s="1"/>
  <c r="BU742" i="9" a="1"/>
  <c r="BU742" i="9" s="1"/>
  <c r="BT788" i="9" a="1"/>
  <c r="BT788" i="9" s="1"/>
  <c r="BU788" i="9" a="1"/>
  <c r="BU788" i="9" s="1"/>
  <c r="BT889" i="9" a="1"/>
  <c r="BT889" i="9" s="1"/>
  <c r="BV889" i="9" s="1"/>
  <c r="Q889" i="9" s="1"/>
  <c r="AB889" i="9" s="1"/>
  <c r="BV684" i="9"/>
  <c r="Q684" i="9" s="1"/>
  <c r="AB684" i="9" s="1"/>
  <c r="BP364" i="9" a="1"/>
  <c r="BP364" i="9" s="1"/>
  <c r="CF243" i="9" a="1"/>
  <c r="CF243" i="9" s="1"/>
  <c r="BP179" i="9" a="1"/>
  <c r="BP179" i="9" s="1"/>
  <c r="BP167" i="9" a="1"/>
  <c r="BP167" i="9" s="1"/>
  <c r="CJ318" i="9" a="1"/>
  <c r="CJ318" i="9" s="1"/>
  <c r="CN418" i="9" a="1"/>
  <c r="CN418" i="9" s="1"/>
  <c r="CP418" i="9" s="1"/>
  <c r="V418" i="9" s="1"/>
  <c r="BT842" i="9" a="1"/>
  <c r="BT842" i="9" s="1"/>
  <c r="BU842" i="9" a="1"/>
  <c r="BU842" i="9" s="1"/>
  <c r="BL908" i="9" a="1"/>
  <c r="BL908" i="9" s="1"/>
  <c r="BV908" i="9" s="1"/>
  <c r="Q908" i="9" s="1"/>
  <c r="CP868" i="9"/>
  <c r="V868" i="9" s="1"/>
  <c r="BT987" i="9" a="1"/>
  <c r="BT987" i="9" s="1"/>
  <c r="BU987" i="9" a="1"/>
  <c r="BU987" i="9" s="1"/>
  <c r="BP127" i="9" a="1"/>
  <c r="BP127" i="9" s="1"/>
  <c r="BV127" i="9" s="1"/>
  <c r="Q127" i="9" s="1"/>
  <c r="CF449" i="9" a="1"/>
  <c r="CF449" i="9" s="1"/>
  <c r="BP467" i="9" a="1"/>
  <c r="BP467" i="9" s="1"/>
  <c r="BV467" i="9" s="1"/>
  <c r="Q467" i="9" s="1"/>
  <c r="BP758" i="9" a="1"/>
  <c r="BP758" i="9" s="1"/>
  <c r="CN756" i="9" a="1"/>
  <c r="CN756" i="9" s="1"/>
  <c r="CO756" i="9" a="1"/>
  <c r="CO756" i="9" s="1"/>
  <c r="CJ153" i="9" a="1"/>
  <c r="CJ153" i="9" s="1"/>
  <c r="CJ357" i="9" a="1"/>
  <c r="CJ357" i="9" s="1"/>
  <c r="BP619" i="9" a="1"/>
  <c r="BP619" i="9" s="1"/>
  <c r="BP764" i="9" a="1"/>
  <c r="BP764" i="9" s="1"/>
  <c r="CP935" i="9"/>
  <c r="V935" i="9" s="1"/>
  <c r="BT824" i="9" a="1"/>
  <c r="BT824" i="9" s="1"/>
  <c r="BU824" i="9" a="1"/>
  <c r="BU824" i="9" s="1"/>
  <c r="BV824" i="9" s="1"/>
  <c r="Q824" i="9" s="1"/>
  <c r="CO925" i="9" a="1"/>
  <c r="CO925" i="9" s="1"/>
  <c r="CN925" i="9" a="1"/>
  <c r="CN925" i="9" s="1"/>
  <c r="BP939" i="9" a="1"/>
  <c r="BP939" i="9" s="1"/>
  <c r="BT854" i="9" a="1"/>
  <c r="BT854" i="9" s="1"/>
  <c r="BU854" i="9" a="1"/>
  <c r="BU854" i="9" s="1"/>
  <c r="CN337" i="9" a="1"/>
  <c r="CN337" i="9" s="1"/>
  <c r="BT348" i="9" a="1"/>
  <c r="BT348" i="9" s="1"/>
  <c r="BT448" i="9" a="1"/>
  <c r="BT448" i="9" s="1"/>
  <c r="BV448" i="9" s="1"/>
  <c r="Q448" i="9" s="1"/>
  <c r="BP640" i="9" a="1"/>
  <c r="BP640" i="9" s="1"/>
  <c r="BT753" i="9" a="1"/>
  <c r="BT753" i="9" s="1"/>
  <c r="BU753" i="9" a="1"/>
  <c r="BU753" i="9" s="1"/>
  <c r="BT1013" i="9" a="1"/>
  <c r="BT1013" i="9" s="1"/>
  <c r="BU1013" i="9" a="1"/>
  <c r="BU1013" i="9" s="1"/>
  <c r="BL790" i="9" a="1"/>
  <c r="BL790" i="9" s="1"/>
  <c r="BT798" i="9" a="1"/>
  <c r="BT798" i="9" s="1"/>
  <c r="BU798" i="9" a="1"/>
  <c r="BU798" i="9" s="1"/>
  <c r="CF793" i="9" a="1"/>
  <c r="CF793" i="9" s="1"/>
  <c r="CP793" i="9" s="1"/>
  <c r="V793" i="9" s="1"/>
  <c r="BL947" i="9" a="1"/>
  <c r="BL947" i="9" s="1"/>
  <c r="CN817" i="9" a="1"/>
  <c r="CN817" i="9" s="1"/>
  <c r="CO817" i="9" a="1"/>
  <c r="CO817" i="9" s="1"/>
  <c r="CO982" i="9" a="1"/>
  <c r="CO982" i="9" s="1"/>
  <c r="CN982" i="9" a="1"/>
  <c r="CN982" i="9" s="1"/>
  <c r="CP893" i="9"/>
  <c r="V893" i="9" s="1"/>
  <c r="CJ941" i="9" a="1"/>
  <c r="CJ941" i="9" s="1"/>
  <c r="CP941" i="9" s="1"/>
  <c r="V941" i="9" s="1"/>
  <c r="BP790" i="9" a="1"/>
  <c r="BP790" i="9" s="1"/>
  <c r="BL941" i="9" a="1"/>
  <c r="BL941" i="9" s="1"/>
  <c r="CJ982" i="9" a="1"/>
  <c r="CJ982" i="9" s="1"/>
  <c r="BL873" i="9" a="1"/>
  <c r="BL873" i="9" s="1"/>
  <c r="CN957" i="9" a="1"/>
  <c r="CN957" i="9" s="1"/>
  <c r="CP957" i="9" s="1"/>
  <c r="V957" i="9" s="1"/>
  <c r="BL844" i="9" a="1"/>
  <c r="BL844" i="9" s="1"/>
  <c r="BV844" i="9" s="1"/>
  <c r="Q844" i="9" s="1"/>
  <c r="CJ767" i="9" a="1"/>
  <c r="CJ767" i="9" s="1"/>
  <c r="CJ764" i="9" a="1"/>
  <c r="CJ764" i="9" s="1"/>
  <c r="CP764" i="9" s="1"/>
  <c r="V764" i="9" s="1"/>
  <c r="CJ1014" i="9" a="1"/>
  <c r="CJ1014" i="9" s="1"/>
  <c r="BL868" i="9" a="1"/>
  <c r="BL868" i="9" s="1"/>
  <c r="CN304" i="9" a="1"/>
  <c r="CN304" i="9" s="1"/>
  <c r="CO304" i="9" a="1"/>
  <c r="CO304" i="9" s="1"/>
  <c r="CO619" i="9" a="1"/>
  <c r="CO619" i="9" s="1"/>
  <c r="CN619" i="9" a="1"/>
  <c r="CN619" i="9" s="1"/>
  <c r="BT563" i="9" a="1"/>
  <c r="BT563" i="9" s="1"/>
  <c r="BU563" i="9" a="1"/>
  <c r="BU563" i="9" s="1"/>
  <c r="CF155" i="9" a="1"/>
  <c r="CF155" i="9" s="1"/>
  <c r="CP155" i="9" s="1"/>
  <c r="V155" i="9" s="1"/>
  <c r="CO146" i="9" a="1"/>
  <c r="CO146" i="9" s="1"/>
  <c r="CN146" i="9" a="1"/>
  <c r="CN146" i="9" s="1"/>
  <c r="CN372" i="9" a="1"/>
  <c r="CN372" i="9" s="1"/>
  <c r="CO372" i="9" a="1"/>
  <c r="CO372" i="9" s="1"/>
  <c r="BL137" i="9" a="1"/>
  <c r="BL137" i="9" s="1"/>
  <c r="BL493" i="9" a="1"/>
  <c r="BL493" i="9" s="1"/>
  <c r="CN136" i="9" a="1"/>
  <c r="CN136" i="9" s="1"/>
  <c r="CO136" i="9" a="1"/>
  <c r="CO136" i="9" s="1"/>
  <c r="BT268" i="9" a="1"/>
  <c r="BT268" i="9" s="1"/>
  <c r="BU268" i="9" a="1"/>
  <c r="BU268" i="9" s="1"/>
  <c r="BT364" i="9" a="1"/>
  <c r="BT364" i="9" s="1"/>
  <c r="BU364" i="9" a="1"/>
  <c r="BU364" i="9" s="1"/>
  <c r="BL227" i="9" a="1"/>
  <c r="BL227" i="9" s="1"/>
  <c r="CN294" i="9" a="1"/>
  <c r="CN294" i="9" s="1"/>
  <c r="CO294" i="9" a="1"/>
  <c r="CO294" i="9" s="1"/>
  <c r="BU324" i="9" a="1"/>
  <c r="BU324" i="9" s="1"/>
  <c r="BT324" i="9" a="1"/>
  <c r="BT324" i="9" s="1"/>
  <c r="BP302" i="9" a="1"/>
  <c r="BP302" i="9" s="1"/>
  <c r="BT340" i="9" a="1"/>
  <c r="BT340" i="9" s="1"/>
  <c r="CO540" i="9" a="1"/>
  <c r="CO540" i="9" s="1"/>
  <c r="CN540" i="9" a="1"/>
  <c r="CN540" i="9" s="1"/>
  <c r="BL681" i="9" a="1"/>
  <c r="BL681" i="9" s="1"/>
  <c r="BV681" i="9" s="1"/>
  <c r="Q681" i="9" s="1"/>
  <c r="AB681" i="9" s="1"/>
  <c r="CN534" i="9" a="1"/>
  <c r="CN534" i="9" s="1"/>
  <c r="CO534" i="9" a="1"/>
  <c r="CO534" i="9" s="1"/>
  <c r="BT700" i="9" a="1"/>
  <c r="BT700" i="9" s="1"/>
  <c r="BU700" i="9" a="1"/>
  <c r="BU700" i="9" s="1"/>
  <c r="BT598" i="9" a="1"/>
  <c r="BT598" i="9" s="1"/>
  <c r="BV598" i="9" s="1"/>
  <c r="Q598" i="9" s="1"/>
  <c r="BL386" i="9" a="1"/>
  <c r="BL386" i="9" s="1"/>
  <c r="CN439" i="9" a="1"/>
  <c r="CN439" i="9" s="1"/>
  <c r="CO439" i="9" a="1"/>
  <c r="CO439" i="9" s="1"/>
  <c r="BT218" i="9" a="1"/>
  <c r="BT218" i="9" s="1"/>
  <c r="BU218" i="9" a="1"/>
  <c r="BU218" i="9" s="1"/>
  <c r="CF421" i="9" a="1"/>
  <c r="CF421" i="9" s="1"/>
  <c r="CN449" i="9" a="1"/>
  <c r="CN449" i="9" s="1"/>
  <c r="CO449" i="9" a="1"/>
  <c r="CO449" i="9" s="1"/>
  <c r="CJ340" i="9" a="1"/>
  <c r="CJ340" i="9" s="1"/>
  <c r="CJ651" i="9" a="1"/>
  <c r="CJ651" i="9" s="1"/>
  <c r="CO195" i="9" a="1"/>
  <c r="CO195" i="9" s="1"/>
  <c r="CN195" i="9" a="1"/>
  <c r="CN195" i="9" s="1"/>
  <c r="BP227" i="9" a="1"/>
  <c r="BP227" i="9" s="1"/>
  <c r="CF245" i="9" a="1"/>
  <c r="CF245" i="9" s="1"/>
  <c r="BL348" i="9" a="1"/>
  <c r="BL348" i="9" s="1"/>
  <c r="BV348" i="9" s="1"/>
  <c r="Q348" i="9" s="1"/>
  <c r="BP483" i="9" a="1"/>
  <c r="BP483" i="9" s="1"/>
  <c r="CN391" i="9" a="1"/>
  <c r="CN391" i="9" s="1"/>
  <c r="BT642" i="9" a="1"/>
  <c r="BT642" i="9" s="1"/>
  <c r="BU642" i="9" a="1"/>
  <c r="BU642" i="9" s="1"/>
  <c r="BV621" i="9"/>
  <c r="Q621" i="9" s="1"/>
  <c r="CF573" i="9" a="1"/>
  <c r="CF573" i="9" s="1"/>
  <c r="BP674" i="9" a="1"/>
  <c r="BP674" i="9" s="1"/>
  <c r="CO384" i="9" a="1"/>
  <c r="CO384" i="9" s="1"/>
  <c r="CN384" i="9" a="1"/>
  <c r="CN384" i="9" s="1"/>
  <c r="BU608" i="9" a="1"/>
  <c r="BU608" i="9" s="1"/>
  <c r="BT608" i="9" a="1"/>
  <c r="BT608" i="9" s="1"/>
  <c r="BU412" i="9" a="1"/>
  <c r="BU412" i="9" s="1"/>
  <c r="BT412" i="9" a="1"/>
  <c r="BT412" i="9" s="1"/>
  <c r="BL459" i="9" a="1"/>
  <c r="BL459" i="9" s="1"/>
  <c r="BV459" i="9" s="1"/>
  <c r="Q459" i="9" s="1"/>
  <c r="AB459" i="9" s="1"/>
  <c r="BV613" i="9"/>
  <c r="Q613" i="9" s="1"/>
  <c r="AB613" i="9" s="1"/>
  <c r="BT547" i="9" a="1"/>
  <c r="BT547" i="9" s="1"/>
  <c r="BU547" i="9" a="1"/>
  <c r="BU547" i="9" s="1"/>
  <c r="CO464" i="9" a="1"/>
  <c r="CO464" i="9" s="1"/>
  <c r="CN464" i="9" a="1"/>
  <c r="CN464" i="9" s="1"/>
  <c r="BL653" i="9" a="1"/>
  <c r="BL653" i="9" s="1"/>
  <c r="BP706" i="9" a="1"/>
  <c r="BP706" i="9" s="1"/>
  <c r="CN772" i="9" a="1"/>
  <c r="CN772" i="9" s="1"/>
  <c r="CO772" i="9" a="1"/>
  <c r="CO772" i="9" s="1"/>
  <c r="CO170" i="9" a="1"/>
  <c r="CO170" i="9" s="1"/>
  <c r="CN170" i="9" a="1"/>
  <c r="CN170" i="9" s="1"/>
  <c r="BT407" i="9" a="1"/>
  <c r="BT407" i="9" s="1"/>
  <c r="BU407" i="9" a="1"/>
  <c r="BU407" i="9" s="1"/>
  <c r="CJ624" i="9" a="1"/>
  <c r="CJ624" i="9" s="1"/>
  <c r="CJ188" i="9" a="1"/>
  <c r="CJ188" i="9" s="1"/>
  <c r="CJ250" i="9" a="1"/>
  <c r="CJ250" i="9" s="1"/>
  <c r="BP486" i="9" a="1"/>
  <c r="BP486" i="9" s="1"/>
  <c r="CN571" i="9" a="1"/>
  <c r="CN571" i="9" s="1"/>
  <c r="CO571" i="9" a="1"/>
  <c r="CO571" i="9" s="1"/>
  <c r="CO616" i="9" a="1"/>
  <c r="CO616" i="9" s="1"/>
  <c r="CN616" i="9" a="1"/>
  <c r="CN616" i="9" s="1"/>
  <c r="CO680" i="9" a="1"/>
  <c r="CO680" i="9" s="1"/>
  <c r="CN680" i="9" a="1"/>
  <c r="CN680" i="9" s="1"/>
  <c r="BT365" i="9" a="1"/>
  <c r="BT365" i="9" s="1"/>
  <c r="BL321" i="9" a="1"/>
  <c r="BL321" i="9" s="1"/>
  <c r="CF706" i="9" a="1"/>
  <c r="CF706" i="9" s="1"/>
  <c r="CP706" i="9" s="1"/>
  <c r="V706" i="9" s="1"/>
  <c r="BT965" i="9" a="1"/>
  <c r="BT965" i="9" s="1"/>
  <c r="BU965" i="9" a="1"/>
  <c r="BU965" i="9" s="1"/>
  <c r="CO785" i="9" a="1"/>
  <c r="CO785" i="9" s="1"/>
  <c r="CN785" i="9" a="1"/>
  <c r="CN785" i="9" s="1"/>
  <c r="BV816" i="9"/>
  <c r="Q816" i="9" s="1"/>
  <c r="AB816" i="9" s="1"/>
  <c r="CP953" i="9"/>
  <c r="V953" i="9" s="1"/>
  <c r="BT258" i="9" a="1"/>
  <c r="BT258" i="9" s="1"/>
  <c r="BL170" i="9" a="1"/>
  <c r="BL170" i="9" s="1"/>
  <c r="BP406" i="9" a="1"/>
  <c r="BP406" i="9" s="1"/>
  <c r="BV406" i="9" s="1"/>
  <c r="Q406" i="9" s="1"/>
  <c r="CJ587" i="9" a="1"/>
  <c r="CJ587" i="9" s="1"/>
  <c r="CP587" i="9" s="1"/>
  <c r="V587" i="9" s="1"/>
  <c r="BT456" i="9" a="1"/>
  <c r="BT456" i="9" s="1"/>
  <c r="BT731" i="9" a="1"/>
  <c r="BT731" i="9" s="1"/>
  <c r="BV731" i="9" s="1"/>
  <c r="Q731" i="9" s="1"/>
  <c r="BL894" i="9" a="1"/>
  <c r="BL894" i="9" s="1"/>
  <c r="CO849" i="9" a="1"/>
  <c r="CO849" i="9" s="1"/>
  <c r="CN849" i="9" a="1"/>
  <c r="CN849" i="9" s="1"/>
  <c r="BP799" i="9" a="1"/>
  <c r="BP799" i="9" s="1"/>
  <c r="BL146" i="9" a="1"/>
  <c r="BL146" i="9" s="1"/>
  <c r="BV146" i="9" s="1"/>
  <c r="Q146" i="9" s="1"/>
  <c r="BT437" i="9" a="1"/>
  <c r="BT437" i="9" s="1"/>
  <c r="CJ448" i="9" a="1"/>
  <c r="CJ448" i="9" s="1"/>
  <c r="CP448" i="9" s="1"/>
  <c r="V448" i="9" s="1"/>
  <c r="BU852" i="9" a="1"/>
  <c r="BU852" i="9" s="1"/>
  <c r="BT852" i="9" a="1"/>
  <c r="BT852" i="9" s="1"/>
  <c r="CO815" i="9" a="1"/>
  <c r="CO815" i="9" s="1"/>
  <c r="CN815" i="9" a="1"/>
  <c r="CN815" i="9" s="1"/>
  <c r="BV972" i="9"/>
  <c r="Q972" i="9" s="1"/>
  <c r="AB972" i="9" s="1"/>
  <c r="CO767" i="9" a="1"/>
  <c r="CO767" i="9" s="1"/>
  <c r="CN767" i="9" a="1"/>
  <c r="CN767" i="9" s="1"/>
  <c r="CF145" i="9" a="1"/>
  <c r="CF145" i="9" s="1"/>
  <c r="BT155" i="9" a="1"/>
  <c r="BT155" i="9" s="1"/>
  <c r="BL243" i="9" a="1"/>
  <c r="BL243" i="9" s="1"/>
  <c r="BV243" i="9" s="1"/>
  <c r="Q243" i="9" s="1"/>
  <c r="BL561" i="9" a="1"/>
  <c r="BL561" i="9" s="1"/>
  <c r="CF722" i="9" a="1"/>
  <c r="CF722" i="9" s="1"/>
  <c r="CP722" i="9" s="1"/>
  <c r="V722" i="9" s="1"/>
  <c r="BL761" i="9" a="1"/>
  <c r="BL761" i="9" s="1"/>
  <c r="CP741" i="9"/>
  <c r="V741" i="9" s="1"/>
  <c r="AB741" i="9" s="1"/>
  <c r="BU891" i="9" a="1"/>
  <c r="BU891" i="9" s="1"/>
  <c r="BT891" i="9" a="1"/>
  <c r="BT891" i="9" s="1"/>
  <c r="BV956" i="9"/>
  <c r="Q956" i="9" s="1"/>
  <c r="AB956" i="9" s="1"/>
  <c r="BL742" i="9" a="1"/>
  <c r="BL742" i="9" s="1"/>
  <c r="BL788" i="9" a="1"/>
  <c r="BL788" i="9" s="1"/>
  <c r="CO852" i="9" a="1"/>
  <c r="CO852" i="9" s="1"/>
  <c r="CN852" i="9" a="1"/>
  <c r="CN852" i="9" s="1"/>
  <c r="CO791" i="9" a="1"/>
  <c r="CO791" i="9" s="1"/>
  <c r="CN791" i="9" a="1"/>
  <c r="CN791" i="9" s="1"/>
  <c r="CP960" i="9"/>
  <c r="V960" i="9" s="1"/>
  <c r="CF265" i="9" a="1"/>
  <c r="CF265" i="9" s="1"/>
  <c r="CJ179" i="9" a="1"/>
  <c r="CJ179" i="9" s="1"/>
  <c r="CJ553" i="9" a="1"/>
  <c r="CJ553" i="9" s="1"/>
  <c r="CP553" i="9" s="1"/>
  <c r="V553" i="9" s="1"/>
  <c r="BL510" i="9" a="1"/>
  <c r="BL510" i="9" s="1"/>
  <c r="BV725" i="9"/>
  <c r="Q725" i="9" s="1"/>
  <c r="BU963" i="9" a="1"/>
  <c r="BU963" i="9" s="1"/>
  <c r="BT963" i="9" a="1"/>
  <c r="BT963" i="9" s="1"/>
  <c r="CF419" i="9" a="1"/>
  <c r="CF419" i="9" s="1"/>
  <c r="CP419" i="9" s="1"/>
  <c r="V419" i="9" s="1"/>
  <c r="CF321" i="9" a="1"/>
  <c r="CF321" i="9" s="1"/>
  <c r="CJ255" i="9" a="1"/>
  <c r="CJ255" i="9" s="1"/>
  <c r="CF391" i="9" a="1"/>
  <c r="CF391" i="9" s="1"/>
  <c r="CF529" i="9" a="1"/>
  <c r="CF529" i="9" s="1"/>
  <c r="BT756" i="9" a="1"/>
  <c r="BT756" i="9" s="1"/>
  <c r="BU756" i="9" a="1"/>
  <c r="BU756" i="9" s="1"/>
  <c r="BP761" i="9" a="1"/>
  <c r="BP761" i="9" s="1"/>
  <c r="CN145" i="9" a="1"/>
  <c r="CN145" i="9" s="1"/>
  <c r="BT421" i="9" a="1"/>
  <c r="BT421" i="9" s="1"/>
  <c r="CF925" i="9" a="1"/>
  <c r="CF925" i="9" s="1"/>
  <c r="CP925" i="9" s="1"/>
  <c r="V925" i="9" s="1"/>
  <c r="BL421" i="9" a="1"/>
  <c r="BL421" i="9" s="1"/>
  <c r="BL542" i="9" a="1"/>
  <c r="BL542" i="9" s="1"/>
  <c r="BL753" i="9" a="1"/>
  <c r="BL753" i="9" s="1"/>
  <c r="CN964" i="9" a="1"/>
  <c r="CN964" i="9" s="1"/>
  <c r="CO964" i="9" a="1"/>
  <c r="CO964" i="9" s="1"/>
  <c r="CJ735" i="9" a="1"/>
  <c r="CJ735" i="9" s="1"/>
  <c r="CN798" i="9" a="1"/>
  <c r="CN798" i="9" s="1"/>
  <c r="CO798" i="9" a="1"/>
  <c r="CO798" i="9" s="1"/>
  <c r="BP947" i="9" a="1"/>
  <c r="BP947" i="9" s="1"/>
  <c r="BU796" i="9" a="1"/>
  <c r="BU796" i="9" s="1"/>
  <c r="BT796" i="9" a="1"/>
  <c r="BT796" i="9" s="1"/>
  <c r="BP965" i="9" a="1"/>
  <c r="BP965" i="9" s="1"/>
  <c r="CJ807" i="9" a="1"/>
  <c r="CJ807" i="9" s="1"/>
  <c r="BL886" i="9" a="1"/>
  <c r="BL886" i="9" s="1"/>
  <c r="CJ745" i="9" a="1"/>
  <c r="CJ745" i="9" s="1"/>
  <c r="BT881" i="9" a="1"/>
  <c r="BT881" i="9" s="1"/>
  <c r="BV881" i="9" s="1"/>
  <c r="Q881" i="9" s="1"/>
  <c r="CF916" i="9" a="1"/>
  <c r="CF916" i="9" s="1"/>
  <c r="CP916" i="9" s="1"/>
  <c r="V916" i="9" s="1"/>
  <c r="BP963" i="9" a="1"/>
  <c r="BP963" i="9" s="1"/>
  <c r="CJ772" i="9" a="1"/>
  <c r="CJ772" i="9" s="1"/>
  <c r="CP772" i="9" s="1"/>
  <c r="V772" i="9" s="1"/>
  <c r="CF888" i="9" a="1"/>
  <c r="CF888" i="9" s="1"/>
  <c r="CF963" i="9" a="1"/>
  <c r="CF963" i="9" s="1"/>
  <c r="BT973" i="9" a="1"/>
  <c r="BT973" i="9" s="1"/>
  <c r="BT235" i="9" a="1"/>
  <c r="BT235" i="9" s="1"/>
  <c r="BU235" i="9" a="1"/>
  <c r="BU235" i="9" s="1"/>
  <c r="BT579" i="9" a="1"/>
  <c r="BT579" i="9" s="1"/>
  <c r="BU579" i="9" a="1"/>
  <c r="BU579" i="9" s="1"/>
  <c r="BU188" i="9" a="1"/>
  <c r="BU188" i="9" s="1"/>
  <c r="BT188" i="9" a="1"/>
  <c r="BT188" i="9" s="1"/>
  <c r="CN200" i="9" a="1"/>
  <c r="CN200" i="9" s="1"/>
  <c r="CO200" i="9" a="1"/>
  <c r="CO200" i="9" s="1"/>
  <c r="CN137" i="9" a="1"/>
  <c r="CN137" i="9" s="1"/>
  <c r="CO137" i="9" a="1"/>
  <c r="CO137" i="9" s="1"/>
  <c r="CO547" i="9" a="1"/>
  <c r="CO547" i="9" s="1"/>
  <c r="CN547" i="9" a="1"/>
  <c r="CN547" i="9" s="1"/>
  <c r="CO243" i="9" a="1"/>
  <c r="CO243" i="9" s="1"/>
  <c r="CN243" i="9" a="1"/>
  <c r="CN243" i="9" s="1"/>
  <c r="BP268" i="9" a="1"/>
  <c r="BP268" i="9" s="1"/>
  <c r="BU483" i="9" a="1"/>
  <c r="BU483" i="9" s="1"/>
  <c r="BT483" i="9" a="1"/>
  <c r="BT483" i="9" s="1"/>
  <c r="CJ167" i="9" a="1"/>
  <c r="CJ167" i="9" s="1"/>
  <c r="CP167" i="9" s="1"/>
  <c r="V167" i="9" s="1"/>
  <c r="CO545" i="9" a="1"/>
  <c r="CO545" i="9" s="1"/>
  <c r="CN545" i="9" a="1"/>
  <c r="CN545" i="9" s="1"/>
  <c r="BT714" i="9" a="1"/>
  <c r="BT714" i="9" s="1"/>
  <c r="BU714" i="9" a="1"/>
  <c r="BU714" i="9" s="1"/>
  <c r="CJ330" i="9" a="1"/>
  <c r="CJ330" i="9" s="1"/>
  <c r="CO574" i="9" a="1"/>
  <c r="CO574" i="9" s="1"/>
  <c r="CN574" i="9" a="1"/>
  <c r="CN574" i="9" s="1"/>
  <c r="CO332" i="9" a="1"/>
  <c r="CO332" i="9" s="1"/>
  <c r="CN332" i="9" a="1"/>
  <c r="CN332" i="9" s="1"/>
  <c r="CO421" i="9" a="1"/>
  <c r="CO421" i="9" s="1"/>
  <c r="CN421" i="9" a="1"/>
  <c r="CN421" i="9" s="1"/>
  <c r="BU464" i="9" a="1"/>
  <c r="BU464" i="9" s="1"/>
  <c r="BT464" i="9" a="1"/>
  <c r="BT464" i="9" s="1"/>
  <c r="CF699" i="9" a="1"/>
  <c r="CF699" i="9" s="1"/>
  <c r="BU524" i="9" a="1"/>
  <c r="BU524" i="9" s="1"/>
  <c r="BT524" i="9" a="1"/>
  <c r="BT524" i="9" s="1"/>
  <c r="BT180" i="9" a="1"/>
  <c r="BT180" i="9" s="1"/>
  <c r="BU180" i="9" a="1"/>
  <c r="BU180" i="9" s="1"/>
  <c r="CP340" i="9"/>
  <c r="V340" i="9" s="1"/>
  <c r="CF348" i="9" a="1"/>
  <c r="CF348" i="9" s="1"/>
  <c r="CO532" i="9" a="1"/>
  <c r="CO532" i="9" s="1"/>
  <c r="CN532" i="9" a="1"/>
  <c r="CN532" i="9" s="1"/>
  <c r="CJ252" i="9" a="1"/>
  <c r="CJ252" i="9" s="1"/>
  <c r="BU666" i="9" a="1"/>
  <c r="BU666" i="9" s="1"/>
  <c r="BT666" i="9" a="1"/>
  <c r="BT666" i="9" s="1"/>
  <c r="BU581" i="9" a="1"/>
  <c r="BU581" i="9" s="1"/>
  <c r="BT581" i="9" a="1"/>
  <c r="BT581" i="9" s="1"/>
  <c r="BU545" i="9" a="1"/>
  <c r="BU545" i="9" s="1"/>
  <c r="BT545" i="9" a="1"/>
  <c r="BT545" i="9" s="1"/>
  <c r="BU554" i="9" a="1"/>
  <c r="BU554" i="9" s="1"/>
  <c r="BT554" i="9" a="1"/>
  <c r="BT554" i="9" s="1"/>
  <c r="CO674" i="9" a="1"/>
  <c r="CO674" i="9" s="1"/>
  <c r="CN674" i="9" a="1"/>
  <c r="CN674" i="9" s="1"/>
  <c r="BT134" i="9" a="1"/>
  <c r="BT134" i="9" s="1"/>
  <c r="BU134" i="9" a="1"/>
  <c r="BU134" i="9" s="1"/>
  <c r="CO347" i="9" a="1"/>
  <c r="CO347" i="9" s="1"/>
  <c r="CN347" i="9" a="1"/>
  <c r="CN347" i="9" s="1"/>
  <c r="BP376" i="9" a="1"/>
  <c r="BP376" i="9" s="1"/>
  <c r="BP318" i="9" a="1"/>
  <c r="BP318" i="9" s="1"/>
  <c r="CO521" i="9" a="1"/>
  <c r="CO521" i="9" s="1"/>
  <c r="CN521" i="9" a="1"/>
  <c r="CN521" i="9" s="1"/>
  <c r="BP571" i="9" a="1"/>
  <c r="BP571" i="9" s="1"/>
  <c r="CO608" i="9" a="1"/>
  <c r="CO608" i="9" s="1"/>
  <c r="CN608" i="9" a="1"/>
  <c r="CN608" i="9" s="1"/>
  <c r="CO568" i="9" a="1"/>
  <c r="CO568" i="9" s="1"/>
  <c r="CN568" i="9" a="1"/>
  <c r="CN568" i="9" s="1"/>
  <c r="BL554" i="9" a="1"/>
  <c r="BL554" i="9" s="1"/>
  <c r="CP285" i="9"/>
  <c r="V285" i="9" s="1"/>
  <c r="BT257" i="9" a="1"/>
  <c r="BT257" i="9" s="1"/>
  <c r="BU257" i="9" a="1"/>
  <c r="BU257" i="9" s="1"/>
  <c r="CF180" i="9" a="1"/>
  <c r="CF180" i="9" s="1"/>
  <c r="CO255" i="9" a="1"/>
  <c r="CO255" i="9" s="1"/>
  <c r="CN255" i="9" a="1"/>
  <c r="CN255" i="9" s="1"/>
  <c r="BU587" i="9" a="1"/>
  <c r="BU587" i="9" s="1"/>
  <c r="BT587" i="9" a="1"/>
  <c r="BT587" i="9" s="1"/>
  <c r="CN622" i="9" a="1"/>
  <c r="CN622" i="9" s="1"/>
  <c r="CO622" i="9" a="1"/>
  <c r="CO622" i="9" s="1"/>
  <c r="CN494" i="9" a="1"/>
  <c r="CN494" i="9" s="1"/>
  <c r="CO494" i="9" a="1"/>
  <c r="CO494" i="9" s="1"/>
  <c r="CN127" i="9" a="1"/>
  <c r="CN127" i="9" s="1"/>
  <c r="CO127" i="9" a="1"/>
  <c r="CO127" i="9" s="1"/>
  <c r="BU167" i="9" a="1"/>
  <c r="BU167" i="9" s="1"/>
  <c r="BT167" i="9" a="1"/>
  <c r="BT167" i="9" s="1"/>
  <c r="BT265" i="9" a="1"/>
  <c r="BT265" i="9" s="1"/>
  <c r="BU265" i="9" a="1"/>
  <c r="BU265" i="9" s="1"/>
  <c r="CO465" i="9" a="1"/>
  <c r="CO465" i="9" s="1"/>
  <c r="CN465" i="9" a="1"/>
  <c r="CN465" i="9" s="1"/>
  <c r="CP526" i="9"/>
  <c r="V526" i="9" s="1"/>
  <c r="BL228" i="9" a="1"/>
  <c r="BL228" i="9" s="1"/>
  <c r="BP595" i="9" a="1"/>
  <c r="BP595" i="9" s="1"/>
  <c r="CF692" i="9" a="1"/>
  <c r="CF692" i="9" s="1"/>
  <c r="CP692" i="9" s="1"/>
  <c r="V692" i="9" s="1"/>
  <c r="BT614" i="9" a="1"/>
  <c r="BT614" i="9" s="1"/>
  <c r="BU614" i="9" a="1"/>
  <c r="BU614" i="9" s="1"/>
  <c r="BP606" i="9" a="1"/>
  <c r="BP606" i="9" s="1"/>
  <c r="BV606" i="9" s="1"/>
  <c r="Q606" i="9" s="1"/>
  <c r="CJ699" i="9" a="1"/>
  <c r="CJ699" i="9" s="1"/>
  <c r="BT827" i="9" a="1"/>
  <c r="BT827" i="9" s="1"/>
  <c r="BU827" i="9" a="1"/>
  <c r="BU827" i="9" s="1"/>
  <c r="CF924" i="9" a="1"/>
  <c r="CF924" i="9" s="1"/>
  <c r="BU916" i="9" a="1"/>
  <c r="BU916" i="9" s="1"/>
  <c r="BT916" i="9" a="1"/>
  <c r="BT916" i="9" s="1"/>
  <c r="BT1019" i="9" a="1"/>
  <c r="BT1019" i="9" s="1"/>
  <c r="BU1019" i="9" a="1"/>
  <c r="BU1019" i="9" s="1"/>
  <c r="BT345" i="9" a="1"/>
  <c r="BT345" i="9" s="1"/>
  <c r="BV345" i="9" s="1"/>
  <c r="Q345" i="9" s="1"/>
  <c r="BL235" i="9" a="1"/>
  <c r="BL235" i="9" s="1"/>
  <c r="CN645" i="9" a="1"/>
  <c r="CN645" i="9" s="1"/>
  <c r="CP645" i="9" s="1"/>
  <c r="V645" i="9" s="1"/>
  <c r="BU860" i="9" a="1"/>
  <c r="BU860" i="9" s="1"/>
  <c r="BT860" i="9" a="1"/>
  <c r="BT860" i="9" s="1"/>
  <c r="CN965" i="9" a="1"/>
  <c r="CN965" i="9" s="1"/>
  <c r="CO965" i="9" a="1"/>
  <c r="CO965" i="9" s="1"/>
  <c r="BP955" i="9" a="1"/>
  <c r="BP955" i="9" s="1"/>
  <c r="BP823" i="9" a="1"/>
  <c r="BP823" i="9" s="1"/>
  <c r="CJ296" i="9" a="1"/>
  <c r="CJ296" i="9" s="1"/>
  <c r="CP296" i="9" s="1"/>
  <c r="V296" i="9" s="1"/>
  <c r="BT307" i="9" a="1"/>
  <c r="BT307" i="9" s="1"/>
  <c r="BV307" i="9" s="1"/>
  <c r="Q307" i="9" s="1"/>
  <c r="AB307" i="9" s="1"/>
  <c r="BP205" i="9" a="1"/>
  <c r="BP205" i="9" s="1"/>
  <c r="BL473" i="9" a="1"/>
  <c r="BL473" i="9" s="1"/>
  <c r="BV473" i="9" s="1"/>
  <c r="Q473" i="9" s="1"/>
  <c r="AB473" i="9" s="1"/>
  <c r="CN217" i="9" a="1"/>
  <c r="CN217" i="9" s="1"/>
  <c r="CF494" i="9" a="1"/>
  <c r="CF494" i="9" s="1"/>
  <c r="BP849" i="9" a="1"/>
  <c r="BP849" i="9" s="1"/>
  <c r="CF815" i="9" a="1"/>
  <c r="CF815" i="9" s="1"/>
  <c r="CP776" i="9"/>
  <c r="V776" i="9" s="1"/>
  <c r="CF852" i="9" a="1"/>
  <c r="CF852" i="9" s="1"/>
  <c r="CP976" i="9"/>
  <c r="V976" i="9" s="1"/>
  <c r="BP399" i="9" a="1"/>
  <c r="BP399" i="9" s="1"/>
  <c r="BV399" i="9" s="1"/>
  <c r="Q399" i="9" s="1"/>
  <c r="AB399" i="9" s="1"/>
  <c r="BL614" i="9" a="1"/>
  <c r="BL614" i="9" s="1"/>
  <c r="CJ581" i="9" a="1"/>
  <c r="CJ581" i="9" s="1"/>
  <c r="CP581" i="9" s="1"/>
  <c r="V581" i="9" s="1"/>
  <c r="CN624" i="9" a="1"/>
  <c r="CN624" i="9" s="1"/>
  <c r="BT897" i="9" a="1"/>
  <c r="BT897" i="9" s="1"/>
  <c r="BU897" i="9" a="1"/>
  <c r="BU897" i="9" s="1"/>
  <c r="BU948" i="9" a="1"/>
  <c r="BU948" i="9" s="1"/>
  <c r="BT948" i="9" a="1"/>
  <c r="BT948" i="9" s="1"/>
  <c r="CP872" i="9"/>
  <c r="V872" i="9" s="1"/>
  <c r="AB872" i="9" s="1"/>
  <c r="BT391" i="9" a="1"/>
  <c r="BT391" i="9" s="1"/>
  <c r="CF464" i="9" a="1"/>
  <c r="CF464" i="9" s="1"/>
  <c r="CF634" i="9" a="1"/>
  <c r="CF634" i="9" s="1"/>
  <c r="CP634" i="9" s="1"/>
  <c r="V634" i="9" s="1"/>
  <c r="CJ683" i="9" a="1"/>
  <c r="CJ683" i="9" s="1"/>
  <c r="CP683" i="9" s="1"/>
  <c r="V683" i="9" s="1"/>
  <c r="BT764" i="9" a="1"/>
  <c r="BT764" i="9" s="1"/>
  <c r="BU764" i="9" a="1"/>
  <c r="BU764" i="9" s="1"/>
  <c r="BL924" i="9" a="1"/>
  <c r="BL924" i="9" s="1"/>
  <c r="BV763" i="9"/>
  <c r="Q763" i="9" s="1"/>
  <c r="AB763" i="9" s="1"/>
  <c r="BT873" i="9" a="1"/>
  <c r="BT873" i="9" s="1"/>
  <c r="BU873" i="9" a="1"/>
  <c r="BU873" i="9" s="1"/>
  <c r="CJ824" i="9" a="1"/>
  <c r="CJ824" i="9" s="1"/>
  <c r="CP739" i="9"/>
  <c r="V739" i="9" s="1"/>
  <c r="BL923" i="9" a="1"/>
  <c r="BL923" i="9" s="1"/>
  <c r="BV923" i="9" s="1"/>
  <c r="Q923" i="9" s="1"/>
  <c r="BL807" i="9" a="1"/>
  <c r="BL807" i="9" s="1"/>
  <c r="CP768" i="9"/>
  <c r="V768" i="9" s="1"/>
  <c r="CN406" i="9" a="1"/>
  <c r="CN406" i="9" s="1"/>
  <c r="CP406" i="9" s="1"/>
  <c r="V406" i="9" s="1"/>
  <c r="CN373" i="9" a="1"/>
  <c r="CN373" i="9" s="1"/>
  <c r="CP373" i="9" s="1"/>
  <c r="V373" i="9" s="1"/>
  <c r="BL532" i="9" a="1"/>
  <c r="BL532" i="9" s="1"/>
  <c r="BV532" i="9" s="1"/>
  <c r="Q532" i="9" s="1"/>
  <c r="CJ597" i="9" a="1"/>
  <c r="CJ597" i="9" s="1"/>
  <c r="CJ579" i="9" a="1"/>
  <c r="CJ579" i="9" s="1"/>
  <c r="CP579" i="9" s="1"/>
  <c r="V579" i="9" s="1"/>
  <c r="CN867" i="9" a="1"/>
  <c r="CN867" i="9" s="1"/>
  <c r="CO867" i="9" a="1"/>
  <c r="CO867" i="9" s="1"/>
  <c r="BL940" i="9" a="1"/>
  <c r="BL940" i="9" s="1"/>
  <c r="BV940" i="9" s="1"/>
  <c r="Q940" i="9" s="1"/>
  <c r="CO902" i="9" a="1"/>
  <c r="CO902" i="9" s="1"/>
  <c r="CN902" i="9" a="1"/>
  <c r="CN902" i="9" s="1"/>
  <c r="CJ758" i="9" a="1"/>
  <c r="CJ758" i="9" s="1"/>
  <c r="CP898" i="9"/>
  <c r="V898" i="9" s="1"/>
  <c r="CP725" i="9"/>
  <c r="V725" i="9" s="1"/>
  <c r="CF769" i="9" a="1"/>
  <c r="CF769" i="9" s="1"/>
  <c r="CN1019" i="9" a="1"/>
  <c r="CN1019" i="9" s="1"/>
  <c r="CO1019" i="9" a="1"/>
  <c r="CO1019" i="9" s="1"/>
  <c r="BL168" i="9" a="1"/>
  <c r="BL168" i="9" s="1"/>
  <c r="BV168" i="9" s="1"/>
  <c r="Q168" i="9" s="1"/>
  <c r="CN176" i="9" a="1"/>
  <c r="CN176" i="9" s="1"/>
  <c r="CP176" i="9" s="1"/>
  <c r="V176" i="9" s="1"/>
  <c r="CN412" i="9" a="1"/>
  <c r="CN412" i="9" s="1"/>
  <c r="BL666" i="9" a="1"/>
  <c r="BL666" i="9" s="1"/>
  <c r="BV666" i="9" s="1"/>
  <c r="Q666" i="9" s="1"/>
  <c r="AB666" i="9" s="1"/>
  <c r="BT706" i="9" a="1"/>
  <c r="BT706" i="9" s="1"/>
  <c r="BL698" i="9" a="1"/>
  <c r="BL698" i="9" s="1"/>
  <c r="BP688" i="9" a="1"/>
  <c r="BP688" i="9" s="1"/>
  <c r="BV688" i="9" s="1"/>
  <c r="Q688" i="9" s="1"/>
  <c r="CP880" i="9"/>
  <c r="V880" i="9" s="1"/>
  <c r="AB880" i="9" s="1"/>
  <c r="BL888" i="9" a="1"/>
  <c r="BL888" i="9" s="1"/>
  <c r="CP1008" i="9"/>
  <c r="V1008" i="9" s="1"/>
  <c r="CP835" i="9"/>
  <c r="V835" i="9" s="1"/>
  <c r="BL925" i="9" a="1"/>
  <c r="BL925" i="9" s="1"/>
  <c r="BV925" i="9" s="1"/>
  <c r="Q925" i="9" s="1"/>
  <c r="AB925" i="9" s="1"/>
  <c r="CN152" i="9" a="1"/>
  <c r="CN152" i="9" s="1"/>
  <c r="BT304" i="9" a="1"/>
  <c r="BT304" i="9" s="1"/>
  <c r="BV304" i="9" s="1"/>
  <c r="Q304" i="9" s="1"/>
  <c r="CN203" i="9" a="1"/>
  <c r="CN203" i="9" s="1"/>
  <c r="CF412" i="9" a="1"/>
  <c r="CF412" i="9" s="1"/>
  <c r="BL634" i="9" a="1"/>
  <c r="BL634" i="9" s="1"/>
  <c r="CO933" i="9" a="1"/>
  <c r="CO933" i="9" s="1"/>
  <c r="CN933" i="9" a="1"/>
  <c r="CN933" i="9" s="1"/>
  <c r="CJ964" i="9" a="1"/>
  <c r="CJ964" i="9" s="1"/>
  <c r="BP995" i="9" a="1"/>
  <c r="BP995" i="9" s="1"/>
  <c r="CF796" i="9" a="1"/>
  <c r="CF796" i="9" s="1"/>
  <c r="CJ897" i="9" a="1"/>
  <c r="CJ897" i="9" s="1"/>
  <c r="CF860" i="9" a="1"/>
  <c r="CF860" i="9" s="1"/>
  <c r="CP860" i="9" s="1"/>
  <c r="V860" i="9" s="1"/>
  <c r="BP902" i="9" a="1"/>
  <c r="BP902" i="9" s="1"/>
  <c r="CF790" i="9" a="1"/>
  <c r="CF790" i="9" s="1"/>
  <c r="CJ799" i="9" a="1"/>
  <c r="CJ799" i="9" s="1"/>
  <c r="CJ849" i="9" a="1"/>
  <c r="CJ849" i="9" s="1"/>
  <c r="BL909" i="9" a="1"/>
  <c r="BL909" i="9" s="1"/>
  <c r="BV909" i="9" s="1"/>
  <c r="Q909" i="9" s="1"/>
  <c r="AB909" i="9" s="1"/>
  <c r="CF750" i="9" a="1"/>
  <c r="CF750" i="9" s="1"/>
  <c r="CF742" i="9" a="1"/>
  <c r="CF742" i="9" s="1"/>
  <c r="CF892" i="9" a="1"/>
  <c r="CF892" i="9" s="1"/>
  <c r="CP892" i="9" s="1"/>
  <c r="V892" i="9" s="1"/>
  <c r="CF932" i="9" a="1"/>
  <c r="CF932" i="9" s="1"/>
  <c r="BP750" i="9" a="1"/>
  <c r="BP750" i="9" s="1"/>
  <c r="BV750" i="9" s="1"/>
  <c r="Q750" i="9" s="1"/>
  <c r="CJ955" i="9" a="1"/>
  <c r="CJ955" i="9" s="1"/>
  <c r="CP955" i="9" s="1"/>
  <c r="V955" i="9" s="1"/>
  <c r="BT806" i="9" a="1"/>
  <c r="BT806" i="9" s="1"/>
  <c r="BV806" i="9" s="1"/>
  <c r="Q806" i="9" s="1"/>
  <c r="CJ987" i="9" a="1"/>
  <c r="CJ987" i="9" s="1"/>
  <c r="BU182" i="9" a="1"/>
  <c r="BU182" i="9" s="1"/>
  <c r="BT182" i="9" a="1"/>
  <c r="BT182" i="9" s="1"/>
  <c r="BU332" i="9" a="1"/>
  <c r="BU332" i="9" s="1"/>
  <c r="BT332" i="9" a="1"/>
  <c r="BT332" i="9" s="1"/>
  <c r="CJ456" i="9" a="1"/>
  <c r="CJ456" i="9" s="1"/>
  <c r="CP456" i="9" s="1"/>
  <c r="V456" i="9" s="1"/>
  <c r="BV354" i="9"/>
  <c r="Q354" i="9" s="1"/>
  <c r="AB354" i="9" s="1"/>
  <c r="BU245" i="9" a="1"/>
  <c r="BU245" i="9" s="1"/>
  <c r="BT245" i="9" a="1"/>
  <c r="BT245" i="9" s="1"/>
  <c r="BT137" i="9" a="1"/>
  <c r="BT137" i="9" s="1"/>
  <c r="BU137" i="9" a="1"/>
  <c r="BU137" i="9" s="1"/>
  <c r="BU493" i="9" a="1"/>
  <c r="BU493" i="9" s="1"/>
  <c r="BT493" i="9" a="1"/>
  <c r="BT493" i="9" s="1"/>
  <c r="BT622" i="9" a="1"/>
  <c r="BT622" i="9" s="1"/>
  <c r="BU622" i="9" a="1"/>
  <c r="BU622" i="9" s="1"/>
  <c r="CP700" i="9"/>
  <c r="V700" i="9" s="1"/>
  <c r="CO723" i="9" a="1"/>
  <c r="CO723" i="9" s="1"/>
  <c r="CN723" i="9" a="1"/>
  <c r="CN723" i="9" s="1"/>
  <c r="CJ688" i="9" a="1"/>
  <c r="CJ688" i="9" s="1"/>
  <c r="BU179" i="9" a="1"/>
  <c r="BU179" i="9" s="1"/>
  <c r="BT179" i="9" a="1"/>
  <c r="BT179" i="9" s="1"/>
  <c r="BU205" i="9" a="1"/>
  <c r="BU205" i="9" s="1"/>
  <c r="BT205" i="9" a="1"/>
  <c r="BT205" i="9" s="1"/>
  <c r="CN263" i="9" a="1"/>
  <c r="CN263" i="9" s="1"/>
  <c r="CO263" i="9" a="1"/>
  <c r="CO263" i="9" s="1"/>
  <c r="CN268" i="9" a="1"/>
  <c r="CN268" i="9" s="1"/>
  <c r="CO268" i="9" a="1"/>
  <c r="CO268" i="9" s="1"/>
  <c r="BP332" i="9" a="1"/>
  <c r="BP332" i="9" s="1"/>
  <c r="BL302" i="9" a="1"/>
  <c r="BL302" i="9" s="1"/>
  <c r="CJ426" i="9" a="1"/>
  <c r="CJ426" i="9" s="1"/>
  <c r="CN451" i="9" a="1"/>
  <c r="CN451" i="9" s="1"/>
  <c r="CO451" i="9" a="1"/>
  <c r="CO451" i="9" s="1"/>
  <c r="BU640" i="9" a="1"/>
  <c r="BU640" i="9" s="1"/>
  <c r="BT640" i="9" a="1"/>
  <c r="BT640" i="9" s="1"/>
  <c r="CF648" i="9" a="1"/>
  <c r="CF648" i="9" s="1"/>
  <c r="BL571" i="9" a="1"/>
  <c r="BL571" i="9" s="1"/>
  <c r="BP722" i="9" a="1"/>
  <c r="BP722" i="9" s="1"/>
  <c r="BV722" i="9" s="1"/>
  <c r="Q722" i="9" s="1"/>
  <c r="AB722" i="9" s="1"/>
  <c r="BU177" i="9" a="1"/>
  <c r="BU177" i="9" s="1"/>
  <c r="BT177" i="9" a="1"/>
  <c r="BT177" i="9" s="1"/>
  <c r="CF190" i="9" a="1"/>
  <c r="CF190" i="9" s="1"/>
  <c r="CP190" i="9" s="1"/>
  <c r="V190" i="9" s="1"/>
  <c r="CN621" i="9" a="1"/>
  <c r="CN621" i="9" s="1"/>
  <c r="CO621" i="9" a="1"/>
  <c r="CO621" i="9" s="1"/>
  <c r="CF252" i="9" a="1"/>
  <c r="CF252" i="9" s="1"/>
  <c r="CP464" i="9"/>
  <c r="V464" i="9" s="1"/>
  <c r="BL540" i="9" a="1"/>
  <c r="BL540" i="9" s="1"/>
  <c r="BP550" i="9" a="1"/>
  <c r="BP550" i="9" s="1"/>
  <c r="BP563" i="9" a="1"/>
  <c r="BP563" i="9" s="1"/>
  <c r="BV563" i="9" s="1"/>
  <c r="Q563" i="9" s="1"/>
  <c r="AB563" i="9" s="1"/>
  <c r="CO182" i="9" a="1"/>
  <c r="CO182" i="9" s="1"/>
  <c r="CN182" i="9" a="1"/>
  <c r="CN182" i="9" s="1"/>
  <c r="BL260" i="9" a="1"/>
  <c r="BL260" i="9" s="1"/>
  <c r="CN699" i="9" a="1"/>
  <c r="CN699" i="9" s="1"/>
  <c r="CO699" i="9" a="1"/>
  <c r="CO699" i="9" s="1"/>
  <c r="BL645" i="9" a="1"/>
  <c r="BL645" i="9" s="1"/>
  <c r="CJ608" i="9" a="1"/>
  <c r="CJ608" i="9" s="1"/>
  <c r="CF674" i="9" a="1"/>
  <c r="CF674" i="9" s="1"/>
  <c r="CO529" i="9" a="1"/>
  <c r="CO529" i="9" s="1"/>
  <c r="CN529" i="9" a="1"/>
  <c r="CN529" i="9" s="1"/>
  <c r="CN245" i="9" a="1"/>
  <c r="CN245" i="9" s="1"/>
  <c r="CO245" i="9" a="1"/>
  <c r="CO245" i="9" s="1"/>
  <c r="CF250" i="9" a="1"/>
  <c r="CF250" i="9" s="1"/>
  <c r="CJ437" i="9" a="1"/>
  <c r="CJ437" i="9" s="1"/>
  <c r="CP437" i="9" s="1"/>
  <c r="V437" i="9" s="1"/>
  <c r="CO416" i="9" a="1"/>
  <c r="CO416" i="9" s="1"/>
  <c r="CN416" i="9" a="1"/>
  <c r="CN416" i="9" s="1"/>
  <c r="BU200" i="9" a="1"/>
  <c r="BU200" i="9" s="1"/>
  <c r="BV200" i="9" s="1"/>
  <c r="Q200" i="9" s="1"/>
  <c r="BT200" i="9" a="1"/>
  <c r="BT200" i="9" s="1"/>
  <c r="CF237" i="9" a="1"/>
  <c r="CF237" i="9" s="1"/>
  <c r="CP237" i="9" s="1"/>
  <c r="V237" i="9" s="1"/>
  <c r="BT376" i="9" a="1"/>
  <c r="BT376" i="9" s="1"/>
  <c r="BU376" i="9" a="1"/>
  <c r="BU376" i="9" s="1"/>
  <c r="CF280" i="9" a="1"/>
  <c r="CF280" i="9" s="1"/>
  <c r="BL250" i="9" a="1"/>
  <c r="BL250" i="9" s="1"/>
  <c r="CF491" i="9" a="1"/>
  <c r="CF491" i="9" s="1"/>
  <c r="BL587" i="9" a="1"/>
  <c r="BL587" i="9" s="1"/>
  <c r="BV587" i="9" s="1"/>
  <c r="Q587" i="9" s="1"/>
  <c r="AB587" i="9" s="1"/>
  <c r="BT692" i="9" a="1"/>
  <c r="BT692" i="9" s="1"/>
  <c r="BU692" i="9" a="1"/>
  <c r="BU692" i="9" s="1"/>
  <c r="CO715" i="9" a="1"/>
  <c r="CO715" i="9" s="1"/>
  <c r="CN715" i="9" a="1"/>
  <c r="CN715" i="9" s="1"/>
  <c r="BU648" i="9" a="1"/>
  <c r="BU648" i="9" s="1"/>
  <c r="BT648" i="9" a="1"/>
  <c r="BT648" i="9" s="1"/>
  <c r="BL656" i="9" a="1"/>
  <c r="BL656" i="9" s="1"/>
  <c r="BP464" i="9" a="1"/>
  <c r="BP464" i="9" s="1"/>
  <c r="CO598" i="9" a="1"/>
  <c r="CO598" i="9" s="1"/>
  <c r="CN598" i="9" a="1"/>
  <c r="CN598" i="9" s="1"/>
  <c r="BU537" i="9" a="1"/>
  <c r="BU537" i="9" s="1"/>
  <c r="BT537" i="9" a="1"/>
  <c r="BT537" i="9" s="1"/>
  <c r="BV144" i="9"/>
  <c r="Q144" i="9" s="1"/>
  <c r="AB144" i="9" s="1"/>
  <c r="CO392" i="9" a="1"/>
  <c r="CO392" i="9" s="1"/>
  <c r="CN392" i="9" a="1"/>
  <c r="CN392" i="9" s="1"/>
  <c r="CN267" i="9" a="1"/>
  <c r="CN267" i="9" s="1"/>
  <c r="CO267" i="9" a="1"/>
  <c r="CO267" i="9" s="1"/>
  <c r="BL225" i="9" a="1"/>
  <c r="BL225" i="9" s="1"/>
  <c r="BT228" i="9" a="1"/>
  <c r="BT228" i="9" s="1"/>
  <c r="BU228" i="9" a="1"/>
  <c r="BU228" i="9" s="1"/>
  <c r="CJ467" i="9" a="1"/>
  <c r="CJ467" i="9" s="1"/>
  <c r="CP467" i="9" s="1"/>
  <c r="V467" i="9" s="1"/>
  <c r="BU589" i="9" a="1"/>
  <c r="BU589" i="9" s="1"/>
  <c r="BT589" i="9" a="1"/>
  <c r="BT589" i="9" s="1"/>
  <c r="BP568" i="9" a="1"/>
  <c r="BP568" i="9" s="1"/>
  <c r="BP680" i="9" a="1"/>
  <c r="BP680" i="9" s="1"/>
  <c r="CJ295" i="9" a="1"/>
  <c r="CJ295" i="9" s="1"/>
  <c r="CP295" i="9" s="1"/>
  <c r="V295" i="9" s="1"/>
  <c r="BL457" i="9" a="1"/>
  <c r="BL457" i="9" s="1"/>
  <c r="BV457" i="9" s="1"/>
  <c r="Q457" i="9" s="1"/>
  <c r="AB457" i="9" s="1"/>
  <c r="BP545" i="9" a="1"/>
  <c r="BP545" i="9" s="1"/>
  <c r="BT540" i="9" a="1"/>
  <c r="BT540" i="9" s="1"/>
  <c r="BV988" i="9"/>
  <c r="Q988" i="9" s="1"/>
  <c r="BP933" i="9" a="1"/>
  <c r="BP933" i="9" s="1"/>
  <c r="CO881" i="9" a="1"/>
  <c r="CO881" i="9" s="1"/>
  <c r="CN881" i="9" a="1"/>
  <c r="CN881" i="9" s="1"/>
  <c r="BV797" i="9"/>
  <c r="Q797" i="9" s="1"/>
  <c r="AB797" i="9" s="1"/>
  <c r="CO799" i="9" a="1"/>
  <c r="CO799" i="9" s="1"/>
  <c r="CN799" i="9" a="1"/>
  <c r="CN799" i="9" s="1"/>
  <c r="CF823" i="9" a="1"/>
  <c r="CF823" i="9" s="1"/>
  <c r="BV976" i="9"/>
  <c r="Q976" i="9" s="1"/>
  <c r="AB976" i="9" s="1"/>
  <c r="CF364" i="9" a="1"/>
  <c r="CF364" i="9" s="1"/>
  <c r="CP364" i="9" s="1"/>
  <c r="V364" i="9" s="1"/>
  <c r="CF136" i="9" a="1"/>
  <c r="CF136" i="9" s="1"/>
  <c r="CF540" i="9" a="1"/>
  <c r="CF540" i="9" s="1"/>
  <c r="CP540" i="9" s="1"/>
  <c r="V540" i="9" s="1"/>
  <c r="BT550" i="9" a="1"/>
  <c r="BT550" i="9" s="1"/>
  <c r="BT656" i="9" a="1"/>
  <c r="BT656" i="9" s="1"/>
  <c r="CF606" i="9" a="1"/>
  <c r="CF606" i="9" s="1"/>
  <c r="CP606" i="9" s="1"/>
  <c r="V606" i="9" s="1"/>
  <c r="CP1004" i="9"/>
  <c r="V1004" i="9" s="1"/>
  <c r="AB1004" i="9" s="1"/>
  <c r="BV968" i="9"/>
  <c r="Q968" i="9" s="1"/>
  <c r="AB968" i="9" s="1"/>
  <c r="CN790" i="9" a="1"/>
  <c r="CN790" i="9" s="1"/>
  <c r="CO790" i="9" a="1"/>
  <c r="CO790" i="9" s="1"/>
  <c r="BT1011" i="9" a="1"/>
  <c r="BT1011" i="9" s="1"/>
  <c r="BU1011" i="9" a="1"/>
  <c r="BU1011" i="9" s="1"/>
  <c r="CF897" i="9" a="1"/>
  <c r="CF897" i="9" s="1"/>
  <c r="BL971" i="9" a="1"/>
  <c r="BL971" i="9" s="1"/>
  <c r="BP892" i="9" a="1"/>
  <c r="BP892" i="9" s="1"/>
  <c r="BU939" i="9" a="1"/>
  <c r="BU939" i="9" s="1"/>
  <c r="BT939" i="9" a="1"/>
  <c r="BT939" i="9" s="1"/>
  <c r="CP966" i="9"/>
  <c r="V966" i="9" s="1"/>
  <c r="BL767" i="9" a="1"/>
  <c r="BL767" i="9" s="1"/>
  <c r="CF170" i="9" a="1"/>
  <c r="CF170" i="9" s="1"/>
  <c r="CP170" i="9" s="1"/>
  <c r="V170" i="9" s="1"/>
  <c r="CN288" i="9" a="1"/>
  <c r="CN288" i="9" s="1"/>
  <c r="CF691" i="9" a="1"/>
  <c r="CF691" i="9" s="1"/>
  <c r="CP691" i="9" s="1"/>
  <c r="V691" i="9" s="1"/>
  <c r="BT561" i="9" a="1"/>
  <c r="BT561" i="9" s="1"/>
  <c r="CF761" i="9" a="1"/>
  <c r="CF761" i="9" s="1"/>
  <c r="CO894" i="9" a="1"/>
  <c r="CO894" i="9" s="1"/>
  <c r="CN894" i="9" a="1"/>
  <c r="CN894" i="9" s="1"/>
  <c r="BP894" i="9" a="1"/>
  <c r="BP894" i="9" s="1"/>
  <c r="BV888" i="9"/>
  <c r="Q888" i="9" s="1"/>
  <c r="CO1013" i="9" a="1"/>
  <c r="CO1013" i="9" s="1"/>
  <c r="CN1013" i="9" a="1"/>
  <c r="CN1013" i="9" s="1"/>
  <c r="CN742" i="9" a="1"/>
  <c r="CN742" i="9" s="1"/>
  <c r="CO742" i="9" a="1"/>
  <c r="CO742" i="9" s="1"/>
  <c r="CJ836" i="9" a="1"/>
  <c r="CJ836" i="9" s="1"/>
  <c r="CP836" i="9" s="1"/>
  <c r="V836" i="9" s="1"/>
  <c r="CJ948" i="9" a="1"/>
  <c r="CJ948" i="9" s="1"/>
  <c r="CF851" i="9" a="1"/>
  <c r="CF851" i="9" s="1"/>
  <c r="CP851" i="9" s="1"/>
  <c r="V851" i="9" s="1"/>
  <c r="AB851" i="9" s="1"/>
  <c r="BL834" i="9" a="1"/>
  <c r="BL834" i="9" s="1"/>
  <c r="BP917" i="9" a="1"/>
  <c r="BP917" i="9" s="1"/>
  <c r="CJ348" i="9" a="1"/>
  <c r="CJ348" i="9" s="1"/>
  <c r="BT195" i="9" a="1"/>
  <c r="BT195" i="9" s="1"/>
  <c r="BV195" i="9" s="1"/>
  <c r="Q195" i="9" s="1"/>
  <c r="BT303" i="9" a="1"/>
  <c r="BT303" i="9" s="1"/>
  <c r="BT510" i="9" a="1"/>
  <c r="BT510" i="9" s="1"/>
  <c r="BP841" i="9" a="1"/>
  <c r="BP841" i="9" s="1"/>
  <c r="BL876" i="9" a="1"/>
  <c r="BL876" i="9" s="1"/>
  <c r="BT745" i="9" a="1"/>
  <c r="BT745" i="9" s="1"/>
  <c r="BU745" i="9" a="1"/>
  <c r="BU745" i="9" s="1"/>
  <c r="BU807" i="9" a="1"/>
  <c r="BU807" i="9" s="1"/>
  <c r="BT807" i="9" a="1"/>
  <c r="BT807" i="9" s="1"/>
  <c r="CF939" i="9" a="1"/>
  <c r="CF939" i="9" s="1"/>
  <c r="CN987" i="9" a="1"/>
  <c r="CN987" i="9" s="1"/>
  <c r="CO987" i="9" a="1"/>
  <c r="CO987" i="9" s="1"/>
  <c r="CJ680" i="9" a="1"/>
  <c r="CJ680" i="9" s="1"/>
  <c r="CF783" i="9" a="1"/>
  <c r="CF783" i="9" s="1"/>
  <c r="CO940" i="9" a="1"/>
  <c r="CO940" i="9" s="1"/>
  <c r="CN940" i="9" a="1"/>
  <c r="CN940" i="9" s="1"/>
  <c r="CN1011" i="9" a="1"/>
  <c r="CN1011" i="9" s="1"/>
  <c r="CO1011" i="9" a="1"/>
  <c r="CO1011" i="9" s="1"/>
  <c r="CF758" i="9" a="1"/>
  <c r="CF758" i="9" s="1"/>
  <c r="CO932" i="9" a="1"/>
  <c r="CO932" i="9" s="1"/>
  <c r="CN932" i="9" a="1"/>
  <c r="CN932" i="9" s="1"/>
  <c r="CO758" i="9" a="1"/>
  <c r="CO758" i="9" s="1"/>
  <c r="CN758" i="9" a="1"/>
  <c r="CN758" i="9" s="1"/>
  <c r="CJ227" i="9" a="1"/>
  <c r="CJ227" i="9" s="1"/>
  <c r="CP227" i="9" s="1"/>
  <c r="V227" i="9" s="1"/>
  <c r="CF571" i="9" a="1"/>
  <c r="CF571" i="9" s="1"/>
  <c r="CP571" i="9" s="1"/>
  <c r="V571" i="9" s="1"/>
  <c r="BU886" i="9" a="1"/>
  <c r="BU886" i="9" s="1"/>
  <c r="BT886" i="9" a="1"/>
  <c r="BT886" i="9" s="1"/>
  <c r="BL785" i="9" a="1"/>
  <c r="BL785" i="9" s="1"/>
  <c r="CF854" i="9" a="1"/>
  <c r="CF854" i="9" s="1"/>
  <c r="CP854" i="9" s="1"/>
  <c r="V854" i="9" s="1"/>
  <c r="CN518" i="9" a="1"/>
  <c r="CN518" i="9" s="1"/>
  <c r="CP518" i="9" s="1"/>
  <c r="V518" i="9" s="1"/>
  <c r="CF753" i="9" a="1"/>
  <c r="CF753" i="9" s="1"/>
  <c r="BU833" i="9" a="1"/>
  <c r="BU833" i="9" s="1"/>
  <c r="BT833" i="9" a="1"/>
  <c r="BT833" i="9" s="1"/>
  <c r="BP924" i="9" a="1"/>
  <c r="BP924" i="9" s="1"/>
  <c r="BL735" i="9" a="1"/>
  <c r="BL735" i="9" s="1"/>
  <c r="CP827" i="9"/>
  <c r="V827" i="9" s="1"/>
  <c r="CP954" i="9"/>
  <c r="V954" i="9" s="1"/>
  <c r="AB954" i="9" s="1"/>
  <c r="BT932" i="9" a="1"/>
  <c r="BT932" i="9" s="1"/>
  <c r="BU932" i="9" a="1"/>
  <c r="BU932" i="9" s="1"/>
  <c r="BT868" i="9" a="1"/>
  <c r="BT868" i="9" s="1"/>
  <c r="BV868" i="9" s="1"/>
  <c r="Q868" i="9" s="1"/>
  <c r="AB868" i="9" s="1"/>
  <c r="BL1003" i="9" a="1"/>
  <c r="BL1003" i="9" s="1"/>
  <c r="BV1003" i="9" s="1"/>
  <c r="Q1003" i="9" s="1"/>
  <c r="CJ1013" i="9" a="1"/>
  <c r="CJ1013" i="9" s="1"/>
  <c r="BL998" i="9" a="1"/>
  <c r="BL998" i="9" s="1"/>
  <c r="CF834" i="9" a="1"/>
  <c r="CF834" i="9" s="1"/>
  <c r="CJ883" i="9" a="1"/>
  <c r="CJ883" i="9" s="1"/>
  <c r="BT924" i="9" a="1"/>
  <c r="BT924" i="9" s="1"/>
  <c r="CJ788" i="9" a="1"/>
  <c r="CJ788" i="9" s="1"/>
  <c r="CP788" i="9" s="1"/>
  <c r="V788" i="9" s="1"/>
  <c r="CN963" i="9" a="1"/>
  <c r="CN963" i="9" s="1"/>
  <c r="CF917" i="9" a="1"/>
  <c r="CF917" i="9" s="1"/>
  <c r="CF965" i="9" a="1"/>
  <c r="CF965" i="9" s="1"/>
  <c r="CP965" i="9" s="1"/>
  <c r="V965" i="9" s="1"/>
  <c r="BU147" i="9" a="1"/>
  <c r="BU147" i="9" s="1"/>
  <c r="BT147" i="9" a="1"/>
  <c r="BT147" i="9" s="1"/>
  <c r="BL266" i="9" a="1"/>
  <c r="BL266" i="9" s="1"/>
  <c r="BV421" i="9"/>
  <c r="Q421" i="9" s="1"/>
  <c r="BT237" i="9" a="1"/>
  <c r="BT237" i="9" s="1"/>
  <c r="BU237" i="9" a="1"/>
  <c r="BU237" i="9" s="1"/>
  <c r="CN229" i="9" a="1"/>
  <c r="CN229" i="9" s="1"/>
  <c r="CO229" i="9" a="1"/>
  <c r="CO229" i="9" s="1"/>
  <c r="CN400" i="9" a="1"/>
  <c r="CN400" i="9" s="1"/>
  <c r="CO400" i="9" a="1"/>
  <c r="CO400" i="9" s="1"/>
  <c r="BP372" i="9" a="1"/>
  <c r="BP372" i="9" s="1"/>
  <c r="BV372" i="9" s="1"/>
  <c r="Q372" i="9" s="1"/>
  <c r="CN321" i="9" a="1"/>
  <c r="CN321" i="9" s="1"/>
  <c r="CO321" i="9" a="1"/>
  <c r="CO321" i="9" s="1"/>
  <c r="BU486" i="9" a="1"/>
  <c r="BU486" i="9" s="1"/>
  <c r="BT486" i="9" a="1"/>
  <c r="BT486" i="9" s="1"/>
  <c r="CO640" i="9" a="1"/>
  <c r="CO640" i="9" s="1"/>
  <c r="CP640" i="9" s="1"/>
  <c r="V640" i="9" s="1"/>
  <c r="CN640" i="9" a="1"/>
  <c r="CN640" i="9" s="1"/>
  <c r="BL332" i="9" a="1"/>
  <c r="BL332" i="9" s="1"/>
  <c r="BV332" i="9" s="1"/>
  <c r="Q332" i="9" s="1"/>
  <c r="BU260" i="9" a="1"/>
  <c r="BU260" i="9" s="1"/>
  <c r="BT260" i="9" a="1"/>
  <c r="BT260" i="9" s="1"/>
  <c r="CO524" i="9" a="1"/>
  <c r="CO524" i="9" s="1"/>
  <c r="CN524" i="9" a="1"/>
  <c r="CN524" i="9" s="1"/>
  <c r="BP265" i="9" a="1"/>
  <c r="BP265" i="9" s="1"/>
  <c r="BL483" i="9" a="1"/>
  <c r="BL483" i="9" s="1"/>
  <c r="BV483" i="9" s="1"/>
  <c r="Q483" i="9" s="1"/>
  <c r="BT302" i="9" a="1"/>
  <c r="BT302" i="9" s="1"/>
  <c r="BU302" i="9" a="1"/>
  <c r="BU302" i="9" s="1"/>
  <c r="BT627" i="9" a="1"/>
  <c r="BT627" i="9" s="1"/>
  <c r="BU627" i="9" a="1"/>
  <c r="BU627" i="9" s="1"/>
  <c r="CN542" i="9" a="1"/>
  <c r="CN542" i="9" s="1"/>
  <c r="CO542" i="9" a="1"/>
  <c r="CO542" i="9" s="1"/>
  <c r="BT571" i="9" a="1"/>
  <c r="BT571" i="9" s="1"/>
  <c r="BU571" i="9" a="1"/>
  <c r="BU571" i="9" s="1"/>
  <c r="BT712" i="9" a="1"/>
  <c r="BT712" i="9" s="1"/>
  <c r="BU712" i="9" a="1"/>
  <c r="BU712" i="9" s="1"/>
  <c r="CO177" i="9" a="1"/>
  <c r="CO177" i="9" s="1"/>
  <c r="CN177" i="9" a="1"/>
  <c r="CN177" i="9" s="1"/>
  <c r="BL253" i="9" a="1"/>
  <c r="BL253" i="9" s="1"/>
  <c r="BV253" i="9" s="1"/>
  <c r="Q253" i="9" s="1"/>
  <c r="AB253" i="9" s="1"/>
  <c r="BV534" i="9"/>
  <c r="Q534" i="9" s="1"/>
  <c r="BV171" i="9"/>
  <c r="Q171" i="9" s="1"/>
  <c r="CO252" i="9" a="1"/>
  <c r="CO252" i="9" s="1"/>
  <c r="CN252" i="9" a="1"/>
  <c r="CN252" i="9" s="1"/>
  <c r="CO386" i="9" a="1"/>
  <c r="CO386" i="9" s="1"/>
  <c r="CN386" i="9" a="1"/>
  <c r="CN386" i="9" s="1"/>
  <c r="BL202" i="9" a="1"/>
  <c r="BL202" i="9" s="1"/>
  <c r="BT263" i="9" a="1"/>
  <c r="BT263" i="9" s="1"/>
  <c r="BU263" i="9" a="1"/>
  <c r="BU263" i="9" s="1"/>
  <c r="BP386" i="9" a="1"/>
  <c r="BP386" i="9" s="1"/>
  <c r="BV464" i="9"/>
  <c r="Q464" i="9" s="1"/>
  <c r="AB464" i="9" s="1"/>
  <c r="BT568" i="9" a="1"/>
  <c r="BT568" i="9" s="1"/>
  <c r="BU568" i="9" a="1"/>
  <c r="BU568" i="9" s="1"/>
  <c r="CF169" i="9" a="1"/>
  <c r="CF169" i="9" s="1"/>
  <c r="BP384" i="9" a="1"/>
  <c r="BP384" i="9" s="1"/>
  <c r="BP223" i="9" a="1"/>
  <c r="BP223" i="9" s="1"/>
  <c r="BV223" i="9" s="1"/>
  <c r="Q223" i="9" s="1"/>
  <c r="BT217" i="9" a="1"/>
  <c r="BT217" i="9" s="1"/>
  <c r="BU217" i="9" a="1"/>
  <c r="BU217" i="9" s="1"/>
  <c r="CF483" i="9" a="1"/>
  <c r="CF483" i="9" s="1"/>
  <c r="CP483" i="9" s="1"/>
  <c r="V483" i="9" s="1"/>
  <c r="BP524" i="9" a="1"/>
  <c r="BP524" i="9" s="1"/>
  <c r="BU573" i="9" a="1"/>
  <c r="BU573" i="9" s="1"/>
  <c r="BT573" i="9" a="1"/>
  <c r="BT573" i="9" s="1"/>
  <c r="BU521" i="9" a="1"/>
  <c r="BU521" i="9" s="1"/>
  <c r="BT521" i="9" a="1"/>
  <c r="BT521" i="9" s="1"/>
  <c r="CO491" i="9" a="1"/>
  <c r="CO491" i="9" s="1"/>
  <c r="CN491" i="9" a="1"/>
  <c r="CN491" i="9" s="1"/>
  <c r="CO614" i="9" a="1"/>
  <c r="CO614" i="9" s="1"/>
  <c r="CN614" i="9" a="1"/>
  <c r="CN614" i="9" s="1"/>
  <c r="CN161" i="9" a="1"/>
  <c r="CN161" i="9" s="1"/>
  <c r="CP161" i="9" s="1"/>
  <c r="V161" i="9" s="1"/>
  <c r="CO161" i="9" a="1"/>
  <c r="CO161" i="9" s="1"/>
  <c r="CP299" i="9"/>
  <c r="V299" i="9" s="1"/>
  <c r="CO168" i="9" a="1"/>
  <c r="CO168" i="9" s="1"/>
  <c r="CN168" i="9" a="1"/>
  <c r="CN168" i="9" s="1"/>
  <c r="CO359" i="9" a="1"/>
  <c r="CO359" i="9" s="1"/>
  <c r="CN359" i="9" a="1"/>
  <c r="CN359" i="9" s="1"/>
  <c r="CF451" i="9" a="1"/>
  <c r="CF451" i="9" s="1"/>
  <c r="CP451" i="9" s="1"/>
  <c r="V451" i="9" s="1"/>
  <c r="CF465" i="9" a="1"/>
  <c r="CF465" i="9" s="1"/>
  <c r="CP465" i="9" s="1"/>
  <c r="V465" i="9" s="1"/>
  <c r="CJ365" i="9" a="1"/>
  <c r="CJ365" i="9" s="1"/>
  <c r="CF228" i="9" a="1"/>
  <c r="CF228" i="9" s="1"/>
  <c r="BT491" i="9" a="1"/>
  <c r="BT491" i="9" s="1"/>
  <c r="BU491" i="9" a="1"/>
  <c r="BU491" i="9" s="1"/>
  <c r="BP691" i="9" a="1"/>
  <c r="BP691" i="9" s="1"/>
  <c r="CN629" i="9" a="1"/>
  <c r="CN629" i="9" s="1"/>
  <c r="CO629" i="9" a="1"/>
  <c r="CO629" i="9" s="1"/>
  <c r="BT822" i="9" a="1"/>
  <c r="BT822" i="9" s="1"/>
  <c r="BU822" i="9" a="1"/>
  <c r="BU822" i="9" s="1"/>
  <c r="CN780" i="9" a="1"/>
  <c r="CN780" i="9" s="1"/>
  <c r="CO780" i="9" a="1"/>
  <c r="CO780" i="9" s="1"/>
  <c r="BL589" i="9" a="1"/>
  <c r="BL589" i="9" s="1"/>
  <c r="BP177" i="9" a="1"/>
  <c r="BP177" i="9" s="1"/>
  <c r="BV177" i="9" s="1"/>
  <c r="Q177" i="9" s="1"/>
  <c r="BP439" i="9" a="1"/>
  <c r="BP439" i="9" s="1"/>
  <c r="CF534" i="9" a="1"/>
  <c r="CF534" i="9" s="1"/>
  <c r="CN949" i="9" a="1"/>
  <c r="CN949" i="9" s="1"/>
  <c r="CO949" i="9" a="1"/>
  <c r="CO949" i="9" s="1"/>
  <c r="CN883" i="9" a="1"/>
  <c r="CN883" i="9" s="1"/>
  <c r="CO883" i="9" a="1"/>
  <c r="CO883" i="9" s="1"/>
  <c r="BV873" i="9"/>
  <c r="Q873" i="9" s="1"/>
  <c r="AB873" i="9" s="1"/>
  <c r="BT1014" i="9" a="1"/>
  <c r="BT1014" i="9" s="1"/>
  <c r="BU1014" i="9" a="1"/>
  <c r="BU1014" i="9" s="1"/>
  <c r="BT849" i="9" a="1"/>
  <c r="BT849" i="9" s="1"/>
  <c r="BU849" i="9" a="1"/>
  <c r="BU849" i="9" s="1"/>
  <c r="BV733" i="9"/>
  <c r="Q733" i="9" s="1"/>
  <c r="AB733" i="9" s="1"/>
  <c r="CO981" i="9" a="1"/>
  <c r="CO981" i="9" s="1"/>
  <c r="CN981" i="9" a="1"/>
  <c r="CN981" i="9" s="1"/>
  <c r="CP924" i="9"/>
  <c r="V924" i="9" s="1"/>
  <c r="BU915" i="9" a="1"/>
  <c r="BU915" i="9" s="1"/>
  <c r="BT915" i="9" a="1"/>
  <c r="BT915" i="9" s="1"/>
  <c r="BV915" i="9" s="1"/>
  <c r="Q915" i="9" s="1"/>
  <c r="CF182" i="9" a="1"/>
  <c r="CF182" i="9" s="1"/>
  <c r="CO990" i="9" a="1"/>
  <c r="CO990" i="9" s="1"/>
  <c r="CN990" i="9" a="1"/>
  <c r="CN990" i="9" s="1"/>
  <c r="CO823" i="9" a="1"/>
  <c r="CO823" i="9" s="1"/>
  <c r="CN823" i="9" a="1"/>
  <c r="CN823" i="9" s="1"/>
  <c r="BL255" i="9" a="1"/>
  <c r="BL255" i="9" s="1"/>
  <c r="BV255" i="9" s="1"/>
  <c r="Q255" i="9" s="1"/>
  <c r="CF294" i="9" a="1"/>
  <c r="CF294" i="9" s="1"/>
  <c r="CJ226" i="9" a="1"/>
  <c r="CJ226" i="9" s="1"/>
  <c r="CP226" i="9" s="1"/>
  <c r="V226" i="9" s="1"/>
  <c r="BP611" i="9" a="1"/>
  <c r="BP611" i="9" s="1"/>
  <c r="CJ554" i="9" a="1"/>
  <c r="CJ554" i="9" s="1"/>
  <c r="BL723" i="9" a="1"/>
  <c r="BL723" i="9" s="1"/>
  <c r="BV723" i="9" s="1"/>
  <c r="Q723" i="9" s="1"/>
  <c r="CO884" i="9" a="1"/>
  <c r="CO884" i="9" s="1"/>
  <c r="CN884" i="9" a="1"/>
  <c r="CN884" i="9" s="1"/>
  <c r="CJ207" i="9" a="1"/>
  <c r="CJ207" i="9" s="1"/>
  <c r="CP207" i="9" s="1"/>
  <c r="V207" i="9" s="1"/>
  <c r="BT329" i="9" a="1"/>
  <c r="BT329" i="9" s="1"/>
  <c r="BV329" i="9" s="1"/>
  <c r="Q329" i="9" s="1"/>
  <c r="AB329" i="9" s="1"/>
  <c r="CN600" i="9" a="1"/>
  <c r="CN600" i="9" s="1"/>
  <c r="CP600" i="9" s="1"/>
  <c r="V600" i="9" s="1"/>
  <c r="BU761" i="9" a="1"/>
  <c r="BU761" i="9" s="1"/>
  <c r="BT761" i="9" a="1"/>
  <c r="BT761" i="9" s="1"/>
  <c r="BT884" i="9" a="1"/>
  <c r="BT884" i="9" s="1"/>
  <c r="BU884" i="9" a="1"/>
  <c r="BU884" i="9" s="1"/>
  <c r="BP836" i="9" a="1"/>
  <c r="BP836" i="9" s="1"/>
  <c r="BV836" i="9" s="1"/>
  <c r="Q836" i="9" s="1"/>
  <c r="AB836" i="9" s="1"/>
  <c r="CN1003" i="9" a="1"/>
  <c r="CN1003" i="9" s="1"/>
  <c r="CO1003" i="9" a="1"/>
  <c r="CO1003" i="9" s="1"/>
  <c r="BP949" i="9" a="1"/>
  <c r="BP949" i="9" s="1"/>
  <c r="BT791" i="9" a="1"/>
  <c r="BT791" i="9" s="1"/>
  <c r="BU791" i="9" a="1"/>
  <c r="BU791" i="9" s="1"/>
  <c r="BT170" i="9" a="1"/>
  <c r="BT170" i="9" s="1"/>
  <c r="BT337" i="9" a="1"/>
  <c r="BT337" i="9" s="1"/>
  <c r="BL254" i="9" a="1"/>
  <c r="BL254" i="9" s="1"/>
  <c r="BV254" i="9" s="1"/>
  <c r="Q254" i="9" s="1"/>
  <c r="BT691" i="9" a="1"/>
  <c r="BT691" i="9" s="1"/>
  <c r="BL597" i="9" a="1"/>
  <c r="BL597" i="9" s="1"/>
  <c r="BP780" i="9" a="1"/>
  <c r="BP780" i="9" s="1"/>
  <c r="BV780" i="9" s="1"/>
  <c r="Q780" i="9" s="1"/>
  <c r="BV841" i="9"/>
  <c r="Q841" i="9" s="1"/>
  <c r="BV941" i="9"/>
  <c r="Q941" i="9" s="1"/>
  <c r="AB941" i="9" s="1"/>
  <c r="CO807" i="9" a="1"/>
  <c r="CO807" i="9" s="1"/>
  <c r="CN807" i="9" a="1"/>
  <c r="CN807" i="9" s="1"/>
  <c r="BP1019" i="9" a="1"/>
  <c r="BP1019" i="9" s="1"/>
  <c r="BP175" i="9" a="1"/>
  <c r="BP175" i="9" s="1"/>
  <c r="BV175" i="9" s="1"/>
  <c r="Q175" i="9" s="1"/>
  <c r="CF400" i="9" a="1"/>
  <c r="CF400" i="9" s="1"/>
  <c r="BP603" i="9" a="1"/>
  <c r="BP603" i="9" s="1"/>
  <c r="CO783" i="9" a="1"/>
  <c r="CO783" i="9" s="1"/>
  <c r="CN783" i="9" a="1"/>
  <c r="CN783" i="9" s="1"/>
  <c r="CN747" i="9" a="1"/>
  <c r="CN747" i="9" s="1"/>
  <c r="CP747" i="9" s="1"/>
  <c r="V747" i="9" s="1"/>
  <c r="AB747" i="9" s="1"/>
  <c r="CO886" i="9" a="1"/>
  <c r="CO886" i="9" s="1"/>
  <c r="CN886" i="9" a="1"/>
  <c r="CN886" i="9" s="1"/>
  <c r="BU758" i="9" a="1"/>
  <c r="BU758" i="9" s="1"/>
  <c r="BT758" i="9" a="1"/>
  <c r="BT758" i="9" s="1"/>
  <c r="CO769" i="9" a="1"/>
  <c r="CO769" i="9" s="1"/>
  <c r="CN769" i="9" a="1"/>
  <c r="CN769" i="9" s="1"/>
  <c r="CN171" i="9" a="1"/>
  <c r="CN171" i="9" s="1"/>
  <c r="CF152" i="9" a="1"/>
  <c r="CF152" i="9" s="1"/>
  <c r="CP152" i="9" s="1"/>
  <c r="V152" i="9" s="1"/>
  <c r="CF561" i="9" a="1"/>
  <c r="CF561" i="9" s="1"/>
  <c r="CJ714" i="9" a="1"/>
  <c r="CJ714" i="9" s="1"/>
  <c r="CP714" i="9" s="1"/>
  <c r="V714" i="9" s="1"/>
  <c r="BP682" i="9" a="1"/>
  <c r="BP682" i="9" s="1"/>
  <c r="BV682" i="9" s="1"/>
  <c r="Q682" i="9" s="1"/>
  <c r="CF886" i="9" a="1"/>
  <c r="CF886" i="9" s="1"/>
  <c r="CF826" i="9" a="1"/>
  <c r="CF826" i="9" s="1"/>
  <c r="BV808" i="9"/>
  <c r="Q808" i="9" s="1"/>
  <c r="CP1009" i="9"/>
  <c r="V1009" i="9" s="1"/>
  <c r="CO777" i="9" a="1"/>
  <c r="CO777" i="9" s="1"/>
  <c r="CN777" i="9" a="1"/>
  <c r="CN777" i="9" s="1"/>
  <c r="BP990" i="9" a="1"/>
  <c r="BP990" i="9" s="1"/>
  <c r="BV990" i="9" s="1"/>
  <c r="Q990" i="9" s="1"/>
  <c r="CN365" i="9" a="1"/>
  <c r="CN365" i="9" s="1"/>
  <c r="CN266" i="9" a="1"/>
  <c r="CN266" i="9" s="1"/>
  <c r="CP266" i="9" s="1"/>
  <c r="V266" i="9" s="1"/>
  <c r="BL842" i="9" a="1"/>
  <c r="BL842" i="9" s="1"/>
  <c r="BT834" i="9" a="1"/>
  <c r="BT834" i="9" s="1"/>
  <c r="BU834" i="9" a="1"/>
  <c r="BU834" i="9" s="1"/>
  <c r="CP995" i="9"/>
  <c r="V995" i="9" s="1"/>
  <c r="BV867" i="9"/>
  <c r="Q867" i="9" s="1"/>
  <c r="CF949" i="9" a="1"/>
  <c r="CF949" i="9" s="1"/>
  <c r="CP949" i="9" s="1"/>
  <c r="V949" i="9" s="1"/>
  <c r="BP753" i="9" a="1"/>
  <c r="BP753" i="9" s="1"/>
  <c r="BT931" i="9" a="1"/>
  <c r="BT931" i="9" s="1"/>
  <c r="BP987" i="9" a="1"/>
  <c r="BP987" i="9" s="1"/>
  <c r="BV987" i="9" s="1"/>
  <c r="Q987" i="9" s="1"/>
  <c r="CJ886" i="9" a="1"/>
  <c r="CJ886" i="9" s="1"/>
  <c r="CJ867" i="9" a="1"/>
  <c r="CJ867" i="9" s="1"/>
  <c r="CF1006" i="9" a="1"/>
  <c r="CF1006" i="9" s="1"/>
  <c r="CJ780" i="9" a="1"/>
  <c r="CJ780" i="9" s="1"/>
  <c r="BP756" i="9" a="1"/>
  <c r="BP756" i="9" s="1"/>
  <c r="BT971" i="9" a="1"/>
  <c r="BT971" i="9" s="1"/>
  <c r="CJ933" i="9" a="1"/>
  <c r="CJ933" i="9" s="1"/>
  <c r="CP933" i="9" s="1"/>
  <c r="V933" i="9" s="1"/>
  <c r="CF908" i="9" a="1"/>
  <c r="CF908" i="9" s="1"/>
  <c r="CP908" i="9" s="1"/>
  <c r="V908" i="9" s="1"/>
  <c r="BT933" i="9" a="1"/>
  <c r="BT933" i="9" s="1"/>
  <c r="CF973" i="9" a="1"/>
  <c r="CF973" i="9" s="1"/>
  <c r="CF981" i="9" a="1"/>
  <c r="CF981" i="9" s="1"/>
  <c r="CF977" i="9" a="1"/>
  <c r="CF977" i="9" s="1"/>
  <c r="CP977" i="9" s="1"/>
  <c r="V977" i="9" s="1"/>
  <c r="CO175" i="9" a="1"/>
  <c r="CO175" i="9" s="1"/>
  <c r="CN175" i="9" a="1"/>
  <c r="CN175" i="9" s="1"/>
  <c r="BV266" i="9"/>
  <c r="Q266" i="9" s="1"/>
  <c r="AB266" i="9" s="1"/>
  <c r="CO326" i="9" a="1"/>
  <c r="CO326" i="9" s="1"/>
  <c r="CP326" i="9" s="1"/>
  <c r="V326" i="9" s="1"/>
  <c r="CN326" i="9" a="1"/>
  <c r="CN326" i="9" s="1"/>
  <c r="BU176" i="9" a="1"/>
  <c r="BU176" i="9" s="1"/>
  <c r="BT176" i="9" a="1"/>
  <c r="BT176" i="9" s="1"/>
  <c r="BL246" i="9" a="1"/>
  <c r="BL246" i="9" s="1"/>
  <c r="BV246" i="9" s="1"/>
  <c r="Q246" i="9" s="1"/>
  <c r="AB246" i="9" s="1"/>
  <c r="BT293" i="9" a="1"/>
  <c r="BT293" i="9" s="1"/>
  <c r="BV293" i="9" s="1"/>
  <c r="Q293" i="9" s="1"/>
  <c r="AB293" i="9" s="1"/>
  <c r="BU293" i="9" a="1"/>
  <c r="BU293" i="9" s="1"/>
  <c r="CN426" i="9" a="1"/>
  <c r="CN426" i="9" s="1"/>
  <c r="CO426" i="9" a="1"/>
  <c r="CO426" i="9" s="1"/>
  <c r="CP179" i="9"/>
  <c r="V179" i="9" s="1"/>
  <c r="BU418" i="9" a="1"/>
  <c r="BU418" i="9" s="1"/>
  <c r="BT418" i="9" a="1"/>
  <c r="BT418" i="9" s="1"/>
  <c r="BT236" i="9" a="1"/>
  <c r="BT236" i="9" s="1"/>
  <c r="BU236" i="9" a="1"/>
  <c r="BU236" i="9" s="1"/>
  <c r="BU210" i="9" a="1"/>
  <c r="BU210" i="9" s="1"/>
  <c r="BT210" i="9" a="1"/>
  <c r="BT210" i="9" s="1"/>
  <c r="CO595" i="9" a="1"/>
  <c r="CO595" i="9" s="1"/>
  <c r="CN595" i="9" a="1"/>
  <c r="CN595" i="9" s="1"/>
  <c r="BT645" i="9" a="1"/>
  <c r="BT645" i="9" s="1"/>
  <c r="BU645" i="9" a="1"/>
  <c r="BU645" i="9" s="1"/>
  <c r="BT698" i="9" a="1"/>
  <c r="BT698" i="9" s="1"/>
  <c r="BU698" i="9" a="1"/>
  <c r="BU698" i="9" s="1"/>
  <c r="BU373" i="9" a="1"/>
  <c r="BU373" i="9" s="1"/>
  <c r="BT373" i="9" a="1"/>
  <c r="BT373" i="9" s="1"/>
  <c r="BP427" i="9" a="1"/>
  <c r="BP427" i="9" s="1"/>
  <c r="BL391" i="9" a="1"/>
  <c r="BL391" i="9" s="1"/>
  <c r="BV391" i="9" s="1"/>
  <c r="Q391" i="9" s="1"/>
  <c r="CP603" i="9"/>
  <c r="V603" i="9" s="1"/>
  <c r="BU294" i="9" a="1"/>
  <c r="BU294" i="9" s="1"/>
  <c r="BT294" i="9" a="1"/>
  <c r="BT294" i="9" s="1"/>
  <c r="BL418" i="9" a="1"/>
  <c r="BL418" i="9" s="1"/>
  <c r="BV659" i="9"/>
  <c r="Q659" i="9" s="1"/>
  <c r="AB659" i="9" s="1"/>
  <c r="BV595" i="9"/>
  <c r="Q595" i="9" s="1"/>
  <c r="BP714" i="9" a="1"/>
  <c r="BP714" i="9" s="1"/>
  <c r="BV714" i="9" s="1"/>
  <c r="Q714" i="9" s="1"/>
  <c r="BU451" i="9" a="1"/>
  <c r="BU451" i="9" s="1"/>
  <c r="BT451" i="9" a="1"/>
  <c r="BT451" i="9" s="1"/>
  <c r="CJ407" i="9" a="1"/>
  <c r="CJ407" i="9" s="1"/>
  <c r="BP169" i="9" a="1"/>
  <c r="BP169" i="9" s="1"/>
  <c r="BP226" i="9" a="1"/>
  <c r="BP226" i="9" s="1"/>
  <c r="BV540" i="9"/>
  <c r="Q540" i="9" s="1"/>
  <c r="AB540" i="9" s="1"/>
  <c r="CN698" i="9" a="1"/>
  <c r="CN698" i="9" s="1"/>
  <c r="CO698" i="9" a="1"/>
  <c r="CO698" i="9" s="1"/>
  <c r="BU624" i="9" a="1"/>
  <c r="BU624" i="9" s="1"/>
  <c r="BT624" i="9" a="1"/>
  <c r="BT624" i="9" s="1"/>
  <c r="BL772" i="9" a="1"/>
  <c r="BL772" i="9" s="1"/>
  <c r="BV772" i="9" s="1"/>
  <c r="Q772" i="9" s="1"/>
  <c r="AB772" i="9" s="1"/>
  <c r="BT737" i="9" a="1"/>
  <c r="BT737" i="9" s="1"/>
  <c r="BU737" i="9" a="1"/>
  <c r="BU737" i="9" s="1"/>
  <c r="CF675" i="9" a="1"/>
  <c r="CF675" i="9" s="1"/>
  <c r="CO356" i="9" a="1"/>
  <c r="CO356" i="9" s="1"/>
  <c r="CN356" i="9" a="1"/>
  <c r="CN356" i="9" s="1"/>
  <c r="CP356" i="9" s="1"/>
  <c r="V356" i="9" s="1"/>
  <c r="BU202" i="9" a="1"/>
  <c r="BU202" i="9" s="1"/>
  <c r="BT202" i="9" a="1"/>
  <c r="BT202" i="9" s="1"/>
  <c r="BT280" i="9" a="1"/>
  <c r="BT280" i="9" s="1"/>
  <c r="BU280" i="9" a="1"/>
  <c r="BU280" i="9" s="1"/>
  <c r="BT357" i="9" a="1"/>
  <c r="BT357" i="9" s="1"/>
  <c r="BU357" i="9" a="1"/>
  <c r="BU357" i="9" s="1"/>
  <c r="BT295" i="9" a="1"/>
  <c r="BT295" i="9" s="1"/>
  <c r="CJ537" i="9" a="1"/>
  <c r="CJ537" i="9" s="1"/>
  <c r="CP537" i="9" s="1"/>
  <c r="V537" i="9" s="1"/>
  <c r="BU653" i="9" a="1"/>
  <c r="BU653" i="9" s="1"/>
  <c r="BT653" i="9" a="1"/>
  <c r="BT653" i="9" s="1"/>
  <c r="BP553" i="9" a="1"/>
  <c r="BP553" i="9" s="1"/>
  <c r="BV553" i="9" s="1"/>
  <c r="Q553" i="9" s="1"/>
  <c r="AB553" i="9" s="1"/>
  <c r="CO134" i="9" a="1"/>
  <c r="CO134" i="9" s="1"/>
  <c r="CN134" i="9" a="1"/>
  <c r="CN134" i="9" s="1"/>
  <c r="CO216" i="9" a="1"/>
  <c r="CO216" i="9" s="1"/>
  <c r="CN216" i="9" a="1"/>
  <c r="CN216" i="9" s="1"/>
  <c r="BL700" i="9" a="1"/>
  <c r="BL700" i="9" s="1"/>
  <c r="CN169" i="9" a="1"/>
  <c r="CN169" i="9" s="1"/>
  <c r="CO169" i="9" a="1"/>
  <c r="CO169" i="9" s="1"/>
  <c r="BP280" i="9" a="1"/>
  <c r="BP280" i="9" s="1"/>
  <c r="BT169" i="9" a="1"/>
  <c r="BT169" i="9" s="1"/>
  <c r="BU169" i="9" a="1"/>
  <c r="BU169" i="9" s="1"/>
  <c r="CN554" i="9" a="1"/>
  <c r="CN554" i="9" s="1"/>
  <c r="CO554" i="9" a="1"/>
  <c r="CO554" i="9" s="1"/>
  <c r="CF629" i="9" a="1"/>
  <c r="CF629" i="9" s="1"/>
  <c r="BP700" i="9" a="1"/>
  <c r="BP700" i="9" s="1"/>
  <c r="BU603" i="9" a="1"/>
  <c r="BU603" i="9" s="1"/>
  <c r="BT603" i="9" a="1"/>
  <c r="BT603" i="9" s="1"/>
  <c r="BU227" i="9" a="1"/>
  <c r="BU227" i="9" s="1"/>
  <c r="BT227" i="9" a="1"/>
  <c r="BT227" i="9" s="1"/>
  <c r="CF365" i="9" a="1"/>
  <c r="CF365" i="9" s="1"/>
  <c r="BL296" i="9" a="1"/>
  <c r="BL296" i="9" s="1"/>
  <c r="BV296" i="9" s="1"/>
  <c r="Q296" i="9" s="1"/>
  <c r="AB296" i="9" s="1"/>
  <c r="CN502" i="9" a="1"/>
  <c r="CN502" i="9" s="1"/>
  <c r="CO502" i="9" a="1"/>
  <c r="CO502" i="9" s="1"/>
  <c r="CJ137" i="9" a="1"/>
  <c r="CJ137" i="9" s="1"/>
  <c r="CP137" i="9" s="1"/>
  <c r="V137" i="9" s="1"/>
  <c r="CN330" i="9" a="1"/>
  <c r="CN330" i="9" s="1"/>
  <c r="CO330" i="9" a="1"/>
  <c r="CO330" i="9" s="1"/>
  <c r="BP356" i="9" a="1"/>
  <c r="BP356" i="9" s="1"/>
  <c r="BV356" i="9" s="1"/>
  <c r="Q356" i="9" s="1"/>
  <c r="AB356" i="9" s="1"/>
  <c r="CF521" i="9" a="1"/>
  <c r="CF521" i="9" s="1"/>
  <c r="CP223" i="9"/>
  <c r="V223" i="9" s="1"/>
  <c r="CN682" i="9" a="1"/>
  <c r="CN682" i="9" s="1"/>
  <c r="CO682" i="9" a="1"/>
  <c r="CO682" i="9" s="1"/>
  <c r="CO648" i="9" a="1"/>
  <c r="CO648" i="9" s="1"/>
  <c r="CN648" i="9" a="1"/>
  <c r="CN648" i="9" s="1"/>
  <c r="CF524" i="9" a="1"/>
  <c r="CF524" i="9" s="1"/>
  <c r="CP524" i="9" s="1"/>
  <c r="V524" i="9" s="1"/>
  <c r="BL152" i="9" a="1"/>
  <c r="BL152" i="9" s="1"/>
  <c r="CO188" i="9" a="1"/>
  <c r="CO188" i="9" s="1"/>
  <c r="CN188" i="9" a="1"/>
  <c r="CN188" i="9" s="1"/>
  <c r="CO407" i="9" a="1"/>
  <c r="CO407" i="9" s="1"/>
  <c r="CN407" i="9" a="1"/>
  <c r="CN407" i="9" s="1"/>
  <c r="CN180" i="9" a="1"/>
  <c r="CN180" i="9" s="1"/>
  <c r="CO180" i="9" a="1"/>
  <c r="CO180" i="9" s="1"/>
  <c r="BT321" i="9" a="1"/>
  <c r="BT321" i="9" s="1"/>
  <c r="BU321" i="9" a="1"/>
  <c r="BU321" i="9" s="1"/>
  <c r="CP222" i="9"/>
  <c r="V222" i="9" s="1"/>
  <c r="AB222" i="9" s="1"/>
  <c r="CN318" i="9" a="1"/>
  <c r="CN318" i="9" s="1"/>
  <c r="CO318" i="9" a="1"/>
  <c r="CO318" i="9" s="1"/>
  <c r="CN228" i="9" a="1"/>
  <c r="CN228" i="9" s="1"/>
  <c r="CO228" i="9" a="1"/>
  <c r="CO228" i="9" s="1"/>
  <c r="CN605" i="9" a="1"/>
  <c r="CN605" i="9" s="1"/>
  <c r="CO605" i="9" a="1"/>
  <c r="CO605" i="9" s="1"/>
  <c r="BP494" i="9" a="1"/>
  <c r="BP494" i="9" s="1"/>
  <c r="BV494" i="9" s="1"/>
  <c r="Q494" i="9" s="1"/>
  <c r="BU542" i="9" a="1"/>
  <c r="BU542" i="9" s="1"/>
  <c r="BT542" i="9" a="1"/>
  <c r="BT542" i="9" s="1"/>
  <c r="CF202" i="9" a="1"/>
  <c r="CF202" i="9" s="1"/>
  <c r="CP202" i="9" s="1"/>
  <c r="V202" i="9" s="1"/>
  <c r="BT427" i="9" a="1"/>
  <c r="BT427" i="9" s="1"/>
  <c r="CP787" i="9"/>
  <c r="V787" i="9" s="1"/>
  <c r="CP962" i="9"/>
  <c r="V962" i="9" s="1"/>
  <c r="CN801" i="9" a="1"/>
  <c r="CN801" i="9" s="1"/>
  <c r="CO801" i="9" a="1"/>
  <c r="CO801" i="9" s="1"/>
  <c r="BP1014" i="9" a="1"/>
  <c r="BP1014" i="9" s="1"/>
  <c r="BP862" i="9" a="1"/>
  <c r="BP862" i="9" s="1"/>
  <c r="BV862" i="9" s="1"/>
  <c r="Q862" i="9" s="1"/>
  <c r="CJ862" i="9" a="1"/>
  <c r="CJ862" i="9" s="1"/>
  <c r="CO998" i="9" a="1"/>
  <c r="CO998" i="9" s="1"/>
  <c r="CN998" i="9" a="1"/>
  <c r="CN998" i="9" s="1"/>
  <c r="BP403" i="9" a="1"/>
  <c r="BP403" i="9" s="1"/>
  <c r="BV403" i="9" s="1"/>
  <c r="Q403" i="9" s="1"/>
  <c r="AB403" i="9" s="1"/>
  <c r="CF203" i="9" a="1"/>
  <c r="CF203" i="9" s="1"/>
  <c r="CP834" i="9"/>
  <c r="V834" i="9" s="1"/>
  <c r="BL949" i="9" a="1"/>
  <c r="BL949" i="9" s="1"/>
  <c r="BT957" i="9" a="1"/>
  <c r="BT957" i="9" s="1"/>
  <c r="BV957" i="9" s="1"/>
  <c r="Q957" i="9" s="1"/>
  <c r="AB957" i="9" s="1"/>
  <c r="CP999" i="9"/>
  <c r="V999" i="9" s="1"/>
  <c r="BT250" i="9" a="1"/>
  <c r="BT250" i="9" s="1"/>
  <c r="CF656" i="9" a="1"/>
  <c r="CF656" i="9" s="1"/>
  <c r="CP656" i="9" s="1"/>
  <c r="V656" i="9" s="1"/>
  <c r="BL547" i="9" a="1"/>
  <c r="BL547" i="9" s="1"/>
  <c r="CP1016" i="9"/>
  <c r="V1016" i="9" s="1"/>
  <c r="AB1016" i="9" s="1"/>
  <c r="BV973" i="9"/>
  <c r="Q973" i="9" s="1"/>
  <c r="BV969" i="9"/>
  <c r="Q969" i="9" s="1"/>
  <c r="AB969" i="9" s="1"/>
  <c r="CF225" i="9" a="1"/>
  <c r="CF225" i="9" s="1"/>
  <c r="BT384" i="9" a="1"/>
  <c r="BT384" i="9" s="1"/>
  <c r="BT600" i="9" a="1"/>
  <c r="BT600" i="9" s="1"/>
  <c r="BV600" i="9" s="1"/>
  <c r="Q600" i="9" s="1"/>
  <c r="AB600" i="9" s="1"/>
  <c r="CO761" i="9" a="1"/>
  <c r="CO761" i="9" s="1"/>
  <c r="CN761" i="9" a="1"/>
  <c r="CN761" i="9" s="1"/>
  <c r="CN917" i="9" a="1"/>
  <c r="CN917" i="9" s="1"/>
  <c r="CO917" i="9" a="1"/>
  <c r="CO917" i="9" s="1"/>
  <c r="CJ931" i="9" a="1"/>
  <c r="CJ931" i="9" s="1"/>
  <c r="CP931" i="9" s="1"/>
  <c r="V931" i="9" s="1"/>
  <c r="BL859" i="9" a="1"/>
  <c r="BL859" i="9" s="1"/>
  <c r="BT793" i="9" a="1"/>
  <c r="BT793" i="9" s="1"/>
  <c r="BU793" i="9" a="1"/>
  <c r="BU793" i="9" s="1"/>
  <c r="CO824" i="9" a="1"/>
  <c r="CO824" i="9" s="1"/>
  <c r="CN824" i="9" a="1"/>
  <c r="CN824" i="9" s="1"/>
  <c r="CO907" i="9" a="1"/>
  <c r="CO907" i="9" s="1"/>
  <c r="CN907" i="9" a="1"/>
  <c r="CN907" i="9" s="1"/>
  <c r="BU902" i="9" a="1"/>
  <c r="BU902" i="9" s="1"/>
  <c r="BT902" i="9" a="1"/>
  <c r="BT902" i="9" s="1"/>
  <c r="BP742" i="9" a="1"/>
  <c r="BP742" i="9" s="1"/>
  <c r="BP997" i="9" a="1"/>
  <c r="BP997" i="9" s="1"/>
  <c r="BV997" i="9" s="1"/>
  <c r="Q997" i="9" s="1"/>
  <c r="BP791" i="9" a="1"/>
  <c r="BP791" i="9" s="1"/>
  <c r="CO843" i="9" a="1"/>
  <c r="CO843" i="9" s="1"/>
  <c r="CN843" i="9" a="1"/>
  <c r="CN843" i="9" s="1"/>
  <c r="BP152" i="9" a="1"/>
  <c r="BP152" i="9" s="1"/>
  <c r="CF288" i="9" a="1"/>
  <c r="CF288" i="9" s="1"/>
  <c r="CN293" i="9" a="1"/>
  <c r="CN293" i="9" s="1"/>
  <c r="CP293" i="9" s="1"/>
  <c r="V293" i="9" s="1"/>
  <c r="CJ627" i="9" a="1"/>
  <c r="CJ627" i="9" s="1"/>
  <c r="CP627" i="9" s="1"/>
  <c r="V627" i="9" s="1"/>
  <c r="CJ574" i="9" a="1"/>
  <c r="CJ574" i="9" s="1"/>
  <c r="CJ674" i="9" a="1"/>
  <c r="CJ674" i="9" s="1"/>
  <c r="CN841" i="9" a="1"/>
  <c r="CN841" i="9" s="1"/>
  <c r="CO841" i="9" a="1"/>
  <c r="CO841" i="9" s="1"/>
  <c r="CN745" i="9" a="1"/>
  <c r="CN745" i="9" s="1"/>
  <c r="CO745" i="9" a="1"/>
  <c r="CO745" i="9" s="1"/>
  <c r="BL884" i="9" a="1"/>
  <c r="BL884" i="9" s="1"/>
  <c r="CF990" i="9" a="1"/>
  <c r="CF990" i="9" s="1"/>
  <c r="CP990" i="9" s="1"/>
  <c r="V990" i="9" s="1"/>
  <c r="BT128" i="9" a="1"/>
  <c r="BT128" i="9" s="1"/>
  <c r="BV128" i="9" s="1"/>
  <c r="Q128" i="9" s="1"/>
  <c r="AB128" i="9" s="1"/>
  <c r="CJ421" i="9" a="1"/>
  <c r="CJ421" i="9" s="1"/>
  <c r="BT318" i="9" a="1"/>
  <c r="BT318" i="9" s="1"/>
  <c r="BP664" i="9" a="1"/>
  <c r="BP664" i="9" s="1"/>
  <c r="BV664" i="9" s="1"/>
  <c r="Q664" i="9" s="1"/>
  <c r="AB664" i="9" s="1"/>
  <c r="BL783" i="9" a="1"/>
  <c r="BL783" i="9" s="1"/>
  <c r="CF940" i="9" a="1"/>
  <c r="CF940" i="9" s="1"/>
  <c r="BV755" i="9"/>
  <c r="Q755" i="9" s="1"/>
  <c r="AB755" i="9" s="1"/>
  <c r="BV839" i="9"/>
  <c r="Q839" i="9" s="1"/>
  <c r="AB839" i="9" s="1"/>
  <c r="BT870" i="9" a="1"/>
  <c r="BT870" i="9" s="1"/>
  <c r="BU870" i="9" a="1"/>
  <c r="BU870" i="9" s="1"/>
  <c r="BL769" i="9" a="1"/>
  <c r="BL769" i="9" s="1"/>
  <c r="BL190" i="9" a="1"/>
  <c r="BL190" i="9" s="1"/>
  <c r="BV190" i="9" s="1"/>
  <c r="Q190" i="9" s="1"/>
  <c r="AB190" i="9" s="1"/>
  <c r="CN280" i="9" a="1"/>
  <c r="CN280" i="9" s="1"/>
  <c r="CJ642" i="9" a="1"/>
  <c r="CJ642" i="9" s="1"/>
  <c r="CP642" i="9" s="1"/>
  <c r="V642" i="9" s="1"/>
  <c r="BL622" i="9" a="1"/>
  <c r="BL622" i="9" s="1"/>
  <c r="BL1006" i="9" a="1"/>
  <c r="BL1006" i="9" s="1"/>
  <c r="BV1006" i="9" s="1"/>
  <c r="Q1006" i="9" s="1"/>
  <c r="BT917" i="9" a="1"/>
  <c r="BT917" i="9" s="1"/>
  <c r="BU917" i="9" a="1"/>
  <c r="BU917" i="9" s="1"/>
  <c r="CP988" i="9"/>
  <c r="V988" i="9" s="1"/>
  <c r="CF777" i="9" a="1"/>
  <c r="CF777" i="9" s="1"/>
  <c r="CP777" i="9" s="1"/>
  <c r="V777" i="9" s="1"/>
  <c r="CJ870" i="9" a="1"/>
  <c r="CJ870" i="9" s="1"/>
  <c r="CO939" i="9" a="1"/>
  <c r="CO939" i="9" s="1"/>
  <c r="CN939" i="9" a="1"/>
  <c r="CN939" i="9" s="1"/>
  <c r="BT136" i="9" a="1"/>
  <c r="BT136" i="9" s="1"/>
  <c r="BV136" i="9" s="1"/>
  <c r="Q136" i="9" s="1"/>
  <c r="CF715" i="9" a="1"/>
  <c r="CF715" i="9" s="1"/>
  <c r="CO735" i="9" a="1"/>
  <c r="CO735" i="9" s="1"/>
  <c r="CN735" i="9" a="1"/>
  <c r="CN735" i="9" s="1"/>
  <c r="CP808" i="9"/>
  <c r="V808" i="9" s="1"/>
  <c r="BU947" i="9" a="1"/>
  <c r="BU947" i="9" s="1"/>
  <c r="BT947" i="9" a="1"/>
  <c r="BT947" i="9" s="1"/>
  <c r="CP983" i="9"/>
  <c r="V983" i="9" s="1"/>
  <c r="CJ791" i="9" a="1"/>
  <c r="CJ791" i="9" s="1"/>
  <c r="BT981" i="9" a="1"/>
  <c r="BT981" i="9" s="1"/>
  <c r="BV981" i="9" s="1"/>
  <c r="Q981" i="9" s="1"/>
  <c r="CJ828" i="9" a="1"/>
  <c r="CJ828" i="9" s="1"/>
  <c r="CP828" i="9" s="1"/>
  <c r="V828" i="9" s="1"/>
  <c r="BP735" i="9" a="1"/>
  <c r="BP735" i="9" s="1"/>
  <c r="CJ947" i="9" a="1"/>
  <c r="CJ947" i="9" s="1"/>
  <c r="CP947" i="9" s="1"/>
  <c r="V947" i="9" s="1"/>
  <c r="BT955" i="9" a="1"/>
  <c r="BT955" i="9" s="1"/>
  <c r="BV955" i="9" s="1"/>
  <c r="Q955" i="9" s="1"/>
  <c r="AB955" i="9" s="1"/>
  <c r="CJ844" i="9" a="1"/>
  <c r="CJ844" i="9" s="1"/>
  <c r="BL916" i="9" a="1"/>
  <c r="BL916" i="9" s="1"/>
  <c r="BV916" i="9" s="1"/>
  <c r="Q916" i="9" s="1"/>
  <c r="AB916" i="9" s="1"/>
  <c r="BP827" i="9" a="1"/>
  <c r="BP827" i="9" s="1"/>
  <c r="BL897" i="9" a="1"/>
  <c r="BL897" i="9" s="1"/>
  <c r="CF1003" i="9" a="1"/>
  <c r="CF1003" i="9" s="1"/>
  <c r="BT835" i="9" a="1"/>
  <c r="BT835" i="9" s="1"/>
  <c r="BP859" i="9" a="1"/>
  <c r="BP859" i="9" s="1"/>
  <c r="BL852" i="9" a="1"/>
  <c r="BL852" i="9" s="1"/>
  <c r="BL73" i="9" a="1"/>
  <c r="BL73" i="9" s="1"/>
  <c r="BL121" i="9" a="1"/>
  <c r="BL121" i="9" s="1"/>
  <c r="CP111" i="9"/>
  <c r="V111" i="9" s="1"/>
  <c r="BV90" i="9"/>
  <c r="Q90" i="9" s="1"/>
  <c r="AB90" i="9" s="1"/>
  <c r="BP59" i="9" a="1"/>
  <c r="BP59" i="9" s="1"/>
  <c r="BV48" i="9"/>
  <c r="Q48" i="9" s="1"/>
  <c r="BV97" i="9"/>
  <c r="Q97" i="9" s="1"/>
  <c r="AB97" i="9" s="1"/>
  <c r="BV52" i="9"/>
  <c r="Q52" i="9" s="1"/>
  <c r="BL25" i="9" a="1"/>
  <c r="BL25" i="9" s="1"/>
  <c r="BT60" i="9" a="1"/>
  <c r="BT60" i="9" s="1"/>
  <c r="BP60" i="9" a="1"/>
  <c r="BP60" i="9" s="1"/>
  <c r="BP108" i="9" a="1"/>
  <c r="BP108" i="9" s="1"/>
  <c r="CF73" i="9" a="1"/>
  <c r="CF73" i="9" s="1"/>
  <c r="BV95" i="9"/>
  <c r="Q95" i="9" s="1"/>
  <c r="AB95" i="9" s="1"/>
  <c r="CP61" i="9"/>
  <c r="V61" i="9" s="1"/>
  <c r="CJ92" i="9" a="1"/>
  <c r="CJ92" i="9" s="1"/>
  <c r="CP48" i="9"/>
  <c r="V48" i="9" s="1"/>
  <c r="BP69" i="9" a="1"/>
  <c r="BP69" i="9" s="1"/>
  <c r="CP54" i="9"/>
  <c r="V54" i="9" s="1"/>
  <c r="BV53" i="9"/>
  <c r="Q53" i="9" s="1"/>
  <c r="AB53" i="9" s="1"/>
  <c r="CF80" i="9" a="1"/>
  <c r="CF80" i="9" s="1"/>
  <c r="BV106" i="9"/>
  <c r="Q106" i="9" s="1"/>
  <c r="AB106" i="9" s="1"/>
  <c r="BL66" i="9" a="1"/>
  <c r="BL66" i="9" s="1"/>
  <c r="BV35" i="9"/>
  <c r="Q35" i="9" s="1"/>
  <c r="AB35" i="9" s="1"/>
  <c r="CP29" i="9"/>
  <c r="V29" i="9" s="1"/>
  <c r="BL31" i="9" a="1"/>
  <c r="BL31" i="9" s="1"/>
  <c r="CJ58" i="9" a="1"/>
  <c r="CJ58" i="9" s="1"/>
  <c r="CF119" i="9" a="1"/>
  <c r="CF119" i="9" s="1"/>
  <c r="BL23" i="9" a="1"/>
  <c r="BL23" i="9" s="1"/>
  <c r="BL44" i="9" a="1"/>
  <c r="BL44" i="9" s="1"/>
  <c r="CJ33" i="9" a="1"/>
  <c r="CJ33" i="9" s="1"/>
  <c r="BL51" i="9" a="1"/>
  <c r="BL51" i="9" s="1"/>
  <c r="BL67" i="9" a="1"/>
  <c r="BL67" i="9" s="1"/>
  <c r="BL88" i="9" a="1"/>
  <c r="BL88" i="9" s="1"/>
  <c r="BV64" i="9"/>
  <c r="Q64" i="9" s="1"/>
  <c r="CO114" i="9" a="1"/>
  <c r="CO114" i="9" s="1"/>
  <c r="CF114" i="9" a="1"/>
  <c r="CF114" i="9" s="1"/>
  <c r="CP102" i="9"/>
  <c r="V102" i="9" s="1"/>
  <c r="CP100" i="9"/>
  <c r="V100" i="9" s="1"/>
  <c r="CF88" i="9" a="1"/>
  <c r="CF88" i="9" s="1"/>
  <c r="BL46" i="9" a="1"/>
  <c r="BL46" i="9" s="1"/>
  <c r="BL58" i="9" a="1"/>
  <c r="BL58" i="9" s="1"/>
  <c r="BL114" i="9" a="1"/>
  <c r="BL114" i="9" s="1"/>
  <c r="BV108" i="9"/>
  <c r="Q108" i="9" s="1"/>
  <c r="CP120" i="9"/>
  <c r="V120" i="9" s="1"/>
  <c r="AB120" i="9" s="1"/>
  <c r="BP109" i="9" a="1"/>
  <c r="BP109" i="9" s="1"/>
  <c r="BP107" i="9" a="1"/>
  <c r="BP107" i="9" s="1"/>
  <c r="CP52" i="9"/>
  <c r="V52" i="9" s="1"/>
  <c r="CF57" i="9" a="1"/>
  <c r="CF57" i="9" s="1"/>
  <c r="BP43" i="9" a="1"/>
  <c r="BP43" i="9" s="1"/>
  <c r="CJ69" i="9" a="1"/>
  <c r="CJ69" i="9" s="1"/>
  <c r="BP113" i="9" a="1"/>
  <c r="BP113" i="9" s="1"/>
  <c r="BV113" i="9" s="1"/>
  <c r="Q113" i="9" s="1"/>
  <c r="CJ66" i="9" a="1"/>
  <c r="CJ66" i="9" s="1"/>
  <c r="CF44" i="9" a="1"/>
  <c r="CF44" i="9" s="1"/>
  <c r="CF38" i="9" a="1"/>
  <c r="CF38" i="9" s="1"/>
  <c r="CF81" i="9" a="1"/>
  <c r="CF81" i="9" s="1"/>
  <c r="BL57" i="9" a="1"/>
  <c r="BL57" i="9" s="1"/>
  <c r="BL115" i="9" a="1"/>
  <c r="BL115" i="9" s="1"/>
  <c r="CJ122" i="9" a="1"/>
  <c r="CJ122" i="9" s="1"/>
  <c r="CF92" i="9" a="1"/>
  <c r="CF92" i="9" s="1"/>
  <c r="BT105" i="9" a="1"/>
  <c r="BT105" i="9" s="1"/>
  <c r="BU105" i="9" a="1"/>
  <c r="BU105" i="9" s="1"/>
  <c r="CF113" i="9" a="1"/>
  <c r="CF113" i="9" s="1"/>
  <c r="CF65" i="9" a="1"/>
  <c r="CF65" i="9" s="1"/>
  <c r="CN41" i="9" a="1"/>
  <c r="CN41" i="9" s="1"/>
  <c r="CO41" i="9" a="1"/>
  <c r="CO41" i="9" s="1"/>
  <c r="CJ42" i="9" a="1"/>
  <c r="CJ42" i="9" s="1"/>
  <c r="CO80" i="9" a="1"/>
  <c r="CO80" i="9" s="1"/>
  <c r="CN80" i="9" a="1"/>
  <c r="CN80" i="9" s="1"/>
  <c r="CO45" i="9" a="1"/>
  <c r="CO45" i="9" s="1"/>
  <c r="CN45" i="9" a="1"/>
  <c r="CN45" i="9" s="1"/>
  <c r="CN73" i="9" a="1"/>
  <c r="CN73" i="9" s="1"/>
  <c r="BT40" i="9" a="1"/>
  <c r="BT40" i="9" s="1"/>
  <c r="BU40" i="9" a="1"/>
  <c r="BU40" i="9" s="1"/>
  <c r="BT114" i="9" a="1"/>
  <c r="BT114" i="9" s="1"/>
  <c r="BP67" i="9" a="1"/>
  <c r="BP67" i="9" s="1"/>
  <c r="CF121" i="9" a="1"/>
  <c r="CF121" i="9" s="1"/>
  <c r="BP32" i="9" a="1"/>
  <c r="BP32" i="9" s="1"/>
  <c r="CO78" i="9" a="1"/>
  <c r="CO78" i="9" s="1"/>
  <c r="CN78" i="9" a="1"/>
  <c r="CN78" i="9" s="1"/>
  <c r="BP25" i="9" a="1"/>
  <c r="BP25" i="9" s="1"/>
  <c r="CJ38" i="9" a="1"/>
  <c r="CJ38" i="9" s="1"/>
  <c r="CN26" i="9" a="1"/>
  <c r="CN26" i="9" s="1"/>
  <c r="CO26" i="9" a="1"/>
  <c r="CO26" i="9" s="1"/>
  <c r="CF76" i="9" a="1"/>
  <c r="CF76" i="9" s="1"/>
  <c r="BU81" i="9" a="1"/>
  <c r="BU81" i="9" s="1"/>
  <c r="BT81" i="9" a="1"/>
  <c r="BT81" i="9" s="1"/>
  <c r="BL62" i="9" a="1"/>
  <c r="BL62" i="9" s="1"/>
  <c r="BL39" i="9" a="1"/>
  <c r="BL39" i="9" s="1"/>
  <c r="CP87" i="9"/>
  <c r="V87" i="9" s="1"/>
  <c r="BP34" i="9" a="1"/>
  <c r="BP34" i="9" s="1"/>
  <c r="BL59" i="9" a="1"/>
  <c r="BL59" i="9" s="1"/>
  <c r="BU37" i="9" a="1"/>
  <c r="BU37" i="9" s="1"/>
  <c r="BT37" i="9" a="1"/>
  <c r="BT37" i="9" s="1"/>
  <c r="BU57" i="9" a="1"/>
  <c r="BU57" i="9" s="1"/>
  <c r="BT57" i="9" a="1"/>
  <c r="BT57" i="9" s="1"/>
  <c r="BL75" i="9" a="1"/>
  <c r="BL75" i="9" s="1"/>
  <c r="CJ44" i="9" a="1"/>
  <c r="CJ44" i="9" s="1"/>
  <c r="CO58" i="9" a="1"/>
  <c r="CO58" i="9" s="1"/>
  <c r="CN58" i="9" a="1"/>
  <c r="CN58" i="9" s="1"/>
  <c r="CF43" i="9" a="1"/>
  <c r="CF43" i="9" s="1"/>
  <c r="CJ94" i="9" a="1"/>
  <c r="CJ94" i="9" s="1"/>
  <c r="CP94" i="9" s="1"/>
  <c r="V94" i="9" s="1"/>
  <c r="BP68" i="9" a="1"/>
  <c r="BP68" i="9" s="1"/>
  <c r="BL122" i="9" a="1"/>
  <c r="BL122" i="9" s="1"/>
  <c r="BT25" i="9" a="1"/>
  <c r="BT25" i="9" s="1"/>
  <c r="CN107" i="9" a="1"/>
  <c r="CN107" i="9" s="1"/>
  <c r="CO107" i="9" a="1"/>
  <c r="CO107" i="9" s="1"/>
  <c r="BT96" i="9" a="1"/>
  <c r="BT96" i="9" s="1"/>
  <c r="BU96" i="9" a="1"/>
  <c r="BU96" i="9" s="1"/>
  <c r="CN101" i="9" a="1"/>
  <c r="CN101" i="9" s="1"/>
  <c r="CO101" i="9" a="1"/>
  <c r="CO101" i="9" s="1"/>
  <c r="CO92" i="9" a="1"/>
  <c r="CO92" i="9" s="1"/>
  <c r="CN92" i="9" a="1"/>
  <c r="CN92" i="9" s="1"/>
  <c r="CJ119" i="9" a="1"/>
  <c r="CJ119" i="9" s="1"/>
  <c r="BL119" i="9" a="1"/>
  <c r="BL119" i="9" s="1"/>
  <c r="BV119" i="9" s="1"/>
  <c r="Q119" i="9" s="1"/>
  <c r="CP41" i="9"/>
  <c r="V41" i="9" s="1"/>
  <c r="CF42" i="9" a="1"/>
  <c r="CF42" i="9" s="1"/>
  <c r="BT94" i="9" a="1"/>
  <c r="BT94" i="9" s="1"/>
  <c r="BV94" i="9" s="1"/>
  <c r="Q94" i="9" s="1"/>
  <c r="AB94" i="9" s="1"/>
  <c r="BP83" i="9" a="1"/>
  <c r="BP83" i="9" s="1"/>
  <c r="BV83" i="9" s="1"/>
  <c r="Q83" i="9" s="1"/>
  <c r="AB83" i="9" s="1"/>
  <c r="BL40" i="9" a="1"/>
  <c r="BL40" i="9" s="1"/>
  <c r="CF101" i="9" a="1"/>
  <c r="CF101" i="9" s="1"/>
  <c r="CO79" i="9" a="1"/>
  <c r="CO79" i="9" s="1"/>
  <c r="CN79" i="9" a="1"/>
  <c r="CN79" i="9" s="1"/>
  <c r="CF83" i="9" a="1"/>
  <c r="CF83" i="9" s="1"/>
  <c r="CP83" i="9" s="1"/>
  <c r="V83" i="9" s="1"/>
  <c r="CF24" i="9" a="1"/>
  <c r="CF24" i="9" s="1"/>
  <c r="CF25" i="9" a="1"/>
  <c r="CF25" i="9" s="1"/>
  <c r="BP42" i="9" a="1"/>
  <c r="BP42" i="9" s="1"/>
  <c r="CJ62" i="9" a="1"/>
  <c r="CJ62" i="9" s="1"/>
  <c r="CF91" i="9" a="1"/>
  <c r="CF91" i="9" s="1"/>
  <c r="CN37" i="9" a="1"/>
  <c r="CN37" i="9" s="1"/>
  <c r="CO37" i="9" a="1"/>
  <c r="CO37" i="9" s="1"/>
  <c r="BU31" i="9" a="1"/>
  <c r="BU31" i="9" s="1"/>
  <c r="BT31" i="9" a="1"/>
  <c r="BT31" i="9" s="1"/>
  <c r="CN122" i="9" a="1"/>
  <c r="CN122" i="9" s="1"/>
  <c r="CJ31" i="9" a="1"/>
  <c r="CJ31" i="9" s="1"/>
  <c r="CJ88" i="9" a="1"/>
  <c r="CJ88" i="9" s="1"/>
  <c r="CO113" i="9" a="1"/>
  <c r="CO113" i="9" s="1"/>
  <c r="CN113" i="9" a="1"/>
  <c r="CN113" i="9" s="1"/>
  <c r="BU50" i="9" a="1"/>
  <c r="BU50" i="9" s="1"/>
  <c r="BT50" i="9" a="1"/>
  <c r="BT50" i="9" s="1"/>
  <c r="CJ116" i="9" a="1"/>
  <c r="CJ116" i="9" s="1"/>
  <c r="BU107" i="9" a="1"/>
  <c r="BU107" i="9" s="1"/>
  <c r="BT107" i="9" a="1"/>
  <c r="BT107" i="9" s="1"/>
  <c r="CO69" i="9" a="1"/>
  <c r="CO69" i="9" s="1"/>
  <c r="CP69" i="9" s="1"/>
  <c r="V69" i="9" s="1"/>
  <c r="CN69" i="9" a="1"/>
  <c r="CN69" i="9" s="1"/>
  <c r="CO65" i="9" a="1"/>
  <c r="CO65" i="9" s="1"/>
  <c r="CN65" i="9" a="1"/>
  <c r="CN65" i="9" s="1"/>
  <c r="BT109" i="9" a="1"/>
  <c r="BT109" i="9" s="1"/>
  <c r="BV109" i="9" s="1"/>
  <c r="Q109" i="9" s="1"/>
  <c r="CN81" i="9" a="1"/>
  <c r="CN81" i="9" s="1"/>
  <c r="CO81" i="9" a="1"/>
  <c r="CO81" i="9" s="1"/>
  <c r="BU45" i="9" a="1"/>
  <c r="BU45" i="9" s="1"/>
  <c r="BT45" i="9" a="1"/>
  <c r="BT45" i="9" s="1"/>
  <c r="BP50" i="9" a="1"/>
  <c r="BP50" i="9" s="1"/>
  <c r="BT66" i="9" a="1"/>
  <c r="BT66" i="9" s="1"/>
  <c r="BU66" i="9" a="1"/>
  <c r="BU66" i="9" s="1"/>
  <c r="CO51" i="9" a="1"/>
  <c r="CO51" i="9" s="1"/>
  <c r="CN51" i="9" a="1"/>
  <c r="CN51" i="9" s="1"/>
  <c r="BU67" i="9" a="1"/>
  <c r="BU67" i="9" s="1"/>
  <c r="BT67" i="9" a="1"/>
  <c r="BT67" i="9" s="1"/>
  <c r="BT26" i="9" a="1"/>
  <c r="BT26" i="9" s="1"/>
  <c r="BU26" i="9" a="1"/>
  <c r="BU26" i="9" s="1"/>
  <c r="CO104" i="9" a="1"/>
  <c r="CO104" i="9" s="1"/>
  <c r="CN104" i="9" a="1"/>
  <c r="CN104" i="9" s="1"/>
  <c r="BT76" i="9" a="1"/>
  <c r="BT76" i="9" s="1"/>
  <c r="BU76" i="9" a="1"/>
  <c r="BU76" i="9" s="1"/>
  <c r="CN23" i="9" a="1"/>
  <c r="CN23" i="9" s="1"/>
  <c r="CO23" i="9" a="1"/>
  <c r="CO23" i="9" s="1"/>
  <c r="CO39" i="9" a="1"/>
  <c r="CO39" i="9" s="1"/>
  <c r="CN39" i="9" a="1"/>
  <c r="CN39" i="9" s="1"/>
  <c r="CF108" i="9" a="1"/>
  <c r="CF108" i="9" s="1"/>
  <c r="BV71" i="9"/>
  <c r="Q71" i="9" s="1"/>
  <c r="AB71" i="9" s="1"/>
  <c r="BU68" i="9" a="1"/>
  <c r="BU68" i="9" s="1"/>
  <c r="BT68" i="9" a="1"/>
  <c r="BT68" i="9" s="1"/>
  <c r="BU49" i="9" a="1"/>
  <c r="BU49" i="9" s="1"/>
  <c r="BT49" i="9" a="1"/>
  <c r="BT49" i="9" s="1"/>
  <c r="BP58" i="9" a="1"/>
  <c r="BP58" i="9" s="1"/>
  <c r="CJ25" i="9" a="1"/>
  <c r="CJ25" i="9" s="1"/>
  <c r="BP62" i="9" a="1"/>
  <c r="BP62" i="9" s="1"/>
  <c r="BP75" i="9" a="1"/>
  <c r="BP75" i="9" s="1"/>
  <c r="BV75" i="9" s="1"/>
  <c r="Q75" i="9" s="1"/>
  <c r="CO116" i="9" a="1"/>
  <c r="CO116" i="9" s="1"/>
  <c r="CN116" i="9" a="1"/>
  <c r="CN116" i="9" s="1"/>
  <c r="BL116" i="9" a="1"/>
  <c r="BL116" i="9" s="1"/>
  <c r="BT65" i="9" a="1"/>
  <c r="BT65" i="9" s="1"/>
  <c r="BU65" i="9" a="1"/>
  <c r="BU65" i="9" s="1"/>
  <c r="BL92" i="9" a="1"/>
  <c r="BL92" i="9" s="1"/>
  <c r="CN108" i="9" a="1"/>
  <c r="CN108" i="9" s="1"/>
  <c r="CN43" i="9" a="1"/>
  <c r="CN43" i="9" s="1"/>
  <c r="CO43" i="9" a="1"/>
  <c r="CO43" i="9" s="1"/>
  <c r="CJ68" i="9" a="1"/>
  <c r="CJ68" i="9" s="1"/>
  <c r="BT32" i="9" a="1"/>
  <c r="BT32" i="9" s="1"/>
  <c r="BU32" i="9" a="1"/>
  <c r="BU32" i="9" s="1"/>
  <c r="CF37" i="9" a="1"/>
  <c r="CF37" i="9" s="1"/>
  <c r="CP64" i="9"/>
  <c r="V64" i="9" s="1"/>
  <c r="BL26" i="9" a="1"/>
  <c r="BL26" i="9" s="1"/>
  <c r="BP66" i="9" a="1"/>
  <c r="BP66" i="9" s="1"/>
  <c r="BT63" i="9" a="1"/>
  <c r="BT63" i="9" s="1"/>
  <c r="BU63" i="9" a="1"/>
  <c r="BU63" i="9" s="1"/>
  <c r="BP76" i="9" a="1"/>
  <c r="BP76" i="9" s="1"/>
  <c r="BL81" i="9" a="1"/>
  <c r="BL81" i="9" s="1"/>
  <c r="CP75" i="9"/>
  <c r="V75" i="9" s="1"/>
  <c r="BU46" i="9" a="1"/>
  <c r="BU46" i="9" s="1"/>
  <c r="BT46" i="9" a="1"/>
  <c r="BT46" i="9" s="1"/>
  <c r="CF59" i="9" a="1"/>
  <c r="CF59" i="9" s="1"/>
  <c r="BP44" i="9" a="1"/>
  <c r="BP44" i="9" s="1"/>
  <c r="BV87" i="9"/>
  <c r="Q87" i="9" s="1"/>
  <c r="AB87" i="9" s="1"/>
  <c r="CO49" i="9" a="1"/>
  <c r="CO49" i="9" s="1"/>
  <c r="CN49" i="9" a="1"/>
  <c r="CN49" i="9" s="1"/>
  <c r="BU58" i="9" a="1"/>
  <c r="BU58" i="9" s="1"/>
  <c r="BT58" i="9" a="1"/>
  <c r="BT58" i="9" s="1"/>
  <c r="BP51" i="9" a="1"/>
  <c r="BP51" i="9" s="1"/>
  <c r="CJ76" i="9" a="1"/>
  <c r="CJ76" i="9" s="1"/>
  <c r="CF78" i="9" a="1"/>
  <c r="CF78" i="9" s="1"/>
  <c r="CN109" i="9" a="1"/>
  <c r="CN109" i="9" s="1"/>
  <c r="CO109" i="9" a="1"/>
  <c r="CO109" i="9" s="1"/>
  <c r="BU122" i="9" a="1"/>
  <c r="BU122" i="9" s="1"/>
  <c r="BT122" i="9" a="1"/>
  <c r="BT122" i="9" s="1"/>
  <c r="CO31" i="9" a="1"/>
  <c r="CO31" i="9" s="1"/>
  <c r="CN31" i="9" a="1"/>
  <c r="CN31" i="9" s="1"/>
  <c r="BT80" i="9" a="1"/>
  <c r="BT80" i="9" s="1"/>
  <c r="BU80" i="9" a="1"/>
  <c r="BU80" i="9" s="1"/>
  <c r="BP121" i="9" a="1"/>
  <c r="BP121" i="9" s="1"/>
  <c r="BT34" i="9" a="1"/>
  <c r="BT34" i="9" s="1"/>
  <c r="BU34" i="9" a="1"/>
  <c r="BU34" i="9" s="1"/>
  <c r="CN66" i="9" a="1"/>
  <c r="CN66" i="9" s="1"/>
  <c r="CO66" i="9" a="1"/>
  <c r="CO66" i="9" s="1"/>
  <c r="BT33" i="9" a="1"/>
  <c r="BT33" i="9" s="1"/>
  <c r="BU33" i="9" a="1"/>
  <c r="BU33" i="9" s="1"/>
  <c r="CO67" i="9" a="1"/>
  <c r="CO67" i="9" s="1"/>
  <c r="CN67" i="9" a="1"/>
  <c r="CN67" i="9" s="1"/>
  <c r="BP79" i="9" a="1"/>
  <c r="BP79" i="9" s="1"/>
  <c r="BV79" i="9" s="1"/>
  <c r="Q79" i="9" s="1"/>
  <c r="CJ107" i="9" a="1"/>
  <c r="CJ107" i="9" s="1"/>
  <c r="BL37" i="9" a="1"/>
  <c r="BL37" i="9" s="1"/>
  <c r="CN96" i="9" a="1"/>
  <c r="CN96" i="9" s="1"/>
  <c r="CP96" i="9" s="1"/>
  <c r="V96" i="9" s="1"/>
  <c r="BU30" i="9" a="1"/>
  <c r="BU30" i="9" s="1"/>
  <c r="BT30" i="9" a="1"/>
  <c r="BT30" i="9" s="1"/>
  <c r="BU43" i="9" a="1"/>
  <c r="BU43" i="9" s="1"/>
  <c r="BT43" i="9" a="1"/>
  <c r="BT43" i="9" s="1"/>
  <c r="BP45" i="9" a="1"/>
  <c r="BP45" i="9" s="1"/>
  <c r="CN55" i="9" a="1"/>
  <c r="CN55" i="9" s="1"/>
  <c r="CO55" i="9" a="1"/>
  <c r="CO55" i="9" s="1"/>
  <c r="CN91" i="9" a="1"/>
  <c r="CN91" i="9" s="1"/>
  <c r="CP91" i="9" s="1"/>
  <c r="V91" i="9" s="1"/>
  <c r="BU39" i="9" a="1"/>
  <c r="BU39" i="9" s="1"/>
  <c r="BT39" i="9" a="1"/>
  <c r="BT39" i="9" s="1"/>
  <c r="CF63" i="9" a="1"/>
  <c r="CF63" i="9" s="1"/>
  <c r="CN57" i="9" a="1"/>
  <c r="CN57" i="9" s="1"/>
  <c r="CO57" i="9" a="1"/>
  <c r="CO57" i="9" s="1"/>
  <c r="CO62" i="9" a="1"/>
  <c r="CO62" i="9" s="1"/>
  <c r="CN62" i="9" a="1"/>
  <c r="CN62" i="9" s="1"/>
  <c r="BT62" i="9" a="1"/>
  <c r="BT62" i="9" s="1"/>
  <c r="BU62" i="9" a="1"/>
  <c r="BU62" i="9" s="1"/>
  <c r="CN33" i="9" a="1"/>
  <c r="CN33" i="9" s="1"/>
  <c r="CN115" i="9" a="1"/>
  <c r="CN115" i="9" s="1"/>
  <c r="CJ39" i="9" a="1"/>
  <c r="CJ39" i="9" s="1"/>
  <c r="CP39" i="9" s="1"/>
  <c r="V39" i="9" s="1"/>
  <c r="CJ67" i="9" a="1"/>
  <c r="CJ67" i="9" s="1"/>
  <c r="CJ59" i="9" a="1"/>
  <c r="CJ59" i="9" s="1"/>
  <c r="BU92" i="9" a="1"/>
  <c r="BU92" i="9" s="1"/>
  <c r="BT92" i="9" a="1"/>
  <c r="BT92" i="9" s="1"/>
  <c r="BT103" i="9" a="1"/>
  <c r="BT103" i="9" s="1"/>
  <c r="BV103" i="9" s="1"/>
  <c r="Q103" i="9" s="1"/>
  <c r="AB103" i="9" s="1"/>
  <c r="BP23" i="9" a="1"/>
  <c r="BP23" i="9" s="1"/>
  <c r="BV98" i="9"/>
  <c r="Q98" i="9" s="1"/>
  <c r="AB98" i="9" s="1"/>
  <c r="CJ30" i="9" a="1"/>
  <c r="CJ30" i="9" s="1"/>
  <c r="BU24" i="9" a="1"/>
  <c r="BU24" i="9" s="1"/>
  <c r="BT24" i="9" a="1"/>
  <c r="BT24" i="9" s="1"/>
  <c r="BP49" i="9" a="1"/>
  <c r="BP49" i="9" s="1"/>
  <c r="BP116" i="9" a="1"/>
  <c r="BP116" i="9" s="1"/>
  <c r="BP63" i="9" a="1"/>
  <c r="BP63" i="9" s="1"/>
  <c r="CJ55" i="9" a="1"/>
  <c r="CJ55" i="9" s="1"/>
  <c r="BV77" i="9"/>
  <c r="Q77" i="9" s="1"/>
  <c r="AB77" i="9" s="1"/>
  <c r="BP30" i="9" a="1"/>
  <c r="BP30" i="9" s="1"/>
  <c r="BP31" i="9" a="1"/>
  <c r="BP31" i="9" s="1"/>
  <c r="BL80" i="9" a="1"/>
  <c r="BL80" i="9" s="1"/>
  <c r="CN121" i="9" a="1"/>
  <c r="CN121" i="9" s="1"/>
  <c r="CO121" i="9" a="1"/>
  <c r="CO121" i="9" s="1"/>
  <c r="BU73" i="9" a="1"/>
  <c r="BU73" i="9" s="1"/>
  <c r="BT73" i="9" a="1"/>
  <c r="BT73" i="9" s="1"/>
  <c r="BT115" i="9" a="1"/>
  <c r="BT115" i="9" s="1"/>
  <c r="BU115" i="9" a="1"/>
  <c r="BU115" i="9" s="1"/>
  <c r="BT69" i="9" a="1"/>
  <c r="BT69" i="9" s="1"/>
  <c r="BU69" i="9" a="1"/>
  <c r="BU69" i="9" s="1"/>
  <c r="CN50" i="9" a="1"/>
  <c r="CN50" i="9" s="1"/>
  <c r="CO50" i="9" a="1"/>
  <c r="CO50" i="9" s="1"/>
  <c r="CO119" i="9" a="1"/>
  <c r="CO119" i="9" s="1"/>
  <c r="CN119" i="9" a="1"/>
  <c r="CN119" i="9" s="1"/>
  <c r="BU38" i="9" a="1"/>
  <c r="BU38" i="9" s="1"/>
  <c r="BT38" i="9" a="1"/>
  <c r="BT38" i="9" s="1"/>
  <c r="CF45" i="9" a="1"/>
  <c r="CF45" i="9" s="1"/>
  <c r="CO44" i="9" a="1"/>
  <c r="CO44" i="9" s="1"/>
  <c r="CN44" i="9" a="1"/>
  <c r="CN44" i="9" s="1"/>
  <c r="CJ51" i="9" a="1"/>
  <c r="CJ51" i="9" s="1"/>
  <c r="CO24" i="9" a="1"/>
  <c r="CO24" i="9" s="1"/>
  <c r="CN24" i="9" a="1"/>
  <c r="CN24" i="9" s="1"/>
  <c r="CO25" i="9" a="1"/>
  <c r="CO25" i="9" s="1"/>
  <c r="CN25" i="9" a="1"/>
  <c r="CN25" i="9" s="1"/>
  <c r="CN38" i="9" a="1"/>
  <c r="CN38" i="9" s="1"/>
  <c r="CO38" i="9" a="1"/>
  <c r="CO38" i="9" s="1"/>
  <c r="BU88" i="9" a="1"/>
  <c r="BU88" i="9" s="1"/>
  <c r="BT88" i="9" a="1"/>
  <c r="BT88" i="9" s="1"/>
  <c r="CO30" i="9" a="1"/>
  <c r="CO30" i="9" s="1"/>
  <c r="CN30" i="9" a="1"/>
  <c r="CN30" i="9" s="1"/>
  <c r="BP104" i="9" a="1"/>
  <c r="BP104" i="9" s="1"/>
  <c r="BU55" i="9" a="1"/>
  <c r="BU55" i="9" s="1"/>
  <c r="BT55" i="9" a="1"/>
  <c r="BT55" i="9" s="1"/>
  <c r="CN76" i="9" a="1"/>
  <c r="CN76" i="9" s="1"/>
  <c r="CO76" i="9" a="1"/>
  <c r="CO76" i="9" s="1"/>
  <c r="BP81" i="9" a="1"/>
  <c r="BP81" i="9" s="1"/>
  <c r="BP55" i="9" a="1"/>
  <c r="BP55" i="9" s="1"/>
  <c r="BP39" i="9" a="1"/>
  <c r="BP39" i="9" s="1"/>
  <c r="CF34" i="9" a="1"/>
  <c r="CF34" i="9" s="1"/>
  <c r="CO59" i="9" a="1"/>
  <c r="CO59" i="9" s="1"/>
  <c r="CN59" i="9" a="1"/>
  <c r="CN59" i="9" s="1"/>
  <c r="CN63" i="9" a="1"/>
  <c r="CN63" i="9" s="1"/>
  <c r="CO63" i="9" a="1"/>
  <c r="CO63" i="9" s="1"/>
  <c r="CJ57" i="9" a="1"/>
  <c r="CJ57" i="9" s="1"/>
  <c r="CF23" i="9" a="1"/>
  <c r="CF23" i="9" s="1"/>
  <c r="CO46" i="9" a="1"/>
  <c r="CO46" i="9" s="1"/>
  <c r="CN46" i="9" a="1"/>
  <c r="CN46" i="9" s="1"/>
  <c r="CF58" i="9" a="1"/>
  <c r="CF58" i="9" s="1"/>
  <c r="BP88" i="9" a="1"/>
  <c r="BP88" i="9" s="1"/>
  <c r="CJ45" i="9" a="1"/>
  <c r="CJ45" i="9" s="1"/>
  <c r="CF40" i="9" a="1"/>
  <c r="CF40" i="9" s="1"/>
  <c r="CN42" i="9" a="1"/>
  <c r="CN42" i="9" s="1"/>
  <c r="BT44" i="9" a="1"/>
  <c r="BT44" i="9" s="1"/>
  <c r="BP84" i="9" a="1"/>
  <c r="BP84" i="9" s="1"/>
  <c r="CF115" i="9" a="1"/>
  <c r="CF115" i="9" s="1"/>
  <c r="BU42" i="9" a="1"/>
  <c r="BU42" i="9" s="1"/>
  <c r="BT42" i="9" a="1"/>
  <c r="BT42" i="9" s="1"/>
  <c r="CO40" i="9" a="1"/>
  <c r="CO40" i="9" s="1"/>
  <c r="CN40" i="9" a="1"/>
  <c r="CN40" i="9" s="1"/>
  <c r="BP101" i="9" a="1"/>
  <c r="BP101" i="9" s="1"/>
  <c r="BV101" i="9" s="1"/>
  <c r="Q101" i="9" s="1"/>
  <c r="BU51" i="9" a="1"/>
  <c r="BU51" i="9" s="1"/>
  <c r="BT51" i="9" a="1"/>
  <c r="BT51" i="9" s="1"/>
  <c r="CN32" i="9" a="1"/>
  <c r="CN32" i="9" s="1"/>
  <c r="CO32" i="9" a="1"/>
  <c r="CO32" i="9" s="1"/>
  <c r="CO88" i="9" a="1"/>
  <c r="CO88" i="9" s="1"/>
  <c r="CN88" i="9" a="1"/>
  <c r="CN88" i="9" s="1"/>
  <c r="BT104" i="9" a="1"/>
  <c r="BT104" i="9" s="1"/>
  <c r="BU104" i="9" a="1"/>
  <c r="BU104" i="9" s="1"/>
  <c r="BU84" i="9" a="1"/>
  <c r="BU84" i="9" s="1"/>
  <c r="BT84" i="9" a="1"/>
  <c r="BT84" i="9" s="1"/>
  <c r="CO68" i="9" a="1"/>
  <c r="CO68" i="9" s="1"/>
  <c r="CN68" i="9" a="1"/>
  <c r="CN68" i="9" s="1"/>
  <c r="CN34" i="9" a="1"/>
  <c r="CN34" i="9" s="1"/>
  <c r="CO34" i="9" a="1"/>
  <c r="CO34" i="9" s="1"/>
  <c r="BU59" i="9" a="1"/>
  <c r="BU59" i="9" s="1"/>
  <c r="BT59" i="9" a="1"/>
  <c r="BT59" i="9" s="1"/>
  <c r="CF46" i="9" a="1"/>
  <c r="CF46" i="9" s="1"/>
  <c r="BP65" i="9" a="1"/>
  <c r="BP65" i="9" s="1"/>
  <c r="CF28" i="9" a="1"/>
  <c r="CF28" i="9" s="1"/>
  <c r="CP28" i="9" s="1"/>
  <c r="V28" i="9" s="1"/>
  <c r="BP37" i="9" a="1"/>
  <c r="BP37" i="9" s="1"/>
  <c r="T24" i="5"/>
  <c r="T25" i="5"/>
  <c r="T26" i="5" s="1"/>
  <c r="T27" i="5" s="1"/>
  <c r="T28" i="5"/>
  <c r="T29" i="5"/>
  <c r="T30" i="5"/>
  <c r="T31" i="5"/>
  <c r="T32" i="5"/>
  <c r="T33" i="5"/>
  <c r="T34" i="5"/>
  <c r="T35" i="5"/>
  <c r="T23" i="5"/>
  <c r="T22" i="5"/>
  <c r="C24" i="5"/>
  <c r="C25" i="5"/>
  <c r="C26" i="5"/>
  <c r="C27" i="5"/>
  <c r="C28" i="5"/>
  <c r="C29" i="5"/>
  <c r="C30" i="5"/>
  <c r="C31" i="5"/>
  <c r="C32" i="5"/>
  <c r="C33" i="5"/>
  <c r="C34" i="5"/>
  <c r="C35" i="5"/>
  <c r="B24" i="5"/>
  <c r="B25" i="5"/>
  <c r="B26" i="5"/>
  <c r="B27" i="5"/>
  <c r="B28" i="5"/>
  <c r="B29" i="5"/>
  <c r="B30" i="5"/>
  <c r="B31" i="5"/>
  <c r="B32" i="5"/>
  <c r="B33" i="5"/>
  <c r="B34" i="5"/>
  <c r="B35" i="5"/>
  <c r="B64" i="6"/>
  <c r="B61" i="6"/>
  <c r="B58" i="6"/>
  <c r="X34" i="6"/>
  <c r="P21" i="5" a="1"/>
  <c r="P21" i="5" s="1"/>
  <c r="C23" i="5"/>
  <c r="B23" i="5"/>
  <c r="L8" i="5"/>
  <c r="BV57" i="9" l="1"/>
  <c r="Q57" i="9" s="1"/>
  <c r="CP801" i="9"/>
  <c r="V801" i="9" s="1"/>
  <c r="BV521" i="9"/>
  <c r="Q521" i="9" s="1"/>
  <c r="CP817" i="9"/>
  <c r="V817" i="9" s="1"/>
  <c r="AB353" i="9"/>
  <c r="AB289" i="9"/>
  <c r="AB663" i="9"/>
  <c r="AB468" i="9"/>
  <c r="AB498" i="9"/>
  <c r="AB693" i="9"/>
  <c r="BV620" i="9"/>
  <c r="Q620" i="9" s="1"/>
  <c r="AB620" i="9" s="1"/>
  <c r="AB869" i="9"/>
  <c r="AB919" i="9"/>
  <c r="AB178" i="9"/>
  <c r="AB961" i="9"/>
  <c r="AB85" i="9"/>
  <c r="AB375" i="9"/>
  <c r="BV826" i="9"/>
  <c r="Q826" i="9" s="1"/>
  <c r="AB714" i="9"/>
  <c r="BV619" i="9"/>
  <c r="Q619" i="9" s="1"/>
  <c r="AB846" i="9"/>
  <c r="AB352" i="9"/>
  <c r="AB736" i="9"/>
  <c r="BV497" i="9"/>
  <c r="Q497" i="9" s="1"/>
  <c r="AB575" i="9"/>
  <c r="BV1022" i="9"/>
  <c r="Q1022" i="9" s="1"/>
  <c r="CP633" i="9"/>
  <c r="V633" i="9" s="1"/>
  <c r="BV633" i="9"/>
  <c r="Q633" i="9" s="1"/>
  <c r="AB942" i="9"/>
  <c r="BV790" i="9"/>
  <c r="Q790" i="9" s="1"/>
  <c r="CP510" i="9"/>
  <c r="V510" i="9" s="1"/>
  <c r="CP81" i="9"/>
  <c r="V81" i="9" s="1"/>
  <c r="CP712" i="9"/>
  <c r="V712" i="9" s="1"/>
  <c r="AB578" i="9"/>
  <c r="AB724" i="9"/>
  <c r="BV81" i="9"/>
  <c r="Q81" i="9" s="1"/>
  <c r="BV80" i="9"/>
  <c r="Q80" i="9" s="1"/>
  <c r="CP44" i="9"/>
  <c r="V44" i="9" s="1"/>
  <c r="BV373" i="9"/>
  <c r="Q373" i="9" s="1"/>
  <c r="AB373" i="9" s="1"/>
  <c r="CP400" i="9"/>
  <c r="V400" i="9" s="1"/>
  <c r="AB400" i="9" s="1"/>
  <c r="BV161" i="9"/>
  <c r="Q161" i="9" s="1"/>
  <c r="AB161" i="9" s="1"/>
  <c r="AB801" i="9"/>
  <c r="AB951" i="9"/>
  <c r="AB208" i="9"/>
  <c r="AB991" i="9"/>
  <c r="AB282" i="9"/>
  <c r="AB905" i="9"/>
  <c r="AB701" i="9"/>
  <c r="AB802" i="9"/>
  <c r="AB112" i="9"/>
  <c r="AB61" i="9"/>
  <c r="AB935" i="9"/>
  <c r="AB551" i="9"/>
  <c r="AB866" i="9"/>
  <c r="AB984" i="9"/>
  <c r="AB721" i="9"/>
  <c r="AB309" i="9"/>
  <c r="AB248" i="9"/>
  <c r="AB339" i="9"/>
  <c r="AB962" i="9"/>
  <c r="AB1018" i="9"/>
  <c r="BV25" i="9"/>
  <c r="Q25" i="9" s="1"/>
  <c r="CP175" i="9"/>
  <c r="V175" i="9" s="1"/>
  <c r="AB175" i="9" s="1"/>
  <c r="AB454" i="9"/>
  <c r="AB196" i="9"/>
  <c r="AB1008" i="9"/>
  <c r="AB135" i="9"/>
  <c r="AB404" i="9"/>
  <c r="AB383" i="9"/>
  <c r="AB639" i="9"/>
  <c r="AB36" i="9"/>
  <c r="AB1015" i="9"/>
  <c r="AB148" i="9"/>
  <c r="AB460" i="9"/>
  <c r="AB199" i="9"/>
  <c r="AB786" i="9"/>
  <c r="AB739" i="9"/>
  <c r="AB74" i="9"/>
  <c r="AB683" i="9"/>
  <c r="AB565" i="9"/>
  <c r="AB930" i="9"/>
  <c r="AB751" i="9"/>
  <c r="AB803" i="9"/>
  <c r="AB183" i="9"/>
  <c r="AB966" i="9"/>
  <c r="BV24" i="9"/>
  <c r="Q24" i="9" s="1"/>
  <c r="AB52" i="9"/>
  <c r="CP907" i="9"/>
  <c r="V907" i="9" s="1"/>
  <c r="AB907" i="9" s="1"/>
  <c r="AB990" i="9"/>
  <c r="AB223" i="9"/>
  <c r="CP347" i="9"/>
  <c r="V347" i="9" s="1"/>
  <c r="AB347" i="9" s="1"/>
  <c r="AB299" i="9"/>
  <c r="BV426" i="9"/>
  <c r="Q426" i="9" s="1"/>
  <c r="AB708" i="9"/>
  <c r="AB865" i="9"/>
  <c r="AB599" i="9"/>
  <c r="AB413" i="9"/>
  <c r="AB100" i="9"/>
  <c r="AB533" i="9"/>
  <c r="AB556" i="9"/>
  <c r="AB926" i="9"/>
  <c r="CP585" i="9"/>
  <c r="V585" i="9" s="1"/>
  <c r="AB428" i="9"/>
  <c r="AB435" i="9"/>
  <c r="AB713" i="9"/>
  <c r="AB448" i="9"/>
  <c r="AB908" i="9"/>
  <c r="AB326" i="9"/>
  <c r="CP273" i="9"/>
  <c r="V273" i="9" s="1"/>
  <c r="AB999" i="9"/>
  <c r="AB91" i="9"/>
  <c r="AB394" i="9"/>
  <c r="AB744" i="9"/>
  <c r="AB388" i="9"/>
  <c r="BV76" i="9"/>
  <c r="Q76" i="9" s="1"/>
  <c r="AB48" i="9"/>
  <c r="BV437" i="9"/>
  <c r="Q437" i="9" s="1"/>
  <c r="AB437" i="9" s="1"/>
  <c r="AB977" i="9"/>
  <c r="AB776" i="9"/>
  <c r="AB129" i="9"/>
  <c r="AB960" i="9"/>
  <c r="AB442" i="9"/>
  <c r="AB800" i="9"/>
  <c r="AB311" i="9"/>
  <c r="BV843" i="9"/>
  <c r="Q843" i="9" s="1"/>
  <c r="AB983" i="9"/>
  <c r="AB346" i="9"/>
  <c r="AB996" i="9"/>
  <c r="AB395" i="9"/>
  <c r="AB828" i="9"/>
  <c r="AB247" i="9"/>
  <c r="AB41" i="9"/>
  <c r="AB102" i="9"/>
  <c r="AB209" i="9"/>
  <c r="CP116" i="9"/>
  <c r="V116" i="9" s="1"/>
  <c r="CP964" i="9"/>
  <c r="V964" i="9" s="1"/>
  <c r="AB964" i="9" s="1"/>
  <c r="AB606" i="9"/>
  <c r="AB725" i="9"/>
  <c r="AB406" i="9"/>
  <c r="AB467" i="9"/>
  <c r="AB1022" i="9"/>
  <c r="CP753" i="9"/>
  <c r="V753" i="9" s="1"/>
  <c r="AB111" i="9"/>
  <c r="AB893" i="9"/>
  <c r="AB207" i="9"/>
  <c r="AB1009" i="9"/>
  <c r="AB920" i="9"/>
  <c r="AB1021" i="9"/>
  <c r="AB453" i="9"/>
  <c r="AB93" i="9"/>
  <c r="BV854" i="9"/>
  <c r="Q854" i="9" s="1"/>
  <c r="AB854" i="9" s="1"/>
  <c r="AB465" i="9"/>
  <c r="AB319" i="9"/>
  <c r="AB124" i="9"/>
  <c r="AB29" i="9"/>
  <c r="CP855" i="9"/>
  <c r="V855" i="9" s="1"/>
  <c r="AB855" i="9" s="1"/>
  <c r="AB795" i="9"/>
  <c r="AB794" i="9"/>
  <c r="AB535" i="9"/>
  <c r="AB313" i="9"/>
  <c r="AB490" i="9"/>
  <c r="AB709" i="9"/>
  <c r="CP78" i="9"/>
  <c r="V78" i="9" s="1"/>
  <c r="CP92" i="9"/>
  <c r="V92" i="9" s="1"/>
  <c r="AB808" i="9"/>
  <c r="CP769" i="9"/>
  <c r="V769" i="9" s="1"/>
  <c r="CP252" i="9"/>
  <c r="V252" i="9" s="1"/>
  <c r="AB252" i="9" s="1"/>
  <c r="CP494" i="9"/>
  <c r="V494" i="9" s="1"/>
  <c r="AB494" i="9" s="1"/>
  <c r="AB1002" i="9"/>
  <c r="AB787" i="9"/>
  <c r="AB576" i="9"/>
  <c r="AB655" i="9"/>
  <c r="AB633" i="9"/>
  <c r="AB350" i="9"/>
  <c r="AB779" i="9"/>
  <c r="AB812" i="9"/>
  <c r="AB131" i="9"/>
  <c r="AB821" i="9"/>
  <c r="AB695" i="9"/>
  <c r="AB496" i="9"/>
  <c r="AB47" i="9"/>
  <c r="AB927" i="9"/>
  <c r="AB28" i="9"/>
  <c r="AB497" i="9"/>
  <c r="AB164" i="9"/>
  <c r="AB945" i="9"/>
  <c r="AB953" i="9"/>
  <c r="AB54" i="9"/>
  <c r="AB707" i="9"/>
  <c r="AB853" i="9"/>
  <c r="AB912" i="9"/>
  <c r="AB704" i="9"/>
  <c r="CP33" i="9"/>
  <c r="V33" i="9" s="1"/>
  <c r="AB75" i="9"/>
  <c r="AB64" i="9"/>
  <c r="AB483" i="9"/>
  <c r="AB988" i="9"/>
  <c r="CP608" i="9"/>
  <c r="V608" i="9" s="1"/>
  <c r="AB672" i="9"/>
  <c r="AB512" i="9"/>
  <c r="AB679" i="9"/>
  <c r="CP162" i="9"/>
  <c r="V162" i="9" s="1"/>
  <c r="AB768" i="9"/>
  <c r="AB858" i="9"/>
  <c r="AB752" i="9"/>
  <c r="AB425" i="9"/>
  <c r="AB898" i="9"/>
  <c r="BV358" i="9"/>
  <c r="Q358" i="9" s="1"/>
  <c r="AB358" i="9" s="1"/>
  <c r="AB477" i="9"/>
  <c r="AB548" i="9"/>
  <c r="AB975" i="9"/>
  <c r="AB784" i="9"/>
  <c r="AB231" i="9"/>
  <c r="AB285" i="9"/>
  <c r="AB938" i="9"/>
  <c r="AB848" i="9"/>
  <c r="AB445" i="9"/>
  <c r="BV26" i="9"/>
  <c r="Q26" i="9" s="1"/>
  <c r="CP51" i="9"/>
  <c r="V51" i="9" s="1"/>
  <c r="CP870" i="9"/>
  <c r="V870" i="9" s="1"/>
  <c r="BV236" i="9"/>
  <c r="Q236" i="9" s="1"/>
  <c r="AB236" i="9" s="1"/>
  <c r="CP884" i="9"/>
  <c r="V884" i="9" s="1"/>
  <c r="BV627" i="9"/>
  <c r="Q627" i="9" s="1"/>
  <c r="AB627" i="9" s="1"/>
  <c r="BV892" i="9"/>
  <c r="Q892" i="9" s="1"/>
  <c r="AB892" i="9" s="1"/>
  <c r="BV995" i="9"/>
  <c r="Q995" i="9" s="1"/>
  <c r="AB995" i="9" s="1"/>
  <c r="CP589" i="9"/>
  <c r="V589" i="9" s="1"/>
  <c r="BV225" i="9"/>
  <c r="Q225" i="9" s="1"/>
  <c r="CP224" i="9"/>
  <c r="V224" i="9" s="1"/>
  <c r="BV529" i="9"/>
  <c r="Q529" i="9" s="1"/>
  <c r="BV581" i="9"/>
  <c r="Q581" i="9" s="1"/>
  <c r="AB581" i="9" s="1"/>
  <c r="BV258" i="9"/>
  <c r="Q258" i="9" s="1"/>
  <c r="AB258" i="9" s="1"/>
  <c r="BV96" i="9"/>
  <c r="Q96" i="9" s="1"/>
  <c r="AB96" i="9" s="1"/>
  <c r="CP80" i="9"/>
  <c r="V80" i="9" s="1"/>
  <c r="BV897" i="9"/>
  <c r="Q897" i="9" s="1"/>
  <c r="CP153" i="9"/>
  <c r="V153" i="9" s="1"/>
  <c r="AB153" i="9" s="1"/>
  <c r="BV434" i="9"/>
  <c r="Q434" i="9" s="1"/>
  <c r="AB434" i="9" s="1"/>
  <c r="BV894" i="9"/>
  <c r="Q894" i="9" s="1"/>
  <c r="AB894" i="9" s="1"/>
  <c r="BV767" i="9"/>
  <c r="Q767" i="9" s="1"/>
  <c r="BV78" i="9"/>
  <c r="Q78" i="9" s="1"/>
  <c r="AB78" i="9" s="1"/>
  <c r="BV31" i="9"/>
  <c r="Q31" i="9" s="1"/>
  <c r="CP31" i="9"/>
  <c r="V31" i="9" s="1"/>
  <c r="CP43" i="9"/>
  <c r="V43" i="9" s="1"/>
  <c r="CP104" i="9"/>
  <c r="V104" i="9" s="1"/>
  <c r="CP37" i="9"/>
  <c r="V37" i="9" s="1"/>
  <c r="CP114" i="9"/>
  <c r="V114" i="9" s="1"/>
  <c r="CP421" i="9"/>
  <c r="V421" i="9" s="1"/>
  <c r="AB421" i="9" s="1"/>
  <c r="BV791" i="9"/>
  <c r="Q791" i="9" s="1"/>
  <c r="CP491" i="9"/>
  <c r="V491" i="9" s="1"/>
  <c r="BV834" i="9"/>
  <c r="Q834" i="9" s="1"/>
  <c r="AB834" i="9" s="1"/>
  <c r="BV228" i="9"/>
  <c r="Q228" i="9" s="1"/>
  <c r="CP568" i="9"/>
  <c r="V568" i="9" s="1"/>
  <c r="BV376" i="9"/>
  <c r="Q376" i="9" s="1"/>
  <c r="AB376" i="9" s="1"/>
  <c r="BV554" i="9"/>
  <c r="Q554" i="9" s="1"/>
  <c r="CP391" i="9"/>
  <c r="V391" i="9" s="1"/>
  <c r="AB391" i="9" s="1"/>
  <c r="BV674" i="9"/>
  <c r="Q674" i="9" s="1"/>
  <c r="BV229" i="9"/>
  <c r="Q229" i="9" s="1"/>
  <c r="CP260" i="9"/>
  <c r="V260" i="9" s="1"/>
  <c r="BV585" i="9"/>
  <c r="Q585" i="9" s="1"/>
  <c r="CP574" i="9"/>
  <c r="V574" i="9" s="1"/>
  <c r="CP188" i="9"/>
  <c r="V188" i="9" s="1"/>
  <c r="BV735" i="9"/>
  <c r="Q735" i="9" s="1"/>
  <c r="BV876" i="9"/>
  <c r="Q876" i="9" s="1"/>
  <c r="CP486" i="9"/>
  <c r="V486" i="9" s="1"/>
  <c r="BV658" i="9"/>
  <c r="Q658" i="9" s="1"/>
  <c r="AB658" i="9" s="1"/>
  <c r="BV37" i="9"/>
  <c r="Q37" i="9" s="1"/>
  <c r="BV65" i="9"/>
  <c r="Q65" i="9" s="1"/>
  <c r="CP521" i="9"/>
  <c r="V521" i="9" s="1"/>
  <c r="AB521" i="9" s="1"/>
  <c r="CP365" i="9"/>
  <c r="V365" i="9" s="1"/>
  <c r="BV418" i="9"/>
  <c r="Q418" i="9" s="1"/>
  <c r="AB418" i="9" s="1"/>
  <c r="BV263" i="9"/>
  <c r="Q263" i="9" s="1"/>
  <c r="CP948" i="9"/>
  <c r="V948" i="9" s="1"/>
  <c r="BV537" i="9"/>
  <c r="Q537" i="9" s="1"/>
  <c r="AB537" i="9" s="1"/>
  <c r="BV412" i="9"/>
  <c r="Q412" i="9" s="1"/>
  <c r="BV419" i="9"/>
  <c r="Q419" i="9" s="1"/>
  <c r="AB419" i="9" s="1"/>
  <c r="CP731" i="9"/>
  <c r="V731" i="9" s="1"/>
  <c r="AB731" i="9" s="1"/>
  <c r="CP382" i="9"/>
  <c r="V382" i="9" s="1"/>
  <c r="BV155" i="9"/>
  <c r="Q155" i="9" s="1"/>
  <c r="AB155" i="9" s="1"/>
  <c r="CP678" i="9"/>
  <c r="V678" i="9" s="1"/>
  <c r="AB678" i="9" s="1"/>
  <c r="BV875" i="9"/>
  <c r="Q875" i="9" s="1"/>
  <c r="AB875" i="9" s="1"/>
  <c r="BV45" i="9"/>
  <c r="Q45" i="9" s="1"/>
  <c r="CP49" i="9"/>
  <c r="V49" i="9" s="1"/>
  <c r="BV884" i="9"/>
  <c r="Q884" i="9" s="1"/>
  <c r="CP182" i="9"/>
  <c r="V182" i="9" s="1"/>
  <c r="CP742" i="9"/>
  <c r="V742" i="9" s="1"/>
  <c r="BV948" i="9"/>
  <c r="Q948" i="9" s="1"/>
  <c r="AB948" i="9" s="1"/>
  <c r="CP888" i="9"/>
  <c r="V888" i="9" s="1"/>
  <c r="AB888" i="9" s="1"/>
  <c r="CP146" i="9"/>
  <c r="V146" i="9" s="1"/>
  <c r="AB146" i="9" s="1"/>
  <c r="CP982" i="9"/>
  <c r="V982" i="9" s="1"/>
  <c r="AB982" i="9" s="1"/>
  <c r="BV777" i="9"/>
  <c r="Q777" i="9" s="1"/>
  <c r="AB777" i="9" s="1"/>
  <c r="CP499" i="9"/>
  <c r="V499" i="9" s="1"/>
  <c r="AB499" i="9" s="1"/>
  <c r="BV823" i="9"/>
  <c r="Q823" i="9" s="1"/>
  <c r="CP940" i="9"/>
  <c r="V940" i="9" s="1"/>
  <c r="AB940" i="9" s="1"/>
  <c r="BV439" i="9"/>
  <c r="Q439" i="9" s="1"/>
  <c r="BV680" i="9"/>
  <c r="Q680" i="9" s="1"/>
  <c r="CP534" i="9"/>
  <c r="V534" i="9" s="1"/>
  <c r="AB534" i="9" s="1"/>
  <c r="BV429" i="9"/>
  <c r="Q429" i="9" s="1"/>
  <c r="AB429" i="9" s="1"/>
  <c r="CP302" i="9"/>
  <c r="V302" i="9" s="1"/>
  <c r="CP804" i="9"/>
  <c r="V804" i="9" s="1"/>
  <c r="AB804" i="9" s="1"/>
  <c r="CP605" i="9"/>
  <c r="V605" i="9" s="1"/>
  <c r="AB605" i="9" s="1"/>
  <c r="BV597" i="9"/>
  <c r="Q597" i="9" s="1"/>
  <c r="BV785" i="9"/>
  <c r="Q785" i="9" s="1"/>
  <c r="CP245" i="9"/>
  <c r="V245" i="9" s="1"/>
  <c r="BV330" i="9"/>
  <c r="Q330" i="9" s="1"/>
  <c r="CP115" i="9"/>
  <c r="V115" i="9" s="1"/>
  <c r="CP107" i="9"/>
  <c r="V107" i="9" s="1"/>
  <c r="BV622" i="9"/>
  <c r="Q622" i="9" s="1"/>
  <c r="BV793" i="9"/>
  <c r="Q793" i="9" s="1"/>
  <c r="AB793" i="9" s="1"/>
  <c r="CP595" i="9"/>
  <c r="V595" i="9" s="1"/>
  <c r="AB595" i="9" s="1"/>
  <c r="BV176" i="9"/>
  <c r="Q176" i="9" s="1"/>
  <c r="AB176" i="9" s="1"/>
  <c r="CP973" i="9"/>
  <c r="V973" i="9" s="1"/>
  <c r="AB973" i="9" s="1"/>
  <c r="CP867" i="9"/>
  <c r="V867" i="9" s="1"/>
  <c r="AB867" i="9" s="1"/>
  <c r="BV1019" i="9"/>
  <c r="Q1019" i="9" s="1"/>
  <c r="BV1011" i="9"/>
  <c r="Q1011" i="9" s="1"/>
  <c r="CP616" i="9"/>
  <c r="V616" i="9" s="1"/>
  <c r="BV616" i="9"/>
  <c r="Q616" i="9" s="1"/>
  <c r="AB616" i="9" s="1"/>
  <c r="BV675" i="9"/>
  <c r="Q675" i="9" s="1"/>
  <c r="CP218" i="9"/>
  <c r="V218" i="9" s="1"/>
  <c r="CP205" i="9"/>
  <c r="V205" i="9" s="1"/>
  <c r="CP550" i="9"/>
  <c r="V550" i="9" s="1"/>
  <c r="BV574" i="9"/>
  <c r="Q574" i="9" s="1"/>
  <c r="CP55" i="9"/>
  <c r="V55" i="9" s="1"/>
  <c r="CP67" i="9"/>
  <c r="V67" i="9" s="1"/>
  <c r="CP288" i="9"/>
  <c r="V288" i="9" s="1"/>
  <c r="AB288" i="9" s="1"/>
  <c r="BV859" i="9"/>
  <c r="Q859" i="9" s="1"/>
  <c r="CP203" i="9"/>
  <c r="V203" i="9" s="1"/>
  <c r="AB203" i="9" s="1"/>
  <c r="BV451" i="9"/>
  <c r="Q451" i="9" s="1"/>
  <c r="AB451" i="9" s="1"/>
  <c r="CP561" i="9"/>
  <c r="V561" i="9" s="1"/>
  <c r="BV217" i="9"/>
  <c r="Q217" i="9" s="1"/>
  <c r="CP894" i="9"/>
  <c r="V894" i="9" s="1"/>
  <c r="BV545" i="9"/>
  <c r="Q545" i="9" s="1"/>
  <c r="CP648" i="9"/>
  <c r="V648" i="9" s="1"/>
  <c r="BV493" i="9"/>
  <c r="Q493" i="9" s="1"/>
  <c r="AB493" i="9" s="1"/>
  <c r="CP852" i="9"/>
  <c r="V852" i="9" s="1"/>
  <c r="BV561" i="9"/>
  <c r="Q561" i="9" s="1"/>
  <c r="AB561" i="9" s="1"/>
  <c r="CP849" i="9"/>
  <c r="V849" i="9" s="1"/>
  <c r="BV170" i="9"/>
  <c r="Q170" i="9" s="1"/>
  <c r="AB170" i="9" s="1"/>
  <c r="BV407" i="9"/>
  <c r="Q407" i="9" s="1"/>
  <c r="CP357" i="9"/>
  <c r="V357" i="9" s="1"/>
  <c r="CP814" i="9"/>
  <c r="V814" i="9" s="1"/>
  <c r="AB814" i="9" s="1"/>
  <c r="CP796" i="9"/>
  <c r="V796" i="9" s="1"/>
  <c r="BV883" i="9"/>
  <c r="Q883" i="9" s="1"/>
  <c r="BV273" i="9"/>
  <c r="Q273" i="9" s="1"/>
  <c r="AB273" i="9" s="1"/>
  <c r="BV302" i="9"/>
  <c r="Q302" i="9" s="1"/>
  <c r="AB302" i="9" s="1"/>
  <c r="CP1019" i="9"/>
  <c r="V1019" i="9" s="1"/>
  <c r="CP798" i="9"/>
  <c r="V798" i="9" s="1"/>
  <c r="BV817" i="9"/>
  <c r="Q817" i="9" s="1"/>
  <c r="AB817" i="9" s="1"/>
  <c r="BV63" i="9"/>
  <c r="Q63" i="9" s="1"/>
  <c r="BV121" i="9"/>
  <c r="Q121" i="9" s="1"/>
  <c r="CP73" i="9"/>
  <c r="V73" i="9" s="1"/>
  <c r="BV835" i="9"/>
  <c r="Q835" i="9" s="1"/>
  <c r="AB835" i="9" s="1"/>
  <c r="BV783" i="9"/>
  <c r="Q783" i="9" s="1"/>
  <c r="BV842" i="9"/>
  <c r="Q842" i="9" s="1"/>
  <c r="CP136" i="9"/>
  <c r="V136" i="9" s="1"/>
  <c r="AB136" i="9" s="1"/>
  <c r="CP881" i="9"/>
  <c r="V881" i="9" s="1"/>
  <c r="AB881" i="9" s="1"/>
  <c r="BV860" i="9"/>
  <c r="Q860" i="9" s="1"/>
  <c r="AB860" i="9" s="1"/>
  <c r="BV134" i="9"/>
  <c r="Q134" i="9" s="1"/>
  <c r="CP217" i="9"/>
  <c r="V217" i="9" s="1"/>
  <c r="CP651" i="9"/>
  <c r="V651" i="9" s="1"/>
  <c r="AB651" i="9" s="1"/>
  <c r="CP427" i="9"/>
  <c r="V427" i="9" s="1"/>
  <c r="BV197" i="9"/>
  <c r="Q197" i="9" s="1"/>
  <c r="AB197" i="9" s="1"/>
  <c r="BV878" i="9"/>
  <c r="Q878" i="9" s="1"/>
  <c r="AB878" i="9" s="1"/>
  <c r="CP86" i="9"/>
  <c r="V86" i="9" s="1"/>
  <c r="CP844" i="9"/>
  <c r="V844" i="9" s="1"/>
  <c r="AB844" i="9" s="1"/>
  <c r="BV321" i="9"/>
  <c r="Q321" i="9" s="1"/>
  <c r="BV630" i="9"/>
  <c r="Q630" i="9" s="1"/>
  <c r="AB630" i="9" s="1"/>
  <c r="CP122" i="9"/>
  <c r="V122" i="9" s="1"/>
  <c r="CP1003" i="9"/>
  <c r="V1003" i="9" s="1"/>
  <c r="AB1003" i="9" s="1"/>
  <c r="BV280" i="9"/>
  <c r="Q280" i="9" s="1"/>
  <c r="BV265" i="9"/>
  <c r="Q265" i="9" s="1"/>
  <c r="CP688" i="9"/>
  <c r="V688" i="9" s="1"/>
  <c r="AB688" i="9" s="1"/>
  <c r="CP915" i="9"/>
  <c r="V915" i="9" s="1"/>
  <c r="AB915" i="9" s="1"/>
  <c r="CP685" i="9"/>
  <c r="V685" i="9" s="1"/>
  <c r="AB685" i="9" s="1"/>
  <c r="BV86" i="9"/>
  <c r="Q86" i="9" s="1"/>
  <c r="AB86" i="9" s="1"/>
  <c r="BV949" i="9"/>
  <c r="Q949" i="9" s="1"/>
  <c r="AB949" i="9" s="1"/>
  <c r="CP981" i="9"/>
  <c r="V981" i="9" s="1"/>
  <c r="AB981" i="9" s="1"/>
  <c r="CP1013" i="9"/>
  <c r="V1013" i="9" s="1"/>
  <c r="CP680" i="9"/>
  <c r="V680" i="9" s="1"/>
  <c r="CP859" i="9"/>
  <c r="V859" i="9" s="1"/>
  <c r="BV769" i="9"/>
  <c r="Q769" i="9" s="1"/>
  <c r="AB769" i="9" s="1"/>
  <c r="CP841" i="9"/>
  <c r="V841" i="9" s="1"/>
  <c r="AB841" i="9" s="1"/>
  <c r="CP843" i="9"/>
  <c r="V843" i="9" s="1"/>
  <c r="BV849" i="9"/>
  <c r="Q849" i="9" s="1"/>
  <c r="AB849" i="9" s="1"/>
  <c r="CP200" i="9"/>
  <c r="V200" i="9" s="1"/>
  <c r="AB200" i="9" s="1"/>
  <c r="BV963" i="9"/>
  <c r="Q963" i="9" s="1"/>
  <c r="BV796" i="9"/>
  <c r="Q796" i="9" s="1"/>
  <c r="BV542" i="9"/>
  <c r="Q542" i="9" s="1"/>
  <c r="BV756" i="9"/>
  <c r="Q756" i="9" s="1"/>
  <c r="AB756" i="9" s="1"/>
  <c r="CP756" i="9"/>
  <c r="V756" i="9" s="1"/>
  <c r="CP806" i="9"/>
  <c r="V806" i="9" s="1"/>
  <c r="AB806" i="9" s="1"/>
  <c r="BV699" i="9"/>
  <c r="Q699" i="9" s="1"/>
  <c r="CP997" i="9"/>
  <c r="V997" i="9" s="1"/>
  <c r="AB997" i="9" s="1"/>
  <c r="CP857" i="9"/>
  <c r="V857" i="9" s="1"/>
  <c r="AB857" i="9" s="1"/>
  <c r="BV70" i="9"/>
  <c r="Q70" i="9" s="1"/>
  <c r="AB70" i="9" s="1"/>
  <c r="CP42" i="9"/>
  <c r="V42" i="9" s="1"/>
  <c r="BV49" i="9"/>
  <c r="Q49" i="9" s="1"/>
  <c r="AB49" i="9" s="1"/>
  <c r="BV827" i="9"/>
  <c r="Q827" i="9" s="1"/>
  <c r="AB827" i="9" s="1"/>
  <c r="CP791" i="9"/>
  <c r="V791" i="9" s="1"/>
  <c r="CP682" i="9"/>
  <c r="V682" i="9" s="1"/>
  <c r="AB682" i="9" s="1"/>
  <c r="CP675" i="9"/>
  <c r="V675" i="9" s="1"/>
  <c r="BV589" i="9"/>
  <c r="Q589" i="9" s="1"/>
  <c r="AB589" i="9" s="1"/>
  <c r="CP263" i="9"/>
  <c r="V263" i="9" s="1"/>
  <c r="BV245" i="9"/>
  <c r="Q245" i="9" s="1"/>
  <c r="BV634" i="9"/>
  <c r="Q634" i="9" s="1"/>
  <c r="AB634" i="9" s="1"/>
  <c r="BV235" i="9"/>
  <c r="Q235" i="9" s="1"/>
  <c r="CP332" i="9"/>
  <c r="V332" i="9" s="1"/>
  <c r="AB332" i="9" s="1"/>
  <c r="BV365" i="9"/>
  <c r="Q365" i="9" s="1"/>
  <c r="BV608" i="9"/>
  <c r="Q608" i="9" s="1"/>
  <c r="AB608" i="9" s="1"/>
  <c r="BV364" i="9"/>
  <c r="Q364" i="9" s="1"/>
  <c r="AB364" i="9" s="1"/>
  <c r="BV815" i="9"/>
  <c r="Q815" i="9" s="1"/>
  <c r="BV799" i="9"/>
  <c r="Q799" i="9" s="1"/>
  <c r="CP254" i="9"/>
  <c r="V254" i="9" s="1"/>
  <c r="AB254" i="9" s="1"/>
  <c r="BV145" i="9"/>
  <c r="Q145" i="9" s="1"/>
  <c r="BV758" i="9"/>
  <c r="Q758" i="9" s="1"/>
  <c r="AB758" i="9" s="1"/>
  <c r="BV46" i="9"/>
  <c r="Q46" i="9" s="1"/>
  <c r="BV114" i="9"/>
  <c r="Q114" i="9" s="1"/>
  <c r="AB114" i="9" s="1"/>
  <c r="BV1014" i="9"/>
  <c r="Q1014" i="9" s="1"/>
  <c r="BV237" i="9"/>
  <c r="Q237" i="9" s="1"/>
  <c r="AB237" i="9" s="1"/>
  <c r="CP917" i="9"/>
  <c r="V917" i="9" s="1"/>
  <c r="CP783" i="9"/>
  <c r="V783" i="9" s="1"/>
  <c r="BV745" i="9"/>
  <c r="Q745" i="9" s="1"/>
  <c r="BV917" i="9"/>
  <c r="Q917" i="9" s="1"/>
  <c r="AB917" i="9" s="1"/>
  <c r="CP897" i="9"/>
  <c r="V897" i="9" s="1"/>
  <c r="CP823" i="9"/>
  <c r="V823" i="9" s="1"/>
  <c r="BV568" i="9"/>
  <c r="Q568" i="9" s="1"/>
  <c r="CP250" i="9"/>
  <c r="V250" i="9" s="1"/>
  <c r="BV645" i="9"/>
  <c r="Q645" i="9" s="1"/>
  <c r="AB645" i="9" s="1"/>
  <c r="BV550" i="9"/>
  <c r="Q550" i="9" s="1"/>
  <c r="AB550" i="9" s="1"/>
  <c r="CP621" i="9"/>
  <c r="V621" i="9" s="1"/>
  <c r="AB621" i="9" s="1"/>
  <c r="BV640" i="9"/>
  <c r="Q640" i="9" s="1"/>
  <c r="AB640" i="9" s="1"/>
  <c r="BV807" i="9"/>
  <c r="Q807" i="9" s="1"/>
  <c r="BV205" i="9"/>
  <c r="Q205" i="9" s="1"/>
  <c r="CP127" i="9"/>
  <c r="V127" i="9" s="1"/>
  <c r="AB127" i="9" s="1"/>
  <c r="BV642" i="9"/>
  <c r="Q642" i="9" s="1"/>
  <c r="AB642" i="9" s="1"/>
  <c r="BV218" i="9"/>
  <c r="Q218" i="9" s="1"/>
  <c r="BV764" i="9"/>
  <c r="Q764" i="9" s="1"/>
  <c r="AB764" i="9" s="1"/>
  <c r="CP809" i="9"/>
  <c r="V809" i="9" s="1"/>
  <c r="AB809" i="9" s="1"/>
  <c r="CP876" i="9"/>
  <c r="V876" i="9" s="1"/>
  <c r="BV295" i="9"/>
  <c r="Q295" i="9" s="1"/>
  <c r="AB295" i="9" s="1"/>
  <c r="CP614" i="9"/>
  <c r="V614" i="9" s="1"/>
  <c r="BV518" i="9"/>
  <c r="Q518" i="9" s="1"/>
  <c r="AB518" i="9" s="1"/>
  <c r="BV526" i="9"/>
  <c r="Q526" i="9" s="1"/>
  <c r="AB526" i="9" s="1"/>
  <c r="BV88" i="9"/>
  <c r="Q88" i="9" s="1"/>
  <c r="CP46" i="9"/>
  <c r="V46" i="9" s="1"/>
  <c r="CP58" i="9"/>
  <c r="V58" i="9" s="1"/>
  <c r="CP38" i="9"/>
  <c r="V38" i="9" s="1"/>
  <c r="CP121" i="9"/>
  <c r="V121" i="9" s="1"/>
  <c r="BV34" i="9"/>
  <c r="Q34" i="9" s="1"/>
  <c r="BV122" i="9"/>
  <c r="Q122" i="9" s="1"/>
  <c r="CP225" i="9"/>
  <c r="V225" i="9" s="1"/>
  <c r="BV152" i="9"/>
  <c r="Q152" i="9" s="1"/>
  <c r="AB152" i="9" s="1"/>
  <c r="CP629" i="9"/>
  <c r="V629" i="9" s="1"/>
  <c r="AB629" i="9" s="1"/>
  <c r="CP169" i="9"/>
  <c r="V169" i="9" s="1"/>
  <c r="BV357" i="9"/>
  <c r="Q357" i="9" s="1"/>
  <c r="AB357" i="9" s="1"/>
  <c r="CP698" i="9"/>
  <c r="V698" i="9" s="1"/>
  <c r="BV210" i="9"/>
  <c r="Q210" i="9" s="1"/>
  <c r="AB210" i="9" s="1"/>
  <c r="BV691" i="9"/>
  <c r="Q691" i="9" s="1"/>
  <c r="AB691" i="9" s="1"/>
  <c r="CP359" i="9"/>
  <c r="V359" i="9" s="1"/>
  <c r="BV573" i="9"/>
  <c r="Q573" i="9" s="1"/>
  <c r="BV933" i="9"/>
  <c r="Q933" i="9" s="1"/>
  <c r="AB933" i="9" s="1"/>
  <c r="CP268" i="9"/>
  <c r="V268" i="9" s="1"/>
  <c r="CP799" i="9"/>
  <c r="V799" i="9" s="1"/>
  <c r="CP348" i="9"/>
  <c r="V348" i="9" s="1"/>
  <c r="AB348" i="9" s="1"/>
  <c r="CP699" i="9"/>
  <c r="V699" i="9" s="1"/>
  <c r="CP529" i="9"/>
  <c r="V529" i="9" s="1"/>
  <c r="BV852" i="9"/>
  <c r="Q852" i="9" s="1"/>
  <c r="CP294" i="9"/>
  <c r="V294" i="9" s="1"/>
  <c r="CP304" i="9"/>
  <c r="V304" i="9" s="1"/>
  <c r="AB304" i="9" s="1"/>
  <c r="BV1013" i="9"/>
  <c r="Q1013" i="9" s="1"/>
  <c r="AB1013" i="9" s="1"/>
  <c r="CP449" i="9"/>
  <c r="V449" i="9" s="1"/>
  <c r="CP573" i="9"/>
  <c r="V573" i="9" s="1"/>
  <c r="CP592" i="9"/>
  <c r="V592" i="9" s="1"/>
  <c r="AB592" i="9" s="1"/>
  <c r="CP324" i="9"/>
  <c r="V324" i="9" s="1"/>
  <c r="CP384" i="9"/>
  <c r="V384" i="9" s="1"/>
  <c r="BV340" i="9"/>
  <c r="Q340" i="9" s="1"/>
  <c r="AB340" i="9" s="1"/>
  <c r="BV628" i="9"/>
  <c r="Q628" i="9" s="1"/>
  <c r="AB628" i="9" s="1"/>
  <c r="BV324" i="9"/>
  <c r="Q324" i="9" s="1"/>
  <c r="AB324" i="9" s="1"/>
  <c r="BV427" i="9"/>
  <c r="Q427" i="9" s="1"/>
  <c r="AB427" i="9" s="1"/>
  <c r="BV23" i="9"/>
  <c r="Q23" i="9" s="1"/>
  <c r="CP715" i="9"/>
  <c r="V715" i="9" s="1"/>
  <c r="BV202" i="9"/>
  <c r="Q202" i="9" s="1"/>
  <c r="AB202" i="9" s="1"/>
  <c r="BV924" i="9"/>
  <c r="Q924" i="9" s="1"/>
  <c r="AB924" i="9" s="1"/>
  <c r="BV692" i="9"/>
  <c r="Q692" i="9" s="1"/>
  <c r="AB692" i="9" s="1"/>
  <c r="CP790" i="9"/>
  <c r="V790" i="9" s="1"/>
  <c r="CP180" i="9"/>
  <c r="V180" i="9" s="1"/>
  <c r="CP547" i="9"/>
  <c r="V547" i="9" s="1"/>
  <c r="BV188" i="9"/>
  <c r="Q188" i="9" s="1"/>
  <c r="AB188" i="9" s="1"/>
  <c r="CP745" i="9"/>
  <c r="V745" i="9" s="1"/>
  <c r="CP145" i="9"/>
  <c r="V145" i="9" s="1"/>
  <c r="BV939" i="9"/>
  <c r="Q939" i="9" s="1"/>
  <c r="CP372" i="9"/>
  <c r="V372" i="9" s="1"/>
  <c r="AB372" i="9" s="1"/>
  <c r="CP168" i="9"/>
  <c r="V168" i="9" s="1"/>
  <c r="AB168" i="9" s="1"/>
  <c r="CP723" i="9"/>
  <c r="V723" i="9" s="1"/>
  <c r="AB723" i="9" s="1"/>
  <c r="CP439" i="9"/>
  <c r="V439" i="9" s="1"/>
  <c r="BV294" i="9"/>
  <c r="Q294" i="9" s="1"/>
  <c r="AB294" i="9" s="1"/>
  <c r="CP785" i="9"/>
  <c r="V785" i="9" s="1"/>
  <c r="CP345" i="9"/>
  <c r="V345" i="9" s="1"/>
  <c r="AB345" i="9" s="1"/>
  <c r="CP532" i="9"/>
  <c r="V532" i="9" s="1"/>
  <c r="AB532" i="9" s="1"/>
  <c r="BV182" i="9"/>
  <c r="Q182" i="9" s="1"/>
  <c r="CP998" i="9"/>
  <c r="V998" i="9" s="1"/>
  <c r="CP842" i="9"/>
  <c r="V842" i="9" s="1"/>
  <c r="CP265" i="9"/>
  <c r="V265" i="9" s="1"/>
  <c r="BV382" i="9"/>
  <c r="Q382" i="9" s="1"/>
  <c r="AB382" i="9" s="1"/>
  <c r="BV38" i="9"/>
  <c r="Q38" i="9" s="1"/>
  <c r="BV43" i="9"/>
  <c r="Q43" i="9" s="1"/>
  <c r="AB43" i="9" s="1"/>
  <c r="BV870" i="9"/>
  <c r="Q870" i="9" s="1"/>
  <c r="AB870" i="9" s="1"/>
  <c r="BV700" i="9"/>
  <c r="Q700" i="9" s="1"/>
  <c r="AB700" i="9" s="1"/>
  <c r="BV971" i="9"/>
  <c r="Q971" i="9" s="1"/>
  <c r="AB971" i="9" s="1"/>
  <c r="BV491" i="9"/>
  <c r="Q491" i="9" s="1"/>
  <c r="AB491" i="9" s="1"/>
  <c r="BV524" i="9"/>
  <c r="Q524" i="9" s="1"/>
  <c r="AB524" i="9" s="1"/>
  <c r="CP386" i="9"/>
  <c r="V386" i="9" s="1"/>
  <c r="CP542" i="9"/>
  <c r="V542" i="9" s="1"/>
  <c r="BV932" i="9"/>
  <c r="Q932" i="9" s="1"/>
  <c r="BV833" i="9"/>
  <c r="Q833" i="9" s="1"/>
  <c r="AB833" i="9" s="1"/>
  <c r="CP758" i="9"/>
  <c r="V758" i="9" s="1"/>
  <c r="CP987" i="9"/>
  <c r="V987" i="9" s="1"/>
  <c r="AB987" i="9" s="1"/>
  <c r="CP932" i="9"/>
  <c r="V932" i="9" s="1"/>
  <c r="BV902" i="9"/>
  <c r="Q902" i="9" s="1"/>
  <c r="AB902" i="9" s="1"/>
  <c r="CP824" i="9"/>
  <c r="V824" i="9" s="1"/>
  <c r="AB824" i="9" s="1"/>
  <c r="CP815" i="9"/>
  <c r="V815" i="9" s="1"/>
  <c r="BV886" i="9"/>
  <c r="Q886" i="9" s="1"/>
  <c r="CP735" i="9"/>
  <c r="V735" i="9" s="1"/>
  <c r="BV486" i="9"/>
  <c r="Q486" i="9" s="1"/>
  <c r="AB486" i="9" s="1"/>
  <c r="BV653" i="9"/>
  <c r="Q653" i="9" s="1"/>
  <c r="AB653" i="9" s="1"/>
  <c r="BV386" i="9"/>
  <c r="Q386" i="9" s="1"/>
  <c r="BV227" i="9"/>
  <c r="Q227" i="9" s="1"/>
  <c r="AB227" i="9" s="1"/>
  <c r="BV137" i="9"/>
  <c r="Q137" i="9" s="1"/>
  <c r="AB137" i="9" s="1"/>
  <c r="BV947" i="9"/>
  <c r="Q947" i="9" s="1"/>
  <c r="AB947" i="9" s="1"/>
  <c r="CP337" i="9"/>
  <c r="V337" i="9" s="1"/>
  <c r="CP545" i="9"/>
  <c r="V545" i="9" s="1"/>
  <c r="BV416" i="9"/>
  <c r="Q416" i="9" s="1"/>
  <c r="CP109" i="9"/>
  <c r="V109" i="9" s="1"/>
  <c r="AB109" i="9" s="1"/>
  <c r="BV60" i="9"/>
  <c r="Q60" i="9" s="1"/>
  <c r="AB60" i="9" s="1"/>
  <c r="CP318" i="9"/>
  <c r="V318" i="9" s="1"/>
  <c r="CP330" i="9"/>
  <c r="V330" i="9" s="1"/>
  <c r="CP216" i="9"/>
  <c r="V216" i="9" s="1"/>
  <c r="AB216" i="9" s="1"/>
  <c r="BV226" i="9"/>
  <c r="Q226" i="9" s="1"/>
  <c r="AB226" i="9" s="1"/>
  <c r="BV698" i="9"/>
  <c r="Q698" i="9" s="1"/>
  <c r="CP228" i="9"/>
  <c r="V228" i="9" s="1"/>
  <c r="CP883" i="9"/>
  <c r="V883" i="9" s="1"/>
  <c r="CP939" i="9"/>
  <c r="V939" i="9" s="1"/>
  <c r="CP392" i="9"/>
  <c r="V392" i="9" s="1"/>
  <c r="AB392" i="9" s="1"/>
  <c r="BV656" i="9"/>
  <c r="Q656" i="9" s="1"/>
  <c r="AB656" i="9" s="1"/>
  <c r="BV260" i="9"/>
  <c r="Q260" i="9" s="1"/>
  <c r="AB260" i="9" s="1"/>
  <c r="CP426" i="9"/>
  <c r="V426" i="9" s="1"/>
  <c r="CP902" i="9"/>
  <c r="V902" i="9" s="1"/>
  <c r="CP622" i="9"/>
  <c r="V622" i="9" s="1"/>
  <c r="BV180" i="9"/>
  <c r="Q180" i="9" s="1"/>
  <c r="AB180" i="9" s="1"/>
  <c r="CP963" i="9"/>
  <c r="V963" i="9" s="1"/>
  <c r="CP807" i="9"/>
  <c r="V807" i="9" s="1"/>
  <c r="CP255" i="9"/>
  <c r="V255" i="9" s="1"/>
  <c r="AB255" i="9" s="1"/>
  <c r="BV510" i="9"/>
  <c r="Q510" i="9" s="1"/>
  <c r="AB510" i="9" s="1"/>
  <c r="CP1014" i="9"/>
  <c r="V1014" i="9" s="1"/>
  <c r="BV167" i="9"/>
  <c r="Q167" i="9" s="1"/>
  <c r="AB167" i="9" s="1"/>
  <c r="BV716" i="9"/>
  <c r="Q716" i="9" s="1"/>
  <c r="AB716" i="9" s="1"/>
  <c r="CP780" i="9"/>
  <c r="V780" i="9" s="1"/>
  <c r="AB780" i="9" s="1"/>
  <c r="BV456" i="9"/>
  <c r="Q456" i="9" s="1"/>
  <c r="AB456" i="9" s="1"/>
  <c r="BV891" i="9"/>
  <c r="Q891" i="9" s="1"/>
  <c r="AB891" i="9" s="1"/>
  <c r="BV737" i="9"/>
  <c r="Q737" i="9" s="1"/>
  <c r="AB737" i="9" s="1"/>
  <c r="BV224" i="9"/>
  <c r="Q224" i="9" s="1"/>
  <c r="AB224" i="9" s="1"/>
  <c r="CP171" i="9"/>
  <c r="V171" i="9" s="1"/>
  <c r="AB171" i="9" s="1"/>
  <c r="BV162" i="9"/>
  <c r="Q162" i="9" s="1"/>
  <c r="AB162" i="9" s="1"/>
  <c r="CP280" i="9"/>
  <c r="V280" i="9" s="1"/>
  <c r="BV68" i="9"/>
  <c r="Q68" i="9" s="1"/>
  <c r="CP862" i="9"/>
  <c r="V862" i="9" s="1"/>
  <c r="AB862" i="9" s="1"/>
  <c r="BV169" i="9"/>
  <c r="Q169" i="9" s="1"/>
  <c r="AB169" i="9" s="1"/>
  <c r="CP826" i="9"/>
  <c r="V826" i="9" s="1"/>
  <c r="AB826" i="9" s="1"/>
  <c r="BV611" i="9"/>
  <c r="Q611" i="9" s="1"/>
  <c r="AB611" i="9" s="1"/>
  <c r="BV822" i="9"/>
  <c r="Q822" i="9" s="1"/>
  <c r="AB822" i="9" s="1"/>
  <c r="CP229" i="9"/>
  <c r="V229" i="9" s="1"/>
  <c r="BV147" i="9"/>
  <c r="Q147" i="9" s="1"/>
  <c r="AB147" i="9" s="1"/>
  <c r="BV303" i="9"/>
  <c r="Q303" i="9" s="1"/>
  <c r="CP761" i="9"/>
  <c r="V761" i="9" s="1"/>
  <c r="BV648" i="9"/>
  <c r="Q648" i="9" s="1"/>
  <c r="CP416" i="9"/>
  <c r="V416" i="9" s="1"/>
  <c r="CP412" i="9"/>
  <c r="V412" i="9" s="1"/>
  <c r="BV579" i="9"/>
  <c r="Q579" i="9" s="1"/>
  <c r="AB579" i="9" s="1"/>
  <c r="BV965" i="9"/>
  <c r="Q965" i="9" s="1"/>
  <c r="AB965" i="9" s="1"/>
  <c r="BV788" i="9"/>
  <c r="Q788" i="9" s="1"/>
  <c r="AB788" i="9" s="1"/>
  <c r="BV761" i="9"/>
  <c r="Q761" i="9" s="1"/>
  <c r="AB761" i="9" s="1"/>
  <c r="BV179" i="9"/>
  <c r="Q179" i="9" s="1"/>
  <c r="AB179" i="9" s="1"/>
  <c r="CP619" i="9"/>
  <c r="V619" i="9" s="1"/>
  <c r="AB619" i="9" s="1"/>
  <c r="BV66" i="9"/>
  <c r="Q66" i="9" s="1"/>
  <c r="BV547" i="9"/>
  <c r="Q547" i="9" s="1"/>
  <c r="CP134" i="9"/>
  <c r="V134" i="9" s="1"/>
  <c r="BV624" i="9"/>
  <c r="Q624" i="9" s="1"/>
  <c r="CP407" i="9"/>
  <c r="V407" i="9" s="1"/>
  <c r="CP1006" i="9"/>
  <c r="V1006" i="9" s="1"/>
  <c r="AB1006" i="9" s="1"/>
  <c r="CP886" i="9"/>
  <c r="V886" i="9" s="1"/>
  <c r="BV603" i="9"/>
  <c r="Q603" i="9" s="1"/>
  <c r="AB603" i="9" s="1"/>
  <c r="BV384" i="9"/>
  <c r="Q384" i="9" s="1"/>
  <c r="AB384" i="9" s="1"/>
  <c r="CP321" i="9"/>
  <c r="V321" i="9" s="1"/>
  <c r="BV998" i="9"/>
  <c r="Q998" i="9" s="1"/>
  <c r="BV250" i="9"/>
  <c r="Q250" i="9" s="1"/>
  <c r="AB250" i="9" s="1"/>
  <c r="CP674" i="9"/>
  <c r="V674" i="9" s="1"/>
  <c r="BV571" i="9"/>
  <c r="Q571" i="9" s="1"/>
  <c r="AB571" i="9" s="1"/>
  <c r="BV614" i="9"/>
  <c r="Q614" i="9" s="1"/>
  <c r="AB614" i="9" s="1"/>
  <c r="BV318" i="9"/>
  <c r="Q318" i="9" s="1"/>
  <c r="AB318" i="9" s="1"/>
  <c r="BV268" i="9"/>
  <c r="Q268" i="9" s="1"/>
  <c r="AB268" i="9" s="1"/>
  <c r="BV753" i="9"/>
  <c r="Q753" i="9" s="1"/>
  <c r="AB753" i="9" s="1"/>
  <c r="BV742" i="9"/>
  <c r="Q742" i="9" s="1"/>
  <c r="AB742" i="9" s="1"/>
  <c r="BV706" i="9"/>
  <c r="Q706" i="9" s="1"/>
  <c r="AB706" i="9" s="1"/>
  <c r="CP767" i="9"/>
  <c r="V767" i="9" s="1"/>
  <c r="BV798" i="9"/>
  <c r="Q798" i="9" s="1"/>
  <c r="AB798" i="9" s="1"/>
  <c r="CP243" i="9"/>
  <c r="V243" i="9" s="1"/>
  <c r="AB243" i="9" s="1"/>
  <c r="BV712" i="9"/>
  <c r="Q712" i="9" s="1"/>
  <c r="AB712" i="9" s="1"/>
  <c r="CP554" i="9"/>
  <c r="V554" i="9" s="1"/>
  <c r="CP303" i="9"/>
  <c r="V303" i="9" s="1"/>
  <c r="CP597" i="9"/>
  <c r="V597" i="9" s="1"/>
  <c r="BV931" i="9"/>
  <c r="Q931" i="9" s="1"/>
  <c r="AB931" i="9" s="1"/>
  <c r="CP891" i="9"/>
  <c r="V891" i="9" s="1"/>
  <c r="CP750" i="9"/>
  <c r="V750" i="9" s="1"/>
  <c r="AB750" i="9" s="1"/>
  <c r="BV337" i="9"/>
  <c r="Q337" i="9" s="1"/>
  <c r="AB337" i="9" s="1"/>
  <c r="BV715" i="9"/>
  <c r="Q715" i="9" s="1"/>
  <c r="AB715" i="9" s="1"/>
  <c r="BV359" i="9"/>
  <c r="Q359" i="9" s="1"/>
  <c r="AB359" i="9" s="1"/>
  <c r="CP235" i="9"/>
  <c r="V235" i="9" s="1"/>
  <c r="BV449" i="9"/>
  <c r="Q449" i="9" s="1"/>
  <c r="AB449" i="9" s="1"/>
  <c r="CP923" i="9"/>
  <c r="V923" i="9" s="1"/>
  <c r="AB923" i="9" s="1"/>
  <c r="CP267" i="9"/>
  <c r="V267" i="9" s="1"/>
  <c r="AB267" i="9" s="1"/>
  <c r="CP598" i="9"/>
  <c r="V598" i="9" s="1"/>
  <c r="AB598" i="9" s="1"/>
  <c r="BV257" i="9"/>
  <c r="Q257" i="9" s="1"/>
  <c r="AB257" i="9" s="1"/>
  <c r="CP1011" i="9"/>
  <c r="V1011" i="9" s="1"/>
  <c r="CP624" i="9"/>
  <c r="V624" i="9" s="1"/>
  <c r="CP177" i="9"/>
  <c r="V177" i="9" s="1"/>
  <c r="AB177" i="9" s="1"/>
  <c r="CP978" i="9"/>
  <c r="V978" i="9" s="1"/>
  <c r="AB978" i="9" s="1"/>
  <c r="CP502" i="9"/>
  <c r="V502" i="9" s="1"/>
  <c r="AB502" i="9" s="1"/>
  <c r="CP195" i="9"/>
  <c r="V195" i="9" s="1"/>
  <c r="AB195" i="9" s="1"/>
  <c r="BV51" i="9"/>
  <c r="Q51" i="9" s="1"/>
  <c r="AB51" i="9" s="1"/>
  <c r="CP63" i="9"/>
  <c r="V63" i="9" s="1"/>
  <c r="BV73" i="9"/>
  <c r="Q73" i="9" s="1"/>
  <c r="AB73" i="9" s="1"/>
  <c r="BV107" i="9"/>
  <c r="Q107" i="9" s="1"/>
  <c r="AB107" i="9" s="1"/>
  <c r="BV40" i="9"/>
  <c r="Q40" i="9" s="1"/>
  <c r="CP65" i="9"/>
  <c r="V65" i="9" s="1"/>
  <c r="BV55" i="9"/>
  <c r="Q55" i="9" s="1"/>
  <c r="AB55" i="9" s="1"/>
  <c r="BV116" i="9"/>
  <c r="Q116" i="9" s="1"/>
  <c r="AB116" i="9" s="1"/>
  <c r="CP113" i="9"/>
  <c r="V113" i="9" s="1"/>
  <c r="AB113" i="9" s="1"/>
  <c r="BV59" i="9"/>
  <c r="Q59" i="9" s="1"/>
  <c r="CP50" i="9"/>
  <c r="V50" i="9" s="1"/>
  <c r="CP30" i="9"/>
  <c r="V30" i="9" s="1"/>
  <c r="BV33" i="9"/>
  <c r="Q33" i="9" s="1"/>
  <c r="AB33" i="9" s="1"/>
  <c r="BV44" i="9"/>
  <c r="Q44" i="9" s="1"/>
  <c r="CP68" i="9"/>
  <c r="V68" i="9" s="1"/>
  <c r="BV32" i="9"/>
  <c r="Q32" i="9" s="1"/>
  <c r="BV104" i="9"/>
  <c r="Q104" i="9" s="1"/>
  <c r="AB104" i="9" s="1"/>
  <c r="CP45" i="9"/>
  <c r="V45" i="9" s="1"/>
  <c r="CP76" i="9"/>
  <c r="V76" i="9" s="1"/>
  <c r="CP59" i="9"/>
  <c r="V59" i="9" s="1"/>
  <c r="CP24" i="9"/>
  <c r="V24" i="9" s="1"/>
  <c r="CP34" i="9"/>
  <c r="V34" i="9" s="1"/>
  <c r="BV39" i="9"/>
  <c r="Q39" i="9" s="1"/>
  <c r="AB39" i="9" s="1"/>
  <c r="CP25" i="9"/>
  <c r="V25" i="9" s="1"/>
  <c r="BV69" i="9"/>
  <c r="Q69" i="9" s="1"/>
  <c r="AB69" i="9" s="1"/>
  <c r="CP66" i="9"/>
  <c r="V66" i="9" s="1"/>
  <c r="BV67" i="9"/>
  <c r="Q67" i="9" s="1"/>
  <c r="AB67" i="9" s="1"/>
  <c r="BV62" i="9"/>
  <c r="Q62" i="9" s="1"/>
  <c r="CP108" i="9"/>
  <c r="V108" i="9" s="1"/>
  <c r="AB108" i="9" s="1"/>
  <c r="CP79" i="9"/>
  <c r="V79" i="9" s="1"/>
  <c r="AB79" i="9" s="1"/>
  <c r="CP26" i="9"/>
  <c r="V26" i="9" s="1"/>
  <c r="CP40" i="9"/>
  <c r="V40" i="9" s="1"/>
  <c r="CP57" i="9"/>
  <c r="V57" i="9" s="1"/>
  <c r="AB57" i="9" s="1"/>
  <c r="BV30" i="9"/>
  <c r="Q30" i="9" s="1"/>
  <c r="BV92" i="9"/>
  <c r="Q92" i="9" s="1"/>
  <c r="AB92" i="9" s="1"/>
  <c r="BV50" i="9"/>
  <c r="Q50" i="9" s="1"/>
  <c r="CP32" i="9"/>
  <c r="V32" i="9" s="1"/>
  <c r="BV42" i="9"/>
  <c r="Q42" i="9" s="1"/>
  <c r="AB42" i="9" s="1"/>
  <c r="CP119" i="9"/>
  <c r="V119" i="9" s="1"/>
  <c r="AB119" i="9" s="1"/>
  <c r="BV115" i="9"/>
  <c r="Q115" i="9" s="1"/>
  <c r="AB115" i="9" s="1"/>
  <c r="BV58" i="9"/>
  <c r="Q58" i="9" s="1"/>
  <c r="AB58" i="9" s="1"/>
  <c r="CP88" i="9"/>
  <c r="V88" i="9" s="1"/>
  <c r="CP101" i="9"/>
  <c r="V101" i="9" s="1"/>
  <c r="AB101" i="9" s="1"/>
  <c r="CP23" i="9"/>
  <c r="CP62" i="9"/>
  <c r="V62" i="9" s="1"/>
  <c r="BV84" i="9"/>
  <c r="Q84" i="9" s="1"/>
  <c r="AB84" i="9" s="1"/>
  <c r="BV105" i="9"/>
  <c r="Q105" i="9" s="1"/>
  <c r="AB105" i="9" s="1"/>
  <c r="Q21" i="5"/>
  <c r="P22" i="5"/>
  <c r="B22" i="5" s="1"/>
  <c r="L11" i="6"/>
  <c r="X33" i="6"/>
  <c r="X69" i="6"/>
  <c r="X68" i="6"/>
  <c r="R6" i="5" a="1"/>
  <c r="R6" i="5" s="1"/>
  <c r="B69" i="6" s="1" a="1"/>
  <c r="B69" i="6" s="1"/>
  <c r="AB44" i="9" l="1"/>
  <c r="AB122" i="9"/>
  <c r="AB31" i="9"/>
  <c r="AB205" i="9"/>
  <c r="AB30" i="9"/>
  <c r="AB59" i="9"/>
  <c r="AB386" i="9"/>
  <c r="AB745" i="9"/>
  <c r="AB145" i="9"/>
  <c r="AB121" i="9"/>
  <c r="AB859" i="9"/>
  <c r="AB675" i="9"/>
  <c r="AB81" i="9"/>
  <c r="AB303" i="9"/>
  <c r="AB68" i="9"/>
  <c r="AB790" i="9"/>
  <c r="AB63" i="9"/>
  <c r="AB823" i="9"/>
  <c r="AB225" i="9"/>
  <c r="AB245" i="9"/>
  <c r="AB884" i="9"/>
  <c r="AB698" i="9"/>
  <c r="AB32" i="9"/>
  <c r="AB416" i="9"/>
  <c r="AB182" i="9"/>
  <c r="AB573" i="9"/>
  <c r="AB88" i="9"/>
  <c r="AB218" i="9"/>
  <c r="AB799" i="9"/>
  <c r="AB542" i="9"/>
  <c r="AB545" i="9"/>
  <c r="AB622" i="9"/>
  <c r="AB65" i="9"/>
  <c r="AB585" i="9"/>
  <c r="AB228" i="9"/>
  <c r="AB897" i="9"/>
  <c r="AB76" i="9"/>
  <c r="AB426" i="9"/>
  <c r="AB24" i="9"/>
  <c r="AB25" i="9"/>
  <c r="AB624" i="9"/>
  <c r="AB939" i="9"/>
  <c r="AB852" i="9"/>
  <c r="AB815" i="9"/>
  <c r="AB796" i="9"/>
  <c r="AB265" i="9"/>
  <c r="AB407" i="9"/>
  <c r="AB1011" i="9"/>
  <c r="AB412" i="9"/>
  <c r="AB37" i="9"/>
  <c r="AB998" i="9"/>
  <c r="AB886" i="9"/>
  <c r="AB932" i="9"/>
  <c r="AB568" i="9"/>
  <c r="AB1014" i="9"/>
  <c r="AB963" i="9"/>
  <c r="AB280" i="9"/>
  <c r="AB842" i="9"/>
  <c r="AB217" i="9"/>
  <c r="AB574" i="9"/>
  <c r="AB1019" i="9"/>
  <c r="AB45" i="9"/>
  <c r="AB229" i="9"/>
  <c r="AB843" i="9"/>
  <c r="AB80" i="9"/>
  <c r="AB40" i="9"/>
  <c r="AB547" i="9"/>
  <c r="AB38" i="9"/>
  <c r="AB34" i="9"/>
  <c r="AB783" i="9"/>
  <c r="AB330" i="9"/>
  <c r="AB674" i="9"/>
  <c r="AB791" i="9"/>
  <c r="AB50" i="9"/>
  <c r="AB62" i="9"/>
  <c r="AB66" i="9"/>
  <c r="AB807" i="9"/>
  <c r="AB46" i="9"/>
  <c r="AB365" i="9"/>
  <c r="AB699" i="9"/>
  <c r="AB680" i="9"/>
  <c r="AB263" i="9"/>
  <c r="AB876" i="9"/>
  <c r="AB767" i="9"/>
  <c r="AB648" i="9"/>
  <c r="AB883" i="9"/>
  <c r="AB785" i="9"/>
  <c r="AB439" i="9"/>
  <c r="AB735" i="9"/>
  <c r="AB554" i="9"/>
  <c r="AB529" i="9"/>
  <c r="AB235" i="9"/>
  <c r="AB321" i="9"/>
  <c r="AB134" i="9"/>
  <c r="AB597" i="9"/>
  <c r="AB26" i="9"/>
  <c r="B25" i="6" a="1"/>
  <c r="B25" i="6" s="1"/>
  <c r="B24" i="6" a="1"/>
  <c r="B24" i="6" s="1"/>
  <c r="B1" i="9"/>
  <c r="C1" i="9"/>
  <c r="V23" i="9"/>
  <c r="AB23" i="9" s="1"/>
  <c r="C52" i="6" a="1"/>
  <c r="C52" i="6" s="1"/>
  <c r="C49" i="6" a="1"/>
  <c r="C49" i="6" s="1"/>
  <c r="R12" i="5"/>
  <c r="D22" i="5" a="1"/>
  <c r="D22" i="5" s="1"/>
  <c r="B2" i="6" a="1"/>
  <c r="B2" i="6" s="1"/>
  <c r="B13" i="5" a="1"/>
  <c r="B13" i="5" s="1"/>
  <c r="B79" i="6" a="1"/>
  <c r="B79" i="6" s="1"/>
  <c r="B81" i="6" a="1"/>
  <c r="B81" i="6" s="1"/>
  <c r="B80" i="6" a="1"/>
  <c r="B80" i="6" s="1"/>
  <c r="F16" i="5" a="1"/>
  <c r="F16" i="5" s="1"/>
  <c r="F15" i="5" a="1"/>
  <c r="F15" i="5" s="1"/>
  <c r="I8" i="5" a="1"/>
  <c r="I8" i="5" s="1"/>
  <c r="I9" i="5" a="1"/>
  <c r="I9" i="5" s="1"/>
  <c r="B77" i="6" a="1"/>
  <c r="B77" i="6" s="1"/>
  <c r="C21" i="5" a="1"/>
  <c r="C21" i="5" s="1"/>
  <c r="D21" i="5" a="1"/>
  <c r="D21" i="5" s="1"/>
  <c r="C58" i="6" a="1"/>
  <c r="C58" i="6" s="1"/>
  <c r="E35" i="6" a="1"/>
  <c r="E35" i="6" s="1"/>
  <c r="C61" i="6" a="1"/>
  <c r="C61" i="6" s="1"/>
  <c r="C64" i="6" a="1"/>
  <c r="C64" i="6" s="1"/>
  <c r="B68" i="6" a="1"/>
  <c r="B68" i="6" s="1"/>
  <c r="B10" i="6" a="1"/>
  <c r="B10" i="6" s="1"/>
  <c r="I6" i="5" a="1"/>
  <c r="I6" i="5" s="1"/>
  <c r="B42" i="5" a="1"/>
  <c r="B42" i="5" s="1"/>
  <c r="B41" i="5" a="1"/>
  <c r="B41" i="5" s="1"/>
  <c r="B15" i="5" a="1"/>
  <c r="B15" i="5" s="1"/>
  <c r="B16" i="5" a="1"/>
  <c r="B16" i="5" s="1"/>
  <c r="I2" i="5" a="1"/>
  <c r="I2" i="5" s="1"/>
  <c r="I4" i="5" a="1"/>
  <c r="I4" i="5" s="1"/>
  <c r="B19" i="5" a="1"/>
  <c r="B19" i="5" s="1"/>
  <c r="I3" i="5" a="1"/>
  <c r="I3" i="5" s="1"/>
  <c r="D17" i="9" l="1"/>
  <c r="H76" i="6" s="1"/>
  <c r="G21" i="9" a="1"/>
  <c r="G21" i="9" s="1"/>
  <c r="G20" i="9" a="1"/>
  <c r="G20" i="9" s="1"/>
  <c r="L21" i="9" a="1"/>
  <c r="L21" i="9" s="1"/>
  <c r="R21" i="9" a="1"/>
  <c r="R21" i="9" s="1"/>
  <c r="Z21" i="9" a="1"/>
  <c r="Z21" i="9" s="1"/>
  <c r="M21" i="9" a="1"/>
  <c r="M21" i="9" s="1"/>
  <c r="F21" i="9" a="1"/>
  <c r="F21" i="9" s="1"/>
  <c r="K21" i="9" a="1"/>
  <c r="K21" i="9" s="1"/>
  <c r="H21" i="9" a="1"/>
  <c r="H21" i="9" s="1"/>
  <c r="I21" i="9" a="1"/>
  <c r="I21" i="9" s="1"/>
  <c r="M23" i="9" a="1"/>
  <c r="M23" i="9" s="1"/>
  <c r="AB21" i="9" a="1"/>
  <c r="AB21" i="9" s="1"/>
  <c r="C20" i="9" a="1"/>
  <c r="C20" i="9" s="1"/>
  <c r="P21" i="9" a="1"/>
  <c r="P21" i="9" s="1"/>
  <c r="E21" i="9" a="1"/>
  <c r="E21" i="9" s="1"/>
  <c r="T21" i="9" a="1"/>
  <c r="T21" i="9" s="1"/>
  <c r="AA20" i="9" a="1"/>
  <c r="AA20" i="9" s="1"/>
  <c r="V21" i="9" a="1"/>
  <c r="V21" i="9" s="1"/>
  <c r="W20" i="9" a="1"/>
  <c r="W20" i="9" s="1"/>
  <c r="M24" i="9" a="1"/>
  <c r="M24" i="9" s="1"/>
  <c r="M20" i="9" a="1"/>
  <c r="M20" i="9" s="1"/>
  <c r="R24" i="9" a="1"/>
  <c r="R24" i="9" s="1"/>
  <c r="X21" i="9" a="1"/>
  <c r="X21" i="9" s="1"/>
  <c r="M25" i="9" a="1"/>
  <c r="M25" i="9" s="1"/>
  <c r="R20" i="9" a="1"/>
  <c r="R20" i="9" s="1"/>
  <c r="R25" i="9" a="1"/>
  <c r="R25" i="9" s="1"/>
  <c r="N21" i="9" a="1"/>
  <c r="N21" i="9" s="1"/>
  <c r="R23" i="9" a="1"/>
  <c r="R23" i="9" s="1"/>
  <c r="D21" i="9" a="1"/>
  <c r="D21" i="9" s="1"/>
  <c r="S21" i="9" a="1"/>
  <c r="S21" i="9" s="1"/>
  <c r="C21" i="9" a="1"/>
  <c r="C21" i="9" s="1"/>
  <c r="Y21" i="9" a="1"/>
  <c r="Y21" i="9" s="1"/>
  <c r="U21" i="9" a="1"/>
  <c r="U21" i="9" s="1"/>
  <c r="O21" i="9" a="1"/>
  <c r="O21" i="9" s="1"/>
  <c r="AA21" i="9" a="1"/>
  <c r="AA21" i="9" s="1"/>
  <c r="Q21" i="9" a="1"/>
  <c r="Q21" i="9" s="1"/>
  <c r="C13" i="9" a="1"/>
  <c r="C13" i="9" s="1"/>
  <c r="C9" i="9" a="1"/>
  <c r="C9" i="9" s="1"/>
  <c r="C11" i="9" a="1"/>
  <c r="C11" i="9" s="1"/>
  <c r="B2" i="9" a="1"/>
  <c r="B2" i="9" s="1"/>
  <c r="B7" i="9" a="1"/>
  <c r="B7" i="9" s="1"/>
  <c r="B17" i="9" a="1"/>
  <c r="B17" i="9" s="1"/>
  <c r="B5" i="9" a="1"/>
  <c r="B5" i="9" s="1"/>
  <c r="B4" i="9" a="1"/>
  <c r="B4" i="9" s="1"/>
  <c r="B16" i="9" a="1"/>
  <c r="B16" i="9" s="1"/>
  <c r="B18" i="9" a="1"/>
  <c r="B18" i="9" s="1"/>
  <c r="B6" i="9" a="1"/>
  <c r="B6" i="9" s="1"/>
  <c r="C12" i="9" a="1"/>
  <c r="C12" i="9" s="1"/>
  <c r="B15" i="9" a="1"/>
  <c r="B15" i="9" s="1"/>
  <c r="C8" i="9" a="1"/>
  <c r="C8" i="9" s="1"/>
  <c r="C10" i="9" a="1"/>
  <c r="C10" i="9" s="1"/>
  <c r="I34" i="6" a="1"/>
  <c r="I34" i="6" s="1"/>
  <c r="E34" i="6" a="1"/>
  <c r="E34" i="6" s="1"/>
  <c r="B34" i="6" a="1"/>
  <c r="B34" i="6" s="1"/>
  <c r="D35" i="5" a="1"/>
  <c r="D35" i="5" s="1"/>
  <c r="D30" i="5" a="1"/>
  <c r="D30" i="5" s="1"/>
  <c r="E37" i="6" a="1"/>
  <c r="E37" i="6" s="1"/>
  <c r="D34" i="5" a="1"/>
  <c r="D34" i="5" s="1"/>
  <c r="D31" i="5" a="1"/>
  <c r="D31" i="5" s="1"/>
  <c r="E36" i="6" a="1"/>
  <c r="E36" i="6" s="1"/>
  <c r="D24" i="5" a="1"/>
  <c r="D24" i="5" s="1"/>
  <c r="D32" i="5" a="1"/>
  <c r="D32" i="5" s="1"/>
  <c r="C55" i="6" a="1"/>
  <c r="C55" i="6" s="1"/>
  <c r="B36" i="6" a="1"/>
  <c r="B36" i="6" s="1"/>
  <c r="B38" i="6" a="1"/>
  <c r="B38" i="6" s="1"/>
  <c r="D25" i="5" a="1"/>
  <c r="D25" i="5" s="1"/>
  <c r="D33" i="5" a="1"/>
  <c r="D33" i="5" s="1"/>
  <c r="B39" i="6" a="1"/>
  <c r="B39" i="6" s="1"/>
  <c r="D23" i="5" a="1"/>
  <c r="D23" i="5" s="1"/>
  <c r="D26" i="5" a="1"/>
  <c r="D26" i="5" s="1"/>
  <c r="D27" i="5" a="1"/>
  <c r="D27" i="5" s="1"/>
  <c r="B37" i="6" a="1"/>
  <c r="B37" i="6" s="1"/>
  <c r="D28" i="5" a="1"/>
  <c r="D28" i="5" s="1"/>
  <c r="E39" i="6" a="1"/>
  <c r="E39" i="6" s="1"/>
  <c r="D29" i="5" a="1"/>
  <c r="D29" i="5" s="1"/>
  <c r="E38" i="6" a="1"/>
  <c r="E38" i="6" s="1"/>
  <c r="B23" i="6" a="1"/>
  <c r="B23" i="6" s="1"/>
  <c r="B33" i="6" a="1"/>
  <c r="B33" i="6" s="1"/>
  <c r="B20" i="6" a="1"/>
  <c r="B20" i="6" s="1"/>
  <c r="B32" i="6" a="1"/>
  <c r="B32" i="6" s="1"/>
  <c r="E33" i="6" a="1"/>
  <c r="E33" i="6" s="1"/>
  <c r="I33" i="6" a="1"/>
  <c r="I33" i="6" s="1"/>
  <c r="B9" i="6" a="1"/>
  <c r="B9" i="6" s="1"/>
  <c r="E32" i="6" a="1"/>
  <c r="E32" i="6" s="1"/>
  <c r="Q22" i="5"/>
  <c r="C22" i="5" s="1"/>
  <c r="K13" i="6"/>
  <c r="X23" i="6"/>
  <c r="R10" i="5" l="1"/>
  <c r="L12" i="6" s="1"/>
  <c r="B49" i="6"/>
  <c r="B52" i="6"/>
  <c r="B55" i="6"/>
  <c r="X32" i="6"/>
  <c r="X37" i="6"/>
  <c r="X38" i="6"/>
  <c r="X39" i="6"/>
  <c r="X36" i="6"/>
  <c r="X41" i="6"/>
  <c r="X40" i="6"/>
  <c r="X77" i="6"/>
  <c r="X15" i="6"/>
  <c r="X12" i="6"/>
  <c r="X13" i="6"/>
  <c r="X11" i="6"/>
  <c r="X72" i="6"/>
  <c r="X64" i="6"/>
  <c r="X49" i="6"/>
  <c r="X52" i="6"/>
  <c r="X55" i="6"/>
  <c r="X58" i="6"/>
  <c r="X61" i="6"/>
  <c r="X45" i="6"/>
  <c r="X28" i="6"/>
  <c r="X24" i="6"/>
  <c r="X20" i="6"/>
  <c r="X19" i="6"/>
  <c r="L9" i="5" l="1"/>
  <c r="B47" i="6" a="1"/>
  <c r="B47" i="6" s="1"/>
  <c r="I31" i="6" a="1"/>
  <c r="I31" i="6" s="1"/>
  <c r="B74" i="6" a="1"/>
  <c r="B74" i="6" s="1"/>
  <c r="B27" i="6" a="1"/>
  <c r="B27" i="6" s="1"/>
  <c r="B18" i="6" a="1"/>
  <c r="B18" i="6" s="1"/>
  <c r="B44" i="6" a="1"/>
  <c r="B44" i="6" s="1"/>
  <c r="B71" i="6" a="1"/>
  <c r="B71" i="6" s="1"/>
  <c r="B72" i="6" a="1"/>
  <c r="B72" i="6" s="1"/>
  <c r="I6" i="6" a="1"/>
  <c r="I6" i="6" s="1"/>
  <c r="I4" i="6" a="1"/>
  <c r="I4" i="6" s="1"/>
  <c r="I5" i="6" a="1"/>
  <c r="I5" i="6" s="1"/>
  <c r="B76" i="6" a="1"/>
  <c r="B76" i="6" s="1"/>
  <c r="E41" i="6" a="1"/>
  <c r="E41" i="6" s="1"/>
  <c r="B40" i="6" a="1"/>
  <c r="B40" i="6" s="1"/>
  <c r="E40" i="6" a="1"/>
  <c r="E40" i="6" s="1"/>
  <c r="B41" i="6" a="1"/>
  <c r="B41" i="6" s="1"/>
  <c r="B45" i="6" a="1"/>
  <c r="B45" i="6" s="1"/>
  <c r="B30" i="6" a="1"/>
  <c r="B30" i="6" s="1"/>
  <c r="E31" i="6" a="1"/>
  <c r="E31" i="6" s="1"/>
  <c r="B28" i="6" a="1"/>
  <c r="B28" i="6" s="1"/>
  <c r="B19" i="6" a="1"/>
  <c r="B19" i="6" s="1"/>
  <c r="B15" i="6" a="1"/>
  <c r="B15" i="6" s="1"/>
  <c r="B13" i="6" a="1"/>
  <c r="B13" i="6" s="1"/>
  <c r="B12" i="6" a="1"/>
  <c r="B12" i="6" s="1"/>
  <c r="B8" i="6" a="1"/>
  <c r="B8" i="6" s="1"/>
  <c r="B11" i="6" a="1"/>
  <c r="B11" i="6" s="1"/>
  <c r="B22" i="6" a="1"/>
  <c r="B22" i="6" s="1"/>
  <c r="B12" i="5" l="1"/>
  <c r="B7" i="5" s="1"/>
  <c r="E2" i="3" l="1" a="1"/>
  <c r="E2"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<sst xmlns="http://schemas.openxmlformats.org/spreadsheetml/2006/main" count="16434" uniqueCount="5094">
  <si>
    <t>PLZ</t>
  </si>
  <si>
    <t>Bern</t>
  </si>
  <si>
    <t>-</t>
  </si>
  <si>
    <t>Ortschaftsname</t>
  </si>
  <si>
    <t>Gemeindename</t>
  </si>
  <si>
    <t>Kantonskürzel</t>
  </si>
  <si>
    <t>Aeugst am Albis</t>
  </si>
  <si>
    <t>ZH</t>
  </si>
  <si>
    <t>Aeugstertal</t>
  </si>
  <si>
    <t>Zwillikon</t>
  </si>
  <si>
    <t>Affoltern am Albis</t>
  </si>
  <si>
    <t>Bonstetten</t>
  </si>
  <si>
    <t>Hausen am Albis</t>
  </si>
  <si>
    <t>Ebertswil</t>
  </si>
  <si>
    <t>Hedingen</t>
  </si>
  <si>
    <t>Kappel am Albis</t>
  </si>
  <si>
    <t>Hauptikon</t>
  </si>
  <si>
    <t>Uerzlikon</t>
  </si>
  <si>
    <t>Knonau</t>
  </si>
  <si>
    <t>Maschwanden</t>
  </si>
  <si>
    <t>Mettmenstetten</t>
  </si>
  <si>
    <t>Obfelden</t>
  </si>
  <si>
    <t>Ottenbach</t>
  </si>
  <si>
    <t>Rifferswil</t>
  </si>
  <si>
    <t>Stallikon</t>
  </si>
  <si>
    <t>Uetliberg</t>
  </si>
  <si>
    <t>Wettswil</t>
  </si>
  <si>
    <t>Wettswil am Albis</t>
  </si>
  <si>
    <t>Adlikon b. Andelfingen</t>
  </si>
  <si>
    <t>Adlikon</t>
  </si>
  <si>
    <t>Benken ZH</t>
  </si>
  <si>
    <t>Benken (ZH)</t>
  </si>
  <si>
    <t>Berg am Irchel</t>
  </si>
  <si>
    <t>Gräslikon</t>
  </si>
  <si>
    <t>Buch am Irchel</t>
  </si>
  <si>
    <t>Dachsen</t>
  </si>
  <si>
    <t>Dorf</t>
  </si>
  <si>
    <t>Feuerthalen</t>
  </si>
  <si>
    <t>Langwiesen</t>
  </si>
  <si>
    <t>Flaach</t>
  </si>
  <si>
    <t>Flurlingen</t>
  </si>
  <si>
    <t>Andelfingen</t>
  </si>
  <si>
    <t>Henggart</t>
  </si>
  <si>
    <t>Humlikon</t>
  </si>
  <si>
    <t>Kleinandelfingen</t>
  </si>
  <si>
    <t>Alten</t>
  </si>
  <si>
    <t>Oerlingen</t>
  </si>
  <si>
    <t>Nohl</t>
  </si>
  <si>
    <t>Laufen-Uhwiesen</t>
  </si>
  <si>
    <t>Uhwiesen</t>
  </si>
  <si>
    <t>Marthalen</t>
  </si>
  <si>
    <t>Ellikon am Rhein</t>
  </si>
  <si>
    <t>Ossingen</t>
  </si>
  <si>
    <t>Rheinau</t>
  </si>
  <si>
    <t>Thalheim an der Thur</t>
  </si>
  <si>
    <t>Rudolfingen</t>
  </si>
  <si>
    <t>Trüllikon</t>
  </si>
  <si>
    <t>Wildensbuch</t>
  </si>
  <si>
    <t>Truttikon</t>
  </si>
  <si>
    <t>Volken</t>
  </si>
  <si>
    <t>Bachenbülach</t>
  </si>
  <si>
    <t>Bassersdorf</t>
  </si>
  <si>
    <t>Bülach</t>
  </si>
  <si>
    <t>Dietlikon</t>
  </si>
  <si>
    <t>Eglisau</t>
  </si>
  <si>
    <t>Embrach</t>
  </si>
  <si>
    <t>Freienstein</t>
  </si>
  <si>
    <t>Freienstein-Teufen</t>
  </si>
  <si>
    <t>Teufen ZH</t>
  </si>
  <si>
    <t>Glattfelden</t>
  </si>
  <si>
    <t>Zweidlen</t>
  </si>
  <si>
    <t>Hochfelden</t>
  </si>
  <si>
    <t>Höri</t>
  </si>
  <si>
    <t>Hüntwangen</t>
  </si>
  <si>
    <t>Kloten</t>
  </si>
  <si>
    <t>Lufingen</t>
  </si>
  <si>
    <t>Nürensdorf</t>
  </si>
  <si>
    <t>Oberembrach</t>
  </si>
  <si>
    <t>Glattbrugg</t>
  </si>
  <si>
    <t>Opfikon</t>
  </si>
  <si>
    <t>Glattpark (Opfikon)</t>
  </si>
  <si>
    <t>Rafz</t>
  </si>
  <si>
    <t>Rorbas</t>
  </si>
  <si>
    <t>Wallisellen</t>
  </si>
  <si>
    <t>Wasterkingen</t>
  </si>
  <si>
    <t>Wil ZH</t>
  </si>
  <si>
    <t>Wil (ZH)</t>
  </si>
  <si>
    <t>Winkel</t>
  </si>
  <si>
    <t>Bachs</t>
  </si>
  <si>
    <t>Boppelsen</t>
  </si>
  <si>
    <t>Buchs ZH</t>
  </si>
  <si>
    <t>Buchs (ZH)</t>
  </si>
  <si>
    <t>Dällikon</t>
  </si>
  <si>
    <t>Dänikon ZH</t>
  </si>
  <si>
    <t>Dänikon</t>
  </si>
  <si>
    <t>Dielsdorf</t>
  </si>
  <si>
    <t>Hüttikon</t>
  </si>
  <si>
    <t>Neerach</t>
  </si>
  <si>
    <t>Niederglatt ZH</t>
  </si>
  <si>
    <t>Niederglatt</t>
  </si>
  <si>
    <t>Niederhasli</t>
  </si>
  <si>
    <t>Nassenwil</t>
  </si>
  <si>
    <t>Oberhasli</t>
  </si>
  <si>
    <t>Niederweningen</t>
  </si>
  <si>
    <t>Oberglatt ZH</t>
  </si>
  <si>
    <t>Oberglatt</t>
  </si>
  <si>
    <t>Oberweningen</t>
  </si>
  <si>
    <t>Otelfingen</t>
  </si>
  <si>
    <t>Regensberg</t>
  </si>
  <si>
    <t>Regensdorf</t>
  </si>
  <si>
    <t>Watt</t>
  </si>
  <si>
    <t>Adlikon b. Regensdorf</t>
  </si>
  <si>
    <t>Rümlang</t>
  </si>
  <si>
    <t>Schleinikon</t>
  </si>
  <si>
    <t>Schöfflisdorf</t>
  </si>
  <si>
    <t>Stadel b. Niederglatt</t>
  </si>
  <si>
    <t>Stadel</t>
  </si>
  <si>
    <t>Windlach</t>
  </si>
  <si>
    <t>Steinmaur</t>
  </si>
  <si>
    <t>Sünikon</t>
  </si>
  <si>
    <t>Weiach</t>
  </si>
  <si>
    <t>Bäretswil</t>
  </si>
  <si>
    <t>Adetswil</t>
  </si>
  <si>
    <t>Bubikon</t>
  </si>
  <si>
    <t>Wolfhausen</t>
  </si>
  <si>
    <t>Tann</t>
  </si>
  <si>
    <t>Dürnten</t>
  </si>
  <si>
    <t>Steg im Tösstal</t>
  </si>
  <si>
    <t>Fischenthal</t>
  </si>
  <si>
    <t>Gibswil</t>
  </si>
  <si>
    <t>Bertschikon (Gossau ZH)</t>
  </si>
  <si>
    <t>Gossau (ZH)</t>
  </si>
  <si>
    <t>Grüt (Gossau ZH)</t>
  </si>
  <si>
    <t>Gossau ZH</t>
  </si>
  <si>
    <t>Ottikon (Gossau ZH)</t>
  </si>
  <si>
    <t>Grüningen</t>
  </si>
  <si>
    <t>Hinwil</t>
  </si>
  <si>
    <t>Wernetshausen</t>
  </si>
  <si>
    <t>Rüti ZH</t>
  </si>
  <si>
    <t>Rüti (ZH)</t>
  </si>
  <si>
    <t>Aathal-Seegräben</t>
  </si>
  <si>
    <t>Seegräben</t>
  </si>
  <si>
    <t>Wald ZH</t>
  </si>
  <si>
    <t>Wald (ZH)</t>
  </si>
  <si>
    <t>Laupen ZH</t>
  </si>
  <si>
    <t>Wetzikon ZH</t>
  </si>
  <si>
    <t>Wetzikon (ZH)</t>
  </si>
  <si>
    <t>Adliswil</t>
  </si>
  <si>
    <t>Kilchberg ZH</t>
  </si>
  <si>
    <t>Kilchberg (ZH)</t>
  </si>
  <si>
    <t>Langnau am Albis</t>
  </si>
  <si>
    <t>Oberrieden</t>
  </si>
  <si>
    <t>Richterswil</t>
  </si>
  <si>
    <t>Samstagern</t>
  </si>
  <si>
    <t>Rüschlikon</t>
  </si>
  <si>
    <t>Gattikon</t>
  </si>
  <si>
    <t>Thalwil</t>
  </si>
  <si>
    <t>Erlenbach ZH</t>
  </si>
  <si>
    <t>Erlenbach (ZH)</t>
  </si>
  <si>
    <t>Herrliberg</t>
  </si>
  <si>
    <t>Hombrechtikon</t>
  </si>
  <si>
    <t>Feldbach</t>
  </si>
  <si>
    <t>Forch</t>
  </si>
  <si>
    <t>Küsnacht (ZH)</t>
  </si>
  <si>
    <t>Küsnacht ZH</t>
  </si>
  <si>
    <t>Männedorf</t>
  </si>
  <si>
    <t>Meilen</t>
  </si>
  <si>
    <t>Oetwil am See</t>
  </si>
  <si>
    <t>Stäfa</t>
  </si>
  <si>
    <t>Uerikon</t>
  </si>
  <si>
    <t>Uetikon am See</t>
  </si>
  <si>
    <t>Zumikon</t>
  </si>
  <si>
    <t>Zollikerberg</t>
  </si>
  <si>
    <t>Zollikon</t>
  </si>
  <si>
    <t>Fehraltorf</t>
  </si>
  <si>
    <t>Hittnau</t>
  </si>
  <si>
    <t>Kemptthal</t>
  </si>
  <si>
    <t>Lindau</t>
  </si>
  <si>
    <t>Grafstal</t>
  </si>
  <si>
    <t>Winterberg ZH</t>
  </si>
  <si>
    <t>Tagelswangen</t>
  </si>
  <si>
    <t>Pfäffikon ZH</t>
  </si>
  <si>
    <t>Pfäffikon</t>
  </si>
  <si>
    <t>Auslikon</t>
  </si>
  <si>
    <t>Madetswil</t>
  </si>
  <si>
    <t>Russikon</t>
  </si>
  <si>
    <t>Gündisau</t>
  </si>
  <si>
    <t>Rumlikon</t>
  </si>
  <si>
    <t>Weisslingen</t>
  </si>
  <si>
    <t>Neschwil</t>
  </si>
  <si>
    <t>Theilingen</t>
  </si>
  <si>
    <t>Wila</t>
  </si>
  <si>
    <t>Wildberg</t>
  </si>
  <si>
    <t>Schalchen</t>
  </si>
  <si>
    <t>Ehrikon</t>
  </si>
  <si>
    <t>Gockhausen</t>
  </si>
  <si>
    <t>Dübendorf</t>
  </si>
  <si>
    <t>Egg b. Zürich</t>
  </si>
  <si>
    <t>Egg</t>
  </si>
  <si>
    <t>Hinteregg</t>
  </si>
  <si>
    <t>Esslingen</t>
  </si>
  <si>
    <t>Fällanden</t>
  </si>
  <si>
    <t>Pfaffhausen</t>
  </si>
  <si>
    <t>Benglen</t>
  </si>
  <si>
    <t>Greifensee</t>
  </si>
  <si>
    <t>Binz</t>
  </si>
  <si>
    <t>Maur</t>
  </si>
  <si>
    <t>Ebmatingen</t>
  </si>
  <si>
    <t>Mönchaltorf</t>
  </si>
  <si>
    <t>Schwerzenbach</t>
  </si>
  <si>
    <t>Nänikon</t>
  </si>
  <si>
    <t>Uster</t>
  </si>
  <si>
    <t>Sulzbach</t>
  </si>
  <si>
    <t>Wermatswil</t>
  </si>
  <si>
    <t>Freudwil</t>
  </si>
  <si>
    <t>Riedikon</t>
  </si>
  <si>
    <t>Volketswil</t>
  </si>
  <si>
    <t>Gutenswil</t>
  </si>
  <si>
    <t>Brüttisellen</t>
  </si>
  <si>
    <t>Wangen-Brüttisellen</t>
  </si>
  <si>
    <t>Wangen b. Dübendorf</t>
  </si>
  <si>
    <t>Altikon</t>
  </si>
  <si>
    <t>Brütten</t>
  </si>
  <si>
    <t>Rutschwil (Dägerlen)</t>
  </si>
  <si>
    <t>Dägerlen</t>
  </si>
  <si>
    <t>Oberwil (Dägerlen)</t>
  </si>
  <si>
    <t>Berg (Dägerlen)</t>
  </si>
  <si>
    <t>Bänk (Dägerlen)</t>
  </si>
  <si>
    <t>Dättlikon</t>
  </si>
  <si>
    <t>Dinhard</t>
  </si>
  <si>
    <t>Ellikon an der Thur</t>
  </si>
  <si>
    <t>Elsau</t>
  </si>
  <si>
    <t>Hagenbuch ZH</t>
  </si>
  <si>
    <t>Hagenbuch</t>
  </si>
  <si>
    <t>Hettlingen</t>
  </si>
  <si>
    <t>Aesch (Neftenbach)</t>
  </si>
  <si>
    <t>Neftenbach</t>
  </si>
  <si>
    <t>Riet (Neftenbach)</t>
  </si>
  <si>
    <t>Hünikon (Neftenbach)</t>
  </si>
  <si>
    <t>Pfungen</t>
  </si>
  <si>
    <t>Rickenbach ZH</t>
  </si>
  <si>
    <t>Rickenbach (ZH)</t>
  </si>
  <si>
    <t>Rickenbach Sulz</t>
  </si>
  <si>
    <t>Schlatt ZH</t>
  </si>
  <si>
    <t>Schlatt (ZH)</t>
  </si>
  <si>
    <t>Seuzach</t>
  </si>
  <si>
    <t>Turbenthal</t>
  </si>
  <si>
    <t>Schmidrüti</t>
  </si>
  <si>
    <t>Ricketwil (Winterthur)</t>
  </si>
  <si>
    <t>Winterthur</t>
  </si>
  <si>
    <t>Reutlingen (Winterthur)</t>
  </si>
  <si>
    <t>Stadel (Winterthur)</t>
  </si>
  <si>
    <t>Sennhof (Winterthur)</t>
  </si>
  <si>
    <t>Kollbrunn</t>
  </si>
  <si>
    <t>Zell (ZH)</t>
  </si>
  <si>
    <t>Rikon im Tösstal</t>
  </si>
  <si>
    <t>Zell ZH</t>
  </si>
  <si>
    <t>Rämismühle</t>
  </si>
  <si>
    <t>Aesch ZH</t>
  </si>
  <si>
    <t>Aesch (ZH)</t>
  </si>
  <si>
    <t>Birmensdorf ZH</t>
  </si>
  <si>
    <t>Birmensdorf (ZH)</t>
  </si>
  <si>
    <t>Dietikon</t>
  </si>
  <si>
    <t>Fahrweid</t>
  </si>
  <si>
    <t>Geroldswil</t>
  </si>
  <si>
    <t>Oberengstringen</t>
  </si>
  <si>
    <t>Oetwil an der Limmat</t>
  </si>
  <si>
    <t>Schlieren</t>
  </si>
  <si>
    <t>Uitikon Waldegg</t>
  </si>
  <si>
    <t>Uitikon</t>
  </si>
  <si>
    <t>Unterengstringen</t>
  </si>
  <si>
    <t>Urdorf</t>
  </si>
  <si>
    <t>Weiningen ZH</t>
  </si>
  <si>
    <t>Weiningen (ZH)</t>
  </si>
  <si>
    <t>Zürich</t>
  </si>
  <si>
    <t>Waltalingen</t>
  </si>
  <si>
    <t>Stammheim</t>
  </si>
  <si>
    <t>Guntalingen</t>
  </si>
  <si>
    <t>Unterstammheim</t>
  </si>
  <si>
    <t>Oberstammheim</t>
  </si>
  <si>
    <t>Wilen b. Neunforn</t>
  </si>
  <si>
    <t>Au ZH</t>
  </si>
  <si>
    <t>Wädenswil</t>
  </si>
  <si>
    <t>Schönenberg ZH</t>
  </si>
  <si>
    <t>Hütten</t>
  </si>
  <si>
    <t>Elgg</t>
  </si>
  <si>
    <t>Hofstetten ZH</t>
  </si>
  <si>
    <t>Dickbuch</t>
  </si>
  <si>
    <t>Sihlbrugg Station</t>
  </si>
  <si>
    <t>Horgen</t>
  </si>
  <si>
    <t>Sihlwald</t>
  </si>
  <si>
    <t>Horgenberg</t>
  </si>
  <si>
    <t>Hirzel</t>
  </si>
  <si>
    <t>Effretikon</t>
  </si>
  <si>
    <t>Illnau-Effretikon</t>
  </si>
  <si>
    <t>Ottikon b. Kemptthal</t>
  </si>
  <si>
    <t>Illnau</t>
  </si>
  <si>
    <t>Agasul</t>
  </si>
  <si>
    <t>Kyburg</t>
  </si>
  <si>
    <t>Saland</t>
  </si>
  <si>
    <t>Bauma</t>
  </si>
  <si>
    <t>Sternenberg</t>
  </si>
  <si>
    <t>Wiesendangen</t>
  </si>
  <si>
    <t>Bertschikon</t>
  </si>
  <si>
    <t>Gundetswil</t>
  </si>
  <si>
    <t>Kefikon ZH</t>
  </si>
  <si>
    <t>Attikon</t>
  </si>
  <si>
    <t>Menzengrüt</t>
  </si>
  <si>
    <t>Aarberg</t>
  </si>
  <si>
    <t>BE</t>
  </si>
  <si>
    <t>Bargen BE</t>
  </si>
  <si>
    <t>Bargen (BE)</t>
  </si>
  <si>
    <t>Grossaffoltern</t>
  </si>
  <si>
    <t>Ammerzwil BE</t>
  </si>
  <si>
    <t>Suberg</t>
  </si>
  <si>
    <t>Golaten</t>
  </si>
  <si>
    <t>Kallnach</t>
  </si>
  <si>
    <t>Niederried b. Kallnach</t>
  </si>
  <si>
    <t>Kappelen</t>
  </si>
  <si>
    <t>Lyss</t>
  </si>
  <si>
    <t>Busswil BE</t>
  </si>
  <si>
    <t>Ortschwaben</t>
  </si>
  <si>
    <t>Meikirch</t>
  </si>
  <si>
    <t>Wahlendorf</t>
  </si>
  <si>
    <t>Detligen</t>
  </si>
  <si>
    <t>Radelfingen</t>
  </si>
  <si>
    <t>Radelfingen b. Aarberg</t>
  </si>
  <si>
    <t>Lätti</t>
  </si>
  <si>
    <t>Rapperswil (BE)</t>
  </si>
  <si>
    <t>Ruppoldsried</t>
  </si>
  <si>
    <t>Rapperswil BE</t>
  </si>
  <si>
    <t>Dieterswil</t>
  </si>
  <si>
    <t>Bangerten b. Dieterswil</t>
  </si>
  <si>
    <t>Seewil</t>
  </si>
  <si>
    <t>Schüpfen</t>
  </si>
  <si>
    <t>Frieswil</t>
  </si>
  <si>
    <t>Seedorf (BE)</t>
  </si>
  <si>
    <t>Wiler b. Seedorf</t>
  </si>
  <si>
    <t>Seedorf BE</t>
  </si>
  <si>
    <t>Lobsigen</t>
  </si>
  <si>
    <t>Aarwangen</t>
  </si>
  <si>
    <t>Auswil</t>
  </si>
  <si>
    <t>Bannwil</t>
  </si>
  <si>
    <t>Bleienbach</t>
  </si>
  <si>
    <t>Busswil b. Melchnau</t>
  </si>
  <si>
    <t>Busswil bei Melchnau</t>
  </si>
  <si>
    <t>Gondiswil</t>
  </si>
  <si>
    <t>Langenthal</t>
  </si>
  <si>
    <t>Untersteckholz</t>
  </si>
  <si>
    <t>Obersteckholz</t>
  </si>
  <si>
    <t>Lotzwil</t>
  </si>
  <si>
    <t>Gutenburg</t>
  </si>
  <si>
    <t>Madiswil</t>
  </si>
  <si>
    <t>Leimiswil</t>
  </si>
  <si>
    <t>Kleindietwil</t>
  </si>
  <si>
    <t>Melchnau</t>
  </si>
  <si>
    <t>Oeschenbach</t>
  </si>
  <si>
    <t>Reisiswil</t>
  </si>
  <si>
    <t>Roggwil BE</t>
  </si>
  <si>
    <t>Roggwil (BE)</t>
  </si>
  <si>
    <t>Rohrbach</t>
  </si>
  <si>
    <t>Rohrbachgraben</t>
  </si>
  <si>
    <t>Rütschelen</t>
  </si>
  <si>
    <t>Schwarzhäusern</t>
  </si>
  <si>
    <t>Bützberg</t>
  </si>
  <si>
    <t>Thunstetten</t>
  </si>
  <si>
    <t>Ursenbach</t>
  </si>
  <si>
    <t>Wynau</t>
  </si>
  <si>
    <t>Bolligen</t>
  </si>
  <si>
    <t>Bremgarten b. Bern</t>
  </si>
  <si>
    <t>Bremgarten bei Bern</t>
  </si>
  <si>
    <t>Herrenschwanden</t>
  </si>
  <si>
    <t>Kirchlindach</t>
  </si>
  <si>
    <t>Wabern</t>
  </si>
  <si>
    <t>Köniz</t>
  </si>
  <si>
    <t>Spiegel b. Bern</t>
  </si>
  <si>
    <t>Liebefeld</t>
  </si>
  <si>
    <t>Schliern b. Köniz</t>
  </si>
  <si>
    <t>Gasel</t>
  </si>
  <si>
    <t>Niederscherli</t>
  </si>
  <si>
    <t>Mittelhäusern</t>
  </si>
  <si>
    <t>Niederwangen b. Bern</t>
  </si>
  <si>
    <t>Oberwangen b. Bern</t>
  </si>
  <si>
    <t>Thörishaus</t>
  </si>
  <si>
    <t>Gümligen</t>
  </si>
  <si>
    <t>Muri bei Bern</t>
  </si>
  <si>
    <t>Muri b. Bern</t>
  </si>
  <si>
    <t>Oberbalm</t>
  </si>
  <si>
    <t>Stettlen</t>
  </si>
  <si>
    <t>Boll</t>
  </si>
  <si>
    <t>Vechigen</t>
  </si>
  <si>
    <t>Utzigen</t>
  </si>
  <si>
    <t>Hinterkappelen</t>
  </si>
  <si>
    <t>Wohlen bei Bern</t>
  </si>
  <si>
    <t>Wohlen b. Bern</t>
  </si>
  <si>
    <t>Murzelen</t>
  </si>
  <si>
    <t>Uettligen</t>
  </si>
  <si>
    <t>Innerberg</t>
  </si>
  <si>
    <t>Säriswil</t>
  </si>
  <si>
    <t>Zollikofen</t>
  </si>
  <si>
    <t>Worblaufen</t>
  </si>
  <si>
    <t>Ittigen</t>
  </si>
  <si>
    <t>Ostermundigen</t>
  </si>
  <si>
    <t>Biel/Bienne</t>
  </si>
  <si>
    <t>Magglingen/Macolin</t>
  </si>
  <si>
    <t>Evilard</t>
  </si>
  <si>
    <t>Arch</t>
  </si>
  <si>
    <t>Büetigen</t>
  </si>
  <si>
    <t>Büren an der Aare</t>
  </si>
  <si>
    <t>Diessbach b. Büren</t>
  </si>
  <si>
    <t>Diessbach bei Büren</t>
  </si>
  <si>
    <t>Dotzigen</t>
  </si>
  <si>
    <t>Lengnau BE</t>
  </si>
  <si>
    <t>Lengnau (BE)</t>
  </si>
  <si>
    <t>Leuzigen</t>
  </si>
  <si>
    <t>Meienried</t>
  </si>
  <si>
    <t>Meinisberg</t>
  </si>
  <si>
    <t>Oberwil b. Büren</t>
  </si>
  <si>
    <t>Oberwil bei Büren</t>
  </si>
  <si>
    <t>Pieterlen</t>
  </si>
  <si>
    <t>Rüti b. Büren</t>
  </si>
  <si>
    <t>Rüti bei Büren</t>
  </si>
  <si>
    <t>Wengi b. Büren</t>
  </si>
  <si>
    <t>Wengi</t>
  </si>
  <si>
    <t>Aefligen</t>
  </si>
  <si>
    <t>Alchenstorf</t>
  </si>
  <si>
    <t>Bäriswil BE</t>
  </si>
  <si>
    <t>Bäriswil</t>
  </si>
  <si>
    <t>Burgdorf</t>
  </si>
  <si>
    <t>Ersigen</t>
  </si>
  <si>
    <t>Niederösch</t>
  </si>
  <si>
    <t>Oberösch</t>
  </si>
  <si>
    <t>Hasle b. Burgdorf</t>
  </si>
  <si>
    <t>Hasle bei Burgdorf</t>
  </si>
  <si>
    <t>Schafhausen im Emmental</t>
  </si>
  <si>
    <t>Biembach im Emmental</t>
  </si>
  <si>
    <t>Heimiswil</t>
  </si>
  <si>
    <t>Kaltacker</t>
  </si>
  <si>
    <t>Hellsau</t>
  </si>
  <si>
    <t>Hindelbank</t>
  </si>
  <si>
    <t>Mötschwil</t>
  </si>
  <si>
    <t>Höchstetten</t>
  </si>
  <si>
    <t>Kernenried</t>
  </si>
  <si>
    <t>Kirchberg BE</t>
  </si>
  <si>
    <t>Kirchberg (BE)</t>
  </si>
  <si>
    <t>Koppigen</t>
  </si>
  <si>
    <t>Hettiswil b. Hindelbank</t>
  </si>
  <si>
    <t>Krauchthal</t>
  </si>
  <si>
    <t>Lyssach</t>
  </si>
  <si>
    <t>Oberburg</t>
  </si>
  <si>
    <t>Rüdtligen</t>
  </si>
  <si>
    <t>Rüdtligen-Alchenflüh</t>
  </si>
  <si>
    <t>Alchenflüh</t>
  </si>
  <si>
    <t>Rumendingen</t>
  </si>
  <si>
    <t>Rüti b. Lyssach</t>
  </si>
  <si>
    <t>Rüti bei Lyssach</t>
  </si>
  <si>
    <t>Willadingen</t>
  </si>
  <si>
    <t>Wynigen</t>
  </si>
  <si>
    <t>Rüedisbach</t>
  </si>
  <si>
    <t>Corgémont</t>
  </si>
  <si>
    <t>Mont-Crosin</t>
  </si>
  <si>
    <t>Cormoret</t>
  </si>
  <si>
    <t>Cortébert</t>
  </si>
  <si>
    <t>Montagne-de-Courtelary</t>
  </si>
  <si>
    <t>Courtelary</t>
  </si>
  <si>
    <t>La Ferrière</t>
  </si>
  <si>
    <t>Mont-Tramelan</t>
  </si>
  <si>
    <t>Orvin</t>
  </si>
  <si>
    <t>Les Prés-d'Orvin</t>
  </si>
  <si>
    <t>Renan BE</t>
  </si>
  <si>
    <t>Renan (BE)</t>
  </si>
  <si>
    <t>Romont BE</t>
  </si>
  <si>
    <t>Romont (BE)</t>
  </si>
  <si>
    <t>St-Imier</t>
  </si>
  <si>
    <t>Saint-Imier</t>
  </si>
  <si>
    <t>Mont-Soleil</t>
  </si>
  <si>
    <t>Les Pontins</t>
  </si>
  <si>
    <t>Sonceboz-Sombeval</t>
  </si>
  <si>
    <t>Sonvilier</t>
  </si>
  <si>
    <t>Montagne-de-Sonvilier</t>
  </si>
  <si>
    <t>Tramelan</t>
  </si>
  <si>
    <t>Les Reussilles</t>
  </si>
  <si>
    <t>Villeret</t>
  </si>
  <si>
    <t>Frinvillier</t>
  </si>
  <si>
    <t>Sauge</t>
  </si>
  <si>
    <t>Plagne</t>
  </si>
  <si>
    <t>Vauffelin</t>
  </si>
  <si>
    <t>Péry</t>
  </si>
  <si>
    <t>Péry-La Heutte</t>
  </si>
  <si>
    <t>La Heutte</t>
  </si>
  <si>
    <t>Brüttelen</t>
  </si>
  <si>
    <t>Erlach</t>
  </si>
  <si>
    <t>Finsterhennen</t>
  </si>
  <si>
    <t>Gals</t>
  </si>
  <si>
    <t>Gampelen</t>
  </si>
  <si>
    <t>Ins</t>
  </si>
  <si>
    <t>Lüscherz</t>
  </si>
  <si>
    <t>Müntschemier</t>
  </si>
  <si>
    <t>Siselen BE</t>
  </si>
  <si>
    <t>Siselen</t>
  </si>
  <si>
    <t>Treiten</t>
  </si>
  <si>
    <t>Tschugg</t>
  </si>
  <si>
    <t>Vinelz</t>
  </si>
  <si>
    <t>Bätterkinden</t>
  </si>
  <si>
    <t>Kräiligen</t>
  </si>
  <si>
    <t>Deisswil b. Münchenbuchsee</t>
  </si>
  <si>
    <t>Deisswil bei Münchenbuchsee</t>
  </si>
  <si>
    <t>Diemerswil</t>
  </si>
  <si>
    <t>Etzelkofen</t>
  </si>
  <si>
    <t>Fraubrunnen</t>
  </si>
  <si>
    <t>Grafenried</t>
  </si>
  <si>
    <t>Zauggenried</t>
  </si>
  <si>
    <t>Büren zum Hof</t>
  </si>
  <si>
    <t>Schalunen</t>
  </si>
  <si>
    <t>Limpach</t>
  </si>
  <si>
    <t>Mülchi</t>
  </si>
  <si>
    <t>Jegenstorf</t>
  </si>
  <si>
    <t>Münchringen</t>
  </si>
  <si>
    <t>Ballmoos</t>
  </si>
  <si>
    <t>Scheunen</t>
  </si>
  <si>
    <t>Iffwil</t>
  </si>
  <si>
    <t>Mattstetten</t>
  </si>
  <si>
    <t>Moosseedorf</t>
  </si>
  <si>
    <t>Münchenbuchsee</t>
  </si>
  <si>
    <t>Urtenen-Schönbühl</t>
  </si>
  <si>
    <t>Utzenstorf</t>
  </si>
  <si>
    <t>Wiggiswil</t>
  </si>
  <si>
    <t>Wiler b. Utzenstorf</t>
  </si>
  <si>
    <t>Wiler bei Utzenstorf</t>
  </si>
  <si>
    <t>Zielebach</t>
  </si>
  <si>
    <t>Zuzwil BE</t>
  </si>
  <si>
    <t>Zuzwil (BE)</t>
  </si>
  <si>
    <t>Adelboden</t>
  </si>
  <si>
    <t>Aeschi b. Spiez</t>
  </si>
  <si>
    <t>Aeschi bei Spiez</t>
  </si>
  <si>
    <t>Aeschiried</t>
  </si>
  <si>
    <t>Emdthal</t>
  </si>
  <si>
    <t>Frutigen</t>
  </si>
  <si>
    <t>Ried (Frutigen)</t>
  </si>
  <si>
    <t>Achseten</t>
  </si>
  <si>
    <t>Kandergrund</t>
  </si>
  <si>
    <t>Blausee-Mitholz</t>
  </si>
  <si>
    <t>Kandersteg</t>
  </si>
  <si>
    <t>Krattigen</t>
  </si>
  <si>
    <t>Mülenen</t>
  </si>
  <si>
    <t>Reichenbach im Kandertal</t>
  </si>
  <si>
    <t>Wengi b. Frutigen</t>
  </si>
  <si>
    <t>Scharnachtal</t>
  </si>
  <si>
    <t>Kiental</t>
  </si>
  <si>
    <t>Sundlauenen</t>
  </si>
  <si>
    <t>Beatenberg</t>
  </si>
  <si>
    <t>Bönigen b. Interlaken</t>
  </si>
  <si>
    <t>Bönigen</t>
  </si>
  <si>
    <t>Brienz BE</t>
  </si>
  <si>
    <t>Brienz (BE)</t>
  </si>
  <si>
    <t>Axalp</t>
  </si>
  <si>
    <t>Brienzwiler</t>
  </si>
  <si>
    <t>Därligen</t>
  </si>
  <si>
    <t>Burglauenen</t>
  </si>
  <si>
    <t>Grindelwald</t>
  </si>
  <si>
    <t>Gsteigwiler</t>
  </si>
  <si>
    <t>Wilderswil</t>
  </si>
  <si>
    <t>Gündlischwand</t>
  </si>
  <si>
    <t>Zweilütschinen</t>
  </si>
  <si>
    <t>Habkern</t>
  </si>
  <si>
    <t>Hofstetten b. Brienz</t>
  </si>
  <si>
    <t>Hofstetten bei Brienz</t>
  </si>
  <si>
    <t>Interlaken</t>
  </si>
  <si>
    <t>Iseltwald</t>
  </si>
  <si>
    <t>Lauterbrunnen</t>
  </si>
  <si>
    <t>Isenfluh</t>
  </si>
  <si>
    <t>Wengen</t>
  </si>
  <si>
    <t>Kleine Scheidegg</t>
  </si>
  <si>
    <t>Eigergletscher</t>
  </si>
  <si>
    <t>Stechelberg</t>
  </si>
  <si>
    <t>Mürren</t>
  </si>
  <si>
    <t>Gimmelwald</t>
  </si>
  <si>
    <t>Leissigen</t>
  </si>
  <si>
    <t>Lütschental</t>
  </si>
  <si>
    <t>Matten b. Interlaken</t>
  </si>
  <si>
    <t>Matten bei Interlaken</t>
  </si>
  <si>
    <t>Niederried b. Interlaken</t>
  </si>
  <si>
    <t>Niederried bei Interlaken</t>
  </si>
  <si>
    <t>Oberried am Brienzersee</t>
  </si>
  <si>
    <t>Goldswil b. Interlaken</t>
  </si>
  <si>
    <t>Ringgenberg (BE)</t>
  </si>
  <si>
    <t>Ringgenberg BE</t>
  </si>
  <si>
    <t>Saxeten</t>
  </si>
  <si>
    <t>Schwanden b. Brienz</t>
  </si>
  <si>
    <t>Schwanden bei Brienz</t>
  </si>
  <si>
    <t>Unterseen</t>
  </si>
  <si>
    <t>Arni BE</t>
  </si>
  <si>
    <t>Arni (BE)</t>
  </si>
  <si>
    <t>Biglen</t>
  </si>
  <si>
    <t>Bowil</t>
  </si>
  <si>
    <t>Brenzikofen</t>
  </si>
  <si>
    <t>Freimettigen</t>
  </si>
  <si>
    <t>Schlosswil</t>
  </si>
  <si>
    <t>Grosshöchstetten</t>
  </si>
  <si>
    <t>Häutligen</t>
  </si>
  <si>
    <t>Herbligen</t>
  </si>
  <si>
    <t>Kiesen</t>
  </si>
  <si>
    <t>Gysenstein</t>
  </si>
  <si>
    <t>Konolfingen</t>
  </si>
  <si>
    <t>Obergoldbach</t>
  </si>
  <si>
    <t>Landiswil</t>
  </si>
  <si>
    <t>Linden</t>
  </si>
  <si>
    <t>Mirchel</t>
  </si>
  <si>
    <t>Trimstein</t>
  </si>
  <si>
    <t>Münsingen</t>
  </si>
  <si>
    <t>Tägertschi</t>
  </si>
  <si>
    <t>Niederhünigen</t>
  </si>
  <si>
    <t>Oberdiessbach</t>
  </si>
  <si>
    <t>Aeschlen b. Oberdiessbach</t>
  </si>
  <si>
    <t>Bleiken b. Oberdiessbach</t>
  </si>
  <si>
    <t>Oberthal</t>
  </si>
  <si>
    <t>Oppligen</t>
  </si>
  <si>
    <t>Rubigen</t>
  </si>
  <si>
    <t>Walkringen</t>
  </si>
  <si>
    <t>Bigenthal</t>
  </si>
  <si>
    <t>Rüfenacht BE</t>
  </si>
  <si>
    <t>Worb</t>
  </si>
  <si>
    <t>Vielbringen b. Worb</t>
  </si>
  <si>
    <t>Enggistein</t>
  </si>
  <si>
    <t>Richigen</t>
  </si>
  <si>
    <t>Zäziwil</t>
  </si>
  <si>
    <t>Oberhünigen</t>
  </si>
  <si>
    <t>Allmendingen b. Bern</t>
  </si>
  <si>
    <t>Allmendingen</t>
  </si>
  <si>
    <t>Wichtrach</t>
  </si>
  <si>
    <t>Rizenbach</t>
  </si>
  <si>
    <t>Ferenbalm</t>
  </si>
  <si>
    <t>Biberen</t>
  </si>
  <si>
    <t>Gammen</t>
  </si>
  <si>
    <t>Frauenkappelen</t>
  </si>
  <si>
    <t>Gurbrü</t>
  </si>
  <si>
    <t>Kriechenwil</t>
  </si>
  <si>
    <t>Laupen BE</t>
  </si>
  <si>
    <t>Laupen</t>
  </si>
  <si>
    <t>Mühleberg</t>
  </si>
  <si>
    <t>Rosshäusern</t>
  </si>
  <si>
    <t>Gümmenen</t>
  </si>
  <si>
    <t>Münchenwiler</t>
  </si>
  <si>
    <t>Neuenegg</t>
  </si>
  <si>
    <t>Wileroltigen</t>
  </si>
  <si>
    <t>Belprahon</t>
  </si>
  <si>
    <t>Champoz</t>
  </si>
  <si>
    <t>Corcelles BE</t>
  </si>
  <si>
    <t>Corcelles (BE)</t>
  </si>
  <si>
    <t>Court</t>
  </si>
  <si>
    <t>Crémines</t>
  </si>
  <si>
    <t>Eschert</t>
  </si>
  <si>
    <t>Grandval</t>
  </si>
  <si>
    <t>Loveresse</t>
  </si>
  <si>
    <t>Moutier</t>
  </si>
  <si>
    <t>Perrefitte</t>
  </si>
  <si>
    <t>Reconvilier</t>
  </si>
  <si>
    <t>Roches BE</t>
  </si>
  <si>
    <t>Roches (BE)</t>
  </si>
  <si>
    <t>Le Fuet</t>
  </si>
  <si>
    <t>Saicourt</t>
  </si>
  <si>
    <t>Bellelay</t>
  </si>
  <si>
    <t>Saules BE</t>
  </si>
  <si>
    <t>Saules (BE)</t>
  </si>
  <si>
    <t>Schelten</t>
  </si>
  <si>
    <t>Seehof</t>
  </si>
  <si>
    <t>Sorvilier</t>
  </si>
  <si>
    <t>Tavannes</t>
  </si>
  <si>
    <t>La Tanne</t>
  </si>
  <si>
    <t>Rebévelier</t>
  </si>
  <si>
    <t>Châtelat</t>
  </si>
  <si>
    <t>Petit-Val</t>
  </si>
  <si>
    <t>Monible</t>
  </si>
  <si>
    <t>Sornetan</t>
  </si>
  <si>
    <t>Fornet-Dessous</t>
  </si>
  <si>
    <t>Souboz</t>
  </si>
  <si>
    <t>Les Ecorcheresses</t>
  </si>
  <si>
    <t>Pontenet</t>
  </si>
  <si>
    <t>Valbirse</t>
  </si>
  <si>
    <t>Bévilard</t>
  </si>
  <si>
    <t>Malleray</t>
  </si>
  <si>
    <t>La Neuveville</t>
  </si>
  <si>
    <t>Nods</t>
  </si>
  <si>
    <t>Prêles</t>
  </si>
  <si>
    <t>Plateau de Diesse</t>
  </si>
  <si>
    <t>Lamboing</t>
  </si>
  <si>
    <t>Diesse</t>
  </si>
  <si>
    <t>Aegerten</t>
  </si>
  <si>
    <t>Bellmund</t>
  </si>
  <si>
    <t>Brügg BE</t>
  </si>
  <si>
    <t>Brügg</t>
  </si>
  <si>
    <t>Bühl b. Aarberg</t>
  </si>
  <si>
    <t>Bühl</t>
  </si>
  <si>
    <t>Epsach</t>
  </si>
  <si>
    <t>Hagneck</t>
  </si>
  <si>
    <t>Hermrigen</t>
  </si>
  <si>
    <t>Jens</t>
  </si>
  <si>
    <t>Ipsach</t>
  </si>
  <si>
    <t>Ligerz</t>
  </si>
  <si>
    <t>Merzligen</t>
  </si>
  <si>
    <t>Mörigen</t>
  </si>
  <si>
    <t>Nidau</t>
  </si>
  <si>
    <t>Orpund</t>
  </si>
  <si>
    <t>Port</t>
  </si>
  <si>
    <t>Safnern</t>
  </si>
  <si>
    <t>Scheuren</t>
  </si>
  <si>
    <t>Schwadernau</t>
  </si>
  <si>
    <t>Studen BE</t>
  </si>
  <si>
    <t>Studen (BE)</t>
  </si>
  <si>
    <t>Sutz</t>
  </si>
  <si>
    <t>Sutz-Lattrigen</t>
  </si>
  <si>
    <t>Täuffelen</t>
  </si>
  <si>
    <t>Gerolfingen</t>
  </si>
  <si>
    <t>Walperswil</t>
  </si>
  <si>
    <t>Worben</t>
  </si>
  <si>
    <t>Tüscherz-Alfermée</t>
  </si>
  <si>
    <t>Twann-Tüscherz</t>
  </si>
  <si>
    <t>Twann</t>
  </si>
  <si>
    <t>Därstetten</t>
  </si>
  <si>
    <t>Weissenburg</t>
  </si>
  <si>
    <t>Oey</t>
  </si>
  <si>
    <t>Diemtigen</t>
  </si>
  <si>
    <t>Horboden</t>
  </si>
  <si>
    <t>Zwischenflüh</t>
  </si>
  <si>
    <t>Schwenden im Diemtigtal</t>
  </si>
  <si>
    <t>Latterbach</t>
  </si>
  <si>
    <t>Erlenbach im Simmental</t>
  </si>
  <si>
    <t>Oberwil im Simmental</t>
  </si>
  <si>
    <t>Reutigen</t>
  </si>
  <si>
    <t>Einigen</t>
  </si>
  <si>
    <t>Spiez</t>
  </si>
  <si>
    <t>Hondrich</t>
  </si>
  <si>
    <t>Faulensee</t>
  </si>
  <si>
    <t>Wimmis</t>
  </si>
  <si>
    <t>Höfen b. Thun</t>
  </si>
  <si>
    <t>Stocken-Höfen</t>
  </si>
  <si>
    <t>Niederstocken</t>
  </si>
  <si>
    <t>Oberstocken</t>
  </si>
  <si>
    <t>Guttannen</t>
  </si>
  <si>
    <t>Hasliberg Hohfluh</t>
  </si>
  <si>
    <t>Hasliberg</t>
  </si>
  <si>
    <t>Hasliberg Wasserwendi</t>
  </si>
  <si>
    <t>Hasliberg Goldern</t>
  </si>
  <si>
    <t>Hasliberg Reuti</t>
  </si>
  <si>
    <t>Innertkirchen</t>
  </si>
  <si>
    <t>Gadmen</t>
  </si>
  <si>
    <t>Unterbach BE</t>
  </si>
  <si>
    <t>Meiringen</t>
  </si>
  <si>
    <t>Brünig</t>
  </si>
  <si>
    <t>Rosenlaui</t>
  </si>
  <si>
    <t>Schattenhalb</t>
  </si>
  <si>
    <t>Boltigen</t>
  </si>
  <si>
    <t>Lenk im Simmental</t>
  </si>
  <si>
    <t>Lenk</t>
  </si>
  <si>
    <t>St. Stephan</t>
  </si>
  <si>
    <t>Matten (St. Stephan)</t>
  </si>
  <si>
    <t>Zweisimmen</t>
  </si>
  <si>
    <t>Blankenburg</t>
  </si>
  <si>
    <t>Oeschseite</t>
  </si>
  <si>
    <t>Feutersoey</t>
  </si>
  <si>
    <t>Gsteig</t>
  </si>
  <si>
    <t>Gsteig b. Gstaad</t>
  </si>
  <si>
    <t>Lauenen b. Gstaad</t>
  </si>
  <si>
    <t>Lauenen</t>
  </si>
  <si>
    <t>Abländschen</t>
  </si>
  <si>
    <t>Saanen</t>
  </si>
  <si>
    <t>Saanenmöser</t>
  </si>
  <si>
    <t>Schönried</t>
  </si>
  <si>
    <t>Gstaad</t>
  </si>
  <si>
    <t>Turbach</t>
  </si>
  <si>
    <t>Grund b. Gstaad</t>
  </si>
  <si>
    <t>Sangernboden</t>
  </si>
  <si>
    <t>Guggisberg</t>
  </si>
  <si>
    <t>Riffenmatt</t>
  </si>
  <si>
    <t>Riedstätt</t>
  </si>
  <si>
    <t>Rüschegg Gambach</t>
  </si>
  <si>
    <t>Rüschegg</t>
  </si>
  <si>
    <t>Rüschegg Heubach</t>
  </si>
  <si>
    <t>Lanzenhäusern</t>
  </si>
  <si>
    <t>Schwarzenburg</t>
  </si>
  <si>
    <t>Mamishaus</t>
  </si>
  <si>
    <t>Milken</t>
  </si>
  <si>
    <t>Albligen</t>
  </si>
  <si>
    <t>Belp</t>
  </si>
  <si>
    <t>Belpberg</t>
  </si>
  <si>
    <t>Burgistein</t>
  </si>
  <si>
    <t>Gerzensee</t>
  </si>
  <si>
    <t>Gurzelen</t>
  </si>
  <si>
    <t>Jaberg</t>
  </si>
  <si>
    <t>Kaufdorf</t>
  </si>
  <si>
    <t>Kehrsatz</t>
  </si>
  <si>
    <t>Kirchdorf BE</t>
  </si>
  <si>
    <t>Kirchdorf (BE)</t>
  </si>
  <si>
    <t>Mühledorf BE</t>
  </si>
  <si>
    <t>Noflen BE</t>
  </si>
  <si>
    <t>Gelterfingen</t>
  </si>
  <si>
    <t>Niedermuhlern</t>
  </si>
  <si>
    <t>Rüti b. Riggisberg</t>
  </si>
  <si>
    <t>Riggisberg</t>
  </si>
  <si>
    <t>Rümligen</t>
  </si>
  <si>
    <t>Rüeggisberg</t>
  </si>
  <si>
    <t>Oberbütschel</t>
  </si>
  <si>
    <t>Hinterfultigen</t>
  </si>
  <si>
    <t>Helgisried-Rohrbach</t>
  </si>
  <si>
    <t>Seftigen</t>
  </si>
  <si>
    <t>Toffen</t>
  </si>
  <si>
    <t>Uttigen</t>
  </si>
  <si>
    <t>Wattenwil</t>
  </si>
  <si>
    <t>Zimmerwald</t>
  </si>
  <si>
    <t>Wald (BE)</t>
  </si>
  <si>
    <t>Englisberg</t>
  </si>
  <si>
    <t>Mühlethurnen</t>
  </si>
  <si>
    <t>Thurnen</t>
  </si>
  <si>
    <t>Lohnstorf</t>
  </si>
  <si>
    <t>Kirchenthurnen</t>
  </si>
  <si>
    <t>Aeschau</t>
  </si>
  <si>
    <t>Eggiwil</t>
  </si>
  <si>
    <t>Langnau im Emmental</t>
  </si>
  <si>
    <t>Oberfrittenbach</t>
  </si>
  <si>
    <t>Bärau</t>
  </si>
  <si>
    <t>Gohl</t>
  </si>
  <si>
    <t>Lauperswil</t>
  </si>
  <si>
    <t>Emmenmatt</t>
  </si>
  <si>
    <t>Röthenbach im Emmental</t>
  </si>
  <si>
    <t>Schwanden im Emmental</t>
  </si>
  <si>
    <t>Rüderswil</t>
  </si>
  <si>
    <t>Zollbrück</t>
  </si>
  <si>
    <t>Schangnau</t>
  </si>
  <si>
    <t>Signau</t>
  </si>
  <si>
    <t>Schüpbach</t>
  </si>
  <si>
    <t>Trub</t>
  </si>
  <si>
    <t>Fankhaus (Trub)</t>
  </si>
  <si>
    <t>Trubschachen</t>
  </si>
  <si>
    <t>Amsoldingen</t>
  </si>
  <si>
    <t>Blumenstein</t>
  </si>
  <si>
    <t>Heimenschwand</t>
  </si>
  <si>
    <t>Buchholterberg</t>
  </si>
  <si>
    <t>Eriz</t>
  </si>
  <si>
    <t>Fahrni b. Thun</t>
  </si>
  <si>
    <t>Fahrni</t>
  </si>
  <si>
    <t>Heiligenschwendi</t>
  </si>
  <si>
    <t>Heimberg</t>
  </si>
  <si>
    <t>Hünibach</t>
  </si>
  <si>
    <t>Hilterfingen</t>
  </si>
  <si>
    <t>Homberg b. Thun</t>
  </si>
  <si>
    <t>Homberg</t>
  </si>
  <si>
    <t>Horrenbach</t>
  </si>
  <si>
    <t>Horrenbach-Buchen</t>
  </si>
  <si>
    <t>Buchen BE</t>
  </si>
  <si>
    <t>Oberhofen am Thunersee</t>
  </si>
  <si>
    <t>Pohlern</t>
  </si>
  <si>
    <t>Gunten</t>
  </si>
  <si>
    <t>Sigriswil</t>
  </si>
  <si>
    <t>Tschingel ob Gunten</t>
  </si>
  <si>
    <t>Aeschlen ob Gunten</t>
  </si>
  <si>
    <t>Ringoldswil</t>
  </si>
  <si>
    <t>Schwanden (Sigriswil)</t>
  </si>
  <si>
    <t>Merligen</t>
  </si>
  <si>
    <t>Steffisburg</t>
  </si>
  <si>
    <t>Schwendibach</t>
  </si>
  <si>
    <t>Teuffenthal b. Thun</t>
  </si>
  <si>
    <t>Teuffenthal (BE)</t>
  </si>
  <si>
    <t>Thierachern</t>
  </si>
  <si>
    <t>Thun</t>
  </si>
  <si>
    <t>Goldiwil (Thun)</t>
  </si>
  <si>
    <t>Gwatt (Thun)</t>
  </si>
  <si>
    <t>Uebeschi</t>
  </si>
  <si>
    <t>Uetendorf</t>
  </si>
  <si>
    <t>Unterlangenegg</t>
  </si>
  <si>
    <t>Schwarzenegg</t>
  </si>
  <si>
    <t>Süderen</t>
  </si>
  <si>
    <t>Wachseldorn</t>
  </si>
  <si>
    <t>Zwieselberg</t>
  </si>
  <si>
    <t>Längenbühl</t>
  </si>
  <si>
    <t>Forst-Längenbühl</t>
  </si>
  <si>
    <t>Forst b. Längenbühl</t>
  </si>
  <si>
    <t>Affoltern im Emmental</t>
  </si>
  <si>
    <t>Weier im Emmental</t>
  </si>
  <si>
    <t>Häusernmoos im Emmental</t>
  </si>
  <si>
    <t>Dürrenroth</t>
  </si>
  <si>
    <t>Eriswil</t>
  </si>
  <si>
    <t>Huttwil</t>
  </si>
  <si>
    <t>Schwarzenbach (Huttwil)</t>
  </si>
  <si>
    <t>Lützelflüh-Goldbach</t>
  </si>
  <si>
    <t>Lützelflüh</t>
  </si>
  <si>
    <t>Ramsei</t>
  </si>
  <si>
    <t>Ranflüh</t>
  </si>
  <si>
    <t>Grünenmatt</t>
  </si>
  <si>
    <t>Rüegsauschachen</t>
  </si>
  <si>
    <t>Rüegsau</t>
  </si>
  <si>
    <t>Rüegsbach</t>
  </si>
  <si>
    <t>Sumiswald</t>
  </si>
  <si>
    <t>Grünen</t>
  </si>
  <si>
    <t>Wasen im Emmental</t>
  </si>
  <si>
    <t>Heimisbach</t>
  </si>
  <si>
    <t>Trachselwald</t>
  </si>
  <si>
    <t>Schmidigen-Mühleweg</t>
  </si>
  <si>
    <t>Walterswil (BE)</t>
  </si>
  <si>
    <t>Walterswil BE</t>
  </si>
  <si>
    <t>Wyssachen</t>
  </si>
  <si>
    <t>Attiswil</t>
  </si>
  <si>
    <t>Berken</t>
  </si>
  <si>
    <t>Bettenhausen</t>
  </si>
  <si>
    <t>Bollodingen</t>
  </si>
  <si>
    <t>Farnern</t>
  </si>
  <si>
    <t>Graben</t>
  </si>
  <si>
    <t>Wanzwil</t>
  </si>
  <si>
    <t>Heimenhausen</t>
  </si>
  <si>
    <t>Röthenbach Herzogenbuchsee</t>
  </si>
  <si>
    <t>Herzogenbuchsee</t>
  </si>
  <si>
    <t>Oberönz</t>
  </si>
  <si>
    <t>Inkwil</t>
  </si>
  <si>
    <t>Niederbipp</t>
  </si>
  <si>
    <t>Wolfisberg</t>
  </si>
  <si>
    <t>Niederönz</t>
  </si>
  <si>
    <t>Oberbipp</t>
  </si>
  <si>
    <t>Ochlenberg</t>
  </si>
  <si>
    <t>Oschwand</t>
  </si>
  <si>
    <t>Rumisberg</t>
  </si>
  <si>
    <t>Grasswil</t>
  </si>
  <si>
    <t>Seeberg</t>
  </si>
  <si>
    <t>Riedtwil</t>
  </si>
  <si>
    <t>Hermiswil</t>
  </si>
  <si>
    <t>Thörigen</t>
  </si>
  <si>
    <t>Walliswil b. Niederbipp</t>
  </si>
  <si>
    <t>Walliswil bei Niederbipp</t>
  </si>
  <si>
    <t>Walliswil b. Wangen</t>
  </si>
  <si>
    <t>Walliswil bei Wangen</t>
  </si>
  <si>
    <t>Wangen an der Aare</t>
  </si>
  <si>
    <t>Wangenried</t>
  </si>
  <si>
    <t>Wiedlisbach</t>
  </si>
  <si>
    <t>Doppleschwand</t>
  </si>
  <si>
    <t>LU</t>
  </si>
  <si>
    <t>Entlebuch</t>
  </si>
  <si>
    <t>Rengg</t>
  </si>
  <si>
    <t>Finsterwald b. Entlebuch</t>
  </si>
  <si>
    <t>Ebnet</t>
  </si>
  <si>
    <t>Flühli LU</t>
  </si>
  <si>
    <t>Flühli</t>
  </si>
  <si>
    <t>Sörenberg</t>
  </si>
  <si>
    <t>Hasle LU</t>
  </si>
  <si>
    <t>Hasle (LU)</t>
  </si>
  <si>
    <t>Fontannen b. Wolhusen</t>
  </si>
  <si>
    <t>Romoos</t>
  </si>
  <si>
    <t>Bramboden</t>
  </si>
  <si>
    <t>Schüpfheim</t>
  </si>
  <si>
    <t>Schachen LU</t>
  </si>
  <si>
    <t>Werthenstein</t>
  </si>
  <si>
    <t>Escholzmatt</t>
  </si>
  <si>
    <t>Escholzmatt-Marbach</t>
  </si>
  <si>
    <t>Wiggen</t>
  </si>
  <si>
    <t>Marbach LU</t>
  </si>
  <si>
    <t>Aesch LU</t>
  </si>
  <si>
    <t>Aesch (LU)</t>
  </si>
  <si>
    <t>Ballwil</t>
  </si>
  <si>
    <t>Emmenbrücke</t>
  </si>
  <si>
    <t>Emmen</t>
  </si>
  <si>
    <t>Ermensee</t>
  </si>
  <si>
    <t>Eschenbach LU</t>
  </si>
  <si>
    <t>Eschenbach (LU)</t>
  </si>
  <si>
    <t>Gelfingen</t>
  </si>
  <si>
    <t>Hitzkirch</t>
  </si>
  <si>
    <t>Sulz LU</t>
  </si>
  <si>
    <t>Retschwil</t>
  </si>
  <si>
    <t>Altwis</t>
  </si>
  <si>
    <t>Müswangen</t>
  </si>
  <si>
    <t>Hämikon</t>
  </si>
  <si>
    <t>Mosen</t>
  </si>
  <si>
    <t>Hochdorf</t>
  </si>
  <si>
    <t>Urswil</t>
  </si>
  <si>
    <t>Baldegg</t>
  </si>
  <si>
    <t>Hohenrain</t>
  </si>
  <si>
    <t>Kleinwangen</t>
  </si>
  <si>
    <t>Lieli LU</t>
  </si>
  <si>
    <t>Inwil</t>
  </si>
  <si>
    <t>Rain</t>
  </si>
  <si>
    <t>Römerswil LU</t>
  </si>
  <si>
    <t>Römerswil</t>
  </si>
  <si>
    <t>Herlisberg</t>
  </si>
  <si>
    <t>Rothenburg</t>
  </si>
  <si>
    <t>Schongau</t>
  </si>
  <si>
    <t>Adligenswil</t>
  </si>
  <si>
    <t>Buchrain</t>
  </si>
  <si>
    <t>Perlen</t>
  </si>
  <si>
    <t>Dierikon</t>
  </si>
  <si>
    <t>Ebikon</t>
  </si>
  <si>
    <t>Gisikon</t>
  </si>
  <si>
    <t>Greppen</t>
  </si>
  <si>
    <t>Honau</t>
  </si>
  <si>
    <t>St. Niklausen LU</t>
  </si>
  <si>
    <t>Horw</t>
  </si>
  <si>
    <t>Kastanienbaum</t>
  </si>
  <si>
    <t>Kriens</t>
  </si>
  <si>
    <t>Obernau</t>
  </si>
  <si>
    <t>Luzern</t>
  </si>
  <si>
    <t>Malters</t>
  </si>
  <si>
    <t>Meggen</t>
  </si>
  <si>
    <t>Meierskappel</t>
  </si>
  <si>
    <t>Root</t>
  </si>
  <si>
    <t>Root D4</t>
  </si>
  <si>
    <t>Eigenthal</t>
  </si>
  <si>
    <t>Schwarzenberg</t>
  </si>
  <si>
    <t>Schwarzenberg LU</t>
  </si>
  <si>
    <t>Udligenswil</t>
  </si>
  <si>
    <t>Vitznau</t>
  </si>
  <si>
    <t>Weggis</t>
  </si>
  <si>
    <t>Rigi Kaltbad</t>
  </si>
  <si>
    <t>Neudorf</t>
  </si>
  <si>
    <t>Beromünster</t>
  </si>
  <si>
    <t>Schwarzenbach LU</t>
  </si>
  <si>
    <t>Gunzwil</t>
  </si>
  <si>
    <t>Büron</t>
  </si>
  <si>
    <t>Buttisholz</t>
  </si>
  <si>
    <t>Eich</t>
  </si>
  <si>
    <t>Geuensee</t>
  </si>
  <si>
    <t>Grosswangen</t>
  </si>
  <si>
    <t>Hildisrieden</t>
  </si>
  <si>
    <t>St. Erhard</t>
  </si>
  <si>
    <t>Knutwil</t>
  </si>
  <si>
    <t>Kaltbach</t>
  </si>
  <si>
    <t>Mauensee</t>
  </si>
  <si>
    <t>Hellbühl</t>
  </si>
  <si>
    <t>Neuenkirch</t>
  </si>
  <si>
    <t>Sempach Station</t>
  </si>
  <si>
    <t>Nottwil</t>
  </si>
  <si>
    <t>Oberkirch LU</t>
  </si>
  <si>
    <t>Oberkirch</t>
  </si>
  <si>
    <t>Pfeffikon LU</t>
  </si>
  <si>
    <t>Rickenbach (LU)</t>
  </si>
  <si>
    <t>Rickenbach LU</t>
  </si>
  <si>
    <t>Ruswil</t>
  </si>
  <si>
    <t>Sigigen</t>
  </si>
  <si>
    <t>Schenkon</t>
  </si>
  <si>
    <t>Schlierbach</t>
  </si>
  <si>
    <t>Sempach</t>
  </si>
  <si>
    <t>Sursee</t>
  </si>
  <si>
    <t>Triengen</t>
  </si>
  <si>
    <t>Kulmerau</t>
  </si>
  <si>
    <t>Winikon</t>
  </si>
  <si>
    <t>Wilihof</t>
  </si>
  <si>
    <t>Wolhusen</t>
  </si>
  <si>
    <t>Steinhuserberg</t>
  </si>
  <si>
    <t>Alberswil</t>
  </si>
  <si>
    <t>Altbüron</t>
  </si>
  <si>
    <t>Ebersecken</t>
  </si>
  <si>
    <t>Altishofen</t>
  </si>
  <si>
    <t>Buchs LU</t>
  </si>
  <si>
    <t>Dagmersellen</t>
  </si>
  <si>
    <t>Uffikon</t>
  </si>
  <si>
    <t>Egolzwil</t>
  </si>
  <si>
    <t>Kottwil</t>
  </si>
  <si>
    <t>Ettiswil</t>
  </si>
  <si>
    <t>Fischbach LU</t>
  </si>
  <si>
    <t>Fischbach</t>
  </si>
  <si>
    <t>Grossdietwil</t>
  </si>
  <si>
    <t>Hergiswil b. Willisau</t>
  </si>
  <si>
    <t>Hergiswil bei Willisau</t>
  </si>
  <si>
    <t>Hofstatt</t>
  </si>
  <si>
    <t>Luthern</t>
  </si>
  <si>
    <t>Luthern Bad</t>
  </si>
  <si>
    <t>Menznau</t>
  </si>
  <si>
    <t>Geiss</t>
  </si>
  <si>
    <t>Menzberg</t>
  </si>
  <si>
    <t>Nebikon</t>
  </si>
  <si>
    <t>St. Urban</t>
  </si>
  <si>
    <t>Pfaffnau</t>
  </si>
  <si>
    <t>Reiden</t>
  </si>
  <si>
    <t>Reidermoos</t>
  </si>
  <si>
    <t>Mehlsecken</t>
  </si>
  <si>
    <t>Langnau b. Reiden</t>
  </si>
  <si>
    <t>Richenthal</t>
  </si>
  <si>
    <t>Roggliswil</t>
  </si>
  <si>
    <t>Ohmstal</t>
  </si>
  <si>
    <t>Schötz</t>
  </si>
  <si>
    <t>Ufhusen</t>
  </si>
  <si>
    <t>Wauwil</t>
  </si>
  <si>
    <t>Wikon</t>
  </si>
  <si>
    <t>Hintermoos</t>
  </si>
  <si>
    <t>Zell LU</t>
  </si>
  <si>
    <t>Zell (LU)</t>
  </si>
  <si>
    <t>Hüswil</t>
  </si>
  <si>
    <t>Daiwil</t>
  </si>
  <si>
    <t>Willisau</t>
  </si>
  <si>
    <t>Rohrmatt</t>
  </si>
  <si>
    <t>Gettnau</t>
  </si>
  <si>
    <t>Altdorf UR</t>
  </si>
  <si>
    <t>Altdorf (UR)</t>
  </si>
  <si>
    <t>UR</t>
  </si>
  <si>
    <t>Andermatt</t>
  </si>
  <si>
    <t>Attinghausen</t>
  </si>
  <si>
    <t>Bürglen UR</t>
  </si>
  <si>
    <t>Bürglen (UR)</t>
  </si>
  <si>
    <t>Erstfeld</t>
  </si>
  <si>
    <t>Flüelen</t>
  </si>
  <si>
    <t>Göschenen</t>
  </si>
  <si>
    <t>Intschi</t>
  </si>
  <si>
    <t>Gurtnellen</t>
  </si>
  <si>
    <t>Hospental</t>
  </si>
  <si>
    <t>Isenthal</t>
  </si>
  <si>
    <t>Realp</t>
  </si>
  <si>
    <t>Schattdorf</t>
  </si>
  <si>
    <t>Haldi b. Schattdorf</t>
  </si>
  <si>
    <t>Seedorf UR</t>
  </si>
  <si>
    <t>Seedorf (UR)</t>
  </si>
  <si>
    <t>Bauen</t>
  </si>
  <si>
    <t>Seelisberg</t>
  </si>
  <si>
    <t>Rütli</t>
  </si>
  <si>
    <t>Silenen</t>
  </si>
  <si>
    <t>Amsteg</t>
  </si>
  <si>
    <t>Bristen</t>
  </si>
  <si>
    <t>Sisikon</t>
  </si>
  <si>
    <t>Spiringen</t>
  </si>
  <si>
    <t>Urnerboden</t>
  </si>
  <si>
    <t>Unterschächen</t>
  </si>
  <si>
    <t>Wassen UR</t>
  </si>
  <si>
    <t>Wassen</t>
  </si>
  <si>
    <t>Meien</t>
  </si>
  <si>
    <t>Bennau</t>
  </si>
  <si>
    <t>Einsiedeln</t>
  </si>
  <si>
    <t>SZ</t>
  </si>
  <si>
    <t>Trachslau</t>
  </si>
  <si>
    <t>Gross</t>
  </si>
  <si>
    <t>Euthal</t>
  </si>
  <si>
    <t>Willerzell</t>
  </si>
  <si>
    <t>Egg SZ</t>
  </si>
  <si>
    <t>Rigi Scheidegg</t>
  </si>
  <si>
    <t>Gersau</t>
  </si>
  <si>
    <t>Schindellegi</t>
  </si>
  <si>
    <t>Feusisberg</t>
  </si>
  <si>
    <t>Hurden</t>
  </si>
  <si>
    <t>Freienbach</t>
  </si>
  <si>
    <t>Bäch SZ</t>
  </si>
  <si>
    <t>Pfäffikon SZ</t>
  </si>
  <si>
    <t>Wollerau</t>
  </si>
  <si>
    <t>Wilen b. Wollerau</t>
  </si>
  <si>
    <t>Merlischachen</t>
  </si>
  <si>
    <t>Küssnacht (SZ)</t>
  </si>
  <si>
    <t>Küssnacht am Rigi</t>
  </si>
  <si>
    <t>Immensee</t>
  </si>
  <si>
    <t>Altendorf</t>
  </si>
  <si>
    <t>Galgenen</t>
  </si>
  <si>
    <t>Innerthal</t>
  </si>
  <si>
    <t>Lachen SZ</t>
  </si>
  <si>
    <t>Lachen</t>
  </si>
  <si>
    <t>Reichenburg</t>
  </si>
  <si>
    <t>Siebnen</t>
  </si>
  <si>
    <t>Schübelbach</t>
  </si>
  <si>
    <t>Buttikon SZ</t>
  </si>
  <si>
    <t>Tuggen</t>
  </si>
  <si>
    <t>Vorderthal</t>
  </si>
  <si>
    <t>Wangen SZ</t>
  </si>
  <si>
    <t>Wangen (SZ)</t>
  </si>
  <si>
    <t>Alpthal</t>
  </si>
  <si>
    <t>Goldau</t>
  </si>
  <si>
    <t>Arth</t>
  </si>
  <si>
    <t>Rigi Klösterli</t>
  </si>
  <si>
    <t>Rigi Staffel</t>
  </si>
  <si>
    <t>Rigi Kulm</t>
  </si>
  <si>
    <t>Oberarth</t>
  </si>
  <si>
    <t>Illgau</t>
  </si>
  <si>
    <t>Brunnen</t>
  </si>
  <si>
    <t>Ingenbohl</t>
  </si>
  <si>
    <t>Lauerz</t>
  </si>
  <si>
    <t>Stoos SZ</t>
  </si>
  <si>
    <t>Morschach</t>
  </si>
  <si>
    <t>Muotathal</t>
  </si>
  <si>
    <t>Bisisthal</t>
  </si>
  <si>
    <t>Ried (Muotathal)</t>
  </si>
  <si>
    <t>Oberiberg</t>
  </si>
  <si>
    <t>Riemenstalden</t>
  </si>
  <si>
    <t>Rothenthurm</t>
  </si>
  <si>
    <t>Sattel</t>
  </si>
  <si>
    <t>Seewen SZ</t>
  </si>
  <si>
    <t>Schwyz</t>
  </si>
  <si>
    <t>Rickenbach b. Schwyz</t>
  </si>
  <si>
    <t>Ibach</t>
  </si>
  <si>
    <t>Steinen</t>
  </si>
  <si>
    <t>Steinerberg</t>
  </si>
  <si>
    <t>Unteriberg</t>
  </si>
  <si>
    <t>Studen SZ</t>
  </si>
  <si>
    <t>Pilatus Kulm</t>
  </si>
  <si>
    <t>Alpnach</t>
  </si>
  <si>
    <t>OW</t>
  </si>
  <si>
    <t>Alpnachstad</t>
  </si>
  <si>
    <t>Alpnach Dorf</t>
  </si>
  <si>
    <t>Grafenort</t>
  </si>
  <si>
    <t>Engelberg</t>
  </si>
  <si>
    <t>Giswil</t>
  </si>
  <si>
    <t>Kerns</t>
  </si>
  <si>
    <t>St. Niklausen OW</t>
  </si>
  <si>
    <t>Melchtal</t>
  </si>
  <si>
    <t>Melchsee-Frutt</t>
  </si>
  <si>
    <t>Lungern</t>
  </si>
  <si>
    <t>Bürglen OW</t>
  </si>
  <si>
    <t>Sachseln</t>
  </si>
  <si>
    <t>Flüeli-Ranft</t>
  </si>
  <si>
    <t>Kägiswil</t>
  </si>
  <si>
    <t>Sarnen</t>
  </si>
  <si>
    <t>Ramersberg</t>
  </si>
  <si>
    <t>Wilen (Sarnen)</t>
  </si>
  <si>
    <t>Stalden (Sarnen)</t>
  </si>
  <si>
    <t>Beckenried</t>
  </si>
  <si>
    <t>NW</t>
  </si>
  <si>
    <t>Buochs</t>
  </si>
  <si>
    <t>Dallenwil</t>
  </si>
  <si>
    <t>Wiesenberg</t>
  </si>
  <si>
    <t>Wirzweli</t>
  </si>
  <si>
    <t>Emmetten</t>
  </si>
  <si>
    <t>Bürgenstock</t>
  </si>
  <si>
    <t>Ennetbürgen</t>
  </si>
  <si>
    <t>Ennetmoos</t>
  </si>
  <si>
    <t>Hergiswil NW</t>
  </si>
  <si>
    <t>Hergiswil (NW)</t>
  </si>
  <si>
    <t>Oberdorf NW</t>
  </si>
  <si>
    <t>Oberdorf (NW)</t>
  </si>
  <si>
    <t>Büren NW</t>
  </si>
  <si>
    <t>Niederrickenbach</t>
  </si>
  <si>
    <t>Stans</t>
  </si>
  <si>
    <t>Stansstad</t>
  </si>
  <si>
    <t>Obbürgen</t>
  </si>
  <si>
    <t>Fürigen</t>
  </si>
  <si>
    <t>Kehrsiten</t>
  </si>
  <si>
    <t>Wolfenschiessen</t>
  </si>
  <si>
    <t>Oberrickenbach</t>
  </si>
  <si>
    <t>Näfels</t>
  </si>
  <si>
    <t>Glarus Nord</t>
  </si>
  <si>
    <t>GL</t>
  </si>
  <si>
    <t>Mollis</t>
  </si>
  <si>
    <t>Filzbach</t>
  </si>
  <si>
    <t>Obstalden</t>
  </si>
  <si>
    <t>Bilten</t>
  </si>
  <si>
    <t>Niederurnen</t>
  </si>
  <si>
    <t>Oberurnen</t>
  </si>
  <si>
    <t>Mühlehorn</t>
  </si>
  <si>
    <t>Mitlödi</t>
  </si>
  <si>
    <t>Glarus Süd</t>
  </si>
  <si>
    <t>Schwanden GL</t>
  </si>
  <si>
    <t>Schwändi b. Schwanden</t>
  </si>
  <si>
    <t>Sool</t>
  </si>
  <si>
    <t>Engi</t>
  </si>
  <si>
    <t>Matt</t>
  </si>
  <si>
    <t>Elm</t>
  </si>
  <si>
    <t>Nidfurn</t>
  </si>
  <si>
    <t>Haslen GL</t>
  </si>
  <si>
    <t>Leuggelbach</t>
  </si>
  <si>
    <t>Luchsingen</t>
  </si>
  <si>
    <t>Hätzingen</t>
  </si>
  <si>
    <t>Diesbach GL</t>
  </si>
  <si>
    <t>Betschwanden</t>
  </si>
  <si>
    <t>Rüti GL</t>
  </si>
  <si>
    <t>Linthal</t>
  </si>
  <si>
    <t>Braunwald</t>
  </si>
  <si>
    <t>Glarus</t>
  </si>
  <si>
    <t>Riedern</t>
  </si>
  <si>
    <t>Klöntal</t>
  </si>
  <si>
    <t>Netstal</t>
  </si>
  <si>
    <t>Ennenda</t>
  </si>
  <si>
    <t>Allenwinden</t>
  </si>
  <si>
    <t>Baar</t>
  </si>
  <si>
    <t>ZG</t>
  </si>
  <si>
    <t>Cham</t>
  </si>
  <si>
    <t>Hagendorn</t>
  </si>
  <si>
    <t>Hünenberg</t>
  </si>
  <si>
    <t>Hünenberg See</t>
  </si>
  <si>
    <t>Menzingen</t>
  </si>
  <si>
    <t>Edlibach</t>
  </si>
  <si>
    <t>Finstersee</t>
  </si>
  <si>
    <t>Sihlbrugg</t>
  </si>
  <si>
    <t>Neuheim</t>
  </si>
  <si>
    <t>Oberägeri</t>
  </si>
  <si>
    <t>Alosen</t>
  </si>
  <si>
    <t>Morgarten</t>
  </si>
  <si>
    <t>Rotkreuz</t>
  </si>
  <si>
    <t>Risch</t>
  </si>
  <si>
    <t>Buonas</t>
  </si>
  <si>
    <t>Holzhäusern ZG</t>
  </si>
  <si>
    <t>Steinhausen</t>
  </si>
  <si>
    <t>Unterägeri</t>
  </si>
  <si>
    <t>Neuägeri</t>
  </si>
  <si>
    <t>Walchwil</t>
  </si>
  <si>
    <t>Zug</t>
  </si>
  <si>
    <t>Zugerberg</t>
  </si>
  <si>
    <t>Oberwil b. Zug</t>
  </si>
  <si>
    <t>Châtillon FR</t>
  </si>
  <si>
    <t>Châtillon (FR)</t>
  </si>
  <si>
    <t>FR</t>
  </si>
  <si>
    <t>Cugy FR</t>
  </si>
  <si>
    <t>Cugy (FR)</t>
  </si>
  <si>
    <t>Vesin</t>
  </si>
  <si>
    <t>Fétigny</t>
  </si>
  <si>
    <t>Gletterens</t>
  </si>
  <si>
    <t>Lully FR</t>
  </si>
  <si>
    <t>Lully (FR)</t>
  </si>
  <si>
    <t>Seiry</t>
  </si>
  <si>
    <t>Bollion</t>
  </si>
  <si>
    <t>Ménières</t>
  </si>
  <si>
    <t>Cousset</t>
  </si>
  <si>
    <t>Montagny (FR)</t>
  </si>
  <si>
    <t>Montagny-les-Monts</t>
  </si>
  <si>
    <t>Mannens</t>
  </si>
  <si>
    <t>Grandsivaz</t>
  </si>
  <si>
    <t>Montagny-la-Ville</t>
  </si>
  <si>
    <t>Nuvilly</t>
  </si>
  <si>
    <t>Prévondavaux</t>
  </si>
  <si>
    <t>St-Aubin FR</t>
  </si>
  <si>
    <t>Saint-Aubin (FR)</t>
  </si>
  <si>
    <t>Les Friques</t>
  </si>
  <si>
    <t>Sévaz</t>
  </si>
  <si>
    <t>Villeneuve FR</t>
  </si>
  <si>
    <t>Surpierre</t>
  </si>
  <si>
    <t>Praratoud</t>
  </si>
  <si>
    <t>Cheiry</t>
  </si>
  <si>
    <t>Chapelle (Broye)</t>
  </si>
  <si>
    <t>Vallon</t>
  </si>
  <si>
    <t>Montet (Broye)</t>
  </si>
  <si>
    <t>Les Montets</t>
  </si>
  <si>
    <t>Frasses</t>
  </si>
  <si>
    <t>Aumont</t>
  </si>
  <si>
    <t>Granges-de-Vesin</t>
  </si>
  <si>
    <t>Delley</t>
  </si>
  <si>
    <t>Delley-Portalban</t>
  </si>
  <si>
    <t>Portalban</t>
  </si>
  <si>
    <t>Dompierre FR</t>
  </si>
  <si>
    <t>Belmont-Broye</t>
  </si>
  <si>
    <t>Domdidier</t>
  </si>
  <si>
    <t>Léchelles</t>
  </si>
  <si>
    <t>Chandon</t>
  </si>
  <si>
    <t>Russy</t>
  </si>
  <si>
    <t>Estavayer-le-Lac</t>
  </si>
  <si>
    <t>Estavayer</t>
  </si>
  <si>
    <t>Font</t>
  </si>
  <si>
    <t>Autavaux</t>
  </si>
  <si>
    <t>Forel FR</t>
  </si>
  <si>
    <t>Montbrelloz</t>
  </si>
  <si>
    <t>Vuissens</t>
  </si>
  <si>
    <t>Murist</t>
  </si>
  <si>
    <t>Bussy FR</t>
  </si>
  <si>
    <t>Morens FR</t>
  </si>
  <si>
    <t>Rueyres-les-Prés</t>
  </si>
  <si>
    <t>Cheyres</t>
  </si>
  <si>
    <t>Cheyres-Châbles</t>
  </si>
  <si>
    <t>Châbles FR</t>
  </si>
  <si>
    <t>Auboranges</t>
  </si>
  <si>
    <t>Billens</t>
  </si>
  <si>
    <t>Billens-Hennens</t>
  </si>
  <si>
    <t>Hennens</t>
  </si>
  <si>
    <t>Chapelle (Glâne)</t>
  </si>
  <si>
    <t>Le Châtelard-près-Romont</t>
  </si>
  <si>
    <t>Le Châtelard</t>
  </si>
  <si>
    <t>Châtonnaye</t>
  </si>
  <si>
    <t>Ecublens FR</t>
  </si>
  <si>
    <t>Ecublens (FR)</t>
  </si>
  <si>
    <t>Grangettes-près-Romont</t>
  </si>
  <si>
    <t>Grangettes</t>
  </si>
  <si>
    <t>Massonnens</t>
  </si>
  <si>
    <t>Berlens</t>
  </si>
  <si>
    <t>Mézières (FR)</t>
  </si>
  <si>
    <t>Mézières FR</t>
  </si>
  <si>
    <t>Montet (Glâne)</t>
  </si>
  <si>
    <t>Romont FR</t>
  </si>
  <si>
    <t>Romont (FR)</t>
  </si>
  <si>
    <t>Promasens</t>
  </si>
  <si>
    <t>Rue</t>
  </si>
  <si>
    <t>Gillarens</t>
  </si>
  <si>
    <t>Blessens</t>
  </si>
  <si>
    <t>Chavannes-les-Forts</t>
  </si>
  <si>
    <t>Siviriez</t>
  </si>
  <si>
    <t>Prez-vers-Siviriez</t>
  </si>
  <si>
    <t>Villaraboud</t>
  </si>
  <si>
    <t>Ursy</t>
  </si>
  <si>
    <t>Bionnens</t>
  </si>
  <si>
    <t>Esmonts</t>
  </si>
  <si>
    <t>Vuarmarens</t>
  </si>
  <si>
    <t>Morlens</t>
  </si>
  <si>
    <t>Vauderens</t>
  </si>
  <si>
    <t>Mossel</t>
  </si>
  <si>
    <t>Villariaz</t>
  </si>
  <si>
    <t>Vuisternens-devant-Romont</t>
  </si>
  <si>
    <t>La Neirigue</t>
  </si>
  <si>
    <t>La Magne</t>
  </si>
  <si>
    <t>Estévenens</t>
  </si>
  <si>
    <t>Sommentier</t>
  </si>
  <si>
    <t>Lieffrens</t>
  </si>
  <si>
    <t>La Joux FR</t>
  </si>
  <si>
    <t>Les Ecasseys</t>
  </si>
  <si>
    <t>Villarsiviriaux</t>
  </si>
  <si>
    <t>Villorsonnens</t>
  </si>
  <si>
    <t>Villargiroud</t>
  </si>
  <si>
    <t>Orsonnens</t>
  </si>
  <si>
    <t>Chavannes-sous-Orsonnens</t>
  </si>
  <si>
    <t>Torny-le-Grand</t>
  </si>
  <si>
    <t>Torny</t>
  </si>
  <si>
    <t>Middes</t>
  </si>
  <si>
    <t>Villaz-St-Pierre</t>
  </si>
  <si>
    <t>Villaz</t>
  </si>
  <si>
    <t>Lussy FR</t>
  </si>
  <si>
    <t>Villarimboud</t>
  </si>
  <si>
    <t>Albeuve</t>
  </si>
  <si>
    <t>Haut-Intyamon</t>
  </si>
  <si>
    <t>Lessoc</t>
  </si>
  <si>
    <t>Les Sciernes-d'Albeuve</t>
  </si>
  <si>
    <t>Neirivue</t>
  </si>
  <si>
    <t>Montbovon</t>
  </si>
  <si>
    <t>Gumefens</t>
  </si>
  <si>
    <t>Pont-en-Ogoz</t>
  </si>
  <si>
    <t>Avry-devant-Pont</t>
  </si>
  <si>
    <t>Le Bry</t>
  </si>
  <si>
    <t>Botterens</t>
  </si>
  <si>
    <t>Villarbeney</t>
  </si>
  <si>
    <t>Broc</t>
  </si>
  <si>
    <t>Bulle</t>
  </si>
  <si>
    <t>La Tour-de-Trême</t>
  </si>
  <si>
    <t>Châtel-sur-Montsalvens</t>
  </si>
  <si>
    <t>Corbières</t>
  </si>
  <si>
    <t>Villarvolard</t>
  </si>
  <si>
    <t>Crésuz</t>
  </si>
  <si>
    <t>Echarlens</t>
  </si>
  <si>
    <t>Grandvillard</t>
  </si>
  <si>
    <t>Gruyères</t>
  </si>
  <si>
    <t>Pringy</t>
  </si>
  <si>
    <t>Epagny</t>
  </si>
  <si>
    <t>Moléson-sur-Gruyères</t>
  </si>
  <si>
    <t>Hauteville</t>
  </si>
  <si>
    <t>Jaun</t>
  </si>
  <si>
    <t>Im Fang</t>
  </si>
  <si>
    <t>Marsens</t>
  </si>
  <si>
    <t>Vuippens</t>
  </si>
  <si>
    <t>Morlon</t>
  </si>
  <si>
    <t>Le Pâquier-Montbarry</t>
  </si>
  <si>
    <t>Le Pâquier (FR)</t>
  </si>
  <si>
    <t>Pont-la-Ville</t>
  </si>
  <si>
    <t>Riaz</t>
  </si>
  <si>
    <t>La Roche FR</t>
  </si>
  <si>
    <t>La Roche</t>
  </si>
  <si>
    <t>Sâles (Gruyère)</t>
  </si>
  <si>
    <t>Sâles</t>
  </si>
  <si>
    <t>Maules</t>
  </si>
  <si>
    <t>Romanens</t>
  </si>
  <si>
    <t>Treyfayes</t>
  </si>
  <si>
    <t>Rueyres-Treyfayes</t>
  </si>
  <si>
    <t>Sorens</t>
  </si>
  <si>
    <t>Vaulruz</t>
  </si>
  <si>
    <t>Vuadens</t>
  </si>
  <si>
    <t>Estavannens</t>
  </si>
  <si>
    <t>Bas-Intyamon</t>
  </si>
  <si>
    <t>Villars-sous-Mont</t>
  </si>
  <si>
    <t>Enney</t>
  </si>
  <si>
    <t>Charmey (Gruyère)</t>
  </si>
  <si>
    <t>Val-de-Charmey</t>
  </si>
  <si>
    <t>Cerniat FR</t>
  </si>
  <si>
    <t>Autigny</t>
  </si>
  <si>
    <t>Corjolens</t>
  </si>
  <si>
    <t>Avry</t>
  </si>
  <si>
    <t>Avry-sur-Matran</t>
  </si>
  <si>
    <t>Belfaux</t>
  </si>
  <si>
    <t>Autafond</t>
  </si>
  <si>
    <t>Chénens</t>
  </si>
  <si>
    <t>Corminboeuf</t>
  </si>
  <si>
    <t>Chésopelloz</t>
  </si>
  <si>
    <t>Cottens FR</t>
  </si>
  <si>
    <t>Cottens (FR)</t>
  </si>
  <si>
    <t>Ferpicloz</t>
  </si>
  <si>
    <t>Fribourg</t>
  </si>
  <si>
    <t>Bourguillon</t>
  </si>
  <si>
    <t>Givisiez</t>
  </si>
  <si>
    <t>Granges-Paccot</t>
  </si>
  <si>
    <t>Grolley</t>
  </si>
  <si>
    <t>Marly</t>
  </si>
  <si>
    <t>Matran</t>
  </si>
  <si>
    <t>Neyruz FR</t>
  </si>
  <si>
    <t>Neyruz (FR)</t>
  </si>
  <si>
    <t>Pierrafortscha</t>
  </si>
  <si>
    <t>Nierlet-les-Bois</t>
  </si>
  <si>
    <t>Ponthaux</t>
  </si>
  <si>
    <t>Le Mouret</t>
  </si>
  <si>
    <t>Essert FR</t>
  </si>
  <si>
    <t>Montévraz</t>
  </si>
  <si>
    <t>Oberried FR</t>
  </si>
  <si>
    <t>Zénauva</t>
  </si>
  <si>
    <t>Bonnefontaine</t>
  </si>
  <si>
    <t>Treyvaux</t>
  </si>
  <si>
    <t>Villars-sur-Glâne</t>
  </si>
  <si>
    <t>Villarsel-sur-Marly</t>
  </si>
  <si>
    <t>Posieux</t>
  </si>
  <si>
    <t>Hauterive (FR)</t>
  </si>
  <si>
    <t>Ecuvillens</t>
  </si>
  <si>
    <t>Lentigny</t>
  </si>
  <si>
    <t>La Brillaz</t>
  </si>
  <si>
    <t>Onnens FR</t>
  </si>
  <si>
    <t>Lovens</t>
  </si>
  <si>
    <t>Lossy</t>
  </si>
  <si>
    <t>La Sonnaz</t>
  </si>
  <si>
    <t>La Corbaz</t>
  </si>
  <si>
    <t>Cormagens</t>
  </si>
  <si>
    <t>Formangueires</t>
  </si>
  <si>
    <t>Villarlod</t>
  </si>
  <si>
    <t>Gibloux</t>
  </si>
  <si>
    <t>Rueyres-St-Laurent</t>
  </si>
  <si>
    <t>Estavayer-le-Gibloux</t>
  </si>
  <si>
    <t>Villarsel-le-Gibloux</t>
  </si>
  <si>
    <t>Vuisternens-en-Ogoz</t>
  </si>
  <si>
    <t>Farvagny-le-Grand</t>
  </si>
  <si>
    <t>Farvagny-le-Petit</t>
  </si>
  <si>
    <t>Grenilles</t>
  </si>
  <si>
    <t>Posat</t>
  </si>
  <si>
    <t>Corpataux</t>
  </si>
  <si>
    <t>Magnedens</t>
  </si>
  <si>
    <t>Rossens FR</t>
  </si>
  <si>
    <t>Prez-vers-Noréaz</t>
  </si>
  <si>
    <t>Prez</t>
  </si>
  <si>
    <t>Corserey</t>
  </si>
  <si>
    <t>Noréaz</t>
  </si>
  <si>
    <t>Senèdes</t>
  </si>
  <si>
    <t>Bois-d'Amont</t>
  </si>
  <si>
    <t>Ependes FR</t>
  </si>
  <si>
    <t>Arconciel</t>
  </si>
  <si>
    <t>Courgevaux</t>
  </si>
  <si>
    <t>Villarepos</t>
  </si>
  <si>
    <t>Courtepin</t>
  </si>
  <si>
    <t>Pensier</t>
  </si>
  <si>
    <t>Barberêche</t>
  </si>
  <si>
    <t>Wallenried</t>
  </si>
  <si>
    <t>Courtaman</t>
  </si>
  <si>
    <t>Cressier FR</t>
  </si>
  <si>
    <t>Cressier (FR)</t>
  </si>
  <si>
    <t>Fräschels</t>
  </si>
  <si>
    <t>Greng</t>
  </si>
  <si>
    <t>Cordast</t>
  </si>
  <si>
    <t>Gurmels</t>
  </si>
  <si>
    <t>Guschelmuth</t>
  </si>
  <si>
    <t>Wallenbuch</t>
  </si>
  <si>
    <t>Kleingurmels</t>
  </si>
  <si>
    <t>Liebistorf</t>
  </si>
  <si>
    <t>Kerzers</t>
  </si>
  <si>
    <t>Kleinbösingen</t>
  </si>
  <si>
    <t>Meyriez</t>
  </si>
  <si>
    <t>Misery</t>
  </si>
  <si>
    <t>Misery-Courtion</t>
  </si>
  <si>
    <t>Cormérod</t>
  </si>
  <si>
    <t>Courtion</t>
  </si>
  <si>
    <t>Cournillens</t>
  </si>
  <si>
    <t>Muntelier</t>
  </si>
  <si>
    <t>Clavaleyres</t>
  </si>
  <si>
    <t>Murten</t>
  </si>
  <si>
    <t>Jeuss</t>
  </si>
  <si>
    <t>Salvenach</t>
  </si>
  <si>
    <t>Courlevon</t>
  </si>
  <si>
    <t>Gempenach</t>
  </si>
  <si>
    <t>Büchslen</t>
  </si>
  <si>
    <t>Lurtigen</t>
  </si>
  <si>
    <t>Galmiz</t>
  </si>
  <si>
    <t>Ried b. Kerzers</t>
  </si>
  <si>
    <t>Ried bei Kerzers</t>
  </si>
  <si>
    <t>Agriswil</t>
  </si>
  <si>
    <t>Ulmiz</t>
  </si>
  <si>
    <t>Sugiez</t>
  </si>
  <si>
    <t>Mont-Vully</t>
  </si>
  <si>
    <t>Môtier (Vully)</t>
  </si>
  <si>
    <t>Mur (Vully) FR</t>
  </si>
  <si>
    <t>Praz (Vully)</t>
  </si>
  <si>
    <t>Lugnorre</t>
  </si>
  <si>
    <t>Brünisried</t>
  </si>
  <si>
    <t>Düdingen</t>
  </si>
  <si>
    <t>Giffers</t>
  </si>
  <si>
    <t>Bösingen</t>
  </si>
  <si>
    <t>Heitenried</t>
  </si>
  <si>
    <t>Plaffeien</t>
  </si>
  <si>
    <t>Oberschrot</t>
  </si>
  <si>
    <t>Schwarzsee</t>
  </si>
  <si>
    <t>Zumholz</t>
  </si>
  <si>
    <t>Plasselb</t>
  </si>
  <si>
    <t>Rechthalten</t>
  </si>
  <si>
    <t>St. Silvester</t>
  </si>
  <si>
    <t>St. Ursen</t>
  </si>
  <si>
    <t>Schmitten FR</t>
  </si>
  <si>
    <t>Schmitten (FR)</t>
  </si>
  <si>
    <t>Tafers</t>
  </si>
  <si>
    <t>St. Antoni</t>
  </si>
  <si>
    <t>Alterswil FR</t>
  </si>
  <si>
    <t>Tentlingen</t>
  </si>
  <si>
    <t>Ueberstorf</t>
  </si>
  <si>
    <t>Flamatt</t>
  </si>
  <si>
    <t>Wünnewil-Flamatt</t>
  </si>
  <si>
    <t>Wünnewil</t>
  </si>
  <si>
    <t>Attalens</t>
  </si>
  <si>
    <t>Tatroz</t>
  </si>
  <si>
    <t>Bossonnens</t>
  </si>
  <si>
    <t>Châtel-St-Denis</t>
  </si>
  <si>
    <t>Châtel-Saint-Denis</t>
  </si>
  <si>
    <t>Les Paccots</t>
  </si>
  <si>
    <t>Granges (Veveyse)</t>
  </si>
  <si>
    <t>Remaufens</t>
  </si>
  <si>
    <t>St-Martin FR</t>
  </si>
  <si>
    <t>Saint-Martin (FR)</t>
  </si>
  <si>
    <t>Besencens</t>
  </si>
  <si>
    <t>Fiaugères</t>
  </si>
  <si>
    <t>Semsales</t>
  </si>
  <si>
    <t>Porsel</t>
  </si>
  <si>
    <t>Le Flon</t>
  </si>
  <si>
    <t>Pont (Veveyse)</t>
  </si>
  <si>
    <t>Bouloz</t>
  </si>
  <si>
    <t>Le Crêt-près-Semsales</t>
  </si>
  <si>
    <t>La Verrerie</t>
  </si>
  <si>
    <t>Grattavache</t>
  </si>
  <si>
    <t>Progens</t>
  </si>
  <si>
    <t>Egerkingen</t>
  </si>
  <si>
    <t>SO</t>
  </si>
  <si>
    <t>Härkingen</t>
  </si>
  <si>
    <t>Kestenholz</t>
  </si>
  <si>
    <t>Neuendorf</t>
  </si>
  <si>
    <t>Niederbuchsiten</t>
  </si>
  <si>
    <t>Oberbuchsiten</t>
  </si>
  <si>
    <t>Oensingen</t>
  </si>
  <si>
    <t>Wolfwil</t>
  </si>
  <si>
    <t>Aedermannsdorf</t>
  </si>
  <si>
    <t>Balsthal</t>
  </si>
  <si>
    <t>Herbetswil</t>
  </si>
  <si>
    <t>Holderbank SO</t>
  </si>
  <si>
    <t>Holderbank (SO)</t>
  </si>
  <si>
    <t>Laupersdorf</t>
  </si>
  <si>
    <t>Matzendorf</t>
  </si>
  <si>
    <t>Mümliswil</t>
  </si>
  <si>
    <t>Mümliswil-Ramiswil</t>
  </si>
  <si>
    <t>Ramiswil</t>
  </si>
  <si>
    <t>Welschenrohr</t>
  </si>
  <si>
    <t>Welschenrohr-Gänsbrunnen</t>
  </si>
  <si>
    <t>Gänsbrunnen</t>
  </si>
  <si>
    <t>Biezwil</t>
  </si>
  <si>
    <t>Lüterkofen</t>
  </si>
  <si>
    <t>Lüterkofen-Ichertswil</t>
  </si>
  <si>
    <t>Ichertswil</t>
  </si>
  <si>
    <t>Lüterswil</t>
  </si>
  <si>
    <t>Lüterswil-Gächliwil</t>
  </si>
  <si>
    <t>Gächliwil</t>
  </si>
  <si>
    <t>Messen</t>
  </si>
  <si>
    <t>Balm b. Messen</t>
  </si>
  <si>
    <t>Brunnenthal</t>
  </si>
  <si>
    <t>Oberramsern</t>
  </si>
  <si>
    <t>Schnottwil</t>
  </si>
  <si>
    <t>Unterramsern</t>
  </si>
  <si>
    <t>Nennigkofen</t>
  </si>
  <si>
    <t>Lüsslingen-Nennigkofen</t>
  </si>
  <si>
    <t>Lüsslingen</t>
  </si>
  <si>
    <t>Tscheppach</t>
  </si>
  <si>
    <t>Buchegg</t>
  </si>
  <si>
    <t>Hessigkofen</t>
  </si>
  <si>
    <t>Bibern SO</t>
  </si>
  <si>
    <t>Gossliwil</t>
  </si>
  <si>
    <t>Küttigkofen</t>
  </si>
  <si>
    <t>Brügglen</t>
  </si>
  <si>
    <t>Mühledorf SO</t>
  </si>
  <si>
    <t>Aetigkofen</t>
  </si>
  <si>
    <t>Kyburg-Buchegg</t>
  </si>
  <si>
    <t>Aetingen</t>
  </si>
  <si>
    <t>Brittern</t>
  </si>
  <si>
    <t>Bättwil</t>
  </si>
  <si>
    <t>Büren SO</t>
  </si>
  <si>
    <t>Büren (SO)</t>
  </si>
  <si>
    <t>Dornach</t>
  </si>
  <si>
    <t>Gempen</t>
  </si>
  <si>
    <t>Hochwald</t>
  </si>
  <si>
    <t>Flüh</t>
  </si>
  <si>
    <t>Hofstetten-Flüh</t>
  </si>
  <si>
    <t>Hofstetten SO</t>
  </si>
  <si>
    <t>Mariastein</t>
  </si>
  <si>
    <t>Metzerlen-Mariastein</t>
  </si>
  <si>
    <t>Metzerlen</t>
  </si>
  <si>
    <t>Nuglar</t>
  </si>
  <si>
    <t>Nuglar-St. Pantaleon</t>
  </si>
  <si>
    <t>St. Pantaleon</t>
  </si>
  <si>
    <t>Rodersdorf</t>
  </si>
  <si>
    <t>Seewen SO</t>
  </si>
  <si>
    <t>Seewen</t>
  </si>
  <si>
    <t>Witterswil</t>
  </si>
  <si>
    <t>Hauenstein</t>
  </si>
  <si>
    <t>Hauenstein-Ifenthal</t>
  </si>
  <si>
    <t>Kienberg</t>
  </si>
  <si>
    <t>Lostorf</t>
  </si>
  <si>
    <t>Niedergösgen</t>
  </si>
  <si>
    <t>Obergösgen</t>
  </si>
  <si>
    <t>Stüsslingen</t>
  </si>
  <si>
    <t>Rohr b. Olten</t>
  </si>
  <si>
    <t>Trimbach</t>
  </si>
  <si>
    <t>Winznau</t>
  </si>
  <si>
    <t>Wisen SO</t>
  </si>
  <si>
    <t>Wisen (SO)</t>
  </si>
  <si>
    <t>Erlinsbach SO</t>
  </si>
  <si>
    <t>Erlinsbach (SO)</t>
  </si>
  <si>
    <t>Aeschi SO</t>
  </si>
  <si>
    <t>Aeschi (SO)</t>
  </si>
  <si>
    <t>Burgäschi</t>
  </si>
  <si>
    <t>Steinhof SO</t>
  </si>
  <si>
    <t>Biberist</t>
  </si>
  <si>
    <t>Bolken</t>
  </si>
  <si>
    <t>Deitingen</t>
  </si>
  <si>
    <t>Derendingen</t>
  </si>
  <si>
    <t>Etziken</t>
  </si>
  <si>
    <t>Gerlafingen</t>
  </si>
  <si>
    <t>Halten</t>
  </si>
  <si>
    <t>Horriwil</t>
  </si>
  <si>
    <t>Hüniken</t>
  </si>
  <si>
    <t>Kriegstetten</t>
  </si>
  <si>
    <t>Lohn-Ammannsegg</t>
  </si>
  <si>
    <t>Luterbach</t>
  </si>
  <si>
    <t>Obergerlafingen</t>
  </si>
  <si>
    <t>Oekingen</t>
  </si>
  <si>
    <t>Recherswil</t>
  </si>
  <si>
    <t>Subingen</t>
  </si>
  <si>
    <t>Zuchwil</t>
  </si>
  <si>
    <t>Hersiwil</t>
  </si>
  <si>
    <t>Drei Höfe</t>
  </si>
  <si>
    <t>Heinrichswil</t>
  </si>
  <si>
    <t>Winistorf</t>
  </si>
  <si>
    <t>Balmberg</t>
  </si>
  <si>
    <t>Balm bei Günsberg</t>
  </si>
  <si>
    <t>Oberbalmberg</t>
  </si>
  <si>
    <t>Balm b. Günsberg</t>
  </si>
  <si>
    <t>Bellach</t>
  </si>
  <si>
    <t>Bettlach</t>
  </si>
  <si>
    <t>Feldbrunnen</t>
  </si>
  <si>
    <t>Feldbrunnen-St. Niklaus</t>
  </si>
  <si>
    <t>Flumenthal</t>
  </si>
  <si>
    <t>Grenchen</t>
  </si>
  <si>
    <t>Günsberg</t>
  </si>
  <si>
    <t>Hubersdorf</t>
  </si>
  <si>
    <t>Kammersrohr</t>
  </si>
  <si>
    <t>Langendorf</t>
  </si>
  <si>
    <t>Lommiswil</t>
  </si>
  <si>
    <t>Oberdorf SO</t>
  </si>
  <si>
    <t>Oberdorf (SO)</t>
  </si>
  <si>
    <t>Weissenstein b. Solothurn</t>
  </si>
  <si>
    <t>Niederwil SO</t>
  </si>
  <si>
    <t>Riedholz</t>
  </si>
  <si>
    <t>Rüttenen</t>
  </si>
  <si>
    <t>Selzach</t>
  </si>
  <si>
    <t>Boningen</t>
  </si>
  <si>
    <t>Däniken SO</t>
  </si>
  <si>
    <t>Däniken</t>
  </si>
  <si>
    <t>Dulliken</t>
  </si>
  <si>
    <t>Wöschnau</t>
  </si>
  <si>
    <t>Eppenberg-Wöschnau</t>
  </si>
  <si>
    <t>Eppenberg</t>
  </si>
  <si>
    <t>Fulenbach</t>
  </si>
  <si>
    <t>Gretzenbach</t>
  </si>
  <si>
    <t>Gunzgen</t>
  </si>
  <si>
    <t>Hägendorf</t>
  </si>
  <si>
    <t>Allerheiligenberg</t>
  </si>
  <si>
    <t>Kappel SO</t>
  </si>
  <si>
    <t>Kappel (SO)</t>
  </si>
  <si>
    <t>Olten</t>
  </si>
  <si>
    <t>Rickenbach SO</t>
  </si>
  <si>
    <t>Rickenbach (SO)</t>
  </si>
  <si>
    <t>Schönenwerd</t>
  </si>
  <si>
    <t>Starrkirch-Wil</t>
  </si>
  <si>
    <t>Walterswil SO</t>
  </si>
  <si>
    <t>Walterswil (SO)</t>
  </si>
  <si>
    <t>Wangen b. Olten</t>
  </si>
  <si>
    <t>Wangen bei Olten</t>
  </si>
  <si>
    <t>Solothurn</t>
  </si>
  <si>
    <t>Bärschwil</t>
  </si>
  <si>
    <t>Beinwil SO</t>
  </si>
  <si>
    <t>Beinwil (SO)</t>
  </si>
  <si>
    <t>Breitenbach</t>
  </si>
  <si>
    <t>Büsserach</t>
  </si>
  <si>
    <t>Erschwil</t>
  </si>
  <si>
    <t>Fehren</t>
  </si>
  <si>
    <t>Grindel</t>
  </si>
  <si>
    <t>Himmelried</t>
  </si>
  <si>
    <t>Kleinlützel</t>
  </si>
  <si>
    <t>Meltingen</t>
  </si>
  <si>
    <t>Nunningen</t>
  </si>
  <si>
    <t>Zullwil</t>
  </si>
  <si>
    <t>Basel</t>
  </si>
  <si>
    <t>BS</t>
  </si>
  <si>
    <t>Bettingen</t>
  </si>
  <si>
    <t>Riehen</t>
  </si>
  <si>
    <t>Aesch BL</t>
  </si>
  <si>
    <t>Aesch (BL)</t>
  </si>
  <si>
    <t>BL</t>
  </si>
  <si>
    <t>Allschwil</t>
  </si>
  <si>
    <t>Arlesheim</t>
  </si>
  <si>
    <t>Biel-Benken BL</t>
  </si>
  <si>
    <t>Biel-Benken</t>
  </si>
  <si>
    <t>Bruderholz</t>
  </si>
  <si>
    <t>Binningen</t>
  </si>
  <si>
    <t>Birsfelden</t>
  </si>
  <si>
    <t>Bottmingen</t>
  </si>
  <si>
    <t>Ettingen</t>
  </si>
  <si>
    <t>Münchenstein</t>
  </si>
  <si>
    <t>Muttenz</t>
  </si>
  <si>
    <t>Oberwil BL</t>
  </si>
  <si>
    <t>Oberwil (BL)</t>
  </si>
  <si>
    <t>Pfeffingen</t>
  </si>
  <si>
    <t>Reinach BL</t>
  </si>
  <si>
    <t>Reinach (BL)</t>
  </si>
  <si>
    <t>Schönenbuch</t>
  </si>
  <si>
    <t>Therwil</t>
  </si>
  <si>
    <t>Blauen</t>
  </si>
  <si>
    <t>Brislach</t>
  </si>
  <si>
    <t>Burg im Leimental</t>
  </si>
  <si>
    <t>Dittingen</t>
  </si>
  <si>
    <t>Duggingen</t>
  </si>
  <si>
    <t>Grellingen</t>
  </si>
  <si>
    <t>Laufen</t>
  </si>
  <si>
    <t>Liesberg</t>
  </si>
  <si>
    <t>Liesberg Dorf</t>
  </si>
  <si>
    <t>Nenzlingen</t>
  </si>
  <si>
    <t>Roggenburg</t>
  </si>
  <si>
    <t>Röschenz</t>
  </si>
  <si>
    <t>Wahlen b. Laufen</t>
  </si>
  <si>
    <t>Wahlen</t>
  </si>
  <si>
    <t>Zwingen</t>
  </si>
  <si>
    <t>Arisdorf</t>
  </si>
  <si>
    <t>Augst BL</t>
  </si>
  <si>
    <t>Augst</t>
  </si>
  <si>
    <t>Bubendorf</t>
  </si>
  <si>
    <t>Frenkendorf</t>
  </si>
  <si>
    <t>Füllinsdorf</t>
  </si>
  <si>
    <t>Giebenach</t>
  </si>
  <si>
    <t>Hersberg</t>
  </si>
  <si>
    <t>Lausen</t>
  </si>
  <si>
    <t>Liestal</t>
  </si>
  <si>
    <t>Lupsingen</t>
  </si>
  <si>
    <t>Pratteln</t>
  </si>
  <si>
    <t>Ramlinsburg</t>
  </si>
  <si>
    <t>Seltisberg</t>
  </si>
  <si>
    <t>Ziefen</t>
  </si>
  <si>
    <t>Anwil</t>
  </si>
  <si>
    <t>Böckten</t>
  </si>
  <si>
    <t>Buckten</t>
  </si>
  <si>
    <t>Buus</t>
  </si>
  <si>
    <t>Diepflingen</t>
  </si>
  <si>
    <t>Gelterkinden</t>
  </si>
  <si>
    <t>Häfelfingen</t>
  </si>
  <si>
    <t>Hemmiken</t>
  </si>
  <si>
    <t>Itingen</t>
  </si>
  <si>
    <t>Känerkinden</t>
  </si>
  <si>
    <t>Kilchberg BL</t>
  </si>
  <si>
    <t>Kilchberg (BL)</t>
  </si>
  <si>
    <t>Läufelfingen</t>
  </si>
  <si>
    <t>Maisprach</t>
  </si>
  <si>
    <t>Nusshof</t>
  </si>
  <si>
    <t>Oltingen</t>
  </si>
  <si>
    <t>Ormalingen</t>
  </si>
  <si>
    <t>Rickenbach BL</t>
  </si>
  <si>
    <t>Rickenbach (BL)</t>
  </si>
  <si>
    <t>Rothenfluh</t>
  </si>
  <si>
    <t>Rümlingen</t>
  </si>
  <si>
    <t>Rünenberg</t>
  </si>
  <si>
    <t>Sissach</t>
  </si>
  <si>
    <t>Tecknau</t>
  </si>
  <si>
    <t>Tenniken</t>
  </si>
  <si>
    <t>Thürnen</t>
  </si>
  <si>
    <t>Wenslingen</t>
  </si>
  <si>
    <t>Wintersingen</t>
  </si>
  <si>
    <t>Wittinsburg</t>
  </si>
  <si>
    <t>Zeglingen</t>
  </si>
  <si>
    <t>Zunzgen</t>
  </si>
  <si>
    <t>Arboldswil</t>
  </si>
  <si>
    <t>Bennwil</t>
  </si>
  <si>
    <t>Bretzwil</t>
  </si>
  <si>
    <t>Diegten</t>
  </si>
  <si>
    <t>Eptingen</t>
  </si>
  <si>
    <t>Hölstein</t>
  </si>
  <si>
    <t>Lampenberg</t>
  </si>
  <si>
    <t>Langenbruck</t>
  </si>
  <si>
    <t>Lauwil</t>
  </si>
  <si>
    <t>Liedertswil</t>
  </si>
  <si>
    <t>Niederdorf</t>
  </si>
  <si>
    <t>Oberdorf BL</t>
  </si>
  <si>
    <t>Oberdorf (BL)</t>
  </si>
  <si>
    <t>Reigoldswil</t>
  </si>
  <si>
    <t>Titterten</t>
  </si>
  <si>
    <t>Waldenburg</t>
  </si>
  <si>
    <t>Gächlingen</t>
  </si>
  <si>
    <t>SH</t>
  </si>
  <si>
    <t>Löhningen</t>
  </si>
  <si>
    <t>Neunkirch</t>
  </si>
  <si>
    <t>Büttenhardt</t>
  </si>
  <si>
    <t>Dörflingen</t>
  </si>
  <si>
    <t>Lohn SH</t>
  </si>
  <si>
    <t>Lohn (SH)</t>
  </si>
  <si>
    <t>Stetten SH</t>
  </si>
  <si>
    <t>Stetten (SH)</t>
  </si>
  <si>
    <t>Opfertshofen SH</t>
  </si>
  <si>
    <t>Thayngen</t>
  </si>
  <si>
    <t>Barzheim</t>
  </si>
  <si>
    <t>Bibern SH</t>
  </si>
  <si>
    <t>Hofen SH</t>
  </si>
  <si>
    <t>Altdorf SH</t>
  </si>
  <si>
    <t>Bargen SH</t>
  </si>
  <si>
    <t>Bargen (SH)</t>
  </si>
  <si>
    <t>Beringen</t>
  </si>
  <si>
    <t>Guntmadingen</t>
  </si>
  <si>
    <t>Buchberg</t>
  </si>
  <si>
    <t>Merishausen</t>
  </si>
  <si>
    <t>Neuhausen am Rheinfall</t>
  </si>
  <si>
    <t>Rüdlingen</t>
  </si>
  <si>
    <t>Schaffhausen</t>
  </si>
  <si>
    <t>Hemmental</t>
  </si>
  <si>
    <t>Beggingen</t>
  </si>
  <si>
    <t>Schleitheim</t>
  </si>
  <si>
    <t>Siblingen</t>
  </si>
  <si>
    <t>Buch SH</t>
  </si>
  <si>
    <t>Buch (SH)</t>
  </si>
  <si>
    <t>Hemishofen</t>
  </si>
  <si>
    <t>Ramsen</t>
  </si>
  <si>
    <t>Stein am Rhein</t>
  </si>
  <si>
    <t>Hallau</t>
  </si>
  <si>
    <t>Oberhallau</t>
  </si>
  <si>
    <t>Trasadingen</t>
  </si>
  <si>
    <t>Wilchingen</t>
  </si>
  <si>
    <t>Osterfingen</t>
  </si>
  <si>
    <t>Herisau</t>
  </si>
  <si>
    <t>AR</t>
  </si>
  <si>
    <t>Schachen b. Herisau</t>
  </si>
  <si>
    <t>Hundwil</t>
  </si>
  <si>
    <t>Schönengrund</t>
  </si>
  <si>
    <t>Schwellbrunn</t>
  </si>
  <si>
    <t>Stein AR</t>
  </si>
  <si>
    <t>Stein (AR)</t>
  </si>
  <si>
    <t>Urnäsch</t>
  </si>
  <si>
    <t>Waldstatt</t>
  </si>
  <si>
    <t>Bühler</t>
  </si>
  <si>
    <t>Gais</t>
  </si>
  <si>
    <t>Speicherschwendi</t>
  </si>
  <si>
    <t>Speicher</t>
  </si>
  <si>
    <t>Niederteufen</t>
  </si>
  <si>
    <t>Teufen (AR)</t>
  </si>
  <si>
    <t>Teufen AR</t>
  </si>
  <si>
    <t>Lustmühle</t>
  </si>
  <si>
    <t>Trogen</t>
  </si>
  <si>
    <t>Grub AR</t>
  </si>
  <si>
    <t>Grub (AR)</t>
  </si>
  <si>
    <t>Heiden</t>
  </si>
  <si>
    <t>Wienacht-Tobel</t>
  </si>
  <si>
    <t>Lutzenberg</t>
  </si>
  <si>
    <t>Rehetobel</t>
  </si>
  <si>
    <t>Reute AR</t>
  </si>
  <si>
    <t>Reute (AR)</t>
  </si>
  <si>
    <t>Schachen b. Reute</t>
  </si>
  <si>
    <t>Wald AR</t>
  </si>
  <si>
    <t>Wald (AR)</t>
  </si>
  <si>
    <t>Walzenhausen</t>
  </si>
  <si>
    <t>Wolfhalden</t>
  </si>
  <si>
    <t>Appenzell</t>
  </si>
  <si>
    <t>AI</t>
  </si>
  <si>
    <t>Appenzell Meistersrüte</t>
  </si>
  <si>
    <t>Gonten</t>
  </si>
  <si>
    <t>Gontenbad</t>
  </si>
  <si>
    <t>Jakobsbad</t>
  </si>
  <si>
    <t>Appenzell Enggenhütten</t>
  </si>
  <si>
    <t>Schlatt-Haslen</t>
  </si>
  <si>
    <t>Appenzell Schlatt</t>
  </si>
  <si>
    <t>Haslen AI</t>
  </si>
  <si>
    <t>Oberegg</t>
  </si>
  <si>
    <t>Büriswilen</t>
  </si>
  <si>
    <t>Appenzell Eggerstanden</t>
  </si>
  <si>
    <t>Schwende-Rüte</t>
  </si>
  <si>
    <t>Appenzell Steinegg</t>
  </si>
  <si>
    <t>Weissbad</t>
  </si>
  <si>
    <t>Schwende</t>
  </si>
  <si>
    <t>Wasserauen</t>
  </si>
  <si>
    <t>Brülisau</t>
  </si>
  <si>
    <t>Lömmenschwil</t>
  </si>
  <si>
    <t>Häggenschwil</t>
  </si>
  <si>
    <t>SG</t>
  </si>
  <si>
    <t>Muolen</t>
  </si>
  <si>
    <t>St. Gallen</t>
  </si>
  <si>
    <t>Wittenbach</t>
  </si>
  <si>
    <t>Berg SG</t>
  </si>
  <si>
    <t>Berg (SG)</t>
  </si>
  <si>
    <t>Eggersriet</t>
  </si>
  <si>
    <t>Grub SG</t>
  </si>
  <si>
    <t>Goldach</t>
  </si>
  <si>
    <t>Mörschwil</t>
  </si>
  <si>
    <t>Rorschach</t>
  </si>
  <si>
    <t>Rorschacherberg</t>
  </si>
  <si>
    <t>Steinach</t>
  </si>
  <si>
    <t>Tübach</t>
  </si>
  <si>
    <t>Untereggen</t>
  </si>
  <si>
    <t>Au SG</t>
  </si>
  <si>
    <t>Au (SG)</t>
  </si>
  <si>
    <t>Heerbrugg</t>
  </si>
  <si>
    <t>Balgach</t>
  </si>
  <si>
    <t>Berneck</t>
  </si>
  <si>
    <t>Diepoldsau</t>
  </si>
  <si>
    <t>Rheineck</t>
  </si>
  <si>
    <t>St. Margrethen SG</t>
  </si>
  <si>
    <t>St. Margrethen</t>
  </si>
  <si>
    <t>Staad SG</t>
  </si>
  <si>
    <t>Thal</t>
  </si>
  <si>
    <t>Altenrhein</t>
  </si>
  <si>
    <t>Widnau</t>
  </si>
  <si>
    <t>Altstätten SG</t>
  </si>
  <si>
    <t>Altstätten</t>
  </si>
  <si>
    <t>Lüchingen</t>
  </si>
  <si>
    <t>Hinterforst</t>
  </si>
  <si>
    <t>Lienz</t>
  </si>
  <si>
    <t>Eichberg</t>
  </si>
  <si>
    <t>Marbach SG</t>
  </si>
  <si>
    <t>Marbach (SG)</t>
  </si>
  <si>
    <t>Kriessern</t>
  </si>
  <si>
    <t>Oberriet (SG)</t>
  </si>
  <si>
    <t>Montlingen</t>
  </si>
  <si>
    <t>Oberriet SG</t>
  </si>
  <si>
    <t>Rebstein</t>
  </si>
  <si>
    <t>Rüthi (Rheintal)</t>
  </si>
  <si>
    <t>Rüthi (SG)</t>
  </si>
  <si>
    <t>Buchs SG</t>
  </si>
  <si>
    <t>Buchs (SG)</t>
  </si>
  <si>
    <t>Gams</t>
  </si>
  <si>
    <t>Werdenberg</t>
  </si>
  <si>
    <t>Grabs</t>
  </si>
  <si>
    <t>Grabserberg</t>
  </si>
  <si>
    <t>Salez</t>
  </si>
  <si>
    <t>Sennwald</t>
  </si>
  <si>
    <t>Frümsen</t>
  </si>
  <si>
    <t>Sax</t>
  </si>
  <si>
    <t>Haag (Rheintal)</t>
  </si>
  <si>
    <t>Sevelen</t>
  </si>
  <si>
    <t>Weite</t>
  </si>
  <si>
    <t>Wartau</t>
  </si>
  <si>
    <t>Fontnas</t>
  </si>
  <si>
    <t>Trübbach</t>
  </si>
  <si>
    <t>Azmoos</t>
  </si>
  <si>
    <t>Oberschan</t>
  </si>
  <si>
    <t>Malans SG</t>
  </si>
  <si>
    <t>Gretschins</t>
  </si>
  <si>
    <t>Bad Ragaz</t>
  </si>
  <si>
    <t>Flums</t>
  </si>
  <si>
    <t>Flums Hochwiese</t>
  </si>
  <si>
    <t>Flumserberg Saxli</t>
  </si>
  <si>
    <t>Flumserberg Portels</t>
  </si>
  <si>
    <t>Flumserberg Bergheim</t>
  </si>
  <si>
    <t>Flumserberg Tannenheim</t>
  </si>
  <si>
    <t>Flumserberg Tannenbodenalp</t>
  </si>
  <si>
    <t>Schwendi im Weisstannental</t>
  </si>
  <si>
    <t>Mels</t>
  </si>
  <si>
    <t>Weisstannen</t>
  </si>
  <si>
    <t>Mädris-Vermol</t>
  </si>
  <si>
    <t>Heiligkreuz (Mels)</t>
  </si>
  <si>
    <t>Plons</t>
  </si>
  <si>
    <t>Pfäfers</t>
  </si>
  <si>
    <t>St. Margrethenberg</t>
  </si>
  <si>
    <t>Vadura</t>
  </si>
  <si>
    <t>Vättis</t>
  </si>
  <si>
    <t>Valens</t>
  </si>
  <si>
    <t>Vasön</t>
  </si>
  <si>
    <t>Murg</t>
  </si>
  <si>
    <t>Quarten</t>
  </si>
  <si>
    <t>Quinten</t>
  </si>
  <si>
    <t>Unterterzen</t>
  </si>
  <si>
    <t>Oberterzen</t>
  </si>
  <si>
    <t>Mols</t>
  </si>
  <si>
    <t>Sargans</t>
  </si>
  <si>
    <t>Wangs</t>
  </si>
  <si>
    <t>Vilters-Wangs</t>
  </si>
  <si>
    <t>Vilters</t>
  </si>
  <si>
    <t>Walenstadt</t>
  </si>
  <si>
    <t>Walenstadtberg</t>
  </si>
  <si>
    <t>Tscherlach</t>
  </si>
  <si>
    <t>Berschis</t>
  </si>
  <si>
    <t>Amden</t>
  </si>
  <si>
    <t>Benken SG</t>
  </si>
  <si>
    <t>Benken (SG)</t>
  </si>
  <si>
    <t>Kaltbrunn</t>
  </si>
  <si>
    <t>Schänis</t>
  </si>
  <si>
    <t>Rufi</t>
  </si>
  <si>
    <t>Maseltrangen</t>
  </si>
  <si>
    <t>Ziegelbrücke</t>
  </si>
  <si>
    <t>Weesen</t>
  </si>
  <si>
    <t>Schmerikon</t>
  </si>
  <si>
    <t>Uznach</t>
  </si>
  <si>
    <t>Rapperswil SG</t>
  </si>
  <si>
    <t>Rapperswil-Jona</t>
  </si>
  <si>
    <t>Jona</t>
  </si>
  <si>
    <t>Wagen</t>
  </si>
  <si>
    <t>Bollingen</t>
  </si>
  <si>
    <t>Ernetschwil</t>
  </si>
  <si>
    <t>Gommiswald</t>
  </si>
  <si>
    <t>Gebertingen</t>
  </si>
  <si>
    <t>Uetliburg SG</t>
  </si>
  <si>
    <t>Rieden SG</t>
  </si>
  <si>
    <t>Goldingen</t>
  </si>
  <si>
    <t>Eschenbach (SG)</t>
  </si>
  <si>
    <t>Walde SG</t>
  </si>
  <si>
    <t>Neuhaus SG</t>
  </si>
  <si>
    <t>Eschenbach SG</t>
  </si>
  <si>
    <t>Ermenswil</t>
  </si>
  <si>
    <t>St. Gallenkappel</t>
  </si>
  <si>
    <t>Rüeterswil</t>
  </si>
  <si>
    <t>Ebnat-Kappel</t>
  </si>
  <si>
    <t>Alt St. Johann</t>
  </si>
  <si>
    <t>Wildhaus-Alt St. Johann</t>
  </si>
  <si>
    <t>Unterwasser</t>
  </si>
  <si>
    <t>Wildhaus</t>
  </si>
  <si>
    <t>Krummenau</t>
  </si>
  <si>
    <t>Nesslau</t>
  </si>
  <si>
    <t>Ennetbühl</t>
  </si>
  <si>
    <t>Neu St. Johann</t>
  </si>
  <si>
    <t>Stein SG</t>
  </si>
  <si>
    <t>Hemberg</t>
  </si>
  <si>
    <t>Bächli (Hemberg)</t>
  </si>
  <si>
    <t>Lichtensteig</t>
  </si>
  <si>
    <t>Oberhelfenschwil</t>
  </si>
  <si>
    <t>Hoffeld</t>
  </si>
  <si>
    <t>Neckertal</t>
  </si>
  <si>
    <t>Dicken</t>
  </si>
  <si>
    <t>Mogelsberg</t>
  </si>
  <si>
    <t>Ebersol</t>
  </si>
  <si>
    <t>Nassen</t>
  </si>
  <si>
    <t>Brunnadern</t>
  </si>
  <si>
    <t>Necker</t>
  </si>
  <si>
    <t>St. Peterzell</t>
  </si>
  <si>
    <t>Ricken SG</t>
  </si>
  <si>
    <t>Wattwil</t>
  </si>
  <si>
    <t>Krinau</t>
  </si>
  <si>
    <t>Ulisbach</t>
  </si>
  <si>
    <t>Wil SG</t>
  </si>
  <si>
    <t>Kirchberg (SG)</t>
  </si>
  <si>
    <t>Kirchberg SG</t>
  </si>
  <si>
    <t>Dietschwil</t>
  </si>
  <si>
    <t>Gähwil</t>
  </si>
  <si>
    <t>Bazenheid</t>
  </si>
  <si>
    <t>Müselbach</t>
  </si>
  <si>
    <t>Lütisburg Station</t>
  </si>
  <si>
    <t>Lütisburg</t>
  </si>
  <si>
    <t>Unterrindal</t>
  </si>
  <si>
    <t>Mosnang</t>
  </si>
  <si>
    <t>Dreien</t>
  </si>
  <si>
    <t>Mühlrüti</t>
  </si>
  <si>
    <t>Libingen</t>
  </si>
  <si>
    <t>Bütschwil</t>
  </si>
  <si>
    <t>Bütschwil-Ganterschwil</t>
  </si>
  <si>
    <t>Ganterschwil</t>
  </si>
  <si>
    <t>Dietfurt</t>
  </si>
  <si>
    <t>Degersheim</t>
  </si>
  <si>
    <t>Wolfertswil</t>
  </si>
  <si>
    <t>Flawil</t>
  </si>
  <si>
    <t>Egg (Flawil)</t>
  </si>
  <si>
    <t>Jonschwil</t>
  </si>
  <si>
    <t>Rickenbach b. Wil</t>
  </si>
  <si>
    <t>Schwarzenbach SG</t>
  </si>
  <si>
    <t>Oberrindal</t>
  </si>
  <si>
    <t>Niederglatt SG</t>
  </si>
  <si>
    <t>Oberuzwil</t>
  </si>
  <si>
    <t>Bichwil</t>
  </si>
  <si>
    <t>Uzwil</t>
  </si>
  <si>
    <t>Niederuzwil</t>
  </si>
  <si>
    <t>Henau</t>
  </si>
  <si>
    <t>Algetshausen</t>
  </si>
  <si>
    <t>Niederstetten</t>
  </si>
  <si>
    <t>Oberstetten</t>
  </si>
  <si>
    <t>Niederbüren</t>
  </si>
  <si>
    <t>Lenggenwil</t>
  </si>
  <si>
    <t>Niederhelfenschwil</t>
  </si>
  <si>
    <t>Zuckenriet</t>
  </si>
  <si>
    <t>Niederwil SG</t>
  </si>
  <si>
    <t>Oberbüren</t>
  </si>
  <si>
    <t>Sonnental</t>
  </si>
  <si>
    <t>Züberwangen</t>
  </si>
  <si>
    <t>Zuzwil (SG)</t>
  </si>
  <si>
    <t>Zuzwil SG</t>
  </si>
  <si>
    <t>Wil (SG)</t>
  </si>
  <si>
    <t>Rossrüti</t>
  </si>
  <si>
    <t>Bronschhofen</t>
  </si>
  <si>
    <t>Andwil SG</t>
  </si>
  <si>
    <t>Andwil (SG)</t>
  </si>
  <si>
    <t>Abtwil SG</t>
  </si>
  <si>
    <t>Gaiserwald</t>
  </si>
  <si>
    <t>St. Josefen</t>
  </si>
  <si>
    <t>Engelburg</t>
  </si>
  <si>
    <t>Gossau SG</t>
  </si>
  <si>
    <t>Gossau (SG)</t>
  </si>
  <si>
    <t>Arnegg</t>
  </si>
  <si>
    <t>Waldkirch</t>
  </si>
  <si>
    <t>Bernhardzell</t>
  </si>
  <si>
    <t>Valbella</t>
  </si>
  <si>
    <t>Vaz/Obervaz</t>
  </si>
  <si>
    <t>GR</t>
  </si>
  <si>
    <t>Lenzerheide/Lai</t>
  </si>
  <si>
    <t>Tiefencastel</t>
  </si>
  <si>
    <t>Lantsch/Lenz</t>
  </si>
  <si>
    <t>Schmitten (Albula)</t>
  </si>
  <si>
    <t>Schmitten (GR)</t>
  </si>
  <si>
    <t>Brienz/Brinzauls GR</t>
  </si>
  <si>
    <t>Albula/Alvra</t>
  </si>
  <si>
    <t>Alvaschein</t>
  </si>
  <si>
    <t>Mon</t>
  </si>
  <si>
    <t>Stierva</t>
  </si>
  <si>
    <t>Surava</t>
  </si>
  <si>
    <t>Alvaneu Bad</t>
  </si>
  <si>
    <t>Alvaneu Dorf</t>
  </si>
  <si>
    <t>Cunter</t>
  </si>
  <si>
    <t>Surses</t>
  </si>
  <si>
    <t>Tinizong</t>
  </si>
  <si>
    <t>Rona</t>
  </si>
  <si>
    <t>Mulegns</t>
  </si>
  <si>
    <t>Sur</t>
  </si>
  <si>
    <t>Marmorera</t>
  </si>
  <si>
    <t>Bivio</t>
  </si>
  <si>
    <t>Savognin</t>
  </si>
  <si>
    <t>Salouf</t>
  </si>
  <si>
    <t>Riom</t>
  </si>
  <si>
    <t>Parsonz</t>
  </si>
  <si>
    <t>Filisur</t>
  </si>
  <si>
    <t>Bergün Filisur</t>
  </si>
  <si>
    <t>Bergün/Bravuogn</t>
  </si>
  <si>
    <t>Preda</t>
  </si>
  <si>
    <t>Stugl/Stuls</t>
  </si>
  <si>
    <t>Latsch</t>
  </si>
  <si>
    <t>Brusio</t>
  </si>
  <si>
    <t>Campocologno</t>
  </si>
  <si>
    <t>Viano</t>
  </si>
  <si>
    <t>Campascio</t>
  </si>
  <si>
    <t>Ospizio Bernina</t>
  </si>
  <si>
    <t>Poschiavo</t>
  </si>
  <si>
    <t>Alp Grüm</t>
  </si>
  <si>
    <t>S. Carlo (Poschiavo)</t>
  </si>
  <si>
    <t>Sfazù</t>
  </si>
  <si>
    <t>La Rösa</t>
  </si>
  <si>
    <t>Miralago</t>
  </si>
  <si>
    <t>Li Curt</t>
  </si>
  <si>
    <t>Le Prese</t>
  </si>
  <si>
    <t>Falera</t>
  </si>
  <si>
    <t>Laax GR</t>
  </si>
  <si>
    <t>Laax</t>
  </si>
  <si>
    <t>Laax GR 2</t>
  </si>
  <si>
    <t>Sagogn</t>
  </si>
  <si>
    <t>Schluein</t>
  </si>
  <si>
    <t>St. Martin (Lugnez)</t>
  </si>
  <si>
    <t>Vals</t>
  </si>
  <si>
    <t>Peiden</t>
  </si>
  <si>
    <t>Lumnezia</t>
  </si>
  <si>
    <t>Camuns</t>
  </si>
  <si>
    <t>Uors (Lumnezia)</t>
  </si>
  <si>
    <t>Surcasti</t>
  </si>
  <si>
    <t>Tersnaus</t>
  </si>
  <si>
    <t>Cumbel</t>
  </si>
  <si>
    <t>Morissen</t>
  </si>
  <si>
    <t>Vella</t>
  </si>
  <si>
    <t>Degen</t>
  </si>
  <si>
    <t>Vattiz</t>
  </si>
  <si>
    <t>Vignogn</t>
  </si>
  <si>
    <t>Lumbrein</t>
  </si>
  <si>
    <t>Vrin</t>
  </si>
  <si>
    <t>Pitasch</t>
  </si>
  <si>
    <t>Ilanz/Glion</t>
  </si>
  <si>
    <t>Duvin</t>
  </si>
  <si>
    <t>Castrisch</t>
  </si>
  <si>
    <t>Sevgein</t>
  </si>
  <si>
    <t>Riein</t>
  </si>
  <si>
    <t>Ilanz</t>
  </si>
  <si>
    <t>Schnaus</t>
  </si>
  <si>
    <t>Luven</t>
  </si>
  <si>
    <t>Ruschein</t>
  </si>
  <si>
    <t>Ladir</t>
  </si>
  <si>
    <t>Rueun</t>
  </si>
  <si>
    <t>Pigniu</t>
  </si>
  <si>
    <t>Siat</t>
  </si>
  <si>
    <t>Fürstenaubruck</t>
  </si>
  <si>
    <t>Fürstenau</t>
  </si>
  <si>
    <t>Rothenbrunnen</t>
  </si>
  <si>
    <t>Scharans</t>
  </si>
  <si>
    <t>Sils im Domleschg</t>
  </si>
  <si>
    <t>Cazis</t>
  </si>
  <si>
    <t>Summaprada</t>
  </si>
  <si>
    <t>Tartar</t>
  </si>
  <si>
    <t>Sarn</t>
  </si>
  <si>
    <t>Portein</t>
  </si>
  <si>
    <t>Präz</t>
  </si>
  <si>
    <t>Dalin</t>
  </si>
  <si>
    <t>Flerden</t>
  </si>
  <si>
    <t>Masein</t>
  </si>
  <si>
    <t>Thusis</t>
  </si>
  <si>
    <t>Mutten</t>
  </si>
  <si>
    <t>Obermutten</t>
  </si>
  <si>
    <t>Tschappina</t>
  </si>
  <si>
    <t>Urmein</t>
  </si>
  <si>
    <t>Versam</t>
  </si>
  <si>
    <t>Safiental</t>
  </si>
  <si>
    <t>Tenna</t>
  </si>
  <si>
    <t>Safien Platz</t>
  </si>
  <si>
    <t>Thalkirch</t>
  </si>
  <si>
    <t>Valendas</t>
  </si>
  <si>
    <t>Feldis/Veulden</t>
  </si>
  <si>
    <t>Domleschg</t>
  </si>
  <si>
    <t>Trans</t>
  </si>
  <si>
    <t>Rodels</t>
  </si>
  <si>
    <t>Pratval</t>
  </si>
  <si>
    <t>Almens</t>
  </si>
  <si>
    <t>Paspels</t>
  </si>
  <si>
    <t>Tumegl/Tomils</t>
  </si>
  <si>
    <t>Scheid</t>
  </si>
  <si>
    <t>Avers</t>
  </si>
  <si>
    <t>Juf</t>
  </si>
  <si>
    <t>Sufers</t>
  </si>
  <si>
    <t>Andeer</t>
  </si>
  <si>
    <t>Clugin</t>
  </si>
  <si>
    <t>Pignia</t>
  </si>
  <si>
    <t>Rongellen</t>
  </si>
  <si>
    <t>Zillis</t>
  </si>
  <si>
    <t>Zillis-Reischen</t>
  </si>
  <si>
    <t>Ausserferrera</t>
  </si>
  <si>
    <t>Ferrera</t>
  </si>
  <si>
    <t>Innerferrera</t>
  </si>
  <si>
    <t>Splügen</t>
  </si>
  <si>
    <t>Rheinwald</t>
  </si>
  <si>
    <t>Medels im Rheinwald</t>
  </si>
  <si>
    <t>Nufenen</t>
  </si>
  <si>
    <t>Hinterrhein</t>
  </si>
  <si>
    <t>Donat</t>
  </si>
  <si>
    <t>Muntogna da Schons</t>
  </si>
  <si>
    <t>Lohn GR</t>
  </si>
  <si>
    <t>Mathon</t>
  </si>
  <si>
    <t>Wergenstein</t>
  </si>
  <si>
    <t>Bonaduz</t>
  </si>
  <si>
    <t>Domat/Ems</t>
  </si>
  <si>
    <t>Rhäzüns</t>
  </si>
  <si>
    <t>Felsberg</t>
  </si>
  <si>
    <t>Flims Dorf</t>
  </si>
  <si>
    <t>Flims</t>
  </si>
  <si>
    <t>Flims Waldhaus</t>
  </si>
  <si>
    <t>Fidaz</t>
  </si>
  <si>
    <t>Tamins</t>
  </si>
  <si>
    <t>Trin</t>
  </si>
  <si>
    <t>Trin Mulin</t>
  </si>
  <si>
    <t>Brail</t>
  </si>
  <si>
    <t>Zernez</t>
  </si>
  <si>
    <t>Susch</t>
  </si>
  <si>
    <t>Lavin</t>
  </si>
  <si>
    <t>Samnaun-Compatsch</t>
  </si>
  <si>
    <t>Samnaun</t>
  </si>
  <si>
    <t>Samnaun Dorf</t>
  </si>
  <si>
    <t>Guarda</t>
  </si>
  <si>
    <t>Scuol</t>
  </si>
  <si>
    <t>Ardez</t>
  </si>
  <si>
    <t>Ftan</t>
  </si>
  <si>
    <t>Vulpera</t>
  </si>
  <si>
    <t>Tarasp</t>
  </si>
  <si>
    <t>Sent</t>
  </si>
  <si>
    <t>Ramosch</t>
  </si>
  <si>
    <t>Valsot</t>
  </si>
  <si>
    <t>Vnà</t>
  </si>
  <si>
    <t>Strada</t>
  </si>
  <si>
    <t>Tschlin</t>
  </si>
  <si>
    <t>Martina</t>
  </si>
  <si>
    <t>Bever</t>
  </si>
  <si>
    <t>Celerina/Schlarigna</t>
  </si>
  <si>
    <t>Madulain</t>
  </si>
  <si>
    <t>Pontresina</t>
  </si>
  <si>
    <t>La Punt Chamues-ch</t>
  </si>
  <si>
    <t>Samedan</t>
  </si>
  <si>
    <t>St. Moritz</t>
  </si>
  <si>
    <t>S-chanf</t>
  </si>
  <si>
    <t>Cinuos-chel</t>
  </si>
  <si>
    <t>Chapella</t>
  </si>
  <si>
    <t>Sils/Segl Maria</t>
  </si>
  <si>
    <t>Sils im Engadin/Segl</t>
  </si>
  <si>
    <t>Fex</t>
  </si>
  <si>
    <t>Sils/Segl Baselgia</t>
  </si>
  <si>
    <t>Plaun da Lej</t>
  </si>
  <si>
    <t>Champfèr</t>
  </si>
  <si>
    <t>Silvaplana</t>
  </si>
  <si>
    <t>Silvaplana-Surlej</t>
  </si>
  <si>
    <t>Zuoz</t>
  </si>
  <si>
    <t>Maloja</t>
  </si>
  <si>
    <t>Bregaglia</t>
  </si>
  <si>
    <t>Casaccia</t>
  </si>
  <si>
    <t>Vicosoprano</t>
  </si>
  <si>
    <t>Borgonovo</t>
  </si>
  <si>
    <t>Stampa</t>
  </si>
  <si>
    <t>Promontogno</t>
  </si>
  <si>
    <t>Bondo</t>
  </si>
  <si>
    <t>Castasegna</t>
  </si>
  <si>
    <t>Soglio</t>
  </si>
  <si>
    <t>Buseno</t>
  </si>
  <si>
    <t>Castaneda</t>
  </si>
  <si>
    <t>Rossa</t>
  </si>
  <si>
    <t>Augio</t>
  </si>
  <si>
    <t>Sta. Domenica</t>
  </si>
  <si>
    <t>Sta. Maria in Calanca</t>
  </si>
  <si>
    <t>Santa Maria in Calanca</t>
  </si>
  <si>
    <t>Lostallo</t>
  </si>
  <si>
    <t>Mesocco</t>
  </si>
  <si>
    <t>S. Bernardino</t>
  </si>
  <si>
    <t>Soazza</t>
  </si>
  <si>
    <t>Cama</t>
  </si>
  <si>
    <t>Grono</t>
  </si>
  <si>
    <t>Verdabbio</t>
  </si>
  <si>
    <t>Leggia</t>
  </si>
  <si>
    <t>Roveredo GR</t>
  </si>
  <si>
    <t>Roveredo (GR)</t>
  </si>
  <si>
    <t>Laura</t>
  </si>
  <si>
    <t>S. Vittore</t>
  </si>
  <si>
    <t>San Vittore</t>
  </si>
  <si>
    <t>Arvigo</t>
  </si>
  <si>
    <t>Calanca</t>
  </si>
  <si>
    <t>Braggio</t>
  </si>
  <si>
    <t>Selma</t>
  </si>
  <si>
    <t>Cauco</t>
  </si>
  <si>
    <t>Tschierv</t>
  </si>
  <si>
    <t>Val Müstair</t>
  </si>
  <si>
    <t>Fuldera</t>
  </si>
  <si>
    <t>Lü</t>
  </si>
  <si>
    <t>Valchava</t>
  </si>
  <si>
    <t>Sta. Maria Val Müstair</t>
  </si>
  <si>
    <t>Müstair</t>
  </si>
  <si>
    <t>Davos Dorf</t>
  </si>
  <si>
    <t>Davos</t>
  </si>
  <si>
    <t>Davos Wolfgang</t>
  </si>
  <si>
    <t>Davos Platz</t>
  </si>
  <si>
    <t>Davos Clavadel</t>
  </si>
  <si>
    <t>Davos Frauenkirch</t>
  </si>
  <si>
    <t>Davos Glaris</t>
  </si>
  <si>
    <t>Davos Monstein</t>
  </si>
  <si>
    <t>Davos Wiesen</t>
  </si>
  <si>
    <t>Fideris</t>
  </si>
  <si>
    <t>Furna</t>
  </si>
  <si>
    <t>Pragg-Jenaz</t>
  </si>
  <si>
    <t>Jenaz</t>
  </si>
  <si>
    <t>Saas im Prättigau</t>
  </si>
  <si>
    <t>Klosters</t>
  </si>
  <si>
    <t>Serneus</t>
  </si>
  <si>
    <t>Klosters Dorf</t>
  </si>
  <si>
    <t>Conters im Prättigau</t>
  </si>
  <si>
    <t>Küblis</t>
  </si>
  <si>
    <t>Buchen im Prättigau</t>
  </si>
  <si>
    <t>Luzein</t>
  </si>
  <si>
    <t>Putz</t>
  </si>
  <si>
    <t>Pany</t>
  </si>
  <si>
    <t>Gadenstätt</t>
  </si>
  <si>
    <t>Ascharina</t>
  </si>
  <si>
    <t>St. Antönien</t>
  </si>
  <si>
    <t>Chur</t>
  </si>
  <si>
    <t>Haldenstein</t>
  </si>
  <si>
    <t>Maladers</t>
  </si>
  <si>
    <t>Passugg</t>
  </si>
  <si>
    <t>Churwalden</t>
  </si>
  <si>
    <t>Malix</t>
  </si>
  <si>
    <t>Parpan</t>
  </si>
  <si>
    <t>Castiel</t>
  </si>
  <si>
    <t>Arosa</t>
  </si>
  <si>
    <t>Lüen</t>
  </si>
  <si>
    <t>Calfreisen</t>
  </si>
  <si>
    <t>St. Peter</t>
  </si>
  <si>
    <t>Pagig</t>
  </si>
  <si>
    <t>Peist</t>
  </si>
  <si>
    <t>Molinis</t>
  </si>
  <si>
    <t>Langwies</t>
  </si>
  <si>
    <t>Litzirüti</t>
  </si>
  <si>
    <t>Praden</t>
  </si>
  <si>
    <t>Tschiertschen-Praden</t>
  </si>
  <si>
    <t>Tschiertschen</t>
  </si>
  <si>
    <t>Says</t>
  </si>
  <si>
    <t>Trimmis</t>
  </si>
  <si>
    <t>Untervaz</t>
  </si>
  <si>
    <t>Zizers</t>
  </si>
  <si>
    <t>Fläsch</t>
  </si>
  <si>
    <t>Jenins</t>
  </si>
  <si>
    <t>Maienfeld</t>
  </si>
  <si>
    <t>Malans GR</t>
  </si>
  <si>
    <t>Malans</t>
  </si>
  <si>
    <t>Igis</t>
  </si>
  <si>
    <t>Landquart</t>
  </si>
  <si>
    <t>Mastrils</t>
  </si>
  <si>
    <t>Valzeina</t>
  </si>
  <si>
    <t>Grüsch</t>
  </si>
  <si>
    <t>Fanas</t>
  </si>
  <si>
    <t>Schiers</t>
  </si>
  <si>
    <t>Lunden</t>
  </si>
  <si>
    <t>Stels</t>
  </si>
  <si>
    <t>Fajauna</t>
  </si>
  <si>
    <t>Schuders</t>
  </si>
  <si>
    <t>Pusserein</t>
  </si>
  <si>
    <t>Seewis Dorf</t>
  </si>
  <si>
    <t>Seewis im Prättigau</t>
  </si>
  <si>
    <t>Seewis-Pardisla</t>
  </si>
  <si>
    <t>Seewis-Schmitten</t>
  </si>
  <si>
    <t>Waltensburg/Vuorz</t>
  </si>
  <si>
    <t>Breil/Brigels</t>
  </si>
  <si>
    <t>Andiast</t>
  </si>
  <si>
    <t>Tavanasa</t>
  </si>
  <si>
    <t>Danis</t>
  </si>
  <si>
    <t>Dardin</t>
  </si>
  <si>
    <t>Disentis/Mustér</t>
  </si>
  <si>
    <t>Cavardiras</t>
  </si>
  <si>
    <t>Mumpé Medel</t>
  </si>
  <si>
    <t>Segnas</t>
  </si>
  <si>
    <t>Curaglia</t>
  </si>
  <si>
    <t>Medel (Lucmagn)</t>
  </si>
  <si>
    <t>Platta</t>
  </si>
  <si>
    <t>Rabius</t>
  </si>
  <si>
    <t>Sumvitg</t>
  </si>
  <si>
    <t>Surrein</t>
  </si>
  <si>
    <t>S. Benedetg</t>
  </si>
  <si>
    <t>Cumpadials</t>
  </si>
  <si>
    <t>Camischolas</t>
  </si>
  <si>
    <t>Tujetsch</t>
  </si>
  <si>
    <t>Sedrun</t>
  </si>
  <si>
    <t>Rueras</t>
  </si>
  <si>
    <t>Trun</t>
  </si>
  <si>
    <t>Zignau</t>
  </si>
  <si>
    <t>Schlans</t>
  </si>
  <si>
    <t>Obersaxen</t>
  </si>
  <si>
    <t>Obersaxen Mundaun</t>
  </si>
  <si>
    <t>Flond</t>
  </si>
  <si>
    <t>Surcuolm</t>
  </si>
  <si>
    <t>Aarau</t>
  </si>
  <si>
    <t>AG</t>
  </si>
  <si>
    <t>Aarau Rohr</t>
  </si>
  <si>
    <t>Biberstein</t>
  </si>
  <si>
    <t>Buchs AG</t>
  </si>
  <si>
    <t>Buchs (AG)</t>
  </si>
  <si>
    <t>Asp</t>
  </si>
  <si>
    <t>Densbüren</t>
  </si>
  <si>
    <t>Barmelweid</t>
  </si>
  <si>
    <t>Erlinsbach (AG)</t>
  </si>
  <si>
    <t>Erlinsbach</t>
  </si>
  <si>
    <t>Gränichen</t>
  </si>
  <si>
    <t>Hirschthal</t>
  </si>
  <si>
    <t>Rombach</t>
  </si>
  <si>
    <t>Küttigen</t>
  </si>
  <si>
    <t>Muhen</t>
  </si>
  <si>
    <t>Oberentfelden</t>
  </si>
  <si>
    <t>Suhr</t>
  </si>
  <si>
    <t>Unterentfelden</t>
  </si>
  <si>
    <t>Baden</t>
  </si>
  <si>
    <t>Dättwil AG</t>
  </si>
  <si>
    <t>Rütihof</t>
  </si>
  <si>
    <t>Bellikon</t>
  </si>
  <si>
    <t>Bergdietikon</t>
  </si>
  <si>
    <t>Birmenstorf AG</t>
  </si>
  <si>
    <t>Birmenstorf (AG)</t>
  </si>
  <si>
    <t>Ennetbaden</t>
  </si>
  <si>
    <t>Fislisbach</t>
  </si>
  <si>
    <t>Freienwil</t>
  </si>
  <si>
    <t>Gebenstorf</t>
  </si>
  <si>
    <t>Vogelsang AG</t>
  </si>
  <si>
    <t>Killwangen</t>
  </si>
  <si>
    <t>Künten</t>
  </si>
  <si>
    <t>Mägenwil</t>
  </si>
  <si>
    <t>Mellingen</t>
  </si>
  <si>
    <t>Neuenhof</t>
  </si>
  <si>
    <t>Niederrohrdorf</t>
  </si>
  <si>
    <t>Oberrohrdorf</t>
  </si>
  <si>
    <t>Nussbaumen AG</t>
  </si>
  <si>
    <t>Obersiggenthal</t>
  </si>
  <si>
    <t>Hertenstein AG</t>
  </si>
  <si>
    <t>Rieden AG</t>
  </si>
  <si>
    <t>Kirchdorf AG</t>
  </si>
  <si>
    <t>Remetschwil</t>
  </si>
  <si>
    <t>Spreitenbach</t>
  </si>
  <si>
    <t>Stetten AG</t>
  </si>
  <si>
    <t>Stetten (AG)</t>
  </si>
  <si>
    <t>Turgi</t>
  </si>
  <si>
    <t>Siggenthal Station</t>
  </si>
  <si>
    <t>Untersiggenthal</t>
  </si>
  <si>
    <t>Wettingen</t>
  </si>
  <si>
    <t>Wohlenschwil</t>
  </si>
  <si>
    <t>Würenlingen</t>
  </si>
  <si>
    <t>Würenlos</t>
  </si>
  <si>
    <t>Kloster Fahr</t>
  </si>
  <si>
    <t>Ehrendingen</t>
  </si>
  <si>
    <t>Arni AG</t>
  </si>
  <si>
    <t>Arni (AG)</t>
  </si>
  <si>
    <t>Berikon</t>
  </si>
  <si>
    <t>Bremgarten AG</t>
  </si>
  <si>
    <t>Bremgarten (AG)</t>
  </si>
  <si>
    <t>Hermetschwil-Staffeln</t>
  </si>
  <si>
    <t>Büttikon AG</t>
  </si>
  <si>
    <t>Büttikon</t>
  </si>
  <si>
    <t>Dottikon</t>
  </si>
  <si>
    <t>Eggenwil</t>
  </si>
  <si>
    <t>Fischbach-Göslikon</t>
  </si>
  <si>
    <t>Hägglingen</t>
  </si>
  <si>
    <t>Jonen</t>
  </si>
  <si>
    <t>Niederwil AG</t>
  </si>
  <si>
    <t>Niederwil (AG)</t>
  </si>
  <si>
    <t>Nesselnbach</t>
  </si>
  <si>
    <t>Oberlunkhofen</t>
  </si>
  <si>
    <t>Oberwil-Lieli</t>
  </si>
  <si>
    <t>Rudolfstetten</t>
  </si>
  <si>
    <t>Rudolfstetten-Friedlisberg</t>
  </si>
  <si>
    <t>Sarmenstorf</t>
  </si>
  <si>
    <t>Tägerig</t>
  </si>
  <si>
    <t>Uezwil</t>
  </si>
  <si>
    <t>Unterlunkhofen</t>
  </si>
  <si>
    <t>Villmergen</t>
  </si>
  <si>
    <t>Hilfikon</t>
  </si>
  <si>
    <t>Widen</t>
  </si>
  <si>
    <t>Wohlen AG</t>
  </si>
  <si>
    <t>Wohlen (AG)</t>
  </si>
  <si>
    <t>Anglikon</t>
  </si>
  <si>
    <t>Zufikon</t>
  </si>
  <si>
    <t>Islisberg</t>
  </si>
  <si>
    <t>Auenstein</t>
  </si>
  <si>
    <t>Birr</t>
  </si>
  <si>
    <t>Birrhard</t>
  </si>
  <si>
    <t>Schinznach Bad</t>
  </si>
  <si>
    <t>Brugg</t>
  </si>
  <si>
    <t>Brugg AG</t>
  </si>
  <si>
    <t>Umiken</t>
  </si>
  <si>
    <t>Habsburg</t>
  </si>
  <si>
    <t>Hausen AG</t>
  </si>
  <si>
    <t>Hausen (AG)</t>
  </si>
  <si>
    <t>Lupfig</t>
  </si>
  <si>
    <t>Scherz</t>
  </si>
  <si>
    <t>Mandach</t>
  </si>
  <si>
    <t>Mönthal</t>
  </si>
  <si>
    <t>Mülligen</t>
  </si>
  <si>
    <t>Remigen</t>
  </si>
  <si>
    <t>Riniken</t>
  </si>
  <si>
    <t>Rüfenach AG</t>
  </si>
  <si>
    <t>Rüfenach</t>
  </si>
  <si>
    <t>Thalheim AG</t>
  </si>
  <si>
    <t>Thalheim (AG)</t>
  </si>
  <si>
    <t>Veltheim AG</t>
  </si>
  <si>
    <t>Veltheim (AG)</t>
  </si>
  <si>
    <t>Stilli</t>
  </si>
  <si>
    <t>Villigen</t>
  </si>
  <si>
    <t>Villnachern</t>
  </si>
  <si>
    <t>Windisch</t>
  </si>
  <si>
    <t>Bözberg</t>
  </si>
  <si>
    <t>Schinznach Dorf</t>
  </si>
  <si>
    <t>Schinznach</t>
  </si>
  <si>
    <t>Oberflachs</t>
  </si>
  <si>
    <t>Beinwil am See</t>
  </si>
  <si>
    <t>Birrwil</t>
  </si>
  <si>
    <t>Burg AG</t>
  </si>
  <si>
    <t>Burg (AG)</t>
  </si>
  <si>
    <t>Dürrenäsch</t>
  </si>
  <si>
    <t>Gontenschwil</t>
  </si>
  <si>
    <t>Holziken</t>
  </si>
  <si>
    <t>Leimbach AG</t>
  </si>
  <si>
    <t>Leimbach (AG)</t>
  </si>
  <si>
    <t>Leutwil</t>
  </si>
  <si>
    <t>Menziken</t>
  </si>
  <si>
    <t>Oberkulm</t>
  </si>
  <si>
    <t>Reinach AG</t>
  </si>
  <si>
    <t>Reinach (AG)</t>
  </si>
  <si>
    <t>Schlossrued</t>
  </si>
  <si>
    <t>Schmiedrued</t>
  </si>
  <si>
    <t>Walde AG</t>
  </si>
  <si>
    <t>Schöftland</t>
  </si>
  <si>
    <t>Teufenthal AG</t>
  </si>
  <si>
    <t>Teufenthal (AG)</t>
  </si>
  <si>
    <t>Unterkulm</t>
  </si>
  <si>
    <t>Zetzwil</t>
  </si>
  <si>
    <t>Eiken</t>
  </si>
  <si>
    <t>Frick</t>
  </si>
  <si>
    <t>Gansingen</t>
  </si>
  <si>
    <t>Gipf-Oberfrick</t>
  </si>
  <si>
    <t>Herznach</t>
  </si>
  <si>
    <t>Kaisten</t>
  </si>
  <si>
    <t>Ittenthal</t>
  </si>
  <si>
    <t>Laufenburg</t>
  </si>
  <si>
    <t>Rheinsulz</t>
  </si>
  <si>
    <t>Sulz AG</t>
  </si>
  <si>
    <t>Münchwilen AG</t>
  </si>
  <si>
    <t>Münchwilen (AG)</t>
  </si>
  <si>
    <t>Oberhof</t>
  </si>
  <si>
    <t>Oeschgen</t>
  </si>
  <si>
    <t>Schwaderloch</t>
  </si>
  <si>
    <t>Sisseln AG</t>
  </si>
  <si>
    <t>Sisseln</t>
  </si>
  <si>
    <t>Ueken</t>
  </si>
  <si>
    <t>Wittnau</t>
  </si>
  <si>
    <t>Wölflinswil</t>
  </si>
  <si>
    <t>Zeihen</t>
  </si>
  <si>
    <t>Oberhofen AG</t>
  </si>
  <si>
    <t>Mettauertal</t>
  </si>
  <si>
    <t>Mettau</t>
  </si>
  <si>
    <t>Etzgen</t>
  </si>
  <si>
    <t>Wil AG</t>
  </si>
  <si>
    <t>Hottwil</t>
  </si>
  <si>
    <t>Hornussen</t>
  </si>
  <si>
    <t>Böztal</t>
  </si>
  <si>
    <t>Bözen</t>
  </si>
  <si>
    <t>Elfingen</t>
  </si>
  <si>
    <t>Effingen</t>
  </si>
  <si>
    <t>Ammerswil AG</t>
  </si>
  <si>
    <t>Ammerswil</t>
  </si>
  <si>
    <t>Boniswil</t>
  </si>
  <si>
    <t>Brunegg</t>
  </si>
  <si>
    <t>Dintikon</t>
  </si>
  <si>
    <t>Egliswil</t>
  </si>
  <si>
    <t>Fahrwangen</t>
  </si>
  <si>
    <t>Hallwil</t>
  </si>
  <si>
    <t>Hendschiken</t>
  </si>
  <si>
    <t>Holderbank AG</t>
  </si>
  <si>
    <t>Holderbank (AG)</t>
  </si>
  <si>
    <t>Hunzenschwil</t>
  </si>
  <si>
    <t>Lenzburg</t>
  </si>
  <si>
    <t>Meisterschwanden</t>
  </si>
  <si>
    <t>Tennwil</t>
  </si>
  <si>
    <t>Wildegg</t>
  </si>
  <si>
    <t>Möriken-Wildegg</t>
  </si>
  <si>
    <t>Möriken AG</t>
  </si>
  <si>
    <t>Niederlenz</t>
  </si>
  <si>
    <t>Othmarsingen</t>
  </si>
  <si>
    <t>Rupperswil</t>
  </si>
  <si>
    <t>Schafisheim</t>
  </si>
  <si>
    <t>Seengen</t>
  </si>
  <si>
    <t>Seon</t>
  </si>
  <si>
    <t>Staufen</t>
  </si>
  <si>
    <t>Abtwil AG</t>
  </si>
  <si>
    <t>Abtwil</t>
  </si>
  <si>
    <t>Aristau</t>
  </si>
  <si>
    <t>Auw</t>
  </si>
  <si>
    <t>Beinwil (Freiamt)</t>
  </si>
  <si>
    <t>Besenbüren</t>
  </si>
  <si>
    <t>Bettwil</t>
  </si>
  <si>
    <t>Boswil</t>
  </si>
  <si>
    <t>Bünzen</t>
  </si>
  <si>
    <t>Waldhäusern AG</t>
  </si>
  <si>
    <t>Buttwil</t>
  </si>
  <si>
    <t>Dietwil</t>
  </si>
  <si>
    <t>Geltwil</t>
  </si>
  <si>
    <t>Kallern</t>
  </si>
  <si>
    <t>Merenschwand</t>
  </si>
  <si>
    <t>Benzenschwil</t>
  </si>
  <si>
    <t>Mühlau</t>
  </si>
  <si>
    <t>Muri AG</t>
  </si>
  <si>
    <t>Muri (AG)</t>
  </si>
  <si>
    <t>Oberrüti</t>
  </si>
  <si>
    <t>Rottenschwil</t>
  </si>
  <si>
    <t>Sins</t>
  </si>
  <si>
    <t>Alikon</t>
  </si>
  <si>
    <t>Meienberg</t>
  </si>
  <si>
    <t>Aettenschwil</t>
  </si>
  <si>
    <t>Fenkrieden</t>
  </si>
  <si>
    <t>Waltenschwil</t>
  </si>
  <si>
    <t>Hellikon</t>
  </si>
  <si>
    <t>Kaiseraugst</t>
  </si>
  <si>
    <t>Magden</t>
  </si>
  <si>
    <t>Möhlin</t>
  </si>
  <si>
    <t>Mumpf</t>
  </si>
  <si>
    <t>Obermumpf</t>
  </si>
  <si>
    <t>Olsberg</t>
  </si>
  <si>
    <t>Rheinfelden</t>
  </si>
  <si>
    <t>Schupfart</t>
  </si>
  <si>
    <t>Stein AG</t>
  </si>
  <si>
    <t>Stein (AG)</t>
  </si>
  <si>
    <t>Wallbach</t>
  </si>
  <si>
    <t>Wegenstetten</t>
  </si>
  <si>
    <t>Zeiningen</t>
  </si>
  <si>
    <t>Zuzgen</t>
  </si>
  <si>
    <t>Aarburg</t>
  </si>
  <si>
    <t>Bottenwil</t>
  </si>
  <si>
    <t>Brittnau</t>
  </si>
  <si>
    <t>Kirchleerau</t>
  </si>
  <si>
    <t>Kölliken</t>
  </si>
  <si>
    <t>Moosleerau</t>
  </si>
  <si>
    <t>Murgenthal</t>
  </si>
  <si>
    <t>Riken AG</t>
  </si>
  <si>
    <t>Glashütten</t>
  </si>
  <si>
    <t>Oftringen</t>
  </si>
  <si>
    <t>Attelwil</t>
  </si>
  <si>
    <t>Reitnau</t>
  </si>
  <si>
    <t>Rothrist</t>
  </si>
  <si>
    <t>Safenwil</t>
  </si>
  <si>
    <t>Staffelbach</t>
  </si>
  <si>
    <t>Wittwil</t>
  </si>
  <si>
    <t>Strengelbach</t>
  </si>
  <si>
    <t>Uerkheim</t>
  </si>
  <si>
    <t>Vordemwald</t>
  </si>
  <si>
    <t>Wiliberg</t>
  </si>
  <si>
    <t>Zofingen</t>
  </si>
  <si>
    <t>Mühlethal</t>
  </si>
  <si>
    <t>Kleindöttingen</t>
  </si>
  <si>
    <t>Böttstein</t>
  </si>
  <si>
    <t>Döttingen</t>
  </si>
  <si>
    <t>Endingen</t>
  </si>
  <si>
    <t>Unterendingen</t>
  </si>
  <si>
    <t>Fisibach</t>
  </si>
  <si>
    <t>Full-Reuenthal</t>
  </si>
  <si>
    <t>Klingnau</t>
  </si>
  <si>
    <t>Koblenz</t>
  </si>
  <si>
    <t>Leibstadt</t>
  </si>
  <si>
    <t>Lengnau AG</t>
  </si>
  <si>
    <t>Lengnau (AG)</t>
  </si>
  <si>
    <t>Leuggern</t>
  </si>
  <si>
    <t>Hettenschwil</t>
  </si>
  <si>
    <t>Mellikon</t>
  </si>
  <si>
    <t>Schneisingen</t>
  </si>
  <si>
    <t>Siglistorf</t>
  </si>
  <si>
    <t>Tegerfelden</t>
  </si>
  <si>
    <t>Rietheim</t>
  </si>
  <si>
    <t>Zurzach</t>
  </si>
  <si>
    <t>Bad Zurzach</t>
  </si>
  <si>
    <t>Rekingen AG</t>
  </si>
  <si>
    <t>Baldingen</t>
  </si>
  <si>
    <t>Böbikon</t>
  </si>
  <si>
    <t>Wislikofen</t>
  </si>
  <si>
    <t>Rümikon AG</t>
  </si>
  <si>
    <t>Kaiserstuhl AG</t>
  </si>
  <si>
    <t>Arbon</t>
  </si>
  <si>
    <t>TG</t>
  </si>
  <si>
    <t>Frasnacht</t>
  </si>
  <si>
    <t>Stachen</t>
  </si>
  <si>
    <t>Dozwil</t>
  </si>
  <si>
    <t>Steinebrunn</t>
  </si>
  <si>
    <t>Egnach</t>
  </si>
  <si>
    <t>Neukirch (Egnach)</t>
  </si>
  <si>
    <t>Winden</t>
  </si>
  <si>
    <t>Hefenhofen</t>
  </si>
  <si>
    <t>Horn</t>
  </si>
  <si>
    <t>Kesswil</t>
  </si>
  <si>
    <t>Freidorf TG</t>
  </si>
  <si>
    <t>Roggwil (TG)</t>
  </si>
  <si>
    <t>Roggwil TG</t>
  </si>
  <si>
    <t>Romanshorn</t>
  </si>
  <si>
    <t>Salmsach</t>
  </si>
  <si>
    <t>Sommeri</t>
  </si>
  <si>
    <t>Uttwil</t>
  </si>
  <si>
    <t>Amriswil</t>
  </si>
  <si>
    <t>Hagenwil b. Amriswil</t>
  </si>
  <si>
    <t>Biessenhofen</t>
  </si>
  <si>
    <t>Schocherswil</t>
  </si>
  <si>
    <t>Oberaach</t>
  </si>
  <si>
    <t>Bischofszell</t>
  </si>
  <si>
    <t>Schweizersholz</t>
  </si>
  <si>
    <t>Halden</t>
  </si>
  <si>
    <t>Erlen</t>
  </si>
  <si>
    <t>Kümmertshausen</t>
  </si>
  <si>
    <t>Riedt b. Erlen</t>
  </si>
  <si>
    <t>Buchackern</t>
  </si>
  <si>
    <t>Engishofen</t>
  </si>
  <si>
    <t>Ennetaach</t>
  </si>
  <si>
    <t>Hauptwil</t>
  </si>
  <si>
    <t>Hauptwil-Gottshaus</t>
  </si>
  <si>
    <t>Wilen (Gottshaus)</t>
  </si>
  <si>
    <t>St. Pelagiberg</t>
  </si>
  <si>
    <t>Heldswil</t>
  </si>
  <si>
    <t>Hohentannen</t>
  </si>
  <si>
    <t>Kradolf</t>
  </si>
  <si>
    <t>Kradolf-Schönenberg</t>
  </si>
  <si>
    <t>Schönenberg an der Thur</t>
  </si>
  <si>
    <t>Buhwil</t>
  </si>
  <si>
    <t>Neukirch an der Thur</t>
  </si>
  <si>
    <t>Sulgen</t>
  </si>
  <si>
    <t>Götighofen</t>
  </si>
  <si>
    <t>Donzhausen</t>
  </si>
  <si>
    <t>Zihlschlacht</t>
  </si>
  <si>
    <t>Zihlschlacht-Sitterdorf</t>
  </si>
  <si>
    <t>Sitterdorf</t>
  </si>
  <si>
    <t>Basadingen</t>
  </si>
  <si>
    <t>Basadingen-Schlattingen</t>
  </si>
  <si>
    <t>Schlattingen</t>
  </si>
  <si>
    <t>Diessenhofen</t>
  </si>
  <si>
    <t>Willisdorf</t>
  </si>
  <si>
    <t>Schlatt TG</t>
  </si>
  <si>
    <t>Schlatt (TG)</t>
  </si>
  <si>
    <t>Aadorf</t>
  </si>
  <si>
    <t>Ettenhausen TG</t>
  </si>
  <si>
    <t>Guntershausen b. Aadorf</t>
  </si>
  <si>
    <t>Häuslenen</t>
  </si>
  <si>
    <t>Aawangen</t>
  </si>
  <si>
    <t>Wittenwil</t>
  </si>
  <si>
    <t>Felben-Wellhausen</t>
  </si>
  <si>
    <t>Frauenfeld</t>
  </si>
  <si>
    <t>Gerlikon</t>
  </si>
  <si>
    <t>Islikon</t>
  </si>
  <si>
    <t>Gachnang</t>
  </si>
  <si>
    <t>Kefikon TG</t>
  </si>
  <si>
    <t>Harenwilen</t>
  </si>
  <si>
    <t>Hüttlingen</t>
  </si>
  <si>
    <t>Mettendorf TG</t>
  </si>
  <si>
    <t>Eschikofen</t>
  </si>
  <si>
    <t>Matzingen</t>
  </si>
  <si>
    <t>Niederneunforn</t>
  </si>
  <si>
    <t>Neunforn</t>
  </si>
  <si>
    <t>Oberneunforn</t>
  </si>
  <si>
    <t>Stettfurt</t>
  </si>
  <si>
    <t>Thundorf</t>
  </si>
  <si>
    <t>Lustdorf</t>
  </si>
  <si>
    <t>Wetzikon TG</t>
  </si>
  <si>
    <t>Uesslingen</t>
  </si>
  <si>
    <t>Uesslingen-Buch</t>
  </si>
  <si>
    <t>Buch b. Frauenfeld</t>
  </si>
  <si>
    <t>Warth</t>
  </si>
  <si>
    <t>Warth-Weiningen</t>
  </si>
  <si>
    <t>Weiningen TG</t>
  </si>
  <si>
    <t>Altnau</t>
  </si>
  <si>
    <t>Bottighofen</t>
  </si>
  <si>
    <t>Ermatingen</t>
  </si>
  <si>
    <t>Triboltingen</t>
  </si>
  <si>
    <t>Gottlieben</t>
  </si>
  <si>
    <t>Güttingen</t>
  </si>
  <si>
    <t>Hugelshofen</t>
  </si>
  <si>
    <t>Kemmental</t>
  </si>
  <si>
    <t>Neuwilen</t>
  </si>
  <si>
    <t>Dotnacht</t>
  </si>
  <si>
    <t>Ellighausen</t>
  </si>
  <si>
    <t>Lippoldswilen</t>
  </si>
  <si>
    <t>Siegershausen</t>
  </si>
  <si>
    <t>Alterswilen</t>
  </si>
  <si>
    <t>Altishausen</t>
  </si>
  <si>
    <t>Kreuzlingen</t>
  </si>
  <si>
    <t>Langrickenbach</t>
  </si>
  <si>
    <t>Zuben</t>
  </si>
  <si>
    <t>Schönenbaumgarten</t>
  </si>
  <si>
    <t>Herrenhof</t>
  </si>
  <si>
    <t>Illighausen</t>
  </si>
  <si>
    <t>Lengwil</t>
  </si>
  <si>
    <t>Oberhofen TG</t>
  </si>
  <si>
    <t>Dettighofen (Lengwil)</t>
  </si>
  <si>
    <t>Scherzingen</t>
  </si>
  <si>
    <t>Münsterlingen</t>
  </si>
  <si>
    <t>Landschlacht</t>
  </si>
  <si>
    <t>Tägerwilen</t>
  </si>
  <si>
    <t>Hefenhausen</t>
  </si>
  <si>
    <t>Wäldi</t>
  </si>
  <si>
    <t>Engwilen</t>
  </si>
  <si>
    <t>Sonterswil</t>
  </si>
  <si>
    <t>Lipperswil</t>
  </si>
  <si>
    <t>Hattenhausen</t>
  </si>
  <si>
    <t>Gunterswilen</t>
  </si>
  <si>
    <t>Affeltrangen</t>
  </si>
  <si>
    <t>Zezikon</t>
  </si>
  <si>
    <t>Märwil</t>
  </si>
  <si>
    <t>Buch b. Märwil</t>
  </si>
  <si>
    <t>Bettwiesen</t>
  </si>
  <si>
    <t>Balterswil</t>
  </si>
  <si>
    <t>Bichelsee-Balterswil</t>
  </si>
  <si>
    <t>Bichelsee</t>
  </si>
  <si>
    <t>Braunau</t>
  </si>
  <si>
    <t>Eschlikon TG</t>
  </si>
  <si>
    <t>Eschlikon</t>
  </si>
  <si>
    <t>Wallenwil</t>
  </si>
  <si>
    <t>Dussnang</t>
  </si>
  <si>
    <t>Fischingen</t>
  </si>
  <si>
    <t>Oberwangen TG</t>
  </si>
  <si>
    <t>Au TG</t>
  </si>
  <si>
    <t>Lommis</t>
  </si>
  <si>
    <t>Weingarten-Kalthäusern</t>
  </si>
  <si>
    <t>Münchwilen TG</t>
  </si>
  <si>
    <t>Münchwilen (TG)</t>
  </si>
  <si>
    <t>St. Margarethen TG</t>
  </si>
  <si>
    <t>Rickenbach (TG)</t>
  </si>
  <si>
    <t>Schönholzerswilen</t>
  </si>
  <si>
    <t>Sirnach</t>
  </si>
  <si>
    <t>Busswil TG</t>
  </si>
  <si>
    <t>Wiezikon b. Sirnach</t>
  </si>
  <si>
    <t>Littenheid</t>
  </si>
  <si>
    <t>Tägerschen</t>
  </si>
  <si>
    <t>Tobel-Tägerschen</t>
  </si>
  <si>
    <t>Tobel</t>
  </si>
  <si>
    <t>Wängi</t>
  </si>
  <si>
    <t>Tuttwil</t>
  </si>
  <si>
    <t>Wilen b. Wil</t>
  </si>
  <si>
    <t>Wilen (TG)</t>
  </si>
  <si>
    <t>Wuppenau</t>
  </si>
  <si>
    <t>Hosenruck</t>
  </si>
  <si>
    <t>Berlingen</t>
  </si>
  <si>
    <t>Eschenz</t>
  </si>
  <si>
    <t>Lanzenneunforn</t>
  </si>
  <si>
    <t>Herdern</t>
  </si>
  <si>
    <t>Hörhausen</t>
  </si>
  <si>
    <t>Homburg</t>
  </si>
  <si>
    <t>Hüttwilen</t>
  </si>
  <si>
    <t>Nussbaumen TG</t>
  </si>
  <si>
    <t>Uerschhausen</t>
  </si>
  <si>
    <t>Mammern</t>
  </si>
  <si>
    <t>Müllheim Dorf</t>
  </si>
  <si>
    <t>Müllheim</t>
  </si>
  <si>
    <t>Pfyn</t>
  </si>
  <si>
    <t>Dettighofen</t>
  </si>
  <si>
    <t>Raperswilen</t>
  </si>
  <si>
    <t>Mannenbach-Salenstein</t>
  </si>
  <si>
    <t>Salenstein</t>
  </si>
  <si>
    <t>Fruthwilen</t>
  </si>
  <si>
    <t>Steckborn</t>
  </si>
  <si>
    <t>Kaltenbach</t>
  </si>
  <si>
    <t>Wagenhausen</t>
  </si>
  <si>
    <t>Etzwilen</t>
  </si>
  <si>
    <t>Rheinklingen</t>
  </si>
  <si>
    <t>Amlikon-Bissegg</t>
  </si>
  <si>
    <t>Berg TG</t>
  </si>
  <si>
    <t>Berg (TG)</t>
  </si>
  <si>
    <t>Andhausen</t>
  </si>
  <si>
    <t>Graltshausen</t>
  </si>
  <si>
    <t>Guntershausen b. Berg</t>
  </si>
  <si>
    <t>Mauren TG</t>
  </si>
  <si>
    <t>Mattwil</t>
  </si>
  <si>
    <t>Birwinken</t>
  </si>
  <si>
    <t>Happerswil</t>
  </si>
  <si>
    <t>Klarsreuti</t>
  </si>
  <si>
    <t>Andwil TG</t>
  </si>
  <si>
    <t>Buch b. Kümmertshausen</t>
  </si>
  <si>
    <t>Bürglen TG</t>
  </si>
  <si>
    <t>Bürglen (TG)</t>
  </si>
  <si>
    <t>Istighofen</t>
  </si>
  <si>
    <t>Leimbach TG</t>
  </si>
  <si>
    <t>Opfershofen TG</t>
  </si>
  <si>
    <t>Stehrenberg</t>
  </si>
  <si>
    <t>Bussnang</t>
  </si>
  <si>
    <t>Lanterswil</t>
  </si>
  <si>
    <t>Friltschen</t>
  </si>
  <si>
    <t>Mettlen</t>
  </si>
  <si>
    <t>Oberbussnang</t>
  </si>
  <si>
    <t>Oppikon</t>
  </si>
  <si>
    <t>Schmidshof</t>
  </si>
  <si>
    <t>Rothenhausen</t>
  </si>
  <si>
    <t>Märstetten</t>
  </si>
  <si>
    <t>Ottoberg</t>
  </si>
  <si>
    <t>Weinfelden</t>
  </si>
  <si>
    <t>Müllheim-Wigoltingen</t>
  </si>
  <si>
    <t>Wigoltingen</t>
  </si>
  <si>
    <t>Bonau</t>
  </si>
  <si>
    <t>Engwang</t>
  </si>
  <si>
    <t>Illhart</t>
  </si>
  <si>
    <t>Lamperswil TG</t>
  </si>
  <si>
    <t>Wagerswil</t>
  </si>
  <si>
    <t>Arbedo</t>
  </si>
  <si>
    <t>Arbedo-Castione</t>
  </si>
  <si>
    <t>TI</t>
  </si>
  <si>
    <t>Castione</t>
  </si>
  <si>
    <t>Bellinzona</t>
  </si>
  <si>
    <t>Giubiasco</t>
  </si>
  <si>
    <t>Monte Carasso</t>
  </si>
  <si>
    <t>Sementina</t>
  </si>
  <si>
    <t>Gudo</t>
  </si>
  <si>
    <t>Gorduno</t>
  </si>
  <si>
    <t>Preonzo</t>
  </si>
  <si>
    <t>Moleno</t>
  </si>
  <si>
    <t>Gnosca</t>
  </si>
  <si>
    <t>Camorino</t>
  </si>
  <si>
    <t>Pianezzo</t>
  </si>
  <si>
    <t>S. Antonio (Val Morobbia)</t>
  </si>
  <si>
    <t>Carena</t>
  </si>
  <si>
    <t>Claro</t>
  </si>
  <si>
    <t>Cadenazzo</t>
  </si>
  <si>
    <t>Robasacco</t>
  </si>
  <si>
    <t>Isone</t>
  </si>
  <si>
    <t>Lumino</t>
  </si>
  <si>
    <t>S. Antonino</t>
  </si>
  <si>
    <t>Sant'Antonino</t>
  </si>
  <si>
    <t>Dongio</t>
  </si>
  <si>
    <t>Acquarossa</t>
  </si>
  <si>
    <t>Leontica</t>
  </si>
  <si>
    <t>Lottigna</t>
  </si>
  <si>
    <t>Motto (Blenio)</t>
  </si>
  <si>
    <t>Corzoneso</t>
  </si>
  <si>
    <t>Prugiasco</t>
  </si>
  <si>
    <t>Castro</t>
  </si>
  <si>
    <t>Marolta</t>
  </si>
  <si>
    <t>Ponto Valentino</t>
  </si>
  <si>
    <t>Largario</t>
  </si>
  <si>
    <t>Dangio</t>
  </si>
  <si>
    <t>Blenio</t>
  </si>
  <si>
    <t>Torre</t>
  </si>
  <si>
    <t>Olivone</t>
  </si>
  <si>
    <t>Camperio</t>
  </si>
  <si>
    <t>Aquila</t>
  </si>
  <si>
    <t>Campo (Blenio)</t>
  </si>
  <si>
    <t>Ghirone</t>
  </si>
  <si>
    <t>Malvaglia</t>
  </si>
  <si>
    <t>Serravalle</t>
  </si>
  <si>
    <t>Semione</t>
  </si>
  <si>
    <t>Ludiano</t>
  </si>
  <si>
    <t>Airolo</t>
  </si>
  <si>
    <t>Madrano</t>
  </si>
  <si>
    <t>Villa Bedretto</t>
  </si>
  <si>
    <t>Bedretto</t>
  </si>
  <si>
    <t>Bodio TI</t>
  </si>
  <si>
    <t>Bodio</t>
  </si>
  <si>
    <t>Dalpe</t>
  </si>
  <si>
    <t>Lavorgo</t>
  </si>
  <si>
    <t>Faido</t>
  </si>
  <si>
    <t>Calonico</t>
  </si>
  <si>
    <t>Nivo</t>
  </si>
  <si>
    <t>Chironico</t>
  </si>
  <si>
    <t>Anzonico</t>
  </si>
  <si>
    <t>Sobrio</t>
  </si>
  <si>
    <t>Cavagnago</t>
  </si>
  <si>
    <t>Molare</t>
  </si>
  <si>
    <t>Calpiogna</t>
  </si>
  <si>
    <t>Campello</t>
  </si>
  <si>
    <t>Carì</t>
  </si>
  <si>
    <t>Rossura</t>
  </si>
  <si>
    <t>Osco</t>
  </si>
  <si>
    <t>Mairengo</t>
  </si>
  <si>
    <t>Chiggiogna</t>
  </si>
  <si>
    <t>Giornico</t>
  </si>
  <si>
    <t>Personico</t>
  </si>
  <si>
    <t>Pollegio</t>
  </si>
  <si>
    <t>Rodi-Fiesso</t>
  </si>
  <si>
    <t>Prato (Leventina)</t>
  </si>
  <si>
    <t>Ambrì</t>
  </si>
  <si>
    <t>Quinto</t>
  </si>
  <si>
    <t>Piotta</t>
  </si>
  <si>
    <t>Varenzo</t>
  </si>
  <si>
    <t>Ascona</t>
  </si>
  <si>
    <t>Brione sopra Minusio</t>
  </si>
  <si>
    <t>Brissago</t>
  </si>
  <si>
    <t>Isole di Brissago</t>
  </si>
  <si>
    <t>Gordola</t>
  </si>
  <si>
    <t>Riazzino</t>
  </si>
  <si>
    <t>Lavertezzo</t>
  </si>
  <si>
    <t>Locarno</t>
  </si>
  <si>
    <t>Solduno</t>
  </si>
  <si>
    <t>Losone</t>
  </si>
  <si>
    <t>Arcegno</t>
  </si>
  <si>
    <t>Mergoscia</t>
  </si>
  <si>
    <t>Minusio</t>
  </si>
  <si>
    <t>Muralto</t>
  </si>
  <si>
    <t>Orselina</t>
  </si>
  <si>
    <t>Porto Ronco</t>
  </si>
  <si>
    <t>Ronco sopra Ascona</t>
  </si>
  <si>
    <t>Tenero</t>
  </si>
  <si>
    <t>Tenero-Contra</t>
  </si>
  <si>
    <t>Contra</t>
  </si>
  <si>
    <t>Mosogno</t>
  </si>
  <si>
    <t>Onsernone</t>
  </si>
  <si>
    <t>Gresso</t>
  </si>
  <si>
    <t>Crana</t>
  </si>
  <si>
    <t>Loco</t>
  </si>
  <si>
    <t>Auressio</t>
  </si>
  <si>
    <t>Berzona</t>
  </si>
  <si>
    <t>Russo</t>
  </si>
  <si>
    <t>Comologno</t>
  </si>
  <si>
    <t>Spruga</t>
  </si>
  <si>
    <t>Vergeletto</t>
  </si>
  <si>
    <t>Cugnasco</t>
  </si>
  <si>
    <t>Cugnasco-Gerra</t>
  </si>
  <si>
    <t>Agarone</t>
  </si>
  <si>
    <t>Agno</t>
  </si>
  <si>
    <t>Cassina d'Agno</t>
  </si>
  <si>
    <t>Aranno</t>
  </si>
  <si>
    <t>Arogno</t>
  </si>
  <si>
    <t>Pugerna</t>
  </si>
  <si>
    <t>Astano</t>
  </si>
  <si>
    <t>Bedano</t>
  </si>
  <si>
    <t>Bedigliora</t>
  </si>
  <si>
    <t>Banco</t>
  </si>
  <si>
    <t>Beride di Bedigliora</t>
  </si>
  <si>
    <t>Bioggio</t>
  </si>
  <si>
    <t>Bosco Luganese</t>
  </si>
  <si>
    <t>Cimo</t>
  </si>
  <si>
    <t>Iseo</t>
  </si>
  <si>
    <t>Bissone</t>
  </si>
  <si>
    <t>Brusino Arsizio</t>
  </si>
  <si>
    <t>Serpiano</t>
  </si>
  <si>
    <t>Cademario</t>
  </si>
  <si>
    <t>Cadempino</t>
  </si>
  <si>
    <t>Canobbio</t>
  </si>
  <si>
    <t>Caslano</t>
  </si>
  <si>
    <t>Comano</t>
  </si>
  <si>
    <t>Cureglia</t>
  </si>
  <si>
    <t>Bombinasco</t>
  </si>
  <si>
    <t>Curio</t>
  </si>
  <si>
    <t>Grancia</t>
  </si>
  <si>
    <t>Gravesano</t>
  </si>
  <si>
    <t>Lamone</t>
  </si>
  <si>
    <t>Lugano</t>
  </si>
  <si>
    <t>Pazzallo</t>
  </si>
  <si>
    <t>Carabbia</t>
  </si>
  <si>
    <t>Carona</t>
  </si>
  <si>
    <t>Pambio-Noranco</t>
  </si>
  <si>
    <t>Barbengo</t>
  </si>
  <si>
    <t>Figino</t>
  </si>
  <si>
    <t>Breganzona</t>
  </si>
  <si>
    <t>Insone</t>
  </si>
  <si>
    <t>Scareglia</t>
  </si>
  <si>
    <t>Colla</t>
  </si>
  <si>
    <t>Bogno</t>
  </si>
  <si>
    <t>Cozzo</t>
  </si>
  <si>
    <t>Signôra</t>
  </si>
  <si>
    <t>Maglio di Colla</t>
  </si>
  <si>
    <t>Certara</t>
  </si>
  <si>
    <t>Curtina</t>
  </si>
  <si>
    <t>Cimadera</t>
  </si>
  <si>
    <t>Piandera Paese</t>
  </si>
  <si>
    <t>Viganello</t>
  </si>
  <si>
    <t>Pregassona</t>
  </si>
  <si>
    <t>Cureggia</t>
  </si>
  <si>
    <t>Davesco-Soragno</t>
  </si>
  <si>
    <t>Cadro</t>
  </si>
  <si>
    <t>Villa Luganese</t>
  </si>
  <si>
    <t>Dino</t>
  </si>
  <si>
    <t>Sonvico</t>
  </si>
  <si>
    <t>Aldesago</t>
  </si>
  <si>
    <t>Castagnola</t>
  </si>
  <si>
    <t>Ruvigliana</t>
  </si>
  <si>
    <t>Gandria</t>
  </si>
  <si>
    <t>Brè sopra Lugano</t>
  </si>
  <si>
    <t>Magliaso</t>
  </si>
  <si>
    <t>Manno</t>
  </si>
  <si>
    <t>Massagno</t>
  </si>
  <si>
    <t>Melide</t>
  </si>
  <si>
    <t>Mezzovico</t>
  </si>
  <si>
    <t>Mezzovico-Vira</t>
  </si>
  <si>
    <t>Miglieglia</t>
  </si>
  <si>
    <t>Morcote</t>
  </si>
  <si>
    <t>Muzzano</t>
  </si>
  <si>
    <t>Neggio</t>
  </si>
  <si>
    <t>Novaggio</t>
  </si>
  <si>
    <t>Origlio</t>
  </si>
  <si>
    <t>Paradiso</t>
  </si>
  <si>
    <t>Ponte Capriasca</t>
  </si>
  <si>
    <t>Porza</t>
  </si>
  <si>
    <t>Pura</t>
  </si>
  <si>
    <t>Savosa</t>
  </si>
  <si>
    <t>Sorengo</t>
  </si>
  <si>
    <t>Taverne</t>
  </si>
  <si>
    <t>Capriasca</t>
  </si>
  <si>
    <t>Vaglio</t>
  </si>
  <si>
    <t>Tesserete</t>
  </si>
  <si>
    <t>Lugaggia</t>
  </si>
  <si>
    <t>Sala Capriasca</t>
  </si>
  <si>
    <t>Bigorio</t>
  </si>
  <si>
    <t>Cagiallo</t>
  </si>
  <si>
    <t>Oggio</t>
  </si>
  <si>
    <t>Lopagno</t>
  </si>
  <si>
    <t>Roveredo TI</t>
  </si>
  <si>
    <t>Bidogno</t>
  </si>
  <si>
    <t>Corticiasca</t>
  </si>
  <si>
    <t>Odogno</t>
  </si>
  <si>
    <t>Torricella-Taverne</t>
  </si>
  <si>
    <t>Torricella</t>
  </si>
  <si>
    <t>Vernate</t>
  </si>
  <si>
    <t>Vezia</t>
  </si>
  <si>
    <t>Vico Morcote</t>
  </si>
  <si>
    <t>Carabietta</t>
  </si>
  <si>
    <t>Collina d'Oro</t>
  </si>
  <si>
    <t>Gentilino</t>
  </si>
  <si>
    <t>Montagnola</t>
  </si>
  <si>
    <t>Agra</t>
  </si>
  <si>
    <t>Breno</t>
  </si>
  <si>
    <t>Alto Malcantone</t>
  </si>
  <si>
    <t>Vezio</t>
  </si>
  <si>
    <t>Fescoggia</t>
  </si>
  <si>
    <t>Mugena</t>
  </si>
  <si>
    <t>Arosio</t>
  </si>
  <si>
    <t>Rivera</t>
  </si>
  <si>
    <t>Monteceneri</t>
  </si>
  <si>
    <t>Camignolo</t>
  </si>
  <si>
    <t>Bironico</t>
  </si>
  <si>
    <t>Sigirino</t>
  </si>
  <si>
    <t>Medeglia</t>
  </si>
  <si>
    <t>Castelrotto</t>
  </si>
  <si>
    <t>Tresa</t>
  </si>
  <si>
    <t>Ponte Tresa</t>
  </si>
  <si>
    <t>Purasca</t>
  </si>
  <si>
    <t>Madonna del Piano</t>
  </si>
  <si>
    <t>Sessa</t>
  </si>
  <si>
    <t>Monteggio</t>
  </si>
  <si>
    <t>Maroggia</t>
  </si>
  <si>
    <t>Val Mara</t>
  </si>
  <si>
    <t>Melano</t>
  </si>
  <si>
    <t>Rovio</t>
  </si>
  <si>
    <t>Capolago</t>
  </si>
  <si>
    <t>Balerna</t>
  </si>
  <si>
    <t>Corteglia</t>
  </si>
  <si>
    <t>Castel San Pietro</t>
  </si>
  <si>
    <t>Monte</t>
  </si>
  <si>
    <t>Casima</t>
  </si>
  <si>
    <t>Campora</t>
  </si>
  <si>
    <t>Chiasso</t>
  </si>
  <si>
    <t>Pedrinate</t>
  </si>
  <si>
    <t>Seseglio</t>
  </si>
  <si>
    <t>Coldrerio</t>
  </si>
  <si>
    <t>Mendrisio</t>
  </si>
  <si>
    <t>Genestrerio</t>
  </si>
  <si>
    <t>Ligornetto</t>
  </si>
  <si>
    <t>Rancate</t>
  </si>
  <si>
    <t>Besazio</t>
  </si>
  <si>
    <t>Arzo</t>
  </si>
  <si>
    <t>Tremona</t>
  </si>
  <si>
    <t>Meride</t>
  </si>
  <si>
    <t>Salorino</t>
  </si>
  <si>
    <t>Somazzo</t>
  </si>
  <si>
    <t>Morbio Inferiore</t>
  </si>
  <si>
    <t>Novazzano</t>
  </si>
  <si>
    <t>Riva San Vitale</t>
  </si>
  <si>
    <t>S. Pietro</t>
  </si>
  <si>
    <t>Stabio</t>
  </si>
  <si>
    <t>Vacallo</t>
  </si>
  <si>
    <t>Morbio Superiore</t>
  </si>
  <si>
    <t>Breggia</t>
  </si>
  <si>
    <t>Caneggio</t>
  </si>
  <si>
    <t>Bruzella</t>
  </si>
  <si>
    <t>Muggio</t>
  </si>
  <si>
    <t>Cabbio</t>
  </si>
  <si>
    <t>Sagno</t>
  </si>
  <si>
    <t>Biasca</t>
  </si>
  <si>
    <t>Prosito</t>
  </si>
  <si>
    <t>Riviera</t>
  </si>
  <si>
    <t>Lodrino</t>
  </si>
  <si>
    <t>Osogna</t>
  </si>
  <si>
    <t>Cresciano</t>
  </si>
  <si>
    <t>Iragna</t>
  </si>
  <si>
    <t>Bosco/Gurin</t>
  </si>
  <si>
    <t>Niva (Vallemaggia)</t>
  </si>
  <si>
    <t>Campo (Vallemaggia)</t>
  </si>
  <si>
    <t>Cimalmotto</t>
  </si>
  <si>
    <t>Cerentino</t>
  </si>
  <si>
    <t>Cevio</t>
  </si>
  <si>
    <t>Bignasco</t>
  </si>
  <si>
    <t>Cavergno</t>
  </si>
  <si>
    <t>S. Carlo (Val Bavona)</t>
  </si>
  <si>
    <t>Linescio</t>
  </si>
  <si>
    <t>Maggia</t>
  </si>
  <si>
    <t>Someo</t>
  </si>
  <si>
    <t>Riveo</t>
  </si>
  <si>
    <t>Aurigeno</t>
  </si>
  <si>
    <t>Moghegno</t>
  </si>
  <si>
    <t>Giumaglio</t>
  </si>
  <si>
    <t>Lodano</t>
  </si>
  <si>
    <t>Coglio</t>
  </si>
  <si>
    <t>Menzonio</t>
  </si>
  <si>
    <t>Lavizzara</t>
  </si>
  <si>
    <t>Brontallo</t>
  </si>
  <si>
    <t>Broglio</t>
  </si>
  <si>
    <t>Prato-Sornico</t>
  </si>
  <si>
    <t>Peccia</t>
  </si>
  <si>
    <t>Piano di Peccia</t>
  </si>
  <si>
    <t>Fusio</t>
  </si>
  <si>
    <t>Avegno</t>
  </si>
  <si>
    <t>Avegno Gordevio</t>
  </si>
  <si>
    <t>Gordevio</t>
  </si>
  <si>
    <t>Comunanza Cadenazzo/Monteceneri</t>
  </si>
  <si>
    <t>Tegna</t>
  </si>
  <si>
    <t>Terre di Pedemonte</t>
  </si>
  <si>
    <t>Verscio</t>
  </si>
  <si>
    <t>Cavigliano</t>
  </si>
  <si>
    <t>Intragna</t>
  </si>
  <si>
    <t>Centovalli</t>
  </si>
  <si>
    <t>Verdasio</t>
  </si>
  <si>
    <t>Rasa</t>
  </si>
  <si>
    <t>Golino</t>
  </si>
  <si>
    <t>Palagnedra</t>
  </si>
  <si>
    <t>Borgnone</t>
  </si>
  <si>
    <t>Camedo</t>
  </si>
  <si>
    <t>Moneto</t>
  </si>
  <si>
    <t>Indemini</t>
  </si>
  <si>
    <t>Gambarogno</t>
  </si>
  <si>
    <t>Quartino</t>
  </si>
  <si>
    <t>Magadino</t>
  </si>
  <si>
    <t>Vira (Gambarogno)</t>
  </si>
  <si>
    <t>S. Nazzaro</t>
  </si>
  <si>
    <t>Vairano</t>
  </si>
  <si>
    <t>Gerra (Gambarogno)</t>
  </si>
  <si>
    <t>Ranzo</t>
  </si>
  <si>
    <t>Caviano</t>
  </si>
  <si>
    <t>Piazzogna</t>
  </si>
  <si>
    <t>Contone</t>
  </si>
  <si>
    <t>Corippo</t>
  </si>
  <si>
    <t>Verzasca</t>
  </si>
  <si>
    <t>Vogorno</t>
  </si>
  <si>
    <t>Brione (Verzasca)</t>
  </si>
  <si>
    <t>Gerra (Verzasca)</t>
  </si>
  <si>
    <t>Frasco</t>
  </si>
  <si>
    <t>Sonogno</t>
  </si>
  <si>
    <t>Aigle</t>
  </si>
  <si>
    <t>VD</t>
  </si>
  <si>
    <t>Bex</t>
  </si>
  <si>
    <t>Frenières-sur-Bex</t>
  </si>
  <si>
    <t>Fenalet-sur-Bex</t>
  </si>
  <si>
    <t>Les Plans-sur-Bex</t>
  </si>
  <si>
    <t>Les Posses-sur-Bex</t>
  </si>
  <si>
    <t>Chessel</t>
  </si>
  <si>
    <t>Corbeyrier</t>
  </si>
  <si>
    <t>Gryon</t>
  </si>
  <si>
    <t>Lavey-Village</t>
  </si>
  <si>
    <t>Lavey-Morcles</t>
  </si>
  <si>
    <t>Lavey-les-Bains</t>
  </si>
  <si>
    <t>Morcles</t>
  </si>
  <si>
    <t>Leysin</t>
  </si>
  <si>
    <t>Noville</t>
  </si>
  <si>
    <t>Ollon VD</t>
  </si>
  <si>
    <t>Ollon</t>
  </si>
  <si>
    <t>St-Triphon</t>
  </si>
  <si>
    <t>Panex</t>
  </si>
  <si>
    <t>Villars-sur-Ollon</t>
  </si>
  <si>
    <t>Arveyes</t>
  </si>
  <si>
    <t>Huémoz</t>
  </si>
  <si>
    <t>Chesières</t>
  </si>
  <si>
    <t>Les Mosses</t>
  </si>
  <si>
    <t>Ormont-Dessous</t>
  </si>
  <si>
    <t>La Comballaz</t>
  </si>
  <si>
    <t>Le Sépey</t>
  </si>
  <si>
    <t>La Forclaz VD</t>
  </si>
  <si>
    <t>Vers-l'Eglise</t>
  </si>
  <si>
    <t>Ormont-Dessus</t>
  </si>
  <si>
    <t>Les Diablerets</t>
  </si>
  <si>
    <t>Rennaz</t>
  </si>
  <si>
    <t>Roche VD</t>
  </si>
  <si>
    <t>Roche (VD)</t>
  </si>
  <si>
    <t>Villeneuve VD</t>
  </si>
  <si>
    <t>Villeneuve (VD)</t>
  </si>
  <si>
    <t>Yvorne</t>
  </si>
  <si>
    <t>Aubonne</t>
  </si>
  <si>
    <t>Montherod</t>
  </si>
  <si>
    <t>Pizy</t>
  </si>
  <si>
    <t>Ballens</t>
  </si>
  <si>
    <t>Berolle</t>
  </si>
  <si>
    <t>Bière</t>
  </si>
  <si>
    <t>Bougy-Villars</t>
  </si>
  <si>
    <t>Féchy</t>
  </si>
  <si>
    <t>Gimel</t>
  </si>
  <si>
    <t>Longirod</t>
  </si>
  <si>
    <t>Marchissy</t>
  </si>
  <si>
    <t>Mollens VD</t>
  </si>
  <si>
    <t>Mollens (VD)</t>
  </si>
  <si>
    <t>St-George</t>
  </si>
  <si>
    <t>Saint-George</t>
  </si>
  <si>
    <t>St-Livres</t>
  </si>
  <si>
    <t>Saint-Livres</t>
  </si>
  <si>
    <t>St-Oyens</t>
  </si>
  <si>
    <t>Saint-Oyens</t>
  </si>
  <si>
    <t>Saubraz</t>
  </si>
  <si>
    <t>Avenches</t>
  </si>
  <si>
    <t>Oleyres</t>
  </si>
  <si>
    <t>Donatyre</t>
  </si>
  <si>
    <t>Cudrefin</t>
  </si>
  <si>
    <t>Faoug</t>
  </si>
  <si>
    <t>Villars-le-Grand</t>
  </si>
  <si>
    <t>Vully-les-Lacs</t>
  </si>
  <si>
    <t>Salavaux</t>
  </si>
  <si>
    <t>Bellerive VD</t>
  </si>
  <si>
    <t>Cotterd</t>
  </si>
  <si>
    <t>Vallamand</t>
  </si>
  <si>
    <t>Montmagny</t>
  </si>
  <si>
    <t>Constantine</t>
  </si>
  <si>
    <t>Chabrey</t>
  </si>
  <si>
    <t>Mur (Vully) VD</t>
  </si>
  <si>
    <t>Bettens</t>
  </si>
  <si>
    <t>Bournens</t>
  </si>
  <si>
    <t>Boussens</t>
  </si>
  <si>
    <t>La Chaux (Cossonay)</t>
  </si>
  <si>
    <t>Chavannes-le-Veyron</t>
  </si>
  <si>
    <t>Chevilly</t>
  </si>
  <si>
    <t>Cossonay-Ville</t>
  </si>
  <si>
    <t>Cossonay</t>
  </si>
  <si>
    <t>Allens</t>
  </si>
  <si>
    <t>Cuarnens</t>
  </si>
  <si>
    <t>Daillens</t>
  </si>
  <si>
    <t>Dizy</t>
  </si>
  <si>
    <t>Eclépens</t>
  </si>
  <si>
    <t>Ferreyres</t>
  </si>
  <si>
    <t>Gollion</t>
  </si>
  <si>
    <t>Grancy</t>
  </si>
  <si>
    <t>L'Isle</t>
  </si>
  <si>
    <t>Villars-Bozon</t>
  </si>
  <si>
    <t>La Coudre</t>
  </si>
  <si>
    <t>Lussery-Villars</t>
  </si>
  <si>
    <t>Mauraz</t>
  </si>
  <si>
    <t>Mex VD</t>
  </si>
  <si>
    <t>Mex (VD)</t>
  </si>
  <si>
    <t>Moiry VD</t>
  </si>
  <si>
    <t>Moiry</t>
  </si>
  <si>
    <t>Mont-la-Ville</t>
  </si>
  <si>
    <t>Montricher</t>
  </si>
  <si>
    <t>Orny</t>
  </si>
  <si>
    <t>Penthalaz</t>
  </si>
  <si>
    <t>Penthaz</t>
  </si>
  <si>
    <t>Pompaples</t>
  </si>
  <si>
    <t>La Sarraz</t>
  </si>
  <si>
    <t>Senarclens</t>
  </si>
  <si>
    <t>Sullens</t>
  </si>
  <si>
    <t>Vufflens-la-Ville</t>
  </si>
  <si>
    <t>Assens</t>
  </si>
  <si>
    <t>Bioley-Orjulaz</t>
  </si>
  <si>
    <t>Bercher</t>
  </si>
  <si>
    <t>Bottens</t>
  </si>
  <si>
    <t>Bretigny-sur-Morrens</t>
  </si>
  <si>
    <t>Cugy VD</t>
  </si>
  <si>
    <t>Cugy (VD)</t>
  </si>
  <si>
    <t>Echallens</t>
  </si>
  <si>
    <t>Essertines-sur-Yverdon</t>
  </si>
  <si>
    <t>Epautheyres</t>
  </si>
  <si>
    <t>Etagnières</t>
  </si>
  <si>
    <t>Fey</t>
  </si>
  <si>
    <t>Froideville</t>
  </si>
  <si>
    <t>Morrens VD</t>
  </si>
  <si>
    <t>Morrens (VD)</t>
  </si>
  <si>
    <t>Oulens-sous-Echallens</t>
  </si>
  <si>
    <t>Pailly</t>
  </si>
  <si>
    <t>Penthéréaz</t>
  </si>
  <si>
    <t>Poliez-Pittet</t>
  </si>
  <si>
    <t>Rueyres</t>
  </si>
  <si>
    <t>St-Barthélemy VD</t>
  </si>
  <si>
    <t>Saint-Barthélemy (VD)</t>
  </si>
  <si>
    <t>Villars-le-Terroir</t>
  </si>
  <si>
    <t>Vuarrens</t>
  </si>
  <si>
    <t>Dommartin</t>
  </si>
  <si>
    <t>Montilliez</t>
  </si>
  <si>
    <t>Naz</t>
  </si>
  <si>
    <t>Poliez-le-Grand</t>
  </si>
  <si>
    <t>Sugnens</t>
  </si>
  <si>
    <t>Goumoens-la-Ville</t>
  </si>
  <si>
    <t>Goumoëns</t>
  </si>
  <si>
    <t>Eclagnens</t>
  </si>
  <si>
    <t>Goumoens-le-Jux</t>
  </si>
  <si>
    <t>Bonvillars</t>
  </si>
  <si>
    <t>Les Rasses</t>
  </si>
  <si>
    <t>Bullet</t>
  </si>
  <si>
    <t>Champagne</t>
  </si>
  <si>
    <t>Concise</t>
  </si>
  <si>
    <t>Corcelles-près-Concise</t>
  </si>
  <si>
    <t>Fiez</t>
  </si>
  <si>
    <t>Fontaines-sur-Grandson</t>
  </si>
  <si>
    <t>Giez</t>
  </si>
  <si>
    <t>Grandevent</t>
  </si>
  <si>
    <t>Grandson</t>
  </si>
  <si>
    <t>Mauborget</t>
  </si>
  <si>
    <t>Mutrux</t>
  </si>
  <si>
    <t>Novalles</t>
  </si>
  <si>
    <t>Onnens VD</t>
  </si>
  <si>
    <t>Onnens (VD)</t>
  </si>
  <si>
    <t>Provence</t>
  </si>
  <si>
    <t>Ste-Croix</t>
  </si>
  <si>
    <t>Sainte-Croix</t>
  </si>
  <si>
    <t>La Sagne (Ste-Croix)</t>
  </si>
  <si>
    <t>Le Château-de-Ste-Croix</t>
  </si>
  <si>
    <t>L'Auberson</t>
  </si>
  <si>
    <t>La Vraconnaz</t>
  </si>
  <si>
    <t>Villars-Burquin</t>
  </si>
  <si>
    <t>Tévenon</t>
  </si>
  <si>
    <t>Fontanezier</t>
  </si>
  <si>
    <t>Romairon</t>
  </si>
  <si>
    <t>Vaugondry</t>
  </si>
  <si>
    <t>Belmont-sur-Lausanne</t>
  </si>
  <si>
    <t>Cheseaux-sur-Lausanne</t>
  </si>
  <si>
    <t>Crissier</t>
  </si>
  <si>
    <t>Epalinges</t>
  </si>
  <si>
    <t>Jouxtens-Mézery</t>
  </si>
  <si>
    <t>Lausanne 25</t>
  </si>
  <si>
    <t>Lausanne</t>
  </si>
  <si>
    <t>Lausanne 26</t>
  </si>
  <si>
    <t>Lausanne 27</t>
  </si>
  <si>
    <t>Le Mont-sur-Lausanne</t>
  </si>
  <si>
    <t>Paudex</t>
  </si>
  <si>
    <t>Prilly</t>
  </si>
  <si>
    <t>Pully</t>
  </si>
  <si>
    <t>Les Monts-de-Pully</t>
  </si>
  <si>
    <t>Renens VD</t>
  </si>
  <si>
    <t>Renens (VD)</t>
  </si>
  <si>
    <t>Romanel-sur-Lausanne</t>
  </si>
  <si>
    <t>Chexbres</t>
  </si>
  <si>
    <t>Forel (Lavaux)</t>
  </si>
  <si>
    <t>La Croix (Lutry)</t>
  </si>
  <si>
    <t>Lutry</t>
  </si>
  <si>
    <t>La Conversion</t>
  </si>
  <si>
    <t>Puidoux</t>
  </si>
  <si>
    <t>Rivaz</t>
  </si>
  <si>
    <t>St-Saphorin (Lavaux)</t>
  </si>
  <si>
    <t>Saint-Saphorin (Lavaux)</t>
  </si>
  <si>
    <t>Savigny</t>
  </si>
  <si>
    <t>Mollie-Margot</t>
  </si>
  <si>
    <t>Grandvaux</t>
  </si>
  <si>
    <t>Bourg-en-Lavaux</t>
  </si>
  <si>
    <t>Aran</t>
  </si>
  <si>
    <t>Chenaux</t>
  </si>
  <si>
    <t>Cully</t>
  </si>
  <si>
    <t>Villette (Lavaux)</t>
  </si>
  <si>
    <t>Riex</t>
  </si>
  <si>
    <t>Epesses</t>
  </si>
  <si>
    <t>Aclens</t>
  </si>
  <si>
    <t>Bremblens</t>
  </si>
  <si>
    <t>Buchillon</t>
  </si>
  <si>
    <t>Bussigny</t>
  </si>
  <si>
    <t>Chavannes-près-Renens</t>
  </si>
  <si>
    <t>Chigny</t>
  </si>
  <si>
    <t>Clarmont</t>
  </si>
  <si>
    <t>Denens</t>
  </si>
  <si>
    <t>Denges</t>
  </si>
  <si>
    <t>Echandens</t>
  </si>
  <si>
    <t>Echichens</t>
  </si>
  <si>
    <t>St-Saphorin-sur-Morges</t>
  </si>
  <si>
    <t>Colombier VD</t>
  </si>
  <si>
    <t>Monnaz</t>
  </si>
  <si>
    <t>Ecublens VD</t>
  </si>
  <si>
    <t>Ecublens (VD)</t>
  </si>
  <si>
    <t>Etoy</t>
  </si>
  <si>
    <t>Lavigny</t>
  </si>
  <si>
    <t>Lonay</t>
  </si>
  <si>
    <t>Lully VD</t>
  </si>
  <si>
    <t>Lully (VD)</t>
  </si>
  <si>
    <t>Lussy-sur-Morges</t>
  </si>
  <si>
    <t>Morges</t>
  </si>
  <si>
    <t>Préverenges</t>
  </si>
  <si>
    <t>Romanel-sur-Morges</t>
  </si>
  <si>
    <t>St-Prex</t>
  </si>
  <si>
    <t>Saint-Prex</t>
  </si>
  <si>
    <t>St-Sulpice VD</t>
  </si>
  <si>
    <t>Saint-Sulpice (VD)</t>
  </si>
  <si>
    <t>Tolochenaz</t>
  </si>
  <si>
    <t>Vaux-sur-Morges</t>
  </si>
  <si>
    <t>Villars-Ste-Croix</t>
  </si>
  <si>
    <t>Villars-Sainte-Croix</t>
  </si>
  <si>
    <t>Villars-sous-Yens</t>
  </si>
  <si>
    <t>Vufflens-le-Château</t>
  </si>
  <si>
    <t>Vullierens</t>
  </si>
  <si>
    <t>Yens</t>
  </si>
  <si>
    <t>Cottens VD</t>
  </si>
  <si>
    <t>Hautemorges</t>
  </si>
  <si>
    <t>Reverolle</t>
  </si>
  <si>
    <t>Bussy-Chardonney</t>
  </si>
  <si>
    <t>Sévery</t>
  </si>
  <si>
    <t>Pampigny</t>
  </si>
  <si>
    <t>Apples</t>
  </si>
  <si>
    <t>Boulens</t>
  </si>
  <si>
    <t>Bussy-sur-Moudon</t>
  </si>
  <si>
    <t>Chavannes-sur-Moudon</t>
  </si>
  <si>
    <t>Curtilles</t>
  </si>
  <si>
    <t>Dompierre VD</t>
  </si>
  <si>
    <t>Dompierre (VD)</t>
  </si>
  <si>
    <t>Hermenches</t>
  </si>
  <si>
    <t>Lovatens</t>
  </si>
  <si>
    <t>Lucens</t>
  </si>
  <si>
    <t>Oulens-sur-Lucens</t>
  </si>
  <si>
    <t>Forel-sur-Lucens</t>
  </si>
  <si>
    <t>Cremin</t>
  </si>
  <si>
    <t>Brenles</t>
  </si>
  <si>
    <t>Chesalles-sur-Moudon</t>
  </si>
  <si>
    <t>Sarzens</t>
  </si>
  <si>
    <t>Moudon</t>
  </si>
  <si>
    <t>Ogens</t>
  </si>
  <si>
    <t>Prévonloup</t>
  </si>
  <si>
    <t>Rossenges</t>
  </si>
  <si>
    <t>Syens</t>
  </si>
  <si>
    <t>Villars-le-Comte</t>
  </si>
  <si>
    <t>Vucherens</t>
  </si>
  <si>
    <t>Chapelle-sur-Moudon</t>
  </si>
  <si>
    <t>Montanaire</t>
  </si>
  <si>
    <t>Martherenges</t>
  </si>
  <si>
    <t>Peyres-Possens</t>
  </si>
  <si>
    <t>Chanéaz</t>
  </si>
  <si>
    <t>Thierrens</t>
  </si>
  <si>
    <t>Correvon</t>
  </si>
  <si>
    <t>Denezy</t>
  </si>
  <si>
    <t>St-Cierges</t>
  </si>
  <si>
    <t>Neyruz-sur-Moudon</t>
  </si>
  <si>
    <t>Arnex-sur-Nyon</t>
  </si>
  <si>
    <t>Arzier-Le Muids</t>
  </si>
  <si>
    <t>Bassins</t>
  </si>
  <si>
    <t>Begnins</t>
  </si>
  <si>
    <t>Bogis-Bossey</t>
  </si>
  <si>
    <t>Borex</t>
  </si>
  <si>
    <t>Chavannes-de-Bogis</t>
  </si>
  <si>
    <t>Chavannes-des-Bois</t>
  </si>
  <si>
    <t>Chéserex</t>
  </si>
  <si>
    <t>Coinsins</t>
  </si>
  <si>
    <t>Commugny</t>
  </si>
  <si>
    <t>Coppet</t>
  </si>
  <si>
    <t>Crans VD</t>
  </si>
  <si>
    <t>Crans (VD)</t>
  </si>
  <si>
    <t>Crassier</t>
  </si>
  <si>
    <t>Duillier</t>
  </si>
  <si>
    <t>Eysins</t>
  </si>
  <si>
    <t>Founex</t>
  </si>
  <si>
    <t>Genolier</t>
  </si>
  <si>
    <t>Gingins</t>
  </si>
  <si>
    <t>Givrins</t>
  </si>
  <si>
    <t>Gland</t>
  </si>
  <si>
    <t>Grens</t>
  </si>
  <si>
    <t>Mies</t>
  </si>
  <si>
    <t>Nyon</t>
  </si>
  <si>
    <t>Prangins</t>
  </si>
  <si>
    <t>La Rippe</t>
  </si>
  <si>
    <t>St-Cergue</t>
  </si>
  <si>
    <t>Saint-Cergue</t>
  </si>
  <si>
    <t>La Cure</t>
  </si>
  <si>
    <t>Signy</t>
  </si>
  <si>
    <t>Signy-Avenex</t>
  </si>
  <si>
    <t>Tannay</t>
  </si>
  <si>
    <t>Trélex</t>
  </si>
  <si>
    <t>Le Vaud</t>
  </si>
  <si>
    <t>Vich</t>
  </si>
  <si>
    <t>L'Abergement</t>
  </si>
  <si>
    <t>Agiez</t>
  </si>
  <si>
    <t>Arnex-sur-Orbe</t>
  </si>
  <si>
    <t>Ballaigues</t>
  </si>
  <si>
    <t>Baulmes</t>
  </si>
  <si>
    <t>Bavois</t>
  </si>
  <si>
    <t>Bofflens</t>
  </si>
  <si>
    <t>Bretonnières</t>
  </si>
  <si>
    <t>Chavornay</t>
  </si>
  <si>
    <t>Corcelles-sur-Chavornay</t>
  </si>
  <si>
    <t>Essert-Pittet</t>
  </si>
  <si>
    <t>Les Clées</t>
  </si>
  <si>
    <t>La Russille</t>
  </si>
  <si>
    <t>Croy</t>
  </si>
  <si>
    <t>Juriens</t>
  </si>
  <si>
    <t>Lignerolle</t>
  </si>
  <si>
    <t>Montcherand</t>
  </si>
  <si>
    <t>Orbe</t>
  </si>
  <si>
    <t>La Praz</t>
  </si>
  <si>
    <t>Premier</t>
  </si>
  <si>
    <t>Rances</t>
  </si>
  <si>
    <t>Romainmôtier</t>
  </si>
  <si>
    <t>Romainmôtier-Envy</t>
  </si>
  <si>
    <t>Sergey</t>
  </si>
  <si>
    <t>Valeyres-sous-Rances</t>
  </si>
  <si>
    <t>Vallorbe</t>
  </si>
  <si>
    <t>Vaulion</t>
  </si>
  <si>
    <t>Vuiteboeuf</t>
  </si>
  <si>
    <t>Corcelles-le-Jorat</t>
  </si>
  <si>
    <t>Maracon</t>
  </si>
  <si>
    <t>Montpreveyres</t>
  </si>
  <si>
    <t>Ropraz</t>
  </si>
  <si>
    <t>Servion</t>
  </si>
  <si>
    <t>Les Cullayes</t>
  </si>
  <si>
    <t>Vulliens</t>
  </si>
  <si>
    <t>Montaubion-Chardonney</t>
  </si>
  <si>
    <t>Jorat-Menthue</t>
  </si>
  <si>
    <t>Villars-Tiercelin</t>
  </si>
  <si>
    <t>Peney-le-Jorat</t>
  </si>
  <si>
    <t>Villars-Mendraz</t>
  </si>
  <si>
    <t>Sottens</t>
  </si>
  <si>
    <t>Essertes</t>
  </si>
  <si>
    <t>Oron</t>
  </si>
  <si>
    <t>Palézieux</t>
  </si>
  <si>
    <t>Palézieux-Village</t>
  </si>
  <si>
    <t>Les Tavernes</t>
  </si>
  <si>
    <t>Les Thioleyres</t>
  </si>
  <si>
    <t>Oron-le-Châtel</t>
  </si>
  <si>
    <t>Bussigny-sur-Oron</t>
  </si>
  <si>
    <t>Chesalles-sur-Oron</t>
  </si>
  <si>
    <t>Oron-la-Ville</t>
  </si>
  <si>
    <t>Châtillens</t>
  </si>
  <si>
    <t>Vuibroye</t>
  </si>
  <si>
    <t>Ecoteaux</t>
  </si>
  <si>
    <t>Ferlens VD</t>
  </si>
  <si>
    <t>Jorat-Mézières</t>
  </si>
  <si>
    <t>Mézières VD</t>
  </si>
  <si>
    <t>Carrouge VD</t>
  </si>
  <si>
    <t>Champtauroz</t>
  </si>
  <si>
    <t>Chevroux</t>
  </si>
  <si>
    <t>Corcelles-près-Payerne</t>
  </si>
  <si>
    <t>Grandcour</t>
  </si>
  <si>
    <t>Henniez</t>
  </si>
  <si>
    <t>Missy</t>
  </si>
  <si>
    <t>Payerne</t>
  </si>
  <si>
    <t>Vers-chez-Perrin</t>
  </si>
  <si>
    <t>Trey</t>
  </si>
  <si>
    <t>Treytorrens (Payerne)</t>
  </si>
  <si>
    <t>Sédeilles</t>
  </si>
  <si>
    <t>Villarzel</t>
  </si>
  <si>
    <t>Rossens VD</t>
  </si>
  <si>
    <t>Granges-près-Marnand</t>
  </si>
  <si>
    <t>Valbroye</t>
  </si>
  <si>
    <t>Marnand</t>
  </si>
  <si>
    <t>Seigneux</t>
  </si>
  <si>
    <t>Sassel</t>
  </si>
  <si>
    <t>Combremont-le-Grand</t>
  </si>
  <si>
    <t>Combremont-le-Petit</t>
  </si>
  <si>
    <t>Villars-Bramard</t>
  </si>
  <si>
    <t>Cerniaz VD</t>
  </si>
  <si>
    <t>Château-d'Oex</t>
  </si>
  <si>
    <t>Les Moulins</t>
  </si>
  <si>
    <t>L'Etivaz</t>
  </si>
  <si>
    <t>La Lécherette</t>
  </si>
  <si>
    <t>Rossinière</t>
  </si>
  <si>
    <t>La Tine</t>
  </si>
  <si>
    <t>Rougemont</t>
  </si>
  <si>
    <t>Flendruz</t>
  </si>
  <si>
    <t>Allaman</t>
  </si>
  <si>
    <t>Bursinel</t>
  </si>
  <si>
    <t>Bursins</t>
  </si>
  <si>
    <t>Burtigny</t>
  </si>
  <si>
    <t>Dully</t>
  </si>
  <si>
    <t>Essertines-sur-Rolle</t>
  </si>
  <si>
    <t>Gilly</t>
  </si>
  <si>
    <t>Luins</t>
  </si>
  <si>
    <t>Mont-sur-Rolle</t>
  </si>
  <si>
    <t>Perroy</t>
  </si>
  <si>
    <t>Rolle</t>
  </si>
  <si>
    <t>Tartegnin</t>
  </si>
  <si>
    <t>Vinzel</t>
  </si>
  <si>
    <t>Le Pont</t>
  </si>
  <si>
    <t>L'Abbaye</t>
  </si>
  <si>
    <t>Les Bioux</t>
  </si>
  <si>
    <t>L'Orient</t>
  </si>
  <si>
    <t>Le Chenit</t>
  </si>
  <si>
    <t>Le Sentier</t>
  </si>
  <si>
    <t>Le Solliat</t>
  </si>
  <si>
    <t>Le Brassus</t>
  </si>
  <si>
    <t>Les Charbonnières</t>
  </si>
  <si>
    <t>Le Lieu</t>
  </si>
  <si>
    <t>Le Séchey</t>
  </si>
  <si>
    <t>Le Mont-Pèlerin</t>
  </si>
  <si>
    <t>Chardonne</t>
  </si>
  <si>
    <t>Corseaux</t>
  </si>
  <si>
    <t>Corsier-sur-Vevey</t>
  </si>
  <si>
    <t>Les Monts-de-Corsier</t>
  </si>
  <si>
    <t>Fenil-sur-Corsier</t>
  </si>
  <si>
    <t>Jongny</t>
  </si>
  <si>
    <t>Clarens</t>
  </si>
  <si>
    <t>Montreux</t>
  </si>
  <si>
    <t>Chailly-Montreux</t>
  </si>
  <si>
    <t>Brent</t>
  </si>
  <si>
    <t>Territet</t>
  </si>
  <si>
    <t>Chernex</t>
  </si>
  <si>
    <t>Glion</t>
  </si>
  <si>
    <t>Caux</t>
  </si>
  <si>
    <t>Chamby</t>
  </si>
  <si>
    <t>Villard-sur-Chamby</t>
  </si>
  <si>
    <t>Les Avants</t>
  </si>
  <si>
    <t>La Tour-de-Peilz</t>
  </si>
  <si>
    <t>Vevey</t>
  </si>
  <si>
    <t>Veytaux</t>
  </si>
  <si>
    <t>St-Légier-La Chiésaz</t>
  </si>
  <si>
    <t>Blonay - Saint-Légier</t>
  </si>
  <si>
    <t>Blonay</t>
  </si>
  <si>
    <t>Belmont-sur-Yverdon</t>
  </si>
  <si>
    <t>Bioley-Magnoux</t>
  </si>
  <si>
    <t>Chamblon</t>
  </si>
  <si>
    <t>Champvent</t>
  </si>
  <si>
    <t>Essert-sous-Champvent</t>
  </si>
  <si>
    <t>Villars-sous-Champvent</t>
  </si>
  <si>
    <t>Chavannes-le-Chêne</t>
  </si>
  <si>
    <t>Chêne-Pâquier</t>
  </si>
  <si>
    <t>Cheseaux-Noréaz</t>
  </si>
  <si>
    <t>Cronay</t>
  </si>
  <si>
    <t>Cuarny</t>
  </si>
  <si>
    <t>Démoret</t>
  </si>
  <si>
    <t>Donneloye</t>
  </si>
  <si>
    <t>Gossens</t>
  </si>
  <si>
    <t>Mézery-près-Donneloye</t>
  </si>
  <si>
    <t>Prahins</t>
  </si>
  <si>
    <t>Ependes VD</t>
  </si>
  <si>
    <t>Ependes (VD)</t>
  </si>
  <si>
    <t>Mathod</t>
  </si>
  <si>
    <t>Molondin</t>
  </si>
  <si>
    <t>Montagny-près-Yverdon</t>
  </si>
  <si>
    <t>Oppens</t>
  </si>
  <si>
    <t>Orges</t>
  </si>
  <si>
    <t>Orzens</t>
  </si>
  <si>
    <t>Pomy</t>
  </si>
  <si>
    <t>Rovray</t>
  </si>
  <si>
    <t>Suchy</t>
  </si>
  <si>
    <t>Suscévaz</t>
  </si>
  <si>
    <t>Treycovagnes</t>
  </si>
  <si>
    <t>Ursins</t>
  </si>
  <si>
    <t>Valeyres-sous-Montagny</t>
  </si>
  <si>
    <t>Valeyres-sous-Ursins</t>
  </si>
  <si>
    <t>Villars-Epeney</t>
  </si>
  <si>
    <t>Vugelles-La Mothe</t>
  </si>
  <si>
    <t>Yverdon-les-Bains</t>
  </si>
  <si>
    <t>Gressy</t>
  </si>
  <si>
    <t>Yvonand</t>
  </si>
  <si>
    <t>Brig</t>
  </si>
  <si>
    <t>Brig-Glis</t>
  </si>
  <si>
    <t>VS</t>
  </si>
  <si>
    <t>Gamsen</t>
  </si>
  <si>
    <t>Brigerbad</t>
  </si>
  <si>
    <t>Glis</t>
  </si>
  <si>
    <t>Eggerberg</t>
  </si>
  <si>
    <t>Mund</t>
  </si>
  <si>
    <t>Naters</t>
  </si>
  <si>
    <t>Birgisch</t>
  </si>
  <si>
    <t>Blatten b. Naters</t>
  </si>
  <si>
    <t>Belalp</t>
  </si>
  <si>
    <t>Rothwald</t>
  </si>
  <si>
    <t>Ried-Brig</t>
  </si>
  <si>
    <t>Simplon Dorf</t>
  </si>
  <si>
    <t>Simplon</t>
  </si>
  <si>
    <t>Simplon Hospiz</t>
  </si>
  <si>
    <t>Gabi (Simplon)</t>
  </si>
  <si>
    <t>Termen</t>
  </si>
  <si>
    <t>Rosswald</t>
  </si>
  <si>
    <t>Gondo</t>
  </si>
  <si>
    <t>Zwischbergen</t>
  </si>
  <si>
    <t>Ardon</t>
  </si>
  <si>
    <t>Chamoson</t>
  </si>
  <si>
    <t>Mayens-de-Chamoson</t>
  </si>
  <si>
    <t>Les Vérines (Chamoson)</t>
  </si>
  <si>
    <t>Némiaz (Chamoson)</t>
  </si>
  <si>
    <t>Grugnay (Chamoson)</t>
  </si>
  <si>
    <t>St-Pierre-de-Clages</t>
  </si>
  <si>
    <t>Conthey</t>
  </si>
  <si>
    <t>St-Séverin</t>
  </si>
  <si>
    <t>Erde</t>
  </si>
  <si>
    <t>Aven</t>
  </si>
  <si>
    <t>Daillon</t>
  </si>
  <si>
    <t>Clèbes (Nendaz)</t>
  </si>
  <si>
    <t>Nendaz</t>
  </si>
  <si>
    <t>Aproz (Nendaz)</t>
  </si>
  <si>
    <t>Basse-Nendaz</t>
  </si>
  <si>
    <t>Fey (Nendaz)</t>
  </si>
  <si>
    <t>Bieudron (Nendaz)</t>
  </si>
  <si>
    <t>Condémines (Nendaz)</t>
  </si>
  <si>
    <t>Saclentse</t>
  </si>
  <si>
    <t>Baar (Nendaz)</t>
  </si>
  <si>
    <t>Beuson (Nendaz)</t>
  </si>
  <si>
    <t>Brignon (Nendaz)</t>
  </si>
  <si>
    <t>Haute-Nendaz</t>
  </si>
  <si>
    <t>Siviez (Nendaz)</t>
  </si>
  <si>
    <t>Sornard (Nendaz)</t>
  </si>
  <si>
    <t>Vétroz</t>
  </si>
  <si>
    <t>Bourg-St-Pierre</t>
  </si>
  <si>
    <t>Bourg-Saint-Pierre</t>
  </si>
  <si>
    <t>Liddes</t>
  </si>
  <si>
    <t>Fontaine Dessus (Liddes)</t>
  </si>
  <si>
    <t>Fontaine Dessous (Liddes)</t>
  </si>
  <si>
    <t>Dranse (Liddes)</t>
  </si>
  <si>
    <t>Chandonne (Liddes)</t>
  </si>
  <si>
    <t>Rive Haute (Liddes)</t>
  </si>
  <si>
    <t>Fornex (Liddes)</t>
  </si>
  <si>
    <t>Les Moulins VS (Liddes)</t>
  </si>
  <si>
    <t>Vichères (Liddes)</t>
  </si>
  <si>
    <t>Palasuit (Liddes)</t>
  </si>
  <si>
    <t>Chez Petit (Liddes)</t>
  </si>
  <si>
    <t>Petit Vichères (Liddes)</t>
  </si>
  <si>
    <t>Orsières</t>
  </si>
  <si>
    <t>Champex-Lac</t>
  </si>
  <si>
    <t>Praz-de-Fort</t>
  </si>
  <si>
    <t>La Fouly VS</t>
  </si>
  <si>
    <t>Sembrancher</t>
  </si>
  <si>
    <t>Chamoille (Sembrancher)</t>
  </si>
  <si>
    <t>La Garde (Sembrancher)</t>
  </si>
  <si>
    <t>Chemin</t>
  </si>
  <si>
    <t>Val de Bagnes</t>
  </si>
  <si>
    <t>Vens (Sembrancher)</t>
  </si>
  <si>
    <t>Le Châble VS</t>
  </si>
  <si>
    <t>Bruson</t>
  </si>
  <si>
    <t>Verbier</t>
  </si>
  <si>
    <t>Vollèges</t>
  </si>
  <si>
    <t>Cries (Vollèges)</t>
  </si>
  <si>
    <t>Levron</t>
  </si>
  <si>
    <t>Versegères</t>
  </si>
  <si>
    <t>Champsec</t>
  </si>
  <si>
    <t>Lourtier</t>
  </si>
  <si>
    <t>Fionnay</t>
  </si>
  <si>
    <t>Sarreyer</t>
  </si>
  <si>
    <t>Bellwald</t>
  </si>
  <si>
    <t>Binn</t>
  </si>
  <si>
    <t>Ernen</t>
  </si>
  <si>
    <t>Ausserbinn</t>
  </si>
  <si>
    <t>Mühlebach (Goms)</t>
  </si>
  <si>
    <t>Steinhaus</t>
  </si>
  <si>
    <t>Fiesch</t>
  </si>
  <si>
    <t>Jungfraujoch</t>
  </si>
  <si>
    <t>Fieschertal</t>
  </si>
  <si>
    <t>Lax</t>
  </si>
  <si>
    <t>Ulrichen</t>
  </si>
  <si>
    <t>Obergoms</t>
  </si>
  <si>
    <t>Obergesteln</t>
  </si>
  <si>
    <t>Oberwald</t>
  </si>
  <si>
    <t>Münster VS</t>
  </si>
  <si>
    <t>Goms</t>
  </si>
  <si>
    <t>Geschinen</t>
  </si>
  <si>
    <t>Biel VS</t>
  </si>
  <si>
    <t>Ritzingen</t>
  </si>
  <si>
    <t>Selkingen</t>
  </si>
  <si>
    <t>Niederwald</t>
  </si>
  <si>
    <t>Blitzingen</t>
  </si>
  <si>
    <t>Reckingen VS</t>
  </si>
  <si>
    <t>Gluringen</t>
  </si>
  <si>
    <t>Fortunau (Ayent)</t>
  </si>
  <si>
    <t>Ayent</t>
  </si>
  <si>
    <t>Luc (Ayent)</t>
  </si>
  <si>
    <t>St-Romain (Ayent)</t>
  </si>
  <si>
    <t>Saxonne (Ayent)</t>
  </si>
  <si>
    <t>Villa (Ayent)</t>
  </si>
  <si>
    <t>La Place (Ayent)</t>
  </si>
  <si>
    <t>Botyre (Ayent)</t>
  </si>
  <si>
    <t>Blignou (Ayent)</t>
  </si>
  <si>
    <t>Argnou (Ayent)</t>
  </si>
  <si>
    <t>Signèse (Ayent)</t>
  </si>
  <si>
    <t>Anzère</t>
  </si>
  <si>
    <t>Evolène</t>
  </si>
  <si>
    <t>Lanna</t>
  </si>
  <si>
    <t>Les Haudères</t>
  </si>
  <si>
    <t>La Tour VS</t>
  </si>
  <si>
    <t>La Sage</t>
  </si>
  <si>
    <t>La Forclaz VS</t>
  </si>
  <si>
    <t>Villa (Evolène)</t>
  </si>
  <si>
    <t>Arolla</t>
  </si>
  <si>
    <t>Euseigne</t>
  </si>
  <si>
    <t>Hérémence</t>
  </si>
  <si>
    <t>St-Martin VS</t>
  </si>
  <si>
    <t>Saint-Martin (VS)</t>
  </si>
  <si>
    <t>Liez (St-Martin)</t>
  </si>
  <si>
    <t>Trogne (St-Martin)</t>
  </si>
  <si>
    <t>Suen (St-Martin)</t>
  </si>
  <si>
    <t>Eison (St-Martin)</t>
  </si>
  <si>
    <t>Vex</t>
  </si>
  <si>
    <t>Thyon</t>
  </si>
  <si>
    <t>Les Collons</t>
  </si>
  <si>
    <t>Les Mayens-de-Sion</t>
  </si>
  <si>
    <t>Vernamiège</t>
  </si>
  <si>
    <t>Mont-Noble</t>
  </si>
  <si>
    <t>Mase</t>
  </si>
  <si>
    <t>Nax</t>
  </si>
  <si>
    <t>Agarn</t>
  </si>
  <si>
    <t>Albinen</t>
  </si>
  <si>
    <t>Ergisch</t>
  </si>
  <si>
    <t>Inden</t>
  </si>
  <si>
    <t>Susten</t>
  </si>
  <si>
    <t>Leuk</t>
  </si>
  <si>
    <t>Leuk Stadt</t>
  </si>
  <si>
    <t>Erschmatt</t>
  </si>
  <si>
    <t>Leukerbad</t>
  </si>
  <si>
    <t>Oberems</t>
  </si>
  <si>
    <t>Salgesch</t>
  </si>
  <si>
    <t>Varen</t>
  </si>
  <si>
    <t>Guttet-Feschel</t>
  </si>
  <si>
    <t>Gampel</t>
  </si>
  <si>
    <t>Gampel-Bratsch</t>
  </si>
  <si>
    <t>Niedergampel</t>
  </si>
  <si>
    <t>Bratsch</t>
  </si>
  <si>
    <t>Turtmann</t>
  </si>
  <si>
    <t>Turtmann-Unterems</t>
  </si>
  <si>
    <t>Gruben</t>
  </si>
  <si>
    <t>Unterems</t>
  </si>
  <si>
    <t>Bovernier</t>
  </si>
  <si>
    <t>Les Valettes (Bovernier)</t>
  </si>
  <si>
    <t>Fully</t>
  </si>
  <si>
    <t>Isérables</t>
  </si>
  <si>
    <t>Ovronnaz</t>
  </si>
  <si>
    <t>Leytron</t>
  </si>
  <si>
    <t>Produit (Leytron)</t>
  </si>
  <si>
    <t>Montagnon (Leytron)</t>
  </si>
  <si>
    <t>Dugny (Leytron)</t>
  </si>
  <si>
    <t>Charrat</t>
  </si>
  <si>
    <t>Martigny</t>
  </si>
  <si>
    <t>Martigny-Croix</t>
  </si>
  <si>
    <t>Martigny-Combe</t>
  </si>
  <si>
    <t>Ravoire</t>
  </si>
  <si>
    <t>Riddes</t>
  </si>
  <si>
    <t>Auddes-sur-Riddes</t>
  </si>
  <si>
    <t>La Tzoumaz</t>
  </si>
  <si>
    <t>Saillon</t>
  </si>
  <si>
    <t>Saxon</t>
  </si>
  <si>
    <t>Trient</t>
  </si>
  <si>
    <t>Champéry</t>
  </si>
  <si>
    <t>Collombey</t>
  </si>
  <si>
    <t>Collombey-Muraz</t>
  </si>
  <si>
    <t>Muraz (Collombey)</t>
  </si>
  <si>
    <t>Monthey</t>
  </si>
  <si>
    <t>Choëx</t>
  </si>
  <si>
    <t>Les Giettes</t>
  </si>
  <si>
    <t>Bouveret</t>
  </si>
  <si>
    <t>Port-Valais</t>
  </si>
  <si>
    <t>Les Evouettes</t>
  </si>
  <si>
    <t>St-Gingolph</t>
  </si>
  <si>
    <t>Saint-Gingolph</t>
  </si>
  <si>
    <t>Troistorrents</t>
  </si>
  <si>
    <t>Morgins</t>
  </si>
  <si>
    <t>Val-d'Illiez</t>
  </si>
  <si>
    <t>Champoussin</t>
  </si>
  <si>
    <t>Les Crosets</t>
  </si>
  <si>
    <t>Vionnaz</t>
  </si>
  <si>
    <t>Torgon</t>
  </si>
  <si>
    <t>Vouvry</t>
  </si>
  <si>
    <t>Miex</t>
  </si>
  <si>
    <t>Bister</t>
  </si>
  <si>
    <t>Bitsch</t>
  </si>
  <si>
    <t>Grengiols</t>
  </si>
  <si>
    <t>Goppisberg</t>
  </si>
  <si>
    <t>Riederalp</t>
  </si>
  <si>
    <t>Greich</t>
  </si>
  <si>
    <t>Ried-Mörel</t>
  </si>
  <si>
    <t>Ausserberg</t>
  </si>
  <si>
    <t>Blatten (Lötschen)</t>
  </si>
  <si>
    <t>Blatten</t>
  </si>
  <si>
    <t>Bürchen</t>
  </si>
  <si>
    <t>Eischoll</t>
  </si>
  <si>
    <t>Ferden</t>
  </si>
  <si>
    <t>Goppenstein</t>
  </si>
  <si>
    <t>Kippel</t>
  </si>
  <si>
    <t>Niedergesteln</t>
  </si>
  <si>
    <t>Raron</t>
  </si>
  <si>
    <t>St. German</t>
  </si>
  <si>
    <t>Unterbäch VS</t>
  </si>
  <si>
    <t>Unterbäch</t>
  </si>
  <si>
    <t>Wiler (Lötschen)</t>
  </si>
  <si>
    <t>Mörel</t>
  </si>
  <si>
    <t>Mörel-Filet</t>
  </si>
  <si>
    <t>Filet</t>
  </si>
  <si>
    <t>Steg VS</t>
  </si>
  <si>
    <t>Steg-Hohtenn</t>
  </si>
  <si>
    <t>Hohtenn</t>
  </si>
  <si>
    <t>Betten</t>
  </si>
  <si>
    <t>Bettmeralp</t>
  </si>
  <si>
    <t>Martisberg</t>
  </si>
  <si>
    <t>Collonges</t>
  </si>
  <si>
    <t>Dorénaz</t>
  </si>
  <si>
    <t>Evionnaz</t>
  </si>
  <si>
    <t>Finhaut</t>
  </si>
  <si>
    <t>Le Châtelard VS</t>
  </si>
  <si>
    <t>Massongex</t>
  </si>
  <si>
    <t>St-Maurice</t>
  </si>
  <si>
    <t>Saint-Maurice</t>
  </si>
  <si>
    <t>Mex VS</t>
  </si>
  <si>
    <t>Salvan</t>
  </si>
  <si>
    <t>Les Granges (Salvan)</t>
  </si>
  <si>
    <t>Les Marécottes</t>
  </si>
  <si>
    <t>Le Trétien</t>
  </si>
  <si>
    <t>Vernayaz</t>
  </si>
  <si>
    <t>Vérossaz</t>
  </si>
  <si>
    <t>Chalais</t>
  </si>
  <si>
    <t>Réchy</t>
  </si>
  <si>
    <t>Vercorin</t>
  </si>
  <si>
    <t>Chippis</t>
  </si>
  <si>
    <t>Grône</t>
  </si>
  <si>
    <t>Icogne</t>
  </si>
  <si>
    <t>Lens</t>
  </si>
  <si>
    <t>Flanthey</t>
  </si>
  <si>
    <t>St-Léonard</t>
  </si>
  <si>
    <t>Saint-Léonard</t>
  </si>
  <si>
    <t>Sierre</t>
  </si>
  <si>
    <t>Muraz (Sierre)</t>
  </si>
  <si>
    <t>Noës</t>
  </si>
  <si>
    <t>Granges VS</t>
  </si>
  <si>
    <t>Niouc</t>
  </si>
  <si>
    <t>Anniviers</t>
  </si>
  <si>
    <t>Vissoie</t>
  </si>
  <si>
    <t>St-Luc</t>
  </si>
  <si>
    <t>Chandolin</t>
  </si>
  <si>
    <t>Ayer</t>
  </si>
  <si>
    <t>Zinal</t>
  </si>
  <si>
    <t>Grimentz</t>
  </si>
  <si>
    <t>Mission</t>
  </si>
  <si>
    <t>St-Jean VS</t>
  </si>
  <si>
    <t>Corin-de-la-Crête</t>
  </si>
  <si>
    <t>Crans-Montana</t>
  </si>
  <si>
    <t>Loc</t>
  </si>
  <si>
    <t>Montana</t>
  </si>
  <si>
    <t>Aminona</t>
  </si>
  <si>
    <t>Chermignon</t>
  </si>
  <si>
    <t>Chermignon-d'en-Bas</t>
  </si>
  <si>
    <t>Ollon VS</t>
  </si>
  <si>
    <t>Mollens VS</t>
  </si>
  <si>
    <t>Randogne</t>
  </si>
  <si>
    <t>Champzabé</t>
  </si>
  <si>
    <t>Veyras</t>
  </si>
  <si>
    <t>Noble-Contrée</t>
  </si>
  <si>
    <t>Miège</t>
  </si>
  <si>
    <t>Venthône</t>
  </si>
  <si>
    <t>Arbaz</t>
  </si>
  <si>
    <t>Grimisuat</t>
  </si>
  <si>
    <t>Champlan (Grimisuat)</t>
  </si>
  <si>
    <t>Savièse</t>
  </si>
  <si>
    <t>Sion</t>
  </si>
  <si>
    <t>Uvrier</t>
  </si>
  <si>
    <t>Pont-de-la-Morge (Sion)</t>
  </si>
  <si>
    <t>Bramois</t>
  </si>
  <si>
    <t>Salins</t>
  </si>
  <si>
    <t>Arvillard (Salins)</t>
  </si>
  <si>
    <t>Pravidondaz (Salins)</t>
  </si>
  <si>
    <t>Turin (Salins)</t>
  </si>
  <si>
    <t>Misériez (Salins)</t>
  </si>
  <si>
    <t>Les Agettes</t>
  </si>
  <si>
    <t>La Vernaz (Les Agettes)</t>
  </si>
  <si>
    <t>Crête-à-l'Oeil (Les Agettes)</t>
  </si>
  <si>
    <t>Veysonnaz</t>
  </si>
  <si>
    <t>Baltschieder</t>
  </si>
  <si>
    <t>Eisten</t>
  </si>
  <si>
    <t>Kalpetran</t>
  </si>
  <si>
    <t>Embd</t>
  </si>
  <si>
    <t>Grächen</t>
  </si>
  <si>
    <t>Lalden</t>
  </si>
  <si>
    <t>Randa</t>
  </si>
  <si>
    <t>Saas-Almagell</t>
  </si>
  <si>
    <t>Saas-Balen</t>
  </si>
  <si>
    <t>Saas-Fee</t>
  </si>
  <si>
    <t>Saas-Grund</t>
  </si>
  <si>
    <t>St. Niklaus VS</t>
  </si>
  <si>
    <t>St. Niklaus</t>
  </si>
  <si>
    <t>Herbriggen</t>
  </si>
  <si>
    <t>Stalden VS</t>
  </si>
  <si>
    <t>Stalden (VS)</t>
  </si>
  <si>
    <t>Staldenried</t>
  </si>
  <si>
    <t>Täsch</t>
  </si>
  <si>
    <t>Törbel</t>
  </si>
  <si>
    <t>Visp</t>
  </si>
  <si>
    <t>Eyholz</t>
  </si>
  <si>
    <t>Visperterminen</t>
  </si>
  <si>
    <t>Zeneggen</t>
  </si>
  <si>
    <t>Zermatt</t>
  </si>
  <si>
    <t>Areuse</t>
  </si>
  <si>
    <t>Boudry</t>
  </si>
  <si>
    <t>NE</t>
  </si>
  <si>
    <t>Cortaillod</t>
  </si>
  <si>
    <t>Rochefort</t>
  </si>
  <si>
    <t>Chambrelien</t>
  </si>
  <si>
    <t>Montezillon</t>
  </si>
  <si>
    <t>Champ-du-Moulin</t>
  </si>
  <si>
    <t>Fretereules</t>
  </si>
  <si>
    <t>Brot-Dessous</t>
  </si>
  <si>
    <t>Auvernier</t>
  </si>
  <si>
    <t>Milvignes</t>
  </si>
  <si>
    <t>Colombier NE</t>
  </si>
  <si>
    <t>Bôle</t>
  </si>
  <si>
    <t>Bevaix</t>
  </si>
  <si>
    <t>La Grande Béroche</t>
  </si>
  <si>
    <t>Gorgier</t>
  </si>
  <si>
    <t>St-Aubin-Sauges</t>
  </si>
  <si>
    <t>Chez-le-Bart</t>
  </si>
  <si>
    <t>Montalchez</t>
  </si>
  <si>
    <t>Fresens</t>
  </si>
  <si>
    <t>Vaumarcus</t>
  </si>
  <si>
    <t>La Chaux-de-Fonds</t>
  </si>
  <si>
    <t>La Cibourg</t>
  </si>
  <si>
    <t>Le Crêt-du-Locle</t>
  </si>
  <si>
    <t>Les Planchettes</t>
  </si>
  <si>
    <t>La Sagne NE</t>
  </si>
  <si>
    <t>La Sagne</t>
  </si>
  <si>
    <t>La Brévine</t>
  </si>
  <si>
    <t>Les Taillères</t>
  </si>
  <si>
    <t>La Châtagne</t>
  </si>
  <si>
    <t>Le Brouillet</t>
  </si>
  <si>
    <t>Brot-Plamboz</t>
  </si>
  <si>
    <t>Le Cerneux-Péquignot</t>
  </si>
  <si>
    <t>La Chaux-du-Milieu</t>
  </si>
  <si>
    <t>Le Locle</t>
  </si>
  <si>
    <t>Le Prévoux</t>
  </si>
  <si>
    <t>Les Brenets</t>
  </si>
  <si>
    <t>Les Ponts-de-Martel</t>
  </si>
  <si>
    <t>Petit-Martel</t>
  </si>
  <si>
    <t>Cornaux NE</t>
  </si>
  <si>
    <t>Cornaux</t>
  </si>
  <si>
    <t>Cressier NE</t>
  </si>
  <si>
    <t>Cressier (NE)</t>
  </si>
  <si>
    <t>Enges</t>
  </si>
  <si>
    <t>Hauterive NE</t>
  </si>
  <si>
    <t>Hauterive (NE)</t>
  </si>
  <si>
    <t>Le Landeron</t>
  </si>
  <si>
    <t>Lignières</t>
  </si>
  <si>
    <t>Neuchâtel</t>
  </si>
  <si>
    <t>Peseux</t>
  </si>
  <si>
    <t>Corcelles NE</t>
  </si>
  <si>
    <t>Cormondrèche</t>
  </si>
  <si>
    <t>Valangin</t>
  </si>
  <si>
    <t>Chaumont</t>
  </si>
  <si>
    <t>St-Blaise</t>
  </si>
  <si>
    <t>Saint-Blaise</t>
  </si>
  <si>
    <t>Marin-Epagnier</t>
  </si>
  <si>
    <t>La Tène</t>
  </si>
  <si>
    <t>Thielle</t>
  </si>
  <si>
    <t>Wavre</t>
  </si>
  <si>
    <t>Montmollin</t>
  </si>
  <si>
    <t>Val-de-Ruz</t>
  </si>
  <si>
    <t>Boudevilliers</t>
  </si>
  <si>
    <t>Fontaines NE</t>
  </si>
  <si>
    <t>Fontainemelon</t>
  </si>
  <si>
    <t>La Vue-des-Alpes</t>
  </si>
  <si>
    <t>Cernier</t>
  </si>
  <si>
    <t>Chézard-St-Martin</t>
  </si>
  <si>
    <t>Les Vieux-Prés</t>
  </si>
  <si>
    <t>Dombresson</t>
  </si>
  <si>
    <t>Villiers</t>
  </si>
  <si>
    <t>Le Pâquier NE</t>
  </si>
  <si>
    <t>Vilars NE</t>
  </si>
  <si>
    <t>Engollon</t>
  </si>
  <si>
    <t>Fenin</t>
  </si>
  <si>
    <t>Saules</t>
  </si>
  <si>
    <t>Savagnier</t>
  </si>
  <si>
    <t>Les Geneveys-sur-Coffrane</t>
  </si>
  <si>
    <t>Coffrane</t>
  </si>
  <si>
    <t>Les Hauts-Geneveys</t>
  </si>
  <si>
    <t>La Côte-aux-Fées</t>
  </si>
  <si>
    <t>Les Verrières</t>
  </si>
  <si>
    <t>Noiraigue</t>
  </si>
  <si>
    <t>Val-de-Travers</t>
  </si>
  <si>
    <t>Travers</t>
  </si>
  <si>
    <t>Couvet</t>
  </si>
  <si>
    <t>Môtiers NE</t>
  </si>
  <si>
    <t>Boveresse</t>
  </si>
  <si>
    <t>Fleurier</t>
  </si>
  <si>
    <t>Buttes</t>
  </si>
  <si>
    <t>Mont-de-Buttes</t>
  </si>
  <si>
    <t>St-Sulpice NE</t>
  </si>
  <si>
    <t>Les Sagnettes</t>
  </si>
  <si>
    <t>Les Bayards</t>
  </si>
  <si>
    <t>Aire-la-Ville</t>
  </si>
  <si>
    <t>GE</t>
  </si>
  <si>
    <t>Anières</t>
  </si>
  <si>
    <t>Avully</t>
  </si>
  <si>
    <t>Athenaz (Avusy)</t>
  </si>
  <si>
    <t>Avusy</t>
  </si>
  <si>
    <t>La Croix-de-Rozon</t>
  </si>
  <si>
    <t>Bardonnex</t>
  </si>
  <si>
    <t>Bellevue</t>
  </si>
  <si>
    <t>Bernex</t>
  </si>
  <si>
    <t>Carouge GE</t>
  </si>
  <si>
    <t>Carouge (GE)</t>
  </si>
  <si>
    <t>Cartigny</t>
  </si>
  <si>
    <t>Céligny</t>
  </si>
  <si>
    <t>Chancy</t>
  </si>
  <si>
    <t>Chêne-Bougeries</t>
  </si>
  <si>
    <t>Conches</t>
  </si>
  <si>
    <t>Chêne-Bourg</t>
  </si>
  <si>
    <t>Choulex</t>
  </si>
  <si>
    <t>Collex</t>
  </si>
  <si>
    <t>Collex-Bossy</t>
  </si>
  <si>
    <t>Vésenaz</t>
  </si>
  <si>
    <t>Collonge-Bellerive</t>
  </si>
  <si>
    <t>Cologny</t>
  </si>
  <si>
    <t>Confignon</t>
  </si>
  <si>
    <t>Corsier GE</t>
  </si>
  <si>
    <t>Corsier (GE)</t>
  </si>
  <si>
    <t>La Plaine</t>
  </si>
  <si>
    <t>Dardagny</t>
  </si>
  <si>
    <t>Genève</t>
  </si>
  <si>
    <t>Les Acacias</t>
  </si>
  <si>
    <t>Genthod</t>
  </si>
  <si>
    <t>Le Grand-Saconnex</t>
  </si>
  <si>
    <t>Gy</t>
  </si>
  <si>
    <t>Hermance</t>
  </si>
  <si>
    <t>Jussy</t>
  </si>
  <si>
    <t>Laconnex</t>
  </si>
  <si>
    <t>Grand-Lancy</t>
  </si>
  <si>
    <t>Lancy</t>
  </si>
  <si>
    <t>Petit-Lancy</t>
  </si>
  <si>
    <t>Meinier</t>
  </si>
  <si>
    <t>Cointrin</t>
  </si>
  <si>
    <t>Meyrin</t>
  </si>
  <si>
    <t>Onex</t>
  </si>
  <si>
    <t>Perly</t>
  </si>
  <si>
    <t>Perly-Certoux</t>
  </si>
  <si>
    <t>Plan-les-Ouates</t>
  </si>
  <si>
    <t>Chambésy</t>
  </si>
  <si>
    <t>Pregny-Chambésy</t>
  </si>
  <si>
    <t>Presinge</t>
  </si>
  <si>
    <t>Puplinge</t>
  </si>
  <si>
    <t>Russin</t>
  </si>
  <si>
    <t>Satigny</t>
  </si>
  <si>
    <t>Soral</t>
  </si>
  <si>
    <t>Thônex</t>
  </si>
  <si>
    <t>Troinex</t>
  </si>
  <si>
    <t>Vandoeuvres</t>
  </si>
  <si>
    <t>Vernier</t>
  </si>
  <si>
    <t>Le Lignon</t>
  </si>
  <si>
    <t>Aïre</t>
  </si>
  <si>
    <t>Châtelaine</t>
  </si>
  <si>
    <t>Les Avanchets</t>
  </si>
  <si>
    <t>Versoix</t>
  </si>
  <si>
    <t>Vessy</t>
  </si>
  <si>
    <t>Veyrier</t>
  </si>
  <si>
    <t>Boécourt</t>
  </si>
  <si>
    <t>JU</t>
  </si>
  <si>
    <t>Montavon</t>
  </si>
  <si>
    <t>Bourrignon</t>
  </si>
  <si>
    <t>Châtillon JU</t>
  </si>
  <si>
    <t>Châtillon (JU)</t>
  </si>
  <si>
    <t>Courchapoix</t>
  </si>
  <si>
    <t>Courrendlin</t>
  </si>
  <si>
    <t>Vellerat</t>
  </si>
  <si>
    <t>Rebeuvelier</t>
  </si>
  <si>
    <t>Courroux</t>
  </si>
  <si>
    <t>Courcelon</t>
  </si>
  <si>
    <t>Courtételle</t>
  </si>
  <si>
    <t>Delémont</t>
  </si>
  <si>
    <t>Develier</t>
  </si>
  <si>
    <t>Ederswiler</t>
  </si>
  <si>
    <t>Mervelier</t>
  </si>
  <si>
    <t>Mettembert</t>
  </si>
  <si>
    <t>Movelier</t>
  </si>
  <si>
    <t>Pleigne</t>
  </si>
  <si>
    <t>Lucelle</t>
  </si>
  <si>
    <t>Rossemaison</t>
  </si>
  <si>
    <t>Saulcy</t>
  </si>
  <si>
    <t>Soyhières</t>
  </si>
  <si>
    <t>Courfaivre</t>
  </si>
  <si>
    <t>Haute-Sorne</t>
  </si>
  <si>
    <t>Bassecourt</t>
  </si>
  <si>
    <t>Glovelier</t>
  </si>
  <si>
    <t>Undervelier</t>
  </si>
  <si>
    <t>Soulce</t>
  </si>
  <si>
    <t>Vicques</t>
  </si>
  <si>
    <t>Val Terbi</t>
  </si>
  <si>
    <t>Corban</t>
  </si>
  <si>
    <t>Montsevelier</t>
  </si>
  <si>
    <t>Vermes</t>
  </si>
  <si>
    <t>Le Bémont JU</t>
  </si>
  <si>
    <t>Le Bémont (JU)</t>
  </si>
  <si>
    <t>Les Bois</t>
  </si>
  <si>
    <t>Les Breuleux</t>
  </si>
  <si>
    <t>La Chaux-des-Breuleux</t>
  </si>
  <si>
    <t>Les Enfers</t>
  </si>
  <si>
    <t>Les Genevez JU</t>
  </si>
  <si>
    <t>Les Genevez (JU)</t>
  </si>
  <si>
    <t>Le Prédame</t>
  </si>
  <si>
    <t>Lajoux JU</t>
  </si>
  <si>
    <t>Lajoux (JU)</t>
  </si>
  <si>
    <t>Fornet-Dessus</t>
  </si>
  <si>
    <t>Montfaucon</t>
  </si>
  <si>
    <t>Montfavergier</t>
  </si>
  <si>
    <t>Les Emibois</t>
  </si>
  <si>
    <t>Muriaux</t>
  </si>
  <si>
    <t>Le Cerneux-Veusil</t>
  </si>
  <si>
    <t>Le Noirmont</t>
  </si>
  <si>
    <t>Saignelégier</t>
  </si>
  <si>
    <t>Les Pommerats</t>
  </si>
  <si>
    <t>Goumois</t>
  </si>
  <si>
    <t>St-Brais</t>
  </si>
  <si>
    <t>Saint-Brais</t>
  </si>
  <si>
    <t>St-Ursanne</t>
  </si>
  <si>
    <t>Soubey</t>
  </si>
  <si>
    <t>Alle</t>
  </si>
  <si>
    <t>Beurnevésin</t>
  </si>
  <si>
    <t>Boncourt</t>
  </si>
  <si>
    <t>Bonfol</t>
  </si>
  <si>
    <t>Bure</t>
  </si>
  <si>
    <t>Coeuve</t>
  </si>
  <si>
    <t>Cornol</t>
  </si>
  <si>
    <t>Courchavon</t>
  </si>
  <si>
    <t>Courgenay</t>
  </si>
  <si>
    <t>Courtemautruy</t>
  </si>
  <si>
    <t>Courtedoux</t>
  </si>
  <si>
    <t>Damphreux</t>
  </si>
  <si>
    <t>Fahy</t>
  </si>
  <si>
    <t>Fontenais</t>
  </si>
  <si>
    <t>Villars-sur-Fontenais</t>
  </si>
  <si>
    <t>Bressaucourt</t>
  </si>
  <si>
    <t>Grandfontaine</t>
  </si>
  <si>
    <t>Lugnez</t>
  </si>
  <si>
    <t>Porrentruy</t>
  </si>
  <si>
    <t>Vendlincourt</t>
  </si>
  <si>
    <t>Courtemaîche</t>
  </si>
  <si>
    <t>Basse-Allaine</t>
  </si>
  <si>
    <t>Montignez</t>
  </si>
  <si>
    <t>Buix</t>
  </si>
  <si>
    <t>Clos du Doubs</t>
  </si>
  <si>
    <t>Montmelon</t>
  </si>
  <si>
    <t>Montenol</t>
  </si>
  <si>
    <t>Epauvillers</t>
  </si>
  <si>
    <t>Epiquerez</t>
  </si>
  <si>
    <t>Seleute</t>
  </si>
  <si>
    <t>Ocourt</t>
  </si>
  <si>
    <t>Chevenez</t>
  </si>
  <si>
    <t>Haute-Ajoie</t>
  </si>
  <si>
    <t>Rocourt</t>
  </si>
  <si>
    <t>Réclère</t>
  </si>
  <si>
    <t>Roche-d'Or</t>
  </si>
  <si>
    <t>Damvant</t>
  </si>
  <si>
    <t>Miécourt</t>
  </si>
  <si>
    <t>La Baroche</t>
  </si>
  <si>
    <t>Charmoille</t>
  </si>
  <si>
    <t>Fregiécourt</t>
  </si>
  <si>
    <t>Pleujouse</t>
  </si>
  <si>
    <t>Asuel</t>
  </si>
  <si>
    <t>Vaduz</t>
  </si>
  <si>
    <t>Triesen</t>
  </si>
  <si>
    <t>Balzers</t>
  </si>
  <si>
    <t>Triesenberg</t>
  </si>
  <si>
    <t>Schaan</t>
  </si>
  <si>
    <t>Planken</t>
  </si>
  <si>
    <t>Nendeln</t>
  </si>
  <si>
    <t>Eschen</t>
  </si>
  <si>
    <t>Schaanwald</t>
  </si>
  <si>
    <t>Mauren</t>
  </si>
  <si>
    <t>Mauren FL</t>
  </si>
  <si>
    <t>Gamprin-Bendern</t>
  </si>
  <si>
    <t>Gamprin</t>
  </si>
  <si>
    <t>Ruggell</t>
  </si>
  <si>
    <t>Schellenberg</t>
  </si>
  <si>
    <t>Thunersee</t>
  </si>
  <si>
    <t>Brienzersee</t>
  </si>
  <si>
    <t>Bielersee</t>
  </si>
  <si>
    <t>Bielersee (BE)</t>
  </si>
  <si>
    <t>https://www.cadastre.ch/fr/services/service/registry/plz.html</t>
  </si>
  <si>
    <t>Économies</t>
  </si>
  <si>
    <t>CHE-123.456.789</t>
  </si>
  <si>
    <t>Nr</t>
  </si>
  <si>
    <t>Gemeinden</t>
  </si>
  <si>
    <t>D</t>
  </si>
  <si>
    <t>Standort</t>
  </si>
  <si>
    <t>Site</t>
  </si>
  <si>
    <t>Alte Anlage/Gerät</t>
  </si>
  <si>
    <t>Ancienne installation/appareil</t>
  </si>
  <si>
    <t>Nouvelle installation/appareil</t>
  </si>
  <si>
    <t>Gemeinde</t>
  </si>
  <si>
    <t>Commune</t>
  </si>
  <si>
    <t>Ort</t>
  </si>
  <si>
    <t>Lieu</t>
  </si>
  <si>
    <t>Adresse</t>
  </si>
  <si>
    <t>Name</t>
  </si>
  <si>
    <t>Nom</t>
  </si>
  <si>
    <t>n°</t>
  </si>
  <si>
    <t>NPA</t>
  </si>
  <si>
    <t>Demande électrique</t>
  </si>
  <si>
    <t>Einsparungen</t>
  </si>
  <si>
    <t>Gesamt</t>
  </si>
  <si>
    <t>Total</t>
  </si>
  <si>
    <t>Champ calculé</t>
  </si>
  <si>
    <t>Berechnetetes Feld</t>
  </si>
  <si>
    <t>Posizione</t>
  </si>
  <si>
    <t>Luogo</t>
  </si>
  <si>
    <t>Indirizzo</t>
  </si>
  <si>
    <t>no</t>
  </si>
  <si>
    <t>Nome</t>
  </si>
  <si>
    <t>CAP</t>
  </si>
  <si>
    <t>Fabbisogno di electtricità</t>
  </si>
  <si>
    <t>Risparmio</t>
  </si>
  <si>
    <t>Neue Anlage/Gerät</t>
  </si>
  <si>
    <t>Vecchio impianto/appareccho</t>
  </si>
  <si>
    <t>Nuovo impianto/appareccho</t>
  </si>
  <si>
    <t>Totale</t>
  </si>
  <si>
    <t>Campo calcolato</t>
  </si>
  <si>
    <t>Campo bloccato</t>
  </si>
  <si>
    <t>Datum Inbetriebnahme</t>
  </si>
  <si>
    <t>Date de mise en service</t>
  </si>
  <si>
    <t>Data di messa in servizio</t>
  </si>
  <si>
    <t>EGID</t>
  </si>
  <si>
    <t>Marke/Hersteller</t>
  </si>
  <si>
    <t>Marque/fabricant</t>
  </si>
  <si>
    <t>Marchio/produttore</t>
  </si>
  <si>
    <t xml:space="preserve">Classe d'efficacité énergétique </t>
  </si>
  <si>
    <t xml:space="preserve">Classe di efficienza energetica </t>
  </si>
  <si>
    <t>Gebäude</t>
  </si>
  <si>
    <t>Bâtiment</t>
  </si>
  <si>
    <t>Edificio</t>
  </si>
  <si>
    <t>Gebäudekategorie</t>
  </si>
  <si>
    <t>Catégorie de bâtiment</t>
  </si>
  <si>
    <t>Categoria di edificio</t>
  </si>
  <si>
    <t>Wohnung</t>
  </si>
  <si>
    <t>Logement</t>
  </si>
  <si>
    <t>Alloggiamento</t>
  </si>
  <si>
    <t>Nutzung</t>
  </si>
  <si>
    <t>Utilisation</t>
  </si>
  <si>
    <t>Utilizzo</t>
  </si>
  <si>
    <t xml:space="preserve">Energie-effizienz-klasse </t>
  </si>
  <si>
    <t>UID</t>
  </si>
  <si>
    <t xml:space="preserve">Wärmebedarf </t>
  </si>
  <si>
    <t>Demande de chauffage</t>
  </si>
  <si>
    <t>Fabbisogno di riscaldamento</t>
  </si>
  <si>
    <t>Surface de référence énergétique</t>
  </si>
  <si>
    <t>Superficie di riferimento energetico</t>
  </si>
  <si>
    <t>Energie-bezugsfläche</t>
  </si>
  <si>
    <t>F</t>
  </si>
  <si>
    <t>I</t>
  </si>
  <si>
    <t>Erste Fassung</t>
  </si>
  <si>
    <t>E</t>
  </si>
  <si>
    <t>SRE</t>
  </si>
  <si>
    <t>Eingabefeld (optional)</t>
  </si>
  <si>
    <t>Champ d'entrée (optionnel)</t>
  </si>
  <si>
    <t>Campo di ingresso (opzionale)</t>
  </si>
  <si>
    <t>ZIP4</t>
  </si>
  <si>
    <t>CLIMATE_CODE</t>
  </si>
  <si>
    <t>PUY</t>
  </si>
  <si>
    <t>PAY</t>
  </si>
  <si>
    <t>GVE</t>
  </si>
  <si>
    <t>FRE</t>
  </si>
  <si>
    <t>NEU</t>
  </si>
  <si>
    <t>ABO</t>
  </si>
  <si>
    <t>AIG</t>
  </si>
  <si>
    <t>BER</t>
  </si>
  <si>
    <t>SIO</t>
  </si>
  <si>
    <t>MVE</t>
  </si>
  <si>
    <t>ZER</t>
  </si>
  <si>
    <t>CDF</t>
  </si>
  <si>
    <t>RUE</t>
  </si>
  <si>
    <t>BAS</t>
  </si>
  <si>
    <t>INT</t>
  </si>
  <si>
    <t>WYN</t>
  </si>
  <si>
    <t>LUZ</t>
  </si>
  <si>
    <t>PIO</t>
  </si>
  <si>
    <t>ULR</t>
  </si>
  <si>
    <t>BUS</t>
  </si>
  <si>
    <t>KLO</t>
  </si>
  <si>
    <t>SMA</t>
  </si>
  <si>
    <t>ENG</t>
  </si>
  <si>
    <t>ALT</t>
  </si>
  <si>
    <t>MAG</t>
  </si>
  <si>
    <t>SBE</t>
  </si>
  <si>
    <t>OTL</t>
  </si>
  <si>
    <t>DIS</t>
  </si>
  <si>
    <t>LUG</t>
  </si>
  <si>
    <t>CHU</t>
  </si>
  <si>
    <t>DAV</t>
  </si>
  <si>
    <t>VAD</t>
  </si>
  <si>
    <t>GLA</t>
  </si>
  <si>
    <t>SAM</t>
  </si>
  <si>
    <t>SCU</t>
  </si>
  <si>
    <t>ROB</t>
  </si>
  <si>
    <t>SHA</t>
  </si>
  <si>
    <t>GUT</t>
  </si>
  <si>
    <t>STG</t>
  </si>
  <si>
    <t>Klimastation</t>
  </si>
  <si>
    <t>Station climatique</t>
  </si>
  <si>
    <t>Altdorf</t>
  </si>
  <si>
    <t>Basel-Binningen</t>
  </si>
  <si>
    <t>Bern-Liebefeld</t>
  </si>
  <si>
    <t>Buchs-Aarau</t>
  </si>
  <si>
    <t>Disentis</t>
  </si>
  <si>
    <t>Geneve-Cointrin</t>
  </si>
  <si>
    <t>Grand-St-Bernard</t>
  </si>
  <si>
    <t>GSB</t>
  </si>
  <si>
    <t>lnterlaken</t>
  </si>
  <si>
    <t>La Frétaz</t>
  </si>
  <si>
    <t>Locarno-Monti</t>
  </si>
  <si>
    <t>Robbia</t>
  </si>
  <si>
    <t>San Bernardino</t>
  </si>
  <si>
    <t>Zürich-Kloten</t>
  </si>
  <si>
    <t>Zürich-MeteoSchweiz</t>
  </si>
  <si>
    <t>Station</t>
  </si>
  <si>
    <t>Abbr.</t>
  </si>
  <si>
    <t>Stazione climatica</t>
  </si>
  <si>
    <t>Eingabefehler</t>
  </si>
  <si>
    <t>Erreur de saisie</t>
  </si>
  <si>
    <t>Errore di inserimento</t>
  </si>
  <si>
    <t>Standardisierte Massnahme</t>
  </si>
  <si>
    <t>Massnahmennummer</t>
  </si>
  <si>
    <t>Version</t>
  </si>
  <si>
    <t>Gültig ab</t>
  </si>
  <si>
    <t>Es obliegt dem Elektrizitätslieferanten, sich jährlich rechtzeitig zu informieren, ob eine aktualisierte Version vorliegt. Das BFE publiziert allfällige aktualisierte Versionen im November. Während einer Übergangsfrist von 12 Monaten ab Gültigkeit dürfen die umgesetzten Massnahmen auch noch mit der vorgängigen Version gemeldet werden.</t>
  </si>
  <si>
    <t>Disclaimer</t>
  </si>
  <si>
    <t>Anwendungsbereich</t>
  </si>
  <si>
    <t>Beschreibung</t>
  </si>
  <si>
    <t>Anforderungen</t>
  </si>
  <si>
    <t>Nachweis</t>
  </si>
  <si>
    <t>Berechnungen</t>
  </si>
  <si>
    <t>Eidgenössisches Departement für Umwelt, Verkehr,</t>
  </si>
  <si>
    <t>Energie und Kommunikation UVEK</t>
  </si>
  <si>
    <t>Bundesamt für Energie BFE</t>
  </si>
  <si>
    <t>Mesure standardisée</t>
  </si>
  <si>
    <t>Valable dès</t>
  </si>
  <si>
    <t>Tabelle 1: Anforderungen</t>
  </si>
  <si>
    <t>Altes System</t>
  </si>
  <si>
    <t>Neues System</t>
  </si>
  <si>
    <t>Technologie</t>
  </si>
  <si>
    <t>Umsetzung</t>
  </si>
  <si>
    <t>Entsorgung</t>
  </si>
  <si>
    <t>Gegenstand</t>
  </si>
  <si>
    <t>Texte</t>
  </si>
  <si>
    <t>Format</t>
  </si>
  <si>
    <t>Lang</t>
  </si>
  <si>
    <t>Lines</t>
  </si>
  <si>
    <t>Height</t>
  </si>
  <si>
    <t>Subtitel</t>
  </si>
  <si>
    <t>Identifiant de la mesure</t>
  </si>
  <si>
    <t>Il incombe au fournisseur d’électricité de s’informer chaque année en temps utile si une version actualisée est disponible. L’OFEN publie les éventuelles versions actualisées en novembre. Pendant une période de transition de 12 mois à compter de la date de validité, les mesures mises en œuvre peuvent encore être annoncées avec la version précédente.</t>
  </si>
  <si>
    <t>Description</t>
  </si>
  <si>
    <t>Exigences</t>
  </si>
  <si>
    <t>Justificatif</t>
  </si>
  <si>
    <t>Les justificatifs de la facture (format PDF, PNG ou JPEG)</t>
  </si>
  <si>
    <t>Calculs</t>
  </si>
  <si>
    <t>Tableau 1: Exigences</t>
  </si>
  <si>
    <t>Ancien système</t>
  </si>
  <si>
    <t>Nouveau système</t>
  </si>
  <si>
    <t>Mise en œuvre</t>
  </si>
  <si>
    <t>Élimination</t>
  </si>
  <si>
    <t>Objet</t>
  </si>
  <si>
    <t>Office fédéral de l'énergie OFEN</t>
  </si>
  <si>
    <t>Misura standardizzata</t>
  </si>
  <si>
    <t>Numero della misura</t>
  </si>
  <si>
    <t>Versione</t>
  </si>
  <si>
    <t>Valida dal</t>
  </si>
  <si>
    <t>È responsabilità del fornitore di elettricità informarsi tempestivamente ogni anno se è disponibile una versione aggiornata. L’UFE pubblica le eventuali versioni aggiornate nel mese di novembre. Durante un periodo transitorio di 12 mesi dalla data di validità, le misure adottate possono ancora essere notificate utilizzando la versione precedente.</t>
  </si>
  <si>
    <t>Campo di applicazione</t>
  </si>
  <si>
    <t>Descrizione</t>
  </si>
  <si>
    <t>Requisiti</t>
  </si>
  <si>
    <t>Tabella 1: Requisiti</t>
  </si>
  <si>
    <t>Vecchio sistema</t>
  </si>
  <si>
    <t>Nuovo sistema</t>
  </si>
  <si>
    <t>Attuazione</t>
  </si>
  <si>
    <t>Smaltimento</t>
  </si>
  <si>
    <t>Oggetto</t>
  </si>
  <si>
    <t>Ad es. tramite formulari, voci di fatture o simili.</t>
  </si>
  <si>
    <t xml:space="preserve">Risparmio </t>
  </si>
  <si>
    <t>Calcoli</t>
  </si>
  <si>
    <t xml:space="preserve">Giustificativi (in formato PDF, JPEG o PNG) della fattura </t>
  </si>
  <si>
    <t>Prova</t>
  </si>
  <si>
    <t>Ufficio federale dell’energia UFE</t>
  </si>
  <si>
    <t>Dipartimento federale dell’ambiente, dei trasporti,</t>
  </si>
  <si>
    <t>dell’energia e delle comunicazioni DATEC</t>
  </si>
  <si>
    <t>Tecnologia</t>
  </si>
  <si>
    <t>Département fédéral de l’environnement, des transports,</t>
  </si>
  <si>
    <t>de l’énergie et de la communication DETEC</t>
  </si>
  <si>
    <t>Tabelle 2: Nachweise</t>
  </si>
  <si>
    <t>Tableau 2: Justificatifs</t>
  </si>
  <si>
    <t>Tabella 2: Prove</t>
  </si>
  <si>
    <t>Die Einhaltung der Anforderungen muss durch die folgenden Dokumente belegt werden. Die in der Tabelle 2 aufgeführten Unterlagen sind integraler Bestandteil des Nachweises der Massnahmenumsetzung.</t>
  </si>
  <si>
    <t>Le respect des exigences doit être prouvé par les documents suivants. Les documents énumérés dans le tableau 2 font partie intégrante de la preuve de la mise en œuvre de la mesure ou des mesures.</t>
  </si>
  <si>
    <t>Il rispetto dei requisiti deve essere comprovato con i seguenti documenti. I documenti elencati nella la tabella 2 sono parte integrante della prova di adozione delle misure.</t>
  </si>
  <si>
    <t>Veuillez sélectionner la langue</t>
  </si>
  <si>
    <t>Bitte wählen Sie die Sprache aus</t>
  </si>
  <si>
    <t>Selezionare la lingua</t>
  </si>
  <si>
    <t>Versionshistorie</t>
  </si>
  <si>
    <t>Historique des versions</t>
  </si>
  <si>
    <t>Cronologia delle versioni</t>
  </si>
  <si>
    <t>Première version</t>
  </si>
  <si>
    <t>Änderung</t>
  </si>
  <si>
    <t>Modifications</t>
  </si>
  <si>
    <t>Nr.</t>
  </si>
  <si>
    <t>Inhaltsverzeichnis</t>
  </si>
  <si>
    <t>Indice dei contenuti</t>
  </si>
  <si>
    <t>Table des matières</t>
  </si>
  <si>
    <t>A. Einsparprotokoll</t>
  </si>
  <si>
    <t>A. Protocole d'économie</t>
  </si>
  <si>
    <t>B. Monitoringliste</t>
  </si>
  <si>
    <t>Modifiche</t>
  </si>
  <si>
    <t>Prima versione</t>
  </si>
  <si>
    <t>Sheet</t>
  </si>
  <si>
    <t>B. Liste de monitoring</t>
  </si>
  <si>
    <t>A. Protocollo di risparmio</t>
  </si>
  <si>
    <t>B. Lista di monitoraggio</t>
  </si>
  <si>
    <t>Le présent document sert uniquement à justifier la mise en œuvre d’une mesure visant à accroître l’efficacité énergétique au sens de l’art. 46b LEne. Les données et les calculs qu’il mentionne ont été élaborés sur la base de normes, d’études et de valeurs empiriques. Ce protocole d’économie a uniquement pour but de justifier les économies d’électricité effectives liées à une mesure d’efficacité. L’OFEN décline toute responsabilité en cas d’usage du présent document à d’autres fins que pour justifier la mise en œuvre des mesures visées à l’art. 46b LEne.</t>
  </si>
  <si>
    <t>Dieses Dokument dient ausschliesslich für den Nachweis der Umsetzung der erwähnten Energieeffizienzmassnahme nach Artikel 46b EnG. Die enthaltenen Angaben und Berechnungen wurden anhand von Normen, Studien und Erfahrungswerten erstellt. Dieses Einsparprotokoll kann nicht anderweitig als Beleg der effektiven Stromeinsparungen, welche durch die jeweilige Effizienzmassnahme erbracht wurden, verwendet werden. Das Bundesamt für Energie übernimmt keinerlei Gewähr für eine Verwendung ausserhalb des Nachweises der Umsetzung nach Artikel 46b EnG.</t>
  </si>
  <si>
    <t>Il presente documento ha esclusivamente lo scopo di provare l’adozione della menzionata misura di efficienza energetica ai sensi dell’articolo 46b LEne. Le informazioni e i calcoli in esso contenuti sono stati elaborati sulla base di norme, studi e valori empirici. Il presente protocollo di risparmio non può essere utilizzato che come prova dell’effettivo risparmio di elettricità ottenuto con l’adozione della rispettiva misura di efficienza. L’Ufficio federale dell’energia non si assume alcuna responsabilità per un utilizzo diverso da quello di prova dell’adozione ai sensi dell’articolo 46b LEne.</t>
  </si>
  <si>
    <t>Protocole</t>
  </si>
  <si>
    <t>Varia</t>
  </si>
  <si>
    <t>Monitoring</t>
  </si>
  <si>
    <t>Monitoringliste</t>
  </si>
  <si>
    <t>Lista di Monitoring</t>
  </si>
  <si>
    <t>Liste de monitoring</t>
  </si>
  <si>
    <t>Strombedarf</t>
  </si>
  <si>
    <t>Einsparprotokoll</t>
  </si>
  <si>
    <t>Protocole d'économie</t>
  </si>
  <si>
    <t>Protocollo di risparmio</t>
  </si>
  <si>
    <t>Meldung der Massnahme</t>
  </si>
  <si>
    <t>Annonce de la mesure</t>
  </si>
  <si>
    <t>Notifica della misura</t>
  </si>
  <si>
    <t>Die Monitoringliste (Tabelle B), welche jede umgesetzte Massnahme aufzeigt, die mit diesem Einsparprotokoll gebündelt gemeldet wird. Jede Massnahme muss mit den gesamten Angaben vollständig erfasst werden.</t>
  </si>
  <si>
    <t>La liste de monitoring (tableau B), qui indique chaque mesure mise en œuvre et qui est communiquée de manière groupée avec le présent protocole d'économie. Chaque mesure doit être saisie avec toutes les informations requises.</t>
  </si>
  <si>
    <t>Lista di monitoraggio (tabella B), contenente una o più misure adottate che vengono comunicate attraverso il presente protocollo di risparmio. Ogni misura deve essere registrato con tutte le informazioni richieste.</t>
  </si>
  <si>
    <t>Fussnote</t>
  </si>
  <si>
    <t>P. ex. via des exemples de formulaires, de positions sur des factures ou autres.</t>
  </si>
  <si>
    <t>Z. B. über Beispiele von Formularen, Positionen auf Rechnungen oder dergleichen.</t>
  </si>
  <si>
    <t xml:space="preserve"> zu finden</t>
  </si>
  <si>
    <t>Tabellentitel</t>
  </si>
  <si>
    <t xml:space="preserve">Seules les mesures qui respectent les exigences de l’ordonnance sur l’énergie (RS 730.01; OEne) peuvent être prises en compte. Les exigences supplémentaires relatives aux caractéristiques techniques et à la mise en œuvre de la mesure sont définies dans le tableau 1. </t>
  </si>
  <si>
    <t xml:space="preserve">Solo le misure che soddisfano i requisiti dell’ordinanza sull’energia (RS 730.01; OEn) possono essere prese in considerazione. I requisiti supplementari relativi alle caratteristiche tecniche e all’adozione della misura sono riportati nella tabella 1. </t>
  </si>
  <si>
    <t xml:space="preserve">non devono essere comunicate in modo sistematico, ma devono poter essere presentati entro 30 giorni in caso di ispezione da parte dell’autorità di esecuzione. </t>
  </si>
  <si>
    <t>Ancien / Nouveau système</t>
  </si>
  <si>
    <t>Altes / Neues System</t>
  </si>
  <si>
    <t>Vecchio / Nuovo sistema</t>
  </si>
  <si>
    <t>EBF</t>
  </si>
  <si>
    <t>SRE = Surface de référence énergétique</t>
  </si>
  <si>
    <t>SRE = Superficie di riferimento energetico</t>
  </si>
  <si>
    <t>EBF = Energiebezugsfläche</t>
  </si>
  <si>
    <t>Aufnahme einer Übersichtstabelle über die Änderungen zwischen den früheren Versionen</t>
  </si>
  <si>
    <t>Einfügen des Einsparprotokolls (Tabelle A)</t>
  </si>
  <si>
    <t>Intégration du protocole d'économie (tableau A)</t>
  </si>
  <si>
    <t>Änderung und Aufnahme von Feldern in der Monitoringliste  (Tabelle B)</t>
  </si>
  <si>
    <t>Modification et ajout de champs dans la liste de monitoring (tableau B)</t>
  </si>
  <si>
    <t>Divers changements de mise en page</t>
  </si>
  <si>
    <t>Varie modifiche di layout</t>
  </si>
  <si>
    <t>Modifica e aggiunta di campi nell'elenco di monitoraggio  (tabella B)</t>
  </si>
  <si>
    <t>Aggiunta di una tabella riassuntiva delle modifiche apportate nelle versioni precedenti</t>
  </si>
  <si>
    <t>Integrazione del protocollo di risparmio nel documento (tabella A)</t>
  </si>
  <si>
    <t>Date</t>
  </si>
  <si>
    <t>Datum</t>
  </si>
  <si>
    <t>Data</t>
  </si>
  <si>
    <t>* automatisch nach der in der Dokumentation</t>
  </si>
  <si>
    <t xml:space="preserve"> beschriebenen Berechnungsmethode berechnet</t>
  </si>
  <si>
    <t>* calculé automatiquement selon la méthode de calcul décrite dans la documentation</t>
  </si>
  <si>
    <t>* calcolato automaticamente secondo il metodo di calcolo descritto nella documentazione</t>
  </si>
  <si>
    <t>Une explication (format PDF, max. 2 pages A4) sur la manière dont il est garanti que les appareils remplacés ont été éliminés dans les règles de l’art (p. ex. au moyen de déclarations, de positions d'élimination sur les factures des entreprises, etc.)</t>
  </si>
  <si>
    <t>Rechnungsbelege (Format PDF, PNG oder JPEG)</t>
  </si>
  <si>
    <t>Erläuterung (Format PDF, max. 2 A4-Seiten), wie sichergestellt wird, dass die ersetzten Geräte fachgerecht entsorgt wurden (z. B. mittels Deklarationen, Entsorgungspositionen auf Unternehmerrechnungen, usw.).</t>
  </si>
  <si>
    <t>Spiegazione (in formato PDF, max. 2 pagine A4) delle modalità con cui si garantisce il corretto smaltimento degli apparecchi via via sostituiti (ad esempio tramite dichiarazioni, indicazioni di smaltimento sulle fatture aziendali, ecc.).</t>
  </si>
  <si>
    <t>Firma, welche den Ersatz durchgeführt hat</t>
  </si>
  <si>
    <t>Firma, welche die Optimierung durchgeführt hat</t>
  </si>
  <si>
    <t>Entreprise qui a effectué l'optimisation</t>
  </si>
  <si>
    <t>Entreprise qui a effectué le remplacement</t>
  </si>
  <si>
    <t>Azienda che ha effettuato la sostituzione</t>
  </si>
  <si>
    <t>Azienda che ha effettuato l'ottimizzazione</t>
  </si>
  <si>
    <t>§</t>
  </si>
  <si>
    <t>Mesure</t>
  </si>
  <si>
    <t>Massnahme</t>
  </si>
  <si>
    <t>Misura</t>
  </si>
  <si>
    <t>(äquivalent)</t>
  </si>
  <si>
    <t>(équivalent)</t>
  </si>
  <si>
    <t>(equivalente)</t>
  </si>
  <si>
    <t>kWh</t>
  </si>
  <si>
    <t>Anrechenbare Stromeinsparungen* [kWh]</t>
  </si>
  <si>
    <t>Économies d’électricité comptabilisables* [kWh]</t>
  </si>
  <si>
    <t>Risparmio di elettricità computabile* [kWh]</t>
  </si>
  <si>
    <t>Elektrizitätslieferant</t>
  </si>
  <si>
    <t>Fournisseur d'électricité</t>
  </si>
  <si>
    <t>Fornitore di elettricità</t>
  </si>
  <si>
    <t>Energia Beispiel AG</t>
  </si>
  <si>
    <t>Dateibezeichnung</t>
  </si>
  <si>
    <t>Référence du fichier</t>
  </si>
  <si>
    <t>Riferimento del file</t>
  </si>
  <si>
    <t>definisce l'ambito di applicazione e i requisiti relativi all'attuazione della misura e alla documentazione giustificativa. Non è richiesta alcuna registrazione.</t>
  </si>
  <si>
    <t>legt den Anwendungsbereich und die Anforderungen für die Umsetzung der Massnahme sowie an die Nachweise fest. Es ist keine Eingabe erforderlich.</t>
  </si>
  <si>
    <t>riassume le misure annunciate nel presente protocollo. Tutti i campi devono essere compilati per ogni misura.</t>
  </si>
  <si>
    <t>fasst die in diesem Protokoll gemeldeten Massnahmen zusammen. Alle Eingabefelder müssen für jede Massnahme ausgefüllt werden.</t>
  </si>
  <si>
    <t>Referenz</t>
  </si>
  <si>
    <t>Référence</t>
  </si>
  <si>
    <t>Riferimento</t>
  </si>
  <si>
    <t>Vous pouvez saisir ici le nom du fichier défini au sein de votre organisation</t>
  </si>
  <si>
    <t>Qui può inserire il nome del file definito all'interno della vostra organizzazione</t>
  </si>
  <si>
    <t>Questo campo deve essere compilato prima di comunicare la o le misure di seguito indicate.</t>
  </si>
  <si>
    <t>Ce champ doit être renseigné avant l'annonce de la ou des mesures ci-dessous.</t>
  </si>
  <si>
    <t>Dieses Feld muss vor der Meldung der folgenden Massnahme(n) ausgefüllt werden.</t>
  </si>
  <si>
    <t>Zurück zur Übersicht</t>
  </si>
  <si>
    <t>Torna alla panoramica</t>
  </si>
  <si>
    <t>Retour à la vue d'ensemble</t>
  </si>
  <si>
    <t>Champ d'entrée (obligatoire)</t>
  </si>
  <si>
    <t>Campo di ingresso (obbligatorio)</t>
  </si>
  <si>
    <t>Eingabefeld (obligatorisch)</t>
  </si>
  <si>
    <t>Chaque mesure doit être saisie avec toutes les informations requises (champs obligatoires).</t>
  </si>
  <si>
    <t>Campo a scelta multipla (obbligatorio)</t>
  </si>
  <si>
    <t>Champ à choix multiple (obligatoire)</t>
  </si>
  <si>
    <t>Mehrfachauswahlfeld (obligatorisch)</t>
  </si>
  <si>
    <t>Jede Massnahme muss mit den gesamten Angaben vollständig erfasst werden (Pflichtfelder).</t>
  </si>
  <si>
    <t>Ogni misura deve essere registrato con tutte le informazioni richieste (campi obbligatori).</t>
  </si>
  <si>
    <t>Die Unterlagen unter Punkt</t>
  </si>
  <si>
    <t>Die Unterlagen unter Punkt 1 müssen bei der Meldung dem Einsparprotokoll beigelegt werden.</t>
  </si>
  <si>
    <t>Les documents du point 1 doivent être joints au protocole d’économie lors de l’annonce.</t>
  </si>
  <si>
    <t>I documenti di cui al punto 1 devono essere allegati al protocollo di risparmio al momento della presentazione della notifica.</t>
  </si>
  <si>
    <t>I documenti di cui ai punti da</t>
  </si>
  <si>
    <t xml:space="preserve">Les documents du point </t>
  </si>
  <si>
    <t>measure_id</t>
  </si>
  <si>
    <t>measure_version</t>
  </si>
  <si>
    <t>Formeln</t>
  </si>
  <si>
    <t>Lang_measure</t>
  </si>
  <si>
    <t>measure_nbr</t>
  </si>
  <si>
    <t>Die anrechenbaren Stromeinsparungen der Massnahme werden abhängig von den festgelegten Eingabevariablen durch die Monitoringliste in Kilowattstunden berechnet. Informationen zu den Annahmen und der Berechnungsmethode sind in der zugehörigen Dokumentation</t>
  </si>
  <si>
    <t>Parameter</t>
  </si>
  <si>
    <t xml:space="preserve">müssen nicht systematisch eingereicht werden, aber der Vollzugsbehörde bei einer allfälligen Kontrolle innerhalb von 30 Tagen vorgelegt werden können. </t>
  </si>
  <si>
    <t xml:space="preserve">ne doivent pas être annoncés de manière systématique mais pouvoir être présentés dans les 30 jours lors d’un éventuel contrôle de l’autorité d’exécution. </t>
  </si>
  <si>
    <t>Energieeffizienz</t>
  </si>
  <si>
    <t>Wohnen MFH</t>
  </si>
  <si>
    <t>Habitat collectif</t>
  </si>
  <si>
    <t>Abitazioni plurifamiliari</t>
  </si>
  <si>
    <t>Verwaltung</t>
  </si>
  <si>
    <t>Administration</t>
  </si>
  <si>
    <t>Amministrazione</t>
  </si>
  <si>
    <t>Schulen</t>
  </si>
  <si>
    <t>Écoles</t>
  </si>
  <si>
    <t>Scuole</t>
  </si>
  <si>
    <t>Verkauf</t>
  </si>
  <si>
    <t>Commerce</t>
  </si>
  <si>
    <t>Negozi</t>
  </si>
  <si>
    <t>Restaurants</t>
  </si>
  <si>
    <t>Restauration</t>
  </si>
  <si>
    <t>Ristoranti</t>
  </si>
  <si>
    <t>Versammlungslokale</t>
  </si>
  <si>
    <t>Lieux de rassemblement</t>
  </si>
  <si>
    <t>Locali pubblici</t>
  </si>
  <si>
    <t>Spitäler</t>
  </si>
  <si>
    <t>Ospedali</t>
  </si>
  <si>
    <t>Industrie</t>
  </si>
  <si>
    <t>Lager</t>
  </si>
  <si>
    <t>Dépôts</t>
  </si>
  <si>
    <t>Magazzini</t>
  </si>
  <si>
    <t>Sportbauten</t>
  </si>
  <si>
    <t>Installations sportives</t>
  </si>
  <si>
    <t xml:space="preserve">Impianti sportivi </t>
  </si>
  <si>
    <t>Hallenbäder</t>
  </si>
  <si>
    <t>Piscines couvertes</t>
  </si>
  <si>
    <t>Piscine coperte</t>
  </si>
  <si>
    <t>Einsparungen (gesamte) [kWh]</t>
  </si>
  <si>
    <t>Économies (totales) [kWh]</t>
  </si>
  <si>
    <t>Risparmi (totali) [kWh]</t>
  </si>
  <si>
    <t>eindeutige Identifikation, die es ermöglicht, auf einer frei zugänglichen Website die Anforderungen in Tabelle 1 zu prüfen</t>
  </si>
  <si>
    <t>Identificazione univoca che consente di verificare i requisiti indicati nella tabella 1 su un sito web liberamente accessibile.</t>
  </si>
  <si>
    <t>Identification univoque permettant de vérifier les exigences du tableau 1 sur un site web librement accessible.</t>
  </si>
  <si>
    <t>Efficienza energetica</t>
  </si>
  <si>
    <t>Insérer ici le titre de la mesure</t>
  </si>
  <si>
    <t>Insérer ici le champ d'application</t>
  </si>
  <si>
    <t>Insérer ici la déscription</t>
  </si>
  <si>
    <t>Insérer ici un complément à la déscription (deuxième paragraphe)</t>
  </si>
  <si>
    <t>Insérer les modifications pour le tableau A (une ligne = une ligne dans le tableau A)</t>
  </si>
  <si>
    <t>Insérer ici les justificatifs qui ne figurent pas dans les lines 128 à 130</t>
  </si>
  <si>
    <t>Exigence 1 : alt</t>
  </si>
  <si>
    <t>Exigence 2 : neu</t>
  </si>
  <si>
    <t>Exigence 2 : alt</t>
  </si>
  <si>
    <t>Exigence 2 : titre</t>
  </si>
  <si>
    <t>Exigence 1 : titre</t>
  </si>
  <si>
    <t>Exigence 1 : neu</t>
  </si>
  <si>
    <t>Exigence 3 : titre</t>
  </si>
  <si>
    <t>Exigence 3 : alt</t>
  </si>
  <si>
    <t>Exigence 3 : neu</t>
  </si>
  <si>
    <t>Cacher les lines non-utilisées</t>
  </si>
  <si>
    <t>Explanation</t>
  </si>
  <si>
    <t>Les numéros du tableau peuvent être modifiées ici. Cacher les lines non-utilisées</t>
  </si>
  <si>
    <t xml:space="preserve">Si le premier justificatif doit être fourni lors de l'annonce : TRUE </t>
  </si>
  <si>
    <t>Adapter en fonction des numéros des justificatifs à fournir lors d'un contrôle (i.e. tous les autres)</t>
  </si>
  <si>
    <t>Modifier en fonction de la mesure</t>
  </si>
  <si>
    <t>Modifier en fonction de la version et la date de la modification (l'entrée s'affiche seulement si le texte est saisi dans Y)</t>
  </si>
  <si>
    <t>Insérer ici tous les titres spécifiques à la mesure</t>
  </si>
  <si>
    <t>Insérer ci-dessous les exigences avec des formulations différentes pour alt &amp; neu</t>
  </si>
  <si>
    <t>Insérer ci-dessous les exigences avec des formulations pour alt &amp; neu qui ne figurent pas dans les lines 120 à 123</t>
  </si>
  <si>
    <t>kW</t>
  </si>
  <si>
    <t>kWh/a</t>
  </si>
  <si>
    <t>Exemple SA</t>
  </si>
  <si>
    <t>alt</t>
  </si>
  <si>
    <t>neu</t>
  </si>
  <si>
    <t>Région géographique (≥ 800 m)</t>
  </si>
  <si>
    <t>Regione geografica (≥ 800 m)</t>
  </si>
  <si>
    <t>Alpensüdseite</t>
  </si>
  <si>
    <t>Sud des Alpes</t>
  </si>
  <si>
    <t>Westschweiz und Wallis</t>
  </si>
  <si>
    <t>Svizzera romanda e Vallese</t>
  </si>
  <si>
    <t>Deutschschweiz</t>
  </si>
  <si>
    <t>Suisse alémanique</t>
  </si>
  <si>
    <t>Svizzera tedesca</t>
  </si>
  <si>
    <t>Gekühlte Fläche</t>
  </si>
  <si>
    <t>Surface conditionnée</t>
  </si>
  <si>
    <t>Superficie raffreddata</t>
  </si>
  <si>
    <t>Nennkühlleistung</t>
  </si>
  <si>
    <t>Puissance de refroidissement nominale</t>
  </si>
  <si>
    <t>Capacità di raffreddamento nominale</t>
  </si>
  <si>
    <t>Modellkennzeichnung*</t>
  </si>
  <si>
    <t>Identification du modèle*</t>
  </si>
  <si>
    <t>Etichettatura del modello*</t>
  </si>
  <si>
    <t>Energieeffizienzklasse (Kühlen) von mindestens A+++</t>
  </si>
  <si>
    <t>Classe d’efficacité (refroidissement) minimale A+++</t>
  </si>
  <si>
    <t>Classe di efficienza energetica (raffreddamento) minima: A+++</t>
  </si>
  <si>
    <t>Aufstellungsort</t>
  </si>
  <si>
    <t>Die gekühlte Fläche des Gebäudes/Räume ohne Wohnnutzung muss 150 m2 oder kleiner sein und muss gemäss der Norm SIA 380:2015 ermittelt werden. Die Höhenlage des Gebäudes darf den Wert von 800 Meter über dem Meer nicht überschreit.</t>
  </si>
  <si>
    <t>Lieu d’installation</t>
  </si>
  <si>
    <t>Collocazione</t>
  </si>
  <si>
    <t>L’edificio o i locali a uso non abitativo devono avere una superficie raffreddata di al massimo 150 m2, da determinare conformemente alla norma SIA 380:2015. L’edificio non può essere situato al di sopra degli 800 m s.l.m.</t>
  </si>
  <si>
    <t>Dimensionierung</t>
  </si>
  <si>
    <t>Die gesamte installierte Nennkühlleistung des neuen Systems müssen kleiner oder gleich wie die gesamte installierte Nennkühlleistung des alten Systems sein.</t>
  </si>
  <si>
    <t>Dimensionnement</t>
  </si>
  <si>
    <t>La puissance nominale totale installée du nouveau système doit être inférieure ou égale à la puissance nominale totale installée de l’ancien système.</t>
  </si>
  <si>
    <t>Dimensionamento</t>
  </si>
  <si>
    <t>La potenza nominale di raffreddamento totale installata del nuovo sistema deve essere inferiore o uguale quella del vecchio sistema.</t>
  </si>
  <si>
    <t>Tabelle 3:  Stromeinsparungen</t>
  </si>
  <si>
    <t>Tableau 3: Économies d’électricité</t>
  </si>
  <si>
    <t>Tabella 3: Risparmio di elettricità</t>
  </si>
  <si>
    <t>Alpensüdseite, bis 50 m2</t>
  </si>
  <si>
    <t>Westschweiz und Wallis, bis 50 m2</t>
  </si>
  <si>
    <t>Deutschschweiz, bis 50 m2</t>
  </si>
  <si>
    <t>Alpensüdseite, 50 - 100 m2</t>
  </si>
  <si>
    <t>Westschweiz und Wallis, 50 - 100 m2</t>
  </si>
  <si>
    <t>Deutschschweiz, 50 - 100 m2</t>
  </si>
  <si>
    <t>Alpensüdseite, 100 - 150 m2</t>
  </si>
  <si>
    <t>Westschweiz und Wallis, 100 - 150 m2</t>
  </si>
  <si>
    <r>
      <t>Deutschschweiz, 100 - 150 m</t>
    </r>
    <r>
      <rPr>
        <vertAlign val="superscript"/>
        <sz val="9"/>
        <color theme="1"/>
        <rFont val="Arial"/>
        <family val="2"/>
      </rPr>
      <t>2</t>
    </r>
  </si>
  <si>
    <r>
      <t>Sud des Alpes, jusqu’à 50 m</t>
    </r>
    <r>
      <rPr>
        <vertAlign val="superscript"/>
        <sz val="9"/>
        <color theme="1"/>
        <rFont val="Arial"/>
        <family val="2"/>
      </rPr>
      <t>2</t>
    </r>
  </si>
  <si>
    <r>
      <t>Suisse alémanique, jusqu’à 50 m</t>
    </r>
    <r>
      <rPr>
        <vertAlign val="superscript"/>
        <sz val="9"/>
        <color theme="1"/>
        <rFont val="Arial"/>
        <family val="2"/>
      </rPr>
      <t>2</t>
    </r>
  </si>
  <si>
    <r>
      <t>Sud des Alpes, 50 - 100 m</t>
    </r>
    <r>
      <rPr>
        <vertAlign val="superscript"/>
        <sz val="9"/>
        <color theme="1"/>
        <rFont val="Arial"/>
        <family val="2"/>
      </rPr>
      <t>2</t>
    </r>
  </si>
  <si>
    <r>
      <t>Suisse alémanique, 50 - 100 m</t>
    </r>
    <r>
      <rPr>
        <vertAlign val="superscript"/>
        <sz val="9"/>
        <color theme="1"/>
        <rFont val="Arial"/>
        <family val="2"/>
      </rPr>
      <t>2</t>
    </r>
  </si>
  <si>
    <r>
      <t>Sud des Alpes, 100 - 150 m</t>
    </r>
    <r>
      <rPr>
        <vertAlign val="superscript"/>
        <sz val="9"/>
        <color theme="1"/>
        <rFont val="Arial"/>
        <family val="2"/>
      </rPr>
      <t>2</t>
    </r>
  </si>
  <si>
    <r>
      <t>Suisse alémanique, 100 - 150 m</t>
    </r>
    <r>
      <rPr>
        <vertAlign val="superscript"/>
        <sz val="9"/>
        <color theme="1"/>
        <rFont val="Arial"/>
        <family val="2"/>
      </rPr>
      <t>2</t>
    </r>
  </si>
  <si>
    <r>
      <t>Versante meridionale delle Alpi, fino a 50 m</t>
    </r>
    <r>
      <rPr>
        <vertAlign val="superscript"/>
        <sz val="9"/>
        <color theme="1"/>
        <rFont val="Arial"/>
        <family val="2"/>
      </rPr>
      <t>²</t>
    </r>
  </si>
  <si>
    <r>
      <t>Svizzera tedesca, fino a 50 m</t>
    </r>
    <r>
      <rPr>
        <vertAlign val="superscript"/>
        <sz val="9"/>
        <color theme="1"/>
        <rFont val="Arial"/>
        <family val="2"/>
      </rPr>
      <t>2</t>
    </r>
  </si>
  <si>
    <r>
      <t>Versante meridionale delle Alpi, 50–100 m</t>
    </r>
    <r>
      <rPr>
        <vertAlign val="superscript"/>
        <sz val="9"/>
        <color theme="1"/>
        <rFont val="Arial"/>
        <family val="2"/>
      </rPr>
      <t>2</t>
    </r>
  </si>
  <si>
    <r>
      <t>Svizzera tedesca, 50–100 m</t>
    </r>
    <r>
      <rPr>
        <vertAlign val="superscript"/>
        <sz val="9"/>
        <color theme="1"/>
        <rFont val="Arial"/>
        <family val="2"/>
      </rPr>
      <t>2</t>
    </r>
  </si>
  <si>
    <r>
      <t>Versante meridionale delle Alpi, 100–150 m</t>
    </r>
    <r>
      <rPr>
        <vertAlign val="superscript"/>
        <sz val="9"/>
        <color theme="1"/>
        <rFont val="Arial"/>
        <family val="2"/>
      </rPr>
      <t>2</t>
    </r>
  </si>
  <si>
    <r>
      <t>Svizzera tedesca, 100–150 m</t>
    </r>
    <r>
      <rPr>
        <vertAlign val="superscript"/>
        <sz val="9"/>
        <color theme="1"/>
        <rFont val="Arial"/>
        <family val="2"/>
      </rPr>
      <t>2</t>
    </r>
  </si>
  <si>
    <t>Energieeffizienzklasse im Kühlbetrieb</t>
  </si>
  <si>
    <t>Classe d’efficacité énergétique en mode refroidissement</t>
  </si>
  <si>
    <t>Classe di efficienza energetica in modalità di raffreddamento</t>
  </si>
  <si>
    <t>Alle Kategorien nur für Höhen unter 800 Meter über dem Meer</t>
  </si>
  <si>
    <t>Toutes les catégories uniquement pour les altitudes inférieures à 800 mètres au-dessus du niveau de la mer</t>
  </si>
  <si>
    <t>Tutte le categorie: solo per altitudini al di sotto degli 800 m s.l.m.</t>
  </si>
  <si>
    <t>Risparmio cumulativo di elettricità per tutta la durata dell’effetto della misura.</t>
  </si>
  <si>
    <t>Économies d’électricité cumulées sur la durée d’impact de la mesure</t>
  </si>
  <si>
    <t>kumulierte Stromeinsparungen über die Wirkungsdauer der Massnahme</t>
  </si>
  <si>
    <t>Alte Energieetikette***</t>
  </si>
  <si>
    <t>Ancienne étiquette énergétique***</t>
  </si>
  <si>
    <t>Vecchia etichettaEnergia***</t>
  </si>
  <si>
    <t>Anrechenbare Stromeinsparung** 
pro Energieeffizienzklasse
[kWh]</t>
  </si>
  <si>
    <t>Économies d’électricité comptabilisables** 
par classe d’efficacité énergétique
[kWh]</t>
  </si>
  <si>
    <t>Risparmio di elettricità computabile** 
per classe di efficienza energetica
[kWh]</t>
  </si>
  <si>
    <t>Nutzungskategorie*</t>
  </si>
  <si>
    <t>Catégorie d’affectation*</t>
  </si>
  <si>
    <t>Categoria di utilizzazione*</t>
  </si>
  <si>
    <t>KA-03a</t>
  </si>
  <si>
    <t>Komfortklima (Direktverdampfung)</t>
  </si>
  <si>
    <t>Komfortklima (Kälteträger)</t>
  </si>
  <si>
    <t>Pluskühlung</t>
  </si>
  <si>
    <t>Minuskühlung</t>
  </si>
  <si>
    <t>IT Server (21 °C)</t>
  </si>
  <si>
    <t>IT Server (28 °C)</t>
  </si>
  <si>
    <t>Prozesskälte</t>
  </si>
  <si>
    <t>Climatisation (évaporation directe)</t>
  </si>
  <si>
    <t>Climatisation (fluide frigorigène)</t>
  </si>
  <si>
    <t>Froid positif</t>
  </si>
  <si>
    <t>Froid négatif</t>
  </si>
  <si>
    <t>Serveur IT (21 °C)</t>
  </si>
  <si>
    <t>Serveur IT (28 °C)</t>
  </si>
  <si>
    <t>Refroidissement de processus</t>
  </si>
  <si>
    <t>Climatizzazione (evaporazione diretta)</t>
  </si>
  <si>
    <t>Climatizzazione (refrigerante)</t>
  </si>
  <si>
    <t>Raffreddamento positivo</t>
  </si>
  <si>
    <t>Refrigerazione</t>
  </si>
  <si>
    <t>Server IT (21 °C)</t>
  </si>
  <si>
    <t>Server IT (28 °C)</t>
  </si>
  <si>
    <t>Raffreddamento di processo</t>
  </si>
  <si>
    <t>Luft (Direktverdampfung)</t>
  </si>
  <si>
    <t>Air (évaporation directe)</t>
  </si>
  <si>
    <t>Aria (evaporazione diretta)</t>
  </si>
  <si>
    <t>Wasser (Rückkühler)</t>
  </si>
  <si>
    <t>Eau (aérorefroidisseur)</t>
  </si>
  <si>
    <t>Acqua (raffreddatore ad aria)</t>
  </si>
  <si>
    <t>Sauber</t>
  </si>
  <si>
    <t>Propre</t>
  </si>
  <si>
    <t>Pulito</t>
  </si>
  <si>
    <t>Verschmutzt</t>
  </si>
  <si>
    <t>Sale</t>
  </si>
  <si>
    <t>Sporco</t>
  </si>
  <si>
    <t>ID</t>
  </si>
  <si>
    <t>Demand</t>
  </si>
  <si>
    <t>A</t>
  </si>
  <si>
    <t>B</t>
  </si>
  <si>
    <t>C</t>
  </si>
  <si>
    <t>D'</t>
  </si>
  <si>
    <t>Free-Cooling 
(IT Server)</t>
  </si>
  <si>
    <t>use</t>
  </si>
  <si>
    <t>loc</t>
  </si>
  <si>
    <t>water</t>
  </si>
  <si>
    <t>dirty</t>
  </si>
  <si>
    <t>T FC</t>
  </si>
  <si>
    <t>BIN</t>
  </si>
  <si>
    <t>LO</t>
  </si>
  <si>
    <t>inter DT=5</t>
  </si>
  <si>
    <t>inter DT=10</t>
  </si>
  <si>
    <t>T0</t>
  </si>
  <si>
    <t>Tc_min</t>
  </si>
  <si>
    <t>dT_km</t>
  </si>
  <si>
    <t>dT_rk</t>
  </si>
  <si>
    <t>Q</t>
  </si>
  <si>
    <t>T pos</t>
  </si>
  <si>
    <t>Tpt</t>
  </si>
  <si>
    <t>Tc</t>
  </si>
  <si>
    <t>EER</t>
  </si>
  <si>
    <t>Etot</t>
  </si>
  <si>
    <t>°C</t>
  </si>
  <si>
    <t>K</t>
  </si>
  <si>
    <t>MWh</t>
  </si>
  <si>
    <t>h</t>
  </si>
  <si>
    <t>Beispielwerke AG</t>
  </si>
  <si>
    <t>Testweg 4</t>
  </si>
  <si>
    <t>Beispiel AG</t>
  </si>
  <si>
    <t>Testweg 5c</t>
  </si>
  <si>
    <t>x</t>
  </si>
  <si>
    <t>Entreprise ABC SA</t>
  </si>
  <si>
    <t>Chemin de l'Exemple 1</t>
  </si>
  <si>
    <t>NS</t>
  </si>
  <si>
    <t>Anlage</t>
  </si>
  <si>
    <t>Installation</t>
  </si>
  <si>
    <t>Impianto</t>
  </si>
  <si>
    <t>Anwendung</t>
  </si>
  <si>
    <t>Application</t>
  </si>
  <si>
    <t>Applicazione</t>
  </si>
  <si>
    <t>Wärmeträger</t>
  </si>
  <si>
    <t>Caloporteur</t>
  </si>
  <si>
    <t>Fluido di trasferimento del calore</t>
  </si>
  <si>
    <t>Auslegung: Kälteleistung</t>
  </si>
  <si>
    <t>Dimension.: puissance frigorifique</t>
  </si>
  <si>
    <t>Dimension.: capacità di raffreddamento</t>
  </si>
  <si>
    <t>Reinigung Rückkühler / Verflüssiger</t>
  </si>
  <si>
    <t>Nettoyage de l'aéroréfrigérant / condenseur</t>
  </si>
  <si>
    <t>Pulizia dell'unità Rooftop / condensatore</t>
  </si>
  <si>
    <t>Auslegung: Aussen-temperatur</t>
  </si>
  <si>
    <t>Dimension.: température extérieure</t>
  </si>
  <si>
    <t>Dimension.: temperatura esterna</t>
  </si>
  <si>
    <t xml:space="preserve">Reinigung von Verflüssigern und Rückkühlern </t>
  </si>
  <si>
    <t xml:space="preserve">Nettoyage des condensateurs et aérorefroidisseurs </t>
  </si>
  <si>
    <t xml:space="preserve">Pulizia di condensatori e raffreddatori </t>
  </si>
  <si>
    <t xml:space="preserve">Betriebsoptimierungen von Kälteanlagen durch Senkung der Verflüssigungstemperatur im Gewerbe-, Gebäude- und Dienstleistungsbereich. </t>
  </si>
  <si>
    <t xml:space="preserve">Optimisation du fonctionnement d’installations frigorifiques par la baisse de la température de condensation dans le domaine de l’industrie, du bâtiment et des services. </t>
  </si>
  <si>
    <t xml:space="preserve">Ottimizzazioni dell’esercizio di impianti di refrigerazione mediante riduzione della temperatura di condensazione nel settore commerciale, edilizio e dei servizi. </t>
  </si>
  <si>
    <t>Betriebsoptimierung von Kälteanlagen durch Senkung der Verflüssigungstemperatur durch die Reinigung von Verflüssiger und Rückkühler. Die Massnahme kann mit den anderen Massnahmen KA-03 kombiniert werden.</t>
  </si>
  <si>
    <t>Optimisation du fonctionnement d’installations frigorifiques par l’abaissement de la température de condensation grâce au nettoyage des condenseurs et aérorefroidisseurs. La mesure peut être combinée avec les autres mesures KA-03.</t>
  </si>
  <si>
    <t>Ottimizzazioni dell’esercizio di impianti di refrigerazione mediante riduzione della temperatura di condensazione tramite pulizia di condensatori e raffreddatori. Questa misura può essere abbinata alle altre misure KA-03.</t>
  </si>
  <si>
    <t>Wichtig</t>
  </si>
  <si>
    <t xml:space="preserve">Important </t>
  </si>
  <si>
    <t>Importante</t>
  </si>
  <si>
    <t>Diese Massnahme ist nicht für CO2-Kälteanlagen (R-744) und Kaskadenanlagen geeignet.</t>
  </si>
  <si>
    <t>Cette mesure ne s’applique pas aux installations frigorifiques au CO2 (R-744) et aux systèmes en cascade.</t>
  </si>
  <si>
    <t>la presente misura non è adatta a impianti di refrigerazione CO2 (R-744) e sistemi in cascata.</t>
  </si>
  <si>
    <t>Die Massnahme muss durch eine qualifizierte Fachperson / Unternehmen durchgeführt werden.</t>
  </si>
  <si>
    <t>La mesure doit être effectuée par une personne/entreprise qualifiée.</t>
  </si>
  <si>
    <t>La misura deve essere attuata da una persona specializzata o un’azienda qualificata.</t>
  </si>
  <si>
    <t>Netzbetriebene Kälteanlagen im Geltungsbereich der Anhänge 1.14 oder 2.11 EnEV (SR 730.02; EnEV) mit einer Nennkälteleistung bis zu:
   - 40 kW im Anwendungsbereich Pluskühlung
   - 30 kW im Anwendungsbereich Minuskühlung
   - 80 kW im Anwendungsbereich Komfortklima mit Direktverdampfer
   - 200 kW in den Anwendungsbereichen Komfortklima Kälteträger, IT-Server und Prozesskälte
Mit R-744 (CO2) betriebene Anlagen und alle Arten von Kaskadenanlagen sind ausgeschlossen.</t>
  </si>
  <si>
    <t>Installations frigorifiques alimentées par le secteur entrant dans le champ d’application des annexes 1.14 ou 2.11 OEEE (RS 730.02) d’une puissance nominale maximale de :
   - 40 kW dans le domaine du froid positif ;
   - 30 kW dans le domaine du froid négatif ;
   - 80 kW dans le domaine du froid de confort avec évaporateur direct ;
   - 200 kW dans les domaines du froid de confort avec frigoporteur, des serveurs informatiques et du refroidissement du processus.
Les installations au R-744 (CO2) et tous les types d’installations en cascade sont exclus.</t>
  </si>
  <si>
    <t>Impianti di refrigerazione alimentati dalla rete nel campo di applicazione degli allegati 1.14 o 2.11 OEEne (RS 730.02) con una potenza frigorifera nominale fino a:
   - 40 kW nel campo di applicazione raffreddamento a temperatura positiva
   - 30 kW nel campo di applicazione raffreddamento a temperatura negativa
   - 80 kW nel campo di applicazione climatizzazione comfort con evaporatore diretto
   - 200 kW nei campi di applicazione climatizzazione comfort tramite fluido di raffreddamento, server IT e freddo di processo
Gli impianti a R-744 (CO2) e ogni genere di sistemi in cascata sono esclusi.</t>
  </si>
  <si>
    <t>Gesperrtes Feld</t>
  </si>
  <si>
    <t>Hier können Sie den unternehmensinternen Dateinamen einfügen</t>
  </si>
  <si>
    <t>Champ d'application</t>
  </si>
  <si>
    <t>Les économies d’électricité comptabilisables de la mesure sont calculées en kilowattheures à l'aide de la liste de monitoring, en fonction des variables d'entrée définies. Des informations sur les hypothèses et la méthode de calcul figurent dans la documentation correspondante</t>
  </si>
  <si>
    <t>Il risparmio di elettricità computabile della misura è calcolato in kilowattora sulla base dell'elenco di monitoraggio, in funzione delle variabili di input definite. Per informazioni sulle ipotesi e sul metodo di calcolo, consultare la relativa documentazione</t>
  </si>
  <si>
    <r>
      <t>Suisse romande et Valais, 100 - 150 m</t>
    </r>
    <r>
      <rPr>
        <vertAlign val="superscript"/>
        <sz val="9"/>
        <color theme="1"/>
        <rFont val="Arial"/>
        <family val="2"/>
      </rPr>
      <t>2</t>
    </r>
  </si>
  <si>
    <r>
      <t>Suisse romande et Valais, 50 - 100 m</t>
    </r>
    <r>
      <rPr>
        <vertAlign val="superscript"/>
        <sz val="9"/>
        <color theme="1"/>
        <rFont val="Arial"/>
        <family val="2"/>
      </rPr>
      <t>2</t>
    </r>
  </si>
  <si>
    <r>
      <t>Svizzera romanda e Vallese, 50–100 m</t>
    </r>
    <r>
      <rPr>
        <vertAlign val="superscript"/>
        <sz val="9"/>
        <color theme="1"/>
        <rFont val="Arial"/>
        <family val="2"/>
      </rPr>
      <t>2</t>
    </r>
  </si>
  <si>
    <r>
      <t>Svizzera romanda e Vallese, 100–150 m</t>
    </r>
    <r>
      <rPr>
        <vertAlign val="superscript"/>
        <sz val="9"/>
        <color theme="1"/>
        <rFont val="Arial"/>
        <family val="2"/>
      </rPr>
      <t>2</t>
    </r>
  </si>
  <si>
    <r>
      <t>Svizzera romanda e Vallese, fino a 50 m</t>
    </r>
    <r>
      <rPr>
        <vertAlign val="superscript"/>
        <sz val="9"/>
        <color theme="1"/>
        <rFont val="Arial"/>
        <family val="2"/>
      </rPr>
      <t>²</t>
    </r>
  </si>
  <si>
    <r>
      <t>Suisse romande et Valais, jusqu’à 50 m</t>
    </r>
    <r>
      <rPr>
        <vertAlign val="superscript"/>
        <sz val="9"/>
        <color theme="1"/>
        <rFont val="Arial"/>
        <family val="2"/>
      </rPr>
      <t>2</t>
    </r>
  </si>
  <si>
    <t>Ajout d'un tableau récapitulatif des modifications entre les versions antécédentes</t>
  </si>
  <si>
    <t>définit le champ d'application et les exigences relatifs à la mise en œuvre de la mesure et les justificatifs. Aucune saisie n'est requise.</t>
  </si>
  <si>
    <t>résume les mesures annoncées par le présent protocole. Tous les champs de saisie doivent être remplis pour chaque mesure.</t>
  </si>
  <si>
    <t xml:space="preserve">Nur Massnahmen, welche die Anforderungen der Energieverordnung (SR 730.01; EnV) einhalten, können angerechnet werden. Die zusätzlichen Anforderungen an die technischen Eigenschaften sowie an die Umsetzung der Massnahme sind in der Tabelle 1 festgelegt. </t>
  </si>
  <si>
    <t>Die verbrauchsrelevanten Komponenten der alten Geräte dürfen innerhalb der Schweiz nicht weiterbetrieben werden. Die fachgerechte Entsorgung oder die Ausfuhr muss auf Anfrage nachgewiesen werden können.</t>
  </si>
  <si>
    <t>Les composants pertinents en matière de consommation énergétique des anciens appareils ne doivent plus être réutilisés en Suisse. L'élimination appropriée ou l'exportation doit pouvoir être prouvée sur demande.</t>
  </si>
  <si>
    <t>I componenti soggetti a consumo dei vecchi apparecchi non possono continuare a essere utilizzati in Svizzera. I documenti del corretto smaltimento o dell'esportazione devono essere dimostrati su richiesta.</t>
  </si>
  <si>
    <t>Versante meridionale delle Alpi</t>
  </si>
  <si>
    <t>Suisse romande et Valais</t>
  </si>
  <si>
    <t>Hôpitaux</t>
  </si>
  <si>
    <t>Efficacité énergétique</t>
  </si>
  <si>
    <t>La surface à refroidir du bâtiment/local sans usage d’habitation doit être inférieure ou égale à 150 m2 et calculée selon la norme SIA 380:2015. Le bâtiment doit se trouver à une altitude maximale de 800 mètres au-dessus du niveau de la mer.</t>
  </si>
  <si>
    <r>
      <t>Geografische Region (</t>
    </r>
    <r>
      <rPr>
        <sz val="10"/>
        <color theme="1"/>
        <rFont val="Arial"/>
        <family val="2"/>
      </rPr>
      <t xml:space="preserve">≥ </t>
    </r>
    <r>
      <rPr>
        <sz val="10"/>
        <color theme="1"/>
        <rFont val="Arial Narrow"/>
        <family val="2"/>
      </rPr>
      <t>800 m)</t>
    </r>
  </si>
  <si>
    <t>Champ verrouillé</t>
  </si>
  <si>
    <t>Diverse Layout Anpassungen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</si>
</sst>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mm/yyyy"/>
    <numFmt numFmtId="166" formatCode="#,##0.0"/>
  </numFmts>
  <fonts count="70"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u/>
      <sz val="11"/>
      <color theme="10"/>
      <name val="Calibri"/>
      <family val="2"/>
      <scheme val="minor"/>
    </font>
    <font>
      <b/>
      <sz val="10"/>
      <color theme="1"/>
      <name val="Arial Narrow"/>
      <family val="2"/>
    </font>
    <font>
      <sz val="10"/>
      <color theme="1"/>
      <name val="Arial Narrow"/>
      <family val="2"/>
    </font>
    <font>
      <u/>
      <sz val="10"/>
      <color theme="10"/>
      <name val="Arial Narrow"/>
      <family val="2"/>
    </font>
    <font>
      <i/>
      <sz val="9"/>
      <color theme="1"/>
      <name val="Arial"/>
      <family val="2"/>
    </font>
    <font>
      <sz val="10"/>
      <color theme="0"/>
      <name val="Arial"/>
      <family val="2"/>
    </font>
    <font>
      <b/>
      <sz val="11"/>
      <color theme="1"/>
      <name val="Arial"/>
      <family val="2"/>
    </font>
    <font>
      <sz val="11"/>
      <color theme="0"/>
      <name val="Arial"/>
      <family val="2"/>
    </font>
    <font>
      <sz val="9"/>
      <color theme="1"/>
      <name val="Arial"/>
      <family val="2"/>
    </font>
    <font>
      <i/>
      <sz val="10"/>
      <name val="Arial"/>
      <family val="2"/>
    </font>
    <font>
      <i/>
      <sz val="9"/>
      <color theme="0"/>
      <name val="Arial"/>
      <family val="2"/>
    </font>
    <font>
      <b/>
      <sz val="10"/>
      <name val="Arial"/>
      <family val="2"/>
    </font>
    <font>
      <sz val="10"/>
      <name val="Arial"/>
      <family val="2"/>
    </font>
    <font>
      <i/>
      <sz val="8"/>
      <color theme="1"/>
      <name val="Arial"/>
      <family val="2"/>
    </font>
    <font>
      <b/>
      <sz val="12"/>
      <name val="Arial"/>
      <family val="2"/>
    </font>
    <font>
      <sz val="8"/>
      <name val="Arial"/>
      <family val="2"/>
    </font>
    <font>
      <b/>
      <sz val="9"/>
      <color theme="1"/>
      <name val="Arial"/>
      <family val="2"/>
    </font>
    <font>
      <sz val="8"/>
      <name val="Calibri"/>
      <family val="2"/>
      <scheme val="minor"/>
    </font>
    <font>
      <sz val="8"/>
      <color theme="1"/>
      <name val="Arial"/>
      <family val="2"/>
    </font>
    <font>
      <b/>
      <sz val="8"/>
      <color rgb="FFFF0000"/>
      <name val="Arial"/>
      <family val="2"/>
    </font>
    <font>
      <sz val="8"/>
      <color rgb="FFFF0000"/>
      <name val="Arial"/>
      <family val="2"/>
    </font>
    <font>
      <b/>
      <sz val="11"/>
      <name val="Arial"/>
      <family val="2"/>
    </font>
    <font>
      <b/>
      <sz val="8"/>
      <name val="Arial"/>
      <family val="2"/>
    </font>
    <font>
      <b/>
      <sz val="16"/>
      <name val="Arial"/>
      <family val="2"/>
    </font>
    <font>
      <i/>
      <sz val="8"/>
      <name val="Arial"/>
      <family val="2"/>
    </font>
    <font>
      <sz val="14"/>
      <name val="Arial"/>
      <family val="2"/>
    </font>
    <font>
      <b/>
      <i/>
      <sz val="8"/>
      <color rgb="FFFF0000"/>
      <name val="Arial"/>
      <family val="2"/>
    </font>
    <font>
      <sz val="9"/>
      <name val="Arial"/>
      <family val="2"/>
    </font>
    <font>
      <sz val="7"/>
      <color theme="1"/>
      <name val="Arial"/>
      <family val="2"/>
    </font>
    <font>
      <sz val="7"/>
      <color theme="0"/>
      <name val="Arial"/>
      <family val="2"/>
    </font>
    <font>
      <b/>
      <sz val="7"/>
      <color theme="1"/>
      <name val="Arial"/>
      <family val="2"/>
    </font>
    <font>
      <b/>
      <sz val="9"/>
      <color rgb="FFFF0000"/>
      <name val="Arial"/>
      <family val="2"/>
    </font>
    <font>
      <i/>
      <sz val="7"/>
      <name val="Arial"/>
      <family val="2"/>
    </font>
    <font>
      <sz val="8"/>
      <color theme="0"/>
      <name val="Arial"/>
      <family val="2"/>
    </font>
    <font>
      <sz val="7"/>
      <name val="Arial"/>
      <family val="2"/>
    </font>
    <font>
      <sz val="9"/>
      <color theme="0"/>
      <name val="Arial"/>
      <family val="2"/>
    </font>
    <font>
      <sz val="9"/>
      <color theme="0"/>
      <name val="Arial Narrow"/>
      <family val="2"/>
    </font>
    <font>
      <i/>
      <sz val="9"/>
      <name val="Arial"/>
      <family val="2"/>
    </font>
    <font>
      <u/>
      <sz val="9"/>
      <color theme="10"/>
      <name val="Arial"/>
      <family val="2"/>
    </font>
    <font>
      <u/>
      <sz val="11"/>
      <color theme="10"/>
      <name val="Arial"/>
      <family val="2"/>
    </font>
    <font>
      <sz val="12"/>
      <color theme="0"/>
      <name val="Arial"/>
      <family val="2"/>
    </font>
    <font>
      <sz val="12"/>
      <color theme="1"/>
      <name val="Arial"/>
      <family val="2"/>
    </font>
    <font>
      <i/>
      <sz val="11"/>
      <color theme="1"/>
      <name val="Arial"/>
      <family val="2"/>
    </font>
    <font>
      <i/>
      <sz val="10"/>
      <color theme="1"/>
      <name val="Arial Narrow"/>
      <family val="2"/>
    </font>
    <font>
      <b/>
      <i/>
      <sz val="10"/>
      <color theme="1"/>
      <name val="Arial Narrow"/>
      <family val="2"/>
    </font>
    <font>
      <i/>
      <sz val="8"/>
      <color rgb="FFFF0000"/>
      <name val="Arial"/>
      <family val="2"/>
    </font>
    <font>
      <sz val="12"/>
      <name val="Arial"/>
      <family val="2"/>
    </font>
    <font>
      <b/>
      <sz val="9"/>
      <name val="Arial"/>
      <family val="2"/>
    </font>
    <font>
      <sz val="9"/>
      <color rgb="FFFF0000"/>
      <name val="Arial"/>
      <family val="2"/>
    </font>
    <font>
      <u/>
      <sz val="8"/>
      <color theme="10"/>
      <name val="Arial"/>
      <family val="2"/>
    </font>
    <font>
      <b/>
      <i/>
      <sz val="9"/>
      <color rgb="FFFF0000"/>
      <name val="Arial"/>
      <family val="2"/>
    </font>
    <font>
      <sz val="11"/>
      <color rgb="FFFF0000"/>
      <name val="Arial"/>
      <family val="2"/>
    </font>
    <font>
      <sz val="12"/>
      <color rgb="FFFF0000"/>
      <name val="Arial"/>
      <family val="2"/>
    </font>
    <font>
      <b/>
      <i/>
      <sz val="10"/>
      <color rgb="FFFF0000"/>
      <name val="Arial Narrow"/>
      <family val="2"/>
    </font>
    <font>
      <b/>
      <sz val="10"/>
      <name val="Arial Narrow"/>
      <family val="2"/>
    </font>
    <font>
      <i/>
      <sz val="10"/>
      <color theme="1"/>
      <name val="Arial"/>
      <family val="2"/>
    </font>
    <font>
      <sz val="14"/>
      <color theme="1"/>
      <name val="Arial"/>
      <family val="2"/>
    </font>
    <font>
      <u/>
      <sz val="10"/>
      <color theme="10"/>
      <name val="Arial"/>
      <family val="2"/>
    </font>
    <font>
      <sz val="11"/>
      <color theme="1"/>
      <name val="Calibri"/>
      <family val="2"/>
      <scheme val="minor"/>
    </font>
    <font>
      <vertAlign val="superscript"/>
      <sz val="9"/>
      <color theme="1"/>
      <name val="Arial"/>
      <family val="2"/>
    </font>
    <font>
      <b/>
      <sz val="10"/>
      <color theme="1"/>
      <name val="Arial"/>
      <family val="2"/>
    </font>
    <font>
      <b/>
      <i/>
      <sz val="10"/>
      <color rgb="FFFF0000"/>
      <name val="Arial"/>
      <family val="2"/>
    </font>
    <font>
      <b/>
      <sz val="14"/>
      <color theme="1"/>
      <name val="Arial"/>
      <family val="2"/>
    </font>
    <font>
      <b/>
      <sz val="9"/>
      <color rgb="FFCC3399"/>
      <name val="Arial"/>
      <family val="2"/>
    </font>
  </fonts>
  <fills count="1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66FF99"/>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FF66"/>
        <bgColor indexed="64"/>
      </patternFill>
    </fill>
    <fill>
      <patternFill patternType="solid">
        <fgColor rgb="FFFFFF99"/>
        <bgColor indexed="64"/>
      </patternFill>
    </fill>
    <fill>
      <patternFill patternType="solid">
        <fgColor theme="9"/>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right/>
      <top/>
      <bottom style="thin">
        <color indexed="64"/>
      </bottom>
      <diagonal/>
    </border>
    <border>
      <left/>
      <right style="hair">
        <color indexed="64"/>
      </right>
      <top style="thin">
        <color indexed="64"/>
      </top>
      <bottom style="hair">
        <color indexed="64"/>
      </bottom>
      <diagonal/>
    </border>
    <border>
      <left/>
      <right/>
      <top style="hair">
        <color indexed="64"/>
      </top>
      <bottom/>
      <diagonal/>
    </border>
    <border>
      <left/>
      <right style="hair">
        <color indexed="64"/>
      </right>
      <top style="hair">
        <color indexed="64"/>
      </top>
      <bottom style="thin">
        <color indexed="64"/>
      </bottom>
      <diagonal/>
    </border>
    <border>
      <left/>
      <right style="thin">
        <color indexed="64"/>
      </right>
      <top style="hair">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s>
  <cellStyleXfs count="5">
    <xf numFmtId="0" fontId="0" fillId="0" borderId="0"/>
    <xf numFmtId="0" fontId="6" fillId="0" borderId="0" applyNumberFormat="0" applyFill="0" applyBorder="0" applyAlignment="0" applyProtection="0"/>
    <xf numFmtId="0" fontId="18" fillId="0" borderId="0"/>
    <xf numFmtId="0" fontId="14" fillId="0" borderId="0"/>
    <xf numFmtId="9" fontId="64" fillId="0" borderId="0" applyFont="0" applyFill="0" applyBorder="0" applyAlignment="0" applyProtection="0"/>
  </cellStyleXfs>
  <cellXfs count="337">
    <xf numFmtId="0" fontId="0" fillId="0" borderId="0" xfId="0"/>
    <xf numFmtId="0" fontId="7" fillId="0" borderId="1" xfId="0" applyFont="1" applyBorder="1" applyAlignment="1">
      <alignment vertical="center"/>
    </xf>
    <xf numFmtId="0" fontId="8" fillId="0" borderId="0" xfId="0" applyFont="1"/>
    <xf numFmtId="0" fontId="8" fillId="0" borderId="1" xfId="0" applyFont="1" applyBorder="1"/>
    <xf numFmtId="14" fontId="8" fillId="0" borderId="0" xfId="0" applyNumberFormat="1" applyFont="1"/>
    <xf numFmtId="0" fontId="9" fillId="0" borderId="0" xfId="1" applyFont="1"/>
    <xf numFmtId="0" fontId="13" fillId="2" borderId="0" xfId="0" applyFont="1" applyFill="1" applyAlignment="1" applyProtection="1">
      <alignment horizontal="center"/>
      <protection hidden="1"/>
    </xf>
    <xf numFmtId="0" fontId="5" fillId="2" borderId="0" xfId="0" applyFont="1" applyFill="1" applyProtection="1">
      <protection hidden="1"/>
    </xf>
    <xf numFmtId="0" fontId="14" fillId="2" borderId="1"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protection hidden="1"/>
    </xf>
    <xf numFmtId="0" fontId="13" fillId="2" borderId="0" xfId="0" applyFont="1" applyFill="1" applyProtection="1">
      <protection hidden="1"/>
    </xf>
    <xf numFmtId="0" fontId="11" fillId="2" borderId="0" xfId="0" applyFont="1" applyFill="1" applyProtection="1">
      <protection hidden="1"/>
    </xf>
    <xf numFmtId="0" fontId="13" fillId="2" borderId="0" xfId="0" applyFont="1" applyFill="1" applyAlignment="1" applyProtection="1">
      <alignment horizontal="center" vertical="center"/>
      <protection hidden="1"/>
    </xf>
    <xf numFmtId="0" fontId="19" fillId="2" borderId="0" xfId="0" applyFont="1" applyFill="1" applyAlignment="1" applyProtection="1">
      <alignment horizontal="left" vertical="center" indent="1"/>
      <protection hidden="1"/>
    </xf>
    <xf numFmtId="0" fontId="21" fillId="2" borderId="0" xfId="0" applyFont="1" applyFill="1" applyAlignment="1" applyProtection="1">
      <alignment horizontal="left" vertical="center"/>
      <protection hidden="1"/>
    </xf>
    <xf numFmtId="0" fontId="13" fillId="2" borderId="0" xfId="0" applyFont="1" applyFill="1" applyAlignment="1" applyProtection="1">
      <alignment vertical="center"/>
      <protection hidden="1"/>
    </xf>
    <xf numFmtId="0" fontId="20" fillId="2" borderId="0" xfId="0" applyFont="1" applyFill="1" applyAlignment="1" applyProtection="1">
      <alignment horizontal="left" vertical="center"/>
      <protection hidden="1"/>
    </xf>
    <xf numFmtId="0" fontId="19" fillId="2" borderId="0" xfId="0" applyFont="1" applyFill="1" applyAlignment="1" applyProtection="1">
      <alignment horizontal="left" vertical="center"/>
      <protection hidden="1"/>
    </xf>
    <xf numFmtId="0" fontId="5" fillId="2" borderId="0" xfId="0" applyFont="1" applyFill="1" applyAlignment="1" applyProtection="1">
      <alignment vertical="center"/>
      <protection hidden="1"/>
    </xf>
    <xf numFmtId="0" fontId="14" fillId="0" borderId="1" xfId="3" applyBorder="1"/>
    <xf numFmtId="0" fontId="22" fillId="6" borderId="1" xfId="3" applyFont="1" applyFill="1" applyBorder="1"/>
    <xf numFmtId="164" fontId="7" fillId="0" borderId="1" xfId="0" applyNumberFormat="1" applyFont="1" applyBorder="1"/>
    <xf numFmtId="0" fontId="8" fillId="0" borderId="1" xfId="0" applyFont="1" applyBorder="1" applyAlignment="1">
      <alignment vertical="top" wrapText="1"/>
    </xf>
    <xf numFmtId="0" fontId="8" fillId="0" borderId="0" xfId="0" applyFont="1" applyAlignment="1">
      <alignment vertical="top" wrapText="1"/>
    </xf>
    <xf numFmtId="0" fontId="28" fillId="2" borderId="0" xfId="0" applyFont="1" applyFill="1" applyAlignment="1" applyProtection="1">
      <alignment vertical="center"/>
      <protection hidden="1"/>
    </xf>
    <xf numFmtId="0" fontId="24" fillId="2" borderId="0" xfId="0" applyFont="1" applyFill="1" applyAlignment="1" applyProtection="1">
      <alignment vertical="center"/>
      <protection hidden="1"/>
    </xf>
    <xf numFmtId="0" fontId="27" fillId="2" borderId="0" xfId="0" applyFont="1" applyFill="1" applyAlignment="1" applyProtection="1">
      <alignment vertical="center"/>
      <protection hidden="1"/>
    </xf>
    <xf numFmtId="0" fontId="7" fillId="6" borderId="1" xfId="0" applyFont="1" applyFill="1" applyBorder="1" applyAlignment="1">
      <alignment horizontal="center" vertical="top" wrapText="1"/>
    </xf>
    <xf numFmtId="0" fontId="11" fillId="2" borderId="0" xfId="0" applyFont="1" applyFill="1" applyAlignment="1" applyProtection="1">
      <alignment vertical="center"/>
      <protection hidden="1"/>
    </xf>
    <xf numFmtId="0" fontId="15" fillId="2" borderId="0" xfId="0" applyFont="1" applyFill="1" applyAlignment="1" applyProtection="1">
      <alignment vertical="center"/>
      <protection hidden="1"/>
    </xf>
    <xf numFmtId="0" fontId="29" fillId="2" borderId="0" xfId="0" applyFont="1" applyFill="1" applyAlignment="1" applyProtection="1">
      <alignment horizontal="center" vertical="center" wrapText="1"/>
      <protection hidden="1"/>
    </xf>
    <xf numFmtId="0" fontId="18" fillId="2" borderId="0" xfId="0" applyFont="1" applyFill="1" applyAlignment="1" applyProtection="1">
      <alignment horizontal="left" vertical="center" indent="1"/>
      <protection hidden="1"/>
    </xf>
    <xf numFmtId="14" fontId="18" fillId="2" borderId="0" xfId="0" applyNumberFormat="1" applyFont="1" applyFill="1" applyAlignment="1" applyProtection="1">
      <alignment horizontal="right" vertical="center" indent="1"/>
      <protection hidden="1"/>
    </xf>
    <xf numFmtId="0" fontId="35" fillId="2" borderId="0" xfId="0" applyFont="1" applyFill="1" applyAlignment="1" applyProtection="1">
      <alignment vertical="center"/>
      <protection hidden="1"/>
    </xf>
    <xf numFmtId="0" fontId="35" fillId="2" borderId="0" xfId="0" applyFont="1" applyFill="1" applyProtection="1">
      <protection hidden="1"/>
    </xf>
    <xf numFmtId="0" fontId="33" fillId="2" borderId="0" xfId="0" applyFont="1" applyFill="1" applyAlignment="1" applyProtection="1">
      <alignment horizontal="left" vertical="top" wrapText="1"/>
      <protection hidden="1"/>
    </xf>
    <xf numFmtId="0" fontId="21" fillId="2" borderId="0" xfId="0" applyFont="1" applyFill="1" applyAlignment="1" applyProtection="1">
      <alignment vertical="center"/>
      <protection hidden="1"/>
    </xf>
    <xf numFmtId="0" fontId="21" fillId="2" borderId="0" xfId="0" applyFont="1" applyFill="1" applyAlignment="1" applyProtection="1">
      <alignment horizontal="right" vertical="center"/>
      <protection hidden="1"/>
    </xf>
    <xf numFmtId="0" fontId="39" fillId="2" borderId="0" xfId="0" applyFont="1" applyFill="1" applyProtection="1">
      <protection hidden="1"/>
    </xf>
    <xf numFmtId="0" fontId="39" fillId="2" borderId="0" xfId="0" applyFont="1" applyFill="1" applyAlignment="1" applyProtection="1">
      <alignment horizontal="left"/>
      <protection hidden="1"/>
    </xf>
    <xf numFmtId="49" fontId="21" fillId="2" borderId="0" xfId="0" applyNumberFormat="1" applyFont="1" applyFill="1" applyAlignment="1" applyProtection="1">
      <alignment horizontal="right" vertical="center"/>
      <protection hidden="1"/>
    </xf>
    <xf numFmtId="14" fontId="21" fillId="2" borderId="0" xfId="0" applyNumberFormat="1" applyFont="1" applyFill="1" applyAlignment="1" applyProtection="1">
      <alignment horizontal="right" vertical="center"/>
      <protection hidden="1"/>
    </xf>
    <xf numFmtId="0" fontId="31" fillId="2" borderId="0" xfId="0" applyFont="1" applyFill="1" applyAlignment="1" applyProtection="1">
      <alignment horizontal="center"/>
      <protection hidden="1"/>
    </xf>
    <xf numFmtId="0" fontId="38" fillId="2" borderId="0" xfId="0" applyFont="1" applyFill="1" applyAlignment="1" applyProtection="1">
      <alignment vertical="center" wrapText="1"/>
      <protection hidden="1"/>
    </xf>
    <xf numFmtId="0" fontId="30" fillId="2" borderId="0" xfId="0" applyFont="1" applyFill="1" applyAlignment="1" applyProtection="1">
      <alignment horizontal="left" vertical="center" wrapText="1" indent="1"/>
      <protection hidden="1"/>
    </xf>
    <xf numFmtId="0" fontId="25" fillId="8" borderId="0" xfId="0" applyFont="1" applyFill="1" applyAlignment="1" applyProtection="1">
      <alignment horizontal="left" vertical="center" indent="1"/>
      <protection hidden="1"/>
    </xf>
    <xf numFmtId="0" fontId="25" fillId="3" borderId="0" xfId="0" applyFont="1" applyFill="1" applyAlignment="1" applyProtection="1">
      <alignment horizontal="center" vertical="center"/>
      <protection hidden="1"/>
    </xf>
    <xf numFmtId="0" fontId="4" fillId="0" borderId="0" xfId="0" applyFont="1" applyProtection="1">
      <protection hidden="1"/>
    </xf>
    <xf numFmtId="0" fontId="4" fillId="2" borderId="0" xfId="0" applyFont="1" applyFill="1" applyAlignment="1" applyProtection="1">
      <alignment vertical="center"/>
      <protection hidden="1"/>
    </xf>
    <xf numFmtId="0" fontId="34" fillId="2" borderId="0" xfId="0" applyFont="1" applyFill="1" applyAlignment="1" applyProtection="1">
      <alignment vertical="center"/>
      <protection hidden="1"/>
    </xf>
    <xf numFmtId="0" fontId="4" fillId="2" borderId="0" xfId="0" applyFont="1" applyFill="1" applyProtection="1">
      <protection hidden="1"/>
    </xf>
    <xf numFmtId="0" fontId="26" fillId="8" borderId="0" xfId="0" applyFont="1" applyFill="1" applyAlignment="1" applyProtection="1">
      <alignment horizontal="left" vertical="center" indent="1"/>
      <protection hidden="1"/>
    </xf>
    <xf numFmtId="0" fontId="26" fillId="8" borderId="0" xfId="0" applyFont="1" applyFill="1" applyAlignment="1" applyProtection="1">
      <alignment horizontal="left" vertical="center"/>
      <protection hidden="1"/>
    </xf>
    <xf numFmtId="0" fontId="26" fillId="9" borderId="0" xfId="0" applyFont="1" applyFill="1" applyAlignment="1" applyProtection="1">
      <alignment horizontal="center" vertical="center"/>
      <protection hidden="1"/>
    </xf>
    <xf numFmtId="0" fontId="26" fillId="3" borderId="0" xfId="0" applyFont="1" applyFill="1" applyAlignment="1" applyProtection="1">
      <alignment horizontal="center" vertical="center"/>
      <protection hidden="1"/>
    </xf>
    <xf numFmtId="0" fontId="4" fillId="0" borderId="0" xfId="0" applyFont="1" applyAlignment="1" applyProtection="1">
      <alignment vertical="center"/>
      <protection hidden="1"/>
    </xf>
    <xf numFmtId="0" fontId="36" fillId="2" borderId="0" xfId="0" applyFont="1" applyFill="1" applyProtection="1">
      <protection hidden="1"/>
    </xf>
    <xf numFmtId="0" fontId="34" fillId="2" borderId="0" xfId="0" applyFont="1" applyFill="1" applyProtection="1">
      <protection hidden="1"/>
    </xf>
    <xf numFmtId="0" fontId="32" fillId="3" borderId="0" xfId="0" applyFont="1" applyFill="1" applyAlignment="1" applyProtection="1">
      <alignment horizontal="center" vertical="center"/>
      <protection hidden="1"/>
    </xf>
    <xf numFmtId="0" fontId="26" fillId="8" borderId="0" xfId="0" applyFont="1" applyFill="1" applyAlignment="1" applyProtection="1">
      <alignment horizontal="left" vertical="center" wrapText="1" indent="1"/>
      <protection hidden="1"/>
    </xf>
    <xf numFmtId="0" fontId="26" fillId="9" borderId="0" xfId="0" applyFont="1" applyFill="1" applyAlignment="1" applyProtection="1">
      <alignment horizontal="center" vertical="center" wrapText="1"/>
      <protection hidden="1"/>
    </xf>
    <xf numFmtId="0" fontId="4" fillId="0" borderId="0" xfId="0" applyFont="1" applyAlignment="1" applyProtection="1">
      <alignment wrapText="1"/>
      <protection hidden="1"/>
    </xf>
    <xf numFmtId="0" fontId="24" fillId="4" borderId="16" xfId="0" applyFont="1" applyFill="1" applyBorder="1" applyAlignment="1" applyProtection="1">
      <alignment horizontal="center" vertical="center"/>
      <protection locked="0" hidden="1"/>
    </xf>
    <xf numFmtId="0" fontId="41" fillId="2" borderId="0" xfId="0" applyFont="1" applyFill="1" applyProtection="1">
      <protection hidden="1"/>
    </xf>
    <xf numFmtId="0" fontId="41" fillId="2" borderId="0" xfId="0" applyFont="1" applyFill="1" applyAlignment="1" applyProtection="1">
      <alignment horizontal="center"/>
      <protection hidden="1"/>
    </xf>
    <xf numFmtId="0" fontId="14" fillId="2" borderId="0" xfId="0" applyFont="1" applyFill="1" applyProtection="1">
      <protection hidden="1"/>
    </xf>
    <xf numFmtId="0" fontId="42" fillId="2" borderId="0" xfId="0" applyFont="1" applyFill="1" applyAlignment="1" applyProtection="1">
      <alignment horizontal="center" vertical="center"/>
      <protection hidden="1"/>
    </xf>
    <xf numFmtId="0" fontId="14" fillId="2" borderId="0" xfId="0" applyFont="1" applyFill="1" applyAlignment="1" applyProtection="1">
      <alignment horizontal="center"/>
      <protection hidden="1"/>
    </xf>
    <xf numFmtId="0" fontId="41" fillId="2" borderId="0" xfId="0" applyFont="1" applyFill="1" applyAlignment="1" applyProtection="1">
      <alignment vertical="center"/>
      <protection hidden="1"/>
    </xf>
    <xf numFmtId="0" fontId="10" fillId="2" borderId="0" xfId="0" applyFont="1" applyFill="1" applyAlignment="1" applyProtection="1">
      <alignment horizontal="left" vertical="center"/>
      <protection hidden="1"/>
    </xf>
    <xf numFmtId="0" fontId="14" fillId="2" borderId="0" xfId="0" applyFont="1" applyFill="1" applyAlignment="1" applyProtection="1">
      <alignment vertical="center"/>
      <protection hidden="1"/>
    </xf>
    <xf numFmtId="0" fontId="14" fillId="2" borderId="0" xfId="0" applyFont="1" applyFill="1" applyAlignment="1" applyProtection="1">
      <alignment horizontal="center" vertical="center"/>
      <protection hidden="1"/>
    </xf>
    <xf numFmtId="0" fontId="41" fillId="2" borderId="0" xfId="0" applyFont="1" applyFill="1" applyAlignment="1" applyProtection="1">
      <alignment horizontal="center" vertical="center"/>
      <protection hidden="1"/>
    </xf>
    <xf numFmtId="0" fontId="27" fillId="2" borderId="0" xfId="0" applyFont="1" applyFill="1" applyAlignment="1" applyProtection="1">
      <alignment horizontal="left" vertical="center"/>
      <protection hidden="1"/>
    </xf>
    <xf numFmtId="0" fontId="28" fillId="2" borderId="0" xfId="0" applyFont="1" applyFill="1" applyAlignment="1" applyProtection="1">
      <alignment horizontal="center" vertical="top" wrapText="1"/>
      <protection hidden="1"/>
    </xf>
    <xf numFmtId="0" fontId="30" fillId="2" borderId="26" xfId="0" applyFont="1" applyFill="1" applyBorder="1" applyAlignment="1" applyProtection="1">
      <alignment horizontal="left" vertical="center" wrapText="1" indent="1"/>
      <protection hidden="1"/>
    </xf>
    <xf numFmtId="0" fontId="5" fillId="0" borderId="0" xfId="0" applyFont="1" applyProtection="1">
      <protection hidden="1"/>
    </xf>
    <xf numFmtId="0" fontId="5" fillId="0" borderId="0" xfId="0" applyFont="1" applyAlignment="1" applyProtection="1">
      <alignment vertical="center"/>
      <protection hidden="1"/>
    </xf>
    <xf numFmtId="0" fontId="45" fillId="2" borderId="0" xfId="1" applyFont="1" applyFill="1" applyAlignment="1" applyProtection="1">
      <alignment horizontal="left" vertical="center" indent="1"/>
      <protection hidden="1"/>
    </xf>
    <xf numFmtId="0" fontId="46" fillId="2" borderId="0" xfId="0" applyFont="1" applyFill="1" applyProtection="1">
      <protection hidden="1"/>
    </xf>
    <xf numFmtId="0" fontId="47" fillId="2" borderId="0" xfId="0" applyFont="1" applyFill="1" applyProtection="1">
      <protection hidden="1"/>
    </xf>
    <xf numFmtId="0" fontId="46" fillId="2" borderId="0" xfId="0" applyFont="1" applyFill="1" applyAlignment="1" applyProtection="1">
      <alignment horizontal="center" vertical="center"/>
      <protection hidden="1"/>
    </xf>
    <xf numFmtId="0" fontId="47" fillId="0" borderId="0" xfId="0" applyFont="1" applyProtection="1">
      <protection hidden="1"/>
    </xf>
    <xf numFmtId="0" fontId="48" fillId="2" borderId="0" xfId="0" applyFont="1" applyFill="1" applyAlignment="1" applyProtection="1">
      <alignment horizontal="left" vertical="center" indent="1"/>
      <protection hidden="1"/>
    </xf>
    <xf numFmtId="0" fontId="8" fillId="9" borderId="0" xfId="0" applyFont="1" applyFill="1"/>
    <xf numFmtId="0" fontId="8" fillId="0" borderId="0" xfId="0" applyFont="1" applyAlignment="1">
      <alignment horizontal="center" vertical="top"/>
    </xf>
    <xf numFmtId="0" fontId="8" fillId="9" borderId="0" xfId="0" applyFont="1" applyFill="1" applyAlignment="1">
      <alignment horizontal="center" vertical="top"/>
    </xf>
    <xf numFmtId="0" fontId="8" fillId="12" borderId="1" xfId="0" applyFont="1" applyFill="1" applyBorder="1" applyAlignment="1">
      <alignment vertical="top" wrapText="1"/>
    </xf>
    <xf numFmtId="0" fontId="8" fillId="11" borderId="0" xfId="0" applyFont="1" applyFill="1"/>
    <xf numFmtId="0" fontId="8" fillId="11" borderId="0" xfId="0" applyFont="1" applyFill="1" applyAlignment="1">
      <alignment horizontal="center" vertical="top"/>
    </xf>
    <xf numFmtId="0" fontId="50" fillId="11" borderId="0" xfId="0" applyFont="1" applyFill="1" applyAlignment="1">
      <alignment horizontal="left" indent="1"/>
    </xf>
    <xf numFmtId="0" fontId="50" fillId="9" borderId="0" xfId="0" applyFont="1" applyFill="1" applyAlignment="1">
      <alignment horizontal="left" indent="1"/>
    </xf>
    <xf numFmtId="0" fontId="50" fillId="0" borderId="0" xfId="0" applyFont="1" applyAlignment="1">
      <alignment horizontal="left" indent="1"/>
    </xf>
    <xf numFmtId="0" fontId="50" fillId="5" borderId="0" xfId="0" applyFont="1" applyFill="1" applyAlignment="1">
      <alignment horizontal="left" indent="1"/>
    </xf>
    <xf numFmtId="0" fontId="8" fillId="5" borderId="0" xfId="0" applyFont="1" applyFill="1"/>
    <xf numFmtId="0" fontId="8" fillId="5" borderId="0" xfId="0" applyFont="1" applyFill="1" applyAlignment="1">
      <alignment horizontal="center" vertical="top"/>
    </xf>
    <xf numFmtId="0" fontId="49" fillId="11" borderId="0" xfId="0" applyFont="1" applyFill="1" applyAlignment="1">
      <alignment horizontal="left" vertical="top" indent="1"/>
    </xf>
    <xf numFmtId="0" fontId="7" fillId="0" borderId="1" xfId="0" applyFont="1" applyBorder="1" applyAlignment="1">
      <alignment vertical="top" wrapText="1"/>
    </xf>
    <xf numFmtId="0" fontId="49" fillId="0" borderId="1" xfId="0" applyFont="1" applyBorder="1" applyAlignment="1">
      <alignment vertical="top" wrapText="1"/>
    </xf>
    <xf numFmtId="0" fontId="43" fillId="2" borderId="0" xfId="0" applyFont="1" applyFill="1" applyAlignment="1" applyProtection="1">
      <alignment vertical="center"/>
      <protection hidden="1"/>
    </xf>
    <xf numFmtId="0" fontId="17" fillId="2" borderId="3" xfId="0" applyFont="1" applyFill="1" applyBorder="1" applyAlignment="1" applyProtection="1">
      <alignment vertical="center"/>
      <protection hidden="1"/>
    </xf>
    <xf numFmtId="0" fontId="11" fillId="2" borderId="3" xfId="0" applyFont="1" applyFill="1" applyBorder="1" applyProtection="1">
      <protection hidden="1"/>
    </xf>
    <xf numFmtId="0" fontId="4" fillId="2" borderId="3" xfId="0" applyFont="1" applyFill="1" applyBorder="1" applyProtection="1">
      <protection hidden="1"/>
    </xf>
    <xf numFmtId="0" fontId="36" fillId="2" borderId="0" xfId="0" applyFont="1" applyFill="1" applyAlignment="1" applyProtection="1">
      <alignment vertical="center"/>
      <protection hidden="1"/>
    </xf>
    <xf numFmtId="0" fontId="28" fillId="2" borderId="28" xfId="0" applyFont="1" applyFill="1" applyBorder="1" applyAlignment="1" applyProtection="1">
      <alignment horizontal="center" vertical="top" wrapText="1"/>
      <protection hidden="1"/>
    </xf>
    <xf numFmtId="0" fontId="28" fillId="2" borderId="12" xfId="0" applyFont="1" applyFill="1" applyBorder="1" applyAlignment="1" applyProtection="1">
      <alignment horizontal="center" vertical="top" wrapText="1"/>
      <protection hidden="1"/>
    </xf>
    <xf numFmtId="0" fontId="28" fillId="2" borderId="31" xfId="0" applyFont="1" applyFill="1" applyBorder="1" applyAlignment="1" applyProtection="1">
      <alignment horizontal="center" vertical="top" wrapText="1"/>
      <protection hidden="1"/>
    </xf>
    <xf numFmtId="0" fontId="28" fillId="2" borderId="25" xfId="0" applyFont="1" applyFill="1" applyBorder="1" applyAlignment="1" applyProtection="1">
      <alignment horizontal="center" vertical="top" wrapText="1"/>
      <protection hidden="1"/>
    </xf>
    <xf numFmtId="0" fontId="28" fillId="2" borderId="30" xfId="0" applyFont="1" applyFill="1" applyBorder="1" applyAlignment="1" applyProtection="1">
      <alignment horizontal="center" vertical="top" wrapText="1"/>
      <protection hidden="1"/>
    </xf>
    <xf numFmtId="0" fontId="28" fillId="2" borderId="11" xfId="0" applyFont="1" applyFill="1" applyBorder="1" applyAlignment="1" applyProtection="1">
      <alignment horizontal="center" vertical="top" wrapText="1"/>
      <protection hidden="1"/>
    </xf>
    <xf numFmtId="0" fontId="28" fillId="2" borderId="26" xfId="0" applyFont="1" applyFill="1" applyBorder="1" applyAlignment="1" applyProtection="1">
      <alignment horizontal="center" vertical="top" wrapText="1"/>
      <protection hidden="1"/>
    </xf>
    <xf numFmtId="0" fontId="28" fillId="2" borderId="32" xfId="0" applyFont="1" applyFill="1" applyBorder="1" applyAlignment="1" applyProtection="1">
      <alignment horizontal="center" vertical="top" wrapText="1"/>
      <protection hidden="1"/>
    </xf>
    <xf numFmtId="0" fontId="14" fillId="2" borderId="12" xfId="0" applyFont="1" applyFill="1" applyBorder="1" applyAlignment="1" applyProtection="1">
      <alignment horizontal="left" vertical="top" indent="1"/>
      <protection hidden="1"/>
    </xf>
    <xf numFmtId="0" fontId="53" fillId="2" borderId="2" xfId="0" applyFont="1" applyFill="1" applyBorder="1" applyAlignment="1" applyProtection="1">
      <alignment horizontal="left" vertical="top" wrapText="1" indent="1"/>
      <protection hidden="1"/>
    </xf>
    <xf numFmtId="0" fontId="53" fillId="2" borderId="3" xfId="0" applyFont="1" applyFill="1" applyBorder="1" applyAlignment="1" applyProtection="1">
      <alignment horizontal="center" vertical="top" wrapText="1"/>
      <protection hidden="1"/>
    </xf>
    <xf numFmtId="0" fontId="53" fillId="2" borderId="4" xfId="0" applyFont="1" applyFill="1" applyBorder="1" applyAlignment="1" applyProtection="1">
      <alignment horizontal="center" vertical="top" wrapText="1"/>
      <protection hidden="1"/>
    </xf>
    <xf numFmtId="0" fontId="53" fillId="2" borderId="12" xfId="0" applyFont="1" applyFill="1" applyBorder="1" applyAlignment="1" applyProtection="1">
      <alignment horizontal="left" vertical="top" wrapText="1" indent="1"/>
      <protection hidden="1"/>
    </xf>
    <xf numFmtId="0" fontId="53" fillId="2" borderId="0" xfId="0" applyFont="1" applyFill="1" applyAlignment="1" applyProtection="1">
      <alignment horizontal="center" vertical="top" wrapText="1"/>
      <protection hidden="1"/>
    </xf>
    <xf numFmtId="0" fontId="53" fillId="2" borderId="31" xfId="0" applyFont="1" applyFill="1" applyBorder="1" applyAlignment="1" applyProtection="1">
      <alignment horizontal="center" vertical="top" wrapText="1"/>
      <protection hidden="1"/>
    </xf>
    <xf numFmtId="0" fontId="53" fillId="2" borderId="25" xfId="0" applyFont="1" applyFill="1" applyBorder="1" applyAlignment="1" applyProtection="1">
      <alignment horizontal="left" vertical="top" wrapText="1" indent="1"/>
      <protection hidden="1"/>
    </xf>
    <xf numFmtId="0" fontId="53" fillId="2" borderId="28" xfId="0" applyFont="1" applyFill="1" applyBorder="1" applyAlignment="1" applyProtection="1">
      <alignment horizontal="center" vertical="top" wrapText="1"/>
      <protection hidden="1"/>
    </xf>
    <xf numFmtId="0" fontId="53" fillId="2" borderId="30" xfId="0" applyFont="1" applyFill="1" applyBorder="1" applyAlignment="1" applyProtection="1">
      <alignment horizontal="center" vertical="top" wrapText="1"/>
      <protection hidden="1"/>
    </xf>
    <xf numFmtId="0" fontId="51" fillId="3" borderId="0" xfId="0" applyFont="1" applyFill="1" applyAlignment="1" applyProtection="1">
      <alignment horizontal="center" vertical="center"/>
      <protection hidden="1"/>
    </xf>
    <xf numFmtId="0" fontId="7" fillId="12" borderId="1" xfId="0" applyFont="1" applyFill="1" applyBorder="1" applyAlignment="1">
      <alignment vertical="top" wrapText="1"/>
    </xf>
    <xf numFmtId="0" fontId="22" fillId="4" borderId="36" xfId="0" applyFont="1" applyFill="1" applyBorder="1" applyAlignment="1" applyProtection="1">
      <alignment horizontal="center" vertical="center"/>
      <protection hidden="1"/>
    </xf>
    <xf numFmtId="0" fontId="22" fillId="2" borderId="36" xfId="0" applyFont="1" applyFill="1" applyBorder="1" applyAlignment="1" applyProtection="1">
      <alignment horizontal="center" vertical="center"/>
      <protection hidden="1"/>
    </xf>
    <xf numFmtId="0" fontId="14" fillId="3" borderId="36" xfId="0" applyFont="1" applyFill="1" applyBorder="1" applyAlignment="1" applyProtection="1">
      <alignment horizontal="right" vertical="center" indent="1"/>
      <protection hidden="1"/>
    </xf>
    <xf numFmtId="0" fontId="22" fillId="7" borderId="37" xfId="0" applyFont="1" applyFill="1" applyBorder="1" applyAlignment="1" applyProtection="1">
      <alignment horizontal="center" vertical="center"/>
      <protection hidden="1"/>
    </xf>
    <xf numFmtId="0" fontId="14" fillId="0" borderId="0" xfId="0" applyFont="1" applyAlignment="1" applyProtection="1">
      <alignment vertical="center"/>
      <protection hidden="1"/>
    </xf>
    <xf numFmtId="0" fontId="14" fillId="2" borderId="0" xfId="0" applyFont="1" applyFill="1" applyAlignment="1" applyProtection="1">
      <alignment horizontal="left" vertical="center" indent="1"/>
      <protection hidden="1"/>
    </xf>
    <xf numFmtId="49" fontId="14" fillId="2" borderId="0" xfId="0" applyNumberFormat="1" applyFont="1" applyFill="1" applyAlignment="1" applyProtection="1">
      <alignment horizontal="left" vertical="center" indent="1"/>
      <protection hidden="1"/>
    </xf>
    <xf numFmtId="0" fontId="14" fillId="2" borderId="0" xfId="0" applyFont="1" applyFill="1" applyAlignment="1" applyProtection="1">
      <alignment horizontal="left" vertical="center" wrapText="1" indent="1"/>
      <protection hidden="1"/>
    </xf>
    <xf numFmtId="164" fontId="26" fillId="9" borderId="0" xfId="0" applyNumberFormat="1" applyFont="1" applyFill="1" applyAlignment="1" applyProtection="1">
      <alignment horizontal="left" vertical="center" indent="1"/>
      <protection hidden="1"/>
    </xf>
    <xf numFmtId="0" fontId="24" fillId="2" borderId="0" xfId="0" applyFont="1" applyFill="1" applyAlignment="1" applyProtection="1">
      <alignment horizontal="left"/>
      <protection hidden="1"/>
    </xf>
    <xf numFmtId="0" fontId="24" fillId="2" borderId="0" xfId="0" applyFont="1" applyFill="1" applyAlignment="1" applyProtection="1">
      <alignment horizontal="right" vertical="center" indent="1"/>
      <protection hidden="1"/>
    </xf>
    <xf numFmtId="0" fontId="14" fillId="6" borderId="9" xfId="0" applyFont="1" applyFill="1" applyBorder="1" applyAlignment="1" applyProtection="1">
      <alignment horizontal="center" vertical="center"/>
      <protection hidden="1"/>
    </xf>
    <xf numFmtId="0" fontId="14" fillId="6" borderId="1" xfId="0" applyFont="1" applyFill="1" applyBorder="1" applyAlignment="1" applyProtection="1">
      <alignment horizontal="left" vertical="center" indent="1"/>
      <protection hidden="1"/>
    </xf>
    <xf numFmtId="0" fontId="24" fillId="2" borderId="0" xfId="0" applyFont="1" applyFill="1" applyAlignment="1" applyProtection="1">
      <alignment horizontal="left" indent="1"/>
      <protection hidden="1"/>
    </xf>
    <xf numFmtId="0" fontId="24" fillId="2" borderId="0" xfId="0" applyFont="1" applyFill="1" applyAlignment="1" applyProtection="1">
      <alignment horizontal="right" vertical="center"/>
      <protection hidden="1"/>
    </xf>
    <xf numFmtId="0" fontId="14" fillId="2" borderId="13" xfId="0" applyFont="1" applyFill="1" applyBorder="1" applyAlignment="1" applyProtection="1">
      <alignment horizontal="left" vertical="center" indent="1"/>
      <protection hidden="1"/>
    </xf>
    <xf numFmtId="0" fontId="14" fillId="2" borderId="14" xfId="0" applyFont="1" applyFill="1" applyBorder="1" applyAlignment="1" applyProtection="1">
      <alignment vertical="center"/>
      <protection hidden="1"/>
    </xf>
    <xf numFmtId="0" fontId="14" fillId="2" borderId="18" xfId="0" applyFont="1" applyFill="1" applyBorder="1" applyAlignment="1" applyProtection="1">
      <alignment horizontal="left" vertical="center" indent="1"/>
      <protection hidden="1"/>
    </xf>
    <xf numFmtId="0" fontId="14" fillId="2" borderId="19" xfId="0" applyFont="1" applyFill="1" applyBorder="1" applyAlignment="1" applyProtection="1">
      <alignment vertical="center"/>
      <protection hidden="1"/>
    </xf>
    <xf numFmtId="0" fontId="54" fillId="2" borderId="0" xfId="0" applyFont="1" applyFill="1" applyAlignment="1" applyProtection="1">
      <alignment horizontal="center" vertical="center"/>
      <protection hidden="1"/>
    </xf>
    <xf numFmtId="0" fontId="19" fillId="2" borderId="0" xfId="0" applyFont="1" applyFill="1" applyAlignment="1" applyProtection="1">
      <alignment horizontal="left" indent="1"/>
      <protection hidden="1"/>
    </xf>
    <xf numFmtId="0" fontId="51" fillId="2" borderId="0" xfId="0" applyFont="1" applyFill="1" applyAlignment="1" applyProtection="1">
      <alignment horizontal="left" indent="1"/>
      <protection hidden="1"/>
    </xf>
    <xf numFmtId="165" fontId="26" fillId="9" borderId="0" xfId="0" applyNumberFormat="1" applyFont="1" applyFill="1" applyAlignment="1" applyProtection="1">
      <alignment horizontal="left" vertical="center" indent="1"/>
      <protection hidden="1"/>
    </xf>
    <xf numFmtId="0" fontId="14" fillId="2" borderId="12" xfId="0" applyFont="1" applyFill="1" applyBorder="1" applyAlignment="1" applyProtection="1">
      <alignment horizontal="left" vertical="center" indent="1"/>
      <protection hidden="1"/>
    </xf>
    <xf numFmtId="0" fontId="14" fillId="2" borderId="24" xfId="0" applyFont="1" applyFill="1" applyBorder="1" applyAlignment="1" applyProtection="1">
      <alignment vertical="center"/>
      <protection hidden="1"/>
    </xf>
    <xf numFmtId="165" fontId="14" fillId="2" borderId="14" xfId="0" applyNumberFormat="1" applyFont="1" applyFill="1" applyBorder="1" applyAlignment="1" applyProtection="1">
      <alignment horizontal="center" vertical="center" wrapText="1"/>
      <protection hidden="1"/>
    </xf>
    <xf numFmtId="165" fontId="14" fillId="2" borderId="16" xfId="0" applyNumberFormat="1" applyFont="1" applyFill="1" applyBorder="1" applyAlignment="1" applyProtection="1">
      <alignment horizontal="center" vertical="center" wrapText="1"/>
      <protection hidden="1"/>
    </xf>
    <xf numFmtId="165" fontId="14" fillId="2" borderId="19" xfId="0" applyNumberFormat="1" applyFont="1" applyFill="1" applyBorder="1" applyAlignment="1" applyProtection="1">
      <alignment horizontal="center" vertical="center" wrapText="1"/>
      <protection hidden="1"/>
    </xf>
    <xf numFmtId="0" fontId="33" fillId="2" borderId="0" xfId="0" applyFont="1" applyFill="1" applyAlignment="1" applyProtection="1">
      <alignment horizontal="left" vertical="center" wrapText="1"/>
      <protection hidden="1"/>
    </xf>
    <xf numFmtId="3" fontId="14" fillId="2" borderId="0" xfId="0" applyNumberFormat="1" applyFont="1" applyFill="1" applyAlignment="1" applyProtection="1">
      <alignment horizontal="left" vertical="center" indent="1"/>
      <protection hidden="1"/>
    </xf>
    <xf numFmtId="0" fontId="19" fillId="2" borderId="3" xfId="0" applyFont="1" applyFill="1" applyBorder="1" applyAlignment="1" applyProtection="1">
      <alignment horizontal="left" vertical="center"/>
      <protection hidden="1"/>
    </xf>
    <xf numFmtId="0" fontId="37" fillId="2" borderId="0" xfId="0" applyFont="1" applyFill="1" applyAlignment="1" applyProtection="1">
      <alignment horizontal="left" vertical="center" indent="1"/>
      <protection hidden="1"/>
    </xf>
    <xf numFmtId="0" fontId="22" fillId="12" borderId="43" xfId="0" applyFont="1" applyFill="1" applyBorder="1" applyAlignment="1" applyProtection="1">
      <alignment horizontal="center" vertical="center"/>
      <protection hidden="1"/>
    </xf>
    <xf numFmtId="0" fontId="22" fillId="13" borderId="35" xfId="0" applyFont="1" applyFill="1" applyBorder="1" applyAlignment="1" applyProtection="1">
      <alignment horizontal="center" vertical="center"/>
      <protection hidden="1"/>
    </xf>
    <xf numFmtId="0" fontId="56" fillId="2" borderId="0" xfId="0" applyFont="1" applyFill="1" applyAlignment="1" applyProtection="1">
      <alignment horizontal="left" vertical="center"/>
      <protection hidden="1"/>
    </xf>
    <xf numFmtId="0" fontId="25" fillId="8" borderId="0" xfId="0" applyFont="1" applyFill="1" applyAlignment="1" applyProtection="1">
      <alignment horizontal="center" vertical="center"/>
      <protection hidden="1"/>
    </xf>
    <xf numFmtId="0" fontId="57" fillId="8" borderId="0" xfId="0" applyFont="1" applyFill="1" applyProtection="1">
      <protection hidden="1"/>
    </xf>
    <xf numFmtId="0" fontId="57" fillId="8" borderId="0" xfId="0" applyFont="1" applyFill="1" applyAlignment="1" applyProtection="1">
      <alignment vertical="center"/>
      <protection hidden="1"/>
    </xf>
    <xf numFmtId="0" fontId="58" fillId="8" borderId="0" xfId="0" applyFont="1" applyFill="1" applyProtection="1">
      <protection hidden="1"/>
    </xf>
    <xf numFmtId="0" fontId="22" fillId="2" borderId="0" xfId="0" applyFont="1" applyFill="1" applyAlignment="1" applyProtection="1">
      <alignment horizontal="left" indent="2"/>
      <protection hidden="1"/>
    </xf>
    <xf numFmtId="0" fontId="5" fillId="2" borderId="0" xfId="0" applyFont="1" applyFill="1" applyAlignment="1" applyProtection="1">
      <alignment horizontal="left" indent="1"/>
      <protection hidden="1"/>
    </xf>
    <xf numFmtId="0" fontId="25" fillId="9" borderId="0" xfId="0" applyFont="1" applyFill="1" applyAlignment="1" applyProtection="1">
      <alignment horizontal="left" vertical="center" indent="1"/>
      <protection hidden="1"/>
    </xf>
    <xf numFmtId="0" fontId="5" fillId="9" borderId="0" xfId="0" applyFont="1" applyFill="1" applyProtection="1">
      <protection hidden="1"/>
    </xf>
    <xf numFmtId="0" fontId="4" fillId="9" borderId="0" xfId="0" applyFont="1" applyFill="1" applyProtection="1">
      <protection hidden="1"/>
    </xf>
    <xf numFmtId="0" fontId="5" fillId="9" borderId="0" xfId="0" applyFont="1" applyFill="1" applyAlignment="1" applyProtection="1">
      <alignment vertical="center"/>
      <protection hidden="1"/>
    </xf>
    <xf numFmtId="0" fontId="47" fillId="9" borderId="0" xfId="0" applyFont="1" applyFill="1" applyProtection="1">
      <protection hidden="1"/>
    </xf>
    <xf numFmtId="0" fontId="25" fillId="7" borderId="0" xfId="0" applyFont="1" applyFill="1" applyAlignment="1" applyProtection="1">
      <alignment horizontal="left" vertical="center" indent="1"/>
      <protection hidden="1"/>
    </xf>
    <xf numFmtId="0" fontId="25" fillId="10" borderId="0" xfId="0" applyFont="1" applyFill="1" applyAlignment="1" applyProtection="1">
      <alignment horizontal="left" vertical="center" indent="1"/>
      <protection hidden="1"/>
    </xf>
    <xf numFmtId="164" fontId="14" fillId="2" borderId="13" xfId="0" applyNumberFormat="1" applyFont="1" applyFill="1" applyBorder="1" applyAlignment="1" applyProtection="1">
      <alignment horizontal="center" vertical="center" wrapText="1"/>
      <protection hidden="1"/>
    </xf>
    <xf numFmtId="164" fontId="14" fillId="2" borderId="15" xfId="0" applyNumberFormat="1" applyFont="1" applyFill="1" applyBorder="1" applyAlignment="1" applyProtection="1">
      <alignment horizontal="center" vertical="center" wrapText="1"/>
      <protection hidden="1"/>
    </xf>
    <xf numFmtId="164" fontId="14" fillId="2" borderId="18" xfId="0" applyNumberFormat="1" applyFont="1" applyFill="1" applyBorder="1" applyAlignment="1" applyProtection="1">
      <alignment horizontal="center" vertical="center" wrapText="1"/>
      <protection hidden="1"/>
    </xf>
    <xf numFmtId="0" fontId="25" fillId="9" borderId="0" xfId="0" applyFont="1" applyFill="1" applyAlignment="1" applyProtection="1">
      <alignment horizontal="left" vertical="center" wrapText="1" indent="1"/>
      <protection hidden="1"/>
    </xf>
    <xf numFmtId="164" fontId="25" fillId="9" borderId="0" xfId="0" applyNumberFormat="1" applyFont="1" applyFill="1" applyAlignment="1" applyProtection="1">
      <alignment horizontal="left" vertical="center" indent="1"/>
      <protection hidden="1"/>
    </xf>
    <xf numFmtId="165" fontId="25" fillId="7" borderId="0" xfId="0" applyNumberFormat="1" applyFont="1" applyFill="1" applyAlignment="1" applyProtection="1">
      <alignment horizontal="left" vertical="center" wrapText="1" indent="1"/>
      <protection hidden="1"/>
    </xf>
    <xf numFmtId="164" fontId="25" fillId="10" borderId="0" xfId="0" applyNumberFormat="1" applyFont="1" applyFill="1" applyAlignment="1" applyProtection="1">
      <alignment horizontal="left" vertical="center" indent="1"/>
      <protection hidden="1"/>
    </xf>
    <xf numFmtId="0" fontId="25" fillId="7" borderId="0" xfId="0" applyFont="1" applyFill="1" applyAlignment="1" applyProtection="1">
      <alignment horizontal="center" vertical="center"/>
      <protection hidden="1"/>
    </xf>
    <xf numFmtId="0" fontId="25" fillId="9" borderId="0" xfId="0" applyFont="1" applyFill="1" applyAlignment="1" applyProtection="1">
      <alignment horizontal="center" vertical="center" wrapText="1"/>
      <protection hidden="1"/>
    </xf>
    <xf numFmtId="0" fontId="30" fillId="2" borderId="0" xfId="0" applyFont="1" applyFill="1" applyAlignment="1" applyProtection="1">
      <alignment horizontal="left" vertical="top" indent="1"/>
      <protection hidden="1"/>
    </xf>
    <xf numFmtId="0" fontId="59" fillId="11" borderId="0" xfId="0" applyFont="1" applyFill="1" applyAlignment="1">
      <alignment horizontal="left" vertical="top" indent="1"/>
    </xf>
    <xf numFmtId="0" fontId="59" fillId="11" borderId="0" xfId="0" applyFont="1" applyFill="1" applyAlignment="1">
      <alignment horizontal="left" vertical="top" wrapText="1" indent="1"/>
    </xf>
    <xf numFmtId="0" fontId="7" fillId="11" borderId="0" xfId="0" applyFont="1" applyFill="1" applyAlignment="1">
      <alignment horizontal="center" vertical="top"/>
    </xf>
    <xf numFmtId="0" fontId="60" fillId="11" borderId="0" xfId="0" applyFont="1" applyFill="1" applyAlignment="1">
      <alignment horizontal="center" vertical="top"/>
    </xf>
    <xf numFmtId="0" fontId="59" fillId="9" borderId="0" xfId="0" applyFont="1" applyFill="1" applyAlignment="1">
      <alignment horizontal="left" wrapText="1" indent="1"/>
    </xf>
    <xf numFmtId="0" fontId="59" fillId="11" borderId="0" xfId="0" applyFont="1" applyFill="1" applyAlignment="1">
      <alignment horizontal="left" vertical="center" wrapText="1" indent="1"/>
    </xf>
    <xf numFmtId="0" fontId="32" fillId="7" borderId="0" xfId="0" applyFont="1" applyFill="1" applyAlignment="1" applyProtection="1">
      <alignment horizontal="center" vertical="center" wrapText="1"/>
      <protection hidden="1"/>
    </xf>
    <xf numFmtId="0" fontId="32" fillId="7" borderId="0" xfId="0" applyFont="1" applyFill="1" applyAlignment="1" applyProtection="1">
      <alignment horizontal="left" vertical="center" wrapText="1" indent="1"/>
      <protection hidden="1"/>
    </xf>
    <xf numFmtId="0" fontId="25" fillId="2" borderId="0" xfId="0" applyFont="1" applyFill="1" applyAlignment="1" applyProtection="1">
      <alignment horizontal="left" vertical="center" indent="1"/>
      <protection hidden="1"/>
    </xf>
    <xf numFmtId="0" fontId="59" fillId="5" borderId="0" xfId="0" applyFont="1" applyFill="1" applyAlignment="1">
      <alignment horizontal="left" wrapText="1" indent="1"/>
    </xf>
    <xf numFmtId="0" fontId="5" fillId="2" borderId="0" xfId="0" applyFont="1" applyFill="1" applyAlignment="1" applyProtection="1">
      <alignment horizontal="center"/>
      <protection hidden="1"/>
    </xf>
    <xf numFmtId="0" fontId="12" fillId="2" borderId="5" xfId="0" applyFont="1" applyFill="1" applyBorder="1" applyAlignment="1" applyProtection="1">
      <alignment horizontal="left" vertical="center" indent="1"/>
      <protection hidden="1"/>
    </xf>
    <xf numFmtId="0" fontId="12" fillId="2" borderId="9" xfId="0" applyFont="1" applyFill="1" applyBorder="1" applyAlignment="1" applyProtection="1">
      <alignment horizontal="left" vertical="center" indent="1"/>
      <protection hidden="1"/>
    </xf>
    <xf numFmtId="0" fontId="12" fillId="2" borderId="9" xfId="0" applyFont="1" applyFill="1" applyBorder="1" applyAlignment="1" applyProtection="1">
      <alignment vertical="center" wrapText="1"/>
      <protection hidden="1"/>
    </xf>
    <xf numFmtId="0" fontId="12" fillId="2" borderId="10" xfId="0" applyFont="1" applyFill="1" applyBorder="1" applyAlignment="1" applyProtection="1">
      <alignment vertical="center" wrapText="1"/>
      <protection hidden="1"/>
    </xf>
    <xf numFmtId="0" fontId="12" fillId="2" borderId="3" xfId="0" applyFont="1" applyFill="1" applyBorder="1" applyAlignment="1" applyProtection="1">
      <alignment vertical="center" wrapText="1"/>
      <protection hidden="1"/>
    </xf>
    <xf numFmtId="0" fontId="12" fillId="2" borderId="2" xfId="0" applyFont="1" applyFill="1" applyBorder="1" applyAlignment="1" applyProtection="1">
      <alignment horizontal="left" vertical="center" indent="1"/>
      <protection hidden="1"/>
    </xf>
    <xf numFmtId="0" fontId="62" fillId="0" borderId="0" xfId="0" applyFont="1" applyProtection="1">
      <protection hidden="1"/>
    </xf>
    <xf numFmtId="0" fontId="63" fillId="2" borderId="1" xfId="1" applyFont="1" applyFill="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61" fillId="0" borderId="0" xfId="0" applyFont="1" applyAlignment="1" applyProtection="1">
      <alignment vertical="center"/>
      <protection hidden="1"/>
    </xf>
    <xf numFmtId="1" fontId="8" fillId="12" borderId="1" xfId="0" applyNumberFormat="1" applyFont="1" applyFill="1" applyBorder="1" applyAlignment="1">
      <alignment vertical="top" wrapText="1"/>
    </xf>
    <xf numFmtId="1" fontId="7" fillId="12" borderId="1" xfId="0" applyNumberFormat="1" applyFont="1" applyFill="1" applyBorder="1" applyAlignment="1">
      <alignment vertical="top" wrapText="1"/>
    </xf>
    <xf numFmtId="0" fontId="8" fillId="12" borderId="5" xfId="0" applyFont="1" applyFill="1" applyBorder="1" applyAlignment="1">
      <alignment vertical="top" wrapText="1"/>
    </xf>
    <xf numFmtId="0" fontId="8" fillId="12" borderId="6" xfId="0" applyFont="1" applyFill="1" applyBorder="1" applyAlignment="1">
      <alignment vertical="top" wrapText="1"/>
    </xf>
    <xf numFmtId="1" fontId="7" fillId="0" borderId="0" xfId="0" applyNumberFormat="1" applyFont="1" applyAlignment="1">
      <alignment vertical="top" wrapText="1"/>
    </xf>
    <xf numFmtId="0" fontId="12" fillId="2" borderId="5" xfId="0" applyFont="1" applyFill="1" applyBorder="1" applyAlignment="1" applyProtection="1">
      <alignment horizontal="left" vertical="center" wrapText="1" indent="1"/>
      <protection hidden="1"/>
    </xf>
    <xf numFmtId="9" fontId="8" fillId="12" borderId="1" xfId="4" applyFont="1" applyFill="1" applyBorder="1" applyAlignment="1">
      <alignment vertical="top" wrapText="1"/>
    </xf>
    <xf numFmtId="0" fontId="3" fillId="2" borderId="0" xfId="0" applyFont="1" applyFill="1" applyProtection="1">
      <protection hidden="1"/>
    </xf>
    <xf numFmtId="0" fontId="11" fillId="2" borderId="0" xfId="0" applyFont="1" applyFill="1" applyAlignment="1" applyProtection="1">
      <alignment horizontal="center"/>
      <protection hidden="1"/>
    </xf>
    <xf numFmtId="0" fontId="62" fillId="2" borderId="0" xfId="0" applyFont="1" applyFill="1" applyProtection="1">
      <protection hidden="1"/>
    </xf>
    <xf numFmtId="0" fontId="3" fillId="2" borderId="6" xfId="0" applyFont="1" applyFill="1" applyBorder="1" applyAlignment="1" applyProtection="1">
      <alignment vertical="center"/>
      <protection hidden="1"/>
    </xf>
    <xf numFmtId="0" fontId="67" fillId="2" borderId="9" xfId="0" applyFont="1" applyFill="1" applyBorder="1" applyAlignment="1" applyProtection="1">
      <alignment vertical="center"/>
      <protection hidden="1"/>
    </xf>
    <xf numFmtId="0" fontId="62" fillId="2" borderId="9" xfId="0" applyFont="1" applyFill="1" applyBorder="1" applyProtection="1">
      <protection hidden="1"/>
    </xf>
    <xf numFmtId="0" fontId="12" fillId="3" borderId="0" xfId="0" applyFont="1" applyFill="1" applyAlignment="1" applyProtection="1">
      <alignment horizontal="left" indent="1"/>
      <protection hidden="1"/>
    </xf>
    <xf numFmtId="0" fontId="62" fillId="3" borderId="0" xfId="0" applyFont="1" applyFill="1" applyAlignment="1" applyProtection="1">
      <alignment horizontal="center"/>
      <protection hidden="1"/>
    </xf>
    <xf numFmtId="164" fontId="62" fillId="3" borderId="0" xfId="0" applyNumberFormat="1" applyFont="1" applyFill="1" applyAlignment="1" applyProtection="1">
      <alignment horizontal="center"/>
      <protection hidden="1"/>
    </xf>
    <xf numFmtId="1" fontId="68" fillId="15" borderId="0" xfId="0" applyNumberFormat="1" applyFont="1" applyFill="1" applyAlignment="1" applyProtection="1">
      <alignment horizontal="center" vertical="center"/>
      <protection hidden="1"/>
    </xf>
    <xf numFmtId="0" fontId="68" fillId="15" borderId="0" xfId="0" applyFont="1" applyFill="1" applyAlignment="1" applyProtection="1">
      <alignment horizontal="center" vertical="center"/>
      <protection hidden="1"/>
    </xf>
    <xf numFmtId="0" fontId="68" fillId="15" borderId="0" xfId="0" applyFont="1" applyFill="1" applyAlignment="1" applyProtection="1">
      <alignment vertical="center"/>
      <protection hidden="1"/>
    </xf>
    <xf numFmtId="0" fontId="10" fillId="2" borderId="0" xfId="0" applyFont="1" applyFill="1" applyAlignment="1" applyProtection="1">
      <alignment vertical="center" wrapText="1"/>
      <protection hidden="1"/>
    </xf>
    <xf numFmtId="0" fontId="3" fillId="2" borderId="8" xfId="0" applyFont="1" applyFill="1" applyBorder="1" applyAlignment="1" applyProtection="1">
      <alignment vertical="center"/>
      <protection hidden="1"/>
    </xf>
    <xf numFmtId="0" fontId="3" fillId="2" borderId="1" xfId="0" applyFont="1" applyFill="1" applyBorder="1" applyAlignment="1" applyProtection="1">
      <alignment horizontal="center" vertical="center" wrapText="1"/>
      <protection hidden="1"/>
    </xf>
    <xf numFmtId="0" fontId="3" fillId="0" borderId="1" xfId="0" applyFont="1" applyBorder="1" applyAlignment="1" applyProtection="1">
      <alignment horizontal="center" vertical="center" wrapText="1"/>
      <protection hidden="1"/>
    </xf>
    <xf numFmtId="0" fontId="10" fillId="3" borderId="0" xfId="0" applyFont="1" applyFill="1" applyAlignment="1" applyProtection="1">
      <alignment horizontal="center" vertical="center" wrapText="1"/>
      <protection hidden="1"/>
    </xf>
    <xf numFmtId="0" fontId="61" fillId="3" borderId="0" xfId="0" applyFont="1" applyFill="1" applyAlignment="1" applyProtection="1">
      <alignment horizontal="center" vertical="center"/>
      <protection hidden="1"/>
    </xf>
    <xf numFmtId="0" fontId="3" fillId="3" borderId="0" xfId="0" applyFont="1" applyFill="1" applyAlignment="1" applyProtection="1">
      <alignment horizontal="center" vertical="center"/>
      <protection hidden="1"/>
    </xf>
    <xf numFmtId="0" fontId="61" fillId="3" borderId="0" xfId="0" applyFont="1" applyFill="1" applyAlignment="1" applyProtection="1">
      <alignment horizontal="center" vertical="center" wrapText="1"/>
      <protection hidden="1"/>
    </xf>
    <xf numFmtId="164" fontId="10" fillId="3" borderId="0" xfId="0" applyNumberFormat="1" applyFont="1" applyFill="1" applyAlignment="1" applyProtection="1">
      <alignment horizontal="center" vertical="center" wrapText="1"/>
      <protection hidden="1"/>
    </xf>
    <xf numFmtId="164" fontId="56" fillId="3" borderId="0" xfId="0" applyNumberFormat="1" applyFont="1" applyFill="1" applyAlignment="1" applyProtection="1">
      <alignment horizontal="center" vertical="center" wrapText="1"/>
      <protection hidden="1"/>
    </xf>
    <xf numFmtId="0" fontId="10" fillId="2" borderId="0" xfId="0" applyFont="1" applyFill="1" applyAlignment="1" applyProtection="1">
      <alignment vertical="center"/>
      <protection hidden="1"/>
    </xf>
    <xf numFmtId="0" fontId="3" fillId="2" borderId="7" xfId="0" applyFont="1" applyFill="1" applyBorder="1" applyAlignment="1" applyProtection="1">
      <alignment horizontal="center" vertical="center"/>
      <protection hidden="1"/>
    </xf>
    <xf numFmtId="0" fontId="61" fillId="2" borderId="0" xfId="0" applyFont="1" applyFill="1" applyAlignment="1" applyProtection="1">
      <alignment vertical="center"/>
      <protection hidden="1"/>
    </xf>
    <xf numFmtId="0" fontId="66" fillId="3" borderId="0" xfId="0" applyFont="1" applyFill="1" applyAlignment="1" applyProtection="1">
      <alignment horizontal="center" vertical="center"/>
      <protection hidden="1"/>
    </xf>
    <xf numFmtId="0" fontId="33" fillId="3" borderId="0" xfId="0" applyFont="1" applyFill="1" applyAlignment="1" applyProtection="1">
      <alignment horizontal="center" vertical="center"/>
      <protection hidden="1"/>
    </xf>
    <xf numFmtId="164" fontId="33" fillId="3" borderId="0" xfId="0" applyNumberFormat="1" applyFont="1" applyFill="1" applyAlignment="1" applyProtection="1">
      <alignment horizontal="center" vertical="center"/>
      <protection hidden="1"/>
    </xf>
    <xf numFmtId="0" fontId="16" fillId="2" borderId="0" xfId="0" applyFont="1" applyFill="1" applyAlignment="1" applyProtection="1">
      <alignment vertical="center"/>
      <protection hidden="1"/>
    </xf>
    <xf numFmtId="0" fontId="3" fillId="2" borderId="1" xfId="0" applyFont="1" applyFill="1" applyBorder="1" applyAlignment="1" applyProtection="1">
      <alignment horizontal="center" vertical="center"/>
      <protection hidden="1"/>
    </xf>
    <xf numFmtId="0" fontId="3" fillId="4"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left" vertical="center" indent="1"/>
      <protection hidden="1"/>
    </xf>
    <xf numFmtId="0" fontId="3" fillId="4" borderId="1" xfId="0" applyFont="1" applyFill="1" applyBorder="1" applyAlignment="1" applyProtection="1">
      <alignment horizontal="left" vertical="center" indent="1"/>
      <protection locked="0"/>
    </xf>
    <xf numFmtId="3" fontId="3" fillId="4" borderId="1" xfId="0" applyNumberFormat="1" applyFont="1" applyFill="1" applyBorder="1" applyAlignment="1" applyProtection="1">
      <alignment horizontal="left" vertical="center" indent="1"/>
      <protection locked="0"/>
    </xf>
    <xf numFmtId="3" fontId="3" fillId="4" borderId="1" xfId="0" applyNumberFormat="1" applyFont="1" applyFill="1" applyBorder="1" applyAlignment="1" applyProtection="1">
      <alignment horizontal="center" vertical="center"/>
      <protection locked="0"/>
    </xf>
    <xf numFmtId="3" fontId="3" fillId="14" borderId="1" xfId="0" applyNumberFormat="1" applyFont="1" applyFill="1" applyBorder="1" applyAlignment="1" applyProtection="1">
      <alignment horizontal="center" vertical="center"/>
      <protection locked="0"/>
    </xf>
    <xf numFmtId="166" fontId="3" fillId="14" borderId="1" xfId="0" applyNumberFormat="1" applyFont="1" applyFill="1" applyBorder="1" applyAlignment="1" applyProtection="1">
      <alignment horizontal="center" vertical="center"/>
      <protection locked="0"/>
    </xf>
    <xf numFmtId="3" fontId="3" fillId="2" borderId="1" xfId="0" applyNumberFormat="1" applyFont="1" applyFill="1" applyBorder="1" applyAlignment="1" applyProtection="1">
      <alignment horizontal="left" vertical="center" indent="1"/>
      <protection hidden="1"/>
    </xf>
    <xf numFmtId="166" fontId="3" fillId="2" borderId="1" xfId="0" applyNumberFormat="1" applyFont="1" applyFill="1" applyBorder="1" applyAlignment="1" applyProtection="1">
      <alignment horizontal="center" vertical="center"/>
      <protection hidden="1"/>
    </xf>
    <xf numFmtId="4" fontId="3" fillId="0" borderId="1" xfId="0" applyNumberFormat="1" applyFont="1" applyBorder="1" applyAlignment="1" applyProtection="1">
      <alignment horizontal="right" vertical="center" indent="1"/>
      <protection hidden="1"/>
    </xf>
    <xf numFmtId="1" fontId="33" fillId="3" borderId="0" xfId="0" applyNumberFormat="1" applyFont="1" applyFill="1" applyAlignment="1" applyProtection="1">
      <alignment horizontal="center" vertical="center"/>
      <protection hidden="1"/>
    </xf>
    <xf numFmtId="9" fontId="33" fillId="3" borderId="0" xfId="4" applyFont="1" applyFill="1" applyAlignment="1" applyProtection="1">
      <alignment horizontal="center" vertical="center"/>
      <protection hidden="1"/>
    </xf>
    <xf numFmtId="3" fontId="33" fillId="3" borderId="0" xfId="0" applyNumberFormat="1" applyFont="1" applyFill="1" applyAlignment="1" applyProtection="1">
      <alignment horizontal="center" vertical="center"/>
      <protection hidden="1"/>
    </xf>
    <xf numFmtId="2" fontId="33" fillId="3" borderId="0" xfId="0" applyNumberFormat="1" applyFont="1" applyFill="1" applyAlignment="1" applyProtection="1">
      <alignment horizontal="center" vertical="center"/>
      <protection hidden="1"/>
    </xf>
    <xf numFmtId="0" fontId="3" fillId="3" borderId="0" xfId="0" applyFont="1" applyFill="1" applyProtection="1">
      <protection hidden="1"/>
    </xf>
    <xf numFmtId="164" fontId="3" fillId="3" borderId="0" xfId="0" applyNumberFormat="1" applyFont="1" applyFill="1" applyProtection="1">
      <protection hidden="1"/>
    </xf>
    <xf numFmtId="0" fontId="5" fillId="3" borderId="0" xfId="0" applyFont="1" applyFill="1" applyAlignment="1" applyProtection="1">
      <alignment horizontal="center"/>
      <protection hidden="1"/>
    </xf>
    <xf numFmtId="164" fontId="5" fillId="3" borderId="0" xfId="0" applyNumberFormat="1" applyFont="1" applyFill="1" applyAlignment="1" applyProtection="1">
      <alignment horizontal="center"/>
      <protection hidden="1"/>
    </xf>
    <xf numFmtId="0" fontId="3" fillId="13" borderId="1" xfId="0" applyFont="1" applyFill="1" applyBorder="1" applyAlignment="1" applyProtection="1">
      <alignment horizontal="left" vertical="center" indent="1"/>
      <protection locked="0"/>
    </xf>
    <xf numFmtId="3" fontId="3" fillId="13" borderId="1" xfId="0" applyNumberFormat="1" applyFont="1" applyFill="1" applyBorder="1" applyAlignment="1" applyProtection="1">
      <alignment horizontal="center" vertical="center"/>
      <protection locked="0"/>
    </xf>
    <xf numFmtId="166" fontId="3" fillId="13" borderId="1" xfId="0" applyNumberFormat="1" applyFont="1" applyFill="1" applyBorder="1" applyAlignment="1" applyProtection="1">
      <alignment horizontal="center" vertical="center"/>
      <protection locked="0"/>
    </xf>
    <xf numFmtId="0" fontId="3" fillId="13" borderId="1" xfId="0" applyFont="1" applyFill="1" applyBorder="1" applyAlignment="1" applyProtection="1">
      <alignment horizontal="center" vertical="center"/>
      <protection locked="0"/>
    </xf>
    <xf numFmtId="14" fontId="3" fillId="13" borderId="1" xfId="0" applyNumberFormat="1" applyFont="1" applyFill="1" applyBorder="1" applyAlignment="1" applyProtection="1">
      <alignment horizontal="center" vertical="center"/>
      <protection locked="0"/>
    </xf>
    <xf numFmtId="0" fontId="2" fillId="13" borderId="1" xfId="0" applyFont="1" applyFill="1" applyBorder="1" applyAlignment="1" applyProtection="1">
      <alignment horizontal="left" vertical="center" indent="1"/>
      <protection locked="0"/>
    </xf>
    <xf numFmtId="0" fontId="14" fillId="2" borderId="16" xfId="0" applyFont="1" applyFill="1" applyBorder="1" applyAlignment="1" applyProtection="1">
      <alignment horizontal="left" vertical="center" wrapText="1" indent="1"/>
      <protection hidden="1"/>
    </xf>
    <xf numFmtId="0" fontId="14" fillId="2" borderId="17" xfId="0" applyFont="1" applyFill="1" applyBorder="1" applyAlignment="1" applyProtection="1">
      <alignment horizontal="left" vertical="center" wrapText="1" indent="1"/>
      <protection hidden="1"/>
    </xf>
    <xf numFmtId="0" fontId="21" fillId="2" borderId="0" xfId="0" applyFont="1" applyFill="1" applyAlignment="1" applyProtection="1">
      <alignment horizontal="left" vertical="top" wrapText="1"/>
      <protection hidden="1"/>
    </xf>
    <xf numFmtId="0" fontId="14" fillId="2" borderId="19" xfId="0" applyFont="1" applyFill="1" applyBorder="1" applyAlignment="1" applyProtection="1">
      <alignment horizontal="left" vertical="center" wrapText="1" indent="1"/>
      <protection hidden="1"/>
    </xf>
    <xf numFmtId="0" fontId="14" fillId="2" borderId="20" xfId="0" applyFont="1" applyFill="1" applyBorder="1" applyAlignment="1" applyProtection="1">
      <alignment horizontal="left" vertical="center" wrapText="1" indent="1"/>
      <protection hidden="1"/>
    </xf>
    <xf numFmtId="0" fontId="21" fillId="2" borderId="33" xfId="0" applyFont="1" applyFill="1" applyBorder="1" applyAlignment="1" applyProtection="1">
      <alignment horizontal="left" vertical="center" wrapText="1"/>
      <protection hidden="1"/>
    </xf>
    <xf numFmtId="0" fontId="21" fillId="2" borderId="34" xfId="0" applyFont="1" applyFill="1" applyBorder="1" applyAlignment="1" applyProtection="1">
      <alignment horizontal="left" vertical="center" wrapText="1"/>
      <protection hidden="1"/>
    </xf>
    <xf numFmtId="0" fontId="21" fillId="12" borderId="41" xfId="0" applyFont="1" applyFill="1" applyBorder="1" applyAlignment="1" applyProtection="1">
      <alignment horizontal="left" vertical="center" wrapText="1"/>
      <protection hidden="1"/>
    </xf>
    <xf numFmtId="0" fontId="21" fillId="12" borderId="42" xfId="0" applyFont="1" applyFill="1" applyBorder="1" applyAlignment="1" applyProtection="1">
      <alignment horizontal="left" vertical="center" wrapText="1"/>
      <protection hidden="1"/>
    </xf>
    <xf numFmtId="0" fontId="44" fillId="2" borderId="39" xfId="1" applyFont="1" applyFill="1" applyBorder="1" applyAlignment="1" applyProtection="1">
      <alignment horizontal="left" vertical="center" indent="1"/>
      <protection hidden="1"/>
    </xf>
    <xf numFmtId="0" fontId="44" fillId="2" borderId="33" xfId="1" applyFont="1" applyFill="1" applyBorder="1" applyAlignment="1" applyProtection="1">
      <alignment horizontal="left" vertical="center" indent="1"/>
      <protection hidden="1"/>
    </xf>
    <xf numFmtId="0" fontId="44" fillId="12" borderId="40" xfId="1" applyFont="1" applyFill="1" applyBorder="1" applyAlignment="1" applyProtection="1">
      <alignment horizontal="left" vertical="center" indent="1"/>
      <protection hidden="1"/>
    </xf>
    <xf numFmtId="0" fontId="44" fillId="12" borderId="41" xfId="1" applyFont="1" applyFill="1" applyBorder="1" applyAlignment="1" applyProtection="1">
      <alignment horizontal="left" vertical="center" indent="1"/>
      <protection hidden="1"/>
    </xf>
    <xf numFmtId="0" fontId="14" fillId="6" borderId="5" xfId="0" applyFont="1" applyFill="1" applyBorder="1" applyAlignment="1" applyProtection="1">
      <alignment horizontal="left" vertical="center" indent="1"/>
      <protection hidden="1"/>
    </xf>
    <xf numFmtId="0" fontId="14" fillId="6" borderId="9" xfId="0" applyFont="1" applyFill="1" applyBorder="1" applyAlignment="1" applyProtection="1">
      <alignment horizontal="left" vertical="center" indent="1"/>
      <protection hidden="1"/>
    </xf>
    <xf numFmtId="0" fontId="14" fillId="6" borderId="10" xfId="0" applyFont="1" applyFill="1" applyBorder="1" applyAlignment="1" applyProtection="1">
      <alignment horizontal="left" vertical="center" indent="1"/>
      <protection hidden="1"/>
    </xf>
    <xf numFmtId="0" fontId="14" fillId="2" borderId="14" xfId="0" applyFont="1" applyFill="1" applyBorder="1" applyAlignment="1" applyProtection="1">
      <alignment horizontal="left" vertical="center" wrapText="1" indent="1"/>
      <protection hidden="1"/>
    </xf>
    <xf numFmtId="0" fontId="14" fillId="2" borderId="38" xfId="0" applyFont="1" applyFill="1" applyBorder="1" applyAlignment="1" applyProtection="1">
      <alignment horizontal="left" vertical="center" wrapText="1" indent="1"/>
      <protection hidden="1"/>
    </xf>
    <xf numFmtId="0" fontId="14" fillId="6" borderId="0" xfId="0" applyFont="1" applyFill="1" applyAlignment="1" applyProtection="1">
      <alignment horizontal="center" vertical="center"/>
      <protection hidden="1"/>
    </xf>
    <xf numFmtId="0" fontId="14" fillId="6" borderId="31" xfId="0" applyFont="1" applyFill="1" applyBorder="1" applyAlignment="1" applyProtection="1">
      <alignment horizontal="center" vertical="center"/>
      <protection hidden="1"/>
    </xf>
    <xf numFmtId="0" fontId="14" fillId="0" borderId="15" xfId="0" applyFont="1" applyBorder="1" applyAlignment="1" applyProtection="1">
      <alignment horizontal="left" vertical="center" wrapText="1" indent="1"/>
      <protection hidden="1"/>
    </xf>
    <xf numFmtId="0" fontId="14" fillId="0" borderId="24" xfId="0" applyFont="1" applyBorder="1" applyAlignment="1" applyProtection="1">
      <alignment horizontal="left" vertical="center" wrapText="1" indent="1"/>
      <protection hidden="1"/>
    </xf>
    <xf numFmtId="0" fontId="14" fillId="0" borderId="17" xfId="0" applyFont="1" applyBorder="1" applyAlignment="1" applyProtection="1">
      <alignment horizontal="left" vertical="center" wrapText="1" indent="1"/>
      <protection hidden="1"/>
    </xf>
    <xf numFmtId="0" fontId="14" fillId="0" borderId="13" xfId="0" applyFont="1" applyBorder="1" applyAlignment="1" applyProtection="1">
      <alignment horizontal="left" vertical="center" wrapText="1" indent="1"/>
      <protection hidden="1"/>
    </xf>
    <xf numFmtId="0" fontId="14" fillId="0" borderId="27" xfId="0" applyFont="1" applyBorder="1" applyAlignment="1" applyProtection="1">
      <alignment horizontal="left" vertical="center" wrapText="1" indent="1"/>
      <protection hidden="1"/>
    </xf>
    <xf numFmtId="0" fontId="14" fillId="0" borderId="38" xfId="0" applyFont="1" applyBorder="1" applyAlignment="1" applyProtection="1">
      <alignment horizontal="left" vertical="center" wrapText="1" indent="1"/>
      <protection hidden="1"/>
    </xf>
    <xf numFmtId="0" fontId="14" fillId="0" borderId="16" xfId="0" applyFont="1" applyBorder="1" applyAlignment="1" applyProtection="1">
      <alignment horizontal="left" vertical="center" wrapText="1" indent="1"/>
      <protection hidden="1"/>
    </xf>
    <xf numFmtId="0" fontId="14" fillId="0" borderId="39" xfId="0" applyFont="1" applyBorder="1" applyAlignment="1" applyProtection="1">
      <alignment horizontal="left" vertical="center" wrapText="1" indent="1"/>
      <protection hidden="1"/>
    </xf>
    <xf numFmtId="0" fontId="14" fillId="0" borderId="33" xfId="0" applyFont="1" applyBorder="1" applyAlignment="1" applyProtection="1">
      <alignment horizontal="left" vertical="center" wrapText="1" indent="1"/>
      <protection hidden="1"/>
    </xf>
    <xf numFmtId="0" fontId="14" fillId="0" borderId="34" xfId="0" applyFont="1" applyBorder="1" applyAlignment="1" applyProtection="1">
      <alignment horizontal="left" vertical="center" wrapText="1" indent="1"/>
      <protection hidden="1"/>
    </xf>
    <xf numFmtId="0" fontId="21" fillId="2" borderId="0" xfId="0" applyFont="1" applyFill="1" applyAlignment="1" applyProtection="1">
      <alignment horizontal="left" vertical="center" wrapText="1"/>
      <protection hidden="1"/>
    </xf>
    <xf numFmtId="0" fontId="14" fillId="0" borderId="46" xfId="0" applyFont="1" applyBorder="1" applyAlignment="1" applyProtection="1">
      <alignment horizontal="left" vertical="center" wrapText="1" indent="1"/>
      <protection hidden="1"/>
    </xf>
    <xf numFmtId="0" fontId="14" fillId="0" borderId="48" xfId="0" applyFont="1" applyBorder="1" applyAlignment="1" applyProtection="1">
      <alignment horizontal="left" vertical="center" wrapText="1" indent="1"/>
      <protection hidden="1"/>
    </xf>
    <xf numFmtId="0" fontId="14" fillId="0" borderId="47" xfId="0" applyFont="1" applyBorder="1" applyAlignment="1" applyProtection="1">
      <alignment horizontal="left" vertical="center" wrapText="1" indent="1"/>
      <protection hidden="1"/>
    </xf>
    <xf numFmtId="0" fontId="14" fillId="0" borderId="45" xfId="0" applyFont="1" applyBorder="1" applyAlignment="1" applyProtection="1">
      <alignment horizontal="left" vertical="center" wrapText="1" indent="1"/>
      <protection hidden="1"/>
    </xf>
    <xf numFmtId="0" fontId="14" fillId="0" borderId="44" xfId="0" applyFont="1" applyBorder="1" applyAlignment="1" applyProtection="1">
      <alignment horizontal="left" vertical="center" wrapText="1" indent="1"/>
      <protection hidden="1"/>
    </xf>
    <xf numFmtId="0" fontId="14" fillId="0" borderId="22" xfId="0" applyFont="1" applyBorder="1" applyAlignment="1" applyProtection="1">
      <alignment horizontal="left" vertical="center" wrapText="1" indent="1"/>
      <protection hidden="1"/>
    </xf>
    <xf numFmtId="0" fontId="14" fillId="0" borderId="23" xfId="0" applyFont="1" applyBorder="1" applyAlignment="1" applyProtection="1">
      <alignment horizontal="left" vertical="center" wrapText="1" indent="1"/>
      <protection hidden="1"/>
    </xf>
    <xf numFmtId="0" fontId="14" fillId="0" borderId="22" xfId="0" applyFont="1" applyBorder="1" applyAlignment="1" applyProtection="1">
      <alignment horizontal="left" vertical="center" indent="1"/>
      <protection hidden="1"/>
    </xf>
    <xf numFmtId="0" fontId="14" fillId="0" borderId="23" xfId="0" applyFont="1" applyBorder="1" applyAlignment="1" applyProtection="1">
      <alignment horizontal="left" vertical="center" indent="1"/>
      <protection hidden="1"/>
    </xf>
    <xf numFmtId="0" fontId="33" fillId="2" borderId="0" xfId="0" applyFont="1" applyFill="1" applyAlignment="1" applyProtection="1">
      <alignment horizontal="justify" vertical="top" wrapText="1"/>
      <protection hidden="1"/>
    </xf>
    <xf numFmtId="0" fontId="14" fillId="6" borderId="9" xfId="0" applyFont="1" applyFill="1" applyBorder="1" applyAlignment="1" applyProtection="1">
      <alignment horizontal="center" vertical="center"/>
      <protection hidden="1"/>
    </xf>
    <xf numFmtId="0" fontId="14" fillId="6" borderId="10" xfId="0" applyFont="1" applyFill="1" applyBorder="1" applyAlignment="1" applyProtection="1">
      <alignment horizontal="center" vertical="center"/>
      <protection hidden="1"/>
    </xf>
    <xf numFmtId="0" fontId="14" fillId="6" borderId="5" xfId="0" applyFont="1" applyFill="1" applyBorder="1" applyAlignment="1" applyProtection="1">
      <alignment horizontal="center" vertical="center"/>
      <protection hidden="1"/>
    </xf>
    <xf numFmtId="0" fontId="28" fillId="2" borderId="0" xfId="0" applyFont="1" applyFill="1" applyAlignment="1" applyProtection="1">
      <alignment horizontal="center" vertical="top" wrapText="1"/>
      <protection hidden="1"/>
    </xf>
    <xf numFmtId="0" fontId="33" fillId="2" borderId="0" xfId="0" applyFont="1" applyFill="1" applyAlignment="1" applyProtection="1">
      <alignment horizontal="left" vertical="top" wrapText="1"/>
      <protection hidden="1"/>
    </xf>
    <xf numFmtId="0" fontId="69" fillId="2" borderId="0" xfId="0" applyFont="1" applyFill="1" applyAlignment="1" applyProtection="1">
      <alignment horizontal="left"/>
      <protection hidden="1"/>
    </xf>
    <xf numFmtId="0" fontId="31" fillId="2" borderId="3" xfId="0" applyFont="1" applyFill="1" applyBorder="1" applyAlignment="1" applyProtection="1">
      <alignment horizontal="center"/>
      <protection hidden="1"/>
    </xf>
    <xf numFmtId="0" fontId="29" fillId="2" borderId="0" xfId="0" applyFont="1" applyFill="1" applyAlignment="1" applyProtection="1">
      <alignment horizontal="center" vertical="center" wrapText="1"/>
      <protection hidden="1"/>
    </xf>
    <xf numFmtId="0" fontId="40" fillId="2" borderId="0" xfId="0" applyFont="1" applyFill="1" applyAlignment="1" applyProtection="1">
      <alignment horizontal="justify" vertical="center" wrapText="1"/>
      <protection hidden="1"/>
    </xf>
    <xf numFmtId="14" fontId="21" fillId="2" borderId="0" xfId="0" applyNumberFormat="1" applyFont="1" applyFill="1" applyAlignment="1" applyProtection="1">
      <alignment horizontal="right" vertical="center"/>
      <protection hidden="1"/>
    </xf>
    <xf numFmtId="0" fontId="52" fillId="2" borderId="0" xfId="0" applyFont="1" applyFill="1" applyAlignment="1" applyProtection="1">
      <alignment horizontal="center" vertical="top"/>
      <protection hidden="1"/>
    </xf>
    <xf numFmtId="0" fontId="55" fillId="2" borderId="0" xfId="1" applyFont="1" applyFill="1" applyAlignment="1" applyProtection="1">
      <alignment horizontal="left"/>
      <protection hidden="1"/>
    </xf>
    <xf numFmtId="0" fontId="33" fillId="2" borderId="0" xfId="0" applyFont="1" applyFill="1" applyAlignment="1" applyProtection="1">
      <alignment horizontal="left" vertical="center" wrapText="1"/>
      <protection hidden="1"/>
    </xf>
    <xf numFmtId="0" fontId="43" fillId="2" borderId="0" xfId="0" applyFont="1" applyFill="1" applyAlignment="1" applyProtection="1">
      <alignment horizontal="left" vertical="center" wrapText="1"/>
      <protection hidden="1"/>
    </xf>
    <xf numFmtId="0" fontId="14" fillId="0" borderId="18" xfId="0" applyFont="1" applyBorder="1" applyAlignment="1" applyProtection="1">
      <alignment horizontal="left" vertical="center" wrapText="1" indent="1"/>
      <protection hidden="1"/>
    </xf>
    <xf numFmtId="0" fontId="14" fillId="0" borderId="29" xfId="0" applyFont="1" applyBorder="1" applyAlignment="1" applyProtection="1">
      <alignment horizontal="left" vertical="center" wrapText="1" indent="1"/>
      <protection hidden="1"/>
    </xf>
    <xf numFmtId="0" fontId="14" fillId="0" borderId="20" xfId="0" applyFont="1" applyBorder="1" applyAlignment="1" applyProtection="1">
      <alignment horizontal="left" vertical="center" wrapText="1" indent="1"/>
      <protection hidden="1"/>
    </xf>
    <xf numFmtId="0" fontId="14" fillId="0" borderId="19" xfId="0" applyFont="1" applyBorder="1" applyAlignment="1" applyProtection="1">
      <alignment horizontal="left" vertical="center" wrapText="1" indent="1"/>
      <protection hidden="1"/>
    </xf>
    <xf numFmtId="3" fontId="12" fillId="2" borderId="5" xfId="0" applyNumberFormat="1" applyFont="1" applyFill="1" applyBorder="1" applyAlignment="1" applyProtection="1">
      <alignment horizontal="center" vertical="center"/>
      <protection hidden="1"/>
    </xf>
    <xf numFmtId="3" fontId="12" fillId="2" borderId="9" xfId="0" applyNumberFormat="1" applyFont="1" applyFill="1" applyBorder="1" applyAlignment="1" applyProtection="1">
      <alignment horizontal="center" vertical="center"/>
      <protection hidden="1"/>
    </xf>
    <xf numFmtId="3" fontId="12" fillId="2" borderId="10" xfId="0" applyNumberFormat="1" applyFont="1" applyFill="1" applyBorder="1" applyAlignment="1" applyProtection="1">
      <alignment horizontal="center" vertical="center"/>
      <protection hidden="1"/>
    </xf>
    <xf numFmtId="0" fontId="33" fillId="0" borderId="0" xfId="0" applyFont="1" applyAlignment="1" applyProtection="1">
      <alignment horizontal="justify" vertical="top" wrapText="1"/>
      <protection hidden="1"/>
    </xf>
    <xf numFmtId="0" fontId="21" fillId="2" borderId="3" xfId="0" applyFont="1" applyFill="1" applyBorder="1" applyAlignment="1" applyProtection="1">
      <alignment horizontal="left" vertical="center" wrapText="1"/>
      <protection hidden="1"/>
    </xf>
    <xf numFmtId="0" fontId="33" fillId="2" borderId="31" xfId="0" applyFont="1" applyFill="1" applyBorder="1" applyAlignment="1" applyProtection="1">
      <alignment horizontal="left" vertical="top" wrapText="1"/>
      <protection hidden="1"/>
    </xf>
    <xf numFmtId="0" fontId="14" fillId="13" borderId="14" xfId="0" applyFont="1" applyFill="1" applyBorder="1" applyAlignment="1" applyProtection="1">
      <alignment horizontal="left" vertical="center" indent="1"/>
      <protection locked="0"/>
    </xf>
    <xf numFmtId="0" fontId="14" fillId="13" borderId="38" xfId="0" applyFont="1" applyFill="1" applyBorder="1" applyAlignment="1" applyProtection="1">
      <alignment horizontal="left" vertical="center" indent="1"/>
      <protection locked="0"/>
    </xf>
    <xf numFmtId="0" fontId="14" fillId="12" borderId="21" xfId="0" applyFont="1" applyFill="1" applyBorder="1" applyAlignment="1" applyProtection="1">
      <alignment horizontal="left" vertical="center" indent="1"/>
      <protection locked="0"/>
    </xf>
    <xf numFmtId="0" fontId="14" fillId="12" borderId="23" xfId="0" applyFont="1" applyFill="1" applyBorder="1" applyAlignment="1" applyProtection="1">
      <alignment horizontal="left" vertical="center" indent="1"/>
      <protection locked="0"/>
    </xf>
    <xf numFmtId="3" fontId="14" fillId="2" borderId="19" xfId="0" applyNumberFormat="1" applyFont="1" applyFill="1" applyBorder="1" applyAlignment="1" applyProtection="1">
      <alignment horizontal="left" vertical="center" indent="1"/>
      <protection hidden="1"/>
    </xf>
    <xf numFmtId="3" fontId="14" fillId="2" borderId="20" xfId="0" applyNumberFormat="1" applyFont="1" applyFill="1" applyBorder="1" applyAlignment="1" applyProtection="1">
      <alignment horizontal="left" vertical="center" indent="1"/>
      <protection hidden="1"/>
    </xf>
    <xf numFmtId="0" fontId="12" fillId="2" borderId="5" xfId="0" applyFont="1" applyFill="1" applyBorder="1" applyAlignment="1" applyProtection="1">
      <alignment horizontal="left" vertical="center" wrapText="1" indent="1"/>
      <protection hidden="1"/>
    </xf>
    <xf numFmtId="0" fontId="12" fillId="2" borderId="9" xfId="0" applyFont="1" applyFill="1" applyBorder="1" applyAlignment="1" applyProtection="1">
      <alignment horizontal="left" vertical="center" wrapText="1" indent="1"/>
      <protection hidden="1"/>
    </xf>
  </cellXfs>
  <cellStyles count="5">
    <cellStyle name="Lien hypertexte" xfId="1" builtinId="8"/>
    <cellStyle name="Normal" xfId="0" builtinId="0"/>
    <cellStyle name="Normal 2" xfId="2" xr:uid="{6916636B-A48F-4266-B14E-3866D83E7AAE}"/>
    <cellStyle name="Normal 3" xfId="3" xr:uid="{7F9BDA7E-A37D-48D0-852C-F05937FA7429}"/>
    <cellStyle name="Pourcentage" xfId="4" builtinId="5"/>
  </cellStyles>
  <dxfs count="3">
    <dxf>
      <font>
        <color rgb="FFFF0000"/>
      </font>
      <fill>
        <patternFill>
          <bgColor rgb="FFFFC000"/>
        </patternFill>
      </fill>
    </dxf>
    <dxf>
      <font>
        <color theme="2"/>
      </font>
      <fill>
        <patternFill>
          <bgColor theme="2"/>
        </patternFill>
      </fill>
    </dxf>
    <dxf>
      <fill>
        <patternFill>
          <bgColor rgb="FFF9F9F9"/>
        </patternFill>
      </fill>
    </dxf>
  </dxfs>
  <tableStyles count="0" defaultTableStyle="TableStyleMedium2" defaultPivotStyle="PivotStyleLight16"/>
  <colors>
    <mruColors>
      <color rgb="FFCC3399"/>
      <color rgb="FFFFFF66"/>
      <color rgb="FFFFFF99"/>
      <color rgb="FFCCFFFF"/>
      <color rgb="FFF9F9F9"/>
      <color rgb="FFEAEAEA"/>
      <color rgb="FFFFFFCC"/>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19050</xdr:rowOff>
    </xdr:from>
    <xdr:to>
      <xdr:col>4</xdr:col>
      <xdr:colOff>409576</xdr:colOff>
      <xdr:row>4</xdr:row>
      <xdr:rowOff>980</xdr:rowOff>
    </xdr:to>
    <xdr:pic>
      <xdr:nvPicPr>
        <xdr:cNvPr id="3" name="Grafik 11" descr="Logo Bundesverwaltung&#10;[Correspondence.PrePrinted]">
          <a:extLst>
            <a:ext uri="{FF2B5EF4-FFF2-40B4-BE49-F238E27FC236}">
              <a16:creationId xmlns:a16="http://schemas.microsoft.com/office/drawing/2014/main" id="{8837F056-8A5B-4EA4-BB8F-F56AE6A1A4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2450" y="400050"/>
          <a:ext cx="1733551" cy="45818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38101</xdr:colOff>
      <xdr:row>3</xdr:row>
      <xdr:rowOff>28576</xdr:rowOff>
    </xdr:from>
    <xdr:to>
      <xdr:col>5</xdr:col>
      <xdr:colOff>95250</xdr:colOff>
      <xdr:row>5</xdr:row>
      <xdr:rowOff>269315</xdr:rowOff>
    </xdr:to>
    <xdr:pic>
      <xdr:nvPicPr>
        <xdr:cNvPr id="2" name="Grafik 11" descr="Logo Bundesverwaltung&#10;[Correspondence.PrePrinted]">
          <a:extLst>
            <a:ext uri="{FF2B5EF4-FFF2-40B4-BE49-F238E27FC236}">
              <a16:creationId xmlns:a16="http://schemas.microsoft.com/office/drawing/2014/main" id="{15EAC38A-8B65-C1DA-7984-327EF0EA25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2451" y="409576"/>
          <a:ext cx="1847849" cy="488389"/>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www.zefix.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hyperlink" Target="https://www.cadastre.ch/fr/services/service/registry/plz.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DB3C8-402B-42B1-82E5-C92894DB2ABF}">
  <sheetPr>
    <pageSetUpPr fitToPage="1"/>
  </sheetPr>
  <dimension ref="A1:W83"/>
  <sheetViews>
    <sheetView tabSelected="1" zoomScaleNormal="100" workbookViewId="0">
      <selection activeCell="L6" sqref="L6"/>
    </sheetView>
  </sheetViews>
  <sheetFormatPr baseColWidth="10" defaultColWidth="0" defaultRowHeight="14.25" zeroHeight="1" x14ac:dyDescent="0.2"/>
  <cols>
    <col min="1" max="1" width="7.7109375" style="7" customWidth="1"/>
    <col min="2" max="2" width="6.7109375" style="7" customWidth="1"/>
    <col min="3" max="3" width="8.7109375" style="7" customWidth="1"/>
    <col min="4" max="4" width="4.7109375" style="7" customWidth="1"/>
    <col min="5" max="13" width="8.7109375" style="7" customWidth="1"/>
    <col min="14" max="17" width="10.7109375" style="7" hidden="1" customWidth="1"/>
    <col min="18" max="19" width="13.28515625" style="76" hidden="1" customWidth="1"/>
    <col min="20" max="20" width="10.7109375" style="54" hidden="1" customWidth="1"/>
    <col min="21" max="21" width="100.7109375" style="7" hidden="1" customWidth="1"/>
    <col min="22" max="16384" width="9.140625" style="76" hidden="1"/>
  </cols>
  <sheetData>
    <row r="1" spans="1:23" s="47" customFormat="1" ht="30" customHeight="1" x14ac:dyDescent="0.2">
      <c r="A1" s="11"/>
      <c r="B1" s="11"/>
      <c r="C1" s="11"/>
      <c r="D1" s="11"/>
      <c r="E1" s="11"/>
      <c r="F1" s="11"/>
      <c r="G1" s="11"/>
      <c r="H1" s="11"/>
      <c r="I1" s="11"/>
      <c r="J1" s="11"/>
      <c r="K1" s="11"/>
      <c r="L1" s="11"/>
      <c r="M1" s="11"/>
      <c r="N1" s="45" t="s">
        <v>4624</v>
      </c>
      <c r="O1" s="45" t="s">
        <v>4624</v>
      </c>
      <c r="P1" s="175" t="s">
        <v>4808</v>
      </c>
      <c r="Q1" s="175" t="s">
        <v>4808</v>
      </c>
      <c r="R1" s="170" t="s">
        <v>4812</v>
      </c>
      <c r="S1" s="170" t="s">
        <v>4812</v>
      </c>
      <c r="T1" s="46" t="s">
        <v>4625</v>
      </c>
      <c r="U1" s="179" t="s">
        <v>4869</v>
      </c>
      <c r="V1" s="76"/>
      <c r="W1" s="76"/>
    </row>
    <row r="2" spans="1:23" s="55" customFormat="1" ht="9.9499999999999993" customHeight="1" x14ac:dyDescent="0.2">
      <c r="A2" s="28"/>
      <c r="B2" s="28"/>
      <c r="C2" s="28"/>
      <c r="D2" s="28"/>
      <c r="E2" s="28"/>
      <c r="F2" s="28"/>
      <c r="G2" s="28"/>
      <c r="H2" s="48"/>
      <c r="I2" s="49" t="str" cm="1">
        <f t="array" ref="I2">INDEX(Trad, N2, Lang)</f>
        <v>Eidgenössisches Departement für Umwelt, Verkehr,</v>
      </c>
      <c r="J2" s="49"/>
      <c r="K2" s="33"/>
      <c r="L2" s="28"/>
      <c r="M2" s="28"/>
      <c r="N2" s="51">
        <v>200</v>
      </c>
      <c r="O2" s="160"/>
      <c r="P2" s="166"/>
      <c r="Q2" s="166"/>
      <c r="R2" s="7"/>
      <c r="S2" s="7"/>
      <c r="T2" s="54"/>
      <c r="U2" s="7"/>
      <c r="V2" s="76"/>
      <c r="W2" s="76"/>
    </row>
    <row r="3" spans="1:23" s="55" customFormat="1" ht="9.9499999999999993" customHeight="1" x14ac:dyDescent="0.2">
      <c r="A3" s="28"/>
      <c r="B3" s="28"/>
      <c r="C3" s="28"/>
      <c r="D3" s="28"/>
      <c r="E3" s="28"/>
      <c r="F3" s="28"/>
      <c r="G3" s="28"/>
      <c r="H3" s="48"/>
      <c r="I3" s="49" t="str" cm="1">
        <f t="array" ref="I3">INDEX(Trad, N3, Lang)</f>
        <v>Energie und Kommunikation UVEK</v>
      </c>
      <c r="J3" s="49"/>
      <c r="K3" s="33"/>
      <c r="L3" s="28"/>
      <c r="M3" s="28"/>
      <c r="N3" s="51">
        <v>201</v>
      </c>
      <c r="O3" s="160"/>
      <c r="P3" s="166"/>
      <c r="Q3" s="166"/>
      <c r="R3" s="7"/>
      <c r="S3" s="7"/>
      <c r="T3" s="54"/>
      <c r="U3" s="7"/>
      <c r="V3" s="76"/>
      <c r="W3" s="76"/>
    </row>
    <row r="4" spans="1:23" s="47" customFormat="1" ht="18" customHeight="1" x14ac:dyDescent="0.2">
      <c r="A4" s="11"/>
      <c r="B4" s="11"/>
      <c r="C4" s="11"/>
      <c r="D4" s="11"/>
      <c r="E4" s="11"/>
      <c r="F4" s="11"/>
      <c r="G4" s="11"/>
      <c r="H4" s="50"/>
      <c r="I4" s="56" t="str" cm="1">
        <f t="array" ref="I4">INDEX(Trad, N4, Lang)</f>
        <v>Bundesamt für Energie BFE</v>
      </c>
      <c r="J4" s="57"/>
      <c r="K4" s="34"/>
      <c r="L4" s="11"/>
      <c r="M4" s="11"/>
      <c r="N4" s="51">
        <v>202</v>
      </c>
      <c r="O4" s="160"/>
      <c r="P4" s="166"/>
      <c r="Q4" s="166"/>
      <c r="R4" s="7"/>
      <c r="S4" s="7"/>
      <c r="T4" s="54"/>
      <c r="U4" s="7"/>
      <c r="V4" s="76"/>
      <c r="W4" s="76"/>
    </row>
    <row r="5" spans="1:23" s="47" customFormat="1" ht="30" customHeight="1" x14ac:dyDescent="0.2">
      <c r="A5" s="11"/>
      <c r="B5" s="11"/>
      <c r="C5" s="11"/>
      <c r="D5" s="11"/>
      <c r="E5" s="11"/>
      <c r="F5" s="11"/>
      <c r="G5" s="11"/>
      <c r="H5" s="11"/>
      <c r="I5" s="11"/>
      <c r="J5" s="11"/>
      <c r="K5" s="11"/>
      <c r="L5" s="11"/>
      <c r="M5" s="11"/>
      <c r="N5" s="51"/>
      <c r="O5" s="160"/>
      <c r="P5" s="166"/>
      <c r="Q5" s="166"/>
      <c r="R5" s="7"/>
      <c r="S5" s="7"/>
      <c r="T5" s="54"/>
      <c r="U5" s="7"/>
      <c r="V5" s="76"/>
      <c r="W5" s="76"/>
    </row>
    <row r="6" spans="1:23" s="47" customFormat="1" ht="12.6" customHeight="1" x14ac:dyDescent="0.2">
      <c r="A6" s="11"/>
      <c r="B6" s="50"/>
      <c r="C6" s="25"/>
      <c r="D6" s="50"/>
      <c r="E6" s="11"/>
      <c r="F6" s="11"/>
      <c r="G6" s="11"/>
      <c r="H6" s="11"/>
      <c r="I6" s="13" t="str" cm="1">
        <f t="array" ref="I6">INDEX(Trad, N6, Lang)</f>
        <v>Bitte wählen Sie die Sprache aus</v>
      </c>
      <c r="J6" s="11"/>
      <c r="L6" s="62" t="s">
        <v>4465</v>
      </c>
      <c r="M6" s="11"/>
      <c r="N6" s="51">
        <v>203</v>
      </c>
      <c r="O6" s="160"/>
      <c r="P6" s="167"/>
      <c r="Q6" s="166"/>
      <c r="R6" s="190" cm="1">
        <f t="array" ref="R6">_xlfn.SWITCH(L6, "D", 1, "F", 2, "I", 3)</f>
        <v>1</v>
      </c>
      <c r="S6" s="163" t="s">
        <v>4626</v>
      </c>
      <c r="T6" s="54"/>
      <c r="U6" s="7"/>
      <c r="V6" s="76"/>
      <c r="W6" s="76"/>
    </row>
    <row r="7" spans="1:23" ht="5.0999999999999996" customHeight="1" x14ac:dyDescent="0.2">
      <c r="A7" s="10"/>
      <c r="B7" s="6">
        <f>IF(B12="D", 1, IF(B12="F", 2, 3))</f>
        <v>3</v>
      </c>
      <c r="F7" s="10"/>
      <c r="G7" s="12"/>
      <c r="H7" s="12"/>
      <c r="I7" s="12"/>
      <c r="J7" s="12"/>
      <c r="M7" s="10"/>
      <c r="N7" s="51"/>
      <c r="O7" s="160"/>
      <c r="P7" s="166"/>
      <c r="Q7" s="166"/>
      <c r="R7" s="164"/>
      <c r="S7" s="164"/>
    </row>
    <row r="8" spans="1:23" s="77" customFormat="1" ht="12.75" customHeight="1" x14ac:dyDescent="0.2">
      <c r="A8" s="15"/>
      <c r="B8" s="16"/>
      <c r="C8" s="17"/>
      <c r="D8" s="18"/>
      <c r="E8" s="18"/>
      <c r="F8" s="15"/>
      <c r="G8" s="12"/>
      <c r="H8" s="12"/>
      <c r="I8" s="137" t="str" cm="1">
        <f t="array" ref="I8">INDEX(Trad, N8, $R$6)</f>
        <v>Massnahme</v>
      </c>
      <c r="J8" s="12"/>
      <c r="K8" s="65"/>
      <c r="L8" s="138" t="str">
        <f>R8</f>
        <v>KA-03a</v>
      </c>
      <c r="M8" s="15"/>
      <c r="N8" s="51">
        <v>23</v>
      </c>
      <c r="O8" s="161"/>
      <c r="P8" s="168"/>
      <c r="Q8" s="166"/>
      <c r="R8" s="171" t="s">
        <v>4957</v>
      </c>
      <c r="S8" s="163" t="s">
        <v>4806</v>
      </c>
      <c r="T8" s="54"/>
      <c r="U8" s="189" t="s">
        <v>4873</v>
      </c>
    </row>
    <row r="9" spans="1:23" ht="12.75" customHeight="1" x14ac:dyDescent="0.2">
      <c r="A9" s="10"/>
      <c r="B9" s="14"/>
      <c r="C9" s="13"/>
      <c r="E9" s="13"/>
      <c r="F9" s="10"/>
      <c r="G9" s="12"/>
      <c r="H9" s="12"/>
      <c r="I9" s="137" t="str" cm="1">
        <f t="array" ref="I9">INDEX(Trad, N9, $R$6)</f>
        <v>Version</v>
      </c>
      <c r="J9" s="12"/>
      <c r="K9" s="65"/>
      <c r="L9" s="138" t="str">
        <f>R10</f>
        <v>2.0 (11.2025)</v>
      </c>
      <c r="M9" s="10"/>
      <c r="N9" s="51">
        <v>24</v>
      </c>
      <c r="O9" s="160"/>
      <c r="P9" s="166"/>
      <c r="Q9" s="166"/>
      <c r="R9" s="190">
        <v>1</v>
      </c>
      <c r="S9" s="163" t="s">
        <v>4810</v>
      </c>
    </row>
    <row r="10" spans="1:23" ht="12.75" customHeight="1" x14ac:dyDescent="0.2">
      <c r="A10" s="10"/>
      <c r="B10" s="14"/>
      <c r="C10" s="13"/>
      <c r="E10" s="13"/>
      <c r="F10" s="10"/>
      <c r="G10" s="12"/>
      <c r="H10" s="12"/>
      <c r="I10" s="12"/>
      <c r="J10" s="12"/>
      <c r="K10" s="65"/>
      <c r="L10" s="134"/>
      <c r="M10" s="10"/>
      <c r="N10" s="51"/>
      <c r="O10" s="160"/>
      <c r="P10" s="166"/>
      <c r="Q10" s="166"/>
      <c r="R10" s="190" t="str">
        <f>$Q$21&amp;" ("&amp;$Q$22&amp;")"</f>
        <v>2.0 (11.2025)</v>
      </c>
      <c r="S10" s="163" t="s">
        <v>4807</v>
      </c>
    </row>
    <row r="11" spans="1:23" ht="12.75" customHeight="1" x14ac:dyDescent="0.2">
      <c r="A11" s="10"/>
      <c r="B11" s="14"/>
      <c r="C11" s="13"/>
      <c r="E11" s="13"/>
      <c r="F11" s="10"/>
      <c r="G11" s="12"/>
      <c r="H11" s="12"/>
      <c r="I11" s="12"/>
      <c r="J11" s="12"/>
      <c r="K11" s="65"/>
      <c r="L11" s="134"/>
      <c r="M11" s="10"/>
      <c r="N11" s="51"/>
      <c r="O11" s="160"/>
      <c r="P11" s="166"/>
      <c r="Q11" s="166"/>
      <c r="R11" s="7"/>
      <c r="S11" s="7"/>
    </row>
    <row r="12" spans="1:23" ht="12.75" customHeight="1" x14ac:dyDescent="0.2">
      <c r="A12" s="10"/>
      <c r="B12" s="6">
        <f>IF(B21="D", 1, IF(B21="F", 2, 3))</f>
        <v>3</v>
      </c>
      <c r="F12" s="10"/>
      <c r="G12" s="12"/>
      <c r="H12" s="12"/>
      <c r="I12" s="12"/>
      <c r="J12" s="12"/>
      <c r="M12" s="10"/>
      <c r="N12" s="51"/>
      <c r="O12" s="160"/>
      <c r="P12" s="166"/>
      <c r="Q12" s="166"/>
      <c r="R12" s="190">
        <f>Lang + 3*(R9-1)</f>
        <v>1</v>
      </c>
      <c r="S12" s="163" t="s">
        <v>4809</v>
      </c>
    </row>
    <row r="13" spans="1:23" s="77" customFormat="1" ht="20.100000000000001" customHeight="1" x14ac:dyDescent="0.2">
      <c r="A13" s="15"/>
      <c r="B13" s="73" t="str" cm="1">
        <f t="array" ref="B13">INDEX(Trad, N13, Lang)</f>
        <v>Inhaltsverzeichnis</v>
      </c>
      <c r="C13" s="17"/>
      <c r="D13" s="18"/>
      <c r="E13" s="18"/>
      <c r="F13" s="15"/>
      <c r="G13" s="12"/>
      <c r="H13" s="12"/>
      <c r="I13" s="12"/>
      <c r="J13" s="12"/>
      <c r="K13" s="18"/>
      <c r="L13" s="18"/>
      <c r="M13" s="15"/>
      <c r="N13" s="51">
        <v>205</v>
      </c>
      <c r="O13" s="161"/>
      <c r="P13" s="168"/>
      <c r="Q13" s="166"/>
      <c r="R13" s="7"/>
      <c r="S13" s="7"/>
      <c r="T13" s="54"/>
      <c r="U13" s="7"/>
    </row>
    <row r="14" spans="1:23" ht="8.1" customHeight="1" x14ac:dyDescent="0.2">
      <c r="A14" s="10"/>
      <c r="B14" s="14"/>
      <c r="C14" s="13"/>
      <c r="E14" s="13"/>
      <c r="F14" s="10"/>
      <c r="G14" s="12"/>
      <c r="H14" s="12"/>
      <c r="I14" s="12"/>
      <c r="J14" s="12"/>
      <c r="M14" s="10"/>
      <c r="N14" s="51"/>
      <c r="O14" s="160"/>
      <c r="P14" s="166"/>
      <c r="Q14" s="166"/>
      <c r="R14" s="7"/>
      <c r="S14" s="7"/>
    </row>
    <row r="15" spans="1:23" ht="24.95" customHeight="1" x14ac:dyDescent="0.2">
      <c r="A15" s="11"/>
      <c r="B15" s="273" t="str" cm="1">
        <f t="array" ref="B15">INDEX(Trad, N15, Lang)</f>
        <v>A. Einsparprotokoll</v>
      </c>
      <c r="C15" s="274"/>
      <c r="D15" s="274"/>
      <c r="E15" s="274"/>
      <c r="F15" s="269" t="str" cm="1">
        <f t="array" ref="F15">INDEX(Trad, O15, $R$6)</f>
        <v>legt den Anwendungsbereich und die Anforderungen für die Umsetzung der Massnahme sowie an die Nachweise fest. Es ist keine Eingabe erforderlich.</v>
      </c>
      <c r="G15" s="269"/>
      <c r="H15" s="269"/>
      <c r="I15" s="269"/>
      <c r="J15" s="269"/>
      <c r="K15" s="269"/>
      <c r="L15" s="270"/>
      <c r="M15" s="10"/>
      <c r="N15" s="51">
        <v>206</v>
      </c>
      <c r="O15" s="51">
        <v>208</v>
      </c>
      <c r="P15" s="166"/>
      <c r="Q15" s="166"/>
      <c r="R15" s="7"/>
      <c r="S15" s="7"/>
    </row>
    <row r="16" spans="1:23" s="82" customFormat="1" ht="24.95" customHeight="1" x14ac:dyDescent="0.2">
      <c r="A16" s="11"/>
      <c r="B16" s="275" t="str" cm="1">
        <f t="array" ref="B16">INDEX(Trad, N16, Lang)</f>
        <v>B. Monitoringliste</v>
      </c>
      <c r="C16" s="276"/>
      <c r="D16" s="276"/>
      <c r="E16" s="276"/>
      <c r="F16" s="271" t="str" cm="1">
        <f t="array" ref="F16">INDEX(Trad, O16, $R$6)</f>
        <v>fasst die in diesem Protokoll gemeldeten Massnahmen zusammen. Alle Eingabefelder müssen für jede Massnahme ausgefüllt werden.</v>
      </c>
      <c r="G16" s="271"/>
      <c r="H16" s="271"/>
      <c r="I16" s="271"/>
      <c r="J16" s="271"/>
      <c r="K16" s="271"/>
      <c r="L16" s="272"/>
      <c r="M16" s="79"/>
      <c r="N16" s="51">
        <v>207</v>
      </c>
      <c r="O16" s="51">
        <v>209</v>
      </c>
      <c r="P16" s="169"/>
      <c r="Q16" s="166"/>
      <c r="R16" s="7"/>
      <c r="S16" s="7"/>
      <c r="T16" s="54"/>
      <c r="U16" s="7"/>
    </row>
    <row r="17" spans="1:21" s="82" customFormat="1" ht="20.100000000000001" customHeight="1" x14ac:dyDescent="0.2">
      <c r="A17" s="10"/>
      <c r="B17" s="78"/>
      <c r="C17" s="83"/>
      <c r="D17" s="7"/>
      <c r="E17" s="83"/>
      <c r="F17" s="79"/>
      <c r="G17" s="81"/>
      <c r="H17" s="81"/>
      <c r="I17" s="81"/>
      <c r="J17" s="81"/>
      <c r="K17" s="80"/>
      <c r="L17" s="80"/>
      <c r="M17" s="79"/>
      <c r="N17" s="51"/>
      <c r="O17" s="162"/>
      <c r="P17" s="169"/>
      <c r="Q17" s="166"/>
      <c r="R17" s="80"/>
      <c r="S17" s="80"/>
      <c r="T17" s="54"/>
      <c r="U17" s="7"/>
    </row>
    <row r="18" spans="1:21" ht="12.75" customHeight="1" x14ac:dyDescent="0.2">
      <c r="A18" s="10"/>
      <c r="B18" s="14"/>
      <c r="C18" s="13"/>
      <c r="E18" s="13"/>
      <c r="F18" s="10"/>
      <c r="G18" s="12"/>
      <c r="H18" s="12"/>
      <c r="I18" s="12"/>
      <c r="J18" s="12"/>
      <c r="M18" s="10"/>
      <c r="N18" s="51"/>
      <c r="O18" s="160"/>
      <c r="P18" s="166"/>
      <c r="Q18" s="166"/>
      <c r="R18" s="7"/>
      <c r="S18" s="7"/>
      <c r="T18" s="46"/>
    </row>
    <row r="19" spans="1:21" s="77" customFormat="1" ht="20.100000000000001" customHeight="1" x14ac:dyDescent="0.2">
      <c r="A19" s="15"/>
      <c r="B19" s="73" t="str" cm="1">
        <f t="array" ref="B19">INDEX(Trad, N19, Lang)</f>
        <v>Versionshistorie</v>
      </c>
      <c r="C19" s="17"/>
      <c r="D19" s="18"/>
      <c r="E19" s="18"/>
      <c r="F19" s="15"/>
      <c r="G19" s="12"/>
      <c r="H19" s="12"/>
      <c r="I19" s="12"/>
      <c r="J19" s="12"/>
      <c r="K19" s="18"/>
      <c r="L19" s="18"/>
      <c r="M19" s="15"/>
      <c r="N19" s="51">
        <v>210</v>
      </c>
      <c r="O19" s="161"/>
      <c r="P19" s="168"/>
      <c r="Q19" s="166"/>
      <c r="R19" s="18"/>
      <c r="S19" s="18"/>
      <c r="T19" s="54"/>
      <c r="U19" s="7"/>
    </row>
    <row r="20" spans="1:21" ht="8.1" customHeight="1" x14ac:dyDescent="0.2">
      <c r="A20" s="10"/>
      <c r="B20" s="14"/>
      <c r="C20" s="13"/>
      <c r="E20" s="13"/>
      <c r="F20" s="10"/>
      <c r="G20" s="12"/>
      <c r="H20" s="12"/>
      <c r="I20" s="12"/>
      <c r="J20" s="12"/>
      <c r="M20" s="10"/>
      <c r="N20" s="51"/>
      <c r="O20" s="160"/>
      <c r="P20" s="168"/>
      <c r="Q20" s="166"/>
      <c r="R20" s="7"/>
      <c r="S20" s="7"/>
    </row>
    <row r="21" spans="1:21" s="77" customFormat="1" ht="20.100000000000001" customHeight="1" x14ac:dyDescent="0.2">
      <c r="A21" s="18"/>
      <c r="B21" s="136" t="s">
        <v>4684</v>
      </c>
      <c r="C21" s="135" t="str" cm="1">
        <f t="array" ref="C21">INDEX(Trad, N21, Lang)</f>
        <v>Datum</v>
      </c>
      <c r="D21" s="277" t="str" cm="1">
        <f t="array" ref="D21">INDEX(Trad, O21, Lang)</f>
        <v>Änderung</v>
      </c>
      <c r="E21" s="278"/>
      <c r="F21" s="278"/>
      <c r="G21" s="278"/>
      <c r="H21" s="278"/>
      <c r="I21" s="278"/>
      <c r="J21" s="278"/>
      <c r="K21" s="278"/>
      <c r="L21" s="279"/>
      <c r="M21" s="18"/>
      <c r="N21" s="51">
        <v>211</v>
      </c>
      <c r="O21" s="51">
        <v>220</v>
      </c>
      <c r="P21" s="132" cm="1">
        <f t="array" ref="P21">_xlfn.XLOOKUP(TRUE, $R$22:$R$35&lt;&gt;"", $R$22:$R$35, , ,-1)</f>
        <v>2</v>
      </c>
      <c r="Q21" s="132" t="str">
        <f>TEXT(P21,"#.0")</f>
        <v>2.0</v>
      </c>
      <c r="R21" s="18"/>
      <c r="S21" s="18"/>
      <c r="T21" s="54"/>
      <c r="U21" s="7"/>
    </row>
    <row r="22" spans="1:21" ht="15" customHeight="1" x14ac:dyDescent="0.2">
      <c r="B22" s="172">
        <f>IF(OR(ISBLANK(R22), P22=R22),"",R22)</f>
        <v>1</v>
      </c>
      <c r="C22" s="149">
        <f>IF(OR(ISBLANK(S22), Q22=S22),"",S22)</f>
        <v>45597</v>
      </c>
      <c r="D22" s="280" t="str" cm="1">
        <f t="array" ref="D22">IF(ISBLANK(B22), "", INDEX(Trad, N22, Lang))</f>
        <v>Erste Fassung</v>
      </c>
      <c r="E22" s="280"/>
      <c r="F22" s="280"/>
      <c r="G22" s="280"/>
      <c r="H22" s="280"/>
      <c r="I22" s="280"/>
      <c r="J22" s="280"/>
      <c r="K22" s="280"/>
      <c r="L22" s="281"/>
      <c r="N22" s="51">
        <v>221</v>
      </c>
      <c r="O22" s="160"/>
      <c r="P22" s="146">
        <f>VLOOKUP(P21, $R$22:$S$35, 2, FALSE)</f>
        <v>45962</v>
      </c>
      <c r="Q22" s="146" t="str">
        <f>TEXT(Version!P22,"mm.aaaa")</f>
        <v>11.2025</v>
      </c>
      <c r="R22" s="178">
        <v>1</v>
      </c>
      <c r="S22" s="177">
        <v>45597</v>
      </c>
      <c r="T22" s="54">
        <f>1</f>
        <v>1</v>
      </c>
      <c r="U22" s="189" t="s">
        <v>4874</v>
      </c>
    </row>
    <row r="23" spans="1:21" ht="15" customHeight="1" x14ac:dyDescent="0.2">
      <c r="B23" s="173">
        <f t="shared" ref="B23:C35" si="0">IF(OR(ISBLANK(R23), R22=R23),"",R23)</f>
        <v>2</v>
      </c>
      <c r="C23" s="150">
        <f t="shared" si="0"/>
        <v>45962</v>
      </c>
      <c r="D23" s="264" t="str" cm="1">
        <f t="array" ref="D23">IF(ISBLANK(INDEX(Trad, N23, Lang_measure)), "", INDEX(Trad, N23, Lang_measure))</f>
        <v>Aufnahme einer Übersichtstabelle über die Änderungen zwischen den früheren Versionen</v>
      </c>
      <c r="E23" s="264"/>
      <c r="F23" s="264"/>
      <c r="G23" s="264"/>
      <c r="H23" s="264"/>
      <c r="I23" s="264"/>
      <c r="J23" s="264"/>
      <c r="K23" s="264"/>
      <c r="L23" s="265"/>
      <c r="N23" s="45">
        <v>222</v>
      </c>
      <c r="O23" s="160"/>
      <c r="P23" s="176"/>
      <c r="Q23" s="165"/>
      <c r="R23" s="178">
        <v>2</v>
      </c>
      <c r="S23" s="177">
        <v>45962</v>
      </c>
      <c r="T23" s="54">
        <f>IF(ISBLANK(R23), 1001, IF(R23&lt;&gt;R22, T22+1,T22))</f>
        <v>2</v>
      </c>
      <c r="U23" s="189"/>
    </row>
    <row r="24" spans="1:21" ht="15" customHeight="1" x14ac:dyDescent="0.2">
      <c r="B24" s="173" t="str">
        <f t="shared" si="0"/>
        <v/>
      </c>
      <c r="C24" s="150" t="str">
        <f t="shared" si="0"/>
        <v/>
      </c>
      <c r="D24" s="264" t="str" cm="1">
        <f t="array" ref="D24">IF(ISBLANK(INDEX(Trad, N24, Lang_measure)), "", INDEX(Trad, N24, Lang_measure))</f>
        <v>Einfügen des Einsparprotokolls (Tabelle A)</v>
      </c>
      <c r="E24" s="264"/>
      <c r="F24" s="264"/>
      <c r="G24" s="264"/>
      <c r="H24" s="264"/>
      <c r="I24" s="264"/>
      <c r="J24" s="264"/>
      <c r="K24" s="264"/>
      <c r="L24" s="265"/>
      <c r="N24" s="45">
        <v>223</v>
      </c>
      <c r="O24" s="160"/>
      <c r="P24" s="176"/>
      <c r="Q24" s="165"/>
      <c r="R24" s="178">
        <v>2</v>
      </c>
      <c r="S24" s="177">
        <v>45962</v>
      </c>
      <c r="T24" s="54">
        <f t="shared" ref="T24:T35" si="1">IF(ISBLANK(R24), 1001, IF(R24&lt;&gt;R23, T23+1,T23))</f>
        <v>2</v>
      </c>
      <c r="U24" s="189"/>
    </row>
    <row r="25" spans="1:21" ht="15" customHeight="1" x14ac:dyDescent="0.2">
      <c r="B25" s="173" t="str">
        <f t="shared" si="0"/>
        <v/>
      </c>
      <c r="C25" s="150" t="str">
        <f t="shared" si="0"/>
        <v/>
      </c>
      <c r="D25" s="264" t="str" cm="1">
        <f t="array" ref="D25">IF(ISBLANK(INDEX(Trad, N25, Lang_measure)), "", INDEX(Trad, N25, Lang_measure))</f>
        <v>Änderung und Aufnahme von Feldern in der Monitoringliste  (Tabelle B)</v>
      </c>
      <c r="E25" s="264"/>
      <c r="F25" s="264"/>
      <c r="G25" s="264"/>
      <c r="H25" s="264"/>
      <c r="I25" s="264"/>
      <c r="J25" s="264"/>
      <c r="K25" s="264"/>
      <c r="L25" s="265"/>
      <c r="N25" s="45">
        <v>224</v>
      </c>
      <c r="O25" s="160"/>
      <c r="P25" s="176"/>
      <c r="Q25" s="165"/>
      <c r="R25" s="178">
        <v>2</v>
      </c>
      <c r="S25" s="177">
        <v>45962</v>
      </c>
      <c r="T25" s="54">
        <f t="shared" si="1"/>
        <v>2</v>
      </c>
      <c r="U25" s="189"/>
    </row>
    <row r="26" spans="1:21" ht="15" customHeight="1" x14ac:dyDescent="0.2">
      <c r="B26" s="173" t="str">
        <f t="shared" si="0"/>
        <v/>
      </c>
      <c r="C26" s="150" t="str">
        <f t="shared" si="0"/>
        <v/>
      </c>
      <c r="D26" s="264" t="str" cm="1">
        <f t="array" ref="D26">IF(ISBLANK(INDEX(Trad, N26, Lang_measure)), "", INDEX(Trad, N26, Lang_measure))</f>
        <v>Diverse Layout Anpassungen</v>
      </c>
      <c r="E26" s="264"/>
      <c r="F26" s="264"/>
      <c r="G26" s="264"/>
      <c r="H26" s="264"/>
      <c r="I26" s="264"/>
      <c r="J26" s="264"/>
      <c r="K26" s="264"/>
      <c r="L26" s="265"/>
      <c r="N26" s="45">
        <v>225</v>
      </c>
      <c r="O26" s="160"/>
      <c r="P26" s="176"/>
      <c r="Q26" s="165"/>
      <c r="R26" s="178">
        <v>2</v>
      </c>
      <c r="S26" s="177">
        <v>45962</v>
      </c>
      <c r="T26" s="54">
        <f t="shared" si="1"/>
        <v>2</v>
      </c>
      <c r="U26" s="189"/>
    </row>
    <row r="27" spans="1:21" ht="15" customHeight="1" x14ac:dyDescent="0.2">
      <c r="B27" s="173" t="str">
        <f t="shared" si="0"/>
        <v/>
      </c>
      <c r="C27" s="150" t="str">
        <f t="shared" si="0"/>
        <v/>
      </c>
      <c r="D27" s="264" t="str" cm="1">
        <f t="array" ref="D27">IF(ISBLANK(INDEX(Trad, N27, Lang_measure)), "", INDEX(Trad, N27, Lang_measure))</f>
        <v/>
      </c>
      <c r="E27" s="264"/>
      <c r="F27" s="264"/>
      <c r="G27" s="264"/>
      <c r="H27" s="264"/>
      <c r="I27" s="264"/>
      <c r="J27" s="264"/>
      <c r="K27" s="264"/>
      <c r="L27" s="265"/>
      <c r="N27" s="45">
        <v>226</v>
      </c>
      <c r="O27" s="160"/>
      <c r="P27" s="176"/>
      <c r="Q27" s="165"/>
      <c r="R27" s="178"/>
      <c r="S27" s="177"/>
      <c r="T27" s="54">
        <f t="shared" si="1"/>
        <v>1001</v>
      </c>
      <c r="U27" s="189"/>
    </row>
    <row r="28" spans="1:21" ht="15" customHeight="1" x14ac:dyDescent="0.2">
      <c r="B28" s="173" t="str">
        <f t="shared" si="0"/>
        <v/>
      </c>
      <c r="C28" s="150" t="str">
        <f t="shared" si="0"/>
        <v/>
      </c>
      <c r="D28" s="264" t="str" cm="1">
        <f t="array" ref="D28">IF(ISBLANK(INDEX(Trad, N28, Lang_measure)), "", INDEX(Trad, N28, Lang_measure))</f>
        <v/>
      </c>
      <c r="E28" s="264"/>
      <c r="F28" s="264"/>
      <c r="G28" s="264"/>
      <c r="H28" s="264"/>
      <c r="I28" s="264"/>
      <c r="J28" s="264"/>
      <c r="K28" s="264"/>
      <c r="L28" s="265"/>
      <c r="N28" s="45">
        <v>227</v>
      </c>
      <c r="O28" s="160"/>
      <c r="P28" s="176"/>
      <c r="Q28" s="165"/>
      <c r="R28" s="178"/>
      <c r="S28" s="177"/>
      <c r="T28" s="54">
        <f t="shared" si="1"/>
        <v>1001</v>
      </c>
      <c r="U28" s="189"/>
    </row>
    <row r="29" spans="1:21" ht="15" customHeight="1" x14ac:dyDescent="0.2">
      <c r="B29" s="173" t="str">
        <f t="shared" si="0"/>
        <v/>
      </c>
      <c r="C29" s="150" t="str">
        <f t="shared" si="0"/>
        <v/>
      </c>
      <c r="D29" s="264" t="str" cm="1">
        <f t="array" ref="D29">IF(ISBLANK(INDEX(Trad, N29, Lang_measure)), "", INDEX(Trad, N29, Lang_measure))</f>
        <v/>
      </c>
      <c r="E29" s="264"/>
      <c r="F29" s="264"/>
      <c r="G29" s="264"/>
      <c r="H29" s="264"/>
      <c r="I29" s="264"/>
      <c r="J29" s="264"/>
      <c r="K29" s="264"/>
      <c r="L29" s="265"/>
      <c r="N29" s="45">
        <v>228</v>
      </c>
      <c r="O29" s="160"/>
      <c r="P29" s="176"/>
      <c r="Q29" s="165"/>
      <c r="R29" s="178"/>
      <c r="S29" s="177"/>
      <c r="T29" s="54">
        <f t="shared" si="1"/>
        <v>1001</v>
      </c>
      <c r="U29" s="189"/>
    </row>
    <row r="30" spans="1:21" ht="15" customHeight="1" x14ac:dyDescent="0.2">
      <c r="B30" s="173" t="str">
        <f t="shared" si="0"/>
        <v/>
      </c>
      <c r="C30" s="150" t="str">
        <f t="shared" si="0"/>
        <v/>
      </c>
      <c r="D30" s="264" t="str" cm="1">
        <f t="array" ref="D30">IF(ISBLANK(INDEX(Trad, N30, Lang_measure)), "", INDEX(Trad, N30, Lang_measure))</f>
        <v/>
      </c>
      <c r="E30" s="264"/>
      <c r="F30" s="264"/>
      <c r="G30" s="264"/>
      <c r="H30" s="264"/>
      <c r="I30" s="264"/>
      <c r="J30" s="264"/>
      <c r="K30" s="264"/>
      <c r="L30" s="265"/>
      <c r="N30" s="45">
        <v>229</v>
      </c>
      <c r="O30" s="160"/>
      <c r="P30" s="176"/>
      <c r="Q30" s="165"/>
      <c r="R30" s="178"/>
      <c r="S30" s="177"/>
      <c r="T30" s="54">
        <f t="shared" si="1"/>
        <v>1001</v>
      </c>
      <c r="U30" s="189"/>
    </row>
    <row r="31" spans="1:21" ht="15" customHeight="1" x14ac:dyDescent="0.2">
      <c r="B31" s="173" t="str">
        <f t="shared" si="0"/>
        <v/>
      </c>
      <c r="C31" s="150" t="str">
        <f t="shared" si="0"/>
        <v/>
      </c>
      <c r="D31" s="264" t="str" cm="1">
        <f t="array" ref="D31">IF(ISBLANK(INDEX(Trad, N31, Lang_measure)), "", INDEX(Trad, N31, Lang_measure))</f>
        <v/>
      </c>
      <c r="E31" s="264"/>
      <c r="F31" s="264"/>
      <c r="G31" s="264"/>
      <c r="H31" s="264"/>
      <c r="I31" s="264"/>
      <c r="J31" s="264"/>
      <c r="K31" s="264"/>
      <c r="L31" s="265"/>
      <c r="N31" s="45">
        <v>230</v>
      </c>
      <c r="O31" s="160"/>
      <c r="P31" s="176"/>
      <c r="Q31" s="165"/>
      <c r="R31" s="178"/>
      <c r="S31" s="177"/>
      <c r="T31" s="54">
        <f t="shared" si="1"/>
        <v>1001</v>
      </c>
      <c r="U31" s="189"/>
    </row>
    <row r="32" spans="1:21" ht="15" customHeight="1" x14ac:dyDescent="0.2">
      <c r="B32" s="173" t="str">
        <f t="shared" si="0"/>
        <v/>
      </c>
      <c r="C32" s="150" t="str">
        <f t="shared" si="0"/>
        <v/>
      </c>
      <c r="D32" s="264" t="str" cm="1">
        <f t="array" ref="D32">IF(ISBLANK(INDEX(Trad, N32, Lang_measure)), "", INDEX(Trad, N32, Lang_measure))</f>
        <v/>
      </c>
      <c r="E32" s="264"/>
      <c r="F32" s="264"/>
      <c r="G32" s="264"/>
      <c r="H32" s="264"/>
      <c r="I32" s="264"/>
      <c r="J32" s="264"/>
      <c r="K32" s="264"/>
      <c r="L32" s="265"/>
      <c r="N32" s="45">
        <v>227</v>
      </c>
      <c r="O32" s="160"/>
      <c r="P32" s="176"/>
      <c r="Q32" s="165"/>
      <c r="R32" s="178"/>
      <c r="S32" s="177"/>
      <c r="T32" s="54">
        <f t="shared" si="1"/>
        <v>1001</v>
      </c>
      <c r="U32" s="189"/>
    </row>
    <row r="33" spans="1:23" ht="15" customHeight="1" x14ac:dyDescent="0.2">
      <c r="B33" s="173" t="str">
        <f t="shared" si="0"/>
        <v/>
      </c>
      <c r="C33" s="150" t="str">
        <f t="shared" si="0"/>
        <v/>
      </c>
      <c r="D33" s="264" t="str" cm="1">
        <f t="array" ref="D33">IF(ISBLANK(INDEX(Trad, N33, Lang_measure)), "", INDEX(Trad, N33, Lang_measure))</f>
        <v/>
      </c>
      <c r="E33" s="264"/>
      <c r="F33" s="264"/>
      <c r="G33" s="264"/>
      <c r="H33" s="264"/>
      <c r="I33" s="264"/>
      <c r="J33" s="264"/>
      <c r="K33" s="264"/>
      <c r="L33" s="265"/>
      <c r="N33" s="45">
        <v>228</v>
      </c>
      <c r="O33" s="160"/>
      <c r="P33" s="176"/>
      <c r="Q33" s="165"/>
      <c r="R33" s="178"/>
      <c r="S33" s="177"/>
      <c r="T33" s="54">
        <f t="shared" si="1"/>
        <v>1001</v>
      </c>
      <c r="U33" s="189"/>
    </row>
    <row r="34" spans="1:23" ht="15" customHeight="1" x14ac:dyDescent="0.2">
      <c r="B34" s="173" t="str">
        <f t="shared" si="0"/>
        <v/>
      </c>
      <c r="C34" s="150" t="str">
        <f t="shared" si="0"/>
        <v/>
      </c>
      <c r="D34" s="264" t="str" cm="1">
        <f t="array" ref="D34">IF(ISBLANK(INDEX(Trad, N34, Lang_measure)), "", INDEX(Trad, N34, Lang_measure))</f>
        <v/>
      </c>
      <c r="E34" s="264"/>
      <c r="F34" s="264"/>
      <c r="G34" s="264"/>
      <c r="H34" s="264"/>
      <c r="I34" s="264"/>
      <c r="J34" s="264"/>
      <c r="K34" s="264"/>
      <c r="L34" s="265"/>
      <c r="N34" s="45">
        <v>229</v>
      </c>
      <c r="O34" s="160"/>
      <c r="P34" s="176"/>
      <c r="Q34" s="165"/>
      <c r="R34" s="178"/>
      <c r="S34" s="177"/>
      <c r="T34" s="54">
        <f t="shared" si="1"/>
        <v>1001</v>
      </c>
      <c r="U34" s="189"/>
    </row>
    <row r="35" spans="1:23" ht="15" customHeight="1" x14ac:dyDescent="0.2">
      <c r="B35" s="174" t="str">
        <f t="shared" si="0"/>
        <v/>
      </c>
      <c r="C35" s="151" t="str">
        <f t="shared" si="0"/>
        <v/>
      </c>
      <c r="D35" s="267" t="str" cm="1">
        <f t="array" ref="D35">IF(ISBLANK(INDEX(Trad, N35, Lang_measure)), "", INDEX(Trad, N35, Lang_measure))</f>
        <v/>
      </c>
      <c r="E35" s="267"/>
      <c r="F35" s="267"/>
      <c r="G35" s="267"/>
      <c r="H35" s="267"/>
      <c r="I35" s="267"/>
      <c r="J35" s="267"/>
      <c r="K35" s="267"/>
      <c r="L35" s="268"/>
      <c r="N35" s="45">
        <v>230</v>
      </c>
      <c r="O35" s="160"/>
      <c r="P35" s="176"/>
      <c r="Q35" s="165"/>
      <c r="R35" s="178"/>
      <c r="S35" s="177"/>
      <c r="T35" s="54">
        <f t="shared" si="1"/>
        <v>1001</v>
      </c>
      <c r="U35" s="189"/>
    </row>
    <row r="36" spans="1:23" ht="15" customHeight="1" x14ac:dyDescent="0.2">
      <c r="B36" s="130"/>
      <c r="C36" s="131"/>
      <c r="D36" s="131"/>
      <c r="E36" s="131"/>
      <c r="F36" s="131"/>
      <c r="G36" s="131"/>
      <c r="H36" s="131"/>
      <c r="I36" s="131"/>
      <c r="J36" s="131"/>
      <c r="K36" s="131"/>
      <c r="L36" s="131"/>
      <c r="N36" s="51"/>
      <c r="O36" s="160"/>
      <c r="P36" s="168"/>
      <c r="Q36" s="166"/>
      <c r="R36" s="7"/>
      <c r="S36" s="7"/>
    </row>
    <row r="37" spans="1:23" ht="15" customHeight="1" x14ac:dyDescent="0.2">
      <c r="N37" s="51"/>
      <c r="O37" s="160"/>
      <c r="P37" s="168"/>
      <c r="Q37" s="166"/>
      <c r="R37" s="7"/>
      <c r="S37" s="7"/>
    </row>
    <row r="38" spans="1:23" ht="15" customHeight="1" x14ac:dyDescent="0.2">
      <c r="N38" s="51"/>
      <c r="O38" s="160"/>
      <c r="P38" s="166"/>
      <c r="Q38" s="166"/>
      <c r="R38" s="7"/>
      <c r="S38" s="7"/>
    </row>
    <row r="39" spans="1:23" ht="15" customHeight="1" x14ac:dyDescent="0.2">
      <c r="N39" s="51"/>
      <c r="O39" s="160"/>
      <c r="P39" s="166"/>
      <c r="Q39" s="166"/>
      <c r="R39" s="7"/>
      <c r="S39" s="7"/>
    </row>
    <row r="40" spans="1:23" ht="15" customHeight="1" x14ac:dyDescent="0.2">
      <c r="N40" s="51"/>
      <c r="O40" s="160"/>
      <c r="P40" s="166"/>
      <c r="Q40" s="166"/>
      <c r="R40" s="7"/>
      <c r="S40" s="7"/>
    </row>
    <row r="41" spans="1:23" s="47" customFormat="1" ht="13.5" customHeight="1" x14ac:dyDescent="0.2">
      <c r="A41" s="35"/>
      <c r="B41" s="24" t="str" cm="1">
        <f t="array" ref="B41">INDEX(Trad, N41, Lang)</f>
        <v>Disclaimer</v>
      </c>
      <c r="C41" s="24"/>
      <c r="D41" s="50"/>
      <c r="E41" s="50"/>
      <c r="F41" s="50"/>
      <c r="G41" s="50"/>
      <c r="H41" s="50"/>
      <c r="I41" s="50"/>
      <c r="J41" s="50"/>
      <c r="K41" s="50"/>
      <c r="L41" s="50"/>
      <c r="M41" s="50"/>
      <c r="N41" s="51">
        <v>240</v>
      </c>
      <c r="O41" s="160"/>
      <c r="P41" s="166"/>
      <c r="Q41" s="166"/>
      <c r="R41" s="7"/>
      <c r="S41" s="7"/>
      <c r="T41" s="122"/>
      <c r="U41" s="7"/>
      <c r="V41" s="76"/>
      <c r="W41" s="76"/>
    </row>
    <row r="42" spans="1:23" s="47" customFormat="1" ht="58.5" customHeight="1" x14ac:dyDescent="0.2">
      <c r="A42" s="35"/>
      <c r="B42" s="266" t="str" cm="1">
        <f t="array" ref="B42">INDEX(Trad, N42, Lang)</f>
        <v>Dieses Dokument dient ausschliesslich für den Nachweis der Umsetzung der erwähnten Energieeffizienzmassnahme nach Artikel 46b EnG. Die enthaltenen Angaben und Berechnungen wurden anhand von Normen, Studien und Erfahrungswerten erstellt. Dieses Einsparprotokoll kann nicht anderweitig als Beleg der effektiven Stromeinsparungen, welche durch die jeweilige Effizienzmassnahme erbracht wurden, verwendet werden. Das Bundesamt für Energie übernimmt keinerlei Gewähr für eine Verwendung ausserhalb des Nachweises der Umsetzung nach Artikel 46b EnG.</v>
      </c>
      <c r="C42" s="266"/>
      <c r="D42" s="266"/>
      <c r="E42" s="266"/>
      <c r="F42" s="266"/>
      <c r="G42" s="266"/>
      <c r="H42" s="266"/>
      <c r="I42" s="266"/>
      <c r="J42" s="266"/>
      <c r="K42" s="266"/>
      <c r="L42" s="266"/>
      <c r="M42" s="50"/>
      <c r="N42" s="51">
        <v>241</v>
      </c>
      <c r="O42" s="160"/>
      <c r="P42" s="166"/>
      <c r="Q42" s="166"/>
      <c r="R42" s="7"/>
      <c r="S42" s="7"/>
      <c r="T42" s="54"/>
      <c r="U42" s="7"/>
      <c r="V42" s="76"/>
      <c r="W42" s="76"/>
    </row>
    <row r="43" spans="1:23" x14ac:dyDescent="0.2">
      <c r="N43" s="51"/>
      <c r="O43" s="160"/>
      <c r="P43" s="166"/>
      <c r="Q43" s="166"/>
      <c r="R43" s="7"/>
      <c r="S43" s="7"/>
      <c r="T43" s="46"/>
    </row>
    <row r="44" spans="1:23" x14ac:dyDescent="0.2">
      <c r="N44" s="51"/>
      <c r="O44" s="160"/>
      <c r="P44" s="166"/>
      <c r="Q44" s="166"/>
      <c r="R44" s="7"/>
      <c r="S44" s="7"/>
    </row>
    <row r="45" spans="1:23" x14ac:dyDescent="0.2">
      <c r="N45" s="51"/>
      <c r="O45" s="160"/>
      <c r="P45" s="166"/>
      <c r="Q45" s="166"/>
      <c r="R45" s="7"/>
      <c r="S45" s="7"/>
    </row>
    <row r="46" spans="1:23" x14ac:dyDescent="0.2">
      <c r="N46" s="51"/>
      <c r="O46" s="160"/>
      <c r="P46" s="166"/>
      <c r="Q46" s="166"/>
      <c r="R46" s="7"/>
      <c r="S46" s="7"/>
    </row>
    <row r="47" spans="1:23" x14ac:dyDescent="0.2">
      <c r="N47" s="51"/>
      <c r="O47" s="160"/>
      <c r="P47" s="166"/>
      <c r="Q47" s="166"/>
      <c r="R47" s="7"/>
      <c r="S47" s="7"/>
    </row>
    <row r="48" spans="1:23" x14ac:dyDescent="0.2">
      <c r="N48" s="51"/>
      <c r="O48" s="160"/>
      <c r="P48" s="166"/>
      <c r="Q48" s="166"/>
      <c r="R48" s="7"/>
      <c r="S48" s="7"/>
    </row>
    <row r="49" spans="14:20" hidden="1" x14ac:dyDescent="0.2">
      <c r="N49" s="51"/>
    </row>
    <row r="50" spans="14:20" hidden="1" x14ac:dyDescent="0.2">
      <c r="N50" s="51"/>
    </row>
    <row r="51" spans="14:20" hidden="1" x14ac:dyDescent="0.2">
      <c r="N51" s="51"/>
      <c r="T51" s="54">
        <v>10</v>
      </c>
    </row>
    <row r="52" spans="14:20" hidden="1" x14ac:dyDescent="0.2">
      <c r="N52" s="51"/>
    </row>
    <row r="53" spans="14:20" hidden="1" x14ac:dyDescent="0.2">
      <c r="N53" s="51"/>
    </row>
    <row r="54" spans="14:20" hidden="1" x14ac:dyDescent="0.2">
      <c r="N54" s="51"/>
      <c r="T54" s="54">
        <v>10</v>
      </c>
    </row>
    <row r="55" spans="14:20" hidden="1" x14ac:dyDescent="0.2">
      <c r="N55" s="51"/>
    </row>
    <row r="56" spans="14:20" hidden="1" x14ac:dyDescent="0.2">
      <c r="N56" s="51"/>
    </row>
    <row r="57" spans="14:20" hidden="1" x14ac:dyDescent="0.2">
      <c r="N57" s="51"/>
      <c r="T57" s="54">
        <v>10</v>
      </c>
    </row>
    <row r="58" spans="14:20" hidden="1" x14ac:dyDescent="0.2">
      <c r="N58" s="51"/>
    </row>
    <row r="59" spans="14:20" hidden="1" x14ac:dyDescent="0.2">
      <c r="N59" s="51"/>
    </row>
    <row r="60" spans="14:20" hidden="1" x14ac:dyDescent="0.2">
      <c r="N60" s="51"/>
      <c r="T60" s="54">
        <v>10</v>
      </c>
    </row>
    <row r="61" spans="14:20" hidden="1" x14ac:dyDescent="0.2">
      <c r="N61" s="51"/>
    </row>
    <row r="62" spans="14:20" hidden="1" x14ac:dyDescent="0.2">
      <c r="N62" s="51"/>
    </row>
    <row r="63" spans="14:20" hidden="1" x14ac:dyDescent="0.2">
      <c r="N63" s="51"/>
      <c r="T63" s="54">
        <v>10</v>
      </c>
    </row>
    <row r="64" spans="14:20" hidden="1" x14ac:dyDescent="0.2">
      <c r="N64" s="51"/>
    </row>
    <row r="65" spans="14:20" hidden="1" x14ac:dyDescent="0.2">
      <c r="N65" s="51"/>
      <c r="T65" s="122">
        <v>8</v>
      </c>
    </row>
    <row r="66" spans="14:20" hidden="1" x14ac:dyDescent="0.2">
      <c r="N66" s="51"/>
    </row>
    <row r="67" spans="14:20" hidden="1" x14ac:dyDescent="0.2">
      <c r="N67" s="51"/>
      <c r="T67" s="54">
        <v>10</v>
      </c>
    </row>
    <row r="68" spans="14:20" hidden="1" x14ac:dyDescent="0.2">
      <c r="N68" s="51"/>
      <c r="T68" s="54">
        <v>10</v>
      </c>
    </row>
    <row r="69" spans="14:20" hidden="1" x14ac:dyDescent="0.2">
      <c r="N69" s="51"/>
    </row>
    <row r="70" spans="14:20" hidden="1" x14ac:dyDescent="0.2">
      <c r="N70" s="51"/>
      <c r="T70" s="46">
        <v>11</v>
      </c>
    </row>
    <row r="71" spans="14:20" hidden="1" x14ac:dyDescent="0.2">
      <c r="N71" s="51"/>
      <c r="T71" s="54">
        <v>10</v>
      </c>
    </row>
    <row r="72" spans="14:20" hidden="1" x14ac:dyDescent="0.2">
      <c r="N72" s="51"/>
    </row>
    <row r="73" spans="14:20" hidden="1" x14ac:dyDescent="0.2">
      <c r="N73" s="51"/>
      <c r="T73" s="46">
        <v>11</v>
      </c>
    </row>
    <row r="74" spans="14:20" hidden="1" x14ac:dyDescent="0.2">
      <c r="N74" s="51"/>
      <c r="T74" s="46"/>
    </row>
    <row r="75" spans="14:20" hidden="1" x14ac:dyDescent="0.2">
      <c r="N75" s="51"/>
    </row>
    <row r="76" spans="14:20" hidden="1" x14ac:dyDescent="0.2">
      <c r="N76" s="51"/>
      <c r="T76" s="54">
        <v>8</v>
      </c>
    </row>
    <row r="77" spans="14:20" hidden="1" x14ac:dyDescent="0.2">
      <c r="N77" s="51"/>
    </row>
    <row r="78" spans="14:20" hidden="1" x14ac:dyDescent="0.2">
      <c r="N78" s="51"/>
      <c r="T78" s="46">
        <v>11</v>
      </c>
    </row>
    <row r="79" spans="14:20" hidden="1" x14ac:dyDescent="0.2">
      <c r="N79" s="51"/>
    </row>
    <row r="80" spans="14:20" hidden="1" x14ac:dyDescent="0.2">
      <c r="N80" s="51"/>
    </row>
    <row r="81" spans="14:14" hidden="1" x14ac:dyDescent="0.2">
      <c r="N81" s="51"/>
    </row>
    <row r="82" spans="14:14" hidden="1" x14ac:dyDescent="0.2">
      <c r="N82" s="51"/>
    </row>
    <row r="83" spans="14:14" hidden="1" x14ac:dyDescent="0.2">
      <c r="N83" s="51"/>
    </row>
  </sheetData>
  <sheetProtection algorithmName="SHA-512" hashValue="yTqcdGweKyr/Ntnyuplc6tVoL2+/PAQFjMy57ubmxMLNYr4IlwE9Z4rdK4G9BjFpg+PO4om6zJ8dVDnDQsr5SA==" saltValue="xPiqUJno4Cn8x0lfzS/LsQ==" spinCount="100000" sheet="1" objects="1" scenarios="1"/>
  <mergeCells count="20">
    <mergeCell ref="D24:L24"/>
    <mergeCell ref="D25:L25"/>
    <mergeCell ref="D26:L26"/>
    <mergeCell ref="F15:L15"/>
    <mergeCell ref="F16:L16"/>
    <mergeCell ref="B15:E15"/>
    <mergeCell ref="B16:E16"/>
    <mergeCell ref="D21:L21"/>
    <mergeCell ref="D22:L22"/>
    <mergeCell ref="D23:L23"/>
    <mergeCell ref="D27:L27"/>
    <mergeCell ref="B42:L42"/>
    <mergeCell ref="D28:L28"/>
    <mergeCell ref="D29:L29"/>
    <mergeCell ref="D30:L30"/>
    <mergeCell ref="D32:L32"/>
    <mergeCell ref="D33:L33"/>
    <mergeCell ref="D34:L34"/>
    <mergeCell ref="D35:L35"/>
    <mergeCell ref="D31:L31"/>
  </mergeCells>
  <phoneticPr fontId="23" type="noConversion"/>
  <conditionalFormatting sqref="B22:L35">
    <cfRule type="expression" dxfId="2" priority="1">
      <formula>AND(NOT(ISBLANK($R22)), ISEVEN($T22))=TRUE</formula>
    </cfRule>
  </conditionalFormatting>
  <dataValidations count="1">
    <dataValidation type="list" allowBlank="1" showInputMessage="1" showErrorMessage="1" sqref="L6" xr:uid="{E6920D81-BC04-4772-B4BB-98870D664D7D}">
      <formula1>"D,F,I"</formula1>
    </dataValidation>
  </dataValidations>
  <hyperlinks>
    <hyperlink ref="B15" location="A!A1" display="A!A1" xr:uid="{1D3F9DB4-041C-4B56-B2AA-3734D1526C8B}"/>
    <hyperlink ref="B16" location="B!A1" display="B!A1" xr:uid="{52B8788D-47B6-44F4-AC03-D7B3523C635C}"/>
  </hyperlinks>
  <pageMargins left="0.70866141732283472" right="0.70866141732283472" top="0.74803149606299213" bottom="0.74803149606299213" header="0.31496062992125984" footer="0.31496062992125984"/>
  <pageSetup paperSize="9" scale="82" fitToHeight="0" orientation="portrait" horizontalDpi="90" verticalDpi="90" r:id="rId1"/>
  <headerFooter>
    <oddFooter>&amp;R&amp;"Arial,Standard"&amp;7&amp;P / &amp;N</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F23D5-B385-4531-872F-6D2199BEE37F}">
  <sheetPr>
    <tabColor theme="0"/>
    <pageSetUpPr fitToPage="1"/>
  </sheetPr>
  <dimension ref="A1:AY90"/>
  <sheetViews>
    <sheetView topLeftCell="A47" zoomScaleNormal="100" zoomScalePageLayoutView="115" workbookViewId="0"/>
  </sheetViews>
  <sheetFormatPr baseColWidth="10" defaultColWidth="0" defaultRowHeight="0" customHeight="1" zeroHeight="1" x14ac:dyDescent="0.2"/>
  <cols>
    <col min="1" max="1" width="7.7109375" style="50" customWidth="1"/>
    <col min="2" max="2" width="4.7109375" style="50" customWidth="1"/>
    <col min="3" max="4" width="6.7109375" style="50" customWidth="1"/>
    <col min="5" max="12" width="8.7109375" style="50" customWidth="1"/>
    <col min="13" max="13" width="7.7109375" style="50" customWidth="1"/>
    <col min="14" max="18" width="5.7109375" style="51" hidden="1" customWidth="1"/>
    <col min="19" max="19" width="10.7109375" style="53" hidden="1" customWidth="1"/>
    <col min="20" max="21" width="10.7109375" style="76" hidden="1" customWidth="1"/>
    <col min="22" max="25" width="10.7109375" style="54" hidden="1" customWidth="1"/>
    <col min="26" max="26" width="100.7109375" style="76" hidden="1" customWidth="1"/>
    <col min="27" max="16384" width="9.140625" style="47" hidden="1"/>
  </cols>
  <sheetData>
    <row r="1" spans="1:51" ht="30" customHeight="1" x14ac:dyDescent="0.2">
      <c r="A1" s="11"/>
      <c r="B1" s="11"/>
      <c r="C1" s="11"/>
      <c r="D1" s="11"/>
      <c r="E1" s="11"/>
      <c r="F1" s="11"/>
      <c r="G1" s="11"/>
      <c r="H1" s="11"/>
      <c r="I1" s="11"/>
      <c r="J1" s="11"/>
      <c r="K1" s="11"/>
      <c r="L1" s="11"/>
      <c r="M1" s="11"/>
      <c r="N1" s="159" t="s">
        <v>4624</v>
      </c>
      <c r="O1" s="159" t="s">
        <v>4624</v>
      </c>
      <c r="P1" s="159" t="s">
        <v>4624</v>
      </c>
      <c r="Q1" s="159" t="s">
        <v>4624</v>
      </c>
      <c r="R1" s="159" t="s">
        <v>4624</v>
      </c>
      <c r="S1" s="180" t="s">
        <v>4808</v>
      </c>
      <c r="T1" s="179" t="s">
        <v>4812</v>
      </c>
      <c r="U1" s="179" t="s">
        <v>4812</v>
      </c>
      <c r="V1" s="46" t="s">
        <v>4625</v>
      </c>
      <c r="W1" s="46" t="s">
        <v>4625</v>
      </c>
      <c r="X1" s="46" t="s">
        <v>4625</v>
      </c>
      <c r="Y1" s="46" t="s">
        <v>4625</v>
      </c>
      <c r="Z1" s="179" t="s">
        <v>4869</v>
      </c>
    </row>
    <row r="2" spans="1:51" s="65" customFormat="1" ht="12" customHeight="1" x14ac:dyDescent="0.2">
      <c r="A2" s="63"/>
      <c r="B2" s="316" t="str" cm="1">
        <f t="array" ref="B2">INDEX(Trad, 204, Lang)</f>
        <v>Zurück zur Übersicht</v>
      </c>
      <c r="C2" s="316"/>
      <c r="D2" s="316"/>
      <c r="E2" s="316"/>
      <c r="F2" s="72"/>
      <c r="G2" s="72"/>
      <c r="H2" s="72"/>
      <c r="I2" s="72"/>
      <c r="J2" s="72"/>
      <c r="K2" s="72"/>
      <c r="L2" s="72"/>
      <c r="M2" s="72"/>
      <c r="N2" s="51"/>
      <c r="O2" s="52"/>
      <c r="P2" s="52"/>
      <c r="Q2" s="52"/>
      <c r="R2" s="52"/>
      <c r="S2" s="53"/>
      <c r="T2" s="7"/>
      <c r="U2" s="7"/>
      <c r="V2" s="54"/>
      <c r="W2" s="54"/>
      <c r="X2" s="54"/>
      <c r="Y2" s="54"/>
      <c r="Z2" s="7"/>
      <c r="AA2" s="47"/>
      <c r="AB2" s="47"/>
      <c r="AC2" s="47"/>
      <c r="AD2" s="47"/>
      <c r="AE2" s="47"/>
      <c r="AF2" s="47"/>
      <c r="AG2" s="47"/>
      <c r="AH2" s="47"/>
      <c r="AI2" s="47"/>
      <c r="AJ2" s="47"/>
      <c r="AK2" s="47"/>
      <c r="AL2" s="47"/>
      <c r="AM2" s="47"/>
      <c r="AN2" s="47"/>
      <c r="AO2" s="47"/>
      <c r="AP2" s="47"/>
      <c r="AQ2" s="47"/>
      <c r="AR2" s="47"/>
      <c r="AS2" s="47"/>
      <c r="AT2" s="47"/>
      <c r="AU2" s="47"/>
      <c r="AV2" s="47"/>
      <c r="AW2" s="47"/>
      <c r="AX2" s="47"/>
      <c r="AY2" s="47"/>
    </row>
    <row r="3" spans="1:51" s="65" customFormat="1" ht="15" customHeight="1" x14ac:dyDescent="0.2">
      <c r="A3" s="63"/>
      <c r="B3" s="133"/>
      <c r="D3" s="134"/>
      <c r="F3" s="72"/>
      <c r="G3" s="72"/>
      <c r="H3" s="72"/>
      <c r="I3" s="72"/>
      <c r="J3" s="72"/>
      <c r="K3" s="72"/>
      <c r="L3" s="72"/>
      <c r="M3" s="72"/>
      <c r="N3" s="51"/>
      <c r="O3" s="52"/>
      <c r="P3" s="52"/>
      <c r="Q3" s="52"/>
      <c r="R3" s="52"/>
      <c r="S3" s="53"/>
      <c r="T3" s="7"/>
      <c r="U3" s="7"/>
      <c r="V3" s="54"/>
      <c r="W3" s="54"/>
      <c r="X3" s="54"/>
      <c r="Y3" s="54"/>
      <c r="Z3" s="7"/>
      <c r="AA3" s="47"/>
      <c r="AB3" s="47"/>
      <c r="AC3" s="47"/>
      <c r="AD3" s="47"/>
      <c r="AE3" s="47"/>
      <c r="AF3" s="47"/>
      <c r="AG3" s="47"/>
      <c r="AH3" s="47"/>
      <c r="AI3" s="47"/>
      <c r="AJ3" s="47"/>
      <c r="AK3" s="47"/>
      <c r="AL3" s="47"/>
      <c r="AM3" s="47"/>
      <c r="AN3" s="47"/>
      <c r="AO3" s="47"/>
      <c r="AP3" s="47"/>
      <c r="AQ3" s="47"/>
      <c r="AR3" s="47"/>
      <c r="AS3" s="47"/>
      <c r="AT3" s="47"/>
      <c r="AU3" s="47"/>
      <c r="AV3" s="47"/>
      <c r="AW3" s="47"/>
      <c r="AX3" s="47"/>
      <c r="AY3" s="47"/>
    </row>
    <row r="4" spans="1:51" s="55" customFormat="1" ht="9.9499999999999993" customHeight="1" x14ac:dyDescent="0.2">
      <c r="A4" s="28"/>
      <c r="B4" s="28"/>
      <c r="C4" s="28"/>
      <c r="D4" s="28"/>
      <c r="E4" s="28"/>
      <c r="F4" s="28"/>
      <c r="G4" s="28"/>
      <c r="H4" s="48"/>
      <c r="I4" s="49" t="str" cm="1">
        <f t="array" ref="I4">INDEX(Trad, N4, Lang)</f>
        <v>Eidgenössisches Departement für Umwelt, Verkehr,</v>
      </c>
      <c r="J4" s="49"/>
      <c r="K4" s="33"/>
      <c r="L4" s="28"/>
      <c r="M4" s="50"/>
      <c r="N4" s="51">
        <v>200</v>
      </c>
      <c r="O4" s="52"/>
      <c r="P4" s="52"/>
      <c r="Q4" s="52"/>
      <c r="R4" s="52"/>
      <c r="S4" s="53"/>
      <c r="T4" s="7"/>
      <c r="U4" s="7"/>
      <c r="V4" s="54"/>
      <c r="W4" s="54"/>
      <c r="X4" s="54"/>
      <c r="Y4" s="54"/>
      <c r="Z4" s="7"/>
      <c r="AA4" s="47"/>
      <c r="AB4" s="47"/>
      <c r="AC4" s="47"/>
      <c r="AD4" s="47"/>
      <c r="AE4" s="47"/>
      <c r="AF4" s="47"/>
      <c r="AG4" s="47"/>
      <c r="AH4" s="47"/>
      <c r="AI4" s="47"/>
      <c r="AJ4" s="47"/>
      <c r="AK4" s="47"/>
      <c r="AL4" s="47"/>
      <c r="AM4" s="47"/>
      <c r="AN4" s="47"/>
      <c r="AO4" s="47"/>
      <c r="AP4" s="47"/>
      <c r="AQ4" s="47"/>
      <c r="AR4" s="47"/>
      <c r="AS4" s="47"/>
      <c r="AT4" s="47"/>
      <c r="AU4" s="47"/>
      <c r="AV4" s="47"/>
      <c r="AW4" s="47"/>
      <c r="AX4" s="47"/>
      <c r="AY4" s="47"/>
    </row>
    <row r="5" spans="1:51" s="55" customFormat="1" ht="9.9499999999999993" customHeight="1" x14ac:dyDescent="0.2">
      <c r="A5" s="28"/>
      <c r="B5" s="28"/>
      <c r="C5" s="28"/>
      <c r="D5" s="28"/>
      <c r="E5" s="28"/>
      <c r="F5" s="28"/>
      <c r="G5" s="28"/>
      <c r="H5" s="48"/>
      <c r="I5" s="49" t="str" cm="1">
        <f t="array" ref="I5">INDEX(Trad, N5, Lang)</f>
        <v>Energie und Kommunikation UVEK</v>
      </c>
      <c r="J5" s="49"/>
      <c r="K5" s="33"/>
      <c r="L5" s="28"/>
      <c r="M5" s="50"/>
      <c r="N5" s="51">
        <v>201</v>
      </c>
      <c r="O5" s="52"/>
      <c r="P5" s="52"/>
      <c r="Q5" s="52"/>
      <c r="R5" s="52"/>
      <c r="S5" s="53"/>
      <c r="T5" s="7"/>
      <c r="U5" s="7"/>
      <c r="V5" s="54"/>
      <c r="W5" s="54"/>
      <c r="X5" s="54"/>
      <c r="Y5" s="54"/>
      <c r="Z5" s="7"/>
    </row>
    <row r="6" spans="1:51" ht="24.95" customHeight="1" x14ac:dyDescent="0.2">
      <c r="A6" s="11"/>
      <c r="B6" s="11"/>
      <c r="C6" s="11"/>
      <c r="D6" s="11"/>
      <c r="E6" s="11"/>
      <c r="F6" s="11"/>
      <c r="G6" s="11"/>
      <c r="I6" s="103" t="str" cm="1">
        <f t="array" ref="I6">INDEX(Trad, N6, Lang)</f>
        <v>Bundesamt für Energie BFE</v>
      </c>
      <c r="J6" s="57"/>
      <c r="K6" s="34"/>
      <c r="L6" s="11"/>
      <c r="N6" s="51">
        <v>202</v>
      </c>
      <c r="T6" s="7"/>
      <c r="U6" s="7"/>
      <c r="Z6" s="7"/>
    </row>
    <row r="7" spans="1:51" ht="75" customHeight="1" x14ac:dyDescent="0.2">
      <c r="A7" s="11"/>
      <c r="B7" s="11"/>
      <c r="C7" s="11"/>
      <c r="D7" s="11"/>
      <c r="E7" s="11"/>
      <c r="F7" s="11"/>
      <c r="G7" s="11"/>
      <c r="H7" s="11"/>
      <c r="I7" s="11"/>
      <c r="J7" s="11"/>
      <c r="K7" s="11"/>
      <c r="L7" s="11"/>
      <c r="T7" s="7"/>
      <c r="U7" s="7"/>
      <c r="V7" s="54" t="s">
        <v>1330</v>
      </c>
      <c r="W7" s="54" t="s">
        <v>4627</v>
      </c>
      <c r="X7" s="54" t="s">
        <v>4628</v>
      </c>
      <c r="Z7" s="7"/>
      <c r="AB7" s="55"/>
      <c r="AC7" s="55"/>
      <c r="AD7" s="55"/>
      <c r="AE7" s="55"/>
      <c r="AF7" s="55"/>
      <c r="AG7" s="55"/>
      <c r="AH7" s="55"/>
    </row>
    <row r="8" spans="1:51" ht="36" customHeight="1" x14ac:dyDescent="0.25">
      <c r="A8" s="42"/>
      <c r="B8" s="311" t="str" cm="1">
        <f t="array" ref="B8">INDEX(Trad, N8, Lang)</f>
        <v>Standardisierte Massnahme</v>
      </c>
      <c r="C8" s="311"/>
      <c r="D8" s="311"/>
      <c r="E8" s="311"/>
      <c r="F8" s="311"/>
      <c r="G8" s="311"/>
      <c r="H8" s="311"/>
      <c r="I8" s="311"/>
      <c r="J8" s="311"/>
      <c r="K8" s="311"/>
      <c r="L8" s="311"/>
      <c r="N8" s="51">
        <v>101</v>
      </c>
      <c r="T8" s="7"/>
      <c r="U8" s="7"/>
      <c r="V8" s="54">
        <v>14</v>
      </c>
      <c r="Z8" s="7"/>
      <c r="AB8" s="55"/>
      <c r="AC8" s="55"/>
      <c r="AD8" s="55"/>
      <c r="AE8" s="55"/>
      <c r="AF8" s="55"/>
      <c r="AG8" s="55"/>
      <c r="AH8" s="55"/>
    </row>
    <row r="9" spans="1:51" ht="99.95" customHeight="1" x14ac:dyDescent="0.2">
      <c r="A9" s="30"/>
      <c r="B9" s="312" t="str" cm="1">
        <f t="array" ref="B9">INDEX(Trad, N9, Lang_measure)</f>
        <v xml:space="preserve">Reinigung von Verflüssigern und Rückkühlern </v>
      </c>
      <c r="C9" s="312"/>
      <c r="D9" s="312"/>
      <c r="E9" s="312"/>
      <c r="F9" s="312"/>
      <c r="G9" s="312"/>
      <c r="H9" s="312"/>
      <c r="I9" s="312"/>
      <c r="J9" s="312"/>
      <c r="K9" s="312"/>
      <c r="L9" s="312"/>
      <c r="N9" s="45">
        <v>150</v>
      </c>
      <c r="T9" s="7"/>
      <c r="U9" s="7"/>
      <c r="V9" s="54">
        <v>16</v>
      </c>
      <c r="Z9" s="7"/>
      <c r="AB9" s="55"/>
      <c r="AC9" s="55"/>
      <c r="AD9" s="55"/>
      <c r="AE9" s="55"/>
      <c r="AF9" s="55"/>
      <c r="AG9" s="55"/>
      <c r="AH9" s="55"/>
    </row>
    <row r="10" spans="1:51" ht="36" customHeight="1" x14ac:dyDescent="0.25">
      <c r="A10" s="42"/>
      <c r="B10" s="315" t="str" cm="1">
        <f t="array" ref="B10">INDEX(Trad, N10, Lang)</f>
        <v>Einsparprotokoll</v>
      </c>
      <c r="C10" s="315"/>
      <c r="D10" s="315"/>
      <c r="E10" s="315"/>
      <c r="F10" s="315"/>
      <c r="G10" s="315"/>
      <c r="H10" s="315"/>
      <c r="I10" s="315"/>
      <c r="J10" s="315"/>
      <c r="K10" s="315"/>
      <c r="L10" s="315"/>
      <c r="N10" s="51">
        <v>100</v>
      </c>
      <c r="T10" s="7"/>
      <c r="U10" s="7"/>
      <c r="Z10" s="7"/>
      <c r="AB10" s="55"/>
      <c r="AC10" s="55"/>
      <c r="AD10" s="55"/>
      <c r="AE10" s="55"/>
      <c r="AF10" s="55"/>
      <c r="AG10" s="55"/>
      <c r="AH10" s="55"/>
    </row>
    <row r="11" spans="1:51" ht="15" customHeight="1" x14ac:dyDescent="0.2">
      <c r="A11" s="37"/>
      <c r="B11" s="36" t="str" cm="1">
        <f t="array" ref="B11">INDEX(Trad, N11, Lang)</f>
        <v>Massnahmennummer</v>
      </c>
      <c r="C11" s="36"/>
      <c r="D11" s="36"/>
      <c r="E11" s="36"/>
      <c r="F11" s="36"/>
      <c r="G11" s="36"/>
      <c r="H11" s="36"/>
      <c r="I11" s="36"/>
      <c r="J11" s="36"/>
      <c r="K11" s="14"/>
      <c r="L11" s="37" t="str">
        <f>measure_id</f>
        <v>KA-03a</v>
      </c>
      <c r="N11" s="51">
        <v>102</v>
      </c>
      <c r="T11" s="7"/>
      <c r="U11" s="7"/>
      <c r="V11" s="54">
        <v>8</v>
      </c>
      <c r="W11" s="54">
        <v>1</v>
      </c>
      <c r="X11" s="54">
        <f>12.75*W11 + 2.25</f>
        <v>15</v>
      </c>
      <c r="Z11" s="7"/>
      <c r="AB11" s="55"/>
      <c r="AC11" s="55"/>
      <c r="AD11" s="55"/>
      <c r="AE11" s="55"/>
      <c r="AF11" s="55"/>
      <c r="AG11" s="55"/>
      <c r="AH11" s="55"/>
    </row>
    <row r="12" spans="1:51" ht="15" customHeight="1" x14ac:dyDescent="0.2">
      <c r="A12" s="40"/>
      <c r="B12" s="36" t="str" cm="1">
        <f t="array" ref="B12">INDEX(Trad, N12, Lang)</f>
        <v>Version</v>
      </c>
      <c r="C12" s="36"/>
      <c r="D12" s="38"/>
      <c r="E12" s="38"/>
      <c r="F12" s="38"/>
      <c r="G12" s="38"/>
      <c r="H12" s="38"/>
      <c r="I12" s="38"/>
      <c r="J12" s="38"/>
      <c r="K12" s="39"/>
      <c r="L12" s="37" t="str">
        <f>measure_version</f>
        <v>2.0 (11.2025)</v>
      </c>
      <c r="N12" s="51">
        <v>103</v>
      </c>
      <c r="T12" s="7"/>
      <c r="U12" s="7"/>
      <c r="V12" s="54">
        <v>8</v>
      </c>
      <c r="W12" s="54">
        <v>1</v>
      </c>
      <c r="X12" s="54">
        <f t="shared" ref="X12:X13" si="0">12.75*W12 + 2.25</f>
        <v>15</v>
      </c>
      <c r="Z12" s="7"/>
      <c r="AB12" s="55"/>
      <c r="AC12" s="55"/>
      <c r="AD12" s="55"/>
      <c r="AE12" s="55"/>
      <c r="AF12" s="55"/>
      <c r="AG12" s="55"/>
      <c r="AH12" s="55"/>
    </row>
    <row r="13" spans="1:51" ht="15" customHeight="1" x14ac:dyDescent="0.2">
      <c r="A13" s="41"/>
      <c r="B13" s="36" t="str" cm="1">
        <f t="array" ref="B13">INDEX(Trad, N13, Lang)</f>
        <v>Gültig ab</v>
      </c>
      <c r="C13" s="36"/>
      <c r="D13" s="38"/>
      <c r="E13" s="38"/>
      <c r="F13" s="38"/>
      <c r="G13" s="38"/>
      <c r="H13" s="38"/>
      <c r="I13" s="38"/>
      <c r="J13" s="38"/>
      <c r="K13" s="314">
        <f>IF(MONTH(Version!P22)=11, DATE(YEAR(Version!P22)+1, 1, 1), Version!P22)</f>
        <v>46023</v>
      </c>
      <c r="L13" s="314"/>
      <c r="N13" s="51">
        <v>104</v>
      </c>
      <c r="T13" s="7"/>
      <c r="U13" s="7"/>
      <c r="V13" s="54">
        <v>8</v>
      </c>
      <c r="W13" s="54">
        <v>1</v>
      </c>
      <c r="X13" s="54">
        <f t="shared" si="0"/>
        <v>15</v>
      </c>
      <c r="Z13" s="7"/>
      <c r="AB13" s="55"/>
      <c r="AC13" s="55"/>
      <c r="AD13" s="55"/>
      <c r="AE13" s="55"/>
      <c r="AF13" s="55"/>
      <c r="AG13" s="55"/>
      <c r="AH13" s="55"/>
    </row>
    <row r="14" spans="1:51" ht="5.0999999999999996" customHeight="1" x14ac:dyDescent="0.2">
      <c r="A14" s="32"/>
      <c r="B14" s="31"/>
      <c r="C14" s="31"/>
      <c r="D14" s="11"/>
      <c r="E14" s="11"/>
      <c r="F14" s="11"/>
      <c r="G14" s="11"/>
      <c r="H14" s="11"/>
      <c r="I14" s="11"/>
      <c r="J14" s="11"/>
      <c r="K14" s="32"/>
      <c r="L14" s="32"/>
      <c r="T14" s="7"/>
      <c r="U14" s="7"/>
      <c r="Z14" s="7"/>
      <c r="AB14" s="55"/>
      <c r="AC14" s="55"/>
      <c r="AD14" s="55"/>
      <c r="AE14" s="55"/>
      <c r="AF14" s="55"/>
      <c r="AG14" s="55"/>
      <c r="AH14" s="55"/>
    </row>
    <row r="15" spans="1:51" s="55" customFormat="1" ht="36" customHeight="1" x14ac:dyDescent="0.2">
      <c r="A15" s="43"/>
      <c r="B15" s="313" t="str" cm="1">
        <f t="array" ref="B15">INDEX(Trad, N15, Lang)</f>
        <v>Es obliegt dem Elektrizitätslieferanten, sich jährlich rechtzeitig zu informieren, ob eine aktualisierte Version vorliegt. Das BFE publiziert allfällige aktualisierte Versionen im November. Während einer Übergangsfrist von 12 Monaten ab Gültigkeit dürfen die umgesetzten Massnahmen auch noch mit der vorgängigen Version gemeldet werden.</v>
      </c>
      <c r="C15" s="313"/>
      <c r="D15" s="313"/>
      <c r="E15" s="313"/>
      <c r="F15" s="313"/>
      <c r="G15" s="313"/>
      <c r="H15" s="313"/>
      <c r="I15" s="313"/>
      <c r="J15" s="313"/>
      <c r="K15" s="313"/>
      <c r="L15" s="313"/>
      <c r="M15" s="50"/>
      <c r="N15" s="51">
        <v>105</v>
      </c>
      <c r="O15" s="51"/>
      <c r="P15" s="51"/>
      <c r="Q15" s="51"/>
      <c r="R15" s="51"/>
      <c r="S15" s="53"/>
      <c r="T15" s="7"/>
      <c r="U15" s="7"/>
      <c r="V15" s="54">
        <v>7</v>
      </c>
      <c r="W15" s="54">
        <v>3</v>
      </c>
      <c r="X15" s="54">
        <f>11.25*W15 + 2.25</f>
        <v>36</v>
      </c>
      <c r="Y15" s="54"/>
      <c r="Z15" s="7"/>
    </row>
    <row r="16" spans="1:51" s="55" customFormat="1" ht="5.0999999999999996" customHeight="1" x14ac:dyDescent="0.2">
      <c r="A16" s="44"/>
      <c r="B16" s="75"/>
      <c r="C16" s="75"/>
      <c r="D16" s="75"/>
      <c r="E16" s="75"/>
      <c r="F16" s="75"/>
      <c r="G16" s="75"/>
      <c r="H16" s="75"/>
      <c r="I16" s="75"/>
      <c r="J16" s="75"/>
      <c r="K16" s="75"/>
      <c r="L16" s="75"/>
      <c r="M16" s="50"/>
      <c r="N16" s="51"/>
      <c r="O16" s="51"/>
      <c r="P16" s="51"/>
      <c r="Q16" s="51"/>
      <c r="R16" s="51"/>
      <c r="S16" s="53"/>
      <c r="T16" s="7"/>
      <c r="U16" s="7"/>
      <c r="V16" s="54"/>
      <c r="W16" s="54"/>
      <c r="X16" s="54"/>
      <c r="Y16" s="54"/>
      <c r="Z16" s="7"/>
    </row>
    <row r="17" spans="1:26" ht="39.950000000000003" customHeight="1" x14ac:dyDescent="0.2">
      <c r="B17" s="11"/>
      <c r="C17" s="11"/>
      <c r="D17" s="11"/>
      <c r="E17" s="11"/>
      <c r="F17" s="11"/>
      <c r="G17" s="11"/>
      <c r="H17" s="11"/>
      <c r="I17" s="11"/>
      <c r="J17" s="11"/>
      <c r="K17" s="11"/>
      <c r="T17" s="7"/>
      <c r="U17" s="7"/>
      <c r="V17" s="54" t="s">
        <v>1330</v>
      </c>
      <c r="W17" s="54" t="s">
        <v>4627</v>
      </c>
      <c r="X17" s="54" t="s">
        <v>4628</v>
      </c>
      <c r="Z17" s="7"/>
    </row>
    <row r="18" spans="1:26" ht="20.100000000000001" customHeight="1" x14ac:dyDescent="0.2">
      <c r="B18" s="100" t="str" cm="1">
        <f t="array" ref="B18">"1. " &amp; INDEX(Trad, N18, Lang)</f>
        <v>1. Gegenstand</v>
      </c>
      <c r="C18" s="100"/>
      <c r="D18" s="101"/>
      <c r="E18" s="101"/>
      <c r="F18" s="101"/>
      <c r="G18" s="101"/>
      <c r="H18" s="101"/>
      <c r="I18" s="101"/>
      <c r="J18" s="101"/>
      <c r="K18" s="101"/>
      <c r="L18" s="102"/>
      <c r="N18" s="51">
        <v>109</v>
      </c>
      <c r="T18" s="7"/>
      <c r="U18" s="7"/>
      <c r="V18" s="46">
        <v>11</v>
      </c>
      <c r="W18" s="46" t="s">
        <v>2</v>
      </c>
      <c r="X18" s="46">
        <v>20</v>
      </c>
      <c r="Y18" s="58" t="s">
        <v>4629</v>
      </c>
      <c r="Z18" s="7"/>
    </row>
    <row r="19" spans="1:26" ht="15" customHeight="1" x14ac:dyDescent="0.2">
      <c r="B19" s="99" t="str" cm="1">
        <f t="array" ref="B19">INDEX(Trad, N19, Lang)</f>
        <v>Anwendungsbereich</v>
      </c>
      <c r="C19" s="29"/>
      <c r="D19" s="11"/>
      <c r="E19" s="11"/>
      <c r="F19" s="11"/>
      <c r="G19" s="11"/>
      <c r="H19" s="11"/>
      <c r="I19" s="11"/>
      <c r="J19" s="11"/>
      <c r="K19" s="11"/>
      <c r="N19" s="51">
        <v>110</v>
      </c>
      <c r="T19" s="7"/>
      <c r="U19" s="7"/>
      <c r="V19" s="54">
        <v>10</v>
      </c>
      <c r="W19" s="54">
        <v>1</v>
      </c>
      <c r="X19" s="54">
        <f>12.75*W19 + 2.25</f>
        <v>15</v>
      </c>
      <c r="Z19" s="7"/>
    </row>
    <row r="20" spans="1:26" ht="27.95" customHeight="1" x14ac:dyDescent="0.2">
      <c r="A20" s="35"/>
      <c r="B20" s="304" t="str" cm="1">
        <f t="array" ref="B20">INDEX(Trad, N20, Lang_measure)</f>
        <v xml:space="preserve">Betriebsoptimierungen von Kälteanlagen durch Senkung der Verflüssigungstemperatur im Gewerbe-, Gebäude- und Dienstleistungsbereich. </v>
      </c>
      <c r="C20" s="304"/>
      <c r="D20" s="304"/>
      <c r="E20" s="304"/>
      <c r="F20" s="304"/>
      <c r="G20" s="304"/>
      <c r="H20" s="304"/>
      <c r="I20" s="304"/>
      <c r="J20" s="304"/>
      <c r="K20" s="304"/>
      <c r="L20" s="304"/>
      <c r="N20" s="45">
        <v>151</v>
      </c>
      <c r="T20" s="7"/>
      <c r="U20" s="7"/>
      <c r="V20" s="54">
        <v>10</v>
      </c>
      <c r="W20" s="54">
        <v>2</v>
      </c>
      <c r="X20" s="54">
        <f>12.75*W20 + 2.25</f>
        <v>27.75</v>
      </c>
      <c r="Z20" s="7"/>
    </row>
    <row r="21" spans="1:26" ht="9.9499999999999993" customHeight="1" x14ac:dyDescent="0.2">
      <c r="A21" s="35"/>
      <c r="B21" s="11"/>
      <c r="C21" s="11"/>
      <c r="D21" s="11"/>
      <c r="E21" s="11"/>
      <c r="F21" s="11"/>
      <c r="G21" s="11"/>
      <c r="H21" s="11"/>
      <c r="I21" s="11"/>
      <c r="J21" s="11"/>
      <c r="K21" s="11"/>
      <c r="T21" s="7"/>
      <c r="U21" s="7"/>
      <c r="Z21" s="7"/>
    </row>
    <row r="22" spans="1:26" ht="15" customHeight="1" x14ac:dyDescent="0.2">
      <c r="A22" s="35"/>
      <c r="B22" s="99" t="str" cm="1">
        <f t="array" ref="B22">INDEX(Trad, N22, Lang)</f>
        <v>Beschreibung</v>
      </c>
      <c r="C22" s="29"/>
      <c r="D22" s="11"/>
      <c r="E22" s="11"/>
      <c r="F22" s="11"/>
      <c r="G22" s="11"/>
      <c r="H22" s="11"/>
      <c r="I22" s="11"/>
      <c r="J22" s="11"/>
      <c r="K22" s="11"/>
      <c r="N22" s="51">
        <v>111</v>
      </c>
      <c r="T22" s="7"/>
      <c r="U22" s="7"/>
      <c r="Z22" s="7"/>
    </row>
    <row r="23" spans="1:26" ht="34.5" customHeight="1" x14ac:dyDescent="0.2">
      <c r="A23" s="35"/>
      <c r="B23" s="304" t="str" cm="1">
        <f t="array" ref="B23">INDEX(Trad, N23, Lang_measure)</f>
        <v>Betriebsoptimierung von Kälteanlagen durch Senkung der Verflüssigungstemperatur durch die Reinigung von Verflüssiger und Rückkühler. Die Massnahme kann mit den anderen Massnahmen KA-03 kombiniert werden.</v>
      </c>
      <c r="C23" s="304"/>
      <c r="D23" s="304"/>
      <c r="E23" s="304"/>
      <c r="F23" s="304"/>
      <c r="G23" s="304"/>
      <c r="H23" s="304"/>
      <c r="I23" s="304"/>
      <c r="J23" s="304"/>
      <c r="K23" s="304"/>
      <c r="L23" s="304"/>
      <c r="N23" s="45">
        <v>152</v>
      </c>
      <c r="T23" s="7"/>
      <c r="U23" s="7"/>
      <c r="V23" s="54">
        <v>10</v>
      </c>
      <c r="W23" s="54">
        <v>6</v>
      </c>
      <c r="X23" s="54">
        <f>12.75*W23 + 2.25</f>
        <v>78.75</v>
      </c>
      <c r="Z23" s="7"/>
    </row>
    <row r="24" spans="1:26" ht="19.5" customHeight="1" x14ac:dyDescent="0.2">
      <c r="A24" s="35"/>
      <c r="B24" s="310" t="str" cm="1">
        <f t="array" ref="B24">INDEX(Trad, N24, Lang)</f>
        <v>Wichtig</v>
      </c>
      <c r="C24" s="310"/>
      <c r="D24" s="310"/>
      <c r="E24" s="310"/>
      <c r="F24" s="310"/>
      <c r="G24" s="310"/>
      <c r="H24" s="310"/>
      <c r="I24" s="310"/>
      <c r="J24" s="310"/>
      <c r="K24" s="310"/>
      <c r="L24" s="310"/>
      <c r="N24" s="51">
        <v>153</v>
      </c>
      <c r="O24" s="51">
        <v>154</v>
      </c>
      <c r="T24" s="7"/>
      <c r="U24" s="7"/>
      <c r="V24" s="54">
        <v>10</v>
      </c>
      <c r="W24" s="54">
        <v>3</v>
      </c>
      <c r="X24" s="54">
        <f>12.75*W24 + 2.25</f>
        <v>40.5</v>
      </c>
      <c r="Z24" s="7"/>
    </row>
    <row r="25" spans="1:26" ht="32.25" customHeight="1" x14ac:dyDescent="0.2">
      <c r="A25" s="35"/>
      <c r="B25" s="309" t="str" cm="1">
        <f t="array" ref="B25">INDEX(Trad, O24, Lang)</f>
        <v>Diese Massnahme ist nicht für CO2-Kälteanlagen (R-744) und Kaskadenanlagen geeignet.</v>
      </c>
      <c r="C25" s="309"/>
      <c r="D25" s="309"/>
      <c r="E25" s="309"/>
      <c r="F25" s="309"/>
      <c r="G25" s="309"/>
      <c r="H25" s="309"/>
      <c r="I25" s="309"/>
      <c r="J25" s="309"/>
      <c r="K25" s="309"/>
      <c r="L25" s="309"/>
      <c r="T25" s="7"/>
      <c r="U25" s="7"/>
      <c r="Z25" s="7"/>
    </row>
    <row r="26" spans="1:26" ht="20.100000000000001" customHeight="1" x14ac:dyDescent="0.2">
      <c r="A26" s="35"/>
      <c r="B26" s="11"/>
      <c r="C26" s="11"/>
      <c r="D26" s="11"/>
      <c r="E26" s="11"/>
      <c r="F26" s="11"/>
      <c r="G26" s="11"/>
      <c r="H26" s="11"/>
      <c r="I26" s="11"/>
      <c r="J26" s="11"/>
      <c r="K26" s="11"/>
      <c r="T26" s="7"/>
      <c r="U26" s="7"/>
      <c r="Z26" s="7"/>
    </row>
    <row r="27" spans="1:26" ht="20.100000000000001" customHeight="1" x14ac:dyDescent="0.2">
      <c r="A27" s="35"/>
      <c r="B27" s="100" t="str" cm="1">
        <f t="array" ref="B27">"2. " &amp; INDEX(Trad, N27, Lang)</f>
        <v>2. Anforderungen</v>
      </c>
      <c r="C27" s="100"/>
      <c r="D27" s="101"/>
      <c r="E27" s="101"/>
      <c r="F27" s="101"/>
      <c r="G27" s="101"/>
      <c r="H27" s="101"/>
      <c r="I27" s="101"/>
      <c r="J27" s="101"/>
      <c r="K27" s="101"/>
      <c r="L27" s="102"/>
      <c r="N27" s="51">
        <v>114</v>
      </c>
      <c r="T27" s="7"/>
      <c r="U27" s="7"/>
      <c r="V27" s="46">
        <v>11</v>
      </c>
      <c r="W27" s="46" t="s">
        <v>2</v>
      </c>
      <c r="X27" s="46">
        <v>20</v>
      </c>
      <c r="Y27" s="58" t="s">
        <v>4629</v>
      </c>
      <c r="Z27" s="7"/>
    </row>
    <row r="28" spans="1:26" s="61" customFormat="1" ht="40.5" customHeight="1" x14ac:dyDescent="0.2">
      <c r="A28" s="35"/>
      <c r="B28" s="304" t="str" cm="1">
        <f t="array" ref="B28">INDEX(Trad, N28, Lang)</f>
        <v xml:space="preserve">Nur Massnahmen, welche die Anforderungen der Energieverordnung (SR 730.01; EnV) einhalten, können angerechnet werden. Die zusätzlichen Anforderungen an die technischen Eigenschaften sowie an die Umsetzung der Massnahme sind in der Tabelle 1 festgelegt. </v>
      </c>
      <c r="C28" s="304"/>
      <c r="D28" s="304"/>
      <c r="E28" s="304"/>
      <c r="F28" s="304"/>
      <c r="G28" s="304"/>
      <c r="H28" s="304"/>
      <c r="I28" s="304"/>
      <c r="J28" s="304"/>
      <c r="K28" s="304"/>
      <c r="L28" s="304"/>
      <c r="M28" s="50"/>
      <c r="N28" s="59">
        <v>115</v>
      </c>
      <c r="O28" s="59"/>
      <c r="P28" s="59"/>
      <c r="Q28" s="59"/>
      <c r="R28" s="59"/>
      <c r="S28" s="60"/>
      <c r="T28" s="7"/>
      <c r="U28" s="7"/>
      <c r="V28" s="54">
        <v>10</v>
      </c>
      <c r="W28" s="54">
        <v>3</v>
      </c>
      <c r="X28" s="54">
        <f>12.75*W28 + 2.25</f>
        <v>40.5</v>
      </c>
      <c r="Y28" s="54"/>
      <c r="Z28" s="7"/>
    </row>
    <row r="29" spans="1:26" ht="5.0999999999999996" customHeight="1" x14ac:dyDescent="0.2">
      <c r="A29" s="35"/>
      <c r="B29" s="11"/>
      <c r="C29" s="11"/>
      <c r="D29" s="11"/>
      <c r="E29" s="11"/>
      <c r="F29" s="11"/>
      <c r="G29" s="11"/>
      <c r="H29" s="11"/>
      <c r="I29" s="11"/>
      <c r="J29" s="11"/>
      <c r="K29" s="11"/>
      <c r="T29" s="7"/>
      <c r="U29" s="7"/>
      <c r="Z29" s="7"/>
    </row>
    <row r="30" spans="1:26" ht="15" customHeight="1" x14ac:dyDescent="0.2">
      <c r="A30" s="35"/>
      <c r="B30" s="308" t="str" cm="1">
        <f t="array" ref="B30">INDEX(Trad, N30, Lang)</f>
        <v>Tabelle 1: Anforderungen</v>
      </c>
      <c r="C30" s="308"/>
      <c r="D30" s="308"/>
      <c r="E30" s="308"/>
      <c r="F30" s="308"/>
      <c r="G30" s="308"/>
      <c r="H30" s="308"/>
      <c r="I30" s="308"/>
      <c r="J30" s="308"/>
      <c r="K30" s="308"/>
      <c r="L30" s="308"/>
      <c r="N30" s="51">
        <v>116</v>
      </c>
      <c r="T30" s="7"/>
      <c r="U30" s="7"/>
      <c r="V30" s="54">
        <v>8</v>
      </c>
      <c r="W30" s="54" t="s">
        <v>2</v>
      </c>
      <c r="X30" s="54">
        <v>15</v>
      </c>
      <c r="Y30" s="122" t="s">
        <v>4720</v>
      </c>
      <c r="Z30" s="7"/>
    </row>
    <row r="31" spans="1:26" s="55" customFormat="1" ht="20.100000000000001" customHeight="1" x14ac:dyDescent="0.2">
      <c r="A31" s="35"/>
      <c r="B31" s="277"/>
      <c r="C31" s="278"/>
      <c r="D31" s="279"/>
      <c r="E31" s="305" t="str" cm="1">
        <f t="array" ref="E31">INDEX(Trad, O31, Lang)</f>
        <v>Altes System</v>
      </c>
      <c r="F31" s="305"/>
      <c r="G31" s="305"/>
      <c r="H31" s="306"/>
      <c r="I31" s="307" t="str" cm="1">
        <f t="array" ref="I31">INDEX(Trad, P31, Lang)</f>
        <v>Neues System</v>
      </c>
      <c r="J31" s="305"/>
      <c r="K31" s="305"/>
      <c r="L31" s="306"/>
      <c r="M31" s="50"/>
      <c r="N31" s="51"/>
      <c r="O31" s="51">
        <v>117</v>
      </c>
      <c r="P31" s="51">
        <v>118</v>
      </c>
      <c r="Q31" s="51"/>
      <c r="R31" s="51"/>
      <c r="S31" s="53"/>
      <c r="T31" s="7"/>
      <c r="U31" s="7"/>
      <c r="V31" s="46">
        <v>10</v>
      </c>
      <c r="W31" s="46" t="s">
        <v>2</v>
      </c>
      <c r="X31" s="46">
        <v>20</v>
      </c>
      <c r="Y31" s="58" t="s">
        <v>4629</v>
      </c>
      <c r="Z31" s="7"/>
    </row>
    <row r="32" spans="1:26" ht="156" customHeight="1" x14ac:dyDescent="0.2">
      <c r="A32" s="35"/>
      <c r="B32" s="287" t="str" cm="1">
        <f t="array" ref="B32">INDEX(Trad, N32, Lang_measure)</f>
        <v>Technologie</v>
      </c>
      <c r="C32" s="288"/>
      <c r="D32" s="289"/>
      <c r="E32" s="291" t="str" cm="1">
        <f t="array" ref="E32">INDEX(Trad, O32, Lang_measure)</f>
        <v>Netzbetriebene Kälteanlagen im Geltungsbereich der Anhänge 1.14 oder 2.11 EnEV (SR 730.02; EnEV) mit einer Nennkälteleistung bis zu:
   - 40 kW im Anwendungsbereich Pluskühlung
   - 30 kW im Anwendungsbereich Minuskühlung
   - 80 kW im Anwendungsbereich Komfortklima mit Direktverdampfer
   - 200 kW in den Anwendungsbereichen Komfortklima Kälteträger, IT-Server und Prozesskälte
Mit R-744 (CO2) betriebene Anlagen und alle Arten von Kaskadenanlagen sind ausgeschlossen.</v>
      </c>
      <c r="F32" s="292"/>
      <c r="G32" s="292"/>
      <c r="H32" s="292"/>
      <c r="I32" s="292"/>
      <c r="J32" s="292"/>
      <c r="K32" s="292"/>
      <c r="L32" s="293"/>
      <c r="N32" s="45">
        <v>170</v>
      </c>
      <c r="O32" s="45">
        <v>171</v>
      </c>
      <c r="P32" s="45">
        <v>172</v>
      </c>
      <c r="T32" s="7"/>
      <c r="U32" s="7"/>
      <c r="V32" s="54">
        <v>10</v>
      </c>
      <c r="W32" s="54">
        <v>3</v>
      </c>
      <c r="X32" s="54">
        <f>12.75*W32 + 2.25</f>
        <v>40.5</v>
      </c>
      <c r="Z32" s="7"/>
    </row>
    <row r="33" spans="1:26" ht="66" hidden="1" customHeight="1" x14ac:dyDescent="0.2">
      <c r="A33" s="35"/>
      <c r="B33" s="284" t="str" cm="1">
        <f t="array" ref="B33">INDEX(Trad, N33, Lang_measure)</f>
        <v>Die gesamte installierte Nennkühlleistung des neuen Systems müssen kleiner oder gleich wie die gesamte installierte Nennkühlleistung des alten Systems sein.</v>
      </c>
      <c r="C33" s="285"/>
      <c r="D33" s="286"/>
      <c r="E33" s="284" cm="1">
        <f t="array" ref="E33">INDEX(Trad, O33, Lang_measure)</f>
        <v>0</v>
      </c>
      <c r="F33" s="290"/>
      <c r="G33" s="290"/>
      <c r="H33" s="286"/>
      <c r="I33" s="285" cm="1">
        <f t="array" ref="I33">INDEX(Trad, P33, Lang_measure)</f>
        <v>0</v>
      </c>
      <c r="J33" s="290"/>
      <c r="K33" s="290"/>
      <c r="L33" s="286"/>
      <c r="N33" s="45">
        <v>173</v>
      </c>
      <c r="O33" s="45">
        <v>174</v>
      </c>
      <c r="P33" s="45">
        <v>175</v>
      </c>
      <c r="T33" s="7"/>
      <c r="U33" s="7"/>
      <c r="V33" s="54">
        <v>10</v>
      </c>
      <c r="W33" s="54">
        <v>5</v>
      </c>
      <c r="X33" s="54">
        <f>12.75*W33 + 2.25</f>
        <v>66</v>
      </c>
      <c r="Z33" s="7"/>
    </row>
    <row r="34" spans="1:26" ht="39.75" hidden="1" customHeight="1" x14ac:dyDescent="0.2">
      <c r="A34" s="35"/>
      <c r="B34" s="284" t="str" cm="1">
        <f t="array" ref="B34">INDEX(Trad, N34, Lang_measure)</f>
        <v>Energieeffizienz</v>
      </c>
      <c r="C34" s="285"/>
      <c r="D34" s="286"/>
      <c r="E34" s="284" t="str" cm="1">
        <f t="array" ref="E34">INDEX(Trad, O34, Lang_measure)</f>
        <v>-</v>
      </c>
      <c r="F34" s="290"/>
      <c r="G34" s="290"/>
      <c r="H34" s="290"/>
      <c r="I34" s="290" t="str" cm="1">
        <f t="array" ref="I34">INDEX(Trad, P34, Lang_measure)</f>
        <v>Energieeffizienzklasse (Kühlen) von mindestens A+++</v>
      </c>
      <c r="J34" s="290"/>
      <c r="K34" s="290"/>
      <c r="L34" s="286"/>
      <c r="N34" s="45">
        <v>176</v>
      </c>
      <c r="O34" s="45">
        <v>177</v>
      </c>
      <c r="P34" s="45">
        <v>178</v>
      </c>
      <c r="T34" s="7"/>
      <c r="U34" s="7"/>
      <c r="V34" s="54">
        <v>10</v>
      </c>
      <c r="W34" s="54">
        <v>8</v>
      </c>
      <c r="X34" s="54">
        <f>12.75*W34 + 2.25</f>
        <v>104.25</v>
      </c>
      <c r="Z34" s="7"/>
    </row>
    <row r="35" spans="1:26" s="55" customFormat="1" ht="20.100000000000001" hidden="1" customHeight="1" x14ac:dyDescent="0.2">
      <c r="A35" s="35"/>
      <c r="B35" s="277"/>
      <c r="C35" s="278"/>
      <c r="D35" s="279"/>
      <c r="E35" s="282" t="str" cm="1">
        <f t="array" ref="E35">INDEX(Trad, O35, Lang)</f>
        <v>Altes / Neues System</v>
      </c>
      <c r="F35" s="282"/>
      <c r="G35" s="282"/>
      <c r="H35" s="282"/>
      <c r="I35" s="282"/>
      <c r="J35" s="282"/>
      <c r="K35" s="282"/>
      <c r="L35" s="283"/>
      <c r="M35" s="50"/>
      <c r="N35" s="51"/>
      <c r="O35" s="51">
        <v>119</v>
      </c>
      <c r="P35" s="51"/>
      <c r="Q35" s="51"/>
      <c r="R35" s="51"/>
      <c r="S35" s="53"/>
      <c r="T35" s="7"/>
      <c r="U35" s="7"/>
      <c r="V35" s="46">
        <v>10</v>
      </c>
      <c r="W35" s="46" t="s">
        <v>2</v>
      </c>
      <c r="X35" s="46">
        <v>20</v>
      </c>
      <c r="Y35" s="58" t="s">
        <v>4629</v>
      </c>
      <c r="Z35" s="7"/>
    </row>
    <row r="36" spans="1:26" ht="60.75" hidden="1" customHeight="1" x14ac:dyDescent="0.2">
      <c r="A36" s="35"/>
      <c r="B36" s="284" t="str" cm="1">
        <f t="array" ref="B36">INDEX(Trad, N36, Lang_measure)</f>
        <v>Aufstellungsort</v>
      </c>
      <c r="C36" s="285"/>
      <c r="D36" s="286"/>
      <c r="E36" s="299" t="str" cm="1">
        <f t="array" ref="E36">INDEX(Trad, O36, Lang_measure)</f>
        <v>Die gekühlte Fläche des Gebäudes/Räume ohne Wohnnutzung muss 150 m2 oder kleiner sein und muss gemäss der Norm SIA 380:2015 ermittelt werden. Die Höhenlage des Gebäudes darf den Wert von 800 Meter über dem Meer nicht überschreit.</v>
      </c>
      <c r="F36" s="300"/>
      <c r="G36" s="300"/>
      <c r="H36" s="300"/>
      <c r="I36" s="300"/>
      <c r="J36" s="300"/>
      <c r="K36" s="300"/>
      <c r="L36" s="301"/>
      <c r="N36" s="45">
        <v>180</v>
      </c>
      <c r="O36" s="45">
        <v>181</v>
      </c>
      <c r="T36" s="7"/>
      <c r="U36" s="7"/>
      <c r="V36" s="54">
        <v>10</v>
      </c>
      <c r="W36" s="54">
        <v>2</v>
      </c>
      <c r="X36" s="54">
        <f>12.75*W36 + 2.25</f>
        <v>27.75</v>
      </c>
      <c r="Z36" s="189" t="s">
        <v>4868</v>
      </c>
    </row>
    <row r="37" spans="1:26" ht="38.25" hidden="1" customHeight="1" x14ac:dyDescent="0.2">
      <c r="A37" s="35"/>
      <c r="B37" s="284" t="str" cm="1">
        <f t="array" ref="B37">INDEX(Trad, N37, Lang_measure)</f>
        <v>Dimensionierung</v>
      </c>
      <c r="C37" s="285"/>
      <c r="D37" s="286"/>
      <c r="E37" s="300" t="str" cm="1">
        <f t="array" ref="E37">INDEX(Trad, O37, Lang_measure)</f>
        <v>Die gesamte installierte Nennkühlleistung des neuen Systems müssen kleiner oder gleich wie die gesamte installierte Nennkühlleistung des alten Systems sein.</v>
      </c>
      <c r="F37" s="300"/>
      <c r="G37" s="300"/>
      <c r="H37" s="300"/>
      <c r="I37" s="300"/>
      <c r="J37" s="300"/>
      <c r="K37" s="300"/>
      <c r="L37" s="301"/>
      <c r="N37" s="45">
        <v>172</v>
      </c>
      <c r="O37" s="45">
        <v>173</v>
      </c>
      <c r="T37" s="7"/>
      <c r="U37" s="7"/>
      <c r="V37" s="54">
        <v>10</v>
      </c>
      <c r="W37" s="54">
        <v>2</v>
      </c>
      <c r="X37" s="54">
        <f t="shared" ref="X37:X39" si="1">12.75*W37 + 2.25</f>
        <v>27.75</v>
      </c>
      <c r="Z37" s="7"/>
    </row>
    <row r="38" spans="1:26" ht="27.75" hidden="1" customHeight="1" x14ac:dyDescent="0.2">
      <c r="A38" s="35"/>
      <c r="B38" s="284" t="str" cm="1">
        <f t="array" ref="B38">INDEX(Trad, N38, Lang_measure)</f>
        <v>Anrechenbare Stromeinsparung** 
pro Energieeffizienzklasse
[kWh]</v>
      </c>
      <c r="C38" s="285"/>
      <c r="D38" s="286"/>
      <c r="E38" s="302" t="str" cm="1">
        <f t="array" ref="E38">INDEX(Trad, O38, Lang_measure)</f>
        <v>Alte Energieetikette***</v>
      </c>
      <c r="F38" s="302"/>
      <c r="G38" s="302"/>
      <c r="H38" s="302"/>
      <c r="I38" s="302"/>
      <c r="J38" s="302"/>
      <c r="K38" s="302"/>
      <c r="L38" s="303"/>
      <c r="N38" s="45">
        <v>184</v>
      </c>
      <c r="O38" s="45">
        <v>185</v>
      </c>
      <c r="T38" s="7"/>
      <c r="U38" s="7"/>
      <c r="V38" s="54">
        <v>10</v>
      </c>
      <c r="W38" s="54">
        <v>2</v>
      </c>
      <c r="X38" s="54">
        <f t="shared" si="1"/>
        <v>27.75</v>
      </c>
      <c r="Z38" s="7"/>
    </row>
    <row r="39" spans="1:26" ht="27.75" hidden="1" customHeight="1" x14ac:dyDescent="0.2">
      <c r="A39" s="35"/>
      <c r="B39" s="284" t="str" cm="1">
        <f t="array" ref="B39">INDEX(Trad, N39, Lang_measure)</f>
        <v>Alpensüdseite, bis 50 m2</v>
      </c>
      <c r="C39" s="285"/>
      <c r="D39" s="286"/>
      <c r="E39" s="285" t="str" cm="1">
        <f t="array" ref="E39">INDEX(Trad, O39, Lang_measure)</f>
        <v>Westschweiz und Wallis, bis 50 m2</v>
      </c>
      <c r="F39" s="290"/>
      <c r="G39" s="290"/>
      <c r="H39" s="290"/>
      <c r="I39" s="290"/>
      <c r="J39" s="290"/>
      <c r="K39" s="290"/>
      <c r="L39" s="286"/>
      <c r="N39" s="45">
        <v>186</v>
      </c>
      <c r="O39" s="45">
        <v>187</v>
      </c>
      <c r="T39" s="7"/>
      <c r="U39" s="7"/>
      <c r="V39" s="54">
        <v>10</v>
      </c>
      <c r="W39" s="54">
        <v>2</v>
      </c>
      <c r="X39" s="54">
        <f t="shared" si="1"/>
        <v>27.75</v>
      </c>
      <c r="Z39" s="7"/>
    </row>
    <row r="40" spans="1:26" ht="27.75" customHeight="1" x14ac:dyDescent="0.2">
      <c r="A40" s="35"/>
      <c r="B40" s="319" t="str" cm="1">
        <f t="array" ref="B40">INDEX(Trad, N40, Lang)</f>
        <v>Umsetzung</v>
      </c>
      <c r="C40" s="320"/>
      <c r="D40" s="321"/>
      <c r="E40" s="320" t="str" cm="1">
        <f t="array" ref="E40">INDEX(Trad, O40, Lang)</f>
        <v>Die Massnahme muss durch eine qualifizierte Fachperson / Unternehmen durchgeführt werden.</v>
      </c>
      <c r="F40" s="322"/>
      <c r="G40" s="322"/>
      <c r="H40" s="322"/>
      <c r="I40" s="322"/>
      <c r="J40" s="322"/>
      <c r="K40" s="322"/>
      <c r="L40" s="321"/>
      <c r="N40" s="51">
        <v>120</v>
      </c>
      <c r="O40" s="51">
        <v>121</v>
      </c>
      <c r="T40" s="7"/>
      <c r="U40" s="7"/>
      <c r="V40" s="54">
        <v>10</v>
      </c>
      <c r="W40" s="54">
        <v>2</v>
      </c>
      <c r="X40" s="54">
        <f>12.75*W40 + 2.25</f>
        <v>27.75</v>
      </c>
      <c r="Z40" s="7"/>
    </row>
    <row r="41" spans="1:26" ht="27.75" hidden="1" customHeight="1" x14ac:dyDescent="0.2">
      <c r="A41" s="35"/>
      <c r="B41" s="298" t="str" cm="1">
        <f t="array" ref="B41">INDEX(Trad, N41, Lang)</f>
        <v>Entsorgung</v>
      </c>
      <c r="C41" s="295"/>
      <c r="D41" s="297"/>
      <c r="E41" s="295" t="str" cm="1">
        <f t="array" ref="E41">INDEX(Trad, O41, Lang)</f>
        <v>Die verbrauchsrelevanten Komponenten der alten Geräte dürfen innerhalb der Schweiz nicht weiterbetrieben werden. Die fachgerechte Entsorgung oder die Ausfuhr muss auf Anfrage nachgewiesen werden können.</v>
      </c>
      <c r="F41" s="296"/>
      <c r="G41" s="296"/>
      <c r="H41" s="296"/>
      <c r="I41" s="296"/>
      <c r="J41" s="296"/>
      <c r="K41" s="296"/>
      <c r="L41" s="297"/>
      <c r="N41" s="51">
        <v>122</v>
      </c>
      <c r="O41" s="51">
        <v>123</v>
      </c>
      <c r="T41" s="7"/>
      <c r="U41" s="7"/>
      <c r="V41" s="54">
        <v>10</v>
      </c>
      <c r="W41" s="54">
        <v>2</v>
      </c>
      <c r="X41" s="54">
        <f>12.75*W41 + 2.25</f>
        <v>27.75</v>
      </c>
      <c r="Z41" s="7"/>
    </row>
    <row r="42" spans="1:26" ht="15" hidden="1" customHeight="1" x14ac:dyDescent="0.2">
      <c r="A42" s="35"/>
      <c r="B42" s="294"/>
      <c r="C42" s="294"/>
      <c r="D42" s="294"/>
      <c r="E42" s="294"/>
      <c r="F42" s="294"/>
      <c r="G42" s="294"/>
      <c r="H42" s="294"/>
      <c r="I42" s="294"/>
      <c r="J42" s="294"/>
      <c r="K42" s="294"/>
      <c r="L42" s="294"/>
      <c r="T42" s="7"/>
      <c r="U42" s="7"/>
      <c r="V42" s="122">
        <v>8</v>
      </c>
      <c r="W42" s="122" t="s">
        <v>2</v>
      </c>
      <c r="X42" s="122">
        <v>15</v>
      </c>
      <c r="Y42" s="122" t="s">
        <v>4716</v>
      </c>
      <c r="Z42" s="7"/>
    </row>
    <row r="43" spans="1:26" ht="20.100000000000001" customHeight="1" x14ac:dyDescent="0.2">
      <c r="A43" s="35"/>
      <c r="B43" s="11"/>
      <c r="C43" s="11"/>
      <c r="D43" s="11"/>
      <c r="E43" s="11"/>
      <c r="F43" s="11"/>
      <c r="G43" s="11"/>
      <c r="H43" s="11"/>
      <c r="I43" s="11"/>
      <c r="J43" s="11"/>
      <c r="K43" s="11"/>
      <c r="T43" s="7"/>
      <c r="U43" s="7"/>
      <c r="Z43" s="7"/>
    </row>
    <row r="44" spans="1:26" ht="20.100000000000001" customHeight="1" x14ac:dyDescent="0.2">
      <c r="A44" s="35"/>
      <c r="B44" s="100" t="str" cm="1">
        <f t="array" ref="B44">"3. " &amp; INDEX(Trad, N44, Lang)</f>
        <v>3. Nachweis</v>
      </c>
      <c r="C44" s="100"/>
      <c r="D44" s="101"/>
      <c r="E44" s="101"/>
      <c r="F44" s="101"/>
      <c r="G44" s="101"/>
      <c r="H44" s="101"/>
      <c r="I44" s="101"/>
      <c r="J44" s="101"/>
      <c r="K44" s="101"/>
      <c r="L44" s="102"/>
      <c r="N44" s="51">
        <v>125</v>
      </c>
      <c r="T44" s="7"/>
      <c r="U44" s="7"/>
      <c r="V44" s="46">
        <v>11</v>
      </c>
      <c r="W44" s="46" t="s">
        <v>2</v>
      </c>
      <c r="X44" s="46">
        <v>20</v>
      </c>
      <c r="Y44" s="58" t="s">
        <v>4629</v>
      </c>
      <c r="Z44" s="7"/>
    </row>
    <row r="45" spans="1:26" ht="27.75" customHeight="1" x14ac:dyDescent="0.2">
      <c r="A45" s="35"/>
      <c r="B45" s="304" t="str" cm="1">
        <f t="array" ref="B45">INDEX(Trad, N45, Lang)</f>
        <v>Die Einhaltung der Anforderungen muss durch die folgenden Dokumente belegt werden. Die in der Tabelle 2 aufgeführten Unterlagen sind integraler Bestandteil des Nachweises der Massnahmenumsetzung.</v>
      </c>
      <c r="C45" s="304"/>
      <c r="D45" s="304"/>
      <c r="E45" s="304"/>
      <c r="F45" s="304"/>
      <c r="G45" s="304"/>
      <c r="H45" s="304"/>
      <c r="I45" s="304"/>
      <c r="J45" s="304"/>
      <c r="K45" s="304"/>
      <c r="L45" s="304"/>
      <c r="N45" s="51">
        <v>126</v>
      </c>
      <c r="T45" s="7"/>
      <c r="U45" s="7"/>
      <c r="V45" s="54">
        <v>10</v>
      </c>
      <c r="W45" s="54">
        <v>2</v>
      </c>
      <c r="X45" s="54">
        <f>12.75*W45 + 2.25</f>
        <v>27.75</v>
      </c>
      <c r="Z45" s="7"/>
    </row>
    <row r="46" spans="1:26" ht="5.0999999999999996" customHeight="1" x14ac:dyDescent="0.2">
      <c r="A46" s="35"/>
      <c r="B46" s="35"/>
      <c r="C46" s="35"/>
      <c r="D46" s="35"/>
      <c r="E46" s="35"/>
      <c r="F46" s="35"/>
      <c r="G46" s="35"/>
      <c r="H46" s="35"/>
      <c r="I46" s="35"/>
      <c r="J46" s="35"/>
      <c r="K46" s="35"/>
      <c r="L46" s="35"/>
      <c r="T46" s="7"/>
      <c r="U46" s="7"/>
      <c r="Z46" s="7"/>
    </row>
    <row r="47" spans="1:26" ht="15" customHeight="1" x14ac:dyDescent="0.2">
      <c r="A47" s="35"/>
      <c r="B47" s="308" t="str" cm="1">
        <f t="array" ref="B47">INDEX(Trad, N47, Lang)</f>
        <v>Tabelle 2: Nachweise</v>
      </c>
      <c r="C47" s="308"/>
      <c r="D47" s="308"/>
      <c r="E47" s="308"/>
      <c r="F47" s="308"/>
      <c r="G47" s="308"/>
      <c r="H47" s="308"/>
      <c r="I47" s="308"/>
      <c r="J47" s="308"/>
      <c r="K47" s="308"/>
      <c r="L47" s="308"/>
      <c r="N47" s="51">
        <v>127</v>
      </c>
      <c r="T47" s="7"/>
      <c r="U47" s="7"/>
      <c r="V47" s="54">
        <v>8</v>
      </c>
      <c r="W47" s="54" t="s">
        <v>2</v>
      </c>
      <c r="X47" s="54">
        <v>15</v>
      </c>
      <c r="Y47" s="122" t="s">
        <v>4720</v>
      </c>
      <c r="Z47" s="7"/>
    </row>
    <row r="48" spans="1:26" ht="5.0999999999999996" customHeight="1" x14ac:dyDescent="0.2">
      <c r="A48" s="35"/>
      <c r="B48" s="113"/>
      <c r="C48" s="114"/>
      <c r="D48" s="114"/>
      <c r="E48" s="114"/>
      <c r="F48" s="114"/>
      <c r="G48" s="114"/>
      <c r="H48" s="114"/>
      <c r="I48" s="114"/>
      <c r="J48" s="114"/>
      <c r="K48" s="114"/>
      <c r="L48" s="115"/>
      <c r="T48" s="7"/>
      <c r="U48" s="7"/>
      <c r="Z48" s="7"/>
    </row>
    <row r="49" spans="1:26" ht="18" customHeight="1" x14ac:dyDescent="0.2">
      <c r="A49" s="35"/>
      <c r="B49" s="112" t="str">
        <f>IF(ISNUMBER(N49), T49 &amp; ".", "")</f>
        <v>1.</v>
      </c>
      <c r="C49" s="309" t="str" cm="1">
        <f t="array" ref="C49">IF(ISNUMBER(N49), INDEX(Trad, N49, Lang), "")</f>
        <v>Rechnungsbelege (Format PDF, PNG oder JPEG)</v>
      </c>
      <c r="D49" s="309"/>
      <c r="E49" s="309"/>
      <c r="F49" s="309"/>
      <c r="G49" s="309"/>
      <c r="H49" s="309"/>
      <c r="I49" s="309"/>
      <c r="J49" s="309"/>
      <c r="K49" s="309"/>
      <c r="L49" s="328"/>
      <c r="N49" s="51">
        <v>130</v>
      </c>
      <c r="T49" s="179">
        <v>1</v>
      </c>
      <c r="U49" s="7"/>
      <c r="V49" s="54">
        <v>10</v>
      </c>
      <c r="W49" s="54">
        <v>3</v>
      </c>
      <c r="X49" s="54">
        <f t="shared" ref="X49:X64" si="2">12.75*W49 + 2.25</f>
        <v>40.5</v>
      </c>
      <c r="Z49" s="189" t="s">
        <v>4870</v>
      </c>
    </row>
    <row r="50" spans="1:26" ht="5.0999999999999996" hidden="1" customHeight="1" x14ac:dyDescent="0.2">
      <c r="A50" s="35"/>
      <c r="B50" s="116"/>
      <c r="C50" s="117"/>
      <c r="D50" s="117"/>
      <c r="E50" s="117"/>
      <c r="F50" s="117"/>
      <c r="G50" s="117"/>
      <c r="H50" s="117"/>
      <c r="I50" s="117"/>
      <c r="J50" s="117"/>
      <c r="K50" s="117"/>
      <c r="L50" s="118"/>
      <c r="T50" s="179"/>
      <c r="U50" s="7"/>
      <c r="Z50" s="7"/>
    </row>
    <row r="51" spans="1:26" ht="5.0999999999999996" hidden="1" customHeight="1" x14ac:dyDescent="0.2">
      <c r="A51" s="35"/>
      <c r="B51" s="119"/>
      <c r="C51" s="120"/>
      <c r="D51" s="120"/>
      <c r="E51" s="120"/>
      <c r="F51" s="120"/>
      <c r="G51" s="120"/>
      <c r="H51" s="120"/>
      <c r="I51" s="120"/>
      <c r="J51" s="120"/>
      <c r="K51" s="120"/>
      <c r="L51" s="121"/>
      <c r="T51" s="179"/>
      <c r="U51" s="7"/>
      <c r="Z51" s="7"/>
    </row>
    <row r="52" spans="1:26" ht="14.25" hidden="1" customHeight="1" x14ac:dyDescent="0.2">
      <c r="A52" s="35"/>
      <c r="B52" s="112" t="str">
        <f>IF(ISNUMBER(N52), T52 &amp; ".", "")</f>
        <v>2.</v>
      </c>
      <c r="C52" s="309" t="str" cm="1">
        <f t="array" ref="C52">IF(ISNUMBER(N52), INDEX(Trad, N52, Lang), "")</f>
        <v>Erläuterung (Format PDF, max. 2 A4-Seiten), wie sichergestellt wird, dass die ersetzten Geräte fachgerecht entsorgt wurden (z. B. mittels Deklarationen, Entsorgungspositionen auf Unternehmerrechnungen, usw.).</v>
      </c>
      <c r="D52" s="309"/>
      <c r="E52" s="309"/>
      <c r="F52" s="309"/>
      <c r="G52" s="309"/>
      <c r="H52" s="309"/>
      <c r="I52" s="309"/>
      <c r="J52" s="309"/>
      <c r="K52" s="309"/>
      <c r="L52" s="328"/>
      <c r="N52" s="51">
        <v>129</v>
      </c>
      <c r="T52" s="179">
        <v>2</v>
      </c>
      <c r="U52" s="7"/>
      <c r="V52" s="54">
        <v>10</v>
      </c>
      <c r="W52" s="54">
        <v>3</v>
      </c>
      <c r="X52" s="54">
        <f t="shared" si="2"/>
        <v>40.5</v>
      </c>
      <c r="Z52" s="7"/>
    </row>
    <row r="53" spans="1:26" ht="5.0999999999999996" hidden="1" customHeight="1" x14ac:dyDescent="0.2">
      <c r="A53" s="35"/>
      <c r="B53" s="116"/>
      <c r="C53" s="117"/>
      <c r="D53" s="117"/>
      <c r="E53" s="117"/>
      <c r="F53" s="117"/>
      <c r="G53" s="117"/>
      <c r="H53" s="117"/>
      <c r="I53" s="117"/>
      <c r="J53" s="117"/>
      <c r="K53" s="117"/>
      <c r="L53" s="118"/>
      <c r="N53" s="45"/>
      <c r="T53" s="179"/>
      <c r="U53" s="7"/>
      <c r="Z53" s="7"/>
    </row>
    <row r="54" spans="1:26" ht="5.0999999999999996" hidden="1" customHeight="1" x14ac:dyDescent="0.2">
      <c r="A54" s="35"/>
      <c r="B54" s="119"/>
      <c r="C54" s="120"/>
      <c r="D54" s="120"/>
      <c r="E54" s="120"/>
      <c r="F54" s="120"/>
      <c r="G54" s="120"/>
      <c r="H54" s="120"/>
      <c r="I54" s="120"/>
      <c r="J54" s="120"/>
      <c r="K54" s="120"/>
      <c r="L54" s="121"/>
      <c r="N54" s="45"/>
      <c r="T54" s="179"/>
      <c r="U54" s="7"/>
      <c r="Z54" s="7"/>
    </row>
    <row r="55" spans="1:26" ht="36" hidden="1" customHeight="1" x14ac:dyDescent="0.2">
      <c r="A55" s="35"/>
      <c r="B55" s="112" t="str">
        <f>IF(ISNUMBER(N55), T55 &amp; ".", "")</f>
        <v>3.</v>
      </c>
      <c r="C55" s="309" t="str" cm="1">
        <f t="array" ref="C55">IF(LEN(INDEX(Trad, N55, Lang))&gt;0, INDEX(Trad, N55, Lang_measure), "")</f>
        <v/>
      </c>
      <c r="D55" s="309"/>
      <c r="E55" s="309"/>
      <c r="F55" s="309"/>
      <c r="G55" s="309"/>
      <c r="H55" s="309"/>
      <c r="I55" s="309"/>
      <c r="J55" s="309"/>
      <c r="K55" s="309"/>
      <c r="L55" s="328"/>
      <c r="N55" s="45">
        <v>160</v>
      </c>
      <c r="T55" s="179">
        <v>3</v>
      </c>
      <c r="U55" s="7"/>
      <c r="V55" s="54">
        <v>10</v>
      </c>
      <c r="W55" s="54">
        <v>3</v>
      </c>
      <c r="X55" s="54">
        <f t="shared" si="2"/>
        <v>40.5</v>
      </c>
      <c r="Z55" s="7"/>
    </row>
    <row r="56" spans="1:26" ht="5.0999999999999996" hidden="1" customHeight="1" x14ac:dyDescent="0.2">
      <c r="A56" s="35"/>
      <c r="B56" s="116"/>
      <c r="C56" s="117"/>
      <c r="D56" s="117"/>
      <c r="E56" s="117"/>
      <c r="F56" s="117"/>
      <c r="G56" s="117"/>
      <c r="H56" s="117"/>
      <c r="I56" s="117"/>
      <c r="J56" s="117"/>
      <c r="K56" s="117"/>
      <c r="L56" s="118"/>
      <c r="T56" s="179"/>
      <c r="U56" s="7"/>
      <c r="Z56" s="7"/>
    </row>
    <row r="57" spans="1:26" ht="5.0999999999999996" hidden="1" customHeight="1" x14ac:dyDescent="0.2">
      <c r="A57" s="35"/>
      <c r="B57" s="107"/>
      <c r="C57" s="104"/>
      <c r="D57" s="104"/>
      <c r="E57" s="104"/>
      <c r="F57" s="104"/>
      <c r="G57" s="104"/>
      <c r="H57" s="104"/>
      <c r="I57" s="104"/>
      <c r="J57" s="104"/>
      <c r="K57" s="104"/>
      <c r="L57" s="108"/>
      <c r="T57" s="179"/>
      <c r="U57" s="7"/>
      <c r="Z57" s="7"/>
    </row>
    <row r="58" spans="1:26" ht="40.5" hidden="1" customHeight="1" x14ac:dyDescent="0.2">
      <c r="A58" s="35"/>
      <c r="B58" s="112" t="str">
        <f>IF(ISNUMBER(N58), T58 &amp; ".", "")</f>
        <v>4.</v>
      </c>
      <c r="C58" s="309" t="str" cm="1">
        <f t="array" ref="C58">IF(LEN(INDEX(Trad, N58, Lang))&gt;0, INDEX(Trad, N58, Lang), "")</f>
        <v/>
      </c>
      <c r="D58" s="309"/>
      <c r="E58" s="309"/>
      <c r="F58" s="309"/>
      <c r="G58" s="309"/>
      <c r="H58" s="309"/>
      <c r="I58" s="309"/>
      <c r="J58" s="309"/>
      <c r="K58" s="309"/>
      <c r="L58" s="328"/>
      <c r="N58" s="51">
        <v>161</v>
      </c>
      <c r="T58" s="179">
        <v>4</v>
      </c>
      <c r="U58" s="7"/>
      <c r="V58" s="54">
        <v>10</v>
      </c>
      <c r="W58" s="54">
        <v>3</v>
      </c>
      <c r="X58" s="54">
        <f t="shared" si="2"/>
        <v>40.5</v>
      </c>
      <c r="Z58" s="7"/>
    </row>
    <row r="59" spans="1:26" ht="5.0999999999999996" hidden="1" customHeight="1" x14ac:dyDescent="0.2">
      <c r="A59" s="35"/>
      <c r="B59" s="105"/>
      <c r="C59" s="74"/>
      <c r="D59" s="74"/>
      <c r="E59" s="74"/>
      <c r="F59" s="74"/>
      <c r="G59" s="74"/>
      <c r="H59" s="74"/>
      <c r="I59" s="74"/>
      <c r="J59" s="74"/>
      <c r="K59" s="74"/>
      <c r="L59" s="106"/>
      <c r="T59" s="179"/>
      <c r="U59" s="7"/>
      <c r="Z59" s="7"/>
    </row>
    <row r="60" spans="1:26" ht="5.0999999999999996" hidden="1" customHeight="1" x14ac:dyDescent="0.2">
      <c r="A60" s="35"/>
      <c r="B60" s="107"/>
      <c r="C60" s="104"/>
      <c r="D60" s="104"/>
      <c r="E60" s="104"/>
      <c r="F60" s="104"/>
      <c r="G60" s="104"/>
      <c r="H60" s="104"/>
      <c r="I60" s="104"/>
      <c r="J60" s="104"/>
      <c r="K60" s="104"/>
      <c r="L60" s="108"/>
      <c r="T60" s="179"/>
      <c r="U60" s="7"/>
      <c r="Z60" s="7"/>
    </row>
    <row r="61" spans="1:26" ht="40.5" hidden="1" customHeight="1" x14ac:dyDescent="0.2">
      <c r="A61" s="35"/>
      <c r="B61" s="112" t="str">
        <f>IF(ISNUMBER(N61), T61 &amp; ".", "")</f>
        <v>5.</v>
      </c>
      <c r="C61" s="309" t="str" cm="1">
        <f t="array" ref="C61">IF(LEN(INDEX(Trad, N61, Lang))&gt;0, INDEX(Trad, N61, Lang), "")</f>
        <v/>
      </c>
      <c r="D61" s="309"/>
      <c r="E61" s="309"/>
      <c r="F61" s="309"/>
      <c r="G61" s="309"/>
      <c r="H61" s="309"/>
      <c r="I61" s="309"/>
      <c r="J61" s="309"/>
      <c r="K61" s="309"/>
      <c r="L61" s="328"/>
      <c r="N61" s="51">
        <v>162</v>
      </c>
      <c r="T61" s="179">
        <v>5</v>
      </c>
      <c r="U61" s="7"/>
      <c r="V61" s="54">
        <v>10</v>
      </c>
      <c r="W61" s="54">
        <v>3</v>
      </c>
      <c r="X61" s="54">
        <f t="shared" si="2"/>
        <v>40.5</v>
      </c>
      <c r="Z61" s="7"/>
    </row>
    <row r="62" spans="1:26" ht="5.0999999999999996" hidden="1" customHeight="1" x14ac:dyDescent="0.2">
      <c r="A62" s="35"/>
      <c r="B62" s="105"/>
      <c r="C62" s="74"/>
      <c r="D62" s="74"/>
      <c r="E62" s="74"/>
      <c r="F62" s="74"/>
      <c r="G62" s="74"/>
      <c r="H62" s="74"/>
      <c r="I62" s="74"/>
      <c r="J62" s="74"/>
      <c r="K62" s="74"/>
      <c r="L62" s="106"/>
      <c r="T62" s="179"/>
      <c r="U62" s="7"/>
      <c r="Z62" s="7"/>
    </row>
    <row r="63" spans="1:26" ht="5.0999999999999996" hidden="1" customHeight="1" x14ac:dyDescent="0.2">
      <c r="A63" s="35"/>
      <c r="B63" s="107"/>
      <c r="C63" s="104"/>
      <c r="D63" s="104"/>
      <c r="E63" s="104"/>
      <c r="F63" s="104"/>
      <c r="G63" s="104"/>
      <c r="H63" s="104"/>
      <c r="I63" s="104"/>
      <c r="J63" s="104"/>
      <c r="K63" s="104"/>
      <c r="L63" s="108"/>
      <c r="T63" s="179"/>
      <c r="U63" s="7"/>
      <c r="Z63" s="7"/>
    </row>
    <row r="64" spans="1:26" ht="40.5" hidden="1" customHeight="1" x14ac:dyDescent="0.2">
      <c r="A64" s="35"/>
      <c r="B64" s="112" t="str">
        <f>IF(ISNUMBER(N64), T64 &amp; ".", "")</f>
        <v>6.</v>
      </c>
      <c r="C64" s="309" t="str" cm="1">
        <f t="array" ref="C64">IF(LEN(INDEX(Trad, N64, Lang))&gt;0, INDEX(Trad, N64, Lang), "")</f>
        <v/>
      </c>
      <c r="D64" s="309"/>
      <c r="E64" s="309"/>
      <c r="F64" s="309"/>
      <c r="G64" s="309"/>
      <c r="H64" s="309"/>
      <c r="I64" s="309"/>
      <c r="J64" s="309"/>
      <c r="K64" s="309"/>
      <c r="L64" s="328"/>
      <c r="N64" s="51">
        <v>163</v>
      </c>
      <c r="T64" s="179">
        <v>6</v>
      </c>
      <c r="U64" s="7"/>
      <c r="V64" s="54">
        <v>10</v>
      </c>
      <c r="W64" s="54">
        <v>3</v>
      </c>
      <c r="X64" s="54">
        <f t="shared" si="2"/>
        <v>40.5</v>
      </c>
      <c r="Z64" s="7"/>
    </row>
    <row r="65" spans="1:26" ht="5.0999999999999996" customHeight="1" x14ac:dyDescent="0.2">
      <c r="A65" s="35"/>
      <c r="B65" s="109"/>
      <c r="C65" s="110"/>
      <c r="D65" s="110"/>
      <c r="E65" s="110"/>
      <c r="F65" s="110"/>
      <c r="G65" s="110"/>
      <c r="H65" s="110"/>
      <c r="I65" s="110"/>
      <c r="J65" s="110"/>
      <c r="K65" s="110"/>
      <c r="L65" s="111"/>
      <c r="T65" s="179"/>
      <c r="U65" s="7"/>
      <c r="Z65" s="7"/>
    </row>
    <row r="66" spans="1:26" ht="15" customHeight="1" x14ac:dyDescent="0.2">
      <c r="A66" s="35"/>
      <c r="B66" s="327"/>
      <c r="C66" s="327"/>
      <c r="D66" s="327"/>
      <c r="E66" s="327"/>
      <c r="F66" s="327"/>
      <c r="G66" s="327"/>
      <c r="H66" s="327"/>
      <c r="I66" s="327"/>
      <c r="J66" s="327"/>
      <c r="K66" s="327"/>
      <c r="L66" s="327"/>
      <c r="N66" s="51">
        <v>131</v>
      </c>
      <c r="T66" s="7"/>
      <c r="U66" s="7"/>
      <c r="V66" s="122">
        <v>8</v>
      </c>
      <c r="W66" s="122" t="s">
        <v>2</v>
      </c>
      <c r="X66" s="122">
        <v>15</v>
      </c>
      <c r="Y66" s="122" t="s">
        <v>4716</v>
      </c>
      <c r="Z66" s="7"/>
    </row>
    <row r="67" spans="1:26" ht="9.9499999999999993" customHeight="1" x14ac:dyDescent="0.2">
      <c r="A67" s="35"/>
      <c r="B67" s="11"/>
      <c r="C67" s="11"/>
      <c r="D67" s="11"/>
      <c r="E67" s="11"/>
      <c r="F67" s="11"/>
      <c r="G67" s="11"/>
      <c r="H67" s="11"/>
      <c r="I67" s="11"/>
      <c r="J67" s="11"/>
      <c r="K67" s="11"/>
      <c r="T67" s="7"/>
      <c r="Z67" s="7"/>
    </row>
    <row r="68" spans="1:26" ht="15" customHeight="1" x14ac:dyDescent="0.2">
      <c r="B68" s="99" t="str" cm="1">
        <f t="array" ref="B68">INDEX(Trad, N68, Lang)</f>
        <v>Meldung der Massnahme</v>
      </c>
      <c r="C68" s="29"/>
      <c r="D68" s="11"/>
      <c r="E68" s="11"/>
      <c r="F68" s="11"/>
      <c r="G68" s="11"/>
      <c r="H68" s="11"/>
      <c r="I68" s="11"/>
      <c r="J68" s="11"/>
      <c r="K68" s="11"/>
      <c r="N68" s="51">
        <v>135</v>
      </c>
      <c r="T68" s="179" t="b">
        <v>0</v>
      </c>
      <c r="U68" s="188"/>
      <c r="V68" s="54">
        <v>10</v>
      </c>
      <c r="W68" s="54">
        <v>1</v>
      </c>
      <c r="X68" s="54">
        <f>12.75*W68 + 2.25</f>
        <v>15</v>
      </c>
      <c r="Z68" s="189" t="s">
        <v>4871</v>
      </c>
    </row>
    <row r="69" spans="1:26" ht="36" customHeight="1" x14ac:dyDescent="0.2">
      <c r="A69" s="35"/>
      <c r="B69" s="326" t="str" cm="1">
        <f t="array" ref="B69">IF(T68, INDEX(Trad, N69, Lang) &amp; " ", "") &amp; INDEX(Trad, O69, Lang) &amp; " " &amp; T69 &amp; " " &amp; INDEX(Trad, P69, Lang) &amp; " " &amp; U69 &amp; " " &amp; INDEX(Trad, Q69, Lang)</f>
        <v xml:space="preserve">Die Unterlagen unter Punkt 1   müssen nicht systematisch eingereicht werden, aber der Vollzugsbehörde bei einer allfälligen Kontrolle innerhalb von 30 Tagen vorgelegt werden können. </v>
      </c>
      <c r="C69" s="326"/>
      <c r="D69" s="326"/>
      <c r="E69" s="326"/>
      <c r="F69" s="326"/>
      <c r="G69" s="326"/>
      <c r="H69" s="326"/>
      <c r="I69" s="326"/>
      <c r="J69" s="326"/>
      <c r="K69" s="326"/>
      <c r="L69" s="326"/>
      <c r="N69" s="51">
        <v>136</v>
      </c>
      <c r="O69" s="51">
        <v>137</v>
      </c>
      <c r="P69" s="51">
        <v>138</v>
      </c>
      <c r="Q69" s="51">
        <v>139</v>
      </c>
      <c r="T69" s="179">
        <v>1</v>
      </c>
      <c r="U69" s="179"/>
      <c r="V69" s="54">
        <v>10</v>
      </c>
      <c r="W69" s="54">
        <v>3</v>
      </c>
      <c r="X69" s="54">
        <f t="shared" ref="X69" si="3">12.75*W69 + 2.25</f>
        <v>40.5</v>
      </c>
      <c r="Z69" s="189" t="s">
        <v>4872</v>
      </c>
    </row>
    <row r="70" spans="1:26" ht="20.100000000000001" customHeight="1" x14ac:dyDescent="0.2">
      <c r="A70" s="35"/>
      <c r="B70" s="11"/>
      <c r="C70" s="11"/>
      <c r="D70" s="11"/>
      <c r="E70" s="11"/>
      <c r="F70" s="11"/>
      <c r="G70" s="11"/>
      <c r="H70" s="11"/>
      <c r="I70" s="11"/>
      <c r="J70" s="11"/>
      <c r="K70" s="11"/>
      <c r="T70" s="7"/>
      <c r="U70" s="7"/>
      <c r="Z70" s="7"/>
    </row>
    <row r="71" spans="1:26" ht="20.100000000000001" customHeight="1" x14ac:dyDescent="0.2">
      <c r="A71" s="35"/>
      <c r="B71" s="100" t="str" cm="1">
        <f t="array" ref="B71">"4. " &amp; INDEX(Trad, N71, Lang)</f>
        <v>4. Berechnungen</v>
      </c>
      <c r="C71" s="100"/>
      <c r="D71" s="101"/>
      <c r="E71" s="101"/>
      <c r="F71" s="101"/>
      <c r="G71" s="101"/>
      <c r="H71" s="101"/>
      <c r="I71" s="101"/>
      <c r="J71" s="101"/>
      <c r="K71" s="101"/>
      <c r="L71" s="102"/>
      <c r="N71" s="51">
        <v>140</v>
      </c>
      <c r="T71" s="7"/>
      <c r="U71" s="7"/>
      <c r="V71" s="46">
        <v>11</v>
      </c>
      <c r="W71" s="46" t="s">
        <v>2</v>
      </c>
      <c r="X71" s="46">
        <v>20</v>
      </c>
      <c r="Y71" s="58" t="s">
        <v>4629</v>
      </c>
      <c r="Z71" s="7"/>
    </row>
    <row r="72" spans="1:26" s="61" customFormat="1" ht="43.5" customHeight="1" x14ac:dyDescent="0.2">
      <c r="A72" s="35"/>
      <c r="B72" s="304" t="str" cm="1">
        <f t="array" ref="B72">INDEX(Trad,N72,Lang) &amp; " " &amp; LEFT(L11, LEN(L11) - 1) &amp; INDEX(Trad,O72,Lang) &amp; "."</f>
        <v>Die anrechenbaren Stromeinsparungen der Massnahme werden abhängig von den festgelegten Eingabevariablen durch die Monitoringliste in Kilowattstunden berechnet. Informationen zu den Annahmen und der Berechnungsmethode sind in der zugehörigen Dokumentation KA-03 zu finden.</v>
      </c>
      <c r="C72" s="304"/>
      <c r="D72" s="304"/>
      <c r="E72" s="304"/>
      <c r="F72" s="304"/>
      <c r="G72" s="304"/>
      <c r="H72" s="304"/>
      <c r="I72" s="304"/>
      <c r="J72" s="304"/>
      <c r="K72" s="304"/>
      <c r="L72" s="304"/>
      <c r="M72" s="50"/>
      <c r="N72" s="59">
        <v>141</v>
      </c>
      <c r="O72" s="59">
        <v>142</v>
      </c>
      <c r="P72" s="59"/>
      <c r="Q72" s="59"/>
      <c r="R72" s="59"/>
      <c r="S72" s="60"/>
      <c r="T72" s="7"/>
      <c r="U72" s="7"/>
      <c r="V72" s="54">
        <v>10</v>
      </c>
      <c r="W72" s="54">
        <v>4</v>
      </c>
      <c r="X72" s="54">
        <f t="shared" ref="X72" si="4">12.75*W72 + 2.25</f>
        <v>53.25</v>
      </c>
      <c r="Y72" s="54"/>
      <c r="Z72" s="7"/>
    </row>
    <row r="73" spans="1:26" ht="20.100000000000001" customHeight="1" x14ac:dyDescent="0.2">
      <c r="A73" s="35"/>
      <c r="B73" s="11"/>
      <c r="C73" s="11"/>
      <c r="D73" s="11"/>
      <c r="E73" s="11"/>
      <c r="F73" s="11"/>
      <c r="G73" s="11"/>
      <c r="H73" s="11"/>
      <c r="I73" s="11"/>
      <c r="J73" s="11"/>
      <c r="K73" s="11"/>
      <c r="T73" s="7"/>
      <c r="U73" s="7"/>
      <c r="Z73" s="7"/>
    </row>
    <row r="74" spans="1:26" ht="20.100000000000001" customHeight="1" x14ac:dyDescent="0.2">
      <c r="A74" s="35"/>
      <c r="B74" s="100" t="str" cm="1">
        <f t="array" ref="B74">"5. "&amp;INDEX(Trad,N74,Lang)</f>
        <v>5. Einsparungen</v>
      </c>
      <c r="C74" s="100"/>
      <c r="D74" s="101"/>
      <c r="E74" s="101"/>
      <c r="F74" s="101"/>
      <c r="G74" s="101"/>
      <c r="H74" s="101"/>
      <c r="I74" s="101"/>
      <c r="J74" s="101"/>
      <c r="K74" s="101"/>
      <c r="L74" s="102"/>
      <c r="N74" s="51">
        <v>143</v>
      </c>
      <c r="T74" s="7"/>
      <c r="U74" s="7"/>
      <c r="V74" s="46">
        <v>11</v>
      </c>
      <c r="W74" s="46" t="s">
        <v>2</v>
      </c>
      <c r="X74" s="46">
        <v>20</v>
      </c>
      <c r="Y74" s="58" t="s">
        <v>4629</v>
      </c>
      <c r="Z74" s="7"/>
    </row>
    <row r="75" spans="1:26" ht="5.0999999999999996" customHeight="1" x14ac:dyDescent="0.2">
      <c r="A75" s="35"/>
      <c r="B75" s="26"/>
      <c r="C75" s="26"/>
      <c r="D75" s="11"/>
      <c r="E75" s="11"/>
      <c r="F75" s="11"/>
      <c r="G75" s="11"/>
      <c r="H75" s="11"/>
      <c r="I75" s="11"/>
      <c r="J75" s="11"/>
      <c r="K75" s="11"/>
      <c r="T75" s="7"/>
      <c r="U75" s="7"/>
      <c r="V75" s="46"/>
      <c r="W75" s="46"/>
      <c r="X75" s="46"/>
      <c r="Y75" s="58"/>
      <c r="Z75" s="7"/>
    </row>
    <row r="76" spans="1:26" ht="40.5" customHeight="1" x14ac:dyDescent="0.2">
      <c r="A76" s="35"/>
      <c r="B76" s="277" t="str" cm="1">
        <f t="array" ref="B76">INDEX(Trad, N76, Lang)</f>
        <v>Anrechenbare Stromeinsparungen* [kWh]</v>
      </c>
      <c r="C76" s="278"/>
      <c r="D76" s="278"/>
      <c r="E76" s="278"/>
      <c r="F76" s="278"/>
      <c r="G76" s="279"/>
      <c r="H76" s="323">
        <f>ROUND(B!D17, 1)</f>
        <v>2015.5</v>
      </c>
      <c r="I76" s="324"/>
      <c r="J76" s="324"/>
      <c r="K76" s="324"/>
      <c r="L76" s="325"/>
      <c r="N76" s="51">
        <v>144</v>
      </c>
      <c r="T76" s="7"/>
      <c r="U76" s="7"/>
      <c r="Z76" s="7"/>
    </row>
    <row r="77" spans="1:26" ht="15" customHeight="1" x14ac:dyDescent="0.2">
      <c r="A77" s="35"/>
      <c r="B77" s="294" t="str" cm="1">
        <f t="array" ref="B77">INDEX(Trad, N77, Lang) &amp; " " &amp; LEFT(L11, LEN(L11) - 1) &amp; INDEX(Trad, O77, Lang)</f>
        <v>* automatisch nach der in der Dokumentation KA-03 beschriebenen Berechnungsmethode berechnet</v>
      </c>
      <c r="C77" s="294"/>
      <c r="D77" s="294"/>
      <c r="E77" s="294"/>
      <c r="F77" s="294"/>
      <c r="G77" s="294"/>
      <c r="H77" s="294"/>
      <c r="I77" s="294"/>
      <c r="J77" s="294"/>
      <c r="K77" s="294"/>
      <c r="L77" s="294"/>
      <c r="N77" s="51">
        <v>145</v>
      </c>
      <c r="O77" s="51">
        <v>146</v>
      </c>
      <c r="T77" s="7"/>
      <c r="U77" s="7"/>
      <c r="V77" s="54">
        <v>8</v>
      </c>
      <c r="W77" s="54">
        <v>1</v>
      </c>
      <c r="X77" s="54">
        <f>11.25*W77 + 2.25</f>
        <v>13.5</v>
      </c>
      <c r="Z77" s="7"/>
    </row>
    <row r="78" spans="1:26" ht="20.100000000000001" customHeight="1" x14ac:dyDescent="0.2">
      <c r="A78" s="35"/>
      <c r="B78" s="11"/>
      <c r="C78" s="11"/>
      <c r="D78" s="11"/>
      <c r="E78" s="11"/>
      <c r="F78" s="11"/>
      <c r="G78" s="11"/>
      <c r="H78" s="11"/>
      <c r="I78" s="11"/>
      <c r="J78" s="11"/>
      <c r="K78" s="11"/>
      <c r="T78" s="7"/>
      <c r="U78" s="7"/>
      <c r="Z78" s="7"/>
    </row>
    <row r="79" spans="1:26" ht="20.100000000000001" customHeight="1" x14ac:dyDescent="0.2">
      <c r="A79" s="35"/>
      <c r="B79" s="100" t="str" cm="1">
        <f t="array" ref="B79">"6. " &amp; INDEX(Trad, N79, Lang)</f>
        <v>6. Referenz</v>
      </c>
      <c r="C79" s="100"/>
      <c r="D79" s="101"/>
      <c r="E79" s="101"/>
      <c r="F79" s="101"/>
      <c r="G79" s="101"/>
      <c r="H79" s="101"/>
      <c r="I79" s="101"/>
      <c r="J79" s="101"/>
      <c r="K79" s="101"/>
      <c r="L79" s="102"/>
      <c r="N79" s="51">
        <v>147</v>
      </c>
      <c r="T79" s="7"/>
      <c r="U79" s="7"/>
      <c r="V79" s="46">
        <v>11</v>
      </c>
      <c r="W79" s="46" t="s">
        <v>2</v>
      </c>
      <c r="X79" s="46">
        <v>20</v>
      </c>
      <c r="Y79" s="58" t="s">
        <v>4629</v>
      </c>
      <c r="Z79" s="7"/>
    </row>
    <row r="80" spans="1:26" s="55" customFormat="1" ht="15" customHeight="1" x14ac:dyDescent="0.2">
      <c r="A80" s="152"/>
      <c r="B80" s="317" t="str" cm="1">
        <f t="array" ref="B80">INDEX(Trad,N80,Lang)</f>
        <v>Elektrizitätslieferant</v>
      </c>
      <c r="C80" s="317"/>
      <c r="D80" s="317"/>
      <c r="E80" s="317"/>
      <c r="F80" s="317"/>
      <c r="G80" s="317"/>
      <c r="H80" s="318" t="str">
        <f>IF(ISBLANK(B!D15), "!", B!D15)</f>
        <v>Energia Beispiel AG</v>
      </c>
      <c r="I80" s="318"/>
      <c r="J80" s="318"/>
      <c r="K80" s="318"/>
      <c r="L80" s="318"/>
      <c r="M80" s="48"/>
      <c r="N80" s="51">
        <v>148</v>
      </c>
      <c r="O80" s="52"/>
      <c r="P80" s="52"/>
      <c r="Q80" s="52"/>
      <c r="R80" s="52"/>
      <c r="S80" s="53"/>
      <c r="T80" s="7"/>
      <c r="U80" s="7"/>
      <c r="V80" s="54"/>
      <c r="W80" s="54"/>
      <c r="X80" s="54"/>
      <c r="Y80" s="54"/>
      <c r="Z80" s="7"/>
    </row>
    <row r="81" spans="1:26" s="55" customFormat="1" ht="15" customHeight="1" x14ac:dyDescent="0.2">
      <c r="A81" s="152"/>
      <c r="B81" s="317" t="str" cm="1">
        <f t="array" ref="B81">INDEX(Trad,N81,Lang)</f>
        <v>Dateibezeichnung</v>
      </c>
      <c r="C81" s="317"/>
      <c r="D81" s="317"/>
      <c r="E81" s="317"/>
      <c r="F81" s="317"/>
      <c r="G81" s="317"/>
      <c r="H81" s="318" t="str">
        <f>IF(ISBLANK(B!D16), "-", B!D16)</f>
        <v>-</v>
      </c>
      <c r="I81" s="318"/>
      <c r="J81" s="318"/>
      <c r="K81" s="318"/>
      <c r="L81" s="318"/>
      <c r="M81" s="48"/>
      <c r="N81" s="51">
        <v>149</v>
      </c>
      <c r="O81" s="52"/>
      <c r="P81" s="52"/>
      <c r="Q81" s="52"/>
      <c r="R81" s="52"/>
      <c r="S81" s="53"/>
      <c r="T81" s="7"/>
      <c r="U81" s="7"/>
      <c r="V81" s="54"/>
      <c r="W81" s="54"/>
      <c r="X81" s="54"/>
      <c r="Y81" s="54"/>
      <c r="Z81" s="7"/>
    </row>
    <row r="82" spans="1:26" ht="12.75" customHeight="1" x14ac:dyDescent="0.2">
      <c r="T82" s="7"/>
      <c r="U82" s="7"/>
      <c r="Z82" s="7"/>
    </row>
    <row r="83" spans="1:26" ht="14.25" customHeight="1" x14ac:dyDescent="0.2">
      <c r="T83" s="7"/>
      <c r="U83" s="7"/>
      <c r="Z83" s="7"/>
    </row>
    <row r="84" spans="1:26" ht="14.25" customHeight="1" x14ac:dyDescent="0.2">
      <c r="T84" s="7"/>
      <c r="U84" s="7"/>
      <c r="Z84" s="7"/>
    </row>
    <row r="85" spans="1:26" ht="14.25" customHeight="1" x14ac:dyDescent="0.2">
      <c r="T85" s="7"/>
      <c r="U85" s="7"/>
      <c r="Z85" s="7"/>
    </row>
    <row r="86" spans="1:26" ht="14.25" customHeight="1" x14ac:dyDescent="0.2">
      <c r="T86" s="7"/>
      <c r="U86" s="7"/>
      <c r="Z86" s="7"/>
    </row>
    <row r="87" spans="1:26" ht="14.25" customHeight="1" x14ac:dyDescent="0.2">
      <c r="T87" s="7"/>
      <c r="U87" s="7"/>
      <c r="Z87" s="7"/>
    </row>
    <row r="88" spans="1:26" ht="14.25" customHeight="1" x14ac:dyDescent="0.2">
      <c r="T88" s="7"/>
      <c r="U88" s="7"/>
      <c r="Z88" s="7"/>
    </row>
    <row r="89" spans="1:26" ht="14.25" customHeight="1" x14ac:dyDescent="0.2">
      <c r="T89" s="7"/>
      <c r="U89" s="7"/>
      <c r="Z89" s="7"/>
    </row>
    <row r="90" spans="1:26" ht="14.25" customHeight="1" x14ac:dyDescent="0.2">
      <c r="T90" s="7"/>
      <c r="U90" s="7"/>
      <c r="Z90" s="7"/>
    </row>
  </sheetData>
  <sheetProtection algorithmName="SHA-512" hashValue="p/PaYBxx7p4Lac5mgWc8pSSyyV6ZGy8+7pSqub+07JJk3ltwCFXfoyfQw1rOE7pXfuZc46CrwpE9/4QwFWwJeQ==" saltValue="leYeAGbghjYP/6cs38ADRg==" spinCount="100000" sheet="1" objects="1" scenarios="1"/>
  <mergeCells count="56">
    <mergeCell ref="C55:L55"/>
    <mergeCell ref="C58:L58"/>
    <mergeCell ref="C61:L61"/>
    <mergeCell ref="C64:L64"/>
    <mergeCell ref="B47:L47"/>
    <mergeCell ref="C52:L52"/>
    <mergeCell ref="B2:E2"/>
    <mergeCell ref="B80:G80"/>
    <mergeCell ref="B81:G81"/>
    <mergeCell ref="H80:L80"/>
    <mergeCell ref="H81:L81"/>
    <mergeCell ref="B39:D39"/>
    <mergeCell ref="B45:L45"/>
    <mergeCell ref="B40:D40"/>
    <mergeCell ref="E40:L40"/>
    <mergeCell ref="B77:L77"/>
    <mergeCell ref="B76:G76"/>
    <mergeCell ref="H76:L76"/>
    <mergeCell ref="B72:L72"/>
    <mergeCell ref="B69:L69"/>
    <mergeCell ref="B66:L66"/>
    <mergeCell ref="C49:L49"/>
    <mergeCell ref="B8:L8"/>
    <mergeCell ref="B9:L9"/>
    <mergeCell ref="B15:L15"/>
    <mergeCell ref="B20:L20"/>
    <mergeCell ref="K13:L13"/>
    <mergeCell ref="B10:L10"/>
    <mergeCell ref="B23:L23"/>
    <mergeCell ref="B28:L28"/>
    <mergeCell ref="E31:H31"/>
    <mergeCell ref="I31:L31"/>
    <mergeCell ref="B31:D31"/>
    <mergeCell ref="B30:L30"/>
    <mergeCell ref="B25:L25"/>
    <mergeCell ref="B24:L24"/>
    <mergeCell ref="B42:L42"/>
    <mergeCell ref="E41:L41"/>
    <mergeCell ref="B41:D41"/>
    <mergeCell ref="E36:L36"/>
    <mergeCell ref="E37:L37"/>
    <mergeCell ref="E38:L38"/>
    <mergeCell ref="E39:L39"/>
    <mergeCell ref="E35:L35"/>
    <mergeCell ref="B36:D36"/>
    <mergeCell ref="B37:D37"/>
    <mergeCell ref="B38:D38"/>
    <mergeCell ref="B32:D32"/>
    <mergeCell ref="B34:D34"/>
    <mergeCell ref="E34:H34"/>
    <mergeCell ref="E32:L32"/>
    <mergeCell ref="I34:L34"/>
    <mergeCell ref="B33:D33"/>
    <mergeCell ref="E33:H33"/>
    <mergeCell ref="I33:L33"/>
    <mergeCell ref="B35:D35"/>
  </mergeCells>
  <hyperlinks>
    <hyperlink ref="B2" location="Version!A1" display="Version!A1" xr:uid="{D18660A3-82B7-4DCC-983A-EF0EA871CB2E}"/>
  </hyperlinks>
  <printOptions horizontalCentered="1"/>
  <pageMargins left="0.43307086614173229" right="0.43307086614173229" top="0.74803149606299213" bottom="0.74803149606299213" header="0.31496062992125984" footer="0.31496062992125984"/>
  <pageSetup paperSize="9" scale="91" fitToHeight="0" orientation="portrait" horizontalDpi="90" verticalDpi="90" r:id="rId1"/>
  <headerFooter>
    <oddFooter>&amp;R&amp;"Arial,Standard"&amp;7&amp;P/&amp;N</oddFooter>
  </headerFooter>
  <rowBreaks count="2" manualBreakCount="2">
    <brk id="17" max="16383" man="1"/>
    <brk id="4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CEB5D-CB2D-4EC5-8E2A-89DCB32B6CA7}">
  <sheetPr>
    <tabColor rgb="FFFFFF00"/>
  </sheetPr>
  <dimension ref="A1:XFC1023"/>
  <sheetViews>
    <sheetView workbookViewId="0">
      <pane xSplit="1" ySplit="22" topLeftCell="B23" activePane="bottomRight" state="frozen"/>
      <selection pane="topRight" activeCell="B1" sqref="B1"/>
      <selection pane="bottomLeft" activeCell="A23" sqref="A23"/>
      <selection pane="bottomRight" activeCell="G28" sqref="G28"/>
    </sheetView>
  </sheetViews>
  <sheetFormatPr baseColWidth="10" defaultColWidth="0" defaultRowHeight="14.25" zeroHeight="1" outlineLevelRow="1" x14ac:dyDescent="0.2"/>
  <cols>
    <col min="1" max="1" width="5.7109375" style="7" customWidth="1"/>
    <col min="2" max="2" width="5.7109375" style="192" customWidth="1"/>
    <col min="3" max="4" width="25.7109375" style="7" customWidth="1"/>
    <col min="5" max="5" width="9.140625" style="7" customWidth="1"/>
    <col min="6" max="6" width="25.7109375" style="7" customWidth="1"/>
    <col min="7" max="9" width="30.7109375" style="7" customWidth="1"/>
    <col min="10" max="12" width="13.28515625" style="7" customWidth="1"/>
    <col min="13" max="13" width="15.7109375" style="7" customWidth="1"/>
    <col min="14" max="15" width="15.7109375" style="7" hidden="1" customWidth="1"/>
    <col min="16" max="16" width="1.28515625" style="7" hidden="1" customWidth="1"/>
    <col min="17" max="17" width="16.7109375" style="7" customWidth="1"/>
    <col min="18" max="18" width="15.7109375" style="7" customWidth="1"/>
    <col min="19" max="21" width="15.7109375" style="7" hidden="1" customWidth="1"/>
    <col min="22" max="22" width="16.42578125" style="7" customWidth="1"/>
    <col min="23" max="23" width="20.7109375" style="7" customWidth="1"/>
    <col min="24" max="24" width="25.7109375" style="7" customWidth="1"/>
    <col min="25" max="25" width="8.28515625" style="7" customWidth="1"/>
    <col min="26" max="26" width="25.7109375" style="7" customWidth="1"/>
    <col min="27" max="27" width="15.7109375" style="192" customWidth="1"/>
    <col min="28" max="28" width="18.140625" style="7" customWidth="1"/>
    <col min="29" max="29" width="5.7109375" style="7" customWidth="1"/>
    <col min="30" max="35" width="5.7109375" style="256" hidden="1"/>
    <col min="36" max="36" width="5.7109375" style="7" hidden="1"/>
    <col min="37" max="38" width="5.7109375" style="256" hidden="1"/>
    <col min="39" max="49" width="5.7109375" style="257" hidden="1"/>
    <col min="50" max="50" width="5.7109375" style="7" hidden="1"/>
    <col min="51" max="57" width="5.7109375" style="256" hidden="1"/>
    <col min="58" max="58" width="5.7109375" style="257" hidden="1"/>
    <col min="59" max="61" width="5.7109375" style="256" hidden="1"/>
    <col min="62" max="62" width="5.7109375" style="257" hidden="1"/>
    <col min="63" max="65" width="5.7109375" style="256" hidden="1"/>
    <col min="66" max="66" width="5.7109375" style="257" hidden="1"/>
    <col min="67" max="69" width="5.7109375" style="256" hidden="1"/>
    <col min="70" max="70" width="5.7109375" style="257" hidden="1"/>
    <col min="71" max="73" width="5.7109375" style="256" hidden="1"/>
    <col min="74" max="74" width="5.7109375" style="257" hidden="1"/>
    <col min="75" max="75" width="5.7109375" style="7" hidden="1"/>
    <col min="76" max="77" width="5.7109375" style="256" hidden="1"/>
    <col min="78" max="78" width="5.7109375" style="257" hidden="1"/>
    <col min="79" max="81" width="5.7109375" style="256" hidden="1"/>
    <col min="82" max="82" width="5.7109375" style="257" hidden="1"/>
    <col min="83" max="85" width="5.7109375" style="256" hidden="1"/>
    <col min="86" max="86" width="5.7109375" style="257" hidden="1"/>
    <col min="87" max="89" width="5.7109375" style="256" hidden="1"/>
    <col min="90" max="90" width="5.7109375" style="257" hidden="1"/>
    <col min="91" max="93" width="5.7109375" style="256" hidden="1"/>
    <col min="94" max="94" width="5.7109375" style="257" hidden="1"/>
    <col min="95" max="95" width="5.7109375" style="7" hidden="1"/>
    <col min="96" max="16383" width="9.140625" style="7" hidden="1"/>
    <col min="16384" max="16384" width="5" style="7" hidden="1"/>
  </cols>
  <sheetData>
    <row r="1" spans="1:24" s="65" customFormat="1" ht="12.75" customHeight="1" x14ac:dyDescent="0.2">
      <c r="A1" s="63"/>
      <c r="B1" s="64">
        <f>Lang</f>
        <v>1</v>
      </c>
      <c r="C1" s="211">
        <f>Lang</f>
        <v>1</v>
      </c>
      <c r="F1" s="66"/>
      <c r="G1" s="66"/>
      <c r="H1" s="66"/>
      <c r="I1" s="66"/>
      <c r="L1" s="67"/>
      <c r="S1" s="63"/>
      <c r="X1" s="63"/>
    </row>
    <row r="2" spans="1:24" s="65" customFormat="1" ht="12" customHeight="1" x14ac:dyDescent="0.2">
      <c r="A2" s="63"/>
      <c r="B2" s="316" t="str" cm="1">
        <f t="array" ref="B2">INDEX(Trad, 204, $B$1)</f>
        <v>Zurück zur Übersicht</v>
      </c>
      <c r="C2" s="316"/>
      <c r="D2" s="134"/>
      <c r="F2" s="72"/>
      <c r="G2" s="72"/>
      <c r="H2" s="72"/>
      <c r="I2" s="72"/>
      <c r="J2" s="64"/>
      <c r="K2" s="64"/>
      <c r="L2" s="64"/>
      <c r="S2" s="63"/>
      <c r="X2" s="63"/>
    </row>
    <row r="3" spans="1:24" s="65" customFormat="1" ht="12" customHeight="1" x14ac:dyDescent="0.2">
      <c r="A3" s="63"/>
      <c r="B3" s="133"/>
      <c r="D3" s="134"/>
      <c r="F3" s="72"/>
      <c r="G3" s="72"/>
      <c r="H3" s="72"/>
      <c r="I3" s="72"/>
      <c r="J3" s="64"/>
      <c r="K3" s="64"/>
      <c r="L3" s="64"/>
      <c r="S3" s="63"/>
      <c r="X3" s="63"/>
    </row>
    <row r="4" spans="1:24" s="70" customFormat="1" ht="20.100000000000001" customHeight="1" x14ac:dyDescent="0.2">
      <c r="A4" s="68"/>
      <c r="B4" s="16" t="str" cm="1">
        <f t="array" ref="B4">INDEX(Trad, 1, $B$1)</f>
        <v>Monitoringliste</v>
      </c>
      <c r="C4" s="69"/>
      <c r="D4" s="128"/>
      <c r="F4" s="66"/>
      <c r="G4" s="66"/>
      <c r="H4" s="66"/>
      <c r="I4" s="66"/>
      <c r="L4" s="71"/>
      <c r="S4" s="68"/>
      <c r="T4" s="65"/>
      <c r="U4" s="65"/>
      <c r="X4" s="68"/>
    </row>
    <row r="5" spans="1:24" s="65" customFormat="1" ht="12" customHeight="1" x14ac:dyDescent="0.2">
      <c r="A5" s="63"/>
      <c r="B5" s="133" t="str" cm="1">
        <f t="array" ref="B5">INDEX(Trad, 23, $B$1)</f>
        <v>Massnahme</v>
      </c>
      <c r="D5" s="134" t="str">
        <f>measure_id</f>
        <v>KA-03a</v>
      </c>
      <c r="F5" s="72"/>
      <c r="G5" s="72"/>
      <c r="H5" s="72"/>
      <c r="I5" s="72"/>
      <c r="J5" s="64"/>
      <c r="K5" s="64"/>
      <c r="L5" s="64"/>
      <c r="S5" s="63"/>
      <c r="X5" s="63"/>
    </row>
    <row r="6" spans="1:24" s="65" customFormat="1" ht="12" customHeight="1" x14ac:dyDescent="0.2">
      <c r="A6" s="63" t="s">
        <v>4758</v>
      </c>
      <c r="B6" s="133" t="str" cm="1">
        <f t="array" ref="B6">INDEX(Trad, 24, $B$1)</f>
        <v>Version</v>
      </c>
      <c r="D6" s="134" t="str">
        <f>measure_version</f>
        <v>2.0 (11.2025)</v>
      </c>
      <c r="F6" s="72"/>
      <c r="G6" s="72"/>
      <c r="H6" s="72"/>
      <c r="I6" s="72"/>
      <c r="J6" s="64"/>
      <c r="K6" s="64"/>
      <c r="L6" s="64"/>
      <c r="S6" s="63"/>
      <c r="X6" s="63"/>
    </row>
    <row r="7" spans="1:24" s="70" customFormat="1" ht="24.95" customHeight="1" x14ac:dyDescent="0.25">
      <c r="A7" s="68"/>
      <c r="B7" s="158" t="str" cm="1">
        <f t="array" ref="B7">INDEX(Trad, 34, $B$1)</f>
        <v>Jede Massnahme muss mit den gesamten Angaben vollständig erfasst werden (Pflichtfelder).</v>
      </c>
      <c r="D7" s="138"/>
      <c r="F7" s="72"/>
      <c r="G7" s="72"/>
      <c r="H7" s="72"/>
      <c r="I7" s="72"/>
      <c r="J7" s="72"/>
      <c r="K7" s="72"/>
      <c r="L7" s="72"/>
      <c r="S7" s="68"/>
      <c r="X7" s="68"/>
    </row>
    <row r="8" spans="1:24" s="65" customFormat="1" ht="12" customHeight="1" outlineLevel="1" x14ac:dyDescent="0.2">
      <c r="A8" s="63"/>
      <c r="B8" s="157"/>
      <c r="C8" s="144" t="str" cm="1">
        <f t="array" ref="C8">INDEX(Trad, 7, $B$1)</f>
        <v>Eingabefeld (obligatorisch)</v>
      </c>
      <c r="F8" s="71"/>
      <c r="G8" s="71"/>
      <c r="H8" s="71"/>
      <c r="I8" s="71"/>
      <c r="J8" s="64"/>
      <c r="K8" s="64"/>
      <c r="L8" s="64"/>
      <c r="S8" s="63"/>
      <c r="X8" s="63"/>
    </row>
    <row r="9" spans="1:24" s="65" customFormat="1" ht="12" customHeight="1" outlineLevel="1" x14ac:dyDescent="0.2">
      <c r="A9" s="63"/>
      <c r="B9" s="156"/>
      <c r="C9" s="144" t="str" cm="1">
        <f t="array" ref="C9">INDEX(Trad, 18, $B$1)</f>
        <v>Eingabefeld (optional)</v>
      </c>
      <c r="F9" s="71"/>
      <c r="G9" s="71"/>
      <c r="H9" s="71"/>
      <c r="I9" s="71"/>
      <c r="J9" s="64"/>
      <c r="K9" s="64"/>
      <c r="L9" s="64"/>
      <c r="S9" s="63"/>
      <c r="X9" s="63"/>
    </row>
    <row r="10" spans="1:24" s="65" customFormat="1" ht="12" customHeight="1" outlineLevel="1" x14ac:dyDescent="0.2">
      <c r="A10" s="63"/>
      <c r="B10" s="124"/>
      <c r="C10" s="144" t="str" cm="1">
        <f t="array" ref="C10">INDEX(Trad, 17, $B$1)</f>
        <v>Mehrfachauswahlfeld (obligatorisch)</v>
      </c>
      <c r="F10" s="71"/>
      <c r="G10" s="71"/>
      <c r="H10" s="71"/>
      <c r="I10" s="71"/>
      <c r="J10" s="64"/>
      <c r="K10" s="64"/>
      <c r="L10" s="64"/>
      <c r="S10" s="63"/>
      <c r="X10" s="63"/>
    </row>
    <row r="11" spans="1:24" s="65" customFormat="1" ht="12" customHeight="1" outlineLevel="1" x14ac:dyDescent="0.2">
      <c r="A11" s="63"/>
      <c r="B11" s="125"/>
      <c r="C11" s="144" t="str" cm="1">
        <f t="array" ref="C11">INDEX(Trad, 8, $B$1)</f>
        <v>Berechnetetes Feld</v>
      </c>
      <c r="F11" s="71"/>
      <c r="G11" s="71"/>
      <c r="H11" s="71"/>
      <c r="I11" s="71"/>
      <c r="J11" s="64"/>
      <c r="K11" s="64"/>
      <c r="L11" s="64"/>
      <c r="S11" s="63"/>
      <c r="X11" s="63"/>
    </row>
    <row r="12" spans="1:24" s="65" customFormat="1" ht="12" customHeight="1" outlineLevel="1" x14ac:dyDescent="0.2">
      <c r="A12" s="63"/>
      <c r="B12" s="126"/>
      <c r="C12" s="144" t="str" cm="1">
        <f t="array" ref="C12">INDEX(Trad, 9, $B$1)</f>
        <v>Gesperrtes Feld</v>
      </c>
      <c r="F12" s="71"/>
      <c r="G12" s="71"/>
      <c r="H12" s="71"/>
      <c r="I12" s="71"/>
      <c r="J12" s="64"/>
      <c r="K12" s="64"/>
      <c r="L12" s="64"/>
      <c r="S12" s="63"/>
      <c r="X12" s="63"/>
    </row>
    <row r="13" spans="1:24" s="65" customFormat="1" ht="12" customHeight="1" outlineLevel="1" x14ac:dyDescent="0.2">
      <c r="A13" s="63"/>
      <c r="B13" s="127"/>
      <c r="C13" s="145" t="str" cm="1">
        <f t="array" ref="C13">INDEX(Trad, 19, $B$1)</f>
        <v>Eingabefehler</v>
      </c>
      <c r="F13" s="129"/>
      <c r="G13" s="71"/>
      <c r="H13" s="71"/>
      <c r="I13" s="71"/>
      <c r="J13" s="64"/>
      <c r="K13" s="64"/>
      <c r="L13" s="64"/>
      <c r="S13" s="63"/>
      <c r="X13" s="63"/>
    </row>
    <row r="14" spans="1:24" s="65" customFormat="1" ht="12" customHeight="1" outlineLevel="1" x14ac:dyDescent="0.2">
      <c r="A14" s="63"/>
      <c r="B14" s="133"/>
      <c r="D14" s="134"/>
      <c r="F14" s="72"/>
      <c r="G14" s="72"/>
      <c r="H14" s="72"/>
      <c r="I14" s="72"/>
      <c r="J14" s="64"/>
      <c r="K14" s="64"/>
      <c r="L14" s="64"/>
      <c r="S14" s="63"/>
      <c r="X14" s="63"/>
    </row>
    <row r="15" spans="1:24" s="70" customFormat="1" ht="12.75" customHeight="1" x14ac:dyDescent="0.25">
      <c r="A15" s="68"/>
      <c r="B15" s="139" t="str" cm="1">
        <f t="array" ref="B15">INDEX(Trad, 27, $B$1)</f>
        <v>Elektrizitätslieferant</v>
      </c>
      <c r="C15" s="140"/>
      <c r="D15" s="329" t="s">
        <v>4772</v>
      </c>
      <c r="E15" s="330"/>
      <c r="F15" s="155" t="str" cm="1">
        <f t="array" ref="F15">IF(ISBLANK(D15), INDEX(Trad, 30, $B$1),"")</f>
        <v/>
      </c>
      <c r="G15" s="72"/>
      <c r="H15" s="72"/>
      <c r="I15" s="143"/>
      <c r="J15" s="72"/>
      <c r="K15" s="72"/>
      <c r="L15" s="72"/>
      <c r="S15" s="68"/>
      <c r="X15" s="68"/>
    </row>
    <row r="16" spans="1:24" s="70" customFormat="1" ht="12.75" customHeight="1" x14ac:dyDescent="0.25">
      <c r="A16" s="68"/>
      <c r="B16" s="147" t="str" cm="1">
        <f t="array" ref="B16">INDEX(Trad, 28, $B$1) &amp; "*"</f>
        <v>Dateibezeichnung*</v>
      </c>
      <c r="C16" s="148"/>
      <c r="D16" s="331"/>
      <c r="E16" s="332"/>
      <c r="F16" s="155"/>
      <c r="G16" s="72"/>
      <c r="H16" s="72"/>
      <c r="I16" s="143"/>
      <c r="J16" s="72"/>
      <c r="K16" s="72"/>
      <c r="L16" s="72"/>
      <c r="S16" s="68"/>
      <c r="X16" s="68"/>
    </row>
    <row r="17" spans="1:95" s="70" customFormat="1" ht="12.75" customHeight="1" x14ac:dyDescent="0.25">
      <c r="A17" s="68"/>
      <c r="B17" s="141" t="str" cm="1">
        <f t="array" ref="B17">INDEX(Trad, 26, $B$1)</f>
        <v>Einsparungen (gesamte) [kWh]</v>
      </c>
      <c r="C17" s="142"/>
      <c r="D17" s="333">
        <f>SUM(AB23:AB1022)</f>
        <v>2015.512933652129</v>
      </c>
      <c r="E17" s="334"/>
      <c r="F17" s="72"/>
      <c r="G17" s="72"/>
      <c r="H17" s="72"/>
      <c r="I17" s="72"/>
      <c r="J17" s="72"/>
      <c r="K17" s="72"/>
      <c r="L17" s="72"/>
      <c r="S17" s="68"/>
      <c r="X17" s="68"/>
    </row>
    <row r="18" spans="1:95" s="70" customFormat="1" ht="12.75" customHeight="1" x14ac:dyDescent="0.25">
      <c r="A18" s="68"/>
      <c r="B18" s="154" t="str" cm="1">
        <f t="array" ref="B18">"* " &amp; INDEX(Trad, 29, $B$1)</f>
        <v>* Hier können Sie den unternehmensinternen Dateinamen einfügen</v>
      </c>
      <c r="D18" s="153"/>
      <c r="E18" s="153"/>
      <c r="F18" s="72"/>
      <c r="G18" s="72"/>
      <c r="H18" s="72"/>
      <c r="I18" s="72"/>
      <c r="K18" s="72"/>
      <c r="L18" s="72"/>
      <c r="M18" s="181"/>
      <c r="S18" s="68"/>
      <c r="X18" s="68"/>
    </row>
    <row r="19" spans="1:95" s="65" customFormat="1" ht="12" customHeight="1" x14ac:dyDescent="0.2">
      <c r="A19" s="63"/>
      <c r="B19" s="133"/>
      <c r="D19" s="134"/>
      <c r="F19" s="72"/>
      <c r="G19" s="72"/>
      <c r="H19" s="72"/>
      <c r="I19" s="72"/>
      <c r="K19" s="64"/>
      <c r="L19" s="64"/>
      <c r="S19" s="63"/>
      <c r="X19" s="63"/>
    </row>
    <row r="20" spans="1:95" s="199" customFormat="1" ht="35.1" customHeight="1" x14ac:dyDescent="0.25">
      <c r="B20" s="213"/>
      <c r="C20" s="208" t="str" cm="1">
        <f t="array" ref="C20">INDEX(Trad, 2, $C$1)</f>
        <v>Standort</v>
      </c>
      <c r="D20" s="214"/>
      <c r="E20" s="195"/>
      <c r="F20" s="196"/>
      <c r="G20" s="193" t="str" cm="1">
        <f t="array" ref="G20">INDEX(Trad, 49, $C$1)</f>
        <v>Anlage</v>
      </c>
      <c r="H20" s="215"/>
      <c r="I20" s="215"/>
      <c r="J20" s="215"/>
      <c r="K20" s="195"/>
      <c r="L20" s="195"/>
      <c r="M20" s="193" t="str" cm="1">
        <f t="array" ref="M20">INDEX(Trad, 3, $C$1)</f>
        <v>Alte Anlage/Gerät</v>
      </c>
      <c r="N20" s="194"/>
      <c r="O20" s="194"/>
      <c r="P20" s="194"/>
      <c r="Q20" s="196"/>
      <c r="R20" s="193" t="str" cm="1">
        <f t="array" ref="R20">INDEX(Trad, 4, $C$1)</f>
        <v>Neue Anlage/Gerät</v>
      </c>
      <c r="S20" s="194"/>
      <c r="T20" s="194"/>
      <c r="U20" s="194"/>
      <c r="V20" s="196"/>
      <c r="W20" s="335" t="str" cm="1">
        <f t="array" ref="W20">INDEX(Trad, 5, $C$1)</f>
        <v>Firma, welche den Ersatz durchgeführt hat</v>
      </c>
      <c r="X20" s="336"/>
      <c r="Y20" s="197"/>
      <c r="Z20" s="196"/>
      <c r="AA20" s="198" t="str" cm="1">
        <f t="array" ref="AA20">INDEX(Trad, 26, $C$1)</f>
        <v>Einsparungen (gesamte) [kWh]</v>
      </c>
      <c r="AB20" s="196"/>
      <c r="AC20" s="212"/>
      <c r="AD20" s="216" t="s">
        <v>4991</v>
      </c>
      <c r="AE20" s="217"/>
      <c r="AF20" s="217"/>
      <c r="AG20" s="217"/>
      <c r="AH20" s="217"/>
      <c r="AI20" s="217"/>
      <c r="AJ20" s="212"/>
      <c r="AK20" s="216" t="s">
        <v>4992</v>
      </c>
      <c r="AL20" s="217"/>
      <c r="AM20" s="218"/>
      <c r="AN20" s="218"/>
      <c r="AO20" s="218"/>
      <c r="AP20" s="218"/>
      <c r="AQ20" s="218"/>
      <c r="AR20" s="218"/>
      <c r="AS20" s="218"/>
      <c r="AT20" s="218"/>
      <c r="AU20" s="218"/>
      <c r="AV20" s="218"/>
      <c r="AW20" s="218"/>
      <c r="AX20" s="212"/>
      <c r="AY20" s="216"/>
      <c r="AZ20" s="217"/>
      <c r="BA20" s="217"/>
      <c r="BB20" s="217"/>
      <c r="BC20" s="217"/>
      <c r="BD20" s="217"/>
      <c r="BE20" s="219" t="s">
        <v>4993</v>
      </c>
      <c r="BF20" s="220"/>
      <c r="BG20" s="220"/>
      <c r="BH20" s="220"/>
      <c r="BI20" s="220" t="s">
        <v>4994</v>
      </c>
      <c r="BJ20" s="219"/>
      <c r="BK20" s="220"/>
      <c r="BL20" s="220"/>
      <c r="BM20" s="220" t="s">
        <v>4995</v>
      </c>
      <c r="BN20" s="219"/>
      <c r="BO20" s="221"/>
      <c r="BP20" s="221"/>
      <c r="BQ20" s="220" t="s">
        <v>4465</v>
      </c>
      <c r="BR20" s="219"/>
      <c r="BS20" s="221"/>
      <c r="BT20" s="221"/>
      <c r="BU20" s="221" t="s">
        <v>4996</v>
      </c>
      <c r="BV20" s="218"/>
      <c r="BW20" s="212"/>
      <c r="BX20" s="217"/>
      <c r="BY20" s="219" t="s">
        <v>4993</v>
      </c>
      <c r="BZ20" s="220"/>
      <c r="CA20" s="220"/>
      <c r="CB20" s="220"/>
      <c r="CC20" s="220" t="s">
        <v>4994</v>
      </c>
      <c r="CD20" s="219"/>
      <c r="CE20" s="220"/>
      <c r="CF20" s="220"/>
      <c r="CG20" s="220" t="s">
        <v>4995</v>
      </c>
      <c r="CH20" s="219"/>
      <c r="CI20" s="221"/>
      <c r="CJ20" s="221"/>
      <c r="CK20" s="220" t="s">
        <v>4465</v>
      </c>
      <c r="CL20" s="219"/>
      <c r="CM20" s="221"/>
      <c r="CN20" s="221"/>
      <c r="CO20" s="221" t="s">
        <v>4996</v>
      </c>
      <c r="CP20" s="218"/>
      <c r="CQ20" s="212"/>
    </row>
    <row r="21" spans="1:95" s="201" customFormat="1" ht="60" customHeight="1" x14ac:dyDescent="0.25">
      <c r="A21" s="222"/>
      <c r="B21" s="223"/>
      <c r="C21" s="224" t="str" cm="1">
        <f t="array" ref="C21">INDEX(Trad, 14, $C$1)</f>
        <v>Name</v>
      </c>
      <c r="D21" s="224" t="str" cm="1">
        <f t="array" ref="D21">INDEX(Trad, 12, $C$1)</f>
        <v>Adresse</v>
      </c>
      <c r="E21" s="224" t="str" cm="1">
        <f t="array" ref="E21">INDEX(Trad, 15, $C$1)</f>
        <v>PLZ</v>
      </c>
      <c r="F21" s="224" t="str" cm="1">
        <f t="array" ref="F21">INDEX(Trad, 10, $C$1)</f>
        <v>Gemeinde</v>
      </c>
      <c r="G21" s="224" t="str" cm="1">
        <f t="array" ref="G21">INDEX(Trad, 86, $C$1)</f>
        <v>Geografische Region (≥ 800 m)</v>
      </c>
      <c r="H21" s="224" t="str" cm="1">
        <f t="array" ref="H21">INDEX(Trad, 72, $C$1)</f>
        <v>Anwendung</v>
      </c>
      <c r="I21" s="224" t="str" cm="1">
        <f t="array" ref="I21">INDEX(Trad, 73, $C$1)</f>
        <v>Wärmeträger</v>
      </c>
      <c r="J21" s="224" t="s">
        <v>4997</v>
      </c>
      <c r="K21" s="225" t="str" cm="1">
        <f t="array" ref="K21">INDEX(Trad, 91, $C$1)</f>
        <v>Auslegung: Kälteleistung</v>
      </c>
      <c r="L21" s="224" t="str" cm="1">
        <f t="array" ref="L21">INDEX(Trad, 93, $C$1)</f>
        <v>Auslegung: Aussen-temperatur</v>
      </c>
      <c r="M21" s="224" t="str" cm="1">
        <f t="array" ref="M21">INDEX(Trad, 92, $C$1)</f>
        <v>Reinigung Rückkühler / Verflüssiger</v>
      </c>
      <c r="N21" s="224" t="str" cm="1">
        <f t="array" ref="N21">INDEX(Trad, 53, $C$1)</f>
        <v>Verschmutzt</v>
      </c>
      <c r="O21" s="224" cm="1">
        <f t="array" ref="O21">INDEX(Trad, 54, $C$1)</f>
        <v>0</v>
      </c>
      <c r="P21" s="224" t="str" cm="1">
        <f t="array" ref="P21">INDEX(Trad, 55, $C$1)</f>
        <v>Alpensüdseite</v>
      </c>
      <c r="Q21" s="224" t="str" cm="1">
        <f t="array" ref="Q21">INDEX(Trad, 20, $C$1)</f>
        <v>Strombedarf</v>
      </c>
      <c r="R21" s="224" t="str" cm="1">
        <f t="array" ref="R21">INDEX(Trad, 92, $C$1)</f>
        <v>Reinigung Rückkühler / Verflüssiger</v>
      </c>
      <c r="S21" s="224" t="str" cm="1">
        <f t="array" ref="S21">INDEX(Trad, 53, $C$1)</f>
        <v>Verschmutzt</v>
      </c>
      <c r="T21" s="224" cm="1">
        <f t="array" ref="T21">INDEX(Trad, 54, $C$1)</f>
        <v>0</v>
      </c>
      <c r="U21" s="224" t="str" cm="1">
        <f t="array" ref="U21">INDEX(Trad, 55, $C$1)</f>
        <v>Alpensüdseite</v>
      </c>
      <c r="V21" s="224" t="str" cm="1">
        <f t="array" ref="V21">INDEX(Trad, 20, $C$1)</f>
        <v>Strombedarf</v>
      </c>
      <c r="W21" s="200" t="s">
        <v>4522</v>
      </c>
      <c r="X21" s="224" t="str" cm="1">
        <f t="array" ref="X21">INDEX(Trad, 14, $C$1)</f>
        <v>Name</v>
      </c>
      <c r="Y21" s="224" t="str" cm="1">
        <f t="array" ref="Y21">INDEX(Trad, 15, $C$1)</f>
        <v>PLZ</v>
      </c>
      <c r="Z21" s="224" t="str" cm="1">
        <f t="array" ref="Z21">INDEX(Trad, 10, $C$1)</f>
        <v>Gemeinde</v>
      </c>
      <c r="AA21" s="224" t="str" cm="1">
        <f t="array" ref="AA21">INDEX(Trad, 16, $C$1)</f>
        <v>Datum Inbetriebnahme</v>
      </c>
      <c r="AB21" s="224" t="str" cm="1">
        <f t="array" ref="AB21">INDEX(Trad, 26, $C$1)</f>
        <v>Einsparungen (gesamte) [kWh]</v>
      </c>
      <c r="AC21" s="222"/>
      <c r="AD21" s="226" t="s">
        <v>4998</v>
      </c>
      <c r="AE21" s="226" t="s">
        <v>4999</v>
      </c>
      <c r="AF21" s="226" t="s">
        <v>5000</v>
      </c>
      <c r="AG21" s="226" t="s">
        <v>5001</v>
      </c>
      <c r="AH21" s="226" t="s">
        <v>5001</v>
      </c>
      <c r="AI21" s="226" t="s">
        <v>5002</v>
      </c>
      <c r="AJ21" s="222" t="s">
        <v>5028</v>
      </c>
      <c r="AK21" s="227" t="s">
        <v>5003</v>
      </c>
      <c r="AL21" s="228" t="s">
        <v>5004</v>
      </c>
      <c r="AM21" s="228" t="s">
        <v>4274</v>
      </c>
      <c r="AN21" s="228" t="s">
        <v>7</v>
      </c>
      <c r="AO21" s="227">
        <v>1</v>
      </c>
      <c r="AP21" s="227">
        <v>2</v>
      </c>
      <c r="AQ21" s="227">
        <v>3</v>
      </c>
      <c r="AR21" s="227">
        <v>4</v>
      </c>
      <c r="AS21" s="227">
        <v>5</v>
      </c>
      <c r="AT21" s="227">
        <v>6</v>
      </c>
      <c r="AU21" s="227">
        <v>7</v>
      </c>
      <c r="AV21" s="229" t="s">
        <v>5005</v>
      </c>
      <c r="AW21" s="229" t="s">
        <v>5006</v>
      </c>
      <c r="AX21" s="212"/>
      <c r="AY21" s="226" t="s">
        <v>5007</v>
      </c>
      <c r="AZ21" s="226" t="s">
        <v>5008</v>
      </c>
      <c r="BA21" s="226" t="s">
        <v>5009</v>
      </c>
      <c r="BB21" s="226" t="s">
        <v>5010</v>
      </c>
      <c r="BC21" s="226" t="s">
        <v>5011</v>
      </c>
      <c r="BD21" s="226" t="s">
        <v>5012</v>
      </c>
      <c r="BE21" s="226" t="s">
        <v>5013</v>
      </c>
      <c r="BF21" s="230" t="s">
        <v>5014</v>
      </c>
      <c r="BG21" s="226" t="s">
        <v>5015</v>
      </c>
      <c r="BH21" s="226" t="s">
        <v>4532</v>
      </c>
      <c r="BI21" s="226" t="s">
        <v>5013</v>
      </c>
      <c r="BJ21" s="230" t="s">
        <v>5014</v>
      </c>
      <c r="BK21" s="226" t="s">
        <v>5015</v>
      </c>
      <c r="BL21" s="226" t="s">
        <v>4532</v>
      </c>
      <c r="BM21" s="226" t="s">
        <v>5013</v>
      </c>
      <c r="BN21" s="230" t="s">
        <v>5014</v>
      </c>
      <c r="BO21" s="226" t="s">
        <v>5015</v>
      </c>
      <c r="BP21" s="226" t="s">
        <v>4532</v>
      </c>
      <c r="BQ21" s="226" t="s">
        <v>5013</v>
      </c>
      <c r="BR21" s="230" t="s">
        <v>5014</v>
      </c>
      <c r="BS21" s="226" t="s">
        <v>5015</v>
      </c>
      <c r="BT21" s="226" t="s">
        <v>4532</v>
      </c>
      <c r="BU21" s="226" t="s">
        <v>4532</v>
      </c>
      <c r="BV21" s="227" t="s">
        <v>5016</v>
      </c>
      <c r="BW21" s="222"/>
      <c r="BX21" s="226" t="s">
        <v>5012</v>
      </c>
      <c r="BY21" s="226" t="s">
        <v>5013</v>
      </c>
      <c r="BZ21" s="231" t="s">
        <v>5014</v>
      </c>
      <c r="CA21" s="226" t="s">
        <v>5015</v>
      </c>
      <c r="CB21" s="226" t="s">
        <v>4532</v>
      </c>
      <c r="CC21" s="226" t="s">
        <v>5013</v>
      </c>
      <c r="CD21" s="231" t="s">
        <v>5014</v>
      </c>
      <c r="CE21" s="226" t="s">
        <v>5015</v>
      </c>
      <c r="CF21" s="226" t="s">
        <v>4532</v>
      </c>
      <c r="CG21" s="226" t="s">
        <v>5013</v>
      </c>
      <c r="CH21" s="231" t="s">
        <v>5014</v>
      </c>
      <c r="CI21" s="226" t="s">
        <v>5015</v>
      </c>
      <c r="CJ21" s="226" t="s">
        <v>4532</v>
      </c>
      <c r="CK21" s="226" t="s">
        <v>5013</v>
      </c>
      <c r="CL21" s="231" t="s">
        <v>5014</v>
      </c>
      <c r="CM21" s="226" t="s">
        <v>5015</v>
      </c>
      <c r="CN21" s="226" t="s">
        <v>4532</v>
      </c>
      <c r="CO21" s="226" t="s">
        <v>4532</v>
      </c>
      <c r="CP21" s="227" t="s">
        <v>5016</v>
      </c>
      <c r="CQ21" s="222"/>
    </row>
    <row r="22" spans="1:95" s="202" customFormat="1" ht="15" customHeight="1" x14ac:dyDescent="0.25">
      <c r="A22" s="232"/>
      <c r="B22" s="233" t="s">
        <v>4463</v>
      </c>
      <c r="C22" s="8" t="s">
        <v>2</v>
      </c>
      <c r="D22" s="8" t="s">
        <v>2</v>
      </c>
      <c r="E22" s="9" t="s">
        <v>2</v>
      </c>
      <c r="F22" s="9" t="s">
        <v>2</v>
      </c>
      <c r="G22" s="8" t="s">
        <v>2</v>
      </c>
      <c r="H22" s="8" t="s">
        <v>2</v>
      </c>
      <c r="I22" s="8" t="s">
        <v>2</v>
      </c>
      <c r="J22" s="8" t="s">
        <v>2</v>
      </c>
      <c r="K22" s="8" t="s">
        <v>4878</v>
      </c>
      <c r="L22" s="8" t="s">
        <v>5017</v>
      </c>
      <c r="M22" s="8" t="s">
        <v>2</v>
      </c>
      <c r="N22" s="8" t="s">
        <v>5017</v>
      </c>
      <c r="O22" s="8" t="s">
        <v>5017</v>
      </c>
      <c r="P22" s="8" t="s">
        <v>5018</v>
      </c>
      <c r="Q22" s="8" t="s">
        <v>4879</v>
      </c>
      <c r="R22" s="8" t="s">
        <v>2</v>
      </c>
      <c r="S22" s="8" t="s">
        <v>5017</v>
      </c>
      <c r="T22" s="8" t="s">
        <v>5017</v>
      </c>
      <c r="U22" s="8" t="s">
        <v>5018</v>
      </c>
      <c r="V22" s="8" t="s">
        <v>4879</v>
      </c>
      <c r="W22" s="9" t="s">
        <v>2</v>
      </c>
      <c r="X22" s="9" t="s">
        <v>2</v>
      </c>
      <c r="Y22" s="9" t="s">
        <v>2</v>
      </c>
      <c r="Z22" s="9" t="s">
        <v>2</v>
      </c>
      <c r="AA22" s="9" t="s">
        <v>2</v>
      </c>
      <c r="AB22" s="9" t="s">
        <v>4765</v>
      </c>
      <c r="AC22" s="234"/>
      <c r="AD22" s="235" t="s">
        <v>4991</v>
      </c>
      <c r="AE22" s="235" t="s">
        <v>4991</v>
      </c>
      <c r="AF22" s="235" t="s">
        <v>4991</v>
      </c>
      <c r="AG22" s="235" t="s">
        <v>4881</v>
      </c>
      <c r="AH22" s="235" t="s">
        <v>4882</v>
      </c>
      <c r="AI22" s="235" t="s">
        <v>5017</v>
      </c>
      <c r="AJ22" s="234">
        <v>1</v>
      </c>
      <c r="AK22" s="236" t="s">
        <v>5017</v>
      </c>
      <c r="AL22" s="236" t="s">
        <v>5020</v>
      </c>
      <c r="AM22" s="237" t="s">
        <v>5020</v>
      </c>
      <c r="AN22" s="237" t="s">
        <v>5020</v>
      </c>
      <c r="AO22" s="237"/>
      <c r="AP22" s="237"/>
      <c r="AQ22" s="237"/>
      <c r="AR22" s="237"/>
      <c r="AS22" s="237"/>
      <c r="AT22" s="237"/>
      <c r="AU22" s="237"/>
      <c r="AV22" s="237"/>
      <c r="AW22" s="237"/>
      <c r="AX22" s="212"/>
      <c r="AY22" s="236" t="s">
        <v>5017</v>
      </c>
      <c r="AZ22" s="236" t="s">
        <v>5017</v>
      </c>
      <c r="BA22" s="236" t="s">
        <v>5017</v>
      </c>
      <c r="BB22" s="236" t="s">
        <v>5017</v>
      </c>
      <c r="BC22" s="236" t="s">
        <v>4878</v>
      </c>
      <c r="BD22" s="237" t="s">
        <v>5017</v>
      </c>
      <c r="BE22" s="237" t="s">
        <v>5017</v>
      </c>
      <c r="BF22" s="237" t="s">
        <v>5017</v>
      </c>
      <c r="BG22" s="236" t="s">
        <v>2</v>
      </c>
      <c r="BH22" s="236" t="s">
        <v>5019</v>
      </c>
      <c r="BI22" s="237" t="s">
        <v>5017</v>
      </c>
      <c r="BJ22" s="237" t="s">
        <v>5017</v>
      </c>
      <c r="BK22" s="236" t="s">
        <v>2</v>
      </c>
      <c r="BL22" s="236" t="s">
        <v>5019</v>
      </c>
      <c r="BM22" s="237" t="s">
        <v>5017</v>
      </c>
      <c r="BN22" s="237" t="s">
        <v>5017</v>
      </c>
      <c r="BO22" s="236" t="s">
        <v>2</v>
      </c>
      <c r="BP22" s="236" t="s">
        <v>5019</v>
      </c>
      <c r="BQ22" s="237" t="s">
        <v>5017</v>
      </c>
      <c r="BR22" s="237" t="s">
        <v>5017</v>
      </c>
      <c r="BS22" s="236" t="s">
        <v>2</v>
      </c>
      <c r="BT22" s="236" t="s">
        <v>5019</v>
      </c>
      <c r="BU22" s="236" t="s">
        <v>5019</v>
      </c>
      <c r="BV22" s="236" t="s">
        <v>5019</v>
      </c>
      <c r="BW22" s="234"/>
      <c r="BX22" s="237" t="s">
        <v>5017</v>
      </c>
      <c r="BY22" s="237" t="s">
        <v>5017</v>
      </c>
      <c r="BZ22" s="237" t="s">
        <v>5017</v>
      </c>
      <c r="CA22" s="236" t="s">
        <v>2</v>
      </c>
      <c r="CB22" s="236" t="s">
        <v>5019</v>
      </c>
      <c r="CC22" s="237" t="s">
        <v>5017</v>
      </c>
      <c r="CD22" s="237" t="s">
        <v>5017</v>
      </c>
      <c r="CE22" s="236" t="s">
        <v>2</v>
      </c>
      <c r="CF22" s="236" t="s">
        <v>5019</v>
      </c>
      <c r="CG22" s="237" t="s">
        <v>5017</v>
      </c>
      <c r="CH22" s="237" t="s">
        <v>5017</v>
      </c>
      <c r="CI22" s="236" t="s">
        <v>2</v>
      </c>
      <c r="CJ22" s="236" t="s">
        <v>5019</v>
      </c>
      <c r="CK22" s="237" t="s">
        <v>5017</v>
      </c>
      <c r="CL22" s="237" t="s">
        <v>5017</v>
      </c>
      <c r="CM22" s="236" t="s">
        <v>2</v>
      </c>
      <c r="CN22" s="236" t="s">
        <v>5019</v>
      </c>
      <c r="CO22" s="236" t="s">
        <v>5019</v>
      </c>
      <c r="CP22" s="236" t="s">
        <v>5019</v>
      </c>
      <c r="CQ22" s="234"/>
    </row>
    <row r="23" spans="1:95" s="76" customFormat="1" ht="14.25" customHeight="1" x14ac:dyDescent="0.25">
      <c r="A23" s="238" t="b">
        <f t="shared" ref="A23:A86" si="0">IF(OR(AND($K23&gt;80, $AD23=1), AND($K23&gt;40, $AD23=3), AND($K23&gt;30, $AD23=4),), TRUE, FALSE)</f>
        <v>0</v>
      </c>
      <c r="B23" s="239">
        <v>1</v>
      </c>
      <c r="C23" s="258" t="s">
        <v>5021</v>
      </c>
      <c r="D23" s="258" t="s">
        <v>5022</v>
      </c>
      <c r="E23" s="240">
        <v>6900</v>
      </c>
      <c r="F23" s="241" t="str">
        <f>IF(ISBLANK(E23), "", VLOOKUP(E23, Z!$A$2:$C$4127, 3, FALSE))</f>
        <v>Lugano</v>
      </c>
      <c r="G23" s="242" t="s">
        <v>4885</v>
      </c>
      <c r="H23" s="242" t="s">
        <v>4958</v>
      </c>
      <c r="I23" s="243" t="s">
        <v>4979</v>
      </c>
      <c r="J23" s="244"/>
      <c r="K23" s="259">
        <v>75</v>
      </c>
      <c r="L23" s="260">
        <v>35</v>
      </c>
      <c r="M23" s="247" t="str" cm="1">
        <f t="array" ref="M23">IF($K23&gt;0, INDEX(Clean,1+AG23,$C$1), "")</f>
        <v>Verschmutzt</v>
      </c>
      <c r="N23" s="245"/>
      <c r="O23" s="245"/>
      <c r="P23" s="246"/>
      <c r="Q23" s="248">
        <f>BV23*1000</f>
        <v>9629.6144441591769</v>
      </c>
      <c r="R23" s="247" t="str" cm="1">
        <f t="array" ref="R23">IF($K23&gt;0, INDEX(Clean,1+AH23,$C$1), "")</f>
        <v>Sauber</v>
      </c>
      <c r="S23" s="245"/>
      <c r="T23" s="245"/>
      <c r="U23" s="246"/>
      <c r="V23" s="248">
        <f>CP23*1000</f>
        <v>9181.0835978686173</v>
      </c>
      <c r="W23" s="261" t="s">
        <v>4462</v>
      </c>
      <c r="X23" s="258" t="s">
        <v>4880</v>
      </c>
      <c r="Y23" s="240">
        <v>3006</v>
      </c>
      <c r="Z23" s="241" t="str">
        <f>IF(ISBLANK(Y23), "", VLOOKUP(Y23, Z!$A$2:$C$4127, 3, FALSE))</f>
        <v>Bern</v>
      </c>
      <c r="AA23" s="262">
        <v>45575</v>
      </c>
      <c r="AB23" s="249">
        <f>0.75*$AJ$22*(Q23-V23)</f>
        <v>336.39813471791967</v>
      </c>
      <c r="AC23" s="210"/>
      <c r="AD23" s="236">
        <f t="shared" ref="AD23" si="1">IF(ISBLANK(H23), 1, IFERROR(MATCH(H23, INDEX(Use,,1), 0), IFERROR(MATCH(H23, INDEX(Use,,2), 0), MATCH(H23, INDEX(Use,,3), 0))))</f>
        <v>1</v>
      </c>
      <c r="AE23" s="236">
        <f t="shared" ref="AE23" si="2">IF(ISBLANK(G23), 1, IFERROR(MATCH(G23, INDEX(Loc,,1), 0), IFERROR(MATCH(G23, INDEX(Loc,,2), 0), MATCH(G23, INDEX(Loc,,3), 0))))</f>
        <v>1</v>
      </c>
      <c r="AF23" s="236">
        <f t="shared" ref="AF23" si="3">_xlfn.IFNA(IF(IFERROR(MATCH(I23, INDEX(Medium,,1), 0), IFERROR(MATCH(I23, INDEX(Medium,,2), 0), MATCH(I23, INDEX(Medium,,3), 0))) = 2, 1, 0), 0)</f>
        <v>0</v>
      </c>
      <c r="AG23" s="236">
        <v>1</v>
      </c>
      <c r="AH23" s="236">
        <v>0</v>
      </c>
      <c r="AI23" s="236">
        <f t="shared" ref="AI23:AI86" si="4">IF(AND(J23="x", AD23=5), 11, IF(AND(J23="x", AD23=6), 19, -100))</f>
        <v>-100</v>
      </c>
      <c r="AJ23" s="210"/>
      <c r="AK23" s="236">
        <v>-19</v>
      </c>
      <c r="AL23" s="250">
        <v>0</v>
      </c>
      <c r="AM23" s="250">
        <v>0</v>
      </c>
      <c r="AN23" s="250">
        <v>0</v>
      </c>
      <c r="AO23" s="251">
        <f t="shared" ref="AO23:AP81" si="5">MAX(0, ($AK23-19)/(35-19))</f>
        <v>0</v>
      </c>
      <c r="AP23" s="251">
        <f t="shared" si="5"/>
        <v>0</v>
      </c>
      <c r="AQ23" s="251" cm="1">
        <f t="array" ref="AQ23">MIN(INDEX(Use,AQ$21,5) + MAX(0, (1-INDEX(Use,AQ$21,5))*($AK23-5)/(35-5)), 1)</f>
        <v>0.4</v>
      </c>
      <c r="AR23" s="251" cm="1">
        <f t="array" ref="AR23">MIN(INDEX(Use,AR$21,5) + MAX(0, (1-INDEX(Use,AR$21,5))*($AK23-5)/(35-5)), 1)</f>
        <v>0.6</v>
      </c>
      <c r="AS23" s="251" cm="1">
        <f t="array" ref="AS23">MIN(INDEX(Use,AS$21,5) + MAX(0, (1-INDEX(Use,AS$21,5))*($AK23-5)/(35-5)), 1)</f>
        <v>0.8</v>
      </c>
      <c r="AT23" s="251" cm="1">
        <f t="array" ref="AT23">MIN(INDEX(Use,AT$21,5) + MAX(0, (1-INDEX(Use,AT$21,5))*($AK23-5)/(35-5)), 1)</f>
        <v>0.8</v>
      </c>
      <c r="AU23" s="251" cm="1">
        <f t="array" ref="AU23">MIN(INDEX(Use,AU$21,5) + MAX(0, (1-INDEX(Use,AU$21,5))*($AK23-5)/(35-5)), 1)</f>
        <v>0.8</v>
      </c>
      <c r="AV23" s="251">
        <v>1</v>
      </c>
      <c r="AW23" s="251">
        <v>1</v>
      </c>
      <c r="AX23" s="212"/>
      <c r="AY23" s="236" cm="1">
        <f t="array" ref="AY23">INDEX(Use, $AD23, 4)</f>
        <v>7</v>
      </c>
      <c r="AZ23" s="236">
        <f>MAX(25, AY23+25)</f>
        <v>32</v>
      </c>
      <c r="BA23" s="236">
        <f>IF($AF23=1, 6, IF($AD23=4, 10, 13))</f>
        <v>13</v>
      </c>
      <c r="BB23" s="236">
        <f>IF($AF23=1, 9, 0)</f>
        <v>0</v>
      </c>
      <c r="BC23" s="252" cm="1">
        <f t="array" ref="BC23">K23/IF($L23&gt;0, INDEX($AO$23:$AU$77, $L23+20, $AD23), 1)</f>
        <v>75</v>
      </c>
      <c r="BD23" s="237">
        <f>P23 /  IF(AD23&lt;=2, 0.7 + 0.3 * (O23-20)/(35-20), 0.4 + 0.6 * (O23-5)/(35-5))</f>
        <v>0</v>
      </c>
      <c r="BE23" s="236">
        <v>35</v>
      </c>
      <c r="BF23" s="237">
        <f>MAX($N23, MAX($AZ23, $BE23 + $BA23 + $BB23 + 0.35*$AG23*$BA23 + BD23))</f>
        <v>52.55</v>
      </c>
      <c r="BG23" s="253">
        <f>0.45*($AY23+273.15)/(BF23-$AY23)</f>
        <v>2.7676728869374316</v>
      </c>
      <c r="BH23" s="253" cm="1">
        <f t="array" ref="BH23">$BC23 * SUMPRODUCT(INDEX($AL$77:$AN$82,,$AE23),INDEX($AO$77:$AU$82,,$AD23), N($AK$77:$AK$82&gt;$AI23)) / BG23 / 1000</f>
        <v>0</v>
      </c>
      <c r="BI23" s="250">
        <f>IF($AD23&lt;=2, 30, 25)</f>
        <v>30</v>
      </c>
      <c r="BJ23" s="237">
        <f>MAX($N23, MAX($AZ23, BI23 + $BA23 + $BB23 + IF($AD23&lt;=2, (BI23-20)/(35-20), 0.6+0.4*(BI23-5)/(35-5))*0.35*$AG23*$BA23) + IF($AD23&lt;=2,0.9,0.8)*$BD23)</f>
        <v>46.033333333333331</v>
      </c>
      <c r="BK23" s="253">
        <f>0.45*($AY23+273.15)/(BJ23-$AY23)</f>
        <v>3.2297395388556791</v>
      </c>
      <c r="BL23" s="253" cm="1">
        <f t="array" ref="BL23">$BC23 * IF($AD23&lt;=2,
SUMPRODUCT(INDEX($AL$72:$AN$76,,$AE23), INDEX($AO$72:$AU$76,,$AD23), 1 / ($AV$72:$AV$76*BK23 + (1-$AV$72:$AV$76)*BG23), N($AK$72:$AK$76&gt;$AI23)),
SUMPRODUCT(INDEX($AL$67:$AN$76,,$AE23), INDEX($AO$67:$AU$76,,$AD23), 1 / ($AW$67:$AW$76*BK23 + (1-$AW$67:$AW$76)*BG23), N($AK$67:$AK$76&gt;$AI23))
) / 1000</f>
        <v>1.0054437552249487</v>
      </c>
      <c r="BM23" s="250">
        <f>IF($AD23&lt;=2, 25, 15)</f>
        <v>25</v>
      </c>
      <c r="BN23" s="237">
        <f>MAX($N23, MAX($AZ23, BM23 + $BA23 + $BB23 + IF($AD23&lt;=2, (BM23-20)/(35-20), 0.6+0.4*(BM23-5)/(35-5))*0.35*$AG23*$BA23) + IF($AD23&lt;=2,0.8,0.6)*$BD23)</f>
        <v>39.516666666666666</v>
      </c>
      <c r="BO23" s="253">
        <f>0.45*($AY23+273.15)/(BN23-$AY23)</f>
        <v>3.877011788826243</v>
      </c>
      <c r="BP23" s="253" cm="1">
        <f t="array" ref="BP23">$BC23 * IF($AD23&lt;=2,
SUMPRODUCT(INDEX($AL$67:$AN$71,,$AE23), INDEX($AO$67:$AU$71,,$AD23), 1 / ($AV$67:$AV$71*BO23 + (1-$AV$67:$AV$71)*BK23), N($AK$67:$AK$71&gt;$AI23)),
SUMPRODUCT(INDEX($AL$57:$AN$66,,$AE23), INDEX($AO$57:$AU$66,,$AD23), 1 / ($AW$57:$AW$66*BO23 + (1-$AW$57:$AW$66)*BK23), N($AK$57:$AK$66&gt;$AI23))
) / 1000</f>
        <v>5.0283485933076033</v>
      </c>
      <c r="BQ23" s="250">
        <f>IF($AD23&lt;=2, 20, 5)</f>
        <v>20</v>
      </c>
      <c r="BR23" s="237">
        <f>MAX($N23, MAX($AZ23, BQ23 + $BA23 + $BB23 + IF($AD23&lt;=2, (BQ23-20)/(35-20), 0.6+0.4*(BQ23-5)/(35-5))*0.35*$AG23*$BA23) + IF($AD23&lt;=2,0.7,0.4)*$BD23)</f>
        <v>33</v>
      </c>
      <c r="BS23" s="253">
        <f>0.45*($AY23+273.15)/(BR23-$AY23)</f>
        <v>4.8487499999999999</v>
      </c>
      <c r="BT23" s="253" cm="1">
        <f t="array" ref="BT23">$BC23 * IF($AD23&lt;=2,
SUMPRODUCT(INDEX($AL$62:$AN$66,,$AE23), INDEX($AO$62:$AU$66,,$AD23), 1 / ($AV$62:$AV$66*BS23 + (1-$AV$62:$AV$66)*BO23), N($AK$62:$AK$66&gt;$AI23)),
SUMPRODUCT(INDEX($AL$47:$AN$56,,$AE23), INDEX($AO$47:$AU$56,,$AD23), 1 / ($AW$47:$AW$56*BS23 + (1-$AW$47:$AW$56)*BO23), N($AK$47:$AK$56&gt;$AI23))
) / 1000</f>
        <v>3.5958220956266249</v>
      </c>
      <c r="BU23" s="253" cm="1">
        <f t="array" ref="BU23">$BC23 * IF($AD23&lt;=2,
SUMPRODUCT(INDEX($AL$23:$AN$61,,$AE23), INDEX($AO$23:$AU$61,,$AD23), 1 / ($AV$23:$AV$61*BS23), N($AK$23:$AK$61&gt;$AI23)),
SUMPRODUCT(INDEX($AL$23:$AN$46,,$AE23), INDEX($AO$23:$AU$46,,$AD23), 1 / ($AW$23:$AW$46*BS23), N($AK$23:$AK$46&gt;$AI23))
) / 1000</f>
        <v>0</v>
      </c>
      <c r="BV23" s="237">
        <f>BH23+BL23+BP23+BT23+BU23</f>
        <v>9.6296144441591771</v>
      </c>
      <c r="BW23" s="210"/>
      <c r="BX23" s="237">
        <f>U23 /  IF(AD23&lt;=2, 0.7 + 0.3 * (T23-20)/(35-20), 0.4 + 0.6 * (T23-5)/(35-5))</f>
        <v>0</v>
      </c>
      <c r="BY23" s="236">
        <v>35</v>
      </c>
      <c r="BZ23" s="237">
        <f>MAX($S23, MAX($AZ23, $BE23 + $BA23 + $BB23 + 0.35*$AH23*$BA23 + BX23))</f>
        <v>48</v>
      </c>
      <c r="CA23" s="253">
        <f>0.45*($AY23+273.15)/(BZ23-$AY23)</f>
        <v>3.0748170731707316</v>
      </c>
      <c r="CB23" s="253" cm="1">
        <f t="array" ref="CB23">$BC23 * SUMPRODUCT(INDEX($AL$77:$AN$82,,$AE23),INDEX($AO$77:$AU$82,,$AD23), N($AK$77:$AK$82&gt;$AI23)) / CA23 / 1000</f>
        <v>0</v>
      </c>
      <c r="CC23" s="250">
        <f>IF($AD23&lt;=2, 30, 25)</f>
        <v>30</v>
      </c>
      <c r="CD23" s="237">
        <f>MAX($S23, MAX($AZ23, CC23 + $BA23 + $BB23 + IF($AD23&lt;=2, (CC23-20)/(35-20), 0.6+0.4*(CC23-5)/(35-5))*0.35*$AH23*$BA23) + IF($AD23&lt;=2,0.9,0.8)*$BX23)</f>
        <v>43</v>
      </c>
      <c r="CE23" s="253">
        <f>0.45*($AY23+273.15)/(CD23-$AY23)</f>
        <v>3.5018750000000001</v>
      </c>
      <c r="CF23" s="253" cm="1">
        <f t="array" ref="CF23">$BC23 * IF($AD23&lt;=2,
SUMPRODUCT(INDEX($AL$72:$AN$76,,$AE23), INDEX($AO$72:$AU$76,,$AD23), 1 / ($AV$72:$AV$76*CE23 + (1-$AV$72:$AV$76)*CA23), N($AK$72:$AK$76&gt;$AI23)),
SUMPRODUCT(INDEX($AL$67:$AN$76,,$AE23), INDEX($AO$67:$AU$76,,$AD23), 1 / ($AW$67:$AW$76*CE23 + (1-$AW$67:$AW$76)*CA23), N($AK$67:$AK$76&gt;$AI23))
) / 1000</f>
        <v>0.92187449621202222</v>
      </c>
      <c r="CG23" s="250">
        <f>IF($AD23&lt;=2, 25, 15)</f>
        <v>25</v>
      </c>
      <c r="CH23" s="237">
        <f>MAX($S23, MAX($AZ23, CG23 + $BA23 + $BB23 + IF($AD23&lt;=2, (CG23-20)/(35-20), 0.6+0.4*(CG23-5)/(35-5))*0.35*$AH23*$BA23) + IF($AD23&lt;=2,0.8,0.6)*$BX23)</f>
        <v>38</v>
      </c>
      <c r="CI23" s="253">
        <f>0.45*($AY23+273.15)/(CH23-$AY23)</f>
        <v>4.0666935483870965</v>
      </c>
      <c r="CJ23" s="253" cm="1">
        <f t="array" ref="CJ23">$BC23 * IF($AD23&lt;=2,
SUMPRODUCT(INDEX($AL$67:$AN$71,,$AE23), INDEX($AO$67:$AU$71,,$AD23), 1 / ($AV$67:$AV$71*CI23 + (1-$AV$67:$AV$71)*CE23), N($AK$67:$AK$71&gt;$AI23)),
SUMPRODUCT(INDEX($AL$57:$AN$66,,$AE23), INDEX($AO$57:$AU$66,,$AD23), 1 / ($AW$57:$AW$66*CI23 + (1-$AW$57:$AW$66)*CE23), N($AK$57:$AK$66&gt;$AI23))
) / 1000</f>
        <v>4.7417389915257386</v>
      </c>
      <c r="CK23" s="250">
        <f>IF($AD23&lt;=2, 20, 5)</f>
        <v>20</v>
      </c>
      <c r="CL23" s="237">
        <f>MAX($S23, MAX($AZ23, CK23 + $BA23 + $BB23 + IF($AD23&lt;=2, (CK23-20)/(35-20), 0.6+0.4*(CK23-5)/(35-5))*0.35*$AH23*$BA23) + IF($AD23&lt;=2,0.7,0.4)*$BX23)</f>
        <v>33</v>
      </c>
      <c r="CM23" s="253">
        <f>0.45*($AY23+273.15)/(CL23-$AY23)</f>
        <v>4.8487499999999999</v>
      </c>
      <c r="CN23" s="253" cm="1">
        <f t="array" ref="CN23">$BC23 * IF($AD23&lt;=2,
SUMPRODUCT(INDEX($AL$62:$AN$66,,$AE23), INDEX($AO$62:$AU$66,,$AD23), 1 / ($AV$62:$AV$66*CM23 + (1-$AV$62:$AV$66)*CI23), N($AK$62:$AK$66&gt;$AI23)),
SUMPRODUCT(INDEX($AL$47:$AN$56,,$AE23), INDEX($AO$47:$AU$56,,$AD23), 1 / ($AW$47:$AW$56*CM23 + (1-$AW$47:$AW$56)*CI23), N($AK$47:$AK$56&gt;$AI23))
) / 1000</f>
        <v>3.5174701101308563</v>
      </c>
      <c r="CO23" s="253" cm="1">
        <f t="array" ref="CO23">$BC23 * IF($AD23&lt;=2,
SUMPRODUCT(INDEX($AL$23:$AN$61,,$AE23), INDEX($AO$23:$AU$61,,$AD23), 1 / ($AV$23:$AV$61*CM23), N($AK$23:$AK$61&gt;$AI23)),
SUMPRODUCT(INDEX($AL$23:$AN$46,,$AE23), INDEX($AO$23:$AU$46,,$AD23), 1 / ($AW$23:$AW$46*CM23), N($AK$23:$AK$46&gt;$AI23))
) / 1000</f>
        <v>0</v>
      </c>
      <c r="CP23" s="237">
        <f>CB23+CF23+CJ23+CN23+CO23</f>
        <v>9.1810835978686178</v>
      </c>
      <c r="CQ23" s="210"/>
    </row>
    <row r="24" spans="1:95" s="76" customFormat="1" ht="14.25" customHeight="1" x14ac:dyDescent="0.25">
      <c r="A24" s="238" t="b">
        <f t="shared" si="0"/>
        <v>0</v>
      </c>
      <c r="B24" s="239">
        <v>2</v>
      </c>
      <c r="C24" s="258" t="s">
        <v>5023</v>
      </c>
      <c r="D24" s="258" t="s">
        <v>5024</v>
      </c>
      <c r="E24" s="240">
        <v>3280</v>
      </c>
      <c r="F24" s="241" t="str">
        <f>IF(ISBLANK(E24), "", VLOOKUP(E24, Z!$A$2:$C$4127, 3, FALSE))</f>
        <v>Greng</v>
      </c>
      <c r="G24" s="242" t="s">
        <v>4889</v>
      </c>
      <c r="H24" s="242" t="s">
        <v>4962</v>
      </c>
      <c r="I24" s="243" t="s">
        <v>4982</v>
      </c>
      <c r="J24" s="244" t="s">
        <v>5025</v>
      </c>
      <c r="K24" s="259">
        <v>20</v>
      </c>
      <c r="L24" s="260">
        <v>28</v>
      </c>
      <c r="M24" s="247" t="str" cm="1">
        <f t="array" ref="M24">IF($K24&gt;0, INDEX(Clean,1+AG24,$C$1), "")</f>
        <v>Verschmutzt</v>
      </c>
      <c r="N24" s="245"/>
      <c r="O24" s="245"/>
      <c r="P24" s="246"/>
      <c r="Q24" s="248">
        <f t="shared" ref="Q24:Q87" si="6">BV24*1000</f>
        <v>13261.613830986404</v>
      </c>
      <c r="R24" s="247" t="str" cm="1">
        <f t="array" ref="R24">IF($K24&gt;0, INDEX(Clean,1+AH24,$C$1), "")</f>
        <v>Sauber</v>
      </c>
      <c r="S24" s="245"/>
      <c r="T24" s="245"/>
      <c r="U24" s="246"/>
      <c r="V24" s="248">
        <f t="shared" ref="V24:V87" si="7">CP24*1000</f>
        <v>13024.90668455736</v>
      </c>
      <c r="W24" s="261" t="s">
        <v>4462</v>
      </c>
      <c r="X24" s="258" t="s">
        <v>4880</v>
      </c>
      <c r="Y24" s="240">
        <v>3008</v>
      </c>
      <c r="Z24" s="241" t="str">
        <f>IF(ISBLANK(Y24), "", VLOOKUP(Y24, Z!$A$2:$C$4127, 3, FALSE))</f>
        <v>Bern</v>
      </c>
      <c r="AA24" s="262">
        <v>45575</v>
      </c>
      <c r="AB24" s="249">
        <f t="shared" ref="AB24:AB87" si="8">0.75*$AJ$22*(Q24-V24)</f>
        <v>177.53035982178289</v>
      </c>
      <c r="AC24" s="210"/>
      <c r="AD24" s="236">
        <f t="shared" ref="AD24" si="9">IF(ISBLANK(H24), 1, IFERROR(MATCH(H24, INDEX(Use,,1), 0), IFERROR(MATCH(H24, INDEX(Use,,2), 0), MATCH(H24, INDEX(Use,,3), 0))))</f>
        <v>5</v>
      </c>
      <c r="AE24" s="236">
        <f t="shared" ref="AE24" si="10">IF(ISBLANK(G24), 1, IFERROR(MATCH(G24, INDEX(Loc,,1), 0), IFERROR(MATCH(G24, INDEX(Loc,,2), 0), MATCH(G24, INDEX(Loc,,3), 0))))</f>
        <v>3</v>
      </c>
      <c r="AF24" s="236">
        <f t="shared" ref="AF24" si="11">_xlfn.IFNA(IF(IFERROR(MATCH(I24, INDEX(Medium,,1), 0), IFERROR(MATCH(I24, INDEX(Medium,,2), 0), MATCH(I24, INDEX(Medium,,3), 0))) = 2, 1, 0), 0)</f>
        <v>1</v>
      </c>
      <c r="AG24" s="236">
        <v>1</v>
      </c>
      <c r="AH24" s="236">
        <v>0</v>
      </c>
      <c r="AI24" s="236">
        <f t="shared" si="4"/>
        <v>11</v>
      </c>
      <c r="AJ24" s="210"/>
      <c r="AK24" s="236">
        <v>-18</v>
      </c>
      <c r="AL24" s="250">
        <v>0</v>
      </c>
      <c r="AM24" s="250">
        <v>0</v>
      </c>
      <c r="AN24" s="250">
        <v>0</v>
      </c>
      <c r="AO24" s="251">
        <f t="shared" si="5"/>
        <v>0</v>
      </c>
      <c r="AP24" s="251">
        <f t="shared" si="5"/>
        <v>0</v>
      </c>
      <c r="AQ24" s="251" cm="1">
        <f t="array" ref="AQ24">MIN(INDEX(Use,AQ$21,5) + MAX(0, (1-INDEX(Use,AQ$21,5))*($AK24-5)/(35-5)), 1)</f>
        <v>0.4</v>
      </c>
      <c r="AR24" s="251" cm="1">
        <f t="array" ref="AR24">MIN(INDEX(Use,AR$21,5) + MAX(0, (1-INDEX(Use,AR$21,5))*($AK24-5)/(35-5)), 1)</f>
        <v>0.6</v>
      </c>
      <c r="AS24" s="251" cm="1">
        <f t="array" ref="AS24">MIN(INDEX(Use,AS$21,5) + MAX(0, (1-INDEX(Use,AS$21,5))*($AK24-5)/(35-5)), 1)</f>
        <v>0.8</v>
      </c>
      <c r="AT24" s="251" cm="1">
        <f t="array" ref="AT24">MIN(INDEX(Use,AT$21,5) + MAX(0, (1-INDEX(Use,AT$21,5))*($AK24-5)/(35-5)), 1)</f>
        <v>0.8</v>
      </c>
      <c r="AU24" s="251" cm="1">
        <f t="array" ref="AU24">MIN(INDEX(Use,AU$21,5) + MAX(0, (1-INDEX(Use,AU$21,5))*($AK24-5)/(35-5)), 1)</f>
        <v>0.8</v>
      </c>
      <c r="AV24" s="251">
        <v>1</v>
      </c>
      <c r="AW24" s="251">
        <v>1</v>
      </c>
      <c r="AX24" s="212"/>
      <c r="AY24" s="236" cm="1">
        <f t="array" ref="AY24">INDEX(Use, $AD24, 4)</f>
        <v>13</v>
      </c>
      <c r="AZ24" s="236">
        <f t="shared" ref="AZ24:AZ87" si="12">MAX(25, AY24+25)</f>
        <v>38</v>
      </c>
      <c r="BA24" s="236">
        <f t="shared" ref="BA24:BA87" si="13">IF($AF24=1, 6, IF($AD24=4, 10, 13))</f>
        <v>6</v>
      </c>
      <c r="BB24" s="236">
        <f t="shared" ref="BB24:BB87" si="14">IF($AF24=1, 9, 0)</f>
        <v>9</v>
      </c>
      <c r="BC24" s="252" cm="1">
        <f t="array" ref="BC24">K24/IF($L24&gt;0, INDEX($AO$23:$AU$77, $L24+20, $AD24), 1)</f>
        <v>20.97902097902098</v>
      </c>
      <c r="BD24" s="237">
        <f t="shared" ref="BD24:BD87" si="15">P24 /  IF(AD24&lt;=2, 0.7 + 0.3 * (O24-20)/(35-20), 0.4 + 0.6 * (O24-5)/(35-5))</f>
        <v>0</v>
      </c>
      <c r="BE24" s="236">
        <v>35</v>
      </c>
      <c r="BF24" s="237">
        <f t="shared" ref="BF24:BF87" si="16">MAX($N24, MAX($AZ24, $BE24 + $BA24 + $BB24 + 0.35*$AG24*$BA24 + BD24))</f>
        <v>52.1</v>
      </c>
      <c r="BG24" s="253">
        <f t="shared" ref="BG24:BG87" si="17">0.45*($AY24+273.15)/(BF24-$AY24)</f>
        <v>3.2932864450127872</v>
      </c>
      <c r="BH24" s="253" cm="1">
        <f t="array" ref="BH24">$BC24 * SUMPRODUCT(INDEX($AL$77:$AN$82,,$AE24),INDEX($AO$77:$AU$82,,$AD24), N($AK$77:$AK$82&gt;$AI24)) / BG24 / 1000</f>
        <v>0</v>
      </c>
      <c r="BI24" s="250">
        <f t="shared" ref="BI24:BI87" si="18">IF($AD24&lt;=2, 30, 25)</f>
        <v>25</v>
      </c>
      <c r="BJ24" s="237">
        <f t="shared" ref="BJ24:BJ87" si="19">MAX($N24, MAX($AZ24, BI24 + $BA24 + $BB24 + IF($AD24&lt;=2, (BI24-20)/(35-20), 0.6+0.4*(BI24-5)/(35-5))*0.35*$AG24*$BA24) + IF($AD24&lt;=2,0.9,0.8)*$BD24)</f>
        <v>41.82</v>
      </c>
      <c r="BK24" s="253">
        <f t="shared" ref="BK24:BK87" si="20">0.45*($AY24+273.15)/(BJ24-$AY24)</f>
        <v>4.467990978487161</v>
      </c>
      <c r="BL24" s="253" cm="1">
        <f t="array" ref="BL24">$BC24 * IF($AD24&lt;=2,
SUMPRODUCT(INDEX($AL$72:$AN$76,,$AE24), INDEX($AO$72:$AU$76,,$AD24), 1 / ($AV$72:$AV$76*BK24 + (1-$AV$72:$AV$76)*BG24), N($AK$72:$AK$76&gt;$AI24)),
SUMPRODUCT(INDEX($AL$67:$AN$76,,$AE24), INDEX($AO$67:$AU$76,,$AD24), 1 / ($AW$67:$AW$76*BK24 + (1-$AW$67:$AW$76)*BG24), N($AK$67:$AK$76&gt;$AI24))
) / 1000</f>
        <v>0.88289524492829874</v>
      </c>
      <c r="BM24" s="250">
        <f t="shared" ref="BM24:BM87" si="21">IF($AD24&lt;=2, 25, 15)</f>
        <v>15</v>
      </c>
      <c r="BN24" s="237">
        <f t="shared" ref="BN24:BN87" si="22">MAX($N24, MAX($AZ24, BM24 + $BA24 + $BB24 + IF($AD24&lt;=2, (BM24-20)/(35-20), 0.6+0.4*(BM24-5)/(35-5))*0.35*$AG24*$BA24) + IF($AD24&lt;=2,0.8,0.6)*$BD24)</f>
        <v>38</v>
      </c>
      <c r="BO24" s="253">
        <f t="shared" ref="BO24:BO87" si="23">0.45*($AY24+273.15)/(BN24-$AY24)</f>
        <v>5.1506999999999996</v>
      </c>
      <c r="BP24" s="253" cm="1">
        <f t="array" ref="BP24">$BC24 * IF($AD24&lt;=2,
SUMPRODUCT(INDEX($AL$67:$AN$71,,$AE24), INDEX($AO$67:$AU$71,,$AD24), 1 / ($AV$67:$AV$71*BO24 + (1-$AV$67:$AV$71)*BK24), N($AK$67:$AK$71&gt;$AI24)),
SUMPRODUCT(INDEX($AL$57:$AN$66,,$AE24), INDEX($AO$57:$AU$66,,$AD24), 1 / ($AW$57:$AW$66*BO24 + (1-$AW$57:$AW$66)*BK24), N($AK$57:$AK$66&gt;$AI24))
) / 1000</f>
        <v>8.7312002434497735</v>
      </c>
      <c r="BQ24" s="250">
        <f t="shared" ref="BQ24:BQ87" si="24">IF($AD24&lt;=2, 20, 5)</f>
        <v>5</v>
      </c>
      <c r="BR24" s="237">
        <f t="shared" ref="BR24:BR87" si="25">MAX($N24, MAX($AZ24, BQ24 + $BA24 + $BB24 + IF($AD24&lt;=2, (BQ24-20)/(35-20), 0.6+0.4*(BQ24-5)/(35-5))*0.35*$AG24*$BA24) + IF($AD24&lt;=2,0.7,0.4)*$BD24)</f>
        <v>38</v>
      </c>
      <c r="BS24" s="253">
        <f t="shared" ref="BS24:BS87" si="26">0.45*($AY24+273.15)/(BR24-$AY24)</f>
        <v>5.1506999999999996</v>
      </c>
      <c r="BT24" s="253" cm="1">
        <f t="array" ref="BT24">$BC24 * IF($AD24&lt;=2,
SUMPRODUCT(INDEX($AL$62:$AN$66,,$AE24), INDEX($AO$62:$AU$66,,$AD24), 1 / ($AV$62:$AV$66*BS24 + (1-$AV$62:$AV$66)*BO24), N($AK$62:$AK$66&gt;$AI24)),
SUMPRODUCT(INDEX($AL$47:$AN$56,,$AE24), INDEX($AO$47:$AU$56,,$AD24), 1 / ($AW$47:$AW$56*BS24 + (1-$AW$47:$AW$56)*BO24), N($AK$47:$AK$56&gt;$AI24))
) / 1000</f>
        <v>3.6475183426083309</v>
      </c>
      <c r="BU24" s="253" cm="1">
        <f t="array" ref="BU24">$BC24 * IF($AD24&lt;=2,
SUMPRODUCT(INDEX($AL$23:$AN$61,,$AE24), INDEX($AO$23:$AU$61,,$AD24), 1 / ($AV$23:$AV$61*BS24), N($AK$23:$AK$61&gt;$AI24)),
SUMPRODUCT(INDEX($AL$23:$AN$46,,$AE24), INDEX($AO$23:$AU$46,,$AD24), 1 / ($AW$23:$AW$46*BS24), N($AK$23:$AK$46&gt;$AI24))
) / 1000</f>
        <v>0</v>
      </c>
      <c r="BV24" s="237">
        <f t="shared" ref="BV24:BV87" si="27">BH24+BL24+BP24+BT24+BU24</f>
        <v>13.261613830986404</v>
      </c>
      <c r="BW24" s="210"/>
      <c r="BX24" s="237">
        <f t="shared" ref="BX24:BX87" si="28">U24 /  IF(AD24&lt;=2, 0.7 + 0.3 * (T24-20)/(35-20), 0.4 + 0.6 * (T24-5)/(35-5))</f>
        <v>0</v>
      </c>
      <c r="BY24" s="236">
        <v>35</v>
      </c>
      <c r="BZ24" s="237">
        <f t="shared" ref="BZ24:BZ87" si="29">MAX($S24, MAX($AZ24, $BE24 + $BA24 + $BB24 + 0.35*$AH24*$BA24 + BX24))</f>
        <v>50</v>
      </c>
      <c r="CA24" s="253">
        <f t="shared" ref="CA24:CA87" si="30">0.45*($AY24+273.15)/(BZ24-$AY24)</f>
        <v>3.4802027027027025</v>
      </c>
      <c r="CB24" s="253" cm="1">
        <f t="array" ref="CB24">$BC24 * SUMPRODUCT(INDEX($AL$77:$AN$82,,$AE24),INDEX($AO$77:$AU$82,,$AD24), N($AK$77:$AK$82&gt;$AI24)) / CA24 / 1000</f>
        <v>0</v>
      </c>
      <c r="CC24" s="250">
        <f t="shared" ref="CC24:CC87" si="31">IF($AD24&lt;=2, 30, 25)</f>
        <v>25</v>
      </c>
      <c r="CD24" s="237">
        <f t="shared" ref="CD24:CD87" si="32">MAX($S24, MAX($AZ24, CC24 + $BA24 + $BB24 + IF($AD24&lt;=2, (CC24-20)/(35-20), 0.6+0.4*(CC24-5)/(35-5))*0.35*$AH24*$BA24) + IF($AD24&lt;=2,0.9,0.8)*$BX24)</f>
        <v>40</v>
      </c>
      <c r="CE24" s="253">
        <f t="shared" ref="CE24:CE87" si="33">0.45*($AY24+273.15)/(CD24-$AY24)</f>
        <v>4.7691666666666661</v>
      </c>
      <c r="CF24" s="253" cm="1">
        <f t="array" ref="CF24">$BC24 * IF($AD24&lt;=2,
SUMPRODUCT(INDEX($AL$72:$AN$76,,$AE24), INDEX($AO$72:$AU$76,,$AD24), 1 / ($AV$72:$AV$76*CE24 + (1-$AV$72:$AV$76)*CA24), N($AK$72:$AK$76&gt;$AI24)),
SUMPRODUCT(INDEX($AL$67:$AN$76,,$AE24), INDEX($AO$67:$AU$76,,$AD24), 1 / ($AW$67:$AW$76*CE24 + (1-$AW$67:$AW$76)*CA24), N($AK$67:$AK$76&gt;$AI24))
) / 1000</f>
        <v>0.82865383373062407</v>
      </c>
      <c r="CG24" s="250">
        <f t="shared" ref="CG24:CG87" si="34">IF($AD24&lt;=2, 25, 15)</f>
        <v>15</v>
      </c>
      <c r="CH24" s="237">
        <f t="shared" ref="CH24:CH87" si="35">MAX($S24, MAX($AZ24, CG24 + $BA24 + $BB24 + IF($AD24&lt;=2, (CG24-20)/(35-20), 0.6+0.4*(CG24-5)/(35-5))*0.35*$AH24*$BA24) + IF($AD24&lt;=2,0.8,0.6)*$BX24)</f>
        <v>38</v>
      </c>
      <c r="CI24" s="253">
        <f t="shared" ref="CI24:CI87" si="36">0.45*($AY24+273.15)/(CH24-$AY24)</f>
        <v>5.1506999999999996</v>
      </c>
      <c r="CJ24" s="253" cm="1">
        <f t="array" ref="CJ24">$BC24 * IF($AD24&lt;=2,
SUMPRODUCT(INDEX($AL$67:$AN$71,,$AE24), INDEX($AO$67:$AU$71,,$AD24), 1 / ($AV$67:$AV$71*CI24 + (1-$AV$67:$AV$71)*CE24), N($AK$67:$AK$71&gt;$AI24)),
SUMPRODUCT(INDEX($AL$57:$AN$66,,$AE24), INDEX($AO$57:$AU$66,,$AD24), 1 / ($AW$57:$AW$66*CI24 + (1-$AW$57:$AW$66)*CE24), N($AK$57:$AK$66&gt;$AI24))
) / 1000</f>
        <v>8.5487345082184056</v>
      </c>
      <c r="CK24" s="250">
        <f t="shared" ref="CK24:CK87" si="37">IF($AD24&lt;=2, 20, 5)</f>
        <v>5</v>
      </c>
      <c r="CL24" s="237">
        <f t="shared" ref="CL24:CL87" si="38">MAX($S24, MAX($AZ24, CK24 + $BA24 + $BB24 + IF($AD24&lt;=2, (CK24-20)/(35-20), 0.6+0.4*(CK24-5)/(35-5))*0.35*$AH24*$BA24) + IF($AD24&lt;=2,0.7,0.4)*$BX24)</f>
        <v>38</v>
      </c>
      <c r="CM24" s="253">
        <f t="shared" ref="CM24:CM87" si="39">0.45*($AY24+273.15)/(CL24-$AY24)</f>
        <v>5.1506999999999996</v>
      </c>
      <c r="CN24" s="253" cm="1">
        <f t="array" ref="CN24">$BC24 * IF($AD24&lt;=2,
SUMPRODUCT(INDEX($AL$62:$AN$66,,$AE24), INDEX($AO$62:$AU$66,,$AD24), 1 / ($AV$62:$AV$66*CM24 + (1-$AV$62:$AV$66)*CI24), N($AK$62:$AK$66&gt;$AI24)),
SUMPRODUCT(INDEX($AL$47:$AN$56,,$AE24), INDEX($AO$47:$AU$56,,$AD24), 1 / ($AW$47:$AW$56*CM24 + (1-$AW$47:$AW$56)*CI24), N($AK$47:$AK$56&gt;$AI24))
) / 1000</f>
        <v>3.6475183426083309</v>
      </c>
      <c r="CO24" s="253" cm="1">
        <f t="array" ref="CO24">$BC24 * IF($AD24&lt;=2,
SUMPRODUCT(INDEX($AL$23:$AN$61,,$AE24), INDEX($AO$23:$AU$61,,$AD24), 1 / ($AV$23:$AV$61*CM24), N($AK$23:$AK$61&gt;$AI24)),
SUMPRODUCT(INDEX($AL$23:$AN$46,,$AE24), INDEX($AO$23:$AU$46,,$AD24), 1 / ($AW$23:$AW$46*CM24), N($AK$23:$AK$46&gt;$AI24))
) / 1000</f>
        <v>0</v>
      </c>
      <c r="CP24" s="237">
        <f t="shared" ref="CP24:CP87" si="40">CB24+CF24+CJ24+CN24+CO24</f>
        <v>13.02490668455736</v>
      </c>
      <c r="CQ24" s="210"/>
    </row>
    <row r="25" spans="1:95" s="76" customFormat="1" ht="14.25" customHeight="1" x14ac:dyDescent="0.25">
      <c r="A25" s="238" t="b">
        <f t="shared" si="0"/>
        <v>1</v>
      </c>
      <c r="B25" s="239">
        <v>3</v>
      </c>
      <c r="C25" s="258" t="s">
        <v>5026</v>
      </c>
      <c r="D25" s="258" t="s">
        <v>5027</v>
      </c>
      <c r="E25" s="240">
        <v>1800</v>
      </c>
      <c r="F25" s="241" t="str">
        <f>IF(ISBLANK(E25), "", VLOOKUP(E25, Z!$A$2:$C$4127, 3, FALSE))</f>
        <v>Vevey</v>
      </c>
      <c r="G25" s="242" t="s">
        <v>4887</v>
      </c>
      <c r="H25" s="242" t="s">
        <v>4960</v>
      </c>
      <c r="I25" s="243" t="s">
        <v>4982</v>
      </c>
      <c r="J25" s="244"/>
      <c r="K25" s="259">
        <v>50</v>
      </c>
      <c r="L25" s="260">
        <v>35</v>
      </c>
      <c r="M25" s="247" t="str" cm="1">
        <f t="array" ref="M25">IF($K25&gt;0, INDEX(Clean,1+AG25,$C$1), "")</f>
        <v>Verschmutzt</v>
      </c>
      <c r="N25" s="245"/>
      <c r="O25" s="245"/>
      <c r="P25" s="246"/>
      <c r="Q25" s="248">
        <f t="shared" si="6"/>
        <v>82656.976714672535</v>
      </c>
      <c r="R25" s="247" t="str" cm="1">
        <f t="array" ref="R25">IF($K25&gt;0, INDEX(Clean,1+AH25,$C$1), "")</f>
        <v>Sauber</v>
      </c>
      <c r="S25" s="245"/>
      <c r="T25" s="245"/>
      <c r="U25" s="246"/>
      <c r="V25" s="248">
        <f t="shared" si="7"/>
        <v>80654.8641291893</v>
      </c>
      <c r="W25" s="261" t="s">
        <v>4462</v>
      </c>
      <c r="X25" s="258" t="s">
        <v>4880</v>
      </c>
      <c r="Y25" s="240">
        <v>8003</v>
      </c>
      <c r="Z25" s="241" t="str">
        <f>IF(ISBLANK(Y25), "", VLOOKUP(Y25, Z!$A$2:$C$4127, 3, FALSE))</f>
        <v>Zürich</v>
      </c>
      <c r="AA25" s="262">
        <v>45419</v>
      </c>
      <c r="AB25" s="249">
        <f t="shared" si="8"/>
        <v>1501.5844391124265</v>
      </c>
      <c r="AC25" s="210"/>
      <c r="AD25" s="236">
        <f t="shared" ref="AD25" si="41">IF(ISBLANK(H25), 1, IFERROR(MATCH(H25, INDEX(Use,,1), 0), IFERROR(MATCH(H25, INDEX(Use,,2), 0), MATCH(H25, INDEX(Use,,3), 0))))</f>
        <v>3</v>
      </c>
      <c r="AE25" s="236">
        <f t="shared" ref="AE25" si="42">IF(ISBLANK(G25), 1, IFERROR(MATCH(G25, INDEX(Loc,,1), 0), IFERROR(MATCH(G25, INDEX(Loc,,2), 0), MATCH(G25, INDEX(Loc,,3), 0))))</f>
        <v>2</v>
      </c>
      <c r="AF25" s="236">
        <f t="shared" ref="AF25" si="43">_xlfn.IFNA(IF(IFERROR(MATCH(I25, INDEX(Medium,,1), 0), IFERROR(MATCH(I25, INDEX(Medium,,2), 0), MATCH(I25, INDEX(Medium,,3), 0))) = 2, 1, 0), 0)</f>
        <v>1</v>
      </c>
      <c r="AG25" s="236">
        <v>1</v>
      </c>
      <c r="AH25" s="236">
        <v>0</v>
      </c>
      <c r="AI25" s="236">
        <f t="shared" si="4"/>
        <v>-100</v>
      </c>
      <c r="AJ25" s="210"/>
      <c r="AK25" s="236">
        <v>-17</v>
      </c>
      <c r="AL25" s="250">
        <v>0</v>
      </c>
      <c r="AM25" s="250">
        <v>0</v>
      </c>
      <c r="AN25" s="250">
        <v>0</v>
      </c>
      <c r="AO25" s="251">
        <f t="shared" si="5"/>
        <v>0</v>
      </c>
      <c r="AP25" s="251">
        <f t="shared" si="5"/>
        <v>0</v>
      </c>
      <c r="AQ25" s="251" cm="1">
        <f t="array" ref="AQ25">MIN(INDEX(Use,AQ$21,5) + MAX(0, (1-INDEX(Use,AQ$21,5))*($AK25-5)/(35-5)), 1)</f>
        <v>0.4</v>
      </c>
      <c r="AR25" s="251" cm="1">
        <f t="array" ref="AR25">MIN(INDEX(Use,AR$21,5) + MAX(0, (1-INDEX(Use,AR$21,5))*($AK25-5)/(35-5)), 1)</f>
        <v>0.6</v>
      </c>
      <c r="AS25" s="251" cm="1">
        <f t="array" ref="AS25">MIN(INDEX(Use,AS$21,5) + MAX(0, (1-INDEX(Use,AS$21,5))*($AK25-5)/(35-5)), 1)</f>
        <v>0.8</v>
      </c>
      <c r="AT25" s="251" cm="1">
        <f t="array" ref="AT25">MIN(INDEX(Use,AT$21,5) + MAX(0, (1-INDEX(Use,AT$21,5))*($AK25-5)/(35-5)), 1)</f>
        <v>0.8</v>
      </c>
      <c r="AU25" s="251" cm="1">
        <f t="array" ref="AU25">MIN(INDEX(Use,AU$21,5) + MAX(0, (1-INDEX(Use,AU$21,5))*($AK25-5)/(35-5)), 1)</f>
        <v>0.8</v>
      </c>
      <c r="AV25" s="251">
        <v>1</v>
      </c>
      <c r="AW25" s="251">
        <v>1</v>
      </c>
      <c r="AX25" s="212"/>
      <c r="AY25" s="236" cm="1">
        <f t="array" ref="AY25">INDEX(Use, $AD25, 4)</f>
        <v>-10</v>
      </c>
      <c r="AZ25" s="236">
        <f t="shared" si="12"/>
        <v>25</v>
      </c>
      <c r="BA25" s="236">
        <f t="shared" si="13"/>
        <v>6</v>
      </c>
      <c r="BB25" s="236">
        <f t="shared" si="14"/>
        <v>9</v>
      </c>
      <c r="BC25" s="252" cm="1">
        <f t="array" ref="BC25">K25/IF($L25&gt;0, INDEX($AO$23:$AU$77, $L25+20, $AD25), 1)</f>
        <v>50</v>
      </c>
      <c r="BD25" s="237">
        <f t="shared" si="15"/>
        <v>0</v>
      </c>
      <c r="BE25" s="236">
        <v>35</v>
      </c>
      <c r="BF25" s="237">
        <f t="shared" si="16"/>
        <v>52.1</v>
      </c>
      <c r="BG25" s="253">
        <f t="shared" si="17"/>
        <v>1.9068840579710142</v>
      </c>
      <c r="BH25" s="253" cm="1">
        <f t="array" ref="BH25">$BC25 * SUMPRODUCT(INDEX($AL$77:$AN$82,,$AE25),INDEX($AO$77:$AU$82,,$AD25), N($AK$77:$AK$82&gt;$AI25)) / BG25 / 1000</f>
        <v>5.2441573247197427E-2</v>
      </c>
      <c r="BI25" s="250">
        <f t="shared" si="18"/>
        <v>25</v>
      </c>
      <c r="BJ25" s="237">
        <f t="shared" si="19"/>
        <v>41.82</v>
      </c>
      <c r="BK25" s="253">
        <f t="shared" si="20"/>
        <v>2.285169818602856</v>
      </c>
      <c r="BL25" s="253" cm="1">
        <f t="array" ref="BL25">$BC25 * IF($AD25&lt;=2,
SUMPRODUCT(INDEX($AL$72:$AN$76,,$AE25), INDEX($AO$72:$AU$76,,$AD25), 1 / ($AV$72:$AV$76*BK25 + (1-$AV$72:$AV$76)*BG25), N($AK$72:$AK$76&gt;$AI25)),
SUMPRODUCT(INDEX($AL$67:$AN$76,,$AE25), INDEX($AO$67:$AU$76,,$AD25), 1 / ($AW$67:$AW$76*BK25 + (1-$AW$67:$AW$76)*BG25), N($AK$67:$AK$76&gt;$AI25))
) / 1000</f>
        <v>9.491437189412915</v>
      </c>
      <c r="BM25" s="250">
        <f t="shared" si="21"/>
        <v>15</v>
      </c>
      <c r="BN25" s="237">
        <f t="shared" si="22"/>
        <v>31.54</v>
      </c>
      <c r="BO25" s="253">
        <f t="shared" si="23"/>
        <v>2.8506860857005294</v>
      </c>
      <c r="BP25" s="253" cm="1">
        <f t="array" ref="BP25">$BC25 * IF($AD25&lt;=2,
SUMPRODUCT(INDEX($AL$67:$AN$71,,$AE25), INDEX($AO$67:$AU$71,,$AD25), 1 / ($AV$67:$AV$71*BO25 + (1-$AV$67:$AV$71)*BK25), N($AK$67:$AK$71&gt;$AI25)),
SUMPRODUCT(INDEX($AL$57:$AN$66,,$AE25), INDEX($AO$57:$AU$66,,$AD25), 1 / ($AW$57:$AW$66*BO25 + (1-$AW$57:$AW$66)*BK25), N($AK$57:$AK$66&gt;$AI25))
) / 1000</f>
        <v>31.530387683256794</v>
      </c>
      <c r="BQ25" s="250">
        <f t="shared" si="24"/>
        <v>5</v>
      </c>
      <c r="BR25" s="237">
        <f t="shared" si="25"/>
        <v>25</v>
      </c>
      <c r="BS25" s="253">
        <f t="shared" si="26"/>
        <v>3.3833571428571427</v>
      </c>
      <c r="BT25" s="253" cm="1">
        <f t="array" ref="BT25">$BC25 * IF($AD25&lt;=2,
SUMPRODUCT(INDEX($AL$62:$AN$66,,$AE25), INDEX($AO$62:$AU$66,,$AD25), 1 / ($AV$62:$AV$66*BS25 + (1-$AV$62:$AV$66)*BO25), N($AK$62:$AK$66&gt;$AI25)),
SUMPRODUCT(INDEX($AL$47:$AN$56,,$AE25), INDEX($AO$47:$AU$56,,$AD25), 1 / ($AW$47:$AW$56*BS25 + (1-$AW$47:$AW$56)*BO25), N($AK$47:$AK$56&gt;$AI25))
) / 1000</f>
        <v>28.985754582307262</v>
      </c>
      <c r="BU25" s="253" cm="1">
        <f t="array" ref="BU25">$BC25 * IF($AD25&lt;=2,
SUMPRODUCT(INDEX($AL$23:$AN$61,,$AE25), INDEX($AO$23:$AU$61,,$AD25), 1 / ($AV$23:$AV$61*BS25), N($AK$23:$AK$61&gt;$AI25)),
SUMPRODUCT(INDEX($AL$23:$AN$46,,$AE25), INDEX($AO$23:$AU$46,,$AD25), 1 / ($AW$23:$AW$46*BS25), N($AK$23:$AK$46&gt;$AI25))
) / 1000</f>
        <v>12.596955686448373</v>
      </c>
      <c r="BV25" s="237">
        <f t="shared" si="27"/>
        <v>82.656976714672538</v>
      </c>
      <c r="BW25" s="210"/>
      <c r="BX25" s="237">
        <f t="shared" si="28"/>
        <v>0</v>
      </c>
      <c r="BY25" s="236">
        <v>35</v>
      </c>
      <c r="BZ25" s="237">
        <f t="shared" si="29"/>
        <v>50</v>
      </c>
      <c r="CA25" s="253">
        <f t="shared" si="30"/>
        <v>1.9736249999999997</v>
      </c>
      <c r="CB25" s="253" cm="1">
        <f t="array" ref="CB25">$BC25 * SUMPRODUCT(INDEX($AL$77:$AN$82,,$AE25),INDEX($AO$77:$AU$82,,$AD25), N($AK$77:$AK$82&gt;$AI25)) / CA25 / 1000</f>
        <v>5.066818671226804E-2</v>
      </c>
      <c r="CC25" s="250">
        <f t="shared" si="31"/>
        <v>25</v>
      </c>
      <c r="CD25" s="237">
        <f t="shared" si="32"/>
        <v>40</v>
      </c>
      <c r="CE25" s="253">
        <f t="shared" si="33"/>
        <v>2.36835</v>
      </c>
      <c r="CF25" s="253" cm="1">
        <f t="array" ref="CF25">$BC25 * IF($AD25&lt;=2,
SUMPRODUCT(INDEX($AL$72:$AN$76,,$AE25), INDEX($AO$72:$AU$76,,$AD25), 1 / ($AV$72:$AV$76*CE25 + (1-$AV$72:$AV$76)*CA25), N($AK$72:$AK$76&gt;$AI25)),
SUMPRODUCT(INDEX($AL$67:$AN$76,,$AE25), INDEX($AO$67:$AU$76,,$AD25), 1 / ($AW$67:$AW$76*CE25 + (1-$AW$67:$AW$76)*CA25), N($AK$67:$AK$76&gt;$AI25))
) / 1000</f>
        <v>9.1607991087126504</v>
      </c>
      <c r="CG25" s="250">
        <f t="shared" si="34"/>
        <v>15</v>
      </c>
      <c r="CH25" s="237">
        <f t="shared" si="35"/>
        <v>30</v>
      </c>
      <c r="CI25" s="253">
        <f t="shared" si="36"/>
        <v>2.9604374999999998</v>
      </c>
      <c r="CJ25" s="253" cm="1">
        <f t="array" ref="CJ25">$BC25 * IF($AD25&lt;=2,
SUMPRODUCT(INDEX($AL$67:$AN$71,,$AE25), INDEX($AO$67:$AU$71,,$AD25), 1 / ($AV$67:$AV$71*CI25 + (1-$AV$67:$AV$71)*CE25), N($AK$67:$AK$71&gt;$AI25)),
SUMPRODUCT(INDEX($AL$57:$AN$66,,$AE25), INDEX($AO$57:$AU$66,,$AD25), 1 / ($AW$57:$AW$66*CI25 + (1-$AW$57:$AW$66)*CE25), N($AK$57:$AK$66&gt;$AI25))
) / 1000</f>
        <v>30.383516355040783</v>
      </c>
      <c r="CK25" s="250">
        <f t="shared" si="37"/>
        <v>5</v>
      </c>
      <c r="CL25" s="237">
        <f t="shared" si="38"/>
        <v>25</v>
      </c>
      <c r="CM25" s="253">
        <f t="shared" si="39"/>
        <v>3.3833571428571427</v>
      </c>
      <c r="CN25" s="253" cm="1">
        <f t="array" ref="CN25">$BC25 * IF($AD25&lt;=2,
SUMPRODUCT(INDEX($AL$62:$AN$66,,$AE25), INDEX($AO$62:$AU$66,,$AD25), 1 / ($AV$62:$AV$66*CM25 + (1-$AV$62:$AV$66)*CI25), N($AK$62:$AK$66&gt;$AI25)),
SUMPRODUCT(INDEX($AL$47:$AN$56,,$AE25), INDEX($AO$47:$AU$56,,$AD25), 1 / ($AW$47:$AW$56*CM25 + (1-$AW$47:$AW$56)*CI25), N($AK$47:$AK$56&gt;$AI25))
) / 1000</f>
        <v>28.462924792275246</v>
      </c>
      <c r="CO25" s="253" cm="1">
        <f t="array" ref="CO25">$BC25 * IF($AD25&lt;=2,
SUMPRODUCT(INDEX($AL$23:$AN$61,,$AE25), INDEX($AO$23:$AU$61,,$AD25), 1 / ($AV$23:$AV$61*CM25), N($AK$23:$AK$61&gt;$AI25)),
SUMPRODUCT(INDEX($AL$23:$AN$46,,$AE25), INDEX($AO$23:$AU$46,,$AD25), 1 / ($AW$23:$AW$46*CM25), N($AK$23:$AK$46&gt;$AI25))
) / 1000</f>
        <v>12.596955686448373</v>
      </c>
      <c r="CP25" s="237">
        <f t="shared" si="40"/>
        <v>80.654864129189306</v>
      </c>
      <c r="CQ25" s="210"/>
    </row>
    <row r="26" spans="1:95" s="76" customFormat="1" ht="14.25" customHeight="1" x14ac:dyDescent="0.25">
      <c r="A26" s="238" t="b">
        <f t="shared" si="0"/>
        <v>0</v>
      </c>
      <c r="B26" s="239">
        <v>4</v>
      </c>
      <c r="C26" s="263"/>
      <c r="D26" s="258"/>
      <c r="E26" s="240"/>
      <c r="F26" s="241" t="str">
        <f>IF(ISBLANK(E26), "", VLOOKUP(E26, Z!$A$2:$C$4127, 3, FALSE))</f>
        <v/>
      </c>
      <c r="G26" s="242"/>
      <c r="H26" s="242"/>
      <c r="I26" s="243"/>
      <c r="J26" s="244"/>
      <c r="K26" s="259"/>
      <c r="L26" s="260"/>
      <c r="M26" s="247" t="str" cm="1">
        <f t="array" ref="M26">IF($K26&gt;0, INDEX(Clean,1+AG26,$C$1), "")</f>
        <v/>
      </c>
      <c r="N26" s="245"/>
      <c r="O26" s="245"/>
      <c r="P26" s="246"/>
      <c r="Q26" s="248">
        <f t="shared" si="6"/>
        <v>0</v>
      </c>
      <c r="R26" s="247" t="str" cm="1">
        <f t="array" ref="R26">IF($K26&gt;0, INDEX(Clean,1+AH26,$C$1), "")</f>
        <v/>
      </c>
      <c r="S26" s="245"/>
      <c r="T26" s="245"/>
      <c r="U26" s="246"/>
      <c r="V26" s="248">
        <f t="shared" si="7"/>
        <v>0</v>
      </c>
      <c r="W26" s="261"/>
      <c r="X26" s="258"/>
      <c r="Y26" s="240"/>
      <c r="Z26" s="241" t="str">
        <f>IF(ISBLANK(Y26), "", VLOOKUP(Y26, Z!$A$2:$C$4127, 3, FALSE))</f>
        <v/>
      </c>
      <c r="AA26" s="262"/>
      <c r="AB26" s="249">
        <f t="shared" si="8"/>
        <v>0</v>
      </c>
      <c r="AC26" s="210"/>
      <c r="AD26" s="236">
        <f t="shared" ref="AD26" si="44">IF(ISBLANK(H26), 1, IFERROR(MATCH(H26, INDEX(Use,,1), 0), IFERROR(MATCH(H26, INDEX(Use,,2), 0), MATCH(H26, INDEX(Use,,3), 0))))</f>
        <v>1</v>
      </c>
      <c r="AE26" s="236">
        <f t="shared" ref="AE26" si="45">IF(ISBLANK(G26), 1, IFERROR(MATCH(G26, INDEX(Loc,,1), 0), IFERROR(MATCH(G26, INDEX(Loc,,2), 0), MATCH(G26, INDEX(Loc,,3), 0))))</f>
        <v>1</v>
      </c>
      <c r="AF26" s="236">
        <f t="shared" ref="AF26" si="46">_xlfn.IFNA(IF(IFERROR(MATCH(I26, INDEX(Medium,,1), 0), IFERROR(MATCH(I26, INDEX(Medium,,2), 0), MATCH(I26, INDEX(Medium,,3), 0))) = 2, 1, 0), 0)</f>
        <v>0</v>
      </c>
      <c r="AG26" s="236">
        <v>1</v>
      </c>
      <c r="AH26" s="236">
        <v>0</v>
      </c>
      <c r="AI26" s="236">
        <f t="shared" si="4"/>
        <v>-100</v>
      </c>
      <c r="AJ26" s="210"/>
      <c r="AK26" s="236">
        <v>-16</v>
      </c>
      <c r="AL26" s="250">
        <v>0</v>
      </c>
      <c r="AM26" s="250">
        <v>0</v>
      </c>
      <c r="AN26" s="250">
        <v>0</v>
      </c>
      <c r="AO26" s="251">
        <f t="shared" si="5"/>
        <v>0</v>
      </c>
      <c r="AP26" s="251">
        <f t="shared" si="5"/>
        <v>0</v>
      </c>
      <c r="AQ26" s="251" cm="1">
        <f t="array" ref="AQ26">MIN(INDEX(Use,AQ$21,5) + MAX(0, (1-INDEX(Use,AQ$21,5))*($AK26-5)/(35-5)), 1)</f>
        <v>0.4</v>
      </c>
      <c r="AR26" s="251" cm="1">
        <f t="array" ref="AR26">MIN(INDEX(Use,AR$21,5) + MAX(0, (1-INDEX(Use,AR$21,5))*($AK26-5)/(35-5)), 1)</f>
        <v>0.6</v>
      </c>
      <c r="AS26" s="251" cm="1">
        <f t="array" ref="AS26">MIN(INDEX(Use,AS$21,5) + MAX(0, (1-INDEX(Use,AS$21,5))*($AK26-5)/(35-5)), 1)</f>
        <v>0.8</v>
      </c>
      <c r="AT26" s="251" cm="1">
        <f t="array" ref="AT26">MIN(INDEX(Use,AT$21,5) + MAX(0, (1-INDEX(Use,AT$21,5))*($AK26-5)/(35-5)), 1)</f>
        <v>0.8</v>
      </c>
      <c r="AU26" s="251" cm="1">
        <f t="array" ref="AU26">MIN(INDEX(Use,AU$21,5) + MAX(0, (1-INDEX(Use,AU$21,5))*($AK26-5)/(35-5)), 1)</f>
        <v>0.8</v>
      </c>
      <c r="AV26" s="251">
        <v>1</v>
      </c>
      <c r="AW26" s="251">
        <v>1</v>
      </c>
      <c r="AX26" s="212"/>
      <c r="AY26" s="236" cm="1">
        <f t="array" ref="AY26">INDEX(Use, $AD26, 4)</f>
        <v>7</v>
      </c>
      <c r="AZ26" s="236">
        <f t="shared" si="12"/>
        <v>32</v>
      </c>
      <c r="BA26" s="236">
        <f t="shared" si="13"/>
        <v>13</v>
      </c>
      <c r="BB26" s="236">
        <f t="shared" si="14"/>
        <v>0</v>
      </c>
      <c r="BC26" s="252" cm="1">
        <f t="array" ref="BC26">K26/IF($L26&gt;0, INDEX($AO$23:$AU$77, $L26+20, $AD26), 1)</f>
        <v>0</v>
      </c>
      <c r="BD26" s="237">
        <f t="shared" si="15"/>
        <v>0</v>
      </c>
      <c r="BE26" s="236">
        <v>35</v>
      </c>
      <c r="BF26" s="237">
        <f t="shared" si="16"/>
        <v>52.55</v>
      </c>
      <c r="BG26" s="253">
        <f t="shared" si="17"/>
        <v>2.7676728869374316</v>
      </c>
      <c r="BH26" s="253" cm="1">
        <f t="array" ref="BH26">$BC26 * SUMPRODUCT(INDEX($AL$77:$AN$82,,$AE26),INDEX($AO$77:$AU$82,,$AD26), N($AK$77:$AK$82&gt;$AI26)) / BG26 / 1000</f>
        <v>0</v>
      </c>
      <c r="BI26" s="250">
        <f t="shared" si="18"/>
        <v>30</v>
      </c>
      <c r="BJ26" s="237">
        <f t="shared" si="19"/>
        <v>46.033333333333331</v>
      </c>
      <c r="BK26" s="253">
        <f t="shared" si="20"/>
        <v>3.2297395388556791</v>
      </c>
      <c r="BL26" s="253" cm="1">
        <f t="array" ref="BL26">$BC26 * IF($AD26&lt;=2,
SUMPRODUCT(INDEX($AL$72:$AN$76,,$AE26), INDEX($AO$72:$AU$76,,$AD26), 1 / ($AV$72:$AV$76*BK26 + (1-$AV$72:$AV$76)*BG26), N($AK$72:$AK$76&gt;$AI26)),
SUMPRODUCT(INDEX($AL$67:$AN$76,,$AE26), INDEX($AO$67:$AU$76,,$AD26), 1 / ($AW$67:$AW$76*BK26 + (1-$AW$67:$AW$76)*BG26), N($AK$67:$AK$76&gt;$AI26))
) / 1000</f>
        <v>0</v>
      </c>
      <c r="BM26" s="250">
        <f t="shared" si="21"/>
        <v>25</v>
      </c>
      <c r="BN26" s="237">
        <f t="shared" si="22"/>
        <v>39.516666666666666</v>
      </c>
      <c r="BO26" s="253">
        <f t="shared" si="23"/>
        <v>3.877011788826243</v>
      </c>
      <c r="BP26" s="253" cm="1">
        <f t="array" ref="BP26">$BC26 * IF($AD26&lt;=2,
SUMPRODUCT(INDEX($AL$67:$AN$71,,$AE26), INDEX($AO$67:$AU$71,,$AD26), 1 / ($AV$67:$AV$71*BO26 + (1-$AV$67:$AV$71)*BK26), N($AK$67:$AK$71&gt;$AI26)),
SUMPRODUCT(INDEX($AL$57:$AN$66,,$AE26), INDEX($AO$57:$AU$66,,$AD26), 1 / ($AW$57:$AW$66*BO26 + (1-$AW$57:$AW$66)*BK26), N($AK$57:$AK$66&gt;$AI26))
) / 1000</f>
        <v>0</v>
      </c>
      <c r="BQ26" s="250">
        <f t="shared" si="24"/>
        <v>20</v>
      </c>
      <c r="BR26" s="237">
        <f t="shared" si="25"/>
        <v>33</v>
      </c>
      <c r="BS26" s="253">
        <f t="shared" si="26"/>
        <v>4.8487499999999999</v>
      </c>
      <c r="BT26" s="253" cm="1">
        <f t="array" ref="BT26">$BC26 * IF($AD26&lt;=2,
SUMPRODUCT(INDEX($AL$62:$AN$66,,$AE26), INDEX($AO$62:$AU$66,,$AD26), 1 / ($AV$62:$AV$66*BS26 + (1-$AV$62:$AV$66)*BO26), N($AK$62:$AK$66&gt;$AI26)),
SUMPRODUCT(INDEX($AL$47:$AN$56,,$AE26), INDEX($AO$47:$AU$56,,$AD26), 1 / ($AW$47:$AW$56*BS26 + (1-$AW$47:$AW$56)*BO26), N($AK$47:$AK$56&gt;$AI26))
) / 1000</f>
        <v>0</v>
      </c>
      <c r="BU26" s="253" cm="1">
        <f t="array" ref="BU26">$BC26 * IF($AD26&lt;=2,
SUMPRODUCT(INDEX($AL$23:$AN$61,,$AE26), INDEX($AO$23:$AU$61,,$AD26), 1 / ($AV$23:$AV$61*BS26), N($AK$23:$AK$61&gt;$AI26)),
SUMPRODUCT(INDEX($AL$23:$AN$46,,$AE26), INDEX($AO$23:$AU$46,,$AD26), 1 / ($AW$23:$AW$46*BS26), N($AK$23:$AK$46&gt;$AI26))
) / 1000</f>
        <v>0</v>
      </c>
      <c r="BV26" s="237">
        <f t="shared" si="27"/>
        <v>0</v>
      </c>
      <c r="BW26" s="210"/>
      <c r="BX26" s="237">
        <f t="shared" si="28"/>
        <v>0</v>
      </c>
      <c r="BY26" s="236">
        <v>35</v>
      </c>
      <c r="BZ26" s="237">
        <f t="shared" si="29"/>
        <v>48</v>
      </c>
      <c r="CA26" s="253">
        <f t="shared" si="30"/>
        <v>3.0748170731707316</v>
      </c>
      <c r="CB26" s="253" cm="1">
        <f t="array" ref="CB26">$BC26 * SUMPRODUCT(INDEX($AL$77:$AN$82,,$AE26),INDEX($AO$77:$AU$82,,$AD26), N($AK$77:$AK$82&gt;$AI26)) / CA26 / 1000</f>
        <v>0</v>
      </c>
      <c r="CC26" s="250">
        <f t="shared" si="31"/>
        <v>30</v>
      </c>
      <c r="CD26" s="237">
        <f t="shared" si="32"/>
        <v>43</v>
      </c>
      <c r="CE26" s="253">
        <f t="shared" si="33"/>
        <v>3.5018750000000001</v>
      </c>
      <c r="CF26" s="253" cm="1">
        <f t="array" ref="CF26">$BC26 * IF($AD26&lt;=2,
SUMPRODUCT(INDEX($AL$72:$AN$76,,$AE26), INDEX($AO$72:$AU$76,,$AD26), 1 / ($AV$72:$AV$76*CE26 + (1-$AV$72:$AV$76)*CA26), N($AK$72:$AK$76&gt;$AI26)),
SUMPRODUCT(INDEX($AL$67:$AN$76,,$AE26), INDEX($AO$67:$AU$76,,$AD26), 1 / ($AW$67:$AW$76*CE26 + (1-$AW$67:$AW$76)*CA26), N($AK$67:$AK$76&gt;$AI26))
) / 1000</f>
        <v>0</v>
      </c>
      <c r="CG26" s="250">
        <f t="shared" si="34"/>
        <v>25</v>
      </c>
      <c r="CH26" s="237">
        <f t="shared" si="35"/>
        <v>38</v>
      </c>
      <c r="CI26" s="253">
        <f t="shared" si="36"/>
        <v>4.0666935483870965</v>
      </c>
      <c r="CJ26" s="253" cm="1">
        <f t="array" ref="CJ26">$BC26 * IF($AD26&lt;=2,
SUMPRODUCT(INDEX($AL$67:$AN$71,,$AE26), INDEX($AO$67:$AU$71,,$AD26), 1 / ($AV$67:$AV$71*CI26 + (1-$AV$67:$AV$71)*CE26), N($AK$67:$AK$71&gt;$AI26)),
SUMPRODUCT(INDEX($AL$57:$AN$66,,$AE26), INDEX($AO$57:$AU$66,,$AD26), 1 / ($AW$57:$AW$66*CI26 + (1-$AW$57:$AW$66)*CE26), N($AK$57:$AK$66&gt;$AI26))
) / 1000</f>
        <v>0</v>
      </c>
      <c r="CK26" s="250">
        <f t="shared" si="37"/>
        <v>20</v>
      </c>
      <c r="CL26" s="237">
        <f t="shared" si="38"/>
        <v>33</v>
      </c>
      <c r="CM26" s="253">
        <f t="shared" si="39"/>
        <v>4.8487499999999999</v>
      </c>
      <c r="CN26" s="253" cm="1">
        <f t="array" ref="CN26">$BC26 * IF($AD26&lt;=2,
SUMPRODUCT(INDEX($AL$62:$AN$66,,$AE26), INDEX($AO$62:$AU$66,,$AD26), 1 / ($AV$62:$AV$66*CM26 + (1-$AV$62:$AV$66)*CI26), N($AK$62:$AK$66&gt;$AI26)),
SUMPRODUCT(INDEX($AL$47:$AN$56,,$AE26), INDEX($AO$47:$AU$56,,$AD26), 1 / ($AW$47:$AW$56*CM26 + (1-$AW$47:$AW$56)*CI26), N($AK$47:$AK$56&gt;$AI26))
) / 1000</f>
        <v>0</v>
      </c>
      <c r="CO26" s="253" cm="1">
        <f t="array" ref="CO26">$BC26 * IF($AD26&lt;=2,
SUMPRODUCT(INDEX($AL$23:$AN$61,,$AE26), INDEX($AO$23:$AU$61,,$AD26), 1 / ($AV$23:$AV$61*CM26), N($AK$23:$AK$61&gt;$AI26)),
SUMPRODUCT(INDEX($AL$23:$AN$46,,$AE26), INDEX($AO$23:$AU$46,,$AD26), 1 / ($AW$23:$AW$46*CM26), N($AK$23:$AK$46&gt;$AI26))
) / 1000</f>
        <v>0</v>
      </c>
      <c r="CP26" s="237">
        <f t="shared" si="40"/>
        <v>0</v>
      </c>
      <c r="CQ26" s="210"/>
    </row>
    <row r="27" spans="1:95" s="76" customFormat="1" ht="14.25" customHeight="1" x14ac:dyDescent="0.25">
      <c r="A27" s="238" t="b">
        <f t="shared" si="0"/>
        <v>0</v>
      </c>
      <c r="B27" s="239">
        <v>5</v>
      </c>
      <c r="C27" s="258"/>
      <c r="D27" s="263"/>
      <c r="E27" s="240"/>
      <c r="F27" s="241" t="str">
        <f>IF(ISBLANK(E27), "", VLOOKUP(E27, Z!$A$2:$C$4127, 3, FALSE))</f>
        <v/>
      </c>
      <c r="G27" s="242"/>
      <c r="H27" s="242"/>
      <c r="I27" s="243"/>
      <c r="J27" s="244"/>
      <c r="K27" s="259"/>
      <c r="L27" s="260"/>
      <c r="M27" s="247" t="str" cm="1">
        <f t="array" ref="M27">IF($K27&gt;0, INDEX(Clean,1+AG27,$C$1), "")</f>
        <v/>
      </c>
      <c r="N27" s="245"/>
      <c r="O27" s="245"/>
      <c r="P27" s="246"/>
      <c r="Q27" s="248">
        <f t="shared" si="6"/>
        <v>0</v>
      </c>
      <c r="R27" s="247" t="str" cm="1">
        <f t="array" ref="R27">IF($K27&gt;0, INDEX(Clean,1+AH27,$C$1), "")</f>
        <v/>
      </c>
      <c r="S27" s="245"/>
      <c r="T27" s="245"/>
      <c r="U27" s="246"/>
      <c r="V27" s="248">
        <f t="shared" si="7"/>
        <v>0</v>
      </c>
      <c r="W27" s="261"/>
      <c r="X27" s="258"/>
      <c r="Y27" s="240"/>
      <c r="Z27" s="241" t="str">
        <f>IF(ISBLANK(Y27), "", VLOOKUP(Y27, Z!$A$2:$C$4127, 3, FALSE))</f>
        <v/>
      </c>
      <c r="AA27" s="262"/>
      <c r="AB27" s="249">
        <f t="shared" si="8"/>
        <v>0</v>
      </c>
      <c r="AC27" s="210"/>
      <c r="AD27" s="236">
        <f t="shared" ref="AD27" si="47">IF(ISBLANK(H27), 1, IFERROR(MATCH(H27, INDEX(Use,,1), 0), IFERROR(MATCH(H27, INDEX(Use,,2), 0), MATCH(H27, INDEX(Use,,3), 0))))</f>
        <v>1</v>
      </c>
      <c r="AE27" s="236">
        <f t="shared" ref="AE27" si="48">IF(ISBLANK(G27), 1, IFERROR(MATCH(G27, INDEX(Loc,,1), 0), IFERROR(MATCH(G27, INDEX(Loc,,2), 0), MATCH(G27, INDEX(Loc,,3), 0))))</f>
        <v>1</v>
      </c>
      <c r="AF27" s="236">
        <f t="shared" ref="AF27" si="49">_xlfn.IFNA(IF(IFERROR(MATCH(I27, INDEX(Medium,,1), 0), IFERROR(MATCH(I27, INDEX(Medium,,2), 0), MATCH(I27, INDEX(Medium,,3), 0))) = 2, 1, 0), 0)</f>
        <v>0</v>
      </c>
      <c r="AG27" s="236">
        <v>1</v>
      </c>
      <c r="AH27" s="236">
        <v>0</v>
      </c>
      <c r="AI27" s="236">
        <f t="shared" si="4"/>
        <v>-100</v>
      </c>
      <c r="AJ27" s="210"/>
      <c r="AK27" s="236">
        <v>-15</v>
      </c>
      <c r="AL27" s="250">
        <v>0</v>
      </c>
      <c r="AM27" s="250">
        <v>0</v>
      </c>
      <c r="AN27" s="250">
        <v>0</v>
      </c>
      <c r="AO27" s="251">
        <f t="shared" si="5"/>
        <v>0</v>
      </c>
      <c r="AP27" s="251">
        <f t="shared" si="5"/>
        <v>0</v>
      </c>
      <c r="AQ27" s="251" cm="1">
        <f t="array" ref="AQ27">MIN(INDEX(Use,AQ$21,5) + MAX(0, (1-INDEX(Use,AQ$21,5))*($AK27-5)/(35-5)), 1)</f>
        <v>0.4</v>
      </c>
      <c r="AR27" s="251" cm="1">
        <f t="array" ref="AR27">MIN(INDEX(Use,AR$21,5) + MAX(0, (1-INDEX(Use,AR$21,5))*($AK27-5)/(35-5)), 1)</f>
        <v>0.6</v>
      </c>
      <c r="AS27" s="251" cm="1">
        <f t="array" ref="AS27">MIN(INDEX(Use,AS$21,5) + MAX(0, (1-INDEX(Use,AS$21,5))*($AK27-5)/(35-5)), 1)</f>
        <v>0.8</v>
      </c>
      <c r="AT27" s="251" cm="1">
        <f t="array" ref="AT27">MIN(INDEX(Use,AT$21,5) + MAX(0, (1-INDEX(Use,AT$21,5))*($AK27-5)/(35-5)), 1)</f>
        <v>0.8</v>
      </c>
      <c r="AU27" s="251" cm="1">
        <f t="array" ref="AU27">MIN(INDEX(Use,AU$21,5) + MAX(0, (1-INDEX(Use,AU$21,5))*($AK27-5)/(35-5)), 1)</f>
        <v>0.8</v>
      </c>
      <c r="AV27" s="251">
        <v>1</v>
      </c>
      <c r="AW27" s="251">
        <v>1</v>
      </c>
      <c r="AX27" s="212"/>
      <c r="AY27" s="236" cm="1">
        <f t="array" ref="AY27">INDEX(Use, $AD27, 4)</f>
        <v>7</v>
      </c>
      <c r="AZ27" s="236">
        <f t="shared" si="12"/>
        <v>32</v>
      </c>
      <c r="BA27" s="236">
        <f t="shared" si="13"/>
        <v>13</v>
      </c>
      <c r="BB27" s="236">
        <f t="shared" si="14"/>
        <v>0</v>
      </c>
      <c r="BC27" s="252" cm="1">
        <f t="array" ref="BC27">K27/IF($L27&gt;0, INDEX($AO$23:$AU$77, $L27+20, $AD27), 1)</f>
        <v>0</v>
      </c>
      <c r="BD27" s="237">
        <f t="shared" si="15"/>
        <v>0</v>
      </c>
      <c r="BE27" s="236">
        <v>35</v>
      </c>
      <c r="BF27" s="237">
        <f t="shared" si="16"/>
        <v>52.55</v>
      </c>
      <c r="BG27" s="253">
        <f t="shared" si="17"/>
        <v>2.7676728869374316</v>
      </c>
      <c r="BH27" s="253" cm="1">
        <f t="array" ref="BH27">$BC27 * SUMPRODUCT(INDEX($AL$77:$AN$82,,$AE27),INDEX($AO$77:$AU$82,,$AD27), N($AK$77:$AK$82&gt;$AI27)) / BG27 / 1000</f>
        <v>0</v>
      </c>
      <c r="BI27" s="250">
        <f t="shared" si="18"/>
        <v>30</v>
      </c>
      <c r="BJ27" s="237">
        <f t="shared" si="19"/>
        <v>46.033333333333331</v>
      </c>
      <c r="BK27" s="253">
        <f t="shared" si="20"/>
        <v>3.2297395388556791</v>
      </c>
      <c r="BL27" s="253" cm="1">
        <f t="array" ref="BL27">$BC27 * IF($AD27&lt;=2,
SUMPRODUCT(INDEX($AL$72:$AN$76,,$AE27), INDEX($AO$72:$AU$76,,$AD27), 1 / ($AV$72:$AV$76*BK27 + (1-$AV$72:$AV$76)*BG27), N($AK$72:$AK$76&gt;$AI27)),
SUMPRODUCT(INDEX($AL$67:$AN$76,,$AE27), INDEX($AO$67:$AU$76,,$AD27), 1 / ($AW$67:$AW$76*BK27 + (1-$AW$67:$AW$76)*BG27), N($AK$67:$AK$76&gt;$AI27))
) / 1000</f>
        <v>0</v>
      </c>
      <c r="BM27" s="250">
        <f t="shared" si="21"/>
        <v>25</v>
      </c>
      <c r="BN27" s="237">
        <f t="shared" si="22"/>
        <v>39.516666666666666</v>
      </c>
      <c r="BO27" s="253">
        <f t="shared" si="23"/>
        <v>3.877011788826243</v>
      </c>
      <c r="BP27" s="253" cm="1">
        <f t="array" ref="BP27">$BC27 * IF($AD27&lt;=2,
SUMPRODUCT(INDEX($AL$67:$AN$71,,$AE27), INDEX($AO$67:$AU$71,,$AD27), 1 / ($AV$67:$AV$71*BO27 + (1-$AV$67:$AV$71)*BK27), N($AK$67:$AK$71&gt;$AI27)),
SUMPRODUCT(INDEX($AL$57:$AN$66,,$AE27), INDEX($AO$57:$AU$66,,$AD27), 1 / ($AW$57:$AW$66*BO27 + (1-$AW$57:$AW$66)*BK27), N($AK$57:$AK$66&gt;$AI27))
) / 1000</f>
        <v>0</v>
      </c>
      <c r="BQ27" s="250">
        <f t="shared" si="24"/>
        <v>20</v>
      </c>
      <c r="BR27" s="237">
        <f t="shared" si="25"/>
        <v>33</v>
      </c>
      <c r="BS27" s="253">
        <f t="shared" si="26"/>
        <v>4.8487499999999999</v>
      </c>
      <c r="BT27" s="253" cm="1">
        <f t="array" ref="BT27">$BC27 * IF($AD27&lt;=2,
SUMPRODUCT(INDEX($AL$62:$AN$66,,$AE27), INDEX($AO$62:$AU$66,,$AD27), 1 / ($AV$62:$AV$66*BS27 + (1-$AV$62:$AV$66)*BO27), N($AK$62:$AK$66&gt;$AI27)),
SUMPRODUCT(INDEX($AL$47:$AN$56,,$AE27), INDEX($AO$47:$AU$56,,$AD27), 1 / ($AW$47:$AW$56*BS27 + (1-$AW$47:$AW$56)*BO27), N($AK$47:$AK$56&gt;$AI27))
) / 1000</f>
        <v>0</v>
      </c>
      <c r="BU27" s="253" cm="1">
        <f t="array" ref="BU27">$BC27 * IF($AD27&lt;=2,
SUMPRODUCT(INDEX($AL$23:$AN$61,,$AE27), INDEX($AO$23:$AU$61,,$AD27), 1 / ($AV$23:$AV$61*BS27), N($AK$23:$AK$61&gt;$AI27)),
SUMPRODUCT(INDEX($AL$23:$AN$46,,$AE27), INDEX($AO$23:$AU$46,,$AD27), 1 / ($AW$23:$AW$46*BS27), N($AK$23:$AK$46&gt;$AI27))
) / 1000</f>
        <v>0</v>
      </c>
      <c r="BV27" s="237">
        <f t="shared" si="27"/>
        <v>0</v>
      </c>
      <c r="BW27" s="210"/>
      <c r="BX27" s="237">
        <f t="shared" si="28"/>
        <v>0</v>
      </c>
      <c r="BY27" s="236">
        <v>35</v>
      </c>
      <c r="BZ27" s="237">
        <f t="shared" si="29"/>
        <v>48</v>
      </c>
      <c r="CA27" s="253">
        <f t="shared" si="30"/>
        <v>3.0748170731707316</v>
      </c>
      <c r="CB27" s="253" cm="1">
        <f t="array" ref="CB27">$BC27 * SUMPRODUCT(INDEX($AL$77:$AN$82,,$AE27),INDEX($AO$77:$AU$82,,$AD27), N($AK$77:$AK$82&gt;$AI27)) / CA27 / 1000</f>
        <v>0</v>
      </c>
      <c r="CC27" s="250">
        <f t="shared" si="31"/>
        <v>30</v>
      </c>
      <c r="CD27" s="237">
        <f t="shared" si="32"/>
        <v>43</v>
      </c>
      <c r="CE27" s="253">
        <f t="shared" si="33"/>
        <v>3.5018750000000001</v>
      </c>
      <c r="CF27" s="253" cm="1">
        <f t="array" ref="CF27">$BC27 * IF($AD27&lt;=2,
SUMPRODUCT(INDEX($AL$72:$AN$76,,$AE27), INDEX($AO$72:$AU$76,,$AD27), 1 / ($AV$72:$AV$76*CE27 + (1-$AV$72:$AV$76)*CA27), N($AK$72:$AK$76&gt;$AI27)),
SUMPRODUCT(INDEX($AL$67:$AN$76,,$AE27), INDEX($AO$67:$AU$76,,$AD27), 1 / ($AW$67:$AW$76*CE27 + (1-$AW$67:$AW$76)*CA27), N($AK$67:$AK$76&gt;$AI27))
) / 1000</f>
        <v>0</v>
      </c>
      <c r="CG27" s="250">
        <f t="shared" si="34"/>
        <v>25</v>
      </c>
      <c r="CH27" s="237">
        <f t="shared" si="35"/>
        <v>38</v>
      </c>
      <c r="CI27" s="253">
        <f t="shared" si="36"/>
        <v>4.0666935483870965</v>
      </c>
      <c r="CJ27" s="253" cm="1">
        <f t="array" ref="CJ27">$BC27 * IF($AD27&lt;=2,
SUMPRODUCT(INDEX($AL$67:$AN$71,,$AE27), INDEX($AO$67:$AU$71,,$AD27), 1 / ($AV$67:$AV$71*CI27 + (1-$AV$67:$AV$71)*CE27), N($AK$67:$AK$71&gt;$AI27)),
SUMPRODUCT(INDEX($AL$57:$AN$66,,$AE27), INDEX($AO$57:$AU$66,,$AD27), 1 / ($AW$57:$AW$66*CI27 + (1-$AW$57:$AW$66)*CE27), N($AK$57:$AK$66&gt;$AI27))
) / 1000</f>
        <v>0</v>
      </c>
      <c r="CK27" s="250">
        <f t="shared" si="37"/>
        <v>20</v>
      </c>
      <c r="CL27" s="237">
        <f t="shared" si="38"/>
        <v>33</v>
      </c>
      <c r="CM27" s="253">
        <f t="shared" si="39"/>
        <v>4.8487499999999999</v>
      </c>
      <c r="CN27" s="253" cm="1">
        <f t="array" ref="CN27">$BC27 * IF($AD27&lt;=2,
SUMPRODUCT(INDEX($AL$62:$AN$66,,$AE27), INDEX($AO$62:$AU$66,,$AD27), 1 / ($AV$62:$AV$66*CM27 + (1-$AV$62:$AV$66)*CI27), N($AK$62:$AK$66&gt;$AI27)),
SUMPRODUCT(INDEX($AL$47:$AN$56,,$AE27), INDEX($AO$47:$AU$56,,$AD27), 1 / ($AW$47:$AW$56*CM27 + (1-$AW$47:$AW$56)*CI27), N($AK$47:$AK$56&gt;$AI27))
) / 1000</f>
        <v>0</v>
      </c>
      <c r="CO27" s="253" cm="1">
        <f t="array" ref="CO27">$BC27 * IF($AD27&lt;=2,
SUMPRODUCT(INDEX($AL$23:$AN$61,,$AE27), INDEX($AO$23:$AU$61,,$AD27), 1 / ($AV$23:$AV$61*CM27), N($AK$23:$AK$61&gt;$AI27)),
SUMPRODUCT(INDEX($AL$23:$AN$46,,$AE27), INDEX($AO$23:$AU$46,,$AD27), 1 / ($AW$23:$AW$46*CM27), N($AK$23:$AK$46&gt;$AI27))
) / 1000</f>
        <v>0</v>
      </c>
      <c r="CP27" s="237">
        <f t="shared" si="40"/>
        <v>0</v>
      </c>
      <c r="CQ27" s="210"/>
    </row>
    <row r="28" spans="1:95" s="76" customFormat="1" ht="14.25" customHeight="1" x14ac:dyDescent="0.25">
      <c r="A28" s="238" t="b">
        <f t="shared" si="0"/>
        <v>0</v>
      </c>
      <c r="B28" s="239">
        <v>6</v>
      </c>
      <c r="C28" s="258"/>
      <c r="D28" s="258"/>
      <c r="E28" s="240"/>
      <c r="F28" s="241" t="str">
        <f>IF(ISBLANK(E28), "", VLOOKUP(E28, Z!$A$2:$C$4127, 3, FALSE))</f>
        <v/>
      </c>
      <c r="G28" s="242"/>
      <c r="H28" s="242"/>
      <c r="I28" s="243"/>
      <c r="J28" s="244"/>
      <c r="K28" s="259"/>
      <c r="L28" s="260"/>
      <c r="M28" s="247" t="str" cm="1">
        <f t="array" ref="M28">IF($K28&gt;0, INDEX(Clean,1+AG28,$C$1), "")</f>
        <v/>
      </c>
      <c r="N28" s="245"/>
      <c r="O28" s="245"/>
      <c r="P28" s="246"/>
      <c r="Q28" s="248">
        <f t="shared" si="6"/>
        <v>0</v>
      </c>
      <c r="R28" s="247" t="str" cm="1">
        <f t="array" ref="R28">IF($K28&gt;0, INDEX(Clean,1+AH28,$C$1), "")</f>
        <v/>
      </c>
      <c r="S28" s="245"/>
      <c r="T28" s="245"/>
      <c r="U28" s="246"/>
      <c r="V28" s="248">
        <f t="shared" si="7"/>
        <v>0</v>
      </c>
      <c r="W28" s="261"/>
      <c r="X28" s="258"/>
      <c r="Y28" s="240"/>
      <c r="Z28" s="241" t="str">
        <f>IF(ISBLANK(Y28), "", VLOOKUP(Y28, Z!$A$2:$C$4127, 3, FALSE))</f>
        <v/>
      </c>
      <c r="AA28" s="262"/>
      <c r="AB28" s="249">
        <f t="shared" si="8"/>
        <v>0</v>
      </c>
      <c r="AC28" s="210"/>
      <c r="AD28" s="236">
        <f t="shared" ref="AD28" si="50">IF(ISBLANK(H28), 1, IFERROR(MATCH(H28, INDEX(Use,,1), 0), IFERROR(MATCH(H28, INDEX(Use,,2), 0), MATCH(H28, INDEX(Use,,3), 0))))</f>
        <v>1</v>
      </c>
      <c r="AE28" s="236">
        <f t="shared" ref="AE28" si="51">IF(ISBLANK(G28), 1, IFERROR(MATCH(G28, INDEX(Loc,,1), 0), IFERROR(MATCH(G28, INDEX(Loc,,2), 0), MATCH(G28, INDEX(Loc,,3), 0))))</f>
        <v>1</v>
      </c>
      <c r="AF28" s="236">
        <f t="shared" ref="AF28" si="52">_xlfn.IFNA(IF(IFERROR(MATCH(I28, INDEX(Medium,,1), 0), IFERROR(MATCH(I28, INDEX(Medium,,2), 0), MATCH(I28, INDEX(Medium,,3), 0))) = 2, 1, 0), 0)</f>
        <v>0</v>
      </c>
      <c r="AG28" s="236">
        <v>1</v>
      </c>
      <c r="AH28" s="236">
        <v>0</v>
      </c>
      <c r="AI28" s="236">
        <f t="shared" si="4"/>
        <v>-100</v>
      </c>
      <c r="AJ28" s="210"/>
      <c r="AK28" s="236">
        <v>-14</v>
      </c>
      <c r="AL28" s="250">
        <v>0</v>
      </c>
      <c r="AM28" s="250">
        <v>0</v>
      </c>
      <c r="AN28" s="250">
        <v>0</v>
      </c>
      <c r="AO28" s="251">
        <f t="shared" si="5"/>
        <v>0</v>
      </c>
      <c r="AP28" s="251">
        <f t="shared" si="5"/>
        <v>0</v>
      </c>
      <c r="AQ28" s="251" cm="1">
        <f t="array" ref="AQ28">MIN(INDEX(Use,AQ$21,5) + MAX(0, (1-INDEX(Use,AQ$21,5))*($AK28-5)/(35-5)), 1)</f>
        <v>0.4</v>
      </c>
      <c r="AR28" s="251" cm="1">
        <f t="array" ref="AR28">MIN(INDEX(Use,AR$21,5) + MAX(0, (1-INDEX(Use,AR$21,5))*($AK28-5)/(35-5)), 1)</f>
        <v>0.6</v>
      </c>
      <c r="AS28" s="251" cm="1">
        <f t="array" ref="AS28">MIN(INDEX(Use,AS$21,5) + MAX(0, (1-INDEX(Use,AS$21,5))*($AK28-5)/(35-5)), 1)</f>
        <v>0.8</v>
      </c>
      <c r="AT28" s="251" cm="1">
        <f t="array" ref="AT28">MIN(INDEX(Use,AT$21,5) + MAX(0, (1-INDEX(Use,AT$21,5))*($AK28-5)/(35-5)), 1)</f>
        <v>0.8</v>
      </c>
      <c r="AU28" s="251" cm="1">
        <f t="array" ref="AU28">MIN(INDEX(Use,AU$21,5) + MAX(0, (1-INDEX(Use,AU$21,5))*($AK28-5)/(35-5)), 1)</f>
        <v>0.8</v>
      </c>
      <c r="AV28" s="251">
        <v>1</v>
      </c>
      <c r="AW28" s="251">
        <v>1</v>
      </c>
      <c r="AX28" s="212"/>
      <c r="AY28" s="236" cm="1">
        <f t="array" ref="AY28">INDEX(Use, $AD28, 4)</f>
        <v>7</v>
      </c>
      <c r="AZ28" s="236">
        <f t="shared" si="12"/>
        <v>32</v>
      </c>
      <c r="BA28" s="236">
        <f t="shared" si="13"/>
        <v>13</v>
      </c>
      <c r="BB28" s="236">
        <f t="shared" si="14"/>
        <v>0</v>
      </c>
      <c r="BC28" s="252" cm="1">
        <f t="array" ref="BC28">K28/IF($L28&gt;0, INDEX($AO$23:$AU$77, $L28+20, $AD28), 1)</f>
        <v>0</v>
      </c>
      <c r="BD28" s="237">
        <f t="shared" si="15"/>
        <v>0</v>
      </c>
      <c r="BE28" s="236">
        <v>35</v>
      </c>
      <c r="BF28" s="237">
        <f t="shared" si="16"/>
        <v>52.55</v>
      </c>
      <c r="BG28" s="253">
        <f t="shared" si="17"/>
        <v>2.7676728869374316</v>
      </c>
      <c r="BH28" s="253" cm="1">
        <f t="array" ref="BH28">$BC28 * SUMPRODUCT(INDEX($AL$77:$AN$82,,$AE28),INDEX($AO$77:$AU$82,,$AD28), N($AK$77:$AK$82&gt;$AI28)) / BG28 / 1000</f>
        <v>0</v>
      </c>
      <c r="BI28" s="250">
        <f t="shared" si="18"/>
        <v>30</v>
      </c>
      <c r="BJ28" s="237">
        <f t="shared" si="19"/>
        <v>46.033333333333331</v>
      </c>
      <c r="BK28" s="253">
        <f t="shared" si="20"/>
        <v>3.2297395388556791</v>
      </c>
      <c r="BL28" s="253" cm="1">
        <f t="array" ref="BL28">$BC28 * IF($AD28&lt;=2,
SUMPRODUCT(INDEX($AL$72:$AN$76,,$AE28), INDEX($AO$72:$AU$76,,$AD28), 1 / ($AV$72:$AV$76*BK28 + (1-$AV$72:$AV$76)*BG28), N($AK$72:$AK$76&gt;$AI28)),
SUMPRODUCT(INDEX($AL$67:$AN$76,,$AE28), INDEX($AO$67:$AU$76,,$AD28), 1 / ($AW$67:$AW$76*BK28 + (1-$AW$67:$AW$76)*BG28), N($AK$67:$AK$76&gt;$AI28))
) / 1000</f>
        <v>0</v>
      </c>
      <c r="BM28" s="250">
        <f t="shared" si="21"/>
        <v>25</v>
      </c>
      <c r="BN28" s="237">
        <f t="shared" si="22"/>
        <v>39.516666666666666</v>
      </c>
      <c r="BO28" s="253">
        <f t="shared" si="23"/>
        <v>3.877011788826243</v>
      </c>
      <c r="BP28" s="253" cm="1">
        <f t="array" ref="BP28">$BC28 * IF($AD28&lt;=2,
SUMPRODUCT(INDEX($AL$67:$AN$71,,$AE28), INDEX($AO$67:$AU$71,,$AD28), 1 / ($AV$67:$AV$71*BO28 + (1-$AV$67:$AV$71)*BK28), N($AK$67:$AK$71&gt;$AI28)),
SUMPRODUCT(INDEX($AL$57:$AN$66,,$AE28), INDEX($AO$57:$AU$66,,$AD28), 1 / ($AW$57:$AW$66*BO28 + (1-$AW$57:$AW$66)*BK28), N($AK$57:$AK$66&gt;$AI28))
) / 1000</f>
        <v>0</v>
      </c>
      <c r="BQ28" s="250">
        <f t="shared" si="24"/>
        <v>20</v>
      </c>
      <c r="BR28" s="237">
        <f t="shared" si="25"/>
        <v>33</v>
      </c>
      <c r="BS28" s="253">
        <f t="shared" si="26"/>
        <v>4.8487499999999999</v>
      </c>
      <c r="BT28" s="253" cm="1">
        <f t="array" ref="BT28">$BC28 * IF($AD28&lt;=2,
SUMPRODUCT(INDEX($AL$62:$AN$66,,$AE28), INDEX($AO$62:$AU$66,,$AD28), 1 / ($AV$62:$AV$66*BS28 + (1-$AV$62:$AV$66)*BO28), N($AK$62:$AK$66&gt;$AI28)),
SUMPRODUCT(INDEX($AL$47:$AN$56,,$AE28), INDEX($AO$47:$AU$56,,$AD28), 1 / ($AW$47:$AW$56*BS28 + (1-$AW$47:$AW$56)*BO28), N($AK$47:$AK$56&gt;$AI28))
) / 1000</f>
        <v>0</v>
      </c>
      <c r="BU28" s="253" cm="1">
        <f t="array" ref="BU28">$BC28 * IF($AD28&lt;=2,
SUMPRODUCT(INDEX($AL$23:$AN$61,,$AE28), INDEX($AO$23:$AU$61,,$AD28), 1 / ($AV$23:$AV$61*BS28), N($AK$23:$AK$61&gt;$AI28)),
SUMPRODUCT(INDEX($AL$23:$AN$46,,$AE28), INDEX($AO$23:$AU$46,,$AD28), 1 / ($AW$23:$AW$46*BS28), N($AK$23:$AK$46&gt;$AI28))
) / 1000</f>
        <v>0</v>
      </c>
      <c r="BV28" s="237">
        <f t="shared" si="27"/>
        <v>0</v>
      </c>
      <c r="BW28" s="210"/>
      <c r="BX28" s="237">
        <f t="shared" si="28"/>
        <v>0</v>
      </c>
      <c r="BY28" s="236">
        <v>35</v>
      </c>
      <c r="BZ28" s="237">
        <f t="shared" si="29"/>
        <v>48</v>
      </c>
      <c r="CA28" s="253">
        <f t="shared" si="30"/>
        <v>3.0748170731707316</v>
      </c>
      <c r="CB28" s="253" cm="1">
        <f t="array" ref="CB28">$BC28 * SUMPRODUCT(INDEX($AL$77:$AN$82,,$AE28),INDEX($AO$77:$AU$82,,$AD28), N($AK$77:$AK$82&gt;$AI28)) / CA28 / 1000</f>
        <v>0</v>
      </c>
      <c r="CC28" s="250">
        <f t="shared" si="31"/>
        <v>30</v>
      </c>
      <c r="CD28" s="237">
        <f t="shared" si="32"/>
        <v>43</v>
      </c>
      <c r="CE28" s="253">
        <f t="shared" si="33"/>
        <v>3.5018750000000001</v>
      </c>
      <c r="CF28" s="253" cm="1">
        <f t="array" ref="CF28">$BC28 * IF($AD28&lt;=2,
SUMPRODUCT(INDEX($AL$72:$AN$76,,$AE28), INDEX($AO$72:$AU$76,,$AD28), 1 / ($AV$72:$AV$76*CE28 + (1-$AV$72:$AV$76)*CA28), N($AK$72:$AK$76&gt;$AI28)),
SUMPRODUCT(INDEX($AL$67:$AN$76,,$AE28), INDEX($AO$67:$AU$76,,$AD28), 1 / ($AW$67:$AW$76*CE28 + (1-$AW$67:$AW$76)*CA28), N($AK$67:$AK$76&gt;$AI28))
) / 1000</f>
        <v>0</v>
      </c>
      <c r="CG28" s="250">
        <f t="shared" si="34"/>
        <v>25</v>
      </c>
      <c r="CH28" s="237">
        <f t="shared" si="35"/>
        <v>38</v>
      </c>
      <c r="CI28" s="253">
        <f t="shared" si="36"/>
        <v>4.0666935483870965</v>
      </c>
      <c r="CJ28" s="253" cm="1">
        <f t="array" ref="CJ28">$BC28 * IF($AD28&lt;=2,
SUMPRODUCT(INDEX($AL$67:$AN$71,,$AE28), INDEX($AO$67:$AU$71,,$AD28), 1 / ($AV$67:$AV$71*CI28 + (1-$AV$67:$AV$71)*CE28), N($AK$67:$AK$71&gt;$AI28)),
SUMPRODUCT(INDEX($AL$57:$AN$66,,$AE28), INDEX($AO$57:$AU$66,,$AD28), 1 / ($AW$57:$AW$66*CI28 + (1-$AW$57:$AW$66)*CE28), N($AK$57:$AK$66&gt;$AI28))
) / 1000</f>
        <v>0</v>
      </c>
      <c r="CK28" s="250">
        <f t="shared" si="37"/>
        <v>20</v>
      </c>
      <c r="CL28" s="237">
        <f t="shared" si="38"/>
        <v>33</v>
      </c>
      <c r="CM28" s="253">
        <f t="shared" si="39"/>
        <v>4.8487499999999999</v>
      </c>
      <c r="CN28" s="253" cm="1">
        <f t="array" ref="CN28">$BC28 * IF($AD28&lt;=2,
SUMPRODUCT(INDEX($AL$62:$AN$66,,$AE28), INDEX($AO$62:$AU$66,,$AD28), 1 / ($AV$62:$AV$66*CM28 + (1-$AV$62:$AV$66)*CI28), N($AK$62:$AK$66&gt;$AI28)),
SUMPRODUCT(INDEX($AL$47:$AN$56,,$AE28), INDEX($AO$47:$AU$56,,$AD28), 1 / ($AW$47:$AW$56*CM28 + (1-$AW$47:$AW$56)*CI28), N($AK$47:$AK$56&gt;$AI28))
) / 1000</f>
        <v>0</v>
      </c>
      <c r="CO28" s="253" cm="1">
        <f t="array" ref="CO28">$BC28 * IF($AD28&lt;=2,
SUMPRODUCT(INDEX($AL$23:$AN$61,,$AE28), INDEX($AO$23:$AU$61,,$AD28), 1 / ($AV$23:$AV$61*CM28), N($AK$23:$AK$61&gt;$AI28)),
SUMPRODUCT(INDEX($AL$23:$AN$46,,$AE28), INDEX($AO$23:$AU$46,,$AD28), 1 / ($AW$23:$AW$46*CM28), N($AK$23:$AK$46&gt;$AI28))
) / 1000</f>
        <v>0</v>
      </c>
      <c r="CP28" s="237">
        <f t="shared" si="40"/>
        <v>0</v>
      </c>
      <c r="CQ28" s="210"/>
    </row>
    <row r="29" spans="1:95" s="76" customFormat="1" ht="14.25" customHeight="1" x14ac:dyDescent="0.25">
      <c r="A29" s="238" t="b">
        <f t="shared" si="0"/>
        <v>0</v>
      </c>
      <c r="B29" s="239">
        <v>7</v>
      </c>
      <c r="C29" s="258"/>
      <c r="D29" s="258"/>
      <c r="E29" s="240"/>
      <c r="F29" s="241" t="str">
        <f>IF(ISBLANK(E29), "", VLOOKUP(E29, Z!$A$2:$C$4127, 3, FALSE))</f>
        <v/>
      </c>
      <c r="G29" s="242"/>
      <c r="H29" s="242"/>
      <c r="I29" s="243"/>
      <c r="J29" s="244"/>
      <c r="K29" s="259"/>
      <c r="L29" s="260"/>
      <c r="M29" s="247" t="str" cm="1">
        <f t="array" ref="M29">IF($K29&gt;0, INDEX(Clean,1+AG29,$C$1), "")</f>
        <v/>
      </c>
      <c r="N29" s="245"/>
      <c r="O29" s="245"/>
      <c r="P29" s="246"/>
      <c r="Q29" s="248">
        <f t="shared" si="6"/>
        <v>0</v>
      </c>
      <c r="R29" s="247" t="str" cm="1">
        <f t="array" ref="R29">IF($K29&gt;0, INDEX(Clean,1+AH29,$C$1), "")</f>
        <v/>
      </c>
      <c r="S29" s="245"/>
      <c r="T29" s="245"/>
      <c r="U29" s="246"/>
      <c r="V29" s="248">
        <f t="shared" si="7"/>
        <v>0</v>
      </c>
      <c r="W29" s="261"/>
      <c r="X29" s="258"/>
      <c r="Y29" s="240"/>
      <c r="Z29" s="241" t="str">
        <f>IF(ISBLANK(Y29), "", VLOOKUP(Y29, Z!$A$2:$C$4127, 3, FALSE))</f>
        <v/>
      </c>
      <c r="AA29" s="262"/>
      <c r="AB29" s="249">
        <f t="shared" si="8"/>
        <v>0</v>
      </c>
      <c r="AC29" s="210"/>
      <c r="AD29" s="236">
        <f t="shared" ref="AD29" si="53">IF(ISBLANK(H29), 1, IFERROR(MATCH(H29, INDEX(Use,,1), 0), IFERROR(MATCH(H29, INDEX(Use,,2), 0), MATCH(H29, INDEX(Use,,3), 0))))</f>
        <v>1</v>
      </c>
      <c r="AE29" s="236">
        <f t="shared" ref="AE29" si="54">IF(ISBLANK(G29), 1, IFERROR(MATCH(G29, INDEX(Loc,,1), 0), IFERROR(MATCH(G29, INDEX(Loc,,2), 0), MATCH(G29, INDEX(Loc,,3), 0))))</f>
        <v>1</v>
      </c>
      <c r="AF29" s="236">
        <f t="shared" ref="AF29" si="55">_xlfn.IFNA(IF(IFERROR(MATCH(I29, INDEX(Medium,,1), 0), IFERROR(MATCH(I29, INDEX(Medium,,2), 0), MATCH(I29, INDEX(Medium,,3), 0))) = 2, 1, 0), 0)</f>
        <v>0</v>
      </c>
      <c r="AG29" s="236">
        <v>1</v>
      </c>
      <c r="AH29" s="236">
        <v>0</v>
      </c>
      <c r="AI29" s="236">
        <f t="shared" si="4"/>
        <v>-100</v>
      </c>
      <c r="AJ29" s="210"/>
      <c r="AK29" s="236">
        <v>-13</v>
      </c>
      <c r="AL29" s="250">
        <v>0</v>
      </c>
      <c r="AM29" s="250">
        <v>0</v>
      </c>
      <c r="AN29" s="250">
        <v>0</v>
      </c>
      <c r="AO29" s="251">
        <f t="shared" si="5"/>
        <v>0</v>
      </c>
      <c r="AP29" s="251">
        <f t="shared" si="5"/>
        <v>0</v>
      </c>
      <c r="AQ29" s="251" cm="1">
        <f t="array" ref="AQ29">MIN(INDEX(Use,AQ$21,5) + MAX(0, (1-INDEX(Use,AQ$21,5))*($AK29-5)/(35-5)), 1)</f>
        <v>0.4</v>
      </c>
      <c r="AR29" s="251" cm="1">
        <f t="array" ref="AR29">MIN(INDEX(Use,AR$21,5) + MAX(0, (1-INDEX(Use,AR$21,5))*($AK29-5)/(35-5)), 1)</f>
        <v>0.6</v>
      </c>
      <c r="AS29" s="251" cm="1">
        <f t="array" ref="AS29">MIN(INDEX(Use,AS$21,5) + MAX(0, (1-INDEX(Use,AS$21,5))*($AK29-5)/(35-5)), 1)</f>
        <v>0.8</v>
      </c>
      <c r="AT29" s="251" cm="1">
        <f t="array" ref="AT29">MIN(INDEX(Use,AT$21,5) + MAX(0, (1-INDEX(Use,AT$21,5))*($AK29-5)/(35-5)), 1)</f>
        <v>0.8</v>
      </c>
      <c r="AU29" s="251" cm="1">
        <f t="array" ref="AU29">MIN(INDEX(Use,AU$21,5) + MAX(0, (1-INDEX(Use,AU$21,5))*($AK29-5)/(35-5)), 1)</f>
        <v>0.8</v>
      </c>
      <c r="AV29" s="251">
        <v>1</v>
      </c>
      <c r="AW29" s="251">
        <v>1</v>
      </c>
      <c r="AX29" s="212"/>
      <c r="AY29" s="236" cm="1">
        <f t="array" ref="AY29">INDEX(Use, $AD29, 4)</f>
        <v>7</v>
      </c>
      <c r="AZ29" s="236">
        <f t="shared" si="12"/>
        <v>32</v>
      </c>
      <c r="BA29" s="236">
        <f t="shared" si="13"/>
        <v>13</v>
      </c>
      <c r="BB29" s="236">
        <f t="shared" si="14"/>
        <v>0</v>
      </c>
      <c r="BC29" s="252" cm="1">
        <f t="array" ref="BC29">K29/IF($L29&gt;0, INDEX($AO$23:$AU$77, $L29+20, $AD29), 1)</f>
        <v>0</v>
      </c>
      <c r="BD29" s="237">
        <f t="shared" si="15"/>
        <v>0</v>
      </c>
      <c r="BE29" s="236">
        <v>35</v>
      </c>
      <c r="BF29" s="237">
        <f t="shared" si="16"/>
        <v>52.55</v>
      </c>
      <c r="BG29" s="253">
        <f t="shared" si="17"/>
        <v>2.7676728869374316</v>
      </c>
      <c r="BH29" s="253" cm="1">
        <f t="array" ref="BH29">$BC29 * SUMPRODUCT(INDEX($AL$77:$AN$82,,$AE29),INDEX($AO$77:$AU$82,,$AD29), N($AK$77:$AK$82&gt;$AI29)) / BG29 / 1000</f>
        <v>0</v>
      </c>
      <c r="BI29" s="250">
        <f t="shared" si="18"/>
        <v>30</v>
      </c>
      <c r="BJ29" s="237">
        <f t="shared" si="19"/>
        <v>46.033333333333331</v>
      </c>
      <c r="BK29" s="253">
        <f t="shared" si="20"/>
        <v>3.2297395388556791</v>
      </c>
      <c r="BL29" s="253" cm="1">
        <f t="array" ref="BL29">$BC29 * IF($AD29&lt;=2,
SUMPRODUCT(INDEX($AL$72:$AN$76,,$AE29), INDEX($AO$72:$AU$76,,$AD29), 1 / ($AV$72:$AV$76*BK29 + (1-$AV$72:$AV$76)*BG29), N($AK$72:$AK$76&gt;$AI29)),
SUMPRODUCT(INDEX($AL$67:$AN$76,,$AE29), INDEX($AO$67:$AU$76,,$AD29), 1 / ($AW$67:$AW$76*BK29 + (1-$AW$67:$AW$76)*BG29), N($AK$67:$AK$76&gt;$AI29))
) / 1000</f>
        <v>0</v>
      </c>
      <c r="BM29" s="250">
        <f t="shared" si="21"/>
        <v>25</v>
      </c>
      <c r="BN29" s="237">
        <f t="shared" si="22"/>
        <v>39.516666666666666</v>
      </c>
      <c r="BO29" s="253">
        <f t="shared" si="23"/>
        <v>3.877011788826243</v>
      </c>
      <c r="BP29" s="253" cm="1">
        <f t="array" ref="BP29">$BC29 * IF($AD29&lt;=2,
SUMPRODUCT(INDEX($AL$67:$AN$71,,$AE29), INDEX($AO$67:$AU$71,,$AD29), 1 / ($AV$67:$AV$71*BO29 + (1-$AV$67:$AV$71)*BK29), N($AK$67:$AK$71&gt;$AI29)),
SUMPRODUCT(INDEX($AL$57:$AN$66,,$AE29), INDEX($AO$57:$AU$66,,$AD29), 1 / ($AW$57:$AW$66*BO29 + (1-$AW$57:$AW$66)*BK29), N($AK$57:$AK$66&gt;$AI29))
) / 1000</f>
        <v>0</v>
      </c>
      <c r="BQ29" s="250">
        <f t="shared" si="24"/>
        <v>20</v>
      </c>
      <c r="BR29" s="237">
        <f t="shared" si="25"/>
        <v>33</v>
      </c>
      <c r="BS29" s="253">
        <f t="shared" si="26"/>
        <v>4.8487499999999999</v>
      </c>
      <c r="BT29" s="253" cm="1">
        <f t="array" ref="BT29">$BC29 * IF($AD29&lt;=2,
SUMPRODUCT(INDEX($AL$62:$AN$66,,$AE29), INDEX($AO$62:$AU$66,,$AD29), 1 / ($AV$62:$AV$66*BS29 + (1-$AV$62:$AV$66)*BO29), N($AK$62:$AK$66&gt;$AI29)),
SUMPRODUCT(INDEX($AL$47:$AN$56,,$AE29), INDEX($AO$47:$AU$56,,$AD29), 1 / ($AW$47:$AW$56*BS29 + (1-$AW$47:$AW$56)*BO29), N($AK$47:$AK$56&gt;$AI29))
) / 1000</f>
        <v>0</v>
      </c>
      <c r="BU29" s="253" cm="1">
        <f t="array" ref="BU29">$BC29 * IF($AD29&lt;=2,
SUMPRODUCT(INDEX($AL$23:$AN$61,,$AE29), INDEX($AO$23:$AU$61,,$AD29), 1 / ($AV$23:$AV$61*BS29), N($AK$23:$AK$61&gt;$AI29)),
SUMPRODUCT(INDEX($AL$23:$AN$46,,$AE29), INDEX($AO$23:$AU$46,,$AD29), 1 / ($AW$23:$AW$46*BS29), N($AK$23:$AK$46&gt;$AI29))
) / 1000</f>
        <v>0</v>
      </c>
      <c r="BV29" s="237">
        <f t="shared" si="27"/>
        <v>0</v>
      </c>
      <c r="BW29" s="210"/>
      <c r="BX29" s="237">
        <f t="shared" si="28"/>
        <v>0</v>
      </c>
      <c r="BY29" s="236">
        <v>35</v>
      </c>
      <c r="BZ29" s="237">
        <f t="shared" si="29"/>
        <v>48</v>
      </c>
      <c r="CA29" s="253">
        <f t="shared" si="30"/>
        <v>3.0748170731707316</v>
      </c>
      <c r="CB29" s="253" cm="1">
        <f t="array" ref="CB29">$BC29 * SUMPRODUCT(INDEX($AL$77:$AN$82,,$AE29),INDEX($AO$77:$AU$82,,$AD29), N($AK$77:$AK$82&gt;$AI29)) / CA29 / 1000</f>
        <v>0</v>
      </c>
      <c r="CC29" s="250">
        <f t="shared" si="31"/>
        <v>30</v>
      </c>
      <c r="CD29" s="237">
        <f t="shared" si="32"/>
        <v>43</v>
      </c>
      <c r="CE29" s="253">
        <f t="shared" si="33"/>
        <v>3.5018750000000001</v>
      </c>
      <c r="CF29" s="253" cm="1">
        <f t="array" ref="CF29">$BC29 * IF($AD29&lt;=2,
SUMPRODUCT(INDEX($AL$72:$AN$76,,$AE29), INDEX($AO$72:$AU$76,,$AD29), 1 / ($AV$72:$AV$76*CE29 + (1-$AV$72:$AV$76)*CA29), N($AK$72:$AK$76&gt;$AI29)),
SUMPRODUCT(INDEX($AL$67:$AN$76,,$AE29), INDEX($AO$67:$AU$76,,$AD29), 1 / ($AW$67:$AW$76*CE29 + (1-$AW$67:$AW$76)*CA29), N($AK$67:$AK$76&gt;$AI29))
) / 1000</f>
        <v>0</v>
      </c>
      <c r="CG29" s="250">
        <f t="shared" si="34"/>
        <v>25</v>
      </c>
      <c r="CH29" s="237">
        <f t="shared" si="35"/>
        <v>38</v>
      </c>
      <c r="CI29" s="253">
        <f t="shared" si="36"/>
        <v>4.0666935483870965</v>
      </c>
      <c r="CJ29" s="253" cm="1">
        <f t="array" ref="CJ29">$BC29 * IF($AD29&lt;=2,
SUMPRODUCT(INDEX($AL$67:$AN$71,,$AE29), INDEX($AO$67:$AU$71,,$AD29), 1 / ($AV$67:$AV$71*CI29 + (1-$AV$67:$AV$71)*CE29), N($AK$67:$AK$71&gt;$AI29)),
SUMPRODUCT(INDEX($AL$57:$AN$66,,$AE29), INDEX($AO$57:$AU$66,,$AD29), 1 / ($AW$57:$AW$66*CI29 + (1-$AW$57:$AW$66)*CE29), N($AK$57:$AK$66&gt;$AI29))
) / 1000</f>
        <v>0</v>
      </c>
      <c r="CK29" s="250">
        <f t="shared" si="37"/>
        <v>20</v>
      </c>
      <c r="CL29" s="237">
        <f t="shared" si="38"/>
        <v>33</v>
      </c>
      <c r="CM29" s="253">
        <f t="shared" si="39"/>
        <v>4.8487499999999999</v>
      </c>
      <c r="CN29" s="253" cm="1">
        <f t="array" ref="CN29">$BC29 * IF($AD29&lt;=2,
SUMPRODUCT(INDEX($AL$62:$AN$66,,$AE29), INDEX($AO$62:$AU$66,,$AD29), 1 / ($AV$62:$AV$66*CM29 + (1-$AV$62:$AV$66)*CI29), N($AK$62:$AK$66&gt;$AI29)),
SUMPRODUCT(INDEX($AL$47:$AN$56,,$AE29), INDEX($AO$47:$AU$56,,$AD29), 1 / ($AW$47:$AW$56*CM29 + (1-$AW$47:$AW$56)*CI29), N($AK$47:$AK$56&gt;$AI29))
) / 1000</f>
        <v>0</v>
      </c>
      <c r="CO29" s="253" cm="1">
        <f t="array" ref="CO29">$BC29 * IF($AD29&lt;=2,
SUMPRODUCT(INDEX($AL$23:$AN$61,,$AE29), INDEX($AO$23:$AU$61,,$AD29), 1 / ($AV$23:$AV$61*CM29), N($AK$23:$AK$61&gt;$AI29)),
SUMPRODUCT(INDEX($AL$23:$AN$46,,$AE29), INDEX($AO$23:$AU$46,,$AD29), 1 / ($AW$23:$AW$46*CM29), N($AK$23:$AK$46&gt;$AI29))
) / 1000</f>
        <v>0</v>
      </c>
      <c r="CP29" s="237">
        <f t="shared" si="40"/>
        <v>0</v>
      </c>
      <c r="CQ29" s="210"/>
    </row>
    <row r="30" spans="1:95" s="76" customFormat="1" ht="14.25" customHeight="1" x14ac:dyDescent="0.25">
      <c r="A30" s="238" t="b">
        <f t="shared" si="0"/>
        <v>0</v>
      </c>
      <c r="B30" s="239">
        <v>8</v>
      </c>
      <c r="C30" s="258"/>
      <c r="D30" s="258"/>
      <c r="E30" s="240"/>
      <c r="F30" s="241" t="str">
        <f>IF(ISBLANK(E30), "", VLOOKUP(E30, Z!$A$2:$C$4127, 3, FALSE))</f>
        <v/>
      </c>
      <c r="G30" s="242"/>
      <c r="H30" s="242"/>
      <c r="I30" s="243"/>
      <c r="J30" s="244"/>
      <c r="K30" s="259"/>
      <c r="L30" s="260"/>
      <c r="M30" s="247" t="str" cm="1">
        <f t="array" ref="M30">IF($K30&gt;0, INDEX(Clean,1+AG30,$C$1), "")</f>
        <v/>
      </c>
      <c r="N30" s="245"/>
      <c r="O30" s="245"/>
      <c r="P30" s="246"/>
      <c r="Q30" s="248">
        <f t="shared" si="6"/>
        <v>0</v>
      </c>
      <c r="R30" s="247" t="str" cm="1">
        <f t="array" ref="R30">IF($K30&gt;0, INDEX(Clean,1+AH30,$C$1), "")</f>
        <v/>
      </c>
      <c r="S30" s="245"/>
      <c r="T30" s="245"/>
      <c r="U30" s="246"/>
      <c r="V30" s="248">
        <f t="shared" si="7"/>
        <v>0</v>
      </c>
      <c r="W30" s="261"/>
      <c r="X30" s="258"/>
      <c r="Y30" s="240"/>
      <c r="Z30" s="241" t="str">
        <f>IF(ISBLANK(Y30), "", VLOOKUP(Y30, Z!$A$2:$C$4127, 3, FALSE))</f>
        <v/>
      </c>
      <c r="AA30" s="262"/>
      <c r="AB30" s="249">
        <f t="shared" si="8"/>
        <v>0</v>
      </c>
      <c r="AC30" s="210"/>
      <c r="AD30" s="236">
        <f t="shared" ref="AD30" si="56">IF(ISBLANK(H30), 1, IFERROR(MATCH(H30, INDEX(Use,,1), 0), IFERROR(MATCH(H30, INDEX(Use,,2), 0), MATCH(H30, INDEX(Use,,3), 0))))</f>
        <v>1</v>
      </c>
      <c r="AE30" s="236">
        <f t="shared" ref="AE30" si="57">IF(ISBLANK(G30), 1, IFERROR(MATCH(G30, INDEX(Loc,,1), 0), IFERROR(MATCH(G30, INDEX(Loc,,2), 0), MATCH(G30, INDEX(Loc,,3), 0))))</f>
        <v>1</v>
      </c>
      <c r="AF30" s="236">
        <f t="shared" ref="AF30" si="58">_xlfn.IFNA(IF(IFERROR(MATCH(I30, INDEX(Medium,,1), 0), IFERROR(MATCH(I30, INDEX(Medium,,2), 0), MATCH(I30, INDEX(Medium,,3), 0))) = 2, 1, 0), 0)</f>
        <v>0</v>
      </c>
      <c r="AG30" s="236">
        <v>1</v>
      </c>
      <c r="AH30" s="236">
        <v>0</v>
      </c>
      <c r="AI30" s="236">
        <f t="shared" si="4"/>
        <v>-100</v>
      </c>
      <c r="AJ30" s="210"/>
      <c r="AK30" s="236">
        <v>-12</v>
      </c>
      <c r="AL30" s="250">
        <v>0</v>
      </c>
      <c r="AM30" s="250">
        <v>0</v>
      </c>
      <c r="AN30" s="250">
        <v>0</v>
      </c>
      <c r="AO30" s="251">
        <f t="shared" si="5"/>
        <v>0</v>
      </c>
      <c r="AP30" s="251">
        <f t="shared" si="5"/>
        <v>0</v>
      </c>
      <c r="AQ30" s="251" cm="1">
        <f t="array" ref="AQ30">MIN(INDEX(Use,AQ$21,5) + MAX(0, (1-INDEX(Use,AQ$21,5))*($AK30-5)/(35-5)), 1)</f>
        <v>0.4</v>
      </c>
      <c r="AR30" s="251" cm="1">
        <f t="array" ref="AR30">MIN(INDEX(Use,AR$21,5) + MAX(0, (1-INDEX(Use,AR$21,5))*($AK30-5)/(35-5)), 1)</f>
        <v>0.6</v>
      </c>
      <c r="AS30" s="251" cm="1">
        <f t="array" ref="AS30">MIN(INDEX(Use,AS$21,5) + MAX(0, (1-INDEX(Use,AS$21,5))*($AK30-5)/(35-5)), 1)</f>
        <v>0.8</v>
      </c>
      <c r="AT30" s="251" cm="1">
        <f t="array" ref="AT30">MIN(INDEX(Use,AT$21,5) + MAX(0, (1-INDEX(Use,AT$21,5))*($AK30-5)/(35-5)), 1)</f>
        <v>0.8</v>
      </c>
      <c r="AU30" s="251" cm="1">
        <f t="array" ref="AU30">MIN(INDEX(Use,AU$21,5) + MAX(0, (1-INDEX(Use,AU$21,5))*($AK30-5)/(35-5)), 1)</f>
        <v>0.8</v>
      </c>
      <c r="AV30" s="251">
        <v>1</v>
      </c>
      <c r="AW30" s="251">
        <v>1</v>
      </c>
      <c r="AX30" s="212"/>
      <c r="AY30" s="236" cm="1">
        <f t="array" ref="AY30">INDEX(Use, $AD30, 4)</f>
        <v>7</v>
      </c>
      <c r="AZ30" s="236">
        <f t="shared" si="12"/>
        <v>32</v>
      </c>
      <c r="BA30" s="236">
        <f t="shared" si="13"/>
        <v>13</v>
      </c>
      <c r="BB30" s="236">
        <f t="shared" si="14"/>
        <v>0</v>
      </c>
      <c r="BC30" s="252" cm="1">
        <f t="array" ref="BC30">K30/IF($L30&gt;0, INDEX($AO$23:$AU$77, $L30+20, $AD30), 1)</f>
        <v>0</v>
      </c>
      <c r="BD30" s="237">
        <f t="shared" si="15"/>
        <v>0</v>
      </c>
      <c r="BE30" s="236">
        <v>35</v>
      </c>
      <c r="BF30" s="237">
        <f t="shared" si="16"/>
        <v>52.55</v>
      </c>
      <c r="BG30" s="253">
        <f t="shared" si="17"/>
        <v>2.7676728869374316</v>
      </c>
      <c r="BH30" s="253" cm="1">
        <f t="array" ref="BH30">$BC30 * SUMPRODUCT(INDEX($AL$77:$AN$82,,$AE30),INDEX($AO$77:$AU$82,,$AD30), N($AK$77:$AK$82&gt;$AI30)) / BG30 / 1000</f>
        <v>0</v>
      </c>
      <c r="BI30" s="250">
        <f t="shared" si="18"/>
        <v>30</v>
      </c>
      <c r="BJ30" s="237">
        <f t="shared" si="19"/>
        <v>46.033333333333331</v>
      </c>
      <c r="BK30" s="253">
        <f t="shared" si="20"/>
        <v>3.2297395388556791</v>
      </c>
      <c r="BL30" s="253" cm="1">
        <f t="array" ref="BL30">$BC30 * IF($AD30&lt;=2,
SUMPRODUCT(INDEX($AL$72:$AN$76,,$AE30), INDEX($AO$72:$AU$76,,$AD30), 1 / ($AV$72:$AV$76*BK30 + (1-$AV$72:$AV$76)*BG30), N($AK$72:$AK$76&gt;$AI30)),
SUMPRODUCT(INDEX($AL$67:$AN$76,,$AE30), INDEX($AO$67:$AU$76,,$AD30), 1 / ($AW$67:$AW$76*BK30 + (1-$AW$67:$AW$76)*BG30), N($AK$67:$AK$76&gt;$AI30))
) / 1000</f>
        <v>0</v>
      </c>
      <c r="BM30" s="250">
        <f t="shared" si="21"/>
        <v>25</v>
      </c>
      <c r="BN30" s="237">
        <f t="shared" si="22"/>
        <v>39.516666666666666</v>
      </c>
      <c r="BO30" s="253">
        <f t="shared" si="23"/>
        <v>3.877011788826243</v>
      </c>
      <c r="BP30" s="253" cm="1">
        <f t="array" ref="BP30">$BC30 * IF($AD30&lt;=2,
SUMPRODUCT(INDEX($AL$67:$AN$71,,$AE30), INDEX($AO$67:$AU$71,,$AD30), 1 / ($AV$67:$AV$71*BO30 + (1-$AV$67:$AV$71)*BK30), N($AK$67:$AK$71&gt;$AI30)),
SUMPRODUCT(INDEX($AL$57:$AN$66,,$AE30), INDEX($AO$57:$AU$66,,$AD30), 1 / ($AW$57:$AW$66*BO30 + (1-$AW$57:$AW$66)*BK30), N($AK$57:$AK$66&gt;$AI30))
) / 1000</f>
        <v>0</v>
      </c>
      <c r="BQ30" s="250">
        <f t="shared" si="24"/>
        <v>20</v>
      </c>
      <c r="BR30" s="237">
        <f t="shared" si="25"/>
        <v>33</v>
      </c>
      <c r="BS30" s="253">
        <f t="shared" si="26"/>
        <v>4.8487499999999999</v>
      </c>
      <c r="BT30" s="253" cm="1">
        <f t="array" ref="BT30">$BC30 * IF($AD30&lt;=2,
SUMPRODUCT(INDEX($AL$62:$AN$66,,$AE30), INDEX($AO$62:$AU$66,,$AD30), 1 / ($AV$62:$AV$66*BS30 + (1-$AV$62:$AV$66)*BO30), N($AK$62:$AK$66&gt;$AI30)),
SUMPRODUCT(INDEX($AL$47:$AN$56,,$AE30), INDEX($AO$47:$AU$56,,$AD30), 1 / ($AW$47:$AW$56*BS30 + (1-$AW$47:$AW$56)*BO30), N($AK$47:$AK$56&gt;$AI30))
) / 1000</f>
        <v>0</v>
      </c>
      <c r="BU30" s="253" cm="1">
        <f t="array" ref="BU30">$BC30 * IF($AD30&lt;=2,
SUMPRODUCT(INDEX($AL$23:$AN$61,,$AE30), INDEX($AO$23:$AU$61,,$AD30), 1 / ($AV$23:$AV$61*BS30), N($AK$23:$AK$61&gt;$AI30)),
SUMPRODUCT(INDEX($AL$23:$AN$46,,$AE30), INDEX($AO$23:$AU$46,,$AD30), 1 / ($AW$23:$AW$46*BS30), N($AK$23:$AK$46&gt;$AI30))
) / 1000</f>
        <v>0</v>
      </c>
      <c r="BV30" s="237">
        <f t="shared" si="27"/>
        <v>0</v>
      </c>
      <c r="BW30" s="210"/>
      <c r="BX30" s="237">
        <f t="shared" si="28"/>
        <v>0</v>
      </c>
      <c r="BY30" s="236">
        <v>35</v>
      </c>
      <c r="BZ30" s="237">
        <f t="shared" si="29"/>
        <v>48</v>
      </c>
      <c r="CA30" s="253">
        <f t="shared" si="30"/>
        <v>3.0748170731707316</v>
      </c>
      <c r="CB30" s="253" cm="1">
        <f t="array" ref="CB30">$BC30 * SUMPRODUCT(INDEX($AL$77:$AN$82,,$AE30),INDEX($AO$77:$AU$82,,$AD30), N($AK$77:$AK$82&gt;$AI30)) / CA30 / 1000</f>
        <v>0</v>
      </c>
      <c r="CC30" s="250">
        <f t="shared" si="31"/>
        <v>30</v>
      </c>
      <c r="CD30" s="237">
        <f t="shared" si="32"/>
        <v>43</v>
      </c>
      <c r="CE30" s="253">
        <f t="shared" si="33"/>
        <v>3.5018750000000001</v>
      </c>
      <c r="CF30" s="253" cm="1">
        <f t="array" ref="CF30">$BC30 * IF($AD30&lt;=2,
SUMPRODUCT(INDEX($AL$72:$AN$76,,$AE30), INDEX($AO$72:$AU$76,,$AD30), 1 / ($AV$72:$AV$76*CE30 + (1-$AV$72:$AV$76)*CA30), N($AK$72:$AK$76&gt;$AI30)),
SUMPRODUCT(INDEX($AL$67:$AN$76,,$AE30), INDEX($AO$67:$AU$76,,$AD30), 1 / ($AW$67:$AW$76*CE30 + (1-$AW$67:$AW$76)*CA30), N($AK$67:$AK$76&gt;$AI30))
) / 1000</f>
        <v>0</v>
      </c>
      <c r="CG30" s="250">
        <f t="shared" si="34"/>
        <v>25</v>
      </c>
      <c r="CH30" s="237">
        <f t="shared" si="35"/>
        <v>38</v>
      </c>
      <c r="CI30" s="253">
        <f t="shared" si="36"/>
        <v>4.0666935483870965</v>
      </c>
      <c r="CJ30" s="253" cm="1">
        <f t="array" ref="CJ30">$BC30 * IF($AD30&lt;=2,
SUMPRODUCT(INDEX($AL$67:$AN$71,,$AE30), INDEX($AO$67:$AU$71,,$AD30), 1 / ($AV$67:$AV$71*CI30 + (1-$AV$67:$AV$71)*CE30), N($AK$67:$AK$71&gt;$AI30)),
SUMPRODUCT(INDEX($AL$57:$AN$66,,$AE30), INDEX($AO$57:$AU$66,,$AD30), 1 / ($AW$57:$AW$66*CI30 + (1-$AW$57:$AW$66)*CE30), N($AK$57:$AK$66&gt;$AI30))
) / 1000</f>
        <v>0</v>
      </c>
      <c r="CK30" s="250">
        <f t="shared" si="37"/>
        <v>20</v>
      </c>
      <c r="CL30" s="237">
        <f t="shared" si="38"/>
        <v>33</v>
      </c>
      <c r="CM30" s="253">
        <f t="shared" si="39"/>
        <v>4.8487499999999999</v>
      </c>
      <c r="CN30" s="253" cm="1">
        <f t="array" ref="CN30">$BC30 * IF($AD30&lt;=2,
SUMPRODUCT(INDEX($AL$62:$AN$66,,$AE30), INDEX($AO$62:$AU$66,,$AD30), 1 / ($AV$62:$AV$66*CM30 + (1-$AV$62:$AV$66)*CI30), N($AK$62:$AK$66&gt;$AI30)),
SUMPRODUCT(INDEX($AL$47:$AN$56,,$AE30), INDEX($AO$47:$AU$56,,$AD30), 1 / ($AW$47:$AW$56*CM30 + (1-$AW$47:$AW$56)*CI30), N($AK$47:$AK$56&gt;$AI30))
) / 1000</f>
        <v>0</v>
      </c>
      <c r="CO30" s="253" cm="1">
        <f t="array" ref="CO30">$BC30 * IF($AD30&lt;=2,
SUMPRODUCT(INDEX($AL$23:$AN$61,,$AE30), INDEX($AO$23:$AU$61,,$AD30), 1 / ($AV$23:$AV$61*CM30), N($AK$23:$AK$61&gt;$AI30)),
SUMPRODUCT(INDEX($AL$23:$AN$46,,$AE30), INDEX($AO$23:$AU$46,,$AD30), 1 / ($AW$23:$AW$46*CM30), N($AK$23:$AK$46&gt;$AI30))
) / 1000</f>
        <v>0</v>
      </c>
      <c r="CP30" s="237">
        <f t="shared" si="40"/>
        <v>0</v>
      </c>
      <c r="CQ30" s="210"/>
    </row>
    <row r="31" spans="1:95" s="76" customFormat="1" ht="14.25" customHeight="1" x14ac:dyDescent="0.25">
      <c r="A31" s="238" t="b">
        <f t="shared" si="0"/>
        <v>0</v>
      </c>
      <c r="B31" s="239">
        <v>9</v>
      </c>
      <c r="C31" s="258"/>
      <c r="D31" s="258"/>
      <c r="E31" s="240"/>
      <c r="F31" s="241" t="str">
        <f>IF(ISBLANK(E31), "", VLOOKUP(E31, Z!$A$2:$C$4127, 3, FALSE))</f>
        <v/>
      </c>
      <c r="G31" s="242"/>
      <c r="H31" s="242"/>
      <c r="I31" s="243"/>
      <c r="J31" s="244"/>
      <c r="K31" s="259"/>
      <c r="L31" s="260"/>
      <c r="M31" s="247" t="str" cm="1">
        <f t="array" ref="M31">IF($K31&gt;0, INDEX(Clean,1+AG31,$C$1), "")</f>
        <v/>
      </c>
      <c r="N31" s="245"/>
      <c r="O31" s="245"/>
      <c r="P31" s="246"/>
      <c r="Q31" s="248">
        <f t="shared" si="6"/>
        <v>0</v>
      </c>
      <c r="R31" s="247" t="str" cm="1">
        <f t="array" ref="R31">IF($K31&gt;0, INDEX(Clean,1+AH31,$C$1), "")</f>
        <v/>
      </c>
      <c r="S31" s="245"/>
      <c r="T31" s="245"/>
      <c r="U31" s="246"/>
      <c r="V31" s="248">
        <f t="shared" si="7"/>
        <v>0</v>
      </c>
      <c r="W31" s="261"/>
      <c r="X31" s="258"/>
      <c r="Y31" s="240"/>
      <c r="Z31" s="241" t="str">
        <f>IF(ISBLANK(Y31), "", VLOOKUP(Y31, Z!$A$2:$C$4127, 3, FALSE))</f>
        <v/>
      </c>
      <c r="AA31" s="262"/>
      <c r="AB31" s="249">
        <f t="shared" si="8"/>
        <v>0</v>
      </c>
      <c r="AC31" s="210"/>
      <c r="AD31" s="236">
        <f t="shared" ref="AD31" si="59">IF(ISBLANK(H31), 1, IFERROR(MATCH(H31, INDEX(Use,,1), 0), IFERROR(MATCH(H31, INDEX(Use,,2), 0), MATCH(H31, INDEX(Use,,3), 0))))</f>
        <v>1</v>
      </c>
      <c r="AE31" s="236">
        <f t="shared" ref="AE31" si="60">IF(ISBLANK(G31), 1, IFERROR(MATCH(G31, INDEX(Loc,,1), 0), IFERROR(MATCH(G31, INDEX(Loc,,2), 0), MATCH(G31, INDEX(Loc,,3), 0))))</f>
        <v>1</v>
      </c>
      <c r="AF31" s="236">
        <f t="shared" ref="AF31" si="61">_xlfn.IFNA(IF(IFERROR(MATCH(I31, INDEX(Medium,,1), 0), IFERROR(MATCH(I31, INDEX(Medium,,2), 0), MATCH(I31, INDEX(Medium,,3), 0))) = 2, 1, 0), 0)</f>
        <v>0</v>
      </c>
      <c r="AG31" s="236">
        <v>1</v>
      </c>
      <c r="AH31" s="236">
        <v>0</v>
      </c>
      <c r="AI31" s="236">
        <f t="shared" si="4"/>
        <v>-100</v>
      </c>
      <c r="AJ31" s="210"/>
      <c r="AK31" s="236">
        <v>-11</v>
      </c>
      <c r="AL31" s="250">
        <v>0</v>
      </c>
      <c r="AM31" s="250">
        <v>0</v>
      </c>
      <c r="AN31" s="250">
        <v>0</v>
      </c>
      <c r="AO31" s="251">
        <f t="shared" si="5"/>
        <v>0</v>
      </c>
      <c r="AP31" s="251">
        <f t="shared" si="5"/>
        <v>0</v>
      </c>
      <c r="AQ31" s="251" cm="1">
        <f t="array" ref="AQ31">MIN(INDEX(Use,AQ$21,5) + MAX(0, (1-INDEX(Use,AQ$21,5))*($AK31-5)/(35-5)), 1)</f>
        <v>0.4</v>
      </c>
      <c r="AR31" s="251" cm="1">
        <f t="array" ref="AR31">MIN(INDEX(Use,AR$21,5) + MAX(0, (1-INDEX(Use,AR$21,5))*($AK31-5)/(35-5)), 1)</f>
        <v>0.6</v>
      </c>
      <c r="AS31" s="251" cm="1">
        <f t="array" ref="AS31">MIN(INDEX(Use,AS$21,5) + MAX(0, (1-INDEX(Use,AS$21,5))*($AK31-5)/(35-5)), 1)</f>
        <v>0.8</v>
      </c>
      <c r="AT31" s="251" cm="1">
        <f t="array" ref="AT31">MIN(INDEX(Use,AT$21,5) + MAX(0, (1-INDEX(Use,AT$21,5))*($AK31-5)/(35-5)), 1)</f>
        <v>0.8</v>
      </c>
      <c r="AU31" s="251" cm="1">
        <f t="array" ref="AU31">MIN(INDEX(Use,AU$21,5) + MAX(0, (1-INDEX(Use,AU$21,5))*($AK31-5)/(35-5)), 1)</f>
        <v>0.8</v>
      </c>
      <c r="AV31" s="251">
        <v>1</v>
      </c>
      <c r="AW31" s="251">
        <v>1</v>
      </c>
      <c r="AX31" s="212"/>
      <c r="AY31" s="236" cm="1">
        <f t="array" ref="AY31">INDEX(Use, $AD31, 4)</f>
        <v>7</v>
      </c>
      <c r="AZ31" s="236">
        <f t="shared" si="12"/>
        <v>32</v>
      </c>
      <c r="BA31" s="236">
        <f t="shared" si="13"/>
        <v>13</v>
      </c>
      <c r="BB31" s="236">
        <f t="shared" si="14"/>
        <v>0</v>
      </c>
      <c r="BC31" s="252" cm="1">
        <f t="array" ref="BC31">K31/IF($L31&gt;0, INDEX($AO$23:$AU$77, $L31+20, $AD31), 1)</f>
        <v>0</v>
      </c>
      <c r="BD31" s="237">
        <f t="shared" si="15"/>
        <v>0</v>
      </c>
      <c r="BE31" s="236">
        <v>35</v>
      </c>
      <c r="BF31" s="237">
        <f t="shared" si="16"/>
        <v>52.55</v>
      </c>
      <c r="BG31" s="253">
        <f t="shared" si="17"/>
        <v>2.7676728869374316</v>
      </c>
      <c r="BH31" s="253" cm="1">
        <f t="array" ref="BH31">$BC31 * SUMPRODUCT(INDEX($AL$77:$AN$82,,$AE31),INDEX($AO$77:$AU$82,,$AD31), N($AK$77:$AK$82&gt;$AI31)) / BG31 / 1000</f>
        <v>0</v>
      </c>
      <c r="BI31" s="250">
        <f t="shared" si="18"/>
        <v>30</v>
      </c>
      <c r="BJ31" s="237">
        <f t="shared" si="19"/>
        <v>46.033333333333331</v>
      </c>
      <c r="BK31" s="253">
        <f t="shared" si="20"/>
        <v>3.2297395388556791</v>
      </c>
      <c r="BL31" s="253" cm="1">
        <f t="array" ref="BL31">$BC31 * IF($AD31&lt;=2,
SUMPRODUCT(INDEX($AL$72:$AN$76,,$AE31), INDEX($AO$72:$AU$76,,$AD31), 1 / ($AV$72:$AV$76*BK31 + (1-$AV$72:$AV$76)*BG31), N($AK$72:$AK$76&gt;$AI31)),
SUMPRODUCT(INDEX($AL$67:$AN$76,,$AE31), INDEX($AO$67:$AU$76,,$AD31), 1 / ($AW$67:$AW$76*BK31 + (1-$AW$67:$AW$76)*BG31), N($AK$67:$AK$76&gt;$AI31))
) / 1000</f>
        <v>0</v>
      </c>
      <c r="BM31" s="250">
        <f t="shared" si="21"/>
        <v>25</v>
      </c>
      <c r="BN31" s="237">
        <f t="shared" si="22"/>
        <v>39.516666666666666</v>
      </c>
      <c r="BO31" s="253">
        <f t="shared" si="23"/>
        <v>3.877011788826243</v>
      </c>
      <c r="BP31" s="253" cm="1">
        <f t="array" ref="BP31">$BC31 * IF($AD31&lt;=2,
SUMPRODUCT(INDEX($AL$67:$AN$71,,$AE31), INDEX($AO$67:$AU$71,,$AD31), 1 / ($AV$67:$AV$71*BO31 + (1-$AV$67:$AV$71)*BK31), N($AK$67:$AK$71&gt;$AI31)),
SUMPRODUCT(INDEX($AL$57:$AN$66,,$AE31), INDEX($AO$57:$AU$66,,$AD31), 1 / ($AW$57:$AW$66*BO31 + (1-$AW$57:$AW$66)*BK31), N($AK$57:$AK$66&gt;$AI31))
) / 1000</f>
        <v>0</v>
      </c>
      <c r="BQ31" s="250">
        <f t="shared" si="24"/>
        <v>20</v>
      </c>
      <c r="BR31" s="237">
        <f t="shared" si="25"/>
        <v>33</v>
      </c>
      <c r="BS31" s="253">
        <f t="shared" si="26"/>
        <v>4.8487499999999999</v>
      </c>
      <c r="BT31" s="253" cm="1">
        <f t="array" ref="BT31">$BC31 * IF($AD31&lt;=2,
SUMPRODUCT(INDEX($AL$62:$AN$66,,$AE31), INDEX($AO$62:$AU$66,,$AD31), 1 / ($AV$62:$AV$66*BS31 + (1-$AV$62:$AV$66)*BO31), N($AK$62:$AK$66&gt;$AI31)),
SUMPRODUCT(INDEX($AL$47:$AN$56,,$AE31), INDEX($AO$47:$AU$56,,$AD31), 1 / ($AW$47:$AW$56*BS31 + (1-$AW$47:$AW$56)*BO31), N($AK$47:$AK$56&gt;$AI31))
) / 1000</f>
        <v>0</v>
      </c>
      <c r="BU31" s="253" cm="1">
        <f t="array" ref="BU31">$BC31 * IF($AD31&lt;=2,
SUMPRODUCT(INDEX($AL$23:$AN$61,,$AE31), INDEX($AO$23:$AU$61,,$AD31), 1 / ($AV$23:$AV$61*BS31), N($AK$23:$AK$61&gt;$AI31)),
SUMPRODUCT(INDEX($AL$23:$AN$46,,$AE31), INDEX($AO$23:$AU$46,,$AD31), 1 / ($AW$23:$AW$46*BS31), N($AK$23:$AK$46&gt;$AI31))
) / 1000</f>
        <v>0</v>
      </c>
      <c r="BV31" s="237">
        <f t="shared" si="27"/>
        <v>0</v>
      </c>
      <c r="BW31" s="210"/>
      <c r="BX31" s="237">
        <f t="shared" si="28"/>
        <v>0</v>
      </c>
      <c r="BY31" s="236">
        <v>35</v>
      </c>
      <c r="BZ31" s="237">
        <f t="shared" si="29"/>
        <v>48</v>
      </c>
      <c r="CA31" s="253">
        <f t="shared" si="30"/>
        <v>3.0748170731707316</v>
      </c>
      <c r="CB31" s="253" cm="1">
        <f t="array" ref="CB31">$BC31 * SUMPRODUCT(INDEX($AL$77:$AN$82,,$AE31),INDEX($AO$77:$AU$82,,$AD31), N($AK$77:$AK$82&gt;$AI31)) / CA31 / 1000</f>
        <v>0</v>
      </c>
      <c r="CC31" s="250">
        <f t="shared" si="31"/>
        <v>30</v>
      </c>
      <c r="CD31" s="237">
        <f t="shared" si="32"/>
        <v>43</v>
      </c>
      <c r="CE31" s="253">
        <f t="shared" si="33"/>
        <v>3.5018750000000001</v>
      </c>
      <c r="CF31" s="253" cm="1">
        <f t="array" ref="CF31">$BC31 * IF($AD31&lt;=2,
SUMPRODUCT(INDEX($AL$72:$AN$76,,$AE31), INDEX($AO$72:$AU$76,,$AD31), 1 / ($AV$72:$AV$76*CE31 + (1-$AV$72:$AV$76)*CA31), N($AK$72:$AK$76&gt;$AI31)),
SUMPRODUCT(INDEX($AL$67:$AN$76,,$AE31), INDEX($AO$67:$AU$76,,$AD31), 1 / ($AW$67:$AW$76*CE31 + (1-$AW$67:$AW$76)*CA31), N($AK$67:$AK$76&gt;$AI31))
) / 1000</f>
        <v>0</v>
      </c>
      <c r="CG31" s="250">
        <f t="shared" si="34"/>
        <v>25</v>
      </c>
      <c r="CH31" s="237">
        <f t="shared" si="35"/>
        <v>38</v>
      </c>
      <c r="CI31" s="253">
        <f t="shared" si="36"/>
        <v>4.0666935483870965</v>
      </c>
      <c r="CJ31" s="253" cm="1">
        <f t="array" ref="CJ31">$BC31 * IF($AD31&lt;=2,
SUMPRODUCT(INDEX($AL$67:$AN$71,,$AE31), INDEX($AO$67:$AU$71,,$AD31), 1 / ($AV$67:$AV$71*CI31 + (1-$AV$67:$AV$71)*CE31), N($AK$67:$AK$71&gt;$AI31)),
SUMPRODUCT(INDEX($AL$57:$AN$66,,$AE31), INDEX($AO$57:$AU$66,,$AD31), 1 / ($AW$57:$AW$66*CI31 + (1-$AW$57:$AW$66)*CE31), N($AK$57:$AK$66&gt;$AI31))
) / 1000</f>
        <v>0</v>
      </c>
      <c r="CK31" s="250">
        <f t="shared" si="37"/>
        <v>20</v>
      </c>
      <c r="CL31" s="237">
        <f t="shared" si="38"/>
        <v>33</v>
      </c>
      <c r="CM31" s="253">
        <f t="shared" si="39"/>
        <v>4.8487499999999999</v>
      </c>
      <c r="CN31" s="253" cm="1">
        <f t="array" ref="CN31">$BC31 * IF($AD31&lt;=2,
SUMPRODUCT(INDEX($AL$62:$AN$66,,$AE31), INDEX($AO$62:$AU$66,,$AD31), 1 / ($AV$62:$AV$66*CM31 + (1-$AV$62:$AV$66)*CI31), N($AK$62:$AK$66&gt;$AI31)),
SUMPRODUCT(INDEX($AL$47:$AN$56,,$AE31), INDEX($AO$47:$AU$56,,$AD31), 1 / ($AW$47:$AW$56*CM31 + (1-$AW$47:$AW$56)*CI31), N($AK$47:$AK$56&gt;$AI31))
) / 1000</f>
        <v>0</v>
      </c>
      <c r="CO31" s="253" cm="1">
        <f t="array" ref="CO31">$BC31 * IF($AD31&lt;=2,
SUMPRODUCT(INDEX($AL$23:$AN$61,,$AE31), INDEX($AO$23:$AU$61,,$AD31), 1 / ($AV$23:$AV$61*CM31), N($AK$23:$AK$61&gt;$AI31)),
SUMPRODUCT(INDEX($AL$23:$AN$46,,$AE31), INDEX($AO$23:$AU$46,,$AD31), 1 / ($AW$23:$AW$46*CM31), N($AK$23:$AK$46&gt;$AI31))
) / 1000</f>
        <v>0</v>
      </c>
      <c r="CP31" s="237">
        <f t="shared" si="40"/>
        <v>0</v>
      </c>
      <c r="CQ31" s="210"/>
    </row>
    <row r="32" spans="1:95" s="76" customFormat="1" ht="14.25" customHeight="1" x14ac:dyDescent="0.25">
      <c r="A32" s="238" t="b">
        <f t="shared" si="0"/>
        <v>0</v>
      </c>
      <c r="B32" s="239">
        <v>10</v>
      </c>
      <c r="C32" s="258"/>
      <c r="D32" s="258"/>
      <c r="E32" s="240"/>
      <c r="F32" s="241" t="str">
        <f>IF(ISBLANK(E32), "", VLOOKUP(E32, Z!$A$2:$C$4127, 3, FALSE))</f>
        <v/>
      </c>
      <c r="G32" s="242"/>
      <c r="H32" s="242"/>
      <c r="I32" s="243"/>
      <c r="J32" s="244"/>
      <c r="K32" s="259"/>
      <c r="L32" s="260"/>
      <c r="M32" s="247" t="str" cm="1">
        <f t="array" ref="M32">IF($K32&gt;0, INDEX(Clean,1+AG32,$C$1), "")</f>
        <v/>
      </c>
      <c r="N32" s="245"/>
      <c r="O32" s="245"/>
      <c r="P32" s="246"/>
      <c r="Q32" s="248">
        <f t="shared" si="6"/>
        <v>0</v>
      </c>
      <c r="R32" s="247" t="str" cm="1">
        <f t="array" ref="R32">IF($K32&gt;0, INDEX(Clean,1+AH32,$C$1), "")</f>
        <v/>
      </c>
      <c r="S32" s="245"/>
      <c r="T32" s="245"/>
      <c r="U32" s="246"/>
      <c r="V32" s="248">
        <f t="shared" si="7"/>
        <v>0</v>
      </c>
      <c r="W32" s="261"/>
      <c r="X32" s="258"/>
      <c r="Y32" s="240"/>
      <c r="Z32" s="241" t="str">
        <f>IF(ISBLANK(Y32), "", VLOOKUP(Y32, Z!$A$2:$C$4127, 3, FALSE))</f>
        <v/>
      </c>
      <c r="AA32" s="262"/>
      <c r="AB32" s="249">
        <f t="shared" si="8"/>
        <v>0</v>
      </c>
      <c r="AC32" s="210"/>
      <c r="AD32" s="236">
        <f t="shared" ref="AD32" si="62">IF(ISBLANK(H32), 1, IFERROR(MATCH(H32, INDEX(Use,,1), 0), IFERROR(MATCH(H32, INDEX(Use,,2), 0), MATCH(H32, INDEX(Use,,3), 0))))</f>
        <v>1</v>
      </c>
      <c r="AE32" s="236">
        <f t="shared" ref="AE32" si="63">IF(ISBLANK(G32), 1, IFERROR(MATCH(G32, INDEX(Loc,,1), 0), IFERROR(MATCH(G32, INDEX(Loc,,2), 0), MATCH(G32, INDEX(Loc,,3), 0))))</f>
        <v>1</v>
      </c>
      <c r="AF32" s="236">
        <f t="shared" ref="AF32" si="64">_xlfn.IFNA(IF(IFERROR(MATCH(I32, INDEX(Medium,,1), 0), IFERROR(MATCH(I32, INDEX(Medium,,2), 0), MATCH(I32, INDEX(Medium,,3), 0))) = 2, 1, 0), 0)</f>
        <v>0</v>
      </c>
      <c r="AG32" s="236">
        <v>1</v>
      </c>
      <c r="AH32" s="236">
        <v>0</v>
      </c>
      <c r="AI32" s="236">
        <f t="shared" si="4"/>
        <v>-100</v>
      </c>
      <c r="AJ32" s="210"/>
      <c r="AK32" s="236">
        <v>-10</v>
      </c>
      <c r="AL32" s="250">
        <v>0</v>
      </c>
      <c r="AM32" s="250">
        <v>2</v>
      </c>
      <c r="AN32" s="250">
        <v>6</v>
      </c>
      <c r="AO32" s="251">
        <f t="shared" si="5"/>
        <v>0</v>
      </c>
      <c r="AP32" s="251">
        <f t="shared" si="5"/>
        <v>0</v>
      </c>
      <c r="AQ32" s="251" cm="1">
        <f t="array" ref="AQ32">MIN(INDEX(Use,AQ$21,5) + MAX(0, (1-INDEX(Use,AQ$21,5))*($AK32-5)/(35-5)), 1)</f>
        <v>0.4</v>
      </c>
      <c r="AR32" s="251" cm="1">
        <f t="array" ref="AR32">MIN(INDEX(Use,AR$21,5) + MAX(0, (1-INDEX(Use,AR$21,5))*($AK32-5)/(35-5)), 1)</f>
        <v>0.6</v>
      </c>
      <c r="AS32" s="251" cm="1">
        <f t="array" ref="AS32">MIN(INDEX(Use,AS$21,5) + MAX(0, (1-INDEX(Use,AS$21,5))*($AK32-5)/(35-5)), 1)</f>
        <v>0.8</v>
      </c>
      <c r="AT32" s="251" cm="1">
        <f t="array" ref="AT32">MIN(INDEX(Use,AT$21,5) + MAX(0, (1-INDEX(Use,AT$21,5))*($AK32-5)/(35-5)), 1)</f>
        <v>0.8</v>
      </c>
      <c r="AU32" s="251" cm="1">
        <f t="array" ref="AU32">MIN(INDEX(Use,AU$21,5) + MAX(0, (1-INDEX(Use,AU$21,5))*($AK32-5)/(35-5)), 1)</f>
        <v>0.8</v>
      </c>
      <c r="AV32" s="251">
        <v>1</v>
      </c>
      <c r="AW32" s="251">
        <v>1</v>
      </c>
      <c r="AX32" s="212"/>
      <c r="AY32" s="236" cm="1">
        <f t="array" ref="AY32">INDEX(Use, $AD32, 4)</f>
        <v>7</v>
      </c>
      <c r="AZ32" s="236">
        <f t="shared" si="12"/>
        <v>32</v>
      </c>
      <c r="BA32" s="236">
        <f t="shared" si="13"/>
        <v>13</v>
      </c>
      <c r="BB32" s="236">
        <f t="shared" si="14"/>
        <v>0</v>
      </c>
      <c r="BC32" s="252" cm="1">
        <f t="array" ref="BC32">K32/IF($L32&gt;0, INDEX($AO$23:$AU$77, $L32+20, $AD32), 1)</f>
        <v>0</v>
      </c>
      <c r="BD32" s="237">
        <f t="shared" si="15"/>
        <v>0</v>
      </c>
      <c r="BE32" s="236">
        <v>35</v>
      </c>
      <c r="BF32" s="237">
        <f t="shared" si="16"/>
        <v>52.55</v>
      </c>
      <c r="BG32" s="253">
        <f t="shared" si="17"/>
        <v>2.7676728869374316</v>
      </c>
      <c r="BH32" s="253" cm="1">
        <f t="array" ref="BH32">$BC32 * SUMPRODUCT(INDEX($AL$77:$AN$82,,$AE32),INDEX($AO$77:$AU$82,,$AD32), N($AK$77:$AK$82&gt;$AI32)) / BG32 / 1000</f>
        <v>0</v>
      </c>
      <c r="BI32" s="250">
        <f t="shared" si="18"/>
        <v>30</v>
      </c>
      <c r="BJ32" s="237">
        <f t="shared" si="19"/>
        <v>46.033333333333331</v>
      </c>
      <c r="BK32" s="253">
        <f t="shared" si="20"/>
        <v>3.2297395388556791</v>
      </c>
      <c r="BL32" s="253" cm="1">
        <f t="array" ref="BL32">$BC32 * IF($AD32&lt;=2,
SUMPRODUCT(INDEX($AL$72:$AN$76,,$AE32), INDEX($AO$72:$AU$76,,$AD32), 1 / ($AV$72:$AV$76*BK32 + (1-$AV$72:$AV$76)*BG32), N($AK$72:$AK$76&gt;$AI32)),
SUMPRODUCT(INDEX($AL$67:$AN$76,,$AE32), INDEX($AO$67:$AU$76,,$AD32), 1 / ($AW$67:$AW$76*BK32 + (1-$AW$67:$AW$76)*BG32), N($AK$67:$AK$76&gt;$AI32))
) / 1000</f>
        <v>0</v>
      </c>
      <c r="BM32" s="250">
        <f t="shared" si="21"/>
        <v>25</v>
      </c>
      <c r="BN32" s="237">
        <f t="shared" si="22"/>
        <v>39.516666666666666</v>
      </c>
      <c r="BO32" s="253">
        <f t="shared" si="23"/>
        <v>3.877011788826243</v>
      </c>
      <c r="BP32" s="253" cm="1">
        <f t="array" ref="BP32">$BC32 * IF($AD32&lt;=2,
SUMPRODUCT(INDEX($AL$67:$AN$71,,$AE32), INDEX($AO$67:$AU$71,,$AD32), 1 / ($AV$67:$AV$71*BO32 + (1-$AV$67:$AV$71)*BK32), N($AK$67:$AK$71&gt;$AI32)),
SUMPRODUCT(INDEX($AL$57:$AN$66,,$AE32), INDEX($AO$57:$AU$66,,$AD32), 1 / ($AW$57:$AW$66*BO32 + (1-$AW$57:$AW$66)*BK32), N($AK$57:$AK$66&gt;$AI32))
) / 1000</f>
        <v>0</v>
      </c>
      <c r="BQ32" s="250">
        <f t="shared" si="24"/>
        <v>20</v>
      </c>
      <c r="BR32" s="237">
        <f t="shared" si="25"/>
        <v>33</v>
      </c>
      <c r="BS32" s="253">
        <f t="shared" si="26"/>
        <v>4.8487499999999999</v>
      </c>
      <c r="BT32" s="253" cm="1">
        <f t="array" ref="BT32">$BC32 * IF($AD32&lt;=2,
SUMPRODUCT(INDEX($AL$62:$AN$66,,$AE32), INDEX($AO$62:$AU$66,,$AD32), 1 / ($AV$62:$AV$66*BS32 + (1-$AV$62:$AV$66)*BO32), N($AK$62:$AK$66&gt;$AI32)),
SUMPRODUCT(INDEX($AL$47:$AN$56,,$AE32), INDEX($AO$47:$AU$56,,$AD32), 1 / ($AW$47:$AW$56*BS32 + (1-$AW$47:$AW$56)*BO32), N($AK$47:$AK$56&gt;$AI32))
) / 1000</f>
        <v>0</v>
      </c>
      <c r="BU32" s="253" cm="1">
        <f t="array" ref="BU32">$BC32 * IF($AD32&lt;=2,
SUMPRODUCT(INDEX($AL$23:$AN$61,,$AE32), INDEX($AO$23:$AU$61,,$AD32), 1 / ($AV$23:$AV$61*BS32), N($AK$23:$AK$61&gt;$AI32)),
SUMPRODUCT(INDEX($AL$23:$AN$46,,$AE32), INDEX($AO$23:$AU$46,,$AD32), 1 / ($AW$23:$AW$46*BS32), N($AK$23:$AK$46&gt;$AI32))
) / 1000</f>
        <v>0</v>
      </c>
      <c r="BV32" s="237">
        <f t="shared" si="27"/>
        <v>0</v>
      </c>
      <c r="BW32" s="210"/>
      <c r="BX32" s="237">
        <f t="shared" si="28"/>
        <v>0</v>
      </c>
      <c r="BY32" s="236">
        <v>35</v>
      </c>
      <c r="BZ32" s="237">
        <f t="shared" si="29"/>
        <v>48</v>
      </c>
      <c r="CA32" s="253">
        <f t="shared" si="30"/>
        <v>3.0748170731707316</v>
      </c>
      <c r="CB32" s="253" cm="1">
        <f t="array" ref="CB32">$BC32 * SUMPRODUCT(INDEX($AL$77:$AN$82,,$AE32),INDEX($AO$77:$AU$82,,$AD32), N($AK$77:$AK$82&gt;$AI32)) / CA32 / 1000</f>
        <v>0</v>
      </c>
      <c r="CC32" s="250">
        <f t="shared" si="31"/>
        <v>30</v>
      </c>
      <c r="CD32" s="237">
        <f t="shared" si="32"/>
        <v>43</v>
      </c>
      <c r="CE32" s="253">
        <f t="shared" si="33"/>
        <v>3.5018750000000001</v>
      </c>
      <c r="CF32" s="253" cm="1">
        <f t="array" ref="CF32">$BC32 * IF($AD32&lt;=2,
SUMPRODUCT(INDEX($AL$72:$AN$76,,$AE32), INDEX($AO$72:$AU$76,,$AD32), 1 / ($AV$72:$AV$76*CE32 + (1-$AV$72:$AV$76)*CA32), N($AK$72:$AK$76&gt;$AI32)),
SUMPRODUCT(INDEX($AL$67:$AN$76,,$AE32), INDEX($AO$67:$AU$76,,$AD32), 1 / ($AW$67:$AW$76*CE32 + (1-$AW$67:$AW$76)*CA32), N($AK$67:$AK$76&gt;$AI32))
) / 1000</f>
        <v>0</v>
      </c>
      <c r="CG32" s="250">
        <f t="shared" si="34"/>
        <v>25</v>
      </c>
      <c r="CH32" s="237">
        <f t="shared" si="35"/>
        <v>38</v>
      </c>
      <c r="CI32" s="253">
        <f t="shared" si="36"/>
        <v>4.0666935483870965</v>
      </c>
      <c r="CJ32" s="253" cm="1">
        <f t="array" ref="CJ32">$BC32 * IF($AD32&lt;=2,
SUMPRODUCT(INDEX($AL$67:$AN$71,,$AE32), INDEX($AO$67:$AU$71,,$AD32), 1 / ($AV$67:$AV$71*CI32 + (1-$AV$67:$AV$71)*CE32), N($AK$67:$AK$71&gt;$AI32)),
SUMPRODUCT(INDEX($AL$57:$AN$66,,$AE32), INDEX($AO$57:$AU$66,,$AD32), 1 / ($AW$57:$AW$66*CI32 + (1-$AW$57:$AW$66)*CE32), N($AK$57:$AK$66&gt;$AI32))
) / 1000</f>
        <v>0</v>
      </c>
      <c r="CK32" s="250">
        <f t="shared" si="37"/>
        <v>20</v>
      </c>
      <c r="CL32" s="237">
        <f t="shared" si="38"/>
        <v>33</v>
      </c>
      <c r="CM32" s="253">
        <f t="shared" si="39"/>
        <v>4.8487499999999999</v>
      </c>
      <c r="CN32" s="253" cm="1">
        <f t="array" ref="CN32">$BC32 * IF($AD32&lt;=2,
SUMPRODUCT(INDEX($AL$62:$AN$66,,$AE32), INDEX($AO$62:$AU$66,,$AD32), 1 / ($AV$62:$AV$66*CM32 + (1-$AV$62:$AV$66)*CI32), N($AK$62:$AK$66&gt;$AI32)),
SUMPRODUCT(INDEX($AL$47:$AN$56,,$AE32), INDEX($AO$47:$AU$56,,$AD32), 1 / ($AW$47:$AW$56*CM32 + (1-$AW$47:$AW$56)*CI32), N($AK$47:$AK$56&gt;$AI32))
) / 1000</f>
        <v>0</v>
      </c>
      <c r="CO32" s="253" cm="1">
        <f t="array" ref="CO32">$BC32 * IF($AD32&lt;=2,
SUMPRODUCT(INDEX($AL$23:$AN$61,,$AE32), INDEX($AO$23:$AU$61,,$AD32), 1 / ($AV$23:$AV$61*CM32), N($AK$23:$AK$61&gt;$AI32)),
SUMPRODUCT(INDEX($AL$23:$AN$46,,$AE32), INDEX($AO$23:$AU$46,,$AD32), 1 / ($AW$23:$AW$46*CM32), N($AK$23:$AK$46&gt;$AI32))
) / 1000</f>
        <v>0</v>
      </c>
      <c r="CP32" s="237">
        <f t="shared" si="40"/>
        <v>0</v>
      </c>
      <c r="CQ32" s="210"/>
    </row>
    <row r="33" spans="1:95" s="76" customFormat="1" ht="14.25" customHeight="1" x14ac:dyDescent="0.25">
      <c r="A33" s="238" t="b">
        <f t="shared" si="0"/>
        <v>0</v>
      </c>
      <c r="B33" s="239">
        <v>11</v>
      </c>
      <c r="C33" s="258"/>
      <c r="D33" s="258"/>
      <c r="E33" s="240"/>
      <c r="F33" s="241" t="str">
        <f>IF(ISBLANK(E33), "", VLOOKUP(E33, Z!$A$2:$C$4127, 3, FALSE))</f>
        <v/>
      </c>
      <c r="G33" s="242"/>
      <c r="H33" s="242"/>
      <c r="I33" s="243"/>
      <c r="J33" s="244"/>
      <c r="K33" s="259"/>
      <c r="L33" s="260"/>
      <c r="M33" s="247" t="str" cm="1">
        <f t="array" ref="M33">IF($K33&gt;0, INDEX(Clean,1+AG33,$C$1), "")</f>
        <v/>
      </c>
      <c r="N33" s="245"/>
      <c r="O33" s="245"/>
      <c r="P33" s="246"/>
      <c r="Q33" s="248">
        <f t="shared" si="6"/>
        <v>0</v>
      </c>
      <c r="R33" s="247" t="str" cm="1">
        <f t="array" ref="R33">IF($K33&gt;0, INDEX(Clean,1+AH33,$C$1), "")</f>
        <v/>
      </c>
      <c r="S33" s="245"/>
      <c r="T33" s="245"/>
      <c r="U33" s="246"/>
      <c r="V33" s="248">
        <f t="shared" si="7"/>
        <v>0</v>
      </c>
      <c r="W33" s="261"/>
      <c r="X33" s="258"/>
      <c r="Y33" s="240"/>
      <c r="Z33" s="241" t="str">
        <f>IF(ISBLANK(Y33), "", VLOOKUP(Y33, Z!$A$2:$C$4127, 3, FALSE))</f>
        <v/>
      </c>
      <c r="AA33" s="262"/>
      <c r="AB33" s="249">
        <f t="shared" si="8"/>
        <v>0</v>
      </c>
      <c r="AC33" s="210"/>
      <c r="AD33" s="236">
        <f t="shared" ref="AD33" si="65">IF(ISBLANK(H33), 1, IFERROR(MATCH(H33, INDEX(Use,,1), 0), IFERROR(MATCH(H33, INDEX(Use,,2), 0), MATCH(H33, INDEX(Use,,3), 0))))</f>
        <v>1</v>
      </c>
      <c r="AE33" s="236">
        <f t="shared" ref="AE33" si="66">IF(ISBLANK(G33), 1, IFERROR(MATCH(G33, INDEX(Loc,,1), 0), IFERROR(MATCH(G33, INDEX(Loc,,2), 0), MATCH(G33, INDEX(Loc,,3), 0))))</f>
        <v>1</v>
      </c>
      <c r="AF33" s="236">
        <f t="shared" ref="AF33" si="67">_xlfn.IFNA(IF(IFERROR(MATCH(I33, INDEX(Medium,,1), 0), IFERROR(MATCH(I33, INDEX(Medium,,2), 0), MATCH(I33, INDEX(Medium,,3), 0))) = 2, 1, 0), 0)</f>
        <v>0</v>
      </c>
      <c r="AG33" s="236">
        <v>1</v>
      </c>
      <c r="AH33" s="236">
        <v>0</v>
      </c>
      <c r="AI33" s="236">
        <f t="shared" si="4"/>
        <v>-100</v>
      </c>
      <c r="AJ33" s="210"/>
      <c r="AK33" s="236">
        <v>-9</v>
      </c>
      <c r="AL33" s="250">
        <v>0</v>
      </c>
      <c r="AM33" s="250">
        <v>4</v>
      </c>
      <c r="AN33" s="250">
        <v>45</v>
      </c>
      <c r="AO33" s="251">
        <f t="shared" si="5"/>
        <v>0</v>
      </c>
      <c r="AP33" s="251">
        <f t="shared" si="5"/>
        <v>0</v>
      </c>
      <c r="AQ33" s="251" cm="1">
        <f t="array" ref="AQ33">MIN(INDEX(Use,AQ$21,5) + MAX(0, (1-INDEX(Use,AQ$21,5))*($AK33-5)/(35-5)), 1)</f>
        <v>0.4</v>
      </c>
      <c r="AR33" s="251" cm="1">
        <f t="array" ref="AR33">MIN(INDEX(Use,AR$21,5) + MAX(0, (1-INDEX(Use,AR$21,5))*($AK33-5)/(35-5)), 1)</f>
        <v>0.6</v>
      </c>
      <c r="AS33" s="251" cm="1">
        <f t="array" ref="AS33">MIN(INDEX(Use,AS$21,5) + MAX(0, (1-INDEX(Use,AS$21,5))*($AK33-5)/(35-5)), 1)</f>
        <v>0.8</v>
      </c>
      <c r="AT33" s="251" cm="1">
        <f t="array" ref="AT33">MIN(INDEX(Use,AT$21,5) + MAX(0, (1-INDEX(Use,AT$21,5))*($AK33-5)/(35-5)), 1)</f>
        <v>0.8</v>
      </c>
      <c r="AU33" s="251" cm="1">
        <f t="array" ref="AU33">MIN(INDEX(Use,AU$21,5) + MAX(0, (1-INDEX(Use,AU$21,5))*($AK33-5)/(35-5)), 1)</f>
        <v>0.8</v>
      </c>
      <c r="AV33" s="251">
        <v>1</v>
      </c>
      <c r="AW33" s="251">
        <v>1</v>
      </c>
      <c r="AX33" s="212"/>
      <c r="AY33" s="236" cm="1">
        <f t="array" ref="AY33">INDEX(Use, $AD33, 4)</f>
        <v>7</v>
      </c>
      <c r="AZ33" s="236">
        <f t="shared" si="12"/>
        <v>32</v>
      </c>
      <c r="BA33" s="236">
        <f t="shared" si="13"/>
        <v>13</v>
      </c>
      <c r="BB33" s="236">
        <f t="shared" si="14"/>
        <v>0</v>
      </c>
      <c r="BC33" s="252" cm="1">
        <f t="array" ref="BC33">K33/IF($L33&gt;0, INDEX($AO$23:$AU$77, $L33+20, $AD33), 1)</f>
        <v>0</v>
      </c>
      <c r="BD33" s="237">
        <f t="shared" si="15"/>
        <v>0</v>
      </c>
      <c r="BE33" s="236">
        <v>35</v>
      </c>
      <c r="BF33" s="237">
        <f t="shared" si="16"/>
        <v>52.55</v>
      </c>
      <c r="BG33" s="253">
        <f t="shared" si="17"/>
        <v>2.7676728869374316</v>
      </c>
      <c r="BH33" s="253" cm="1">
        <f t="array" ref="BH33">$BC33 * SUMPRODUCT(INDEX($AL$77:$AN$82,,$AE33),INDEX($AO$77:$AU$82,,$AD33), N($AK$77:$AK$82&gt;$AI33)) / BG33 / 1000</f>
        <v>0</v>
      </c>
      <c r="BI33" s="250">
        <f t="shared" si="18"/>
        <v>30</v>
      </c>
      <c r="BJ33" s="237">
        <f t="shared" si="19"/>
        <v>46.033333333333331</v>
      </c>
      <c r="BK33" s="253">
        <f t="shared" si="20"/>
        <v>3.2297395388556791</v>
      </c>
      <c r="BL33" s="253" cm="1">
        <f t="array" ref="BL33">$BC33 * IF($AD33&lt;=2,
SUMPRODUCT(INDEX($AL$72:$AN$76,,$AE33), INDEX($AO$72:$AU$76,,$AD33), 1 / ($AV$72:$AV$76*BK33 + (1-$AV$72:$AV$76)*BG33), N($AK$72:$AK$76&gt;$AI33)),
SUMPRODUCT(INDEX($AL$67:$AN$76,,$AE33), INDEX($AO$67:$AU$76,,$AD33), 1 / ($AW$67:$AW$76*BK33 + (1-$AW$67:$AW$76)*BG33), N($AK$67:$AK$76&gt;$AI33))
) / 1000</f>
        <v>0</v>
      </c>
      <c r="BM33" s="250">
        <f t="shared" si="21"/>
        <v>25</v>
      </c>
      <c r="BN33" s="237">
        <f t="shared" si="22"/>
        <v>39.516666666666666</v>
      </c>
      <c r="BO33" s="253">
        <f t="shared" si="23"/>
        <v>3.877011788826243</v>
      </c>
      <c r="BP33" s="253" cm="1">
        <f t="array" ref="BP33">$BC33 * IF($AD33&lt;=2,
SUMPRODUCT(INDEX($AL$67:$AN$71,,$AE33), INDEX($AO$67:$AU$71,,$AD33), 1 / ($AV$67:$AV$71*BO33 + (1-$AV$67:$AV$71)*BK33), N($AK$67:$AK$71&gt;$AI33)),
SUMPRODUCT(INDEX($AL$57:$AN$66,,$AE33), INDEX($AO$57:$AU$66,,$AD33), 1 / ($AW$57:$AW$66*BO33 + (1-$AW$57:$AW$66)*BK33), N($AK$57:$AK$66&gt;$AI33))
) / 1000</f>
        <v>0</v>
      </c>
      <c r="BQ33" s="250">
        <f t="shared" si="24"/>
        <v>20</v>
      </c>
      <c r="BR33" s="237">
        <f t="shared" si="25"/>
        <v>33</v>
      </c>
      <c r="BS33" s="253">
        <f t="shared" si="26"/>
        <v>4.8487499999999999</v>
      </c>
      <c r="BT33" s="253" cm="1">
        <f t="array" ref="BT33">$BC33 * IF($AD33&lt;=2,
SUMPRODUCT(INDEX($AL$62:$AN$66,,$AE33), INDEX($AO$62:$AU$66,,$AD33), 1 / ($AV$62:$AV$66*BS33 + (1-$AV$62:$AV$66)*BO33), N($AK$62:$AK$66&gt;$AI33)),
SUMPRODUCT(INDEX($AL$47:$AN$56,,$AE33), INDEX($AO$47:$AU$56,,$AD33), 1 / ($AW$47:$AW$56*BS33 + (1-$AW$47:$AW$56)*BO33), N($AK$47:$AK$56&gt;$AI33))
) / 1000</f>
        <v>0</v>
      </c>
      <c r="BU33" s="253" cm="1">
        <f t="array" ref="BU33">$BC33 * IF($AD33&lt;=2,
SUMPRODUCT(INDEX($AL$23:$AN$61,,$AE33), INDEX($AO$23:$AU$61,,$AD33), 1 / ($AV$23:$AV$61*BS33), N($AK$23:$AK$61&gt;$AI33)),
SUMPRODUCT(INDEX($AL$23:$AN$46,,$AE33), INDEX($AO$23:$AU$46,,$AD33), 1 / ($AW$23:$AW$46*BS33), N($AK$23:$AK$46&gt;$AI33))
) / 1000</f>
        <v>0</v>
      </c>
      <c r="BV33" s="237">
        <f t="shared" si="27"/>
        <v>0</v>
      </c>
      <c r="BW33" s="210"/>
      <c r="BX33" s="237">
        <f t="shared" si="28"/>
        <v>0</v>
      </c>
      <c r="BY33" s="236">
        <v>35</v>
      </c>
      <c r="BZ33" s="237">
        <f t="shared" si="29"/>
        <v>48</v>
      </c>
      <c r="CA33" s="253">
        <f t="shared" si="30"/>
        <v>3.0748170731707316</v>
      </c>
      <c r="CB33" s="253" cm="1">
        <f t="array" ref="CB33">$BC33 * SUMPRODUCT(INDEX($AL$77:$AN$82,,$AE33),INDEX($AO$77:$AU$82,,$AD33), N($AK$77:$AK$82&gt;$AI33)) / CA33 / 1000</f>
        <v>0</v>
      </c>
      <c r="CC33" s="250">
        <f t="shared" si="31"/>
        <v>30</v>
      </c>
      <c r="CD33" s="237">
        <f t="shared" si="32"/>
        <v>43</v>
      </c>
      <c r="CE33" s="253">
        <f t="shared" si="33"/>
        <v>3.5018750000000001</v>
      </c>
      <c r="CF33" s="253" cm="1">
        <f t="array" ref="CF33">$BC33 * IF($AD33&lt;=2,
SUMPRODUCT(INDEX($AL$72:$AN$76,,$AE33), INDEX($AO$72:$AU$76,,$AD33), 1 / ($AV$72:$AV$76*CE33 + (1-$AV$72:$AV$76)*CA33), N($AK$72:$AK$76&gt;$AI33)),
SUMPRODUCT(INDEX($AL$67:$AN$76,,$AE33), INDEX($AO$67:$AU$76,,$AD33), 1 / ($AW$67:$AW$76*CE33 + (1-$AW$67:$AW$76)*CA33), N($AK$67:$AK$76&gt;$AI33))
) / 1000</f>
        <v>0</v>
      </c>
      <c r="CG33" s="250">
        <f t="shared" si="34"/>
        <v>25</v>
      </c>
      <c r="CH33" s="237">
        <f t="shared" si="35"/>
        <v>38</v>
      </c>
      <c r="CI33" s="253">
        <f t="shared" si="36"/>
        <v>4.0666935483870965</v>
      </c>
      <c r="CJ33" s="253" cm="1">
        <f t="array" ref="CJ33">$BC33 * IF($AD33&lt;=2,
SUMPRODUCT(INDEX($AL$67:$AN$71,,$AE33), INDEX($AO$67:$AU$71,,$AD33), 1 / ($AV$67:$AV$71*CI33 + (1-$AV$67:$AV$71)*CE33), N($AK$67:$AK$71&gt;$AI33)),
SUMPRODUCT(INDEX($AL$57:$AN$66,,$AE33), INDEX($AO$57:$AU$66,,$AD33), 1 / ($AW$57:$AW$66*CI33 + (1-$AW$57:$AW$66)*CE33), N($AK$57:$AK$66&gt;$AI33))
) / 1000</f>
        <v>0</v>
      </c>
      <c r="CK33" s="250">
        <f t="shared" si="37"/>
        <v>20</v>
      </c>
      <c r="CL33" s="237">
        <f t="shared" si="38"/>
        <v>33</v>
      </c>
      <c r="CM33" s="253">
        <f t="shared" si="39"/>
        <v>4.8487499999999999</v>
      </c>
      <c r="CN33" s="253" cm="1">
        <f t="array" ref="CN33">$BC33 * IF($AD33&lt;=2,
SUMPRODUCT(INDEX($AL$62:$AN$66,,$AE33), INDEX($AO$62:$AU$66,,$AD33), 1 / ($AV$62:$AV$66*CM33 + (1-$AV$62:$AV$66)*CI33), N($AK$62:$AK$66&gt;$AI33)),
SUMPRODUCT(INDEX($AL$47:$AN$56,,$AE33), INDEX($AO$47:$AU$56,,$AD33), 1 / ($AW$47:$AW$56*CM33 + (1-$AW$47:$AW$56)*CI33), N($AK$47:$AK$56&gt;$AI33))
) / 1000</f>
        <v>0</v>
      </c>
      <c r="CO33" s="253" cm="1">
        <f t="array" ref="CO33">$BC33 * IF($AD33&lt;=2,
SUMPRODUCT(INDEX($AL$23:$AN$61,,$AE33), INDEX($AO$23:$AU$61,,$AD33), 1 / ($AV$23:$AV$61*CM33), N($AK$23:$AK$61&gt;$AI33)),
SUMPRODUCT(INDEX($AL$23:$AN$46,,$AE33), INDEX($AO$23:$AU$46,,$AD33), 1 / ($AW$23:$AW$46*CM33), N($AK$23:$AK$46&gt;$AI33))
) / 1000</f>
        <v>0</v>
      </c>
      <c r="CP33" s="237">
        <f t="shared" si="40"/>
        <v>0</v>
      </c>
      <c r="CQ33" s="210"/>
    </row>
    <row r="34" spans="1:95" s="76" customFormat="1" ht="14.25" customHeight="1" x14ac:dyDescent="0.25">
      <c r="A34" s="238" t="b">
        <f t="shared" si="0"/>
        <v>0</v>
      </c>
      <c r="B34" s="239">
        <v>12</v>
      </c>
      <c r="C34" s="258"/>
      <c r="D34" s="258"/>
      <c r="E34" s="240"/>
      <c r="F34" s="241" t="str">
        <f>IF(ISBLANK(E34), "", VLOOKUP(E34, Z!$A$2:$C$4127, 3, FALSE))</f>
        <v/>
      </c>
      <c r="G34" s="242"/>
      <c r="H34" s="242"/>
      <c r="I34" s="243"/>
      <c r="J34" s="244"/>
      <c r="K34" s="259"/>
      <c r="L34" s="260"/>
      <c r="M34" s="247" t="str" cm="1">
        <f t="array" ref="M34">IF($K34&gt;0, INDEX(Clean,1+AG34,$C$1), "")</f>
        <v/>
      </c>
      <c r="N34" s="245"/>
      <c r="O34" s="245"/>
      <c r="P34" s="246"/>
      <c r="Q34" s="248">
        <f t="shared" si="6"/>
        <v>0</v>
      </c>
      <c r="R34" s="247" t="str" cm="1">
        <f t="array" ref="R34">IF($K34&gt;0, INDEX(Clean,1+AH34,$C$1), "")</f>
        <v/>
      </c>
      <c r="S34" s="245"/>
      <c r="T34" s="245"/>
      <c r="U34" s="246"/>
      <c r="V34" s="248">
        <f t="shared" si="7"/>
        <v>0</v>
      </c>
      <c r="W34" s="261"/>
      <c r="X34" s="258"/>
      <c r="Y34" s="240"/>
      <c r="Z34" s="241" t="str">
        <f>IF(ISBLANK(Y34), "", VLOOKUP(Y34, Z!$A$2:$C$4127, 3, FALSE))</f>
        <v/>
      </c>
      <c r="AA34" s="262"/>
      <c r="AB34" s="249">
        <f t="shared" si="8"/>
        <v>0</v>
      </c>
      <c r="AC34" s="210"/>
      <c r="AD34" s="236">
        <f t="shared" ref="AD34" si="68">IF(ISBLANK(H34), 1, IFERROR(MATCH(H34, INDEX(Use,,1), 0), IFERROR(MATCH(H34, INDEX(Use,,2), 0), MATCH(H34, INDEX(Use,,3), 0))))</f>
        <v>1</v>
      </c>
      <c r="AE34" s="236">
        <f t="shared" ref="AE34" si="69">IF(ISBLANK(G34), 1, IFERROR(MATCH(G34, INDEX(Loc,,1), 0), IFERROR(MATCH(G34, INDEX(Loc,,2), 0), MATCH(G34, INDEX(Loc,,3), 0))))</f>
        <v>1</v>
      </c>
      <c r="AF34" s="236">
        <f t="shared" ref="AF34" si="70">_xlfn.IFNA(IF(IFERROR(MATCH(I34, INDEX(Medium,,1), 0), IFERROR(MATCH(I34, INDEX(Medium,,2), 0), MATCH(I34, INDEX(Medium,,3), 0))) = 2, 1, 0), 0)</f>
        <v>0</v>
      </c>
      <c r="AG34" s="236">
        <v>1</v>
      </c>
      <c r="AH34" s="236">
        <v>0</v>
      </c>
      <c r="AI34" s="236">
        <f t="shared" si="4"/>
        <v>-100</v>
      </c>
      <c r="AJ34" s="210"/>
      <c r="AK34" s="236">
        <v>-8</v>
      </c>
      <c r="AL34" s="250">
        <v>0</v>
      </c>
      <c r="AM34" s="250">
        <v>3</v>
      </c>
      <c r="AN34" s="250">
        <v>48</v>
      </c>
      <c r="AO34" s="251">
        <f t="shared" si="5"/>
        <v>0</v>
      </c>
      <c r="AP34" s="251">
        <f t="shared" si="5"/>
        <v>0</v>
      </c>
      <c r="AQ34" s="251" cm="1">
        <f t="array" ref="AQ34">MIN(INDEX(Use,AQ$21,5) + MAX(0, (1-INDEX(Use,AQ$21,5))*($AK34-5)/(35-5)), 1)</f>
        <v>0.4</v>
      </c>
      <c r="AR34" s="251" cm="1">
        <f t="array" ref="AR34">MIN(INDEX(Use,AR$21,5) + MAX(0, (1-INDEX(Use,AR$21,5))*($AK34-5)/(35-5)), 1)</f>
        <v>0.6</v>
      </c>
      <c r="AS34" s="251" cm="1">
        <f t="array" ref="AS34">MIN(INDEX(Use,AS$21,5) + MAX(0, (1-INDEX(Use,AS$21,5))*($AK34-5)/(35-5)), 1)</f>
        <v>0.8</v>
      </c>
      <c r="AT34" s="251" cm="1">
        <f t="array" ref="AT34">MIN(INDEX(Use,AT$21,5) + MAX(0, (1-INDEX(Use,AT$21,5))*($AK34-5)/(35-5)), 1)</f>
        <v>0.8</v>
      </c>
      <c r="AU34" s="251" cm="1">
        <f t="array" ref="AU34">MIN(INDEX(Use,AU$21,5) + MAX(0, (1-INDEX(Use,AU$21,5))*($AK34-5)/(35-5)), 1)</f>
        <v>0.8</v>
      </c>
      <c r="AV34" s="251">
        <v>1</v>
      </c>
      <c r="AW34" s="251">
        <v>1</v>
      </c>
      <c r="AX34" s="212"/>
      <c r="AY34" s="236" cm="1">
        <f t="array" ref="AY34">INDEX(Use, $AD34, 4)</f>
        <v>7</v>
      </c>
      <c r="AZ34" s="236">
        <f t="shared" si="12"/>
        <v>32</v>
      </c>
      <c r="BA34" s="236">
        <f t="shared" si="13"/>
        <v>13</v>
      </c>
      <c r="BB34" s="236">
        <f t="shared" si="14"/>
        <v>0</v>
      </c>
      <c r="BC34" s="252" cm="1">
        <f t="array" ref="BC34">K34/IF($L34&gt;0, INDEX($AO$23:$AU$77, $L34+20, $AD34), 1)</f>
        <v>0</v>
      </c>
      <c r="BD34" s="237">
        <f t="shared" si="15"/>
        <v>0</v>
      </c>
      <c r="BE34" s="236">
        <v>35</v>
      </c>
      <c r="BF34" s="237">
        <f t="shared" si="16"/>
        <v>52.55</v>
      </c>
      <c r="BG34" s="253">
        <f t="shared" si="17"/>
        <v>2.7676728869374316</v>
      </c>
      <c r="BH34" s="253" cm="1">
        <f t="array" ref="BH34">$BC34 * SUMPRODUCT(INDEX($AL$77:$AN$82,,$AE34),INDEX($AO$77:$AU$82,,$AD34), N($AK$77:$AK$82&gt;$AI34)) / BG34 / 1000</f>
        <v>0</v>
      </c>
      <c r="BI34" s="250">
        <f t="shared" si="18"/>
        <v>30</v>
      </c>
      <c r="BJ34" s="237">
        <f t="shared" si="19"/>
        <v>46.033333333333331</v>
      </c>
      <c r="BK34" s="253">
        <f t="shared" si="20"/>
        <v>3.2297395388556791</v>
      </c>
      <c r="BL34" s="253" cm="1">
        <f t="array" ref="BL34">$BC34 * IF($AD34&lt;=2,
SUMPRODUCT(INDEX($AL$72:$AN$76,,$AE34), INDEX($AO$72:$AU$76,,$AD34), 1 / ($AV$72:$AV$76*BK34 + (1-$AV$72:$AV$76)*BG34), N($AK$72:$AK$76&gt;$AI34)),
SUMPRODUCT(INDEX($AL$67:$AN$76,,$AE34), INDEX($AO$67:$AU$76,,$AD34), 1 / ($AW$67:$AW$76*BK34 + (1-$AW$67:$AW$76)*BG34), N($AK$67:$AK$76&gt;$AI34))
) / 1000</f>
        <v>0</v>
      </c>
      <c r="BM34" s="250">
        <f t="shared" si="21"/>
        <v>25</v>
      </c>
      <c r="BN34" s="237">
        <f t="shared" si="22"/>
        <v>39.516666666666666</v>
      </c>
      <c r="BO34" s="253">
        <f t="shared" si="23"/>
        <v>3.877011788826243</v>
      </c>
      <c r="BP34" s="253" cm="1">
        <f t="array" ref="BP34">$BC34 * IF($AD34&lt;=2,
SUMPRODUCT(INDEX($AL$67:$AN$71,,$AE34), INDEX($AO$67:$AU$71,,$AD34), 1 / ($AV$67:$AV$71*BO34 + (1-$AV$67:$AV$71)*BK34), N($AK$67:$AK$71&gt;$AI34)),
SUMPRODUCT(INDEX($AL$57:$AN$66,,$AE34), INDEX($AO$57:$AU$66,,$AD34), 1 / ($AW$57:$AW$66*BO34 + (1-$AW$57:$AW$66)*BK34), N($AK$57:$AK$66&gt;$AI34))
) / 1000</f>
        <v>0</v>
      </c>
      <c r="BQ34" s="250">
        <f t="shared" si="24"/>
        <v>20</v>
      </c>
      <c r="BR34" s="237">
        <f t="shared" si="25"/>
        <v>33</v>
      </c>
      <c r="BS34" s="253">
        <f t="shared" si="26"/>
        <v>4.8487499999999999</v>
      </c>
      <c r="BT34" s="253" cm="1">
        <f t="array" ref="BT34">$BC34 * IF($AD34&lt;=2,
SUMPRODUCT(INDEX($AL$62:$AN$66,,$AE34), INDEX($AO$62:$AU$66,,$AD34), 1 / ($AV$62:$AV$66*BS34 + (1-$AV$62:$AV$66)*BO34), N($AK$62:$AK$66&gt;$AI34)),
SUMPRODUCT(INDEX($AL$47:$AN$56,,$AE34), INDEX($AO$47:$AU$56,,$AD34), 1 / ($AW$47:$AW$56*BS34 + (1-$AW$47:$AW$56)*BO34), N($AK$47:$AK$56&gt;$AI34))
) / 1000</f>
        <v>0</v>
      </c>
      <c r="BU34" s="253" cm="1">
        <f t="array" ref="BU34">$BC34 * IF($AD34&lt;=2,
SUMPRODUCT(INDEX($AL$23:$AN$61,,$AE34), INDEX($AO$23:$AU$61,,$AD34), 1 / ($AV$23:$AV$61*BS34), N($AK$23:$AK$61&gt;$AI34)),
SUMPRODUCT(INDEX($AL$23:$AN$46,,$AE34), INDEX($AO$23:$AU$46,,$AD34), 1 / ($AW$23:$AW$46*BS34), N($AK$23:$AK$46&gt;$AI34))
) / 1000</f>
        <v>0</v>
      </c>
      <c r="BV34" s="237">
        <f t="shared" si="27"/>
        <v>0</v>
      </c>
      <c r="BW34" s="210"/>
      <c r="BX34" s="237">
        <f t="shared" si="28"/>
        <v>0</v>
      </c>
      <c r="BY34" s="236">
        <v>35</v>
      </c>
      <c r="BZ34" s="237">
        <f t="shared" si="29"/>
        <v>48</v>
      </c>
      <c r="CA34" s="253">
        <f t="shared" si="30"/>
        <v>3.0748170731707316</v>
      </c>
      <c r="CB34" s="253" cm="1">
        <f t="array" ref="CB34">$BC34 * SUMPRODUCT(INDEX($AL$77:$AN$82,,$AE34),INDEX($AO$77:$AU$82,,$AD34), N($AK$77:$AK$82&gt;$AI34)) / CA34 / 1000</f>
        <v>0</v>
      </c>
      <c r="CC34" s="250">
        <f t="shared" si="31"/>
        <v>30</v>
      </c>
      <c r="CD34" s="237">
        <f t="shared" si="32"/>
        <v>43</v>
      </c>
      <c r="CE34" s="253">
        <f t="shared" si="33"/>
        <v>3.5018750000000001</v>
      </c>
      <c r="CF34" s="253" cm="1">
        <f t="array" ref="CF34">$BC34 * IF($AD34&lt;=2,
SUMPRODUCT(INDEX($AL$72:$AN$76,,$AE34), INDEX($AO$72:$AU$76,,$AD34), 1 / ($AV$72:$AV$76*CE34 + (1-$AV$72:$AV$76)*CA34), N($AK$72:$AK$76&gt;$AI34)),
SUMPRODUCT(INDEX($AL$67:$AN$76,,$AE34), INDEX($AO$67:$AU$76,,$AD34), 1 / ($AW$67:$AW$76*CE34 + (1-$AW$67:$AW$76)*CA34), N($AK$67:$AK$76&gt;$AI34))
) / 1000</f>
        <v>0</v>
      </c>
      <c r="CG34" s="250">
        <f t="shared" si="34"/>
        <v>25</v>
      </c>
      <c r="CH34" s="237">
        <f t="shared" si="35"/>
        <v>38</v>
      </c>
      <c r="CI34" s="253">
        <f t="shared" si="36"/>
        <v>4.0666935483870965</v>
      </c>
      <c r="CJ34" s="253" cm="1">
        <f t="array" ref="CJ34">$BC34 * IF($AD34&lt;=2,
SUMPRODUCT(INDEX($AL$67:$AN$71,,$AE34), INDEX($AO$67:$AU$71,,$AD34), 1 / ($AV$67:$AV$71*CI34 + (1-$AV$67:$AV$71)*CE34), N($AK$67:$AK$71&gt;$AI34)),
SUMPRODUCT(INDEX($AL$57:$AN$66,,$AE34), INDEX($AO$57:$AU$66,,$AD34), 1 / ($AW$57:$AW$66*CI34 + (1-$AW$57:$AW$66)*CE34), N($AK$57:$AK$66&gt;$AI34))
) / 1000</f>
        <v>0</v>
      </c>
      <c r="CK34" s="250">
        <f t="shared" si="37"/>
        <v>20</v>
      </c>
      <c r="CL34" s="237">
        <f t="shared" si="38"/>
        <v>33</v>
      </c>
      <c r="CM34" s="253">
        <f t="shared" si="39"/>
        <v>4.8487499999999999</v>
      </c>
      <c r="CN34" s="253" cm="1">
        <f t="array" ref="CN34">$BC34 * IF($AD34&lt;=2,
SUMPRODUCT(INDEX($AL$62:$AN$66,,$AE34), INDEX($AO$62:$AU$66,,$AD34), 1 / ($AV$62:$AV$66*CM34 + (1-$AV$62:$AV$66)*CI34), N($AK$62:$AK$66&gt;$AI34)),
SUMPRODUCT(INDEX($AL$47:$AN$56,,$AE34), INDEX($AO$47:$AU$56,,$AD34), 1 / ($AW$47:$AW$56*CM34 + (1-$AW$47:$AW$56)*CI34), N($AK$47:$AK$56&gt;$AI34))
) / 1000</f>
        <v>0</v>
      </c>
      <c r="CO34" s="253" cm="1">
        <f t="array" ref="CO34">$BC34 * IF($AD34&lt;=2,
SUMPRODUCT(INDEX($AL$23:$AN$61,,$AE34), INDEX($AO$23:$AU$61,,$AD34), 1 / ($AV$23:$AV$61*CM34), N($AK$23:$AK$61&gt;$AI34)),
SUMPRODUCT(INDEX($AL$23:$AN$46,,$AE34), INDEX($AO$23:$AU$46,,$AD34), 1 / ($AW$23:$AW$46*CM34), N($AK$23:$AK$46&gt;$AI34))
) / 1000</f>
        <v>0</v>
      </c>
      <c r="CP34" s="237">
        <f t="shared" si="40"/>
        <v>0</v>
      </c>
      <c r="CQ34" s="210"/>
    </row>
    <row r="35" spans="1:95" s="76" customFormat="1" ht="14.25" customHeight="1" x14ac:dyDescent="0.25">
      <c r="A35" s="238" t="b">
        <f t="shared" si="0"/>
        <v>0</v>
      </c>
      <c r="B35" s="239">
        <v>13</v>
      </c>
      <c r="C35" s="258"/>
      <c r="D35" s="258"/>
      <c r="E35" s="240"/>
      <c r="F35" s="241" t="str">
        <f>IF(ISBLANK(E35), "", VLOOKUP(E35, Z!$A$2:$C$4127, 3, FALSE))</f>
        <v/>
      </c>
      <c r="G35" s="242"/>
      <c r="H35" s="242"/>
      <c r="I35" s="243"/>
      <c r="J35" s="244"/>
      <c r="K35" s="259"/>
      <c r="L35" s="260"/>
      <c r="M35" s="247" t="str" cm="1">
        <f t="array" ref="M35">IF($K35&gt;0, INDEX(Clean,1+AG35,$C$1), "")</f>
        <v/>
      </c>
      <c r="N35" s="245"/>
      <c r="O35" s="245"/>
      <c r="P35" s="246"/>
      <c r="Q35" s="248">
        <f t="shared" si="6"/>
        <v>0</v>
      </c>
      <c r="R35" s="247" t="str" cm="1">
        <f t="array" ref="R35">IF($K35&gt;0, INDEX(Clean,1+AH35,$C$1), "")</f>
        <v/>
      </c>
      <c r="S35" s="245"/>
      <c r="T35" s="245"/>
      <c r="U35" s="246"/>
      <c r="V35" s="248">
        <f t="shared" si="7"/>
        <v>0</v>
      </c>
      <c r="W35" s="261"/>
      <c r="X35" s="258"/>
      <c r="Y35" s="240"/>
      <c r="Z35" s="241" t="str">
        <f>IF(ISBLANK(Y35), "", VLOOKUP(Y35, Z!$A$2:$C$4127, 3, FALSE))</f>
        <v/>
      </c>
      <c r="AA35" s="262"/>
      <c r="AB35" s="249">
        <f t="shared" si="8"/>
        <v>0</v>
      </c>
      <c r="AC35" s="210"/>
      <c r="AD35" s="236">
        <f t="shared" ref="AD35" si="71">IF(ISBLANK(H35), 1, IFERROR(MATCH(H35, INDEX(Use,,1), 0), IFERROR(MATCH(H35, INDEX(Use,,2), 0), MATCH(H35, INDEX(Use,,3), 0))))</f>
        <v>1</v>
      </c>
      <c r="AE35" s="236">
        <f t="shared" ref="AE35" si="72">IF(ISBLANK(G35), 1, IFERROR(MATCH(G35, INDEX(Loc,,1), 0), IFERROR(MATCH(G35, INDEX(Loc,,2), 0), MATCH(G35, INDEX(Loc,,3), 0))))</f>
        <v>1</v>
      </c>
      <c r="AF35" s="236">
        <f t="shared" ref="AF35" si="73">_xlfn.IFNA(IF(IFERROR(MATCH(I35, INDEX(Medium,,1), 0), IFERROR(MATCH(I35, INDEX(Medium,,2), 0), MATCH(I35, INDEX(Medium,,3), 0))) = 2, 1, 0), 0)</f>
        <v>0</v>
      </c>
      <c r="AG35" s="236">
        <v>1</v>
      </c>
      <c r="AH35" s="236">
        <v>0</v>
      </c>
      <c r="AI35" s="236">
        <f t="shared" si="4"/>
        <v>-100</v>
      </c>
      <c r="AJ35" s="210"/>
      <c r="AK35" s="236">
        <v>-7</v>
      </c>
      <c r="AL35" s="250">
        <v>0</v>
      </c>
      <c r="AM35" s="250">
        <v>3</v>
      </c>
      <c r="AN35" s="250">
        <v>68</v>
      </c>
      <c r="AO35" s="251">
        <f t="shared" si="5"/>
        <v>0</v>
      </c>
      <c r="AP35" s="251">
        <f t="shared" si="5"/>
        <v>0</v>
      </c>
      <c r="AQ35" s="251" cm="1">
        <f t="array" ref="AQ35">MIN(INDEX(Use,AQ$21,5) + MAX(0, (1-INDEX(Use,AQ$21,5))*($AK35-5)/(35-5)), 1)</f>
        <v>0.4</v>
      </c>
      <c r="AR35" s="251" cm="1">
        <f t="array" ref="AR35">MIN(INDEX(Use,AR$21,5) + MAX(0, (1-INDEX(Use,AR$21,5))*($AK35-5)/(35-5)), 1)</f>
        <v>0.6</v>
      </c>
      <c r="AS35" s="251" cm="1">
        <f t="array" ref="AS35">MIN(INDEX(Use,AS$21,5) + MAX(0, (1-INDEX(Use,AS$21,5))*($AK35-5)/(35-5)), 1)</f>
        <v>0.8</v>
      </c>
      <c r="AT35" s="251" cm="1">
        <f t="array" ref="AT35">MIN(INDEX(Use,AT$21,5) + MAX(0, (1-INDEX(Use,AT$21,5))*($AK35-5)/(35-5)), 1)</f>
        <v>0.8</v>
      </c>
      <c r="AU35" s="251" cm="1">
        <f t="array" ref="AU35">MIN(INDEX(Use,AU$21,5) + MAX(0, (1-INDEX(Use,AU$21,5))*($AK35-5)/(35-5)), 1)</f>
        <v>0.8</v>
      </c>
      <c r="AV35" s="251">
        <v>1</v>
      </c>
      <c r="AW35" s="251">
        <v>1</v>
      </c>
      <c r="AX35" s="212"/>
      <c r="AY35" s="236" cm="1">
        <f t="array" ref="AY35">INDEX(Use, $AD35, 4)</f>
        <v>7</v>
      </c>
      <c r="AZ35" s="236">
        <f t="shared" si="12"/>
        <v>32</v>
      </c>
      <c r="BA35" s="236">
        <f t="shared" si="13"/>
        <v>13</v>
      </c>
      <c r="BB35" s="236">
        <f t="shared" si="14"/>
        <v>0</v>
      </c>
      <c r="BC35" s="252" cm="1">
        <f t="array" ref="BC35">K35/IF($L35&gt;0, INDEX($AO$23:$AU$77, $L35+20, $AD35), 1)</f>
        <v>0</v>
      </c>
      <c r="BD35" s="237">
        <f t="shared" si="15"/>
        <v>0</v>
      </c>
      <c r="BE35" s="236">
        <v>35</v>
      </c>
      <c r="BF35" s="237">
        <f t="shared" si="16"/>
        <v>52.55</v>
      </c>
      <c r="BG35" s="253">
        <f t="shared" si="17"/>
        <v>2.7676728869374316</v>
      </c>
      <c r="BH35" s="253" cm="1">
        <f t="array" ref="BH35">$BC35 * SUMPRODUCT(INDEX($AL$77:$AN$82,,$AE35),INDEX($AO$77:$AU$82,,$AD35), N($AK$77:$AK$82&gt;$AI35)) / BG35 / 1000</f>
        <v>0</v>
      </c>
      <c r="BI35" s="250">
        <f t="shared" si="18"/>
        <v>30</v>
      </c>
      <c r="BJ35" s="237">
        <f t="shared" si="19"/>
        <v>46.033333333333331</v>
      </c>
      <c r="BK35" s="253">
        <f t="shared" si="20"/>
        <v>3.2297395388556791</v>
      </c>
      <c r="BL35" s="253" cm="1">
        <f t="array" ref="BL35">$BC35 * IF($AD35&lt;=2,
SUMPRODUCT(INDEX($AL$72:$AN$76,,$AE35), INDEX($AO$72:$AU$76,,$AD35), 1 / ($AV$72:$AV$76*BK35 + (1-$AV$72:$AV$76)*BG35), N($AK$72:$AK$76&gt;$AI35)),
SUMPRODUCT(INDEX($AL$67:$AN$76,,$AE35), INDEX($AO$67:$AU$76,,$AD35), 1 / ($AW$67:$AW$76*BK35 + (1-$AW$67:$AW$76)*BG35), N($AK$67:$AK$76&gt;$AI35))
) / 1000</f>
        <v>0</v>
      </c>
      <c r="BM35" s="250">
        <f t="shared" si="21"/>
        <v>25</v>
      </c>
      <c r="BN35" s="237">
        <f t="shared" si="22"/>
        <v>39.516666666666666</v>
      </c>
      <c r="BO35" s="253">
        <f t="shared" si="23"/>
        <v>3.877011788826243</v>
      </c>
      <c r="BP35" s="253" cm="1">
        <f t="array" ref="BP35">$BC35 * IF($AD35&lt;=2,
SUMPRODUCT(INDEX($AL$67:$AN$71,,$AE35), INDEX($AO$67:$AU$71,,$AD35), 1 / ($AV$67:$AV$71*BO35 + (1-$AV$67:$AV$71)*BK35), N($AK$67:$AK$71&gt;$AI35)),
SUMPRODUCT(INDEX($AL$57:$AN$66,,$AE35), INDEX($AO$57:$AU$66,,$AD35), 1 / ($AW$57:$AW$66*BO35 + (1-$AW$57:$AW$66)*BK35), N($AK$57:$AK$66&gt;$AI35))
) / 1000</f>
        <v>0</v>
      </c>
      <c r="BQ35" s="250">
        <f t="shared" si="24"/>
        <v>20</v>
      </c>
      <c r="BR35" s="237">
        <f t="shared" si="25"/>
        <v>33</v>
      </c>
      <c r="BS35" s="253">
        <f t="shared" si="26"/>
        <v>4.8487499999999999</v>
      </c>
      <c r="BT35" s="253" cm="1">
        <f t="array" ref="BT35">$BC35 * IF($AD35&lt;=2,
SUMPRODUCT(INDEX($AL$62:$AN$66,,$AE35), INDEX($AO$62:$AU$66,,$AD35), 1 / ($AV$62:$AV$66*BS35 + (1-$AV$62:$AV$66)*BO35), N($AK$62:$AK$66&gt;$AI35)),
SUMPRODUCT(INDEX($AL$47:$AN$56,,$AE35), INDEX($AO$47:$AU$56,,$AD35), 1 / ($AW$47:$AW$56*BS35 + (1-$AW$47:$AW$56)*BO35), N($AK$47:$AK$56&gt;$AI35))
) / 1000</f>
        <v>0</v>
      </c>
      <c r="BU35" s="253" cm="1">
        <f t="array" ref="BU35">$BC35 * IF($AD35&lt;=2,
SUMPRODUCT(INDEX($AL$23:$AN$61,,$AE35), INDEX($AO$23:$AU$61,,$AD35), 1 / ($AV$23:$AV$61*BS35), N($AK$23:$AK$61&gt;$AI35)),
SUMPRODUCT(INDEX($AL$23:$AN$46,,$AE35), INDEX($AO$23:$AU$46,,$AD35), 1 / ($AW$23:$AW$46*BS35), N($AK$23:$AK$46&gt;$AI35))
) / 1000</f>
        <v>0</v>
      </c>
      <c r="BV35" s="237">
        <f t="shared" si="27"/>
        <v>0</v>
      </c>
      <c r="BW35" s="210"/>
      <c r="BX35" s="237">
        <f t="shared" si="28"/>
        <v>0</v>
      </c>
      <c r="BY35" s="236">
        <v>35</v>
      </c>
      <c r="BZ35" s="237">
        <f t="shared" si="29"/>
        <v>48</v>
      </c>
      <c r="CA35" s="253">
        <f t="shared" si="30"/>
        <v>3.0748170731707316</v>
      </c>
      <c r="CB35" s="253" cm="1">
        <f t="array" ref="CB35">$BC35 * SUMPRODUCT(INDEX($AL$77:$AN$82,,$AE35),INDEX($AO$77:$AU$82,,$AD35), N($AK$77:$AK$82&gt;$AI35)) / CA35 / 1000</f>
        <v>0</v>
      </c>
      <c r="CC35" s="250">
        <f t="shared" si="31"/>
        <v>30</v>
      </c>
      <c r="CD35" s="237">
        <f t="shared" si="32"/>
        <v>43</v>
      </c>
      <c r="CE35" s="253">
        <f t="shared" si="33"/>
        <v>3.5018750000000001</v>
      </c>
      <c r="CF35" s="253" cm="1">
        <f t="array" ref="CF35">$BC35 * IF($AD35&lt;=2,
SUMPRODUCT(INDEX($AL$72:$AN$76,,$AE35), INDEX($AO$72:$AU$76,,$AD35), 1 / ($AV$72:$AV$76*CE35 + (1-$AV$72:$AV$76)*CA35), N($AK$72:$AK$76&gt;$AI35)),
SUMPRODUCT(INDEX($AL$67:$AN$76,,$AE35), INDEX($AO$67:$AU$76,,$AD35), 1 / ($AW$67:$AW$76*CE35 + (1-$AW$67:$AW$76)*CA35), N($AK$67:$AK$76&gt;$AI35))
) / 1000</f>
        <v>0</v>
      </c>
      <c r="CG35" s="250">
        <f t="shared" si="34"/>
        <v>25</v>
      </c>
      <c r="CH35" s="237">
        <f t="shared" si="35"/>
        <v>38</v>
      </c>
      <c r="CI35" s="253">
        <f t="shared" si="36"/>
        <v>4.0666935483870965</v>
      </c>
      <c r="CJ35" s="253" cm="1">
        <f t="array" ref="CJ35">$BC35 * IF($AD35&lt;=2,
SUMPRODUCT(INDEX($AL$67:$AN$71,,$AE35), INDEX($AO$67:$AU$71,,$AD35), 1 / ($AV$67:$AV$71*CI35 + (1-$AV$67:$AV$71)*CE35), N($AK$67:$AK$71&gt;$AI35)),
SUMPRODUCT(INDEX($AL$57:$AN$66,,$AE35), INDEX($AO$57:$AU$66,,$AD35), 1 / ($AW$57:$AW$66*CI35 + (1-$AW$57:$AW$66)*CE35), N($AK$57:$AK$66&gt;$AI35))
) / 1000</f>
        <v>0</v>
      </c>
      <c r="CK35" s="250">
        <f t="shared" si="37"/>
        <v>20</v>
      </c>
      <c r="CL35" s="237">
        <f t="shared" si="38"/>
        <v>33</v>
      </c>
      <c r="CM35" s="253">
        <f t="shared" si="39"/>
        <v>4.8487499999999999</v>
      </c>
      <c r="CN35" s="253" cm="1">
        <f t="array" ref="CN35">$BC35 * IF($AD35&lt;=2,
SUMPRODUCT(INDEX($AL$62:$AN$66,,$AE35), INDEX($AO$62:$AU$66,,$AD35), 1 / ($AV$62:$AV$66*CM35 + (1-$AV$62:$AV$66)*CI35), N($AK$62:$AK$66&gt;$AI35)),
SUMPRODUCT(INDEX($AL$47:$AN$56,,$AE35), INDEX($AO$47:$AU$56,,$AD35), 1 / ($AW$47:$AW$56*CM35 + (1-$AW$47:$AW$56)*CI35), N($AK$47:$AK$56&gt;$AI35))
) / 1000</f>
        <v>0</v>
      </c>
      <c r="CO35" s="253" cm="1">
        <f t="array" ref="CO35">$BC35 * IF($AD35&lt;=2,
SUMPRODUCT(INDEX($AL$23:$AN$61,,$AE35), INDEX($AO$23:$AU$61,,$AD35), 1 / ($AV$23:$AV$61*CM35), N($AK$23:$AK$61&gt;$AI35)),
SUMPRODUCT(INDEX($AL$23:$AN$46,,$AE35), INDEX($AO$23:$AU$46,,$AD35), 1 / ($AW$23:$AW$46*CM35), N($AK$23:$AK$46&gt;$AI35))
) / 1000</f>
        <v>0</v>
      </c>
      <c r="CP35" s="237">
        <f t="shared" si="40"/>
        <v>0</v>
      </c>
      <c r="CQ35" s="210"/>
    </row>
    <row r="36" spans="1:95" s="76" customFormat="1" ht="14.25" customHeight="1" x14ac:dyDescent="0.25">
      <c r="A36" s="238" t="b">
        <f t="shared" si="0"/>
        <v>0</v>
      </c>
      <c r="B36" s="239">
        <v>14</v>
      </c>
      <c r="C36" s="258"/>
      <c r="D36" s="258"/>
      <c r="E36" s="240"/>
      <c r="F36" s="241" t="str">
        <f>IF(ISBLANK(E36), "", VLOOKUP(E36, Z!$A$2:$C$4127, 3, FALSE))</f>
        <v/>
      </c>
      <c r="G36" s="242"/>
      <c r="H36" s="242"/>
      <c r="I36" s="243"/>
      <c r="J36" s="244"/>
      <c r="K36" s="259"/>
      <c r="L36" s="260"/>
      <c r="M36" s="247" t="str" cm="1">
        <f t="array" ref="M36">IF($K36&gt;0, INDEX(Clean,1+AG36,$C$1), "")</f>
        <v/>
      </c>
      <c r="N36" s="245"/>
      <c r="O36" s="245"/>
      <c r="P36" s="246"/>
      <c r="Q36" s="248">
        <f t="shared" si="6"/>
        <v>0</v>
      </c>
      <c r="R36" s="247" t="str" cm="1">
        <f t="array" ref="R36">IF($K36&gt;0, INDEX(Clean,1+AH36,$C$1), "")</f>
        <v/>
      </c>
      <c r="S36" s="245"/>
      <c r="T36" s="245"/>
      <c r="U36" s="246"/>
      <c r="V36" s="248">
        <f t="shared" si="7"/>
        <v>0</v>
      </c>
      <c r="W36" s="261"/>
      <c r="X36" s="258"/>
      <c r="Y36" s="240"/>
      <c r="Z36" s="241" t="str">
        <f>IF(ISBLANK(Y36), "", VLOOKUP(Y36, Z!$A$2:$C$4127, 3, FALSE))</f>
        <v/>
      </c>
      <c r="AA36" s="262"/>
      <c r="AB36" s="249">
        <f t="shared" si="8"/>
        <v>0</v>
      </c>
      <c r="AC36" s="210"/>
      <c r="AD36" s="236">
        <f t="shared" ref="AD36" si="74">IF(ISBLANK(H36), 1, IFERROR(MATCH(H36, INDEX(Use,,1), 0), IFERROR(MATCH(H36, INDEX(Use,,2), 0), MATCH(H36, INDEX(Use,,3), 0))))</f>
        <v>1</v>
      </c>
      <c r="AE36" s="236">
        <f t="shared" ref="AE36" si="75">IF(ISBLANK(G36), 1, IFERROR(MATCH(G36, INDEX(Loc,,1), 0), IFERROR(MATCH(G36, INDEX(Loc,,2), 0), MATCH(G36, INDEX(Loc,,3), 0))))</f>
        <v>1</v>
      </c>
      <c r="AF36" s="236">
        <f t="shared" ref="AF36" si="76">_xlfn.IFNA(IF(IFERROR(MATCH(I36, INDEX(Medium,,1), 0), IFERROR(MATCH(I36, INDEX(Medium,,2), 0), MATCH(I36, INDEX(Medium,,3), 0))) = 2, 1, 0), 0)</f>
        <v>0</v>
      </c>
      <c r="AG36" s="236">
        <v>1</v>
      </c>
      <c r="AH36" s="236">
        <v>0</v>
      </c>
      <c r="AI36" s="236">
        <f t="shared" si="4"/>
        <v>-100</v>
      </c>
      <c r="AJ36" s="210"/>
      <c r="AK36" s="236">
        <v>-6</v>
      </c>
      <c r="AL36" s="250">
        <v>0</v>
      </c>
      <c r="AM36" s="250">
        <v>13</v>
      </c>
      <c r="AN36" s="250">
        <v>45</v>
      </c>
      <c r="AO36" s="251">
        <f t="shared" si="5"/>
        <v>0</v>
      </c>
      <c r="AP36" s="251">
        <f t="shared" si="5"/>
        <v>0</v>
      </c>
      <c r="AQ36" s="251" cm="1">
        <f t="array" ref="AQ36">MIN(INDEX(Use,AQ$21,5) + MAX(0, (1-INDEX(Use,AQ$21,5))*($AK36-5)/(35-5)), 1)</f>
        <v>0.4</v>
      </c>
      <c r="AR36" s="251" cm="1">
        <f t="array" ref="AR36">MIN(INDEX(Use,AR$21,5) + MAX(0, (1-INDEX(Use,AR$21,5))*($AK36-5)/(35-5)), 1)</f>
        <v>0.6</v>
      </c>
      <c r="AS36" s="251" cm="1">
        <f t="array" ref="AS36">MIN(INDEX(Use,AS$21,5) + MAX(0, (1-INDEX(Use,AS$21,5))*($AK36-5)/(35-5)), 1)</f>
        <v>0.8</v>
      </c>
      <c r="AT36" s="251" cm="1">
        <f t="array" ref="AT36">MIN(INDEX(Use,AT$21,5) + MAX(0, (1-INDEX(Use,AT$21,5))*($AK36-5)/(35-5)), 1)</f>
        <v>0.8</v>
      </c>
      <c r="AU36" s="251" cm="1">
        <f t="array" ref="AU36">MIN(INDEX(Use,AU$21,5) + MAX(0, (1-INDEX(Use,AU$21,5))*($AK36-5)/(35-5)), 1)</f>
        <v>0.8</v>
      </c>
      <c r="AV36" s="251">
        <v>1</v>
      </c>
      <c r="AW36" s="251">
        <v>1</v>
      </c>
      <c r="AX36" s="212"/>
      <c r="AY36" s="236" cm="1">
        <f t="array" ref="AY36">INDEX(Use, $AD36, 4)</f>
        <v>7</v>
      </c>
      <c r="AZ36" s="236">
        <f t="shared" si="12"/>
        <v>32</v>
      </c>
      <c r="BA36" s="236">
        <f t="shared" si="13"/>
        <v>13</v>
      </c>
      <c r="BB36" s="236">
        <f t="shared" si="14"/>
        <v>0</v>
      </c>
      <c r="BC36" s="252" cm="1">
        <f t="array" ref="BC36">K36/IF($L36&gt;0, INDEX($AO$23:$AU$77, $L36+20, $AD36), 1)</f>
        <v>0</v>
      </c>
      <c r="BD36" s="237">
        <f t="shared" si="15"/>
        <v>0</v>
      </c>
      <c r="BE36" s="236">
        <v>35</v>
      </c>
      <c r="BF36" s="237">
        <f t="shared" si="16"/>
        <v>52.55</v>
      </c>
      <c r="BG36" s="253">
        <f t="shared" si="17"/>
        <v>2.7676728869374316</v>
      </c>
      <c r="BH36" s="253" cm="1">
        <f t="array" ref="BH36">$BC36 * SUMPRODUCT(INDEX($AL$77:$AN$82,,$AE36),INDEX($AO$77:$AU$82,,$AD36), N($AK$77:$AK$82&gt;$AI36)) / BG36 / 1000</f>
        <v>0</v>
      </c>
      <c r="BI36" s="250">
        <f t="shared" si="18"/>
        <v>30</v>
      </c>
      <c r="BJ36" s="237">
        <f t="shared" si="19"/>
        <v>46.033333333333331</v>
      </c>
      <c r="BK36" s="253">
        <f t="shared" si="20"/>
        <v>3.2297395388556791</v>
      </c>
      <c r="BL36" s="253" cm="1">
        <f t="array" ref="BL36">$BC36 * IF($AD36&lt;=2,
SUMPRODUCT(INDEX($AL$72:$AN$76,,$AE36), INDEX($AO$72:$AU$76,,$AD36), 1 / ($AV$72:$AV$76*BK36 + (1-$AV$72:$AV$76)*BG36), N($AK$72:$AK$76&gt;$AI36)),
SUMPRODUCT(INDEX($AL$67:$AN$76,,$AE36), INDEX($AO$67:$AU$76,,$AD36), 1 / ($AW$67:$AW$76*BK36 + (1-$AW$67:$AW$76)*BG36), N($AK$67:$AK$76&gt;$AI36))
) / 1000</f>
        <v>0</v>
      </c>
      <c r="BM36" s="250">
        <f t="shared" si="21"/>
        <v>25</v>
      </c>
      <c r="BN36" s="237">
        <f t="shared" si="22"/>
        <v>39.516666666666666</v>
      </c>
      <c r="BO36" s="253">
        <f t="shared" si="23"/>
        <v>3.877011788826243</v>
      </c>
      <c r="BP36" s="253" cm="1">
        <f t="array" ref="BP36">$BC36 * IF($AD36&lt;=2,
SUMPRODUCT(INDEX($AL$67:$AN$71,,$AE36), INDEX($AO$67:$AU$71,,$AD36), 1 / ($AV$67:$AV$71*BO36 + (1-$AV$67:$AV$71)*BK36), N($AK$67:$AK$71&gt;$AI36)),
SUMPRODUCT(INDEX($AL$57:$AN$66,,$AE36), INDEX($AO$57:$AU$66,,$AD36), 1 / ($AW$57:$AW$66*BO36 + (1-$AW$57:$AW$66)*BK36), N($AK$57:$AK$66&gt;$AI36))
) / 1000</f>
        <v>0</v>
      </c>
      <c r="BQ36" s="250">
        <f t="shared" si="24"/>
        <v>20</v>
      </c>
      <c r="BR36" s="237">
        <f t="shared" si="25"/>
        <v>33</v>
      </c>
      <c r="BS36" s="253">
        <f t="shared" si="26"/>
        <v>4.8487499999999999</v>
      </c>
      <c r="BT36" s="253" cm="1">
        <f t="array" ref="BT36">$BC36 * IF($AD36&lt;=2,
SUMPRODUCT(INDEX($AL$62:$AN$66,,$AE36), INDEX($AO$62:$AU$66,,$AD36), 1 / ($AV$62:$AV$66*BS36 + (1-$AV$62:$AV$66)*BO36), N($AK$62:$AK$66&gt;$AI36)),
SUMPRODUCT(INDEX($AL$47:$AN$56,,$AE36), INDEX($AO$47:$AU$56,,$AD36), 1 / ($AW$47:$AW$56*BS36 + (1-$AW$47:$AW$56)*BO36), N($AK$47:$AK$56&gt;$AI36))
) / 1000</f>
        <v>0</v>
      </c>
      <c r="BU36" s="253" cm="1">
        <f t="array" ref="BU36">$BC36 * IF($AD36&lt;=2,
SUMPRODUCT(INDEX($AL$23:$AN$61,,$AE36), INDEX($AO$23:$AU$61,,$AD36), 1 / ($AV$23:$AV$61*BS36), N($AK$23:$AK$61&gt;$AI36)),
SUMPRODUCT(INDEX($AL$23:$AN$46,,$AE36), INDEX($AO$23:$AU$46,,$AD36), 1 / ($AW$23:$AW$46*BS36), N($AK$23:$AK$46&gt;$AI36))
) / 1000</f>
        <v>0</v>
      </c>
      <c r="BV36" s="237">
        <f t="shared" si="27"/>
        <v>0</v>
      </c>
      <c r="BW36" s="210"/>
      <c r="BX36" s="237">
        <f t="shared" si="28"/>
        <v>0</v>
      </c>
      <c r="BY36" s="236">
        <v>35</v>
      </c>
      <c r="BZ36" s="237">
        <f t="shared" si="29"/>
        <v>48</v>
      </c>
      <c r="CA36" s="253">
        <f t="shared" si="30"/>
        <v>3.0748170731707316</v>
      </c>
      <c r="CB36" s="253" cm="1">
        <f t="array" ref="CB36">$BC36 * SUMPRODUCT(INDEX($AL$77:$AN$82,,$AE36),INDEX($AO$77:$AU$82,,$AD36), N($AK$77:$AK$82&gt;$AI36)) / CA36 / 1000</f>
        <v>0</v>
      </c>
      <c r="CC36" s="250">
        <f t="shared" si="31"/>
        <v>30</v>
      </c>
      <c r="CD36" s="237">
        <f t="shared" si="32"/>
        <v>43</v>
      </c>
      <c r="CE36" s="253">
        <f t="shared" si="33"/>
        <v>3.5018750000000001</v>
      </c>
      <c r="CF36" s="253" cm="1">
        <f t="array" ref="CF36">$BC36 * IF($AD36&lt;=2,
SUMPRODUCT(INDEX($AL$72:$AN$76,,$AE36), INDEX($AO$72:$AU$76,,$AD36), 1 / ($AV$72:$AV$76*CE36 + (1-$AV$72:$AV$76)*CA36), N($AK$72:$AK$76&gt;$AI36)),
SUMPRODUCT(INDEX($AL$67:$AN$76,,$AE36), INDEX($AO$67:$AU$76,,$AD36), 1 / ($AW$67:$AW$76*CE36 + (1-$AW$67:$AW$76)*CA36), N($AK$67:$AK$76&gt;$AI36))
) / 1000</f>
        <v>0</v>
      </c>
      <c r="CG36" s="250">
        <f t="shared" si="34"/>
        <v>25</v>
      </c>
      <c r="CH36" s="237">
        <f t="shared" si="35"/>
        <v>38</v>
      </c>
      <c r="CI36" s="253">
        <f t="shared" si="36"/>
        <v>4.0666935483870965</v>
      </c>
      <c r="CJ36" s="253" cm="1">
        <f t="array" ref="CJ36">$BC36 * IF($AD36&lt;=2,
SUMPRODUCT(INDEX($AL$67:$AN$71,,$AE36), INDEX($AO$67:$AU$71,,$AD36), 1 / ($AV$67:$AV$71*CI36 + (1-$AV$67:$AV$71)*CE36), N($AK$67:$AK$71&gt;$AI36)),
SUMPRODUCT(INDEX($AL$57:$AN$66,,$AE36), INDEX($AO$57:$AU$66,,$AD36), 1 / ($AW$57:$AW$66*CI36 + (1-$AW$57:$AW$66)*CE36), N($AK$57:$AK$66&gt;$AI36))
) / 1000</f>
        <v>0</v>
      </c>
      <c r="CK36" s="250">
        <f t="shared" si="37"/>
        <v>20</v>
      </c>
      <c r="CL36" s="237">
        <f t="shared" si="38"/>
        <v>33</v>
      </c>
      <c r="CM36" s="253">
        <f t="shared" si="39"/>
        <v>4.8487499999999999</v>
      </c>
      <c r="CN36" s="253" cm="1">
        <f t="array" ref="CN36">$BC36 * IF($AD36&lt;=2,
SUMPRODUCT(INDEX($AL$62:$AN$66,,$AE36), INDEX($AO$62:$AU$66,,$AD36), 1 / ($AV$62:$AV$66*CM36 + (1-$AV$62:$AV$66)*CI36), N($AK$62:$AK$66&gt;$AI36)),
SUMPRODUCT(INDEX($AL$47:$AN$56,,$AE36), INDEX($AO$47:$AU$56,,$AD36), 1 / ($AW$47:$AW$56*CM36 + (1-$AW$47:$AW$56)*CI36), N($AK$47:$AK$56&gt;$AI36))
) / 1000</f>
        <v>0</v>
      </c>
      <c r="CO36" s="253" cm="1">
        <f t="array" ref="CO36">$BC36 * IF($AD36&lt;=2,
SUMPRODUCT(INDEX($AL$23:$AN$61,,$AE36), INDEX($AO$23:$AU$61,,$AD36), 1 / ($AV$23:$AV$61*CM36), N($AK$23:$AK$61&gt;$AI36)),
SUMPRODUCT(INDEX($AL$23:$AN$46,,$AE36), INDEX($AO$23:$AU$46,,$AD36), 1 / ($AW$23:$AW$46*CM36), N($AK$23:$AK$46&gt;$AI36))
) / 1000</f>
        <v>0</v>
      </c>
      <c r="CP36" s="237">
        <f t="shared" si="40"/>
        <v>0</v>
      </c>
      <c r="CQ36" s="210"/>
    </row>
    <row r="37" spans="1:95" s="76" customFormat="1" ht="14.25" customHeight="1" x14ac:dyDescent="0.25">
      <c r="A37" s="238" t="b">
        <f t="shared" si="0"/>
        <v>0</v>
      </c>
      <c r="B37" s="239">
        <v>15</v>
      </c>
      <c r="C37" s="258"/>
      <c r="D37" s="258"/>
      <c r="E37" s="240"/>
      <c r="F37" s="241" t="str">
        <f>IF(ISBLANK(E37), "", VLOOKUP(E37, Z!$A$2:$C$4127, 3, FALSE))</f>
        <v/>
      </c>
      <c r="G37" s="242"/>
      <c r="H37" s="242"/>
      <c r="I37" s="243"/>
      <c r="J37" s="244"/>
      <c r="K37" s="259"/>
      <c r="L37" s="260"/>
      <c r="M37" s="247" t="str" cm="1">
        <f t="array" ref="M37">IF($K37&gt;0, INDEX(Clean,1+AG37,$C$1), "")</f>
        <v/>
      </c>
      <c r="N37" s="245"/>
      <c r="O37" s="245"/>
      <c r="P37" s="246"/>
      <c r="Q37" s="248">
        <f t="shared" si="6"/>
        <v>0</v>
      </c>
      <c r="R37" s="247" t="str" cm="1">
        <f t="array" ref="R37">IF($K37&gt;0, INDEX(Clean,1+AH37,$C$1), "")</f>
        <v/>
      </c>
      <c r="S37" s="245"/>
      <c r="T37" s="245"/>
      <c r="U37" s="246"/>
      <c r="V37" s="248">
        <f t="shared" si="7"/>
        <v>0</v>
      </c>
      <c r="W37" s="261"/>
      <c r="X37" s="258"/>
      <c r="Y37" s="240"/>
      <c r="Z37" s="241" t="str">
        <f>IF(ISBLANK(Y37), "", VLOOKUP(Y37, Z!$A$2:$C$4127, 3, FALSE))</f>
        <v/>
      </c>
      <c r="AA37" s="262"/>
      <c r="AB37" s="249">
        <f t="shared" si="8"/>
        <v>0</v>
      </c>
      <c r="AC37" s="210"/>
      <c r="AD37" s="236">
        <f t="shared" ref="AD37" si="77">IF(ISBLANK(H37), 1, IFERROR(MATCH(H37, INDEX(Use,,1), 0), IFERROR(MATCH(H37, INDEX(Use,,2), 0), MATCH(H37, INDEX(Use,,3), 0))))</f>
        <v>1</v>
      </c>
      <c r="AE37" s="236">
        <f t="shared" ref="AE37" si="78">IF(ISBLANK(G37), 1, IFERROR(MATCH(G37, INDEX(Loc,,1), 0), IFERROR(MATCH(G37, INDEX(Loc,,2), 0), MATCH(G37, INDEX(Loc,,3), 0))))</f>
        <v>1</v>
      </c>
      <c r="AF37" s="236">
        <f t="shared" ref="AF37" si="79">_xlfn.IFNA(IF(IFERROR(MATCH(I37, INDEX(Medium,,1), 0), IFERROR(MATCH(I37, INDEX(Medium,,2), 0), MATCH(I37, INDEX(Medium,,3), 0))) = 2, 1, 0), 0)</f>
        <v>0</v>
      </c>
      <c r="AG37" s="236">
        <v>1</v>
      </c>
      <c r="AH37" s="236">
        <v>0</v>
      </c>
      <c r="AI37" s="236">
        <f t="shared" si="4"/>
        <v>-100</v>
      </c>
      <c r="AJ37" s="210"/>
      <c r="AK37" s="236">
        <v>-5</v>
      </c>
      <c r="AL37" s="250">
        <v>0</v>
      </c>
      <c r="AM37" s="250">
        <v>49</v>
      </c>
      <c r="AN37" s="250">
        <v>57</v>
      </c>
      <c r="AO37" s="251">
        <f t="shared" si="5"/>
        <v>0</v>
      </c>
      <c r="AP37" s="251">
        <f t="shared" si="5"/>
        <v>0</v>
      </c>
      <c r="AQ37" s="251" cm="1">
        <f t="array" ref="AQ37">MIN(INDEX(Use,AQ$21,5) + MAX(0, (1-INDEX(Use,AQ$21,5))*($AK37-5)/(35-5)), 1)</f>
        <v>0.4</v>
      </c>
      <c r="AR37" s="251" cm="1">
        <f t="array" ref="AR37">MIN(INDEX(Use,AR$21,5) + MAX(0, (1-INDEX(Use,AR$21,5))*($AK37-5)/(35-5)), 1)</f>
        <v>0.6</v>
      </c>
      <c r="AS37" s="251" cm="1">
        <f t="array" ref="AS37">MIN(INDEX(Use,AS$21,5) + MAX(0, (1-INDEX(Use,AS$21,5))*($AK37-5)/(35-5)), 1)</f>
        <v>0.8</v>
      </c>
      <c r="AT37" s="251" cm="1">
        <f t="array" ref="AT37">MIN(INDEX(Use,AT$21,5) + MAX(0, (1-INDEX(Use,AT$21,5))*($AK37-5)/(35-5)), 1)</f>
        <v>0.8</v>
      </c>
      <c r="AU37" s="251" cm="1">
        <f t="array" ref="AU37">MIN(INDEX(Use,AU$21,5) + MAX(0, (1-INDEX(Use,AU$21,5))*($AK37-5)/(35-5)), 1)</f>
        <v>0.8</v>
      </c>
      <c r="AV37" s="251">
        <v>1</v>
      </c>
      <c r="AW37" s="251">
        <v>1</v>
      </c>
      <c r="AX37" s="212"/>
      <c r="AY37" s="236" cm="1">
        <f t="array" ref="AY37">INDEX(Use, $AD37, 4)</f>
        <v>7</v>
      </c>
      <c r="AZ37" s="236">
        <f t="shared" si="12"/>
        <v>32</v>
      </c>
      <c r="BA37" s="236">
        <f t="shared" si="13"/>
        <v>13</v>
      </c>
      <c r="BB37" s="236">
        <f t="shared" si="14"/>
        <v>0</v>
      </c>
      <c r="BC37" s="252" cm="1">
        <f t="array" ref="BC37">K37/IF($L37&gt;0, INDEX($AO$23:$AU$77, $L37+20, $AD37), 1)</f>
        <v>0</v>
      </c>
      <c r="BD37" s="237">
        <f t="shared" si="15"/>
        <v>0</v>
      </c>
      <c r="BE37" s="236">
        <v>35</v>
      </c>
      <c r="BF37" s="237">
        <f t="shared" si="16"/>
        <v>52.55</v>
      </c>
      <c r="BG37" s="253">
        <f t="shared" si="17"/>
        <v>2.7676728869374316</v>
      </c>
      <c r="BH37" s="253" cm="1">
        <f t="array" ref="BH37">$BC37 * SUMPRODUCT(INDEX($AL$77:$AN$82,,$AE37),INDEX($AO$77:$AU$82,,$AD37), N($AK$77:$AK$82&gt;$AI37)) / BG37 / 1000</f>
        <v>0</v>
      </c>
      <c r="BI37" s="250">
        <f t="shared" si="18"/>
        <v>30</v>
      </c>
      <c r="BJ37" s="237">
        <f t="shared" si="19"/>
        <v>46.033333333333331</v>
      </c>
      <c r="BK37" s="253">
        <f t="shared" si="20"/>
        <v>3.2297395388556791</v>
      </c>
      <c r="BL37" s="253" cm="1">
        <f t="array" ref="BL37">$BC37 * IF($AD37&lt;=2,
SUMPRODUCT(INDEX($AL$72:$AN$76,,$AE37), INDEX($AO$72:$AU$76,,$AD37), 1 / ($AV$72:$AV$76*BK37 + (1-$AV$72:$AV$76)*BG37), N($AK$72:$AK$76&gt;$AI37)),
SUMPRODUCT(INDEX($AL$67:$AN$76,,$AE37), INDEX($AO$67:$AU$76,,$AD37), 1 / ($AW$67:$AW$76*BK37 + (1-$AW$67:$AW$76)*BG37), N($AK$67:$AK$76&gt;$AI37))
) / 1000</f>
        <v>0</v>
      </c>
      <c r="BM37" s="250">
        <f t="shared" si="21"/>
        <v>25</v>
      </c>
      <c r="BN37" s="237">
        <f t="shared" si="22"/>
        <v>39.516666666666666</v>
      </c>
      <c r="BO37" s="253">
        <f t="shared" si="23"/>
        <v>3.877011788826243</v>
      </c>
      <c r="BP37" s="253" cm="1">
        <f t="array" ref="BP37">$BC37 * IF($AD37&lt;=2,
SUMPRODUCT(INDEX($AL$67:$AN$71,,$AE37), INDEX($AO$67:$AU$71,,$AD37), 1 / ($AV$67:$AV$71*BO37 + (1-$AV$67:$AV$71)*BK37), N($AK$67:$AK$71&gt;$AI37)),
SUMPRODUCT(INDEX($AL$57:$AN$66,,$AE37), INDEX($AO$57:$AU$66,,$AD37), 1 / ($AW$57:$AW$66*BO37 + (1-$AW$57:$AW$66)*BK37), N($AK$57:$AK$66&gt;$AI37))
) / 1000</f>
        <v>0</v>
      </c>
      <c r="BQ37" s="250">
        <f t="shared" si="24"/>
        <v>20</v>
      </c>
      <c r="BR37" s="237">
        <f t="shared" si="25"/>
        <v>33</v>
      </c>
      <c r="BS37" s="253">
        <f t="shared" si="26"/>
        <v>4.8487499999999999</v>
      </c>
      <c r="BT37" s="253" cm="1">
        <f t="array" ref="BT37">$BC37 * IF($AD37&lt;=2,
SUMPRODUCT(INDEX($AL$62:$AN$66,,$AE37), INDEX($AO$62:$AU$66,,$AD37), 1 / ($AV$62:$AV$66*BS37 + (1-$AV$62:$AV$66)*BO37), N($AK$62:$AK$66&gt;$AI37)),
SUMPRODUCT(INDEX($AL$47:$AN$56,,$AE37), INDEX($AO$47:$AU$56,,$AD37), 1 / ($AW$47:$AW$56*BS37 + (1-$AW$47:$AW$56)*BO37), N($AK$47:$AK$56&gt;$AI37))
) / 1000</f>
        <v>0</v>
      </c>
      <c r="BU37" s="253" cm="1">
        <f t="array" ref="BU37">$BC37 * IF($AD37&lt;=2,
SUMPRODUCT(INDEX($AL$23:$AN$61,,$AE37), INDEX($AO$23:$AU$61,,$AD37), 1 / ($AV$23:$AV$61*BS37), N($AK$23:$AK$61&gt;$AI37)),
SUMPRODUCT(INDEX($AL$23:$AN$46,,$AE37), INDEX($AO$23:$AU$46,,$AD37), 1 / ($AW$23:$AW$46*BS37), N($AK$23:$AK$46&gt;$AI37))
) / 1000</f>
        <v>0</v>
      </c>
      <c r="BV37" s="237">
        <f t="shared" si="27"/>
        <v>0</v>
      </c>
      <c r="BW37" s="210"/>
      <c r="BX37" s="237">
        <f t="shared" si="28"/>
        <v>0</v>
      </c>
      <c r="BY37" s="236">
        <v>35</v>
      </c>
      <c r="BZ37" s="237">
        <f t="shared" si="29"/>
        <v>48</v>
      </c>
      <c r="CA37" s="253">
        <f t="shared" si="30"/>
        <v>3.0748170731707316</v>
      </c>
      <c r="CB37" s="253" cm="1">
        <f t="array" ref="CB37">$BC37 * SUMPRODUCT(INDEX($AL$77:$AN$82,,$AE37),INDEX($AO$77:$AU$82,,$AD37), N($AK$77:$AK$82&gt;$AI37)) / CA37 / 1000</f>
        <v>0</v>
      </c>
      <c r="CC37" s="250">
        <f t="shared" si="31"/>
        <v>30</v>
      </c>
      <c r="CD37" s="237">
        <f t="shared" si="32"/>
        <v>43</v>
      </c>
      <c r="CE37" s="253">
        <f t="shared" si="33"/>
        <v>3.5018750000000001</v>
      </c>
      <c r="CF37" s="253" cm="1">
        <f t="array" ref="CF37">$BC37 * IF($AD37&lt;=2,
SUMPRODUCT(INDEX($AL$72:$AN$76,,$AE37), INDEX($AO$72:$AU$76,,$AD37), 1 / ($AV$72:$AV$76*CE37 + (1-$AV$72:$AV$76)*CA37), N($AK$72:$AK$76&gt;$AI37)),
SUMPRODUCT(INDEX($AL$67:$AN$76,,$AE37), INDEX($AO$67:$AU$76,,$AD37), 1 / ($AW$67:$AW$76*CE37 + (1-$AW$67:$AW$76)*CA37), N($AK$67:$AK$76&gt;$AI37))
) / 1000</f>
        <v>0</v>
      </c>
      <c r="CG37" s="250">
        <f t="shared" si="34"/>
        <v>25</v>
      </c>
      <c r="CH37" s="237">
        <f t="shared" si="35"/>
        <v>38</v>
      </c>
      <c r="CI37" s="253">
        <f t="shared" si="36"/>
        <v>4.0666935483870965</v>
      </c>
      <c r="CJ37" s="253" cm="1">
        <f t="array" ref="CJ37">$BC37 * IF($AD37&lt;=2,
SUMPRODUCT(INDEX($AL$67:$AN$71,,$AE37), INDEX($AO$67:$AU$71,,$AD37), 1 / ($AV$67:$AV$71*CI37 + (1-$AV$67:$AV$71)*CE37), N($AK$67:$AK$71&gt;$AI37)),
SUMPRODUCT(INDEX($AL$57:$AN$66,,$AE37), INDEX($AO$57:$AU$66,,$AD37), 1 / ($AW$57:$AW$66*CI37 + (1-$AW$57:$AW$66)*CE37), N($AK$57:$AK$66&gt;$AI37))
) / 1000</f>
        <v>0</v>
      </c>
      <c r="CK37" s="250">
        <f t="shared" si="37"/>
        <v>20</v>
      </c>
      <c r="CL37" s="237">
        <f t="shared" si="38"/>
        <v>33</v>
      </c>
      <c r="CM37" s="253">
        <f t="shared" si="39"/>
        <v>4.8487499999999999</v>
      </c>
      <c r="CN37" s="253" cm="1">
        <f t="array" ref="CN37">$BC37 * IF($AD37&lt;=2,
SUMPRODUCT(INDEX($AL$62:$AN$66,,$AE37), INDEX($AO$62:$AU$66,,$AD37), 1 / ($AV$62:$AV$66*CM37 + (1-$AV$62:$AV$66)*CI37), N($AK$62:$AK$66&gt;$AI37)),
SUMPRODUCT(INDEX($AL$47:$AN$56,,$AE37), INDEX($AO$47:$AU$56,,$AD37), 1 / ($AW$47:$AW$56*CM37 + (1-$AW$47:$AW$56)*CI37), N($AK$47:$AK$56&gt;$AI37))
) / 1000</f>
        <v>0</v>
      </c>
      <c r="CO37" s="253" cm="1">
        <f t="array" ref="CO37">$BC37 * IF($AD37&lt;=2,
SUMPRODUCT(INDEX($AL$23:$AN$61,,$AE37), INDEX($AO$23:$AU$61,,$AD37), 1 / ($AV$23:$AV$61*CM37), N($AK$23:$AK$61&gt;$AI37)),
SUMPRODUCT(INDEX($AL$23:$AN$46,,$AE37), INDEX($AO$23:$AU$46,,$AD37), 1 / ($AW$23:$AW$46*CM37), N($AK$23:$AK$46&gt;$AI37))
) / 1000</f>
        <v>0</v>
      </c>
      <c r="CP37" s="237">
        <f t="shared" si="40"/>
        <v>0</v>
      </c>
      <c r="CQ37" s="210"/>
    </row>
    <row r="38" spans="1:95" s="76" customFormat="1" ht="14.25" customHeight="1" x14ac:dyDescent="0.25">
      <c r="A38" s="238" t="b">
        <f t="shared" si="0"/>
        <v>0</v>
      </c>
      <c r="B38" s="239">
        <v>16</v>
      </c>
      <c r="C38" s="258"/>
      <c r="D38" s="258"/>
      <c r="E38" s="240"/>
      <c r="F38" s="241" t="str">
        <f>IF(ISBLANK(E38), "", VLOOKUP(E38, Z!$A$2:$C$4127, 3, FALSE))</f>
        <v/>
      </c>
      <c r="G38" s="242"/>
      <c r="H38" s="242"/>
      <c r="I38" s="243"/>
      <c r="J38" s="244"/>
      <c r="K38" s="259"/>
      <c r="L38" s="260"/>
      <c r="M38" s="247" t="str" cm="1">
        <f t="array" ref="M38">IF($K38&gt;0, INDEX(Clean,1+AG38,$C$1), "")</f>
        <v/>
      </c>
      <c r="N38" s="245"/>
      <c r="O38" s="245"/>
      <c r="P38" s="246"/>
      <c r="Q38" s="248">
        <f t="shared" si="6"/>
        <v>0</v>
      </c>
      <c r="R38" s="247" t="str" cm="1">
        <f t="array" ref="R38">IF($K38&gt;0, INDEX(Clean,1+AH38,$C$1), "")</f>
        <v/>
      </c>
      <c r="S38" s="245"/>
      <c r="T38" s="245"/>
      <c r="U38" s="246"/>
      <c r="V38" s="248">
        <f t="shared" si="7"/>
        <v>0</v>
      </c>
      <c r="W38" s="261"/>
      <c r="X38" s="258"/>
      <c r="Y38" s="240"/>
      <c r="Z38" s="241" t="str">
        <f>IF(ISBLANK(Y38), "", VLOOKUP(Y38, Z!$A$2:$C$4127, 3, FALSE))</f>
        <v/>
      </c>
      <c r="AA38" s="262"/>
      <c r="AB38" s="249">
        <f t="shared" si="8"/>
        <v>0</v>
      </c>
      <c r="AC38" s="210"/>
      <c r="AD38" s="236">
        <f t="shared" ref="AD38" si="80">IF(ISBLANK(H38), 1, IFERROR(MATCH(H38, INDEX(Use,,1), 0), IFERROR(MATCH(H38, INDEX(Use,,2), 0), MATCH(H38, INDEX(Use,,3), 0))))</f>
        <v>1</v>
      </c>
      <c r="AE38" s="236">
        <f t="shared" ref="AE38" si="81">IF(ISBLANK(G38), 1, IFERROR(MATCH(G38, INDEX(Loc,,1), 0), IFERROR(MATCH(G38, INDEX(Loc,,2), 0), MATCH(G38, INDEX(Loc,,3), 0))))</f>
        <v>1</v>
      </c>
      <c r="AF38" s="236">
        <f t="shared" ref="AF38" si="82">_xlfn.IFNA(IF(IFERROR(MATCH(I38, INDEX(Medium,,1), 0), IFERROR(MATCH(I38, INDEX(Medium,,2), 0), MATCH(I38, INDEX(Medium,,3), 0))) = 2, 1, 0), 0)</f>
        <v>0</v>
      </c>
      <c r="AG38" s="236">
        <v>1</v>
      </c>
      <c r="AH38" s="236">
        <v>0</v>
      </c>
      <c r="AI38" s="236">
        <f t="shared" si="4"/>
        <v>-100</v>
      </c>
      <c r="AJ38" s="210"/>
      <c r="AK38" s="236">
        <v>-4</v>
      </c>
      <c r="AL38" s="250">
        <v>2</v>
      </c>
      <c r="AM38" s="250">
        <v>105</v>
      </c>
      <c r="AN38" s="250">
        <v>56</v>
      </c>
      <c r="AO38" s="251">
        <f t="shared" si="5"/>
        <v>0</v>
      </c>
      <c r="AP38" s="251">
        <f t="shared" si="5"/>
        <v>0</v>
      </c>
      <c r="AQ38" s="251" cm="1">
        <f t="array" ref="AQ38">MIN(INDEX(Use,AQ$21,5) + MAX(0, (1-INDEX(Use,AQ$21,5))*($AK38-5)/(35-5)), 1)</f>
        <v>0.4</v>
      </c>
      <c r="AR38" s="251" cm="1">
        <f t="array" ref="AR38">MIN(INDEX(Use,AR$21,5) + MAX(0, (1-INDEX(Use,AR$21,5))*($AK38-5)/(35-5)), 1)</f>
        <v>0.6</v>
      </c>
      <c r="AS38" s="251" cm="1">
        <f t="array" ref="AS38">MIN(INDEX(Use,AS$21,5) + MAX(0, (1-INDEX(Use,AS$21,5))*($AK38-5)/(35-5)), 1)</f>
        <v>0.8</v>
      </c>
      <c r="AT38" s="251" cm="1">
        <f t="array" ref="AT38">MIN(INDEX(Use,AT$21,5) + MAX(0, (1-INDEX(Use,AT$21,5))*($AK38-5)/(35-5)), 1)</f>
        <v>0.8</v>
      </c>
      <c r="AU38" s="251" cm="1">
        <f t="array" ref="AU38">MIN(INDEX(Use,AU$21,5) + MAX(0, (1-INDEX(Use,AU$21,5))*($AK38-5)/(35-5)), 1)</f>
        <v>0.8</v>
      </c>
      <c r="AV38" s="251">
        <v>1</v>
      </c>
      <c r="AW38" s="251">
        <v>1</v>
      </c>
      <c r="AX38" s="212"/>
      <c r="AY38" s="236" cm="1">
        <f t="array" ref="AY38">INDEX(Use, $AD38, 4)</f>
        <v>7</v>
      </c>
      <c r="AZ38" s="236">
        <f t="shared" si="12"/>
        <v>32</v>
      </c>
      <c r="BA38" s="236">
        <f t="shared" si="13"/>
        <v>13</v>
      </c>
      <c r="BB38" s="236">
        <f t="shared" si="14"/>
        <v>0</v>
      </c>
      <c r="BC38" s="252" cm="1">
        <f t="array" ref="BC38">K38/IF($L38&gt;0, INDEX($AO$23:$AU$77, $L38+20, $AD38), 1)</f>
        <v>0</v>
      </c>
      <c r="BD38" s="237">
        <f t="shared" si="15"/>
        <v>0</v>
      </c>
      <c r="BE38" s="236">
        <v>35</v>
      </c>
      <c r="BF38" s="237">
        <f t="shared" si="16"/>
        <v>52.55</v>
      </c>
      <c r="BG38" s="253">
        <f t="shared" si="17"/>
        <v>2.7676728869374316</v>
      </c>
      <c r="BH38" s="253" cm="1">
        <f t="array" ref="BH38">$BC38 * SUMPRODUCT(INDEX($AL$77:$AN$82,,$AE38),INDEX($AO$77:$AU$82,,$AD38), N($AK$77:$AK$82&gt;$AI38)) / BG38 / 1000</f>
        <v>0</v>
      </c>
      <c r="BI38" s="250">
        <f t="shared" si="18"/>
        <v>30</v>
      </c>
      <c r="BJ38" s="237">
        <f t="shared" si="19"/>
        <v>46.033333333333331</v>
      </c>
      <c r="BK38" s="253">
        <f t="shared" si="20"/>
        <v>3.2297395388556791</v>
      </c>
      <c r="BL38" s="253" cm="1">
        <f t="array" ref="BL38">$BC38 * IF($AD38&lt;=2,
SUMPRODUCT(INDEX($AL$72:$AN$76,,$AE38), INDEX($AO$72:$AU$76,,$AD38), 1 / ($AV$72:$AV$76*BK38 + (1-$AV$72:$AV$76)*BG38), N($AK$72:$AK$76&gt;$AI38)),
SUMPRODUCT(INDEX($AL$67:$AN$76,,$AE38), INDEX($AO$67:$AU$76,,$AD38), 1 / ($AW$67:$AW$76*BK38 + (1-$AW$67:$AW$76)*BG38), N($AK$67:$AK$76&gt;$AI38))
) / 1000</f>
        <v>0</v>
      </c>
      <c r="BM38" s="250">
        <f t="shared" si="21"/>
        <v>25</v>
      </c>
      <c r="BN38" s="237">
        <f t="shared" si="22"/>
        <v>39.516666666666666</v>
      </c>
      <c r="BO38" s="253">
        <f t="shared" si="23"/>
        <v>3.877011788826243</v>
      </c>
      <c r="BP38" s="253" cm="1">
        <f t="array" ref="BP38">$BC38 * IF($AD38&lt;=2,
SUMPRODUCT(INDEX($AL$67:$AN$71,,$AE38), INDEX($AO$67:$AU$71,,$AD38), 1 / ($AV$67:$AV$71*BO38 + (1-$AV$67:$AV$71)*BK38), N($AK$67:$AK$71&gt;$AI38)),
SUMPRODUCT(INDEX($AL$57:$AN$66,,$AE38), INDEX($AO$57:$AU$66,,$AD38), 1 / ($AW$57:$AW$66*BO38 + (1-$AW$57:$AW$66)*BK38), N($AK$57:$AK$66&gt;$AI38))
) / 1000</f>
        <v>0</v>
      </c>
      <c r="BQ38" s="250">
        <f t="shared" si="24"/>
        <v>20</v>
      </c>
      <c r="BR38" s="237">
        <f t="shared" si="25"/>
        <v>33</v>
      </c>
      <c r="BS38" s="253">
        <f t="shared" si="26"/>
        <v>4.8487499999999999</v>
      </c>
      <c r="BT38" s="253" cm="1">
        <f t="array" ref="BT38">$BC38 * IF($AD38&lt;=2,
SUMPRODUCT(INDEX($AL$62:$AN$66,,$AE38), INDEX($AO$62:$AU$66,,$AD38), 1 / ($AV$62:$AV$66*BS38 + (1-$AV$62:$AV$66)*BO38), N($AK$62:$AK$66&gt;$AI38)),
SUMPRODUCT(INDEX($AL$47:$AN$56,,$AE38), INDEX($AO$47:$AU$56,,$AD38), 1 / ($AW$47:$AW$56*BS38 + (1-$AW$47:$AW$56)*BO38), N($AK$47:$AK$56&gt;$AI38))
) / 1000</f>
        <v>0</v>
      </c>
      <c r="BU38" s="253" cm="1">
        <f t="array" ref="BU38">$BC38 * IF($AD38&lt;=2,
SUMPRODUCT(INDEX($AL$23:$AN$61,,$AE38), INDEX($AO$23:$AU$61,,$AD38), 1 / ($AV$23:$AV$61*BS38), N($AK$23:$AK$61&gt;$AI38)),
SUMPRODUCT(INDEX($AL$23:$AN$46,,$AE38), INDEX($AO$23:$AU$46,,$AD38), 1 / ($AW$23:$AW$46*BS38), N($AK$23:$AK$46&gt;$AI38))
) / 1000</f>
        <v>0</v>
      </c>
      <c r="BV38" s="237">
        <f t="shared" si="27"/>
        <v>0</v>
      </c>
      <c r="BW38" s="210"/>
      <c r="BX38" s="237">
        <f t="shared" si="28"/>
        <v>0</v>
      </c>
      <c r="BY38" s="236">
        <v>35</v>
      </c>
      <c r="BZ38" s="237">
        <f t="shared" si="29"/>
        <v>48</v>
      </c>
      <c r="CA38" s="253">
        <f t="shared" si="30"/>
        <v>3.0748170731707316</v>
      </c>
      <c r="CB38" s="253" cm="1">
        <f t="array" ref="CB38">$BC38 * SUMPRODUCT(INDEX($AL$77:$AN$82,,$AE38),INDEX($AO$77:$AU$82,,$AD38), N($AK$77:$AK$82&gt;$AI38)) / CA38 / 1000</f>
        <v>0</v>
      </c>
      <c r="CC38" s="250">
        <f t="shared" si="31"/>
        <v>30</v>
      </c>
      <c r="CD38" s="237">
        <f t="shared" si="32"/>
        <v>43</v>
      </c>
      <c r="CE38" s="253">
        <f t="shared" si="33"/>
        <v>3.5018750000000001</v>
      </c>
      <c r="CF38" s="253" cm="1">
        <f t="array" ref="CF38">$BC38 * IF($AD38&lt;=2,
SUMPRODUCT(INDEX($AL$72:$AN$76,,$AE38), INDEX($AO$72:$AU$76,,$AD38), 1 / ($AV$72:$AV$76*CE38 + (1-$AV$72:$AV$76)*CA38), N($AK$72:$AK$76&gt;$AI38)),
SUMPRODUCT(INDEX($AL$67:$AN$76,,$AE38), INDEX($AO$67:$AU$76,,$AD38), 1 / ($AW$67:$AW$76*CE38 + (1-$AW$67:$AW$76)*CA38), N($AK$67:$AK$76&gt;$AI38))
) / 1000</f>
        <v>0</v>
      </c>
      <c r="CG38" s="250">
        <f t="shared" si="34"/>
        <v>25</v>
      </c>
      <c r="CH38" s="237">
        <f t="shared" si="35"/>
        <v>38</v>
      </c>
      <c r="CI38" s="253">
        <f t="shared" si="36"/>
        <v>4.0666935483870965</v>
      </c>
      <c r="CJ38" s="253" cm="1">
        <f t="array" ref="CJ38">$BC38 * IF($AD38&lt;=2,
SUMPRODUCT(INDEX($AL$67:$AN$71,,$AE38), INDEX($AO$67:$AU$71,,$AD38), 1 / ($AV$67:$AV$71*CI38 + (1-$AV$67:$AV$71)*CE38), N($AK$67:$AK$71&gt;$AI38)),
SUMPRODUCT(INDEX($AL$57:$AN$66,,$AE38), INDEX($AO$57:$AU$66,,$AD38), 1 / ($AW$57:$AW$66*CI38 + (1-$AW$57:$AW$66)*CE38), N($AK$57:$AK$66&gt;$AI38))
) / 1000</f>
        <v>0</v>
      </c>
      <c r="CK38" s="250">
        <f t="shared" si="37"/>
        <v>20</v>
      </c>
      <c r="CL38" s="237">
        <f t="shared" si="38"/>
        <v>33</v>
      </c>
      <c r="CM38" s="253">
        <f t="shared" si="39"/>
        <v>4.8487499999999999</v>
      </c>
      <c r="CN38" s="253" cm="1">
        <f t="array" ref="CN38">$BC38 * IF($AD38&lt;=2,
SUMPRODUCT(INDEX($AL$62:$AN$66,,$AE38), INDEX($AO$62:$AU$66,,$AD38), 1 / ($AV$62:$AV$66*CM38 + (1-$AV$62:$AV$66)*CI38), N($AK$62:$AK$66&gt;$AI38)),
SUMPRODUCT(INDEX($AL$47:$AN$56,,$AE38), INDEX($AO$47:$AU$56,,$AD38), 1 / ($AW$47:$AW$56*CM38 + (1-$AW$47:$AW$56)*CI38), N($AK$47:$AK$56&gt;$AI38))
) / 1000</f>
        <v>0</v>
      </c>
      <c r="CO38" s="253" cm="1">
        <f t="array" ref="CO38">$BC38 * IF($AD38&lt;=2,
SUMPRODUCT(INDEX($AL$23:$AN$61,,$AE38), INDEX($AO$23:$AU$61,,$AD38), 1 / ($AV$23:$AV$61*CM38), N($AK$23:$AK$61&gt;$AI38)),
SUMPRODUCT(INDEX($AL$23:$AN$46,,$AE38), INDEX($AO$23:$AU$46,,$AD38), 1 / ($AW$23:$AW$46*CM38), N($AK$23:$AK$46&gt;$AI38))
) / 1000</f>
        <v>0</v>
      </c>
      <c r="CP38" s="237">
        <f t="shared" si="40"/>
        <v>0</v>
      </c>
      <c r="CQ38" s="210"/>
    </row>
    <row r="39" spans="1:95" s="76" customFormat="1" ht="14.25" customHeight="1" x14ac:dyDescent="0.25">
      <c r="A39" s="238" t="b">
        <f t="shared" si="0"/>
        <v>0</v>
      </c>
      <c r="B39" s="239">
        <v>17</v>
      </c>
      <c r="C39" s="258"/>
      <c r="D39" s="258"/>
      <c r="E39" s="240"/>
      <c r="F39" s="241" t="str">
        <f>IF(ISBLANK(E39), "", VLOOKUP(E39, Z!$A$2:$C$4127, 3, FALSE))</f>
        <v/>
      </c>
      <c r="G39" s="242"/>
      <c r="H39" s="242"/>
      <c r="I39" s="243"/>
      <c r="J39" s="244"/>
      <c r="K39" s="259"/>
      <c r="L39" s="260"/>
      <c r="M39" s="247" t="str" cm="1">
        <f t="array" ref="M39">IF($K39&gt;0, INDEX(Clean,1+AG39,$C$1), "")</f>
        <v/>
      </c>
      <c r="N39" s="245"/>
      <c r="O39" s="245"/>
      <c r="P39" s="246"/>
      <c r="Q39" s="248">
        <f t="shared" si="6"/>
        <v>0</v>
      </c>
      <c r="R39" s="247" t="str" cm="1">
        <f t="array" ref="R39">IF($K39&gt;0, INDEX(Clean,1+AH39,$C$1), "")</f>
        <v/>
      </c>
      <c r="S39" s="245"/>
      <c r="T39" s="245"/>
      <c r="U39" s="246"/>
      <c r="V39" s="248">
        <f t="shared" si="7"/>
        <v>0</v>
      </c>
      <c r="W39" s="261"/>
      <c r="X39" s="258"/>
      <c r="Y39" s="240"/>
      <c r="Z39" s="241" t="str">
        <f>IF(ISBLANK(Y39), "", VLOOKUP(Y39, Z!$A$2:$C$4127, 3, FALSE))</f>
        <v/>
      </c>
      <c r="AA39" s="262"/>
      <c r="AB39" s="249">
        <f t="shared" si="8"/>
        <v>0</v>
      </c>
      <c r="AC39" s="210"/>
      <c r="AD39" s="236">
        <f t="shared" ref="AD39" si="83">IF(ISBLANK(H39), 1, IFERROR(MATCH(H39, INDEX(Use,,1), 0), IFERROR(MATCH(H39, INDEX(Use,,2), 0), MATCH(H39, INDEX(Use,,3), 0))))</f>
        <v>1</v>
      </c>
      <c r="AE39" s="236">
        <f t="shared" ref="AE39" si="84">IF(ISBLANK(G39), 1, IFERROR(MATCH(G39, INDEX(Loc,,1), 0), IFERROR(MATCH(G39, INDEX(Loc,,2), 0), MATCH(G39, INDEX(Loc,,3), 0))))</f>
        <v>1</v>
      </c>
      <c r="AF39" s="236">
        <f t="shared" ref="AF39" si="85">_xlfn.IFNA(IF(IFERROR(MATCH(I39, INDEX(Medium,,1), 0), IFERROR(MATCH(I39, INDEX(Medium,,2), 0), MATCH(I39, INDEX(Medium,,3), 0))) = 2, 1, 0), 0)</f>
        <v>0</v>
      </c>
      <c r="AG39" s="236">
        <v>1</v>
      </c>
      <c r="AH39" s="236">
        <v>0</v>
      </c>
      <c r="AI39" s="236">
        <f t="shared" si="4"/>
        <v>-100</v>
      </c>
      <c r="AJ39" s="210"/>
      <c r="AK39" s="236">
        <v>-3</v>
      </c>
      <c r="AL39" s="250">
        <v>13</v>
      </c>
      <c r="AM39" s="250">
        <v>115</v>
      </c>
      <c r="AN39" s="250">
        <v>128</v>
      </c>
      <c r="AO39" s="251">
        <f t="shared" si="5"/>
        <v>0</v>
      </c>
      <c r="AP39" s="251">
        <f t="shared" si="5"/>
        <v>0</v>
      </c>
      <c r="AQ39" s="251" cm="1">
        <f t="array" ref="AQ39">MIN(INDEX(Use,AQ$21,5) + MAX(0, (1-INDEX(Use,AQ$21,5))*($AK39-5)/(35-5)), 1)</f>
        <v>0.4</v>
      </c>
      <c r="AR39" s="251" cm="1">
        <f t="array" ref="AR39">MIN(INDEX(Use,AR$21,5) + MAX(0, (1-INDEX(Use,AR$21,5))*($AK39-5)/(35-5)), 1)</f>
        <v>0.6</v>
      </c>
      <c r="AS39" s="251" cm="1">
        <f t="array" ref="AS39">MIN(INDEX(Use,AS$21,5) + MAX(0, (1-INDEX(Use,AS$21,5))*($AK39-5)/(35-5)), 1)</f>
        <v>0.8</v>
      </c>
      <c r="AT39" s="251" cm="1">
        <f t="array" ref="AT39">MIN(INDEX(Use,AT$21,5) + MAX(0, (1-INDEX(Use,AT$21,5))*($AK39-5)/(35-5)), 1)</f>
        <v>0.8</v>
      </c>
      <c r="AU39" s="251" cm="1">
        <f t="array" ref="AU39">MIN(INDEX(Use,AU$21,5) + MAX(0, (1-INDEX(Use,AU$21,5))*($AK39-5)/(35-5)), 1)</f>
        <v>0.8</v>
      </c>
      <c r="AV39" s="251">
        <v>1</v>
      </c>
      <c r="AW39" s="251">
        <v>1</v>
      </c>
      <c r="AX39" s="212"/>
      <c r="AY39" s="236" cm="1">
        <f t="array" ref="AY39">INDEX(Use, $AD39, 4)</f>
        <v>7</v>
      </c>
      <c r="AZ39" s="236">
        <f t="shared" si="12"/>
        <v>32</v>
      </c>
      <c r="BA39" s="236">
        <f t="shared" si="13"/>
        <v>13</v>
      </c>
      <c r="BB39" s="236">
        <f t="shared" si="14"/>
        <v>0</v>
      </c>
      <c r="BC39" s="252" cm="1">
        <f t="array" ref="BC39">K39/IF($L39&gt;0, INDEX($AO$23:$AU$77, $L39+20, $AD39), 1)</f>
        <v>0</v>
      </c>
      <c r="BD39" s="237">
        <f t="shared" si="15"/>
        <v>0</v>
      </c>
      <c r="BE39" s="236">
        <v>35</v>
      </c>
      <c r="BF39" s="237">
        <f t="shared" si="16"/>
        <v>52.55</v>
      </c>
      <c r="BG39" s="253">
        <f t="shared" si="17"/>
        <v>2.7676728869374316</v>
      </c>
      <c r="BH39" s="253" cm="1">
        <f t="array" ref="BH39">$BC39 * SUMPRODUCT(INDEX($AL$77:$AN$82,,$AE39),INDEX($AO$77:$AU$82,,$AD39), N($AK$77:$AK$82&gt;$AI39)) / BG39 / 1000</f>
        <v>0</v>
      </c>
      <c r="BI39" s="250">
        <f t="shared" si="18"/>
        <v>30</v>
      </c>
      <c r="BJ39" s="237">
        <f t="shared" si="19"/>
        <v>46.033333333333331</v>
      </c>
      <c r="BK39" s="253">
        <f t="shared" si="20"/>
        <v>3.2297395388556791</v>
      </c>
      <c r="BL39" s="253" cm="1">
        <f t="array" ref="BL39">$BC39 * IF($AD39&lt;=2,
SUMPRODUCT(INDEX($AL$72:$AN$76,,$AE39), INDEX($AO$72:$AU$76,,$AD39), 1 / ($AV$72:$AV$76*BK39 + (1-$AV$72:$AV$76)*BG39), N($AK$72:$AK$76&gt;$AI39)),
SUMPRODUCT(INDEX($AL$67:$AN$76,,$AE39), INDEX($AO$67:$AU$76,,$AD39), 1 / ($AW$67:$AW$76*BK39 + (1-$AW$67:$AW$76)*BG39), N($AK$67:$AK$76&gt;$AI39))
) / 1000</f>
        <v>0</v>
      </c>
      <c r="BM39" s="250">
        <f t="shared" si="21"/>
        <v>25</v>
      </c>
      <c r="BN39" s="237">
        <f t="shared" si="22"/>
        <v>39.516666666666666</v>
      </c>
      <c r="BO39" s="253">
        <f t="shared" si="23"/>
        <v>3.877011788826243</v>
      </c>
      <c r="BP39" s="253" cm="1">
        <f t="array" ref="BP39">$BC39 * IF($AD39&lt;=2,
SUMPRODUCT(INDEX($AL$67:$AN$71,,$AE39), INDEX($AO$67:$AU$71,,$AD39), 1 / ($AV$67:$AV$71*BO39 + (1-$AV$67:$AV$71)*BK39), N($AK$67:$AK$71&gt;$AI39)),
SUMPRODUCT(INDEX($AL$57:$AN$66,,$AE39), INDEX($AO$57:$AU$66,,$AD39), 1 / ($AW$57:$AW$66*BO39 + (1-$AW$57:$AW$66)*BK39), N($AK$57:$AK$66&gt;$AI39))
) / 1000</f>
        <v>0</v>
      </c>
      <c r="BQ39" s="250">
        <f t="shared" si="24"/>
        <v>20</v>
      </c>
      <c r="BR39" s="237">
        <f t="shared" si="25"/>
        <v>33</v>
      </c>
      <c r="BS39" s="253">
        <f t="shared" si="26"/>
        <v>4.8487499999999999</v>
      </c>
      <c r="BT39" s="253" cm="1">
        <f t="array" ref="BT39">$BC39 * IF($AD39&lt;=2,
SUMPRODUCT(INDEX($AL$62:$AN$66,,$AE39), INDEX($AO$62:$AU$66,,$AD39), 1 / ($AV$62:$AV$66*BS39 + (1-$AV$62:$AV$66)*BO39), N($AK$62:$AK$66&gt;$AI39)),
SUMPRODUCT(INDEX($AL$47:$AN$56,,$AE39), INDEX($AO$47:$AU$56,,$AD39), 1 / ($AW$47:$AW$56*BS39 + (1-$AW$47:$AW$56)*BO39), N($AK$47:$AK$56&gt;$AI39))
) / 1000</f>
        <v>0</v>
      </c>
      <c r="BU39" s="253" cm="1">
        <f t="array" ref="BU39">$BC39 * IF($AD39&lt;=2,
SUMPRODUCT(INDEX($AL$23:$AN$61,,$AE39), INDEX($AO$23:$AU$61,,$AD39), 1 / ($AV$23:$AV$61*BS39), N($AK$23:$AK$61&gt;$AI39)),
SUMPRODUCT(INDEX($AL$23:$AN$46,,$AE39), INDEX($AO$23:$AU$46,,$AD39), 1 / ($AW$23:$AW$46*BS39), N($AK$23:$AK$46&gt;$AI39))
) / 1000</f>
        <v>0</v>
      </c>
      <c r="BV39" s="237">
        <f t="shared" si="27"/>
        <v>0</v>
      </c>
      <c r="BW39" s="210"/>
      <c r="BX39" s="237">
        <f t="shared" si="28"/>
        <v>0</v>
      </c>
      <c r="BY39" s="236">
        <v>35</v>
      </c>
      <c r="BZ39" s="237">
        <f t="shared" si="29"/>
        <v>48</v>
      </c>
      <c r="CA39" s="253">
        <f t="shared" si="30"/>
        <v>3.0748170731707316</v>
      </c>
      <c r="CB39" s="253" cm="1">
        <f t="array" ref="CB39">$BC39 * SUMPRODUCT(INDEX($AL$77:$AN$82,,$AE39),INDEX($AO$77:$AU$82,,$AD39), N($AK$77:$AK$82&gt;$AI39)) / CA39 / 1000</f>
        <v>0</v>
      </c>
      <c r="CC39" s="250">
        <f t="shared" si="31"/>
        <v>30</v>
      </c>
      <c r="CD39" s="237">
        <f t="shared" si="32"/>
        <v>43</v>
      </c>
      <c r="CE39" s="253">
        <f t="shared" si="33"/>
        <v>3.5018750000000001</v>
      </c>
      <c r="CF39" s="253" cm="1">
        <f t="array" ref="CF39">$BC39 * IF($AD39&lt;=2,
SUMPRODUCT(INDEX($AL$72:$AN$76,,$AE39), INDEX($AO$72:$AU$76,,$AD39), 1 / ($AV$72:$AV$76*CE39 + (1-$AV$72:$AV$76)*CA39), N($AK$72:$AK$76&gt;$AI39)),
SUMPRODUCT(INDEX($AL$67:$AN$76,,$AE39), INDEX($AO$67:$AU$76,,$AD39), 1 / ($AW$67:$AW$76*CE39 + (1-$AW$67:$AW$76)*CA39), N($AK$67:$AK$76&gt;$AI39))
) / 1000</f>
        <v>0</v>
      </c>
      <c r="CG39" s="250">
        <f t="shared" si="34"/>
        <v>25</v>
      </c>
      <c r="CH39" s="237">
        <f t="shared" si="35"/>
        <v>38</v>
      </c>
      <c r="CI39" s="253">
        <f t="shared" si="36"/>
        <v>4.0666935483870965</v>
      </c>
      <c r="CJ39" s="253" cm="1">
        <f t="array" ref="CJ39">$BC39 * IF($AD39&lt;=2,
SUMPRODUCT(INDEX($AL$67:$AN$71,,$AE39), INDEX($AO$67:$AU$71,,$AD39), 1 / ($AV$67:$AV$71*CI39 + (1-$AV$67:$AV$71)*CE39), N($AK$67:$AK$71&gt;$AI39)),
SUMPRODUCT(INDEX($AL$57:$AN$66,,$AE39), INDEX($AO$57:$AU$66,,$AD39), 1 / ($AW$57:$AW$66*CI39 + (1-$AW$57:$AW$66)*CE39), N($AK$57:$AK$66&gt;$AI39))
) / 1000</f>
        <v>0</v>
      </c>
      <c r="CK39" s="250">
        <f t="shared" si="37"/>
        <v>20</v>
      </c>
      <c r="CL39" s="237">
        <f t="shared" si="38"/>
        <v>33</v>
      </c>
      <c r="CM39" s="253">
        <f t="shared" si="39"/>
        <v>4.8487499999999999</v>
      </c>
      <c r="CN39" s="253" cm="1">
        <f t="array" ref="CN39">$BC39 * IF($AD39&lt;=2,
SUMPRODUCT(INDEX($AL$62:$AN$66,,$AE39), INDEX($AO$62:$AU$66,,$AD39), 1 / ($AV$62:$AV$66*CM39 + (1-$AV$62:$AV$66)*CI39), N($AK$62:$AK$66&gt;$AI39)),
SUMPRODUCT(INDEX($AL$47:$AN$56,,$AE39), INDEX($AO$47:$AU$56,,$AD39), 1 / ($AW$47:$AW$56*CM39 + (1-$AW$47:$AW$56)*CI39), N($AK$47:$AK$56&gt;$AI39))
) / 1000</f>
        <v>0</v>
      </c>
      <c r="CO39" s="253" cm="1">
        <f t="array" ref="CO39">$BC39 * IF($AD39&lt;=2,
SUMPRODUCT(INDEX($AL$23:$AN$61,,$AE39), INDEX($AO$23:$AU$61,,$AD39), 1 / ($AV$23:$AV$61*CM39), N($AK$23:$AK$61&gt;$AI39)),
SUMPRODUCT(INDEX($AL$23:$AN$46,,$AE39), INDEX($AO$23:$AU$46,,$AD39), 1 / ($AW$23:$AW$46*CM39), N($AK$23:$AK$46&gt;$AI39))
) / 1000</f>
        <v>0</v>
      </c>
      <c r="CP39" s="237">
        <f t="shared" si="40"/>
        <v>0</v>
      </c>
      <c r="CQ39" s="210"/>
    </row>
    <row r="40" spans="1:95" s="76" customFormat="1" ht="14.25" customHeight="1" x14ac:dyDescent="0.25">
      <c r="A40" s="238" t="b">
        <f t="shared" si="0"/>
        <v>0</v>
      </c>
      <c r="B40" s="239">
        <v>18</v>
      </c>
      <c r="C40" s="258"/>
      <c r="D40" s="258"/>
      <c r="E40" s="240"/>
      <c r="F40" s="241" t="str">
        <f>IF(ISBLANK(E40), "", VLOOKUP(E40, Z!$A$2:$C$4127, 3, FALSE))</f>
        <v/>
      </c>
      <c r="G40" s="242"/>
      <c r="H40" s="242"/>
      <c r="I40" s="243"/>
      <c r="J40" s="244"/>
      <c r="K40" s="259"/>
      <c r="L40" s="260"/>
      <c r="M40" s="247" t="str" cm="1">
        <f t="array" ref="M40">IF($K40&gt;0, INDEX(Clean,1+AG40,$C$1), "")</f>
        <v/>
      </c>
      <c r="N40" s="245"/>
      <c r="O40" s="245"/>
      <c r="P40" s="246"/>
      <c r="Q40" s="248">
        <f t="shared" si="6"/>
        <v>0</v>
      </c>
      <c r="R40" s="247" t="str" cm="1">
        <f t="array" ref="R40">IF($K40&gt;0, INDEX(Clean,1+AH40,$C$1), "")</f>
        <v/>
      </c>
      <c r="S40" s="245"/>
      <c r="T40" s="245"/>
      <c r="U40" s="246"/>
      <c r="V40" s="248">
        <f t="shared" si="7"/>
        <v>0</v>
      </c>
      <c r="W40" s="261"/>
      <c r="X40" s="258"/>
      <c r="Y40" s="240"/>
      <c r="Z40" s="241" t="str">
        <f>IF(ISBLANK(Y40), "", VLOOKUP(Y40, Z!$A$2:$C$4127, 3, FALSE))</f>
        <v/>
      </c>
      <c r="AA40" s="262"/>
      <c r="AB40" s="249">
        <f t="shared" si="8"/>
        <v>0</v>
      </c>
      <c r="AC40" s="210"/>
      <c r="AD40" s="236">
        <f t="shared" ref="AD40" si="86">IF(ISBLANK(H40), 1, IFERROR(MATCH(H40, INDEX(Use,,1), 0), IFERROR(MATCH(H40, INDEX(Use,,2), 0), MATCH(H40, INDEX(Use,,3), 0))))</f>
        <v>1</v>
      </c>
      <c r="AE40" s="236">
        <f t="shared" ref="AE40" si="87">IF(ISBLANK(G40), 1, IFERROR(MATCH(G40, INDEX(Loc,,1), 0), IFERROR(MATCH(G40, INDEX(Loc,,2), 0), MATCH(G40, INDEX(Loc,,3), 0))))</f>
        <v>1</v>
      </c>
      <c r="AF40" s="236">
        <f t="shared" ref="AF40" si="88">_xlfn.IFNA(IF(IFERROR(MATCH(I40, INDEX(Medium,,1), 0), IFERROR(MATCH(I40, INDEX(Medium,,2), 0), MATCH(I40, INDEX(Medium,,3), 0))) = 2, 1, 0), 0)</f>
        <v>0</v>
      </c>
      <c r="AG40" s="236">
        <v>1</v>
      </c>
      <c r="AH40" s="236">
        <v>0</v>
      </c>
      <c r="AI40" s="236">
        <f t="shared" si="4"/>
        <v>-100</v>
      </c>
      <c r="AJ40" s="210"/>
      <c r="AK40" s="236">
        <v>-2</v>
      </c>
      <c r="AL40" s="250">
        <v>47</v>
      </c>
      <c r="AM40" s="250">
        <v>181</v>
      </c>
      <c r="AN40" s="250">
        <v>180</v>
      </c>
      <c r="AO40" s="251">
        <f t="shared" si="5"/>
        <v>0</v>
      </c>
      <c r="AP40" s="251">
        <f t="shared" si="5"/>
        <v>0</v>
      </c>
      <c r="AQ40" s="251" cm="1">
        <f t="array" ref="AQ40">MIN(INDEX(Use,AQ$21,5) + MAX(0, (1-INDEX(Use,AQ$21,5))*($AK40-5)/(35-5)), 1)</f>
        <v>0.4</v>
      </c>
      <c r="AR40" s="251" cm="1">
        <f t="array" ref="AR40">MIN(INDEX(Use,AR$21,5) + MAX(0, (1-INDEX(Use,AR$21,5))*($AK40-5)/(35-5)), 1)</f>
        <v>0.6</v>
      </c>
      <c r="AS40" s="251" cm="1">
        <f t="array" ref="AS40">MIN(INDEX(Use,AS$21,5) + MAX(0, (1-INDEX(Use,AS$21,5))*($AK40-5)/(35-5)), 1)</f>
        <v>0.8</v>
      </c>
      <c r="AT40" s="251" cm="1">
        <f t="array" ref="AT40">MIN(INDEX(Use,AT$21,5) + MAX(0, (1-INDEX(Use,AT$21,5))*($AK40-5)/(35-5)), 1)</f>
        <v>0.8</v>
      </c>
      <c r="AU40" s="251" cm="1">
        <f t="array" ref="AU40">MIN(INDEX(Use,AU$21,5) + MAX(0, (1-INDEX(Use,AU$21,5))*($AK40-5)/(35-5)), 1)</f>
        <v>0.8</v>
      </c>
      <c r="AV40" s="251">
        <v>1</v>
      </c>
      <c r="AW40" s="251">
        <v>1</v>
      </c>
      <c r="AX40" s="212"/>
      <c r="AY40" s="236" cm="1">
        <f t="array" ref="AY40">INDEX(Use, $AD40, 4)</f>
        <v>7</v>
      </c>
      <c r="AZ40" s="236">
        <f t="shared" si="12"/>
        <v>32</v>
      </c>
      <c r="BA40" s="236">
        <f t="shared" si="13"/>
        <v>13</v>
      </c>
      <c r="BB40" s="236">
        <f t="shared" si="14"/>
        <v>0</v>
      </c>
      <c r="BC40" s="252" cm="1">
        <f t="array" ref="BC40">K40/IF($L40&gt;0, INDEX($AO$23:$AU$77, $L40+20, $AD40), 1)</f>
        <v>0</v>
      </c>
      <c r="BD40" s="237">
        <f t="shared" si="15"/>
        <v>0</v>
      </c>
      <c r="BE40" s="236">
        <v>35</v>
      </c>
      <c r="BF40" s="237">
        <f t="shared" si="16"/>
        <v>52.55</v>
      </c>
      <c r="BG40" s="253">
        <f t="shared" si="17"/>
        <v>2.7676728869374316</v>
      </c>
      <c r="BH40" s="253" cm="1">
        <f t="array" ref="BH40">$BC40 * SUMPRODUCT(INDEX($AL$77:$AN$82,,$AE40),INDEX($AO$77:$AU$82,,$AD40), N($AK$77:$AK$82&gt;$AI40)) / BG40 / 1000</f>
        <v>0</v>
      </c>
      <c r="BI40" s="250">
        <f t="shared" si="18"/>
        <v>30</v>
      </c>
      <c r="BJ40" s="237">
        <f t="shared" si="19"/>
        <v>46.033333333333331</v>
      </c>
      <c r="BK40" s="253">
        <f t="shared" si="20"/>
        <v>3.2297395388556791</v>
      </c>
      <c r="BL40" s="253" cm="1">
        <f t="array" ref="BL40">$BC40 * IF($AD40&lt;=2,
SUMPRODUCT(INDEX($AL$72:$AN$76,,$AE40), INDEX($AO$72:$AU$76,,$AD40), 1 / ($AV$72:$AV$76*BK40 + (1-$AV$72:$AV$76)*BG40), N($AK$72:$AK$76&gt;$AI40)),
SUMPRODUCT(INDEX($AL$67:$AN$76,,$AE40), INDEX($AO$67:$AU$76,,$AD40), 1 / ($AW$67:$AW$76*BK40 + (1-$AW$67:$AW$76)*BG40), N($AK$67:$AK$76&gt;$AI40))
) / 1000</f>
        <v>0</v>
      </c>
      <c r="BM40" s="250">
        <f t="shared" si="21"/>
        <v>25</v>
      </c>
      <c r="BN40" s="237">
        <f t="shared" si="22"/>
        <v>39.516666666666666</v>
      </c>
      <c r="BO40" s="253">
        <f t="shared" si="23"/>
        <v>3.877011788826243</v>
      </c>
      <c r="BP40" s="253" cm="1">
        <f t="array" ref="BP40">$BC40 * IF($AD40&lt;=2,
SUMPRODUCT(INDEX($AL$67:$AN$71,,$AE40), INDEX($AO$67:$AU$71,,$AD40), 1 / ($AV$67:$AV$71*BO40 + (1-$AV$67:$AV$71)*BK40), N($AK$67:$AK$71&gt;$AI40)),
SUMPRODUCT(INDEX($AL$57:$AN$66,,$AE40), INDEX($AO$57:$AU$66,,$AD40), 1 / ($AW$57:$AW$66*BO40 + (1-$AW$57:$AW$66)*BK40), N($AK$57:$AK$66&gt;$AI40))
) / 1000</f>
        <v>0</v>
      </c>
      <c r="BQ40" s="250">
        <f t="shared" si="24"/>
        <v>20</v>
      </c>
      <c r="BR40" s="237">
        <f t="shared" si="25"/>
        <v>33</v>
      </c>
      <c r="BS40" s="253">
        <f t="shared" si="26"/>
        <v>4.8487499999999999</v>
      </c>
      <c r="BT40" s="253" cm="1">
        <f t="array" ref="BT40">$BC40 * IF($AD40&lt;=2,
SUMPRODUCT(INDEX($AL$62:$AN$66,,$AE40), INDEX($AO$62:$AU$66,,$AD40), 1 / ($AV$62:$AV$66*BS40 + (1-$AV$62:$AV$66)*BO40), N($AK$62:$AK$66&gt;$AI40)),
SUMPRODUCT(INDEX($AL$47:$AN$56,,$AE40), INDEX($AO$47:$AU$56,,$AD40), 1 / ($AW$47:$AW$56*BS40 + (1-$AW$47:$AW$56)*BO40), N($AK$47:$AK$56&gt;$AI40))
) / 1000</f>
        <v>0</v>
      </c>
      <c r="BU40" s="253" cm="1">
        <f t="array" ref="BU40">$BC40 * IF($AD40&lt;=2,
SUMPRODUCT(INDEX($AL$23:$AN$61,,$AE40), INDEX($AO$23:$AU$61,,$AD40), 1 / ($AV$23:$AV$61*BS40), N($AK$23:$AK$61&gt;$AI40)),
SUMPRODUCT(INDEX($AL$23:$AN$46,,$AE40), INDEX($AO$23:$AU$46,,$AD40), 1 / ($AW$23:$AW$46*BS40), N($AK$23:$AK$46&gt;$AI40))
) / 1000</f>
        <v>0</v>
      </c>
      <c r="BV40" s="237">
        <f t="shared" si="27"/>
        <v>0</v>
      </c>
      <c r="BW40" s="210"/>
      <c r="BX40" s="237">
        <f t="shared" si="28"/>
        <v>0</v>
      </c>
      <c r="BY40" s="236">
        <v>35</v>
      </c>
      <c r="BZ40" s="237">
        <f t="shared" si="29"/>
        <v>48</v>
      </c>
      <c r="CA40" s="253">
        <f t="shared" si="30"/>
        <v>3.0748170731707316</v>
      </c>
      <c r="CB40" s="253" cm="1">
        <f t="array" ref="CB40">$BC40 * SUMPRODUCT(INDEX($AL$77:$AN$82,,$AE40),INDEX($AO$77:$AU$82,,$AD40), N($AK$77:$AK$82&gt;$AI40)) / CA40 / 1000</f>
        <v>0</v>
      </c>
      <c r="CC40" s="250">
        <f t="shared" si="31"/>
        <v>30</v>
      </c>
      <c r="CD40" s="237">
        <f t="shared" si="32"/>
        <v>43</v>
      </c>
      <c r="CE40" s="253">
        <f t="shared" si="33"/>
        <v>3.5018750000000001</v>
      </c>
      <c r="CF40" s="253" cm="1">
        <f t="array" ref="CF40">$BC40 * IF($AD40&lt;=2,
SUMPRODUCT(INDEX($AL$72:$AN$76,,$AE40), INDEX($AO$72:$AU$76,,$AD40), 1 / ($AV$72:$AV$76*CE40 + (1-$AV$72:$AV$76)*CA40), N($AK$72:$AK$76&gt;$AI40)),
SUMPRODUCT(INDEX($AL$67:$AN$76,,$AE40), INDEX($AO$67:$AU$76,,$AD40), 1 / ($AW$67:$AW$76*CE40 + (1-$AW$67:$AW$76)*CA40), N($AK$67:$AK$76&gt;$AI40))
) / 1000</f>
        <v>0</v>
      </c>
      <c r="CG40" s="250">
        <f t="shared" si="34"/>
        <v>25</v>
      </c>
      <c r="CH40" s="237">
        <f t="shared" si="35"/>
        <v>38</v>
      </c>
      <c r="CI40" s="253">
        <f t="shared" si="36"/>
        <v>4.0666935483870965</v>
      </c>
      <c r="CJ40" s="253" cm="1">
        <f t="array" ref="CJ40">$BC40 * IF($AD40&lt;=2,
SUMPRODUCT(INDEX($AL$67:$AN$71,,$AE40), INDEX($AO$67:$AU$71,,$AD40), 1 / ($AV$67:$AV$71*CI40 + (1-$AV$67:$AV$71)*CE40), N($AK$67:$AK$71&gt;$AI40)),
SUMPRODUCT(INDEX($AL$57:$AN$66,,$AE40), INDEX($AO$57:$AU$66,,$AD40), 1 / ($AW$57:$AW$66*CI40 + (1-$AW$57:$AW$66)*CE40), N($AK$57:$AK$66&gt;$AI40))
) / 1000</f>
        <v>0</v>
      </c>
      <c r="CK40" s="250">
        <f t="shared" si="37"/>
        <v>20</v>
      </c>
      <c r="CL40" s="237">
        <f t="shared" si="38"/>
        <v>33</v>
      </c>
      <c r="CM40" s="253">
        <f t="shared" si="39"/>
        <v>4.8487499999999999</v>
      </c>
      <c r="CN40" s="253" cm="1">
        <f t="array" ref="CN40">$BC40 * IF($AD40&lt;=2,
SUMPRODUCT(INDEX($AL$62:$AN$66,,$AE40), INDEX($AO$62:$AU$66,,$AD40), 1 / ($AV$62:$AV$66*CM40 + (1-$AV$62:$AV$66)*CI40), N($AK$62:$AK$66&gt;$AI40)),
SUMPRODUCT(INDEX($AL$47:$AN$56,,$AE40), INDEX($AO$47:$AU$56,,$AD40), 1 / ($AW$47:$AW$56*CM40 + (1-$AW$47:$AW$56)*CI40), N($AK$47:$AK$56&gt;$AI40))
) / 1000</f>
        <v>0</v>
      </c>
      <c r="CO40" s="253" cm="1">
        <f t="array" ref="CO40">$BC40 * IF($AD40&lt;=2,
SUMPRODUCT(INDEX($AL$23:$AN$61,,$AE40), INDEX($AO$23:$AU$61,,$AD40), 1 / ($AV$23:$AV$61*CM40), N($AK$23:$AK$61&gt;$AI40)),
SUMPRODUCT(INDEX($AL$23:$AN$46,,$AE40), INDEX($AO$23:$AU$46,,$AD40), 1 / ($AW$23:$AW$46*CM40), N($AK$23:$AK$46&gt;$AI40))
) / 1000</f>
        <v>0</v>
      </c>
      <c r="CP40" s="237">
        <f t="shared" si="40"/>
        <v>0</v>
      </c>
      <c r="CQ40" s="210"/>
    </row>
    <row r="41" spans="1:95" s="76" customFormat="1" ht="14.25" customHeight="1" x14ac:dyDescent="0.25">
      <c r="A41" s="238" t="b">
        <f t="shared" si="0"/>
        <v>0</v>
      </c>
      <c r="B41" s="239">
        <v>19</v>
      </c>
      <c r="C41" s="258"/>
      <c r="D41" s="258"/>
      <c r="E41" s="240"/>
      <c r="F41" s="241" t="str">
        <f>IF(ISBLANK(E41), "", VLOOKUP(E41, Z!$A$2:$C$4127, 3, FALSE))</f>
        <v/>
      </c>
      <c r="G41" s="242"/>
      <c r="H41" s="242"/>
      <c r="I41" s="243"/>
      <c r="J41" s="244"/>
      <c r="K41" s="259"/>
      <c r="L41" s="260"/>
      <c r="M41" s="247" t="str" cm="1">
        <f t="array" ref="M41">IF($K41&gt;0, INDEX(Clean,1+AG41,$C$1), "")</f>
        <v/>
      </c>
      <c r="N41" s="245"/>
      <c r="O41" s="245"/>
      <c r="P41" s="246"/>
      <c r="Q41" s="248">
        <f t="shared" si="6"/>
        <v>0</v>
      </c>
      <c r="R41" s="247" t="str" cm="1">
        <f t="array" ref="R41">IF($K41&gt;0, INDEX(Clean,1+AH41,$C$1), "")</f>
        <v/>
      </c>
      <c r="S41" s="245"/>
      <c r="T41" s="245"/>
      <c r="U41" s="246"/>
      <c r="V41" s="248">
        <f t="shared" si="7"/>
        <v>0</v>
      </c>
      <c r="W41" s="261"/>
      <c r="X41" s="258"/>
      <c r="Y41" s="240"/>
      <c r="Z41" s="241" t="str">
        <f>IF(ISBLANK(Y41), "", VLOOKUP(Y41, Z!$A$2:$C$4127, 3, FALSE))</f>
        <v/>
      </c>
      <c r="AA41" s="262"/>
      <c r="AB41" s="249">
        <f t="shared" si="8"/>
        <v>0</v>
      </c>
      <c r="AC41" s="210"/>
      <c r="AD41" s="236">
        <f t="shared" ref="AD41" si="89">IF(ISBLANK(H41), 1, IFERROR(MATCH(H41, INDEX(Use,,1), 0), IFERROR(MATCH(H41, INDEX(Use,,2), 0), MATCH(H41, INDEX(Use,,3), 0))))</f>
        <v>1</v>
      </c>
      <c r="AE41" s="236">
        <f t="shared" ref="AE41" si="90">IF(ISBLANK(G41), 1, IFERROR(MATCH(G41, INDEX(Loc,,1), 0), IFERROR(MATCH(G41, INDEX(Loc,,2), 0), MATCH(G41, INDEX(Loc,,3), 0))))</f>
        <v>1</v>
      </c>
      <c r="AF41" s="236">
        <f t="shared" ref="AF41" si="91">_xlfn.IFNA(IF(IFERROR(MATCH(I41, INDEX(Medium,,1), 0), IFERROR(MATCH(I41, INDEX(Medium,,2), 0), MATCH(I41, INDEX(Medium,,3), 0))) = 2, 1, 0), 0)</f>
        <v>0</v>
      </c>
      <c r="AG41" s="236">
        <v>1</v>
      </c>
      <c r="AH41" s="236">
        <v>0</v>
      </c>
      <c r="AI41" s="236">
        <f t="shared" si="4"/>
        <v>-100</v>
      </c>
      <c r="AJ41" s="210"/>
      <c r="AK41" s="236">
        <v>-1</v>
      </c>
      <c r="AL41" s="250">
        <v>75</v>
      </c>
      <c r="AM41" s="250">
        <v>178</v>
      </c>
      <c r="AN41" s="250">
        <v>197</v>
      </c>
      <c r="AO41" s="251">
        <f t="shared" si="5"/>
        <v>0</v>
      </c>
      <c r="AP41" s="251">
        <f t="shared" si="5"/>
        <v>0</v>
      </c>
      <c r="AQ41" s="251" cm="1">
        <f t="array" ref="AQ41">MIN(INDEX(Use,AQ$21,5) + MAX(0, (1-INDEX(Use,AQ$21,5))*($AK41-5)/(35-5)), 1)</f>
        <v>0.4</v>
      </c>
      <c r="AR41" s="251" cm="1">
        <f t="array" ref="AR41">MIN(INDEX(Use,AR$21,5) + MAX(0, (1-INDEX(Use,AR$21,5))*($AK41-5)/(35-5)), 1)</f>
        <v>0.6</v>
      </c>
      <c r="AS41" s="251" cm="1">
        <f t="array" ref="AS41">MIN(INDEX(Use,AS$21,5) + MAX(0, (1-INDEX(Use,AS$21,5))*($AK41-5)/(35-5)), 1)</f>
        <v>0.8</v>
      </c>
      <c r="AT41" s="251" cm="1">
        <f t="array" ref="AT41">MIN(INDEX(Use,AT$21,5) + MAX(0, (1-INDEX(Use,AT$21,5))*($AK41-5)/(35-5)), 1)</f>
        <v>0.8</v>
      </c>
      <c r="AU41" s="251" cm="1">
        <f t="array" ref="AU41">MIN(INDEX(Use,AU$21,5) + MAX(0, (1-INDEX(Use,AU$21,5))*($AK41-5)/(35-5)), 1)</f>
        <v>0.8</v>
      </c>
      <c r="AV41" s="251">
        <v>1</v>
      </c>
      <c r="AW41" s="251">
        <v>1</v>
      </c>
      <c r="AX41" s="212"/>
      <c r="AY41" s="236" cm="1">
        <f t="array" ref="AY41">INDEX(Use, $AD41, 4)</f>
        <v>7</v>
      </c>
      <c r="AZ41" s="236">
        <f t="shared" si="12"/>
        <v>32</v>
      </c>
      <c r="BA41" s="236">
        <f t="shared" si="13"/>
        <v>13</v>
      </c>
      <c r="BB41" s="236">
        <f t="shared" si="14"/>
        <v>0</v>
      </c>
      <c r="BC41" s="252" cm="1">
        <f t="array" ref="BC41">K41/IF($L41&gt;0, INDEX($AO$23:$AU$77, $L41+20, $AD41), 1)</f>
        <v>0</v>
      </c>
      <c r="BD41" s="237">
        <f t="shared" si="15"/>
        <v>0</v>
      </c>
      <c r="BE41" s="236">
        <v>35</v>
      </c>
      <c r="BF41" s="237">
        <f t="shared" si="16"/>
        <v>52.55</v>
      </c>
      <c r="BG41" s="253">
        <f t="shared" si="17"/>
        <v>2.7676728869374316</v>
      </c>
      <c r="BH41" s="253" cm="1">
        <f t="array" ref="BH41">$BC41 * SUMPRODUCT(INDEX($AL$77:$AN$82,,$AE41),INDEX($AO$77:$AU$82,,$AD41), N($AK$77:$AK$82&gt;$AI41)) / BG41 / 1000</f>
        <v>0</v>
      </c>
      <c r="BI41" s="250">
        <f t="shared" si="18"/>
        <v>30</v>
      </c>
      <c r="BJ41" s="237">
        <f t="shared" si="19"/>
        <v>46.033333333333331</v>
      </c>
      <c r="BK41" s="253">
        <f t="shared" si="20"/>
        <v>3.2297395388556791</v>
      </c>
      <c r="BL41" s="253" cm="1">
        <f t="array" ref="BL41">$BC41 * IF($AD41&lt;=2,
SUMPRODUCT(INDEX($AL$72:$AN$76,,$AE41), INDEX($AO$72:$AU$76,,$AD41), 1 / ($AV$72:$AV$76*BK41 + (1-$AV$72:$AV$76)*BG41), N($AK$72:$AK$76&gt;$AI41)),
SUMPRODUCT(INDEX($AL$67:$AN$76,,$AE41), INDEX($AO$67:$AU$76,,$AD41), 1 / ($AW$67:$AW$76*BK41 + (1-$AW$67:$AW$76)*BG41), N($AK$67:$AK$76&gt;$AI41))
) / 1000</f>
        <v>0</v>
      </c>
      <c r="BM41" s="250">
        <f t="shared" si="21"/>
        <v>25</v>
      </c>
      <c r="BN41" s="237">
        <f t="shared" si="22"/>
        <v>39.516666666666666</v>
      </c>
      <c r="BO41" s="253">
        <f t="shared" si="23"/>
        <v>3.877011788826243</v>
      </c>
      <c r="BP41" s="253" cm="1">
        <f t="array" ref="BP41">$BC41 * IF($AD41&lt;=2,
SUMPRODUCT(INDEX($AL$67:$AN$71,,$AE41), INDEX($AO$67:$AU$71,,$AD41), 1 / ($AV$67:$AV$71*BO41 + (1-$AV$67:$AV$71)*BK41), N($AK$67:$AK$71&gt;$AI41)),
SUMPRODUCT(INDEX($AL$57:$AN$66,,$AE41), INDEX($AO$57:$AU$66,,$AD41), 1 / ($AW$57:$AW$66*BO41 + (1-$AW$57:$AW$66)*BK41), N($AK$57:$AK$66&gt;$AI41))
) / 1000</f>
        <v>0</v>
      </c>
      <c r="BQ41" s="250">
        <f t="shared" si="24"/>
        <v>20</v>
      </c>
      <c r="BR41" s="237">
        <f t="shared" si="25"/>
        <v>33</v>
      </c>
      <c r="BS41" s="253">
        <f t="shared" si="26"/>
        <v>4.8487499999999999</v>
      </c>
      <c r="BT41" s="253" cm="1">
        <f t="array" ref="BT41">$BC41 * IF($AD41&lt;=2,
SUMPRODUCT(INDEX($AL$62:$AN$66,,$AE41), INDEX($AO$62:$AU$66,,$AD41), 1 / ($AV$62:$AV$66*BS41 + (1-$AV$62:$AV$66)*BO41), N($AK$62:$AK$66&gt;$AI41)),
SUMPRODUCT(INDEX($AL$47:$AN$56,,$AE41), INDEX($AO$47:$AU$56,,$AD41), 1 / ($AW$47:$AW$56*BS41 + (1-$AW$47:$AW$56)*BO41), N($AK$47:$AK$56&gt;$AI41))
) / 1000</f>
        <v>0</v>
      </c>
      <c r="BU41" s="253" cm="1">
        <f t="array" ref="BU41">$BC41 * IF($AD41&lt;=2,
SUMPRODUCT(INDEX($AL$23:$AN$61,,$AE41), INDEX($AO$23:$AU$61,,$AD41), 1 / ($AV$23:$AV$61*BS41), N($AK$23:$AK$61&gt;$AI41)),
SUMPRODUCT(INDEX($AL$23:$AN$46,,$AE41), INDEX($AO$23:$AU$46,,$AD41), 1 / ($AW$23:$AW$46*BS41), N($AK$23:$AK$46&gt;$AI41))
) / 1000</f>
        <v>0</v>
      </c>
      <c r="BV41" s="237">
        <f t="shared" si="27"/>
        <v>0</v>
      </c>
      <c r="BW41" s="210"/>
      <c r="BX41" s="237">
        <f t="shared" si="28"/>
        <v>0</v>
      </c>
      <c r="BY41" s="236">
        <v>35</v>
      </c>
      <c r="BZ41" s="237">
        <f t="shared" si="29"/>
        <v>48</v>
      </c>
      <c r="CA41" s="253">
        <f t="shared" si="30"/>
        <v>3.0748170731707316</v>
      </c>
      <c r="CB41" s="253" cm="1">
        <f t="array" ref="CB41">$BC41 * SUMPRODUCT(INDEX($AL$77:$AN$82,,$AE41),INDEX($AO$77:$AU$82,,$AD41), N($AK$77:$AK$82&gt;$AI41)) / CA41 / 1000</f>
        <v>0</v>
      </c>
      <c r="CC41" s="250">
        <f t="shared" si="31"/>
        <v>30</v>
      </c>
      <c r="CD41" s="237">
        <f t="shared" si="32"/>
        <v>43</v>
      </c>
      <c r="CE41" s="253">
        <f t="shared" si="33"/>
        <v>3.5018750000000001</v>
      </c>
      <c r="CF41" s="253" cm="1">
        <f t="array" ref="CF41">$BC41 * IF($AD41&lt;=2,
SUMPRODUCT(INDEX($AL$72:$AN$76,,$AE41), INDEX($AO$72:$AU$76,,$AD41), 1 / ($AV$72:$AV$76*CE41 + (1-$AV$72:$AV$76)*CA41), N($AK$72:$AK$76&gt;$AI41)),
SUMPRODUCT(INDEX($AL$67:$AN$76,,$AE41), INDEX($AO$67:$AU$76,,$AD41), 1 / ($AW$67:$AW$76*CE41 + (1-$AW$67:$AW$76)*CA41), N($AK$67:$AK$76&gt;$AI41))
) / 1000</f>
        <v>0</v>
      </c>
      <c r="CG41" s="250">
        <f t="shared" si="34"/>
        <v>25</v>
      </c>
      <c r="CH41" s="237">
        <f t="shared" si="35"/>
        <v>38</v>
      </c>
      <c r="CI41" s="253">
        <f t="shared" si="36"/>
        <v>4.0666935483870965</v>
      </c>
      <c r="CJ41" s="253" cm="1">
        <f t="array" ref="CJ41">$BC41 * IF($AD41&lt;=2,
SUMPRODUCT(INDEX($AL$67:$AN$71,,$AE41), INDEX($AO$67:$AU$71,,$AD41), 1 / ($AV$67:$AV$71*CI41 + (1-$AV$67:$AV$71)*CE41), N($AK$67:$AK$71&gt;$AI41)),
SUMPRODUCT(INDEX($AL$57:$AN$66,,$AE41), INDEX($AO$57:$AU$66,,$AD41), 1 / ($AW$57:$AW$66*CI41 + (1-$AW$57:$AW$66)*CE41), N($AK$57:$AK$66&gt;$AI41))
) / 1000</f>
        <v>0</v>
      </c>
      <c r="CK41" s="250">
        <f t="shared" si="37"/>
        <v>20</v>
      </c>
      <c r="CL41" s="237">
        <f t="shared" si="38"/>
        <v>33</v>
      </c>
      <c r="CM41" s="253">
        <f t="shared" si="39"/>
        <v>4.8487499999999999</v>
      </c>
      <c r="CN41" s="253" cm="1">
        <f t="array" ref="CN41">$BC41 * IF($AD41&lt;=2,
SUMPRODUCT(INDEX($AL$62:$AN$66,,$AE41), INDEX($AO$62:$AU$66,,$AD41), 1 / ($AV$62:$AV$66*CM41 + (1-$AV$62:$AV$66)*CI41), N($AK$62:$AK$66&gt;$AI41)),
SUMPRODUCT(INDEX($AL$47:$AN$56,,$AE41), INDEX($AO$47:$AU$56,,$AD41), 1 / ($AW$47:$AW$56*CM41 + (1-$AW$47:$AW$56)*CI41), N($AK$47:$AK$56&gt;$AI41))
) / 1000</f>
        <v>0</v>
      </c>
      <c r="CO41" s="253" cm="1">
        <f t="array" ref="CO41">$BC41 * IF($AD41&lt;=2,
SUMPRODUCT(INDEX($AL$23:$AN$61,,$AE41), INDEX($AO$23:$AU$61,,$AD41), 1 / ($AV$23:$AV$61*CM41), N($AK$23:$AK$61&gt;$AI41)),
SUMPRODUCT(INDEX($AL$23:$AN$46,,$AE41), INDEX($AO$23:$AU$46,,$AD41), 1 / ($AW$23:$AW$46*CM41), N($AK$23:$AK$46&gt;$AI41))
) / 1000</f>
        <v>0</v>
      </c>
      <c r="CP41" s="237">
        <f t="shared" si="40"/>
        <v>0</v>
      </c>
      <c r="CQ41" s="210"/>
    </row>
    <row r="42" spans="1:95" s="76" customFormat="1" ht="14.25" customHeight="1" x14ac:dyDescent="0.25">
      <c r="A42" s="238" t="b">
        <f t="shared" si="0"/>
        <v>0</v>
      </c>
      <c r="B42" s="239">
        <v>20</v>
      </c>
      <c r="C42" s="258"/>
      <c r="D42" s="258"/>
      <c r="E42" s="240"/>
      <c r="F42" s="241" t="str">
        <f>IF(ISBLANK(E42), "", VLOOKUP(E42, Z!$A$2:$C$4127, 3, FALSE))</f>
        <v/>
      </c>
      <c r="G42" s="242"/>
      <c r="H42" s="242"/>
      <c r="I42" s="243"/>
      <c r="J42" s="244"/>
      <c r="K42" s="259"/>
      <c r="L42" s="260"/>
      <c r="M42" s="247" t="str" cm="1">
        <f t="array" ref="M42">IF($K42&gt;0, INDEX(Clean,1+AG42,$C$1), "")</f>
        <v/>
      </c>
      <c r="N42" s="245"/>
      <c r="O42" s="245"/>
      <c r="P42" s="246"/>
      <c r="Q42" s="248">
        <f t="shared" si="6"/>
        <v>0</v>
      </c>
      <c r="R42" s="247" t="str" cm="1">
        <f t="array" ref="R42">IF($K42&gt;0, INDEX(Clean,1+AH42,$C$1), "")</f>
        <v/>
      </c>
      <c r="S42" s="245"/>
      <c r="T42" s="245"/>
      <c r="U42" s="246"/>
      <c r="V42" s="248">
        <f t="shared" si="7"/>
        <v>0</v>
      </c>
      <c r="W42" s="261"/>
      <c r="X42" s="258"/>
      <c r="Y42" s="240"/>
      <c r="Z42" s="241" t="str">
        <f>IF(ISBLANK(Y42), "", VLOOKUP(Y42, Z!$A$2:$C$4127, 3, FALSE))</f>
        <v/>
      </c>
      <c r="AA42" s="262"/>
      <c r="AB42" s="249">
        <f t="shared" si="8"/>
        <v>0</v>
      </c>
      <c r="AC42" s="210"/>
      <c r="AD42" s="236">
        <f t="shared" ref="AD42" si="92">IF(ISBLANK(H42), 1, IFERROR(MATCH(H42, INDEX(Use,,1), 0), IFERROR(MATCH(H42, INDEX(Use,,2), 0), MATCH(H42, INDEX(Use,,3), 0))))</f>
        <v>1</v>
      </c>
      <c r="AE42" s="236">
        <f t="shared" ref="AE42" si="93">IF(ISBLANK(G42), 1, IFERROR(MATCH(G42, INDEX(Loc,,1), 0), IFERROR(MATCH(G42, INDEX(Loc,,2), 0), MATCH(G42, INDEX(Loc,,3), 0))))</f>
        <v>1</v>
      </c>
      <c r="AF42" s="236">
        <f t="shared" ref="AF42" si="94">_xlfn.IFNA(IF(IFERROR(MATCH(I42, INDEX(Medium,,1), 0), IFERROR(MATCH(I42, INDEX(Medium,,2), 0), MATCH(I42, INDEX(Medium,,3), 0))) = 2, 1, 0), 0)</f>
        <v>0</v>
      </c>
      <c r="AG42" s="236">
        <v>1</v>
      </c>
      <c r="AH42" s="236">
        <v>0</v>
      </c>
      <c r="AI42" s="236">
        <f t="shared" si="4"/>
        <v>-100</v>
      </c>
      <c r="AJ42" s="210"/>
      <c r="AK42" s="236">
        <v>0</v>
      </c>
      <c r="AL42" s="250">
        <v>131</v>
      </c>
      <c r="AM42" s="250">
        <v>189</v>
      </c>
      <c r="AN42" s="250">
        <v>249</v>
      </c>
      <c r="AO42" s="251">
        <f t="shared" si="5"/>
        <v>0</v>
      </c>
      <c r="AP42" s="251">
        <f t="shared" si="5"/>
        <v>0</v>
      </c>
      <c r="AQ42" s="251" cm="1">
        <f t="array" ref="AQ42">MIN(INDEX(Use,AQ$21,5) + MAX(0, (1-INDEX(Use,AQ$21,5))*($AK42-5)/(35-5)), 1)</f>
        <v>0.4</v>
      </c>
      <c r="AR42" s="251" cm="1">
        <f t="array" ref="AR42">MIN(INDEX(Use,AR$21,5) + MAX(0, (1-INDEX(Use,AR$21,5))*($AK42-5)/(35-5)), 1)</f>
        <v>0.6</v>
      </c>
      <c r="AS42" s="251" cm="1">
        <f t="array" ref="AS42">MIN(INDEX(Use,AS$21,5) + MAX(0, (1-INDEX(Use,AS$21,5))*($AK42-5)/(35-5)), 1)</f>
        <v>0.8</v>
      </c>
      <c r="AT42" s="251" cm="1">
        <f t="array" ref="AT42">MIN(INDEX(Use,AT$21,5) + MAX(0, (1-INDEX(Use,AT$21,5))*($AK42-5)/(35-5)), 1)</f>
        <v>0.8</v>
      </c>
      <c r="AU42" s="251" cm="1">
        <f t="array" ref="AU42">MIN(INDEX(Use,AU$21,5) + MAX(0, (1-INDEX(Use,AU$21,5))*($AK42-5)/(35-5)), 1)</f>
        <v>0.8</v>
      </c>
      <c r="AV42" s="251">
        <v>1</v>
      </c>
      <c r="AW42" s="251">
        <v>1</v>
      </c>
      <c r="AX42" s="212"/>
      <c r="AY42" s="236" cm="1">
        <f t="array" ref="AY42">INDEX(Use, $AD42, 4)</f>
        <v>7</v>
      </c>
      <c r="AZ42" s="236">
        <f t="shared" si="12"/>
        <v>32</v>
      </c>
      <c r="BA42" s="236">
        <f t="shared" si="13"/>
        <v>13</v>
      </c>
      <c r="BB42" s="236">
        <f t="shared" si="14"/>
        <v>0</v>
      </c>
      <c r="BC42" s="252" cm="1">
        <f t="array" ref="BC42">K42/IF($L42&gt;0, INDEX($AO$23:$AU$77, $L42+20, $AD42), 1)</f>
        <v>0</v>
      </c>
      <c r="BD42" s="237">
        <f t="shared" si="15"/>
        <v>0</v>
      </c>
      <c r="BE42" s="236">
        <v>35</v>
      </c>
      <c r="BF42" s="237">
        <f t="shared" si="16"/>
        <v>52.55</v>
      </c>
      <c r="BG42" s="253">
        <f t="shared" si="17"/>
        <v>2.7676728869374316</v>
      </c>
      <c r="BH42" s="253" cm="1">
        <f t="array" ref="BH42">$BC42 * SUMPRODUCT(INDEX($AL$77:$AN$82,,$AE42),INDEX($AO$77:$AU$82,,$AD42), N($AK$77:$AK$82&gt;$AI42)) / BG42 / 1000</f>
        <v>0</v>
      </c>
      <c r="BI42" s="250">
        <f t="shared" si="18"/>
        <v>30</v>
      </c>
      <c r="BJ42" s="237">
        <f t="shared" si="19"/>
        <v>46.033333333333331</v>
      </c>
      <c r="BK42" s="253">
        <f t="shared" si="20"/>
        <v>3.2297395388556791</v>
      </c>
      <c r="BL42" s="253" cm="1">
        <f t="array" ref="BL42">$BC42 * IF($AD42&lt;=2,
SUMPRODUCT(INDEX($AL$72:$AN$76,,$AE42), INDEX($AO$72:$AU$76,,$AD42), 1 / ($AV$72:$AV$76*BK42 + (1-$AV$72:$AV$76)*BG42), N($AK$72:$AK$76&gt;$AI42)),
SUMPRODUCT(INDEX($AL$67:$AN$76,,$AE42), INDEX($AO$67:$AU$76,,$AD42), 1 / ($AW$67:$AW$76*BK42 + (1-$AW$67:$AW$76)*BG42), N($AK$67:$AK$76&gt;$AI42))
) / 1000</f>
        <v>0</v>
      </c>
      <c r="BM42" s="250">
        <f t="shared" si="21"/>
        <v>25</v>
      </c>
      <c r="BN42" s="237">
        <f t="shared" si="22"/>
        <v>39.516666666666666</v>
      </c>
      <c r="BO42" s="253">
        <f t="shared" si="23"/>
        <v>3.877011788826243</v>
      </c>
      <c r="BP42" s="253" cm="1">
        <f t="array" ref="BP42">$BC42 * IF($AD42&lt;=2,
SUMPRODUCT(INDEX($AL$67:$AN$71,,$AE42), INDEX($AO$67:$AU$71,,$AD42), 1 / ($AV$67:$AV$71*BO42 + (1-$AV$67:$AV$71)*BK42), N($AK$67:$AK$71&gt;$AI42)),
SUMPRODUCT(INDEX($AL$57:$AN$66,,$AE42), INDEX($AO$57:$AU$66,,$AD42), 1 / ($AW$57:$AW$66*BO42 + (1-$AW$57:$AW$66)*BK42), N($AK$57:$AK$66&gt;$AI42))
) / 1000</f>
        <v>0</v>
      </c>
      <c r="BQ42" s="250">
        <f t="shared" si="24"/>
        <v>20</v>
      </c>
      <c r="BR42" s="237">
        <f t="shared" si="25"/>
        <v>33</v>
      </c>
      <c r="BS42" s="253">
        <f t="shared" si="26"/>
        <v>4.8487499999999999</v>
      </c>
      <c r="BT42" s="253" cm="1">
        <f t="array" ref="BT42">$BC42 * IF($AD42&lt;=2,
SUMPRODUCT(INDEX($AL$62:$AN$66,,$AE42), INDEX($AO$62:$AU$66,,$AD42), 1 / ($AV$62:$AV$66*BS42 + (1-$AV$62:$AV$66)*BO42), N($AK$62:$AK$66&gt;$AI42)),
SUMPRODUCT(INDEX($AL$47:$AN$56,,$AE42), INDEX($AO$47:$AU$56,,$AD42), 1 / ($AW$47:$AW$56*BS42 + (1-$AW$47:$AW$56)*BO42), N($AK$47:$AK$56&gt;$AI42))
) / 1000</f>
        <v>0</v>
      </c>
      <c r="BU42" s="253" cm="1">
        <f t="array" ref="BU42">$BC42 * IF($AD42&lt;=2,
SUMPRODUCT(INDEX($AL$23:$AN$61,,$AE42), INDEX($AO$23:$AU$61,,$AD42), 1 / ($AV$23:$AV$61*BS42), N($AK$23:$AK$61&gt;$AI42)),
SUMPRODUCT(INDEX($AL$23:$AN$46,,$AE42), INDEX($AO$23:$AU$46,,$AD42), 1 / ($AW$23:$AW$46*BS42), N($AK$23:$AK$46&gt;$AI42))
) / 1000</f>
        <v>0</v>
      </c>
      <c r="BV42" s="237">
        <f t="shared" si="27"/>
        <v>0</v>
      </c>
      <c r="BW42" s="210"/>
      <c r="BX42" s="237">
        <f t="shared" si="28"/>
        <v>0</v>
      </c>
      <c r="BY42" s="236">
        <v>35</v>
      </c>
      <c r="BZ42" s="237">
        <f t="shared" si="29"/>
        <v>48</v>
      </c>
      <c r="CA42" s="253">
        <f t="shared" si="30"/>
        <v>3.0748170731707316</v>
      </c>
      <c r="CB42" s="253" cm="1">
        <f t="array" ref="CB42">$BC42 * SUMPRODUCT(INDEX($AL$77:$AN$82,,$AE42),INDEX($AO$77:$AU$82,,$AD42), N($AK$77:$AK$82&gt;$AI42)) / CA42 / 1000</f>
        <v>0</v>
      </c>
      <c r="CC42" s="250">
        <f t="shared" si="31"/>
        <v>30</v>
      </c>
      <c r="CD42" s="237">
        <f t="shared" si="32"/>
        <v>43</v>
      </c>
      <c r="CE42" s="253">
        <f t="shared" si="33"/>
        <v>3.5018750000000001</v>
      </c>
      <c r="CF42" s="253" cm="1">
        <f t="array" ref="CF42">$BC42 * IF($AD42&lt;=2,
SUMPRODUCT(INDEX($AL$72:$AN$76,,$AE42), INDEX($AO$72:$AU$76,,$AD42), 1 / ($AV$72:$AV$76*CE42 + (1-$AV$72:$AV$76)*CA42), N($AK$72:$AK$76&gt;$AI42)),
SUMPRODUCT(INDEX($AL$67:$AN$76,,$AE42), INDEX($AO$67:$AU$76,,$AD42), 1 / ($AW$67:$AW$76*CE42 + (1-$AW$67:$AW$76)*CA42), N($AK$67:$AK$76&gt;$AI42))
) / 1000</f>
        <v>0</v>
      </c>
      <c r="CG42" s="250">
        <f t="shared" si="34"/>
        <v>25</v>
      </c>
      <c r="CH42" s="237">
        <f t="shared" si="35"/>
        <v>38</v>
      </c>
      <c r="CI42" s="253">
        <f t="shared" si="36"/>
        <v>4.0666935483870965</v>
      </c>
      <c r="CJ42" s="253" cm="1">
        <f t="array" ref="CJ42">$BC42 * IF($AD42&lt;=2,
SUMPRODUCT(INDEX($AL$67:$AN$71,,$AE42), INDEX($AO$67:$AU$71,,$AD42), 1 / ($AV$67:$AV$71*CI42 + (1-$AV$67:$AV$71)*CE42), N($AK$67:$AK$71&gt;$AI42)),
SUMPRODUCT(INDEX($AL$57:$AN$66,,$AE42), INDEX($AO$57:$AU$66,,$AD42), 1 / ($AW$57:$AW$66*CI42 + (1-$AW$57:$AW$66)*CE42), N($AK$57:$AK$66&gt;$AI42))
) / 1000</f>
        <v>0</v>
      </c>
      <c r="CK42" s="250">
        <f t="shared" si="37"/>
        <v>20</v>
      </c>
      <c r="CL42" s="237">
        <f t="shared" si="38"/>
        <v>33</v>
      </c>
      <c r="CM42" s="253">
        <f t="shared" si="39"/>
        <v>4.8487499999999999</v>
      </c>
      <c r="CN42" s="253" cm="1">
        <f t="array" ref="CN42">$BC42 * IF($AD42&lt;=2,
SUMPRODUCT(INDEX($AL$62:$AN$66,,$AE42), INDEX($AO$62:$AU$66,,$AD42), 1 / ($AV$62:$AV$66*CM42 + (1-$AV$62:$AV$66)*CI42), N($AK$62:$AK$66&gt;$AI42)),
SUMPRODUCT(INDEX($AL$47:$AN$56,,$AE42), INDEX($AO$47:$AU$56,,$AD42), 1 / ($AW$47:$AW$56*CM42 + (1-$AW$47:$AW$56)*CI42), N($AK$47:$AK$56&gt;$AI42))
) / 1000</f>
        <v>0</v>
      </c>
      <c r="CO42" s="253" cm="1">
        <f t="array" ref="CO42">$BC42 * IF($AD42&lt;=2,
SUMPRODUCT(INDEX($AL$23:$AN$61,,$AE42), INDEX($AO$23:$AU$61,,$AD42), 1 / ($AV$23:$AV$61*CM42), N($AK$23:$AK$61&gt;$AI42)),
SUMPRODUCT(INDEX($AL$23:$AN$46,,$AE42), INDEX($AO$23:$AU$46,,$AD42), 1 / ($AW$23:$AW$46*CM42), N($AK$23:$AK$46&gt;$AI42))
) / 1000</f>
        <v>0</v>
      </c>
      <c r="CP42" s="237">
        <f t="shared" si="40"/>
        <v>0</v>
      </c>
      <c r="CQ42" s="210"/>
    </row>
    <row r="43" spans="1:95" s="76" customFormat="1" ht="14.25" customHeight="1" x14ac:dyDescent="0.25">
      <c r="A43" s="238" t="b">
        <f t="shared" si="0"/>
        <v>0</v>
      </c>
      <c r="B43" s="239">
        <v>21</v>
      </c>
      <c r="C43" s="258"/>
      <c r="D43" s="258"/>
      <c r="E43" s="240"/>
      <c r="F43" s="241" t="str">
        <f>IF(ISBLANK(E43), "", VLOOKUP(E43, Z!$A$2:$C$4127, 3, FALSE))</f>
        <v/>
      </c>
      <c r="G43" s="242"/>
      <c r="H43" s="242"/>
      <c r="I43" s="243"/>
      <c r="J43" s="244"/>
      <c r="K43" s="259"/>
      <c r="L43" s="260"/>
      <c r="M43" s="247" t="str" cm="1">
        <f t="array" ref="M43">IF($K43&gt;0, INDEX(Clean,1+AG43,$C$1), "")</f>
        <v/>
      </c>
      <c r="N43" s="245"/>
      <c r="O43" s="245"/>
      <c r="P43" s="246"/>
      <c r="Q43" s="248">
        <f t="shared" si="6"/>
        <v>0</v>
      </c>
      <c r="R43" s="247" t="str" cm="1">
        <f t="array" ref="R43">IF($K43&gt;0, INDEX(Clean,1+AH43,$C$1), "")</f>
        <v/>
      </c>
      <c r="S43" s="245"/>
      <c r="T43" s="245"/>
      <c r="U43" s="246"/>
      <c r="V43" s="248">
        <f t="shared" si="7"/>
        <v>0</v>
      </c>
      <c r="W43" s="261"/>
      <c r="X43" s="258"/>
      <c r="Y43" s="240"/>
      <c r="Z43" s="241" t="str">
        <f>IF(ISBLANK(Y43), "", VLOOKUP(Y43, Z!$A$2:$C$4127, 3, FALSE))</f>
        <v/>
      </c>
      <c r="AA43" s="262"/>
      <c r="AB43" s="249">
        <f t="shared" si="8"/>
        <v>0</v>
      </c>
      <c r="AC43" s="210"/>
      <c r="AD43" s="236">
        <f t="shared" ref="AD43" si="95">IF(ISBLANK(H43), 1, IFERROR(MATCH(H43, INDEX(Use,,1), 0), IFERROR(MATCH(H43, INDEX(Use,,2), 0), MATCH(H43, INDEX(Use,,3), 0))))</f>
        <v>1</v>
      </c>
      <c r="AE43" s="236">
        <f t="shared" ref="AE43" si="96">IF(ISBLANK(G43), 1, IFERROR(MATCH(G43, INDEX(Loc,,1), 0), IFERROR(MATCH(G43, INDEX(Loc,,2), 0), MATCH(G43, INDEX(Loc,,3), 0))))</f>
        <v>1</v>
      </c>
      <c r="AF43" s="236">
        <f t="shared" ref="AF43" si="97">_xlfn.IFNA(IF(IFERROR(MATCH(I43, INDEX(Medium,,1), 0), IFERROR(MATCH(I43, INDEX(Medium,,2), 0), MATCH(I43, INDEX(Medium,,3), 0))) = 2, 1, 0), 0)</f>
        <v>0</v>
      </c>
      <c r="AG43" s="236">
        <v>1</v>
      </c>
      <c r="AH43" s="236">
        <v>0</v>
      </c>
      <c r="AI43" s="236">
        <f t="shared" si="4"/>
        <v>-100</v>
      </c>
      <c r="AJ43" s="210"/>
      <c r="AK43" s="236">
        <v>1</v>
      </c>
      <c r="AL43" s="250">
        <v>184</v>
      </c>
      <c r="AM43" s="250">
        <v>295</v>
      </c>
      <c r="AN43" s="250">
        <v>332</v>
      </c>
      <c r="AO43" s="251">
        <f t="shared" si="5"/>
        <v>0</v>
      </c>
      <c r="AP43" s="251">
        <f t="shared" si="5"/>
        <v>0</v>
      </c>
      <c r="AQ43" s="251" cm="1">
        <f t="array" ref="AQ43">MIN(INDEX(Use,AQ$21,5) + MAX(0, (1-INDEX(Use,AQ$21,5))*($AK43-5)/(35-5)), 1)</f>
        <v>0.4</v>
      </c>
      <c r="AR43" s="251" cm="1">
        <f t="array" ref="AR43">MIN(INDEX(Use,AR$21,5) + MAX(0, (1-INDEX(Use,AR$21,5))*($AK43-5)/(35-5)), 1)</f>
        <v>0.6</v>
      </c>
      <c r="AS43" s="251" cm="1">
        <f t="array" ref="AS43">MIN(INDEX(Use,AS$21,5) + MAX(0, (1-INDEX(Use,AS$21,5))*($AK43-5)/(35-5)), 1)</f>
        <v>0.8</v>
      </c>
      <c r="AT43" s="251" cm="1">
        <f t="array" ref="AT43">MIN(INDEX(Use,AT$21,5) + MAX(0, (1-INDEX(Use,AT$21,5))*($AK43-5)/(35-5)), 1)</f>
        <v>0.8</v>
      </c>
      <c r="AU43" s="251" cm="1">
        <f t="array" ref="AU43">MIN(INDEX(Use,AU$21,5) + MAX(0, (1-INDEX(Use,AU$21,5))*($AK43-5)/(35-5)), 1)</f>
        <v>0.8</v>
      </c>
      <c r="AV43" s="251">
        <v>1</v>
      </c>
      <c r="AW43" s="251">
        <v>1</v>
      </c>
      <c r="AX43" s="212"/>
      <c r="AY43" s="236" cm="1">
        <f t="array" ref="AY43">INDEX(Use, $AD43, 4)</f>
        <v>7</v>
      </c>
      <c r="AZ43" s="236">
        <f t="shared" si="12"/>
        <v>32</v>
      </c>
      <c r="BA43" s="236">
        <f t="shared" si="13"/>
        <v>13</v>
      </c>
      <c r="BB43" s="236">
        <f t="shared" si="14"/>
        <v>0</v>
      </c>
      <c r="BC43" s="252" cm="1">
        <f t="array" ref="BC43">K43/IF($L43&gt;0, INDEX($AO$23:$AU$77, $L43+20, $AD43), 1)</f>
        <v>0</v>
      </c>
      <c r="BD43" s="237">
        <f t="shared" si="15"/>
        <v>0</v>
      </c>
      <c r="BE43" s="236">
        <v>35</v>
      </c>
      <c r="BF43" s="237">
        <f t="shared" si="16"/>
        <v>52.55</v>
      </c>
      <c r="BG43" s="253">
        <f t="shared" si="17"/>
        <v>2.7676728869374316</v>
      </c>
      <c r="BH43" s="253" cm="1">
        <f t="array" ref="BH43">$BC43 * SUMPRODUCT(INDEX($AL$77:$AN$82,,$AE43),INDEX($AO$77:$AU$82,,$AD43), N($AK$77:$AK$82&gt;$AI43)) / BG43 / 1000</f>
        <v>0</v>
      </c>
      <c r="BI43" s="250">
        <f t="shared" si="18"/>
        <v>30</v>
      </c>
      <c r="BJ43" s="237">
        <f t="shared" si="19"/>
        <v>46.033333333333331</v>
      </c>
      <c r="BK43" s="253">
        <f t="shared" si="20"/>
        <v>3.2297395388556791</v>
      </c>
      <c r="BL43" s="253" cm="1">
        <f t="array" ref="BL43">$BC43 * IF($AD43&lt;=2,
SUMPRODUCT(INDEX($AL$72:$AN$76,,$AE43), INDEX($AO$72:$AU$76,,$AD43), 1 / ($AV$72:$AV$76*BK43 + (1-$AV$72:$AV$76)*BG43), N($AK$72:$AK$76&gt;$AI43)),
SUMPRODUCT(INDEX($AL$67:$AN$76,,$AE43), INDEX($AO$67:$AU$76,,$AD43), 1 / ($AW$67:$AW$76*BK43 + (1-$AW$67:$AW$76)*BG43), N($AK$67:$AK$76&gt;$AI43))
) / 1000</f>
        <v>0</v>
      </c>
      <c r="BM43" s="250">
        <f t="shared" si="21"/>
        <v>25</v>
      </c>
      <c r="BN43" s="237">
        <f t="shared" si="22"/>
        <v>39.516666666666666</v>
      </c>
      <c r="BO43" s="253">
        <f t="shared" si="23"/>
        <v>3.877011788826243</v>
      </c>
      <c r="BP43" s="253" cm="1">
        <f t="array" ref="BP43">$BC43 * IF($AD43&lt;=2,
SUMPRODUCT(INDEX($AL$67:$AN$71,,$AE43), INDEX($AO$67:$AU$71,,$AD43), 1 / ($AV$67:$AV$71*BO43 + (1-$AV$67:$AV$71)*BK43), N($AK$67:$AK$71&gt;$AI43)),
SUMPRODUCT(INDEX($AL$57:$AN$66,,$AE43), INDEX($AO$57:$AU$66,,$AD43), 1 / ($AW$57:$AW$66*BO43 + (1-$AW$57:$AW$66)*BK43), N($AK$57:$AK$66&gt;$AI43))
) / 1000</f>
        <v>0</v>
      </c>
      <c r="BQ43" s="250">
        <f t="shared" si="24"/>
        <v>20</v>
      </c>
      <c r="BR43" s="237">
        <f t="shared" si="25"/>
        <v>33</v>
      </c>
      <c r="BS43" s="253">
        <f t="shared" si="26"/>
        <v>4.8487499999999999</v>
      </c>
      <c r="BT43" s="253" cm="1">
        <f t="array" ref="BT43">$BC43 * IF($AD43&lt;=2,
SUMPRODUCT(INDEX($AL$62:$AN$66,,$AE43), INDEX($AO$62:$AU$66,,$AD43), 1 / ($AV$62:$AV$66*BS43 + (1-$AV$62:$AV$66)*BO43), N($AK$62:$AK$66&gt;$AI43)),
SUMPRODUCT(INDEX($AL$47:$AN$56,,$AE43), INDEX($AO$47:$AU$56,,$AD43), 1 / ($AW$47:$AW$56*BS43 + (1-$AW$47:$AW$56)*BO43), N($AK$47:$AK$56&gt;$AI43))
) / 1000</f>
        <v>0</v>
      </c>
      <c r="BU43" s="253" cm="1">
        <f t="array" ref="BU43">$BC43 * IF($AD43&lt;=2,
SUMPRODUCT(INDEX($AL$23:$AN$61,,$AE43), INDEX($AO$23:$AU$61,,$AD43), 1 / ($AV$23:$AV$61*BS43), N($AK$23:$AK$61&gt;$AI43)),
SUMPRODUCT(INDEX($AL$23:$AN$46,,$AE43), INDEX($AO$23:$AU$46,,$AD43), 1 / ($AW$23:$AW$46*BS43), N($AK$23:$AK$46&gt;$AI43))
) / 1000</f>
        <v>0</v>
      </c>
      <c r="BV43" s="237">
        <f t="shared" si="27"/>
        <v>0</v>
      </c>
      <c r="BW43" s="210"/>
      <c r="BX43" s="237">
        <f t="shared" si="28"/>
        <v>0</v>
      </c>
      <c r="BY43" s="236">
        <v>35</v>
      </c>
      <c r="BZ43" s="237">
        <f t="shared" si="29"/>
        <v>48</v>
      </c>
      <c r="CA43" s="253">
        <f t="shared" si="30"/>
        <v>3.0748170731707316</v>
      </c>
      <c r="CB43" s="253" cm="1">
        <f t="array" ref="CB43">$BC43 * SUMPRODUCT(INDEX($AL$77:$AN$82,,$AE43),INDEX($AO$77:$AU$82,,$AD43), N($AK$77:$AK$82&gt;$AI43)) / CA43 / 1000</f>
        <v>0</v>
      </c>
      <c r="CC43" s="250">
        <f t="shared" si="31"/>
        <v>30</v>
      </c>
      <c r="CD43" s="237">
        <f t="shared" si="32"/>
        <v>43</v>
      </c>
      <c r="CE43" s="253">
        <f t="shared" si="33"/>
        <v>3.5018750000000001</v>
      </c>
      <c r="CF43" s="253" cm="1">
        <f t="array" ref="CF43">$BC43 * IF($AD43&lt;=2,
SUMPRODUCT(INDEX($AL$72:$AN$76,,$AE43), INDEX($AO$72:$AU$76,,$AD43), 1 / ($AV$72:$AV$76*CE43 + (1-$AV$72:$AV$76)*CA43), N($AK$72:$AK$76&gt;$AI43)),
SUMPRODUCT(INDEX($AL$67:$AN$76,,$AE43), INDEX($AO$67:$AU$76,,$AD43), 1 / ($AW$67:$AW$76*CE43 + (1-$AW$67:$AW$76)*CA43), N($AK$67:$AK$76&gt;$AI43))
) / 1000</f>
        <v>0</v>
      </c>
      <c r="CG43" s="250">
        <f t="shared" si="34"/>
        <v>25</v>
      </c>
      <c r="CH43" s="237">
        <f t="shared" si="35"/>
        <v>38</v>
      </c>
      <c r="CI43" s="253">
        <f t="shared" si="36"/>
        <v>4.0666935483870965</v>
      </c>
      <c r="CJ43" s="253" cm="1">
        <f t="array" ref="CJ43">$BC43 * IF($AD43&lt;=2,
SUMPRODUCT(INDEX($AL$67:$AN$71,,$AE43), INDEX($AO$67:$AU$71,,$AD43), 1 / ($AV$67:$AV$71*CI43 + (1-$AV$67:$AV$71)*CE43), N($AK$67:$AK$71&gt;$AI43)),
SUMPRODUCT(INDEX($AL$57:$AN$66,,$AE43), INDEX($AO$57:$AU$66,,$AD43), 1 / ($AW$57:$AW$66*CI43 + (1-$AW$57:$AW$66)*CE43), N($AK$57:$AK$66&gt;$AI43))
) / 1000</f>
        <v>0</v>
      </c>
      <c r="CK43" s="250">
        <f t="shared" si="37"/>
        <v>20</v>
      </c>
      <c r="CL43" s="237">
        <f t="shared" si="38"/>
        <v>33</v>
      </c>
      <c r="CM43" s="253">
        <f t="shared" si="39"/>
        <v>4.8487499999999999</v>
      </c>
      <c r="CN43" s="253" cm="1">
        <f t="array" ref="CN43">$BC43 * IF($AD43&lt;=2,
SUMPRODUCT(INDEX($AL$62:$AN$66,,$AE43), INDEX($AO$62:$AU$66,,$AD43), 1 / ($AV$62:$AV$66*CM43 + (1-$AV$62:$AV$66)*CI43), N($AK$62:$AK$66&gt;$AI43)),
SUMPRODUCT(INDEX($AL$47:$AN$56,,$AE43), INDEX($AO$47:$AU$56,,$AD43), 1 / ($AW$47:$AW$56*CM43 + (1-$AW$47:$AW$56)*CI43), N($AK$47:$AK$56&gt;$AI43))
) / 1000</f>
        <v>0</v>
      </c>
      <c r="CO43" s="253" cm="1">
        <f t="array" ref="CO43">$BC43 * IF($AD43&lt;=2,
SUMPRODUCT(INDEX($AL$23:$AN$61,,$AE43), INDEX($AO$23:$AU$61,,$AD43), 1 / ($AV$23:$AV$61*CM43), N($AK$23:$AK$61&gt;$AI43)),
SUMPRODUCT(INDEX($AL$23:$AN$46,,$AE43), INDEX($AO$23:$AU$46,,$AD43), 1 / ($AW$23:$AW$46*CM43), N($AK$23:$AK$46&gt;$AI43))
) / 1000</f>
        <v>0</v>
      </c>
      <c r="CP43" s="237">
        <f t="shared" si="40"/>
        <v>0</v>
      </c>
      <c r="CQ43" s="210"/>
    </row>
    <row r="44" spans="1:95" s="76" customFormat="1" ht="14.25" customHeight="1" x14ac:dyDescent="0.25">
      <c r="A44" s="238" t="b">
        <f t="shared" si="0"/>
        <v>0</v>
      </c>
      <c r="B44" s="239">
        <v>22</v>
      </c>
      <c r="C44" s="258"/>
      <c r="D44" s="258"/>
      <c r="E44" s="240"/>
      <c r="F44" s="241" t="str">
        <f>IF(ISBLANK(E44), "", VLOOKUP(E44, Z!$A$2:$C$4127, 3, FALSE))</f>
        <v/>
      </c>
      <c r="G44" s="242"/>
      <c r="H44" s="242"/>
      <c r="I44" s="243"/>
      <c r="J44" s="244"/>
      <c r="K44" s="259"/>
      <c r="L44" s="260"/>
      <c r="M44" s="247" t="str" cm="1">
        <f t="array" ref="M44">IF($K44&gt;0, INDEX(Clean,1+AG44,$C$1), "")</f>
        <v/>
      </c>
      <c r="N44" s="245"/>
      <c r="O44" s="245"/>
      <c r="P44" s="246"/>
      <c r="Q44" s="248">
        <f t="shared" si="6"/>
        <v>0</v>
      </c>
      <c r="R44" s="247" t="str" cm="1">
        <f t="array" ref="R44">IF($K44&gt;0, INDEX(Clean,1+AH44,$C$1), "")</f>
        <v/>
      </c>
      <c r="S44" s="245"/>
      <c r="T44" s="245"/>
      <c r="U44" s="246"/>
      <c r="V44" s="248">
        <f t="shared" si="7"/>
        <v>0</v>
      </c>
      <c r="W44" s="261"/>
      <c r="X44" s="258"/>
      <c r="Y44" s="240"/>
      <c r="Z44" s="241" t="str">
        <f>IF(ISBLANK(Y44), "", VLOOKUP(Y44, Z!$A$2:$C$4127, 3, FALSE))</f>
        <v/>
      </c>
      <c r="AA44" s="262"/>
      <c r="AB44" s="249">
        <f t="shared" si="8"/>
        <v>0</v>
      </c>
      <c r="AC44" s="210"/>
      <c r="AD44" s="236">
        <f t="shared" ref="AD44" si="98">IF(ISBLANK(H44), 1, IFERROR(MATCH(H44, INDEX(Use,,1), 0), IFERROR(MATCH(H44, INDEX(Use,,2), 0), MATCH(H44, INDEX(Use,,3), 0))))</f>
        <v>1</v>
      </c>
      <c r="AE44" s="236">
        <f t="shared" ref="AE44" si="99">IF(ISBLANK(G44), 1, IFERROR(MATCH(G44, INDEX(Loc,,1), 0), IFERROR(MATCH(G44, INDEX(Loc,,2), 0), MATCH(G44, INDEX(Loc,,3), 0))))</f>
        <v>1</v>
      </c>
      <c r="AF44" s="236">
        <f t="shared" ref="AF44" si="100">_xlfn.IFNA(IF(IFERROR(MATCH(I44, INDEX(Medium,,1), 0), IFERROR(MATCH(I44, INDEX(Medium,,2), 0), MATCH(I44, INDEX(Medium,,3), 0))) = 2, 1, 0), 0)</f>
        <v>0</v>
      </c>
      <c r="AG44" s="236">
        <v>1</v>
      </c>
      <c r="AH44" s="236">
        <v>0</v>
      </c>
      <c r="AI44" s="236">
        <f t="shared" si="4"/>
        <v>-100</v>
      </c>
      <c r="AJ44" s="210"/>
      <c r="AK44" s="236">
        <v>2</v>
      </c>
      <c r="AL44" s="250">
        <v>281</v>
      </c>
      <c r="AM44" s="250">
        <v>289</v>
      </c>
      <c r="AN44" s="250">
        <v>381</v>
      </c>
      <c r="AO44" s="251">
        <f t="shared" si="5"/>
        <v>0</v>
      </c>
      <c r="AP44" s="251">
        <f t="shared" si="5"/>
        <v>0</v>
      </c>
      <c r="AQ44" s="251" cm="1">
        <f t="array" ref="AQ44">MIN(INDEX(Use,AQ$21,5) + MAX(0, (1-INDEX(Use,AQ$21,5))*($AK44-5)/(35-5)), 1)</f>
        <v>0.4</v>
      </c>
      <c r="AR44" s="251" cm="1">
        <f t="array" ref="AR44">MIN(INDEX(Use,AR$21,5) + MAX(0, (1-INDEX(Use,AR$21,5))*($AK44-5)/(35-5)), 1)</f>
        <v>0.6</v>
      </c>
      <c r="AS44" s="251" cm="1">
        <f t="array" ref="AS44">MIN(INDEX(Use,AS$21,5) + MAX(0, (1-INDEX(Use,AS$21,5))*($AK44-5)/(35-5)), 1)</f>
        <v>0.8</v>
      </c>
      <c r="AT44" s="251" cm="1">
        <f t="array" ref="AT44">MIN(INDEX(Use,AT$21,5) + MAX(0, (1-INDEX(Use,AT$21,5))*($AK44-5)/(35-5)), 1)</f>
        <v>0.8</v>
      </c>
      <c r="AU44" s="251" cm="1">
        <f t="array" ref="AU44">MIN(INDEX(Use,AU$21,5) + MAX(0, (1-INDEX(Use,AU$21,5))*($AK44-5)/(35-5)), 1)</f>
        <v>0.8</v>
      </c>
      <c r="AV44" s="251">
        <v>1</v>
      </c>
      <c r="AW44" s="251">
        <v>1</v>
      </c>
      <c r="AX44" s="212"/>
      <c r="AY44" s="236" cm="1">
        <f t="array" ref="AY44">INDEX(Use, $AD44, 4)</f>
        <v>7</v>
      </c>
      <c r="AZ44" s="236">
        <f t="shared" si="12"/>
        <v>32</v>
      </c>
      <c r="BA44" s="236">
        <f t="shared" si="13"/>
        <v>13</v>
      </c>
      <c r="BB44" s="236">
        <f t="shared" si="14"/>
        <v>0</v>
      </c>
      <c r="BC44" s="252" cm="1">
        <f t="array" ref="BC44">K44/IF($L44&gt;0, INDEX($AO$23:$AU$77, $L44+20, $AD44), 1)</f>
        <v>0</v>
      </c>
      <c r="BD44" s="237">
        <f t="shared" si="15"/>
        <v>0</v>
      </c>
      <c r="BE44" s="236">
        <v>35</v>
      </c>
      <c r="BF44" s="237">
        <f t="shared" si="16"/>
        <v>52.55</v>
      </c>
      <c r="BG44" s="253">
        <f t="shared" si="17"/>
        <v>2.7676728869374316</v>
      </c>
      <c r="BH44" s="253" cm="1">
        <f t="array" ref="BH44">$BC44 * SUMPRODUCT(INDEX($AL$77:$AN$82,,$AE44),INDEX($AO$77:$AU$82,,$AD44), N($AK$77:$AK$82&gt;$AI44)) / BG44 / 1000</f>
        <v>0</v>
      </c>
      <c r="BI44" s="250">
        <f t="shared" si="18"/>
        <v>30</v>
      </c>
      <c r="BJ44" s="237">
        <f t="shared" si="19"/>
        <v>46.033333333333331</v>
      </c>
      <c r="BK44" s="253">
        <f t="shared" si="20"/>
        <v>3.2297395388556791</v>
      </c>
      <c r="BL44" s="253" cm="1">
        <f t="array" ref="BL44">$BC44 * IF($AD44&lt;=2,
SUMPRODUCT(INDEX($AL$72:$AN$76,,$AE44), INDEX($AO$72:$AU$76,,$AD44), 1 / ($AV$72:$AV$76*BK44 + (1-$AV$72:$AV$76)*BG44), N($AK$72:$AK$76&gt;$AI44)),
SUMPRODUCT(INDEX($AL$67:$AN$76,,$AE44), INDEX($AO$67:$AU$76,,$AD44), 1 / ($AW$67:$AW$76*BK44 + (1-$AW$67:$AW$76)*BG44), N($AK$67:$AK$76&gt;$AI44))
) / 1000</f>
        <v>0</v>
      </c>
      <c r="BM44" s="250">
        <f t="shared" si="21"/>
        <v>25</v>
      </c>
      <c r="BN44" s="237">
        <f t="shared" si="22"/>
        <v>39.516666666666666</v>
      </c>
      <c r="BO44" s="253">
        <f t="shared" si="23"/>
        <v>3.877011788826243</v>
      </c>
      <c r="BP44" s="253" cm="1">
        <f t="array" ref="BP44">$BC44 * IF($AD44&lt;=2,
SUMPRODUCT(INDEX($AL$67:$AN$71,,$AE44), INDEX($AO$67:$AU$71,,$AD44), 1 / ($AV$67:$AV$71*BO44 + (1-$AV$67:$AV$71)*BK44), N($AK$67:$AK$71&gt;$AI44)),
SUMPRODUCT(INDEX($AL$57:$AN$66,,$AE44), INDEX($AO$57:$AU$66,,$AD44), 1 / ($AW$57:$AW$66*BO44 + (1-$AW$57:$AW$66)*BK44), N($AK$57:$AK$66&gt;$AI44))
) / 1000</f>
        <v>0</v>
      </c>
      <c r="BQ44" s="250">
        <f t="shared" si="24"/>
        <v>20</v>
      </c>
      <c r="BR44" s="237">
        <f t="shared" si="25"/>
        <v>33</v>
      </c>
      <c r="BS44" s="253">
        <f t="shared" si="26"/>
        <v>4.8487499999999999</v>
      </c>
      <c r="BT44" s="253" cm="1">
        <f t="array" ref="BT44">$BC44 * IF($AD44&lt;=2,
SUMPRODUCT(INDEX($AL$62:$AN$66,,$AE44), INDEX($AO$62:$AU$66,,$AD44), 1 / ($AV$62:$AV$66*BS44 + (1-$AV$62:$AV$66)*BO44), N($AK$62:$AK$66&gt;$AI44)),
SUMPRODUCT(INDEX($AL$47:$AN$56,,$AE44), INDEX($AO$47:$AU$56,,$AD44), 1 / ($AW$47:$AW$56*BS44 + (1-$AW$47:$AW$56)*BO44), N($AK$47:$AK$56&gt;$AI44))
) / 1000</f>
        <v>0</v>
      </c>
      <c r="BU44" s="253" cm="1">
        <f t="array" ref="BU44">$BC44 * IF($AD44&lt;=2,
SUMPRODUCT(INDEX($AL$23:$AN$61,,$AE44), INDEX($AO$23:$AU$61,,$AD44), 1 / ($AV$23:$AV$61*BS44), N($AK$23:$AK$61&gt;$AI44)),
SUMPRODUCT(INDEX($AL$23:$AN$46,,$AE44), INDEX($AO$23:$AU$46,,$AD44), 1 / ($AW$23:$AW$46*BS44), N($AK$23:$AK$46&gt;$AI44))
) / 1000</f>
        <v>0</v>
      </c>
      <c r="BV44" s="237">
        <f t="shared" si="27"/>
        <v>0</v>
      </c>
      <c r="BW44" s="210"/>
      <c r="BX44" s="237">
        <f t="shared" si="28"/>
        <v>0</v>
      </c>
      <c r="BY44" s="236">
        <v>35</v>
      </c>
      <c r="BZ44" s="237">
        <f t="shared" si="29"/>
        <v>48</v>
      </c>
      <c r="CA44" s="253">
        <f t="shared" si="30"/>
        <v>3.0748170731707316</v>
      </c>
      <c r="CB44" s="253" cm="1">
        <f t="array" ref="CB44">$BC44 * SUMPRODUCT(INDEX($AL$77:$AN$82,,$AE44),INDEX($AO$77:$AU$82,,$AD44), N($AK$77:$AK$82&gt;$AI44)) / CA44 / 1000</f>
        <v>0</v>
      </c>
      <c r="CC44" s="250">
        <f t="shared" si="31"/>
        <v>30</v>
      </c>
      <c r="CD44" s="237">
        <f t="shared" si="32"/>
        <v>43</v>
      </c>
      <c r="CE44" s="253">
        <f t="shared" si="33"/>
        <v>3.5018750000000001</v>
      </c>
      <c r="CF44" s="253" cm="1">
        <f t="array" ref="CF44">$BC44 * IF($AD44&lt;=2,
SUMPRODUCT(INDEX($AL$72:$AN$76,,$AE44), INDEX($AO$72:$AU$76,,$AD44), 1 / ($AV$72:$AV$76*CE44 + (1-$AV$72:$AV$76)*CA44), N($AK$72:$AK$76&gt;$AI44)),
SUMPRODUCT(INDEX($AL$67:$AN$76,,$AE44), INDEX($AO$67:$AU$76,,$AD44), 1 / ($AW$67:$AW$76*CE44 + (1-$AW$67:$AW$76)*CA44), N($AK$67:$AK$76&gt;$AI44))
) / 1000</f>
        <v>0</v>
      </c>
      <c r="CG44" s="250">
        <f t="shared" si="34"/>
        <v>25</v>
      </c>
      <c r="CH44" s="237">
        <f t="shared" si="35"/>
        <v>38</v>
      </c>
      <c r="CI44" s="253">
        <f t="shared" si="36"/>
        <v>4.0666935483870965</v>
      </c>
      <c r="CJ44" s="253" cm="1">
        <f t="array" ref="CJ44">$BC44 * IF($AD44&lt;=2,
SUMPRODUCT(INDEX($AL$67:$AN$71,,$AE44), INDEX($AO$67:$AU$71,,$AD44), 1 / ($AV$67:$AV$71*CI44 + (1-$AV$67:$AV$71)*CE44), N($AK$67:$AK$71&gt;$AI44)),
SUMPRODUCT(INDEX($AL$57:$AN$66,,$AE44), INDEX($AO$57:$AU$66,,$AD44), 1 / ($AW$57:$AW$66*CI44 + (1-$AW$57:$AW$66)*CE44), N($AK$57:$AK$66&gt;$AI44))
) / 1000</f>
        <v>0</v>
      </c>
      <c r="CK44" s="250">
        <f t="shared" si="37"/>
        <v>20</v>
      </c>
      <c r="CL44" s="237">
        <f t="shared" si="38"/>
        <v>33</v>
      </c>
      <c r="CM44" s="253">
        <f t="shared" si="39"/>
        <v>4.8487499999999999</v>
      </c>
      <c r="CN44" s="253" cm="1">
        <f t="array" ref="CN44">$BC44 * IF($AD44&lt;=2,
SUMPRODUCT(INDEX($AL$62:$AN$66,,$AE44), INDEX($AO$62:$AU$66,,$AD44), 1 / ($AV$62:$AV$66*CM44 + (1-$AV$62:$AV$66)*CI44), N($AK$62:$AK$66&gt;$AI44)),
SUMPRODUCT(INDEX($AL$47:$AN$56,,$AE44), INDEX($AO$47:$AU$56,,$AD44), 1 / ($AW$47:$AW$56*CM44 + (1-$AW$47:$AW$56)*CI44), N($AK$47:$AK$56&gt;$AI44))
) / 1000</f>
        <v>0</v>
      </c>
      <c r="CO44" s="253" cm="1">
        <f t="array" ref="CO44">$BC44 * IF($AD44&lt;=2,
SUMPRODUCT(INDEX($AL$23:$AN$61,,$AE44), INDEX($AO$23:$AU$61,,$AD44), 1 / ($AV$23:$AV$61*CM44), N($AK$23:$AK$61&gt;$AI44)),
SUMPRODUCT(INDEX($AL$23:$AN$46,,$AE44), INDEX($AO$23:$AU$46,,$AD44), 1 / ($AW$23:$AW$46*CM44), N($AK$23:$AK$46&gt;$AI44))
) / 1000</f>
        <v>0</v>
      </c>
      <c r="CP44" s="237">
        <f t="shared" si="40"/>
        <v>0</v>
      </c>
      <c r="CQ44" s="210"/>
    </row>
    <row r="45" spans="1:95" s="76" customFormat="1" ht="14.25" customHeight="1" x14ac:dyDescent="0.25">
      <c r="A45" s="238" t="b">
        <f t="shared" si="0"/>
        <v>0</v>
      </c>
      <c r="B45" s="239">
        <v>23</v>
      </c>
      <c r="C45" s="258"/>
      <c r="D45" s="258"/>
      <c r="E45" s="240"/>
      <c r="F45" s="241" t="str">
        <f>IF(ISBLANK(E45), "", VLOOKUP(E45, Z!$A$2:$C$4127, 3, FALSE))</f>
        <v/>
      </c>
      <c r="G45" s="242"/>
      <c r="H45" s="242"/>
      <c r="I45" s="243"/>
      <c r="J45" s="244"/>
      <c r="K45" s="259"/>
      <c r="L45" s="260"/>
      <c r="M45" s="247" t="str" cm="1">
        <f t="array" ref="M45">IF($K45&gt;0, INDEX(Clean,1+AG45,$C$1), "")</f>
        <v/>
      </c>
      <c r="N45" s="245"/>
      <c r="O45" s="245"/>
      <c r="P45" s="246"/>
      <c r="Q45" s="248">
        <f t="shared" si="6"/>
        <v>0</v>
      </c>
      <c r="R45" s="247" t="str" cm="1">
        <f t="array" ref="R45">IF($K45&gt;0, INDEX(Clean,1+AH45,$C$1), "")</f>
        <v/>
      </c>
      <c r="S45" s="245"/>
      <c r="T45" s="245"/>
      <c r="U45" s="246"/>
      <c r="V45" s="248">
        <f t="shared" si="7"/>
        <v>0</v>
      </c>
      <c r="W45" s="261"/>
      <c r="X45" s="258"/>
      <c r="Y45" s="240"/>
      <c r="Z45" s="241" t="str">
        <f>IF(ISBLANK(Y45), "", VLOOKUP(Y45, Z!$A$2:$C$4127, 3, FALSE))</f>
        <v/>
      </c>
      <c r="AA45" s="262"/>
      <c r="AB45" s="249">
        <f t="shared" si="8"/>
        <v>0</v>
      </c>
      <c r="AC45" s="210"/>
      <c r="AD45" s="236">
        <f t="shared" ref="AD45" si="101">IF(ISBLANK(H45), 1, IFERROR(MATCH(H45, INDEX(Use,,1), 0), IFERROR(MATCH(H45, INDEX(Use,,2), 0), MATCH(H45, INDEX(Use,,3), 0))))</f>
        <v>1</v>
      </c>
      <c r="AE45" s="236">
        <f t="shared" ref="AE45" si="102">IF(ISBLANK(G45), 1, IFERROR(MATCH(G45, INDEX(Loc,,1), 0), IFERROR(MATCH(G45, INDEX(Loc,,2), 0), MATCH(G45, INDEX(Loc,,3), 0))))</f>
        <v>1</v>
      </c>
      <c r="AF45" s="236">
        <f t="shared" ref="AF45" si="103">_xlfn.IFNA(IF(IFERROR(MATCH(I45, INDEX(Medium,,1), 0), IFERROR(MATCH(I45, INDEX(Medium,,2), 0), MATCH(I45, INDEX(Medium,,3), 0))) = 2, 1, 0), 0)</f>
        <v>0</v>
      </c>
      <c r="AG45" s="236">
        <v>1</v>
      </c>
      <c r="AH45" s="236">
        <v>0</v>
      </c>
      <c r="AI45" s="236">
        <f t="shared" si="4"/>
        <v>-100</v>
      </c>
      <c r="AJ45" s="210"/>
      <c r="AK45" s="236">
        <v>3</v>
      </c>
      <c r="AL45" s="250">
        <v>328</v>
      </c>
      <c r="AM45" s="250">
        <v>346</v>
      </c>
      <c r="AN45" s="250">
        <v>451</v>
      </c>
      <c r="AO45" s="251">
        <f t="shared" si="5"/>
        <v>0</v>
      </c>
      <c r="AP45" s="251">
        <f t="shared" si="5"/>
        <v>0</v>
      </c>
      <c r="AQ45" s="251" cm="1">
        <f t="array" ref="AQ45">MIN(INDEX(Use,AQ$21,5) + MAX(0, (1-INDEX(Use,AQ$21,5))*($AK45-5)/(35-5)), 1)</f>
        <v>0.4</v>
      </c>
      <c r="AR45" s="251" cm="1">
        <f t="array" ref="AR45">MIN(INDEX(Use,AR$21,5) + MAX(0, (1-INDEX(Use,AR$21,5))*($AK45-5)/(35-5)), 1)</f>
        <v>0.6</v>
      </c>
      <c r="AS45" s="251" cm="1">
        <f t="array" ref="AS45">MIN(INDEX(Use,AS$21,5) + MAX(0, (1-INDEX(Use,AS$21,5))*($AK45-5)/(35-5)), 1)</f>
        <v>0.8</v>
      </c>
      <c r="AT45" s="251" cm="1">
        <f t="array" ref="AT45">MIN(INDEX(Use,AT$21,5) + MAX(0, (1-INDEX(Use,AT$21,5))*($AK45-5)/(35-5)), 1)</f>
        <v>0.8</v>
      </c>
      <c r="AU45" s="251" cm="1">
        <f t="array" ref="AU45">MIN(INDEX(Use,AU$21,5) + MAX(0, (1-INDEX(Use,AU$21,5))*($AK45-5)/(35-5)), 1)</f>
        <v>0.8</v>
      </c>
      <c r="AV45" s="251">
        <v>1</v>
      </c>
      <c r="AW45" s="251">
        <v>1</v>
      </c>
      <c r="AX45" s="212"/>
      <c r="AY45" s="236" cm="1">
        <f t="array" ref="AY45">INDEX(Use, $AD45, 4)</f>
        <v>7</v>
      </c>
      <c r="AZ45" s="236">
        <f t="shared" si="12"/>
        <v>32</v>
      </c>
      <c r="BA45" s="236">
        <f t="shared" si="13"/>
        <v>13</v>
      </c>
      <c r="BB45" s="236">
        <f t="shared" si="14"/>
        <v>0</v>
      </c>
      <c r="BC45" s="252" cm="1">
        <f t="array" ref="BC45">K45/IF($L45&gt;0, INDEX($AO$23:$AU$77, $L45+20, $AD45), 1)</f>
        <v>0</v>
      </c>
      <c r="BD45" s="237">
        <f t="shared" si="15"/>
        <v>0</v>
      </c>
      <c r="BE45" s="236">
        <v>35</v>
      </c>
      <c r="BF45" s="237">
        <f t="shared" si="16"/>
        <v>52.55</v>
      </c>
      <c r="BG45" s="253">
        <f t="shared" si="17"/>
        <v>2.7676728869374316</v>
      </c>
      <c r="BH45" s="253" cm="1">
        <f t="array" ref="BH45">$BC45 * SUMPRODUCT(INDEX($AL$77:$AN$82,,$AE45),INDEX($AO$77:$AU$82,,$AD45), N($AK$77:$AK$82&gt;$AI45)) / BG45 / 1000</f>
        <v>0</v>
      </c>
      <c r="BI45" s="250">
        <f t="shared" si="18"/>
        <v>30</v>
      </c>
      <c r="BJ45" s="237">
        <f t="shared" si="19"/>
        <v>46.033333333333331</v>
      </c>
      <c r="BK45" s="253">
        <f t="shared" si="20"/>
        <v>3.2297395388556791</v>
      </c>
      <c r="BL45" s="253" cm="1">
        <f t="array" ref="BL45">$BC45 * IF($AD45&lt;=2,
SUMPRODUCT(INDEX($AL$72:$AN$76,,$AE45), INDEX($AO$72:$AU$76,,$AD45), 1 / ($AV$72:$AV$76*BK45 + (1-$AV$72:$AV$76)*BG45), N($AK$72:$AK$76&gt;$AI45)),
SUMPRODUCT(INDEX($AL$67:$AN$76,,$AE45), INDEX($AO$67:$AU$76,,$AD45), 1 / ($AW$67:$AW$76*BK45 + (1-$AW$67:$AW$76)*BG45), N($AK$67:$AK$76&gt;$AI45))
) / 1000</f>
        <v>0</v>
      </c>
      <c r="BM45" s="250">
        <f t="shared" si="21"/>
        <v>25</v>
      </c>
      <c r="BN45" s="237">
        <f t="shared" si="22"/>
        <v>39.516666666666666</v>
      </c>
      <c r="BO45" s="253">
        <f t="shared" si="23"/>
        <v>3.877011788826243</v>
      </c>
      <c r="BP45" s="253" cm="1">
        <f t="array" ref="BP45">$BC45 * IF($AD45&lt;=2,
SUMPRODUCT(INDEX($AL$67:$AN$71,,$AE45), INDEX($AO$67:$AU$71,,$AD45), 1 / ($AV$67:$AV$71*BO45 + (1-$AV$67:$AV$71)*BK45), N($AK$67:$AK$71&gt;$AI45)),
SUMPRODUCT(INDEX($AL$57:$AN$66,,$AE45), INDEX($AO$57:$AU$66,,$AD45), 1 / ($AW$57:$AW$66*BO45 + (1-$AW$57:$AW$66)*BK45), N($AK$57:$AK$66&gt;$AI45))
) / 1000</f>
        <v>0</v>
      </c>
      <c r="BQ45" s="250">
        <f t="shared" si="24"/>
        <v>20</v>
      </c>
      <c r="BR45" s="237">
        <f t="shared" si="25"/>
        <v>33</v>
      </c>
      <c r="BS45" s="253">
        <f t="shared" si="26"/>
        <v>4.8487499999999999</v>
      </c>
      <c r="BT45" s="253" cm="1">
        <f t="array" ref="BT45">$BC45 * IF($AD45&lt;=2,
SUMPRODUCT(INDEX($AL$62:$AN$66,,$AE45), INDEX($AO$62:$AU$66,,$AD45), 1 / ($AV$62:$AV$66*BS45 + (1-$AV$62:$AV$66)*BO45), N($AK$62:$AK$66&gt;$AI45)),
SUMPRODUCT(INDEX($AL$47:$AN$56,,$AE45), INDEX($AO$47:$AU$56,,$AD45), 1 / ($AW$47:$AW$56*BS45 + (1-$AW$47:$AW$56)*BO45), N($AK$47:$AK$56&gt;$AI45))
) / 1000</f>
        <v>0</v>
      </c>
      <c r="BU45" s="253" cm="1">
        <f t="array" ref="BU45">$BC45 * IF($AD45&lt;=2,
SUMPRODUCT(INDEX($AL$23:$AN$61,,$AE45), INDEX($AO$23:$AU$61,,$AD45), 1 / ($AV$23:$AV$61*BS45), N($AK$23:$AK$61&gt;$AI45)),
SUMPRODUCT(INDEX($AL$23:$AN$46,,$AE45), INDEX($AO$23:$AU$46,,$AD45), 1 / ($AW$23:$AW$46*BS45), N($AK$23:$AK$46&gt;$AI45))
) / 1000</f>
        <v>0</v>
      </c>
      <c r="BV45" s="237">
        <f t="shared" si="27"/>
        <v>0</v>
      </c>
      <c r="BW45" s="210"/>
      <c r="BX45" s="237">
        <f t="shared" si="28"/>
        <v>0</v>
      </c>
      <c r="BY45" s="236">
        <v>35</v>
      </c>
      <c r="BZ45" s="237">
        <f t="shared" si="29"/>
        <v>48</v>
      </c>
      <c r="CA45" s="253">
        <f t="shared" si="30"/>
        <v>3.0748170731707316</v>
      </c>
      <c r="CB45" s="253" cm="1">
        <f t="array" ref="CB45">$BC45 * SUMPRODUCT(INDEX($AL$77:$AN$82,,$AE45),INDEX($AO$77:$AU$82,,$AD45), N($AK$77:$AK$82&gt;$AI45)) / CA45 / 1000</f>
        <v>0</v>
      </c>
      <c r="CC45" s="250">
        <f t="shared" si="31"/>
        <v>30</v>
      </c>
      <c r="CD45" s="237">
        <f t="shared" si="32"/>
        <v>43</v>
      </c>
      <c r="CE45" s="253">
        <f t="shared" si="33"/>
        <v>3.5018750000000001</v>
      </c>
      <c r="CF45" s="253" cm="1">
        <f t="array" ref="CF45">$BC45 * IF($AD45&lt;=2,
SUMPRODUCT(INDEX($AL$72:$AN$76,,$AE45), INDEX($AO$72:$AU$76,,$AD45), 1 / ($AV$72:$AV$76*CE45 + (1-$AV$72:$AV$76)*CA45), N($AK$72:$AK$76&gt;$AI45)),
SUMPRODUCT(INDEX($AL$67:$AN$76,,$AE45), INDEX($AO$67:$AU$76,,$AD45), 1 / ($AW$67:$AW$76*CE45 + (1-$AW$67:$AW$76)*CA45), N($AK$67:$AK$76&gt;$AI45))
) / 1000</f>
        <v>0</v>
      </c>
      <c r="CG45" s="250">
        <f t="shared" si="34"/>
        <v>25</v>
      </c>
      <c r="CH45" s="237">
        <f t="shared" si="35"/>
        <v>38</v>
      </c>
      <c r="CI45" s="253">
        <f t="shared" si="36"/>
        <v>4.0666935483870965</v>
      </c>
      <c r="CJ45" s="253" cm="1">
        <f t="array" ref="CJ45">$BC45 * IF($AD45&lt;=2,
SUMPRODUCT(INDEX($AL$67:$AN$71,,$AE45), INDEX($AO$67:$AU$71,,$AD45), 1 / ($AV$67:$AV$71*CI45 + (1-$AV$67:$AV$71)*CE45), N($AK$67:$AK$71&gt;$AI45)),
SUMPRODUCT(INDEX($AL$57:$AN$66,,$AE45), INDEX($AO$57:$AU$66,,$AD45), 1 / ($AW$57:$AW$66*CI45 + (1-$AW$57:$AW$66)*CE45), N($AK$57:$AK$66&gt;$AI45))
) / 1000</f>
        <v>0</v>
      </c>
      <c r="CK45" s="250">
        <f t="shared" si="37"/>
        <v>20</v>
      </c>
      <c r="CL45" s="237">
        <f t="shared" si="38"/>
        <v>33</v>
      </c>
      <c r="CM45" s="253">
        <f t="shared" si="39"/>
        <v>4.8487499999999999</v>
      </c>
      <c r="CN45" s="253" cm="1">
        <f t="array" ref="CN45">$BC45 * IF($AD45&lt;=2,
SUMPRODUCT(INDEX($AL$62:$AN$66,,$AE45), INDEX($AO$62:$AU$66,,$AD45), 1 / ($AV$62:$AV$66*CM45 + (1-$AV$62:$AV$66)*CI45), N($AK$62:$AK$66&gt;$AI45)),
SUMPRODUCT(INDEX($AL$47:$AN$56,,$AE45), INDEX($AO$47:$AU$56,,$AD45), 1 / ($AW$47:$AW$56*CM45 + (1-$AW$47:$AW$56)*CI45), N($AK$47:$AK$56&gt;$AI45))
) / 1000</f>
        <v>0</v>
      </c>
      <c r="CO45" s="253" cm="1">
        <f t="array" ref="CO45">$BC45 * IF($AD45&lt;=2,
SUMPRODUCT(INDEX($AL$23:$AN$61,,$AE45), INDEX($AO$23:$AU$61,,$AD45), 1 / ($AV$23:$AV$61*CM45), N($AK$23:$AK$61&gt;$AI45)),
SUMPRODUCT(INDEX($AL$23:$AN$46,,$AE45), INDEX($AO$23:$AU$46,,$AD45), 1 / ($AW$23:$AW$46*CM45), N($AK$23:$AK$46&gt;$AI45))
) / 1000</f>
        <v>0</v>
      </c>
      <c r="CP45" s="237">
        <f t="shared" si="40"/>
        <v>0</v>
      </c>
      <c r="CQ45" s="210"/>
    </row>
    <row r="46" spans="1:95" s="76" customFormat="1" ht="14.25" customHeight="1" x14ac:dyDescent="0.25">
      <c r="A46" s="238" t="b">
        <f t="shared" si="0"/>
        <v>0</v>
      </c>
      <c r="B46" s="239">
        <v>24</v>
      </c>
      <c r="C46" s="258"/>
      <c r="D46" s="258"/>
      <c r="E46" s="240"/>
      <c r="F46" s="241" t="str">
        <f>IF(ISBLANK(E46), "", VLOOKUP(E46, Z!$A$2:$C$4127, 3, FALSE))</f>
        <v/>
      </c>
      <c r="G46" s="242"/>
      <c r="H46" s="242"/>
      <c r="I46" s="243"/>
      <c r="J46" s="244"/>
      <c r="K46" s="259"/>
      <c r="L46" s="260"/>
      <c r="M46" s="247" t="str" cm="1">
        <f t="array" ref="M46">IF($K46&gt;0, INDEX(Clean,1+AG46,$C$1), "")</f>
        <v/>
      </c>
      <c r="N46" s="245"/>
      <c r="O46" s="245"/>
      <c r="P46" s="246"/>
      <c r="Q46" s="248">
        <f t="shared" si="6"/>
        <v>0</v>
      </c>
      <c r="R46" s="247" t="str" cm="1">
        <f t="array" ref="R46">IF($K46&gt;0, INDEX(Clean,1+AH46,$C$1), "")</f>
        <v/>
      </c>
      <c r="S46" s="245"/>
      <c r="T46" s="245"/>
      <c r="U46" s="246"/>
      <c r="V46" s="248">
        <f t="shared" si="7"/>
        <v>0</v>
      </c>
      <c r="W46" s="261"/>
      <c r="X46" s="258"/>
      <c r="Y46" s="240"/>
      <c r="Z46" s="241" t="str">
        <f>IF(ISBLANK(Y46), "", VLOOKUP(Y46, Z!$A$2:$C$4127, 3, FALSE))</f>
        <v/>
      </c>
      <c r="AA46" s="262"/>
      <c r="AB46" s="249">
        <f t="shared" si="8"/>
        <v>0</v>
      </c>
      <c r="AC46" s="210"/>
      <c r="AD46" s="236">
        <f t="shared" ref="AD46" si="104">IF(ISBLANK(H46), 1, IFERROR(MATCH(H46, INDEX(Use,,1), 0), IFERROR(MATCH(H46, INDEX(Use,,2), 0), MATCH(H46, INDEX(Use,,3), 0))))</f>
        <v>1</v>
      </c>
      <c r="AE46" s="236">
        <f t="shared" ref="AE46" si="105">IF(ISBLANK(G46), 1, IFERROR(MATCH(G46, INDEX(Loc,,1), 0), IFERROR(MATCH(G46, INDEX(Loc,,2), 0), MATCH(G46, INDEX(Loc,,3), 0))))</f>
        <v>1</v>
      </c>
      <c r="AF46" s="236">
        <f t="shared" ref="AF46" si="106">_xlfn.IFNA(IF(IFERROR(MATCH(I46, INDEX(Medium,,1), 0), IFERROR(MATCH(I46, INDEX(Medium,,2), 0), MATCH(I46, INDEX(Medium,,3), 0))) = 2, 1, 0), 0)</f>
        <v>0</v>
      </c>
      <c r="AG46" s="236">
        <v>1</v>
      </c>
      <c r="AH46" s="236">
        <v>0</v>
      </c>
      <c r="AI46" s="236">
        <f t="shared" si="4"/>
        <v>-100</v>
      </c>
      <c r="AJ46" s="210"/>
      <c r="AK46" s="236">
        <v>4</v>
      </c>
      <c r="AL46" s="250">
        <v>349</v>
      </c>
      <c r="AM46" s="250">
        <v>359</v>
      </c>
      <c r="AN46" s="250">
        <v>459</v>
      </c>
      <c r="AO46" s="251">
        <f t="shared" si="5"/>
        <v>0</v>
      </c>
      <c r="AP46" s="251">
        <f t="shared" si="5"/>
        <v>0</v>
      </c>
      <c r="AQ46" s="251" cm="1">
        <f t="array" ref="AQ46">MIN(INDEX(Use,AQ$21,5) + MAX(0, (1-INDEX(Use,AQ$21,5))*($AK46-5)/(35-5)), 1)</f>
        <v>0.4</v>
      </c>
      <c r="AR46" s="251" cm="1">
        <f t="array" ref="AR46">MIN(INDEX(Use,AR$21,5) + MAX(0, (1-INDEX(Use,AR$21,5))*($AK46-5)/(35-5)), 1)</f>
        <v>0.6</v>
      </c>
      <c r="AS46" s="251" cm="1">
        <f t="array" ref="AS46">MIN(INDEX(Use,AS$21,5) + MAX(0, (1-INDEX(Use,AS$21,5))*($AK46-5)/(35-5)), 1)</f>
        <v>0.8</v>
      </c>
      <c r="AT46" s="251" cm="1">
        <f t="array" ref="AT46">MIN(INDEX(Use,AT$21,5) + MAX(0, (1-INDEX(Use,AT$21,5))*($AK46-5)/(35-5)), 1)</f>
        <v>0.8</v>
      </c>
      <c r="AU46" s="251" cm="1">
        <f t="array" ref="AU46">MIN(INDEX(Use,AU$21,5) + MAX(0, (1-INDEX(Use,AU$21,5))*($AK46-5)/(35-5)), 1)</f>
        <v>0.8</v>
      </c>
      <c r="AV46" s="251">
        <v>1</v>
      </c>
      <c r="AW46" s="251">
        <v>1</v>
      </c>
      <c r="AX46" s="212"/>
      <c r="AY46" s="236" cm="1">
        <f t="array" ref="AY46">INDEX(Use, $AD46, 4)</f>
        <v>7</v>
      </c>
      <c r="AZ46" s="236">
        <f t="shared" si="12"/>
        <v>32</v>
      </c>
      <c r="BA46" s="236">
        <f t="shared" si="13"/>
        <v>13</v>
      </c>
      <c r="BB46" s="236">
        <f t="shared" si="14"/>
        <v>0</v>
      </c>
      <c r="BC46" s="252" cm="1">
        <f t="array" ref="BC46">K46/IF($L46&gt;0, INDEX($AO$23:$AU$77, $L46+20, $AD46), 1)</f>
        <v>0</v>
      </c>
      <c r="BD46" s="237">
        <f t="shared" si="15"/>
        <v>0</v>
      </c>
      <c r="BE46" s="236">
        <v>35</v>
      </c>
      <c r="BF46" s="237">
        <f t="shared" si="16"/>
        <v>52.55</v>
      </c>
      <c r="BG46" s="253">
        <f t="shared" si="17"/>
        <v>2.7676728869374316</v>
      </c>
      <c r="BH46" s="253" cm="1">
        <f t="array" ref="BH46">$BC46 * SUMPRODUCT(INDEX($AL$77:$AN$82,,$AE46),INDEX($AO$77:$AU$82,,$AD46), N($AK$77:$AK$82&gt;$AI46)) / BG46 / 1000</f>
        <v>0</v>
      </c>
      <c r="BI46" s="250">
        <f t="shared" si="18"/>
        <v>30</v>
      </c>
      <c r="BJ46" s="237">
        <f t="shared" si="19"/>
        <v>46.033333333333331</v>
      </c>
      <c r="BK46" s="253">
        <f t="shared" si="20"/>
        <v>3.2297395388556791</v>
      </c>
      <c r="BL46" s="253" cm="1">
        <f t="array" ref="BL46">$BC46 * IF($AD46&lt;=2,
SUMPRODUCT(INDEX($AL$72:$AN$76,,$AE46), INDEX($AO$72:$AU$76,,$AD46), 1 / ($AV$72:$AV$76*BK46 + (1-$AV$72:$AV$76)*BG46), N($AK$72:$AK$76&gt;$AI46)),
SUMPRODUCT(INDEX($AL$67:$AN$76,,$AE46), INDEX($AO$67:$AU$76,,$AD46), 1 / ($AW$67:$AW$76*BK46 + (1-$AW$67:$AW$76)*BG46), N($AK$67:$AK$76&gt;$AI46))
) / 1000</f>
        <v>0</v>
      </c>
      <c r="BM46" s="250">
        <f t="shared" si="21"/>
        <v>25</v>
      </c>
      <c r="BN46" s="237">
        <f t="shared" si="22"/>
        <v>39.516666666666666</v>
      </c>
      <c r="BO46" s="253">
        <f t="shared" si="23"/>
        <v>3.877011788826243</v>
      </c>
      <c r="BP46" s="253" cm="1">
        <f t="array" ref="BP46">$BC46 * IF($AD46&lt;=2,
SUMPRODUCT(INDEX($AL$67:$AN$71,,$AE46), INDEX($AO$67:$AU$71,,$AD46), 1 / ($AV$67:$AV$71*BO46 + (1-$AV$67:$AV$71)*BK46), N($AK$67:$AK$71&gt;$AI46)),
SUMPRODUCT(INDEX($AL$57:$AN$66,,$AE46), INDEX($AO$57:$AU$66,,$AD46), 1 / ($AW$57:$AW$66*BO46 + (1-$AW$57:$AW$66)*BK46), N($AK$57:$AK$66&gt;$AI46))
) / 1000</f>
        <v>0</v>
      </c>
      <c r="BQ46" s="250">
        <f t="shared" si="24"/>
        <v>20</v>
      </c>
      <c r="BR46" s="237">
        <f t="shared" si="25"/>
        <v>33</v>
      </c>
      <c r="BS46" s="253">
        <f t="shared" si="26"/>
        <v>4.8487499999999999</v>
      </c>
      <c r="BT46" s="253" cm="1">
        <f t="array" ref="BT46">$BC46 * IF($AD46&lt;=2,
SUMPRODUCT(INDEX($AL$62:$AN$66,,$AE46), INDEX($AO$62:$AU$66,,$AD46), 1 / ($AV$62:$AV$66*BS46 + (1-$AV$62:$AV$66)*BO46), N($AK$62:$AK$66&gt;$AI46)),
SUMPRODUCT(INDEX($AL$47:$AN$56,,$AE46), INDEX($AO$47:$AU$56,,$AD46), 1 / ($AW$47:$AW$56*BS46 + (1-$AW$47:$AW$56)*BO46), N($AK$47:$AK$56&gt;$AI46))
) / 1000</f>
        <v>0</v>
      </c>
      <c r="BU46" s="253" cm="1">
        <f t="array" ref="BU46">$BC46 * IF($AD46&lt;=2,
SUMPRODUCT(INDEX($AL$23:$AN$61,,$AE46), INDEX($AO$23:$AU$61,,$AD46), 1 / ($AV$23:$AV$61*BS46), N($AK$23:$AK$61&gt;$AI46)),
SUMPRODUCT(INDEX($AL$23:$AN$46,,$AE46), INDEX($AO$23:$AU$46,,$AD46), 1 / ($AW$23:$AW$46*BS46), N($AK$23:$AK$46&gt;$AI46))
) / 1000</f>
        <v>0</v>
      </c>
      <c r="BV46" s="237">
        <f t="shared" si="27"/>
        <v>0</v>
      </c>
      <c r="BW46" s="210"/>
      <c r="BX46" s="237">
        <f t="shared" si="28"/>
        <v>0</v>
      </c>
      <c r="BY46" s="236">
        <v>35</v>
      </c>
      <c r="BZ46" s="237">
        <f t="shared" si="29"/>
        <v>48</v>
      </c>
      <c r="CA46" s="253">
        <f t="shared" si="30"/>
        <v>3.0748170731707316</v>
      </c>
      <c r="CB46" s="253" cm="1">
        <f t="array" ref="CB46">$BC46 * SUMPRODUCT(INDEX($AL$77:$AN$82,,$AE46),INDEX($AO$77:$AU$82,,$AD46), N($AK$77:$AK$82&gt;$AI46)) / CA46 / 1000</f>
        <v>0</v>
      </c>
      <c r="CC46" s="250">
        <f t="shared" si="31"/>
        <v>30</v>
      </c>
      <c r="CD46" s="237">
        <f t="shared" si="32"/>
        <v>43</v>
      </c>
      <c r="CE46" s="253">
        <f t="shared" si="33"/>
        <v>3.5018750000000001</v>
      </c>
      <c r="CF46" s="253" cm="1">
        <f t="array" ref="CF46">$BC46 * IF($AD46&lt;=2,
SUMPRODUCT(INDEX($AL$72:$AN$76,,$AE46), INDEX($AO$72:$AU$76,,$AD46), 1 / ($AV$72:$AV$76*CE46 + (1-$AV$72:$AV$76)*CA46), N($AK$72:$AK$76&gt;$AI46)),
SUMPRODUCT(INDEX($AL$67:$AN$76,,$AE46), INDEX($AO$67:$AU$76,,$AD46), 1 / ($AW$67:$AW$76*CE46 + (1-$AW$67:$AW$76)*CA46), N($AK$67:$AK$76&gt;$AI46))
) / 1000</f>
        <v>0</v>
      </c>
      <c r="CG46" s="250">
        <f t="shared" si="34"/>
        <v>25</v>
      </c>
      <c r="CH46" s="237">
        <f t="shared" si="35"/>
        <v>38</v>
      </c>
      <c r="CI46" s="253">
        <f t="shared" si="36"/>
        <v>4.0666935483870965</v>
      </c>
      <c r="CJ46" s="253" cm="1">
        <f t="array" ref="CJ46">$BC46 * IF($AD46&lt;=2,
SUMPRODUCT(INDEX($AL$67:$AN$71,,$AE46), INDEX($AO$67:$AU$71,,$AD46), 1 / ($AV$67:$AV$71*CI46 + (1-$AV$67:$AV$71)*CE46), N($AK$67:$AK$71&gt;$AI46)),
SUMPRODUCT(INDEX($AL$57:$AN$66,,$AE46), INDEX($AO$57:$AU$66,,$AD46), 1 / ($AW$57:$AW$66*CI46 + (1-$AW$57:$AW$66)*CE46), N($AK$57:$AK$66&gt;$AI46))
) / 1000</f>
        <v>0</v>
      </c>
      <c r="CK46" s="250">
        <f t="shared" si="37"/>
        <v>20</v>
      </c>
      <c r="CL46" s="237">
        <f t="shared" si="38"/>
        <v>33</v>
      </c>
      <c r="CM46" s="253">
        <f t="shared" si="39"/>
        <v>4.8487499999999999</v>
      </c>
      <c r="CN46" s="253" cm="1">
        <f t="array" ref="CN46">$BC46 * IF($AD46&lt;=2,
SUMPRODUCT(INDEX($AL$62:$AN$66,,$AE46), INDEX($AO$62:$AU$66,,$AD46), 1 / ($AV$62:$AV$66*CM46 + (1-$AV$62:$AV$66)*CI46), N($AK$62:$AK$66&gt;$AI46)),
SUMPRODUCT(INDEX($AL$47:$AN$56,,$AE46), INDEX($AO$47:$AU$56,,$AD46), 1 / ($AW$47:$AW$56*CM46 + (1-$AW$47:$AW$56)*CI46), N($AK$47:$AK$56&gt;$AI46))
) / 1000</f>
        <v>0</v>
      </c>
      <c r="CO46" s="253" cm="1">
        <f t="array" ref="CO46">$BC46 * IF($AD46&lt;=2,
SUMPRODUCT(INDEX($AL$23:$AN$61,,$AE46), INDEX($AO$23:$AU$61,,$AD46), 1 / ($AV$23:$AV$61*CM46), N($AK$23:$AK$61&gt;$AI46)),
SUMPRODUCT(INDEX($AL$23:$AN$46,,$AE46), INDEX($AO$23:$AU$46,,$AD46), 1 / ($AW$23:$AW$46*CM46), N($AK$23:$AK$46&gt;$AI46))
) / 1000</f>
        <v>0</v>
      </c>
      <c r="CP46" s="237">
        <f t="shared" si="40"/>
        <v>0</v>
      </c>
      <c r="CQ46" s="210"/>
    </row>
    <row r="47" spans="1:95" s="76" customFormat="1" ht="14.25" customHeight="1" x14ac:dyDescent="0.25">
      <c r="A47" s="238" t="b">
        <f t="shared" si="0"/>
        <v>0</v>
      </c>
      <c r="B47" s="239">
        <v>25</v>
      </c>
      <c r="C47" s="258"/>
      <c r="D47" s="258"/>
      <c r="E47" s="240"/>
      <c r="F47" s="241" t="str">
        <f>IF(ISBLANK(E47), "", VLOOKUP(E47, Z!$A$2:$C$4127, 3, FALSE))</f>
        <v/>
      </c>
      <c r="G47" s="242"/>
      <c r="H47" s="242"/>
      <c r="I47" s="243"/>
      <c r="J47" s="244"/>
      <c r="K47" s="259"/>
      <c r="L47" s="260"/>
      <c r="M47" s="247" t="str" cm="1">
        <f t="array" ref="M47">IF($K47&gt;0, INDEX(Clean,1+AG47,$C$1), "")</f>
        <v/>
      </c>
      <c r="N47" s="245"/>
      <c r="O47" s="245"/>
      <c r="P47" s="246"/>
      <c r="Q47" s="248">
        <f t="shared" si="6"/>
        <v>0</v>
      </c>
      <c r="R47" s="247" t="str" cm="1">
        <f t="array" ref="R47">IF($K47&gt;0, INDEX(Clean,1+AH47,$C$1), "")</f>
        <v/>
      </c>
      <c r="S47" s="245"/>
      <c r="T47" s="245"/>
      <c r="U47" s="246"/>
      <c r="V47" s="248">
        <f t="shared" si="7"/>
        <v>0</v>
      </c>
      <c r="W47" s="261"/>
      <c r="X47" s="258"/>
      <c r="Y47" s="240"/>
      <c r="Z47" s="241" t="str">
        <f>IF(ISBLANK(Y47), "", VLOOKUP(Y47, Z!$A$2:$C$4127, 3, FALSE))</f>
        <v/>
      </c>
      <c r="AA47" s="262"/>
      <c r="AB47" s="249">
        <f t="shared" si="8"/>
        <v>0</v>
      </c>
      <c r="AC47" s="210"/>
      <c r="AD47" s="236">
        <f t="shared" ref="AD47" si="107">IF(ISBLANK(H47), 1, IFERROR(MATCH(H47, INDEX(Use,,1), 0), IFERROR(MATCH(H47, INDEX(Use,,2), 0), MATCH(H47, INDEX(Use,,3), 0))))</f>
        <v>1</v>
      </c>
      <c r="AE47" s="236">
        <f t="shared" ref="AE47" si="108">IF(ISBLANK(G47), 1, IFERROR(MATCH(G47, INDEX(Loc,,1), 0), IFERROR(MATCH(G47, INDEX(Loc,,2), 0), MATCH(G47, INDEX(Loc,,3), 0))))</f>
        <v>1</v>
      </c>
      <c r="AF47" s="236">
        <f t="shared" ref="AF47" si="109">_xlfn.IFNA(IF(IFERROR(MATCH(I47, INDEX(Medium,,1), 0), IFERROR(MATCH(I47, INDEX(Medium,,2), 0), MATCH(I47, INDEX(Medium,,3), 0))) = 2, 1, 0), 0)</f>
        <v>0</v>
      </c>
      <c r="AG47" s="236">
        <v>1</v>
      </c>
      <c r="AH47" s="236">
        <v>0</v>
      </c>
      <c r="AI47" s="236">
        <f t="shared" si="4"/>
        <v>-100</v>
      </c>
      <c r="AJ47" s="210"/>
      <c r="AK47" s="236">
        <v>5</v>
      </c>
      <c r="AL47" s="250">
        <v>324</v>
      </c>
      <c r="AM47" s="250">
        <v>359</v>
      </c>
      <c r="AN47" s="250">
        <v>335</v>
      </c>
      <c r="AO47" s="251">
        <f t="shared" si="5"/>
        <v>0</v>
      </c>
      <c r="AP47" s="251">
        <f t="shared" si="5"/>
        <v>0</v>
      </c>
      <c r="AQ47" s="251" cm="1">
        <f t="array" ref="AQ47">MIN(INDEX(Use,AQ$21,5) + MAX(0, (1-INDEX(Use,AQ$21,5))*($AK47-5)/(35-5)), 1)</f>
        <v>0.4</v>
      </c>
      <c r="AR47" s="251" cm="1">
        <f t="array" ref="AR47">MIN(INDEX(Use,AR$21,5) + MAX(0, (1-INDEX(Use,AR$21,5))*($AK47-5)/(35-5)), 1)</f>
        <v>0.6</v>
      </c>
      <c r="AS47" s="251" cm="1">
        <f t="array" ref="AS47">MIN(INDEX(Use,AS$21,5) + MAX(0, (1-INDEX(Use,AS$21,5))*($AK47-5)/(35-5)), 1)</f>
        <v>0.8</v>
      </c>
      <c r="AT47" s="251" cm="1">
        <f t="array" ref="AT47">MIN(INDEX(Use,AT$21,5) + MAX(0, (1-INDEX(Use,AT$21,5))*($AK47-5)/(35-5)), 1)</f>
        <v>0.8</v>
      </c>
      <c r="AU47" s="251" cm="1">
        <f t="array" ref="AU47">MIN(INDEX(Use,AU$21,5) + MAX(0, (1-INDEX(Use,AU$21,5))*($AK47-5)/(35-5)), 1)</f>
        <v>0.8</v>
      </c>
      <c r="AV47" s="251">
        <v>1</v>
      </c>
      <c r="AW47" s="251">
        <v>1</v>
      </c>
      <c r="AX47" s="212"/>
      <c r="AY47" s="236" cm="1">
        <f t="array" ref="AY47">INDEX(Use, $AD47, 4)</f>
        <v>7</v>
      </c>
      <c r="AZ47" s="236">
        <f t="shared" si="12"/>
        <v>32</v>
      </c>
      <c r="BA47" s="236">
        <f t="shared" si="13"/>
        <v>13</v>
      </c>
      <c r="BB47" s="236">
        <f t="shared" si="14"/>
        <v>0</v>
      </c>
      <c r="BC47" s="252" cm="1">
        <f t="array" ref="BC47">K47/IF($L47&gt;0, INDEX($AO$23:$AU$77, $L47+20, $AD47), 1)</f>
        <v>0</v>
      </c>
      <c r="BD47" s="237">
        <f t="shared" si="15"/>
        <v>0</v>
      </c>
      <c r="BE47" s="236">
        <v>35</v>
      </c>
      <c r="BF47" s="237">
        <f t="shared" si="16"/>
        <v>52.55</v>
      </c>
      <c r="BG47" s="253">
        <f t="shared" si="17"/>
        <v>2.7676728869374316</v>
      </c>
      <c r="BH47" s="253" cm="1">
        <f t="array" ref="BH47">$BC47 * SUMPRODUCT(INDEX($AL$77:$AN$82,,$AE47),INDEX($AO$77:$AU$82,,$AD47), N($AK$77:$AK$82&gt;$AI47)) / BG47 / 1000</f>
        <v>0</v>
      </c>
      <c r="BI47" s="250">
        <f t="shared" si="18"/>
        <v>30</v>
      </c>
      <c r="BJ47" s="237">
        <f t="shared" si="19"/>
        <v>46.033333333333331</v>
      </c>
      <c r="BK47" s="253">
        <f t="shared" si="20"/>
        <v>3.2297395388556791</v>
      </c>
      <c r="BL47" s="253" cm="1">
        <f t="array" ref="BL47">$BC47 * IF($AD47&lt;=2,
SUMPRODUCT(INDEX($AL$72:$AN$76,,$AE47), INDEX($AO$72:$AU$76,,$AD47), 1 / ($AV$72:$AV$76*BK47 + (1-$AV$72:$AV$76)*BG47), N($AK$72:$AK$76&gt;$AI47)),
SUMPRODUCT(INDEX($AL$67:$AN$76,,$AE47), INDEX($AO$67:$AU$76,,$AD47), 1 / ($AW$67:$AW$76*BK47 + (1-$AW$67:$AW$76)*BG47), N($AK$67:$AK$76&gt;$AI47))
) / 1000</f>
        <v>0</v>
      </c>
      <c r="BM47" s="250">
        <f t="shared" si="21"/>
        <v>25</v>
      </c>
      <c r="BN47" s="237">
        <f t="shared" si="22"/>
        <v>39.516666666666666</v>
      </c>
      <c r="BO47" s="253">
        <f t="shared" si="23"/>
        <v>3.877011788826243</v>
      </c>
      <c r="BP47" s="253" cm="1">
        <f t="array" ref="BP47">$BC47 * IF($AD47&lt;=2,
SUMPRODUCT(INDEX($AL$67:$AN$71,,$AE47), INDEX($AO$67:$AU$71,,$AD47), 1 / ($AV$67:$AV$71*BO47 + (1-$AV$67:$AV$71)*BK47), N($AK$67:$AK$71&gt;$AI47)),
SUMPRODUCT(INDEX($AL$57:$AN$66,,$AE47), INDEX($AO$57:$AU$66,,$AD47), 1 / ($AW$57:$AW$66*BO47 + (1-$AW$57:$AW$66)*BK47), N($AK$57:$AK$66&gt;$AI47))
) / 1000</f>
        <v>0</v>
      </c>
      <c r="BQ47" s="250">
        <f t="shared" si="24"/>
        <v>20</v>
      </c>
      <c r="BR47" s="237">
        <f t="shared" si="25"/>
        <v>33</v>
      </c>
      <c r="BS47" s="253">
        <f t="shared" si="26"/>
        <v>4.8487499999999999</v>
      </c>
      <c r="BT47" s="253" cm="1">
        <f t="array" ref="BT47">$BC47 * IF($AD47&lt;=2,
SUMPRODUCT(INDEX($AL$62:$AN$66,,$AE47), INDEX($AO$62:$AU$66,,$AD47), 1 / ($AV$62:$AV$66*BS47 + (1-$AV$62:$AV$66)*BO47), N($AK$62:$AK$66&gt;$AI47)),
SUMPRODUCT(INDEX($AL$47:$AN$56,,$AE47), INDEX($AO$47:$AU$56,,$AD47), 1 / ($AW$47:$AW$56*BS47 + (1-$AW$47:$AW$56)*BO47), N($AK$47:$AK$56&gt;$AI47))
) / 1000</f>
        <v>0</v>
      </c>
      <c r="BU47" s="253" cm="1">
        <f t="array" ref="BU47">$BC47 * IF($AD47&lt;=2,
SUMPRODUCT(INDEX($AL$23:$AN$61,,$AE47), INDEX($AO$23:$AU$61,,$AD47), 1 / ($AV$23:$AV$61*BS47), N($AK$23:$AK$61&gt;$AI47)),
SUMPRODUCT(INDEX($AL$23:$AN$46,,$AE47), INDEX($AO$23:$AU$46,,$AD47), 1 / ($AW$23:$AW$46*BS47), N($AK$23:$AK$46&gt;$AI47))
) / 1000</f>
        <v>0</v>
      </c>
      <c r="BV47" s="237">
        <f t="shared" si="27"/>
        <v>0</v>
      </c>
      <c r="BW47" s="210"/>
      <c r="BX47" s="237">
        <f t="shared" si="28"/>
        <v>0</v>
      </c>
      <c r="BY47" s="236">
        <v>35</v>
      </c>
      <c r="BZ47" s="237">
        <f t="shared" si="29"/>
        <v>48</v>
      </c>
      <c r="CA47" s="253">
        <f t="shared" si="30"/>
        <v>3.0748170731707316</v>
      </c>
      <c r="CB47" s="253" cm="1">
        <f t="array" ref="CB47">$BC47 * SUMPRODUCT(INDEX($AL$77:$AN$82,,$AE47),INDEX($AO$77:$AU$82,,$AD47), N($AK$77:$AK$82&gt;$AI47)) / CA47 / 1000</f>
        <v>0</v>
      </c>
      <c r="CC47" s="250">
        <f t="shared" si="31"/>
        <v>30</v>
      </c>
      <c r="CD47" s="237">
        <f t="shared" si="32"/>
        <v>43</v>
      </c>
      <c r="CE47" s="253">
        <f t="shared" si="33"/>
        <v>3.5018750000000001</v>
      </c>
      <c r="CF47" s="253" cm="1">
        <f t="array" ref="CF47">$BC47 * IF($AD47&lt;=2,
SUMPRODUCT(INDEX($AL$72:$AN$76,,$AE47), INDEX($AO$72:$AU$76,,$AD47), 1 / ($AV$72:$AV$76*CE47 + (1-$AV$72:$AV$76)*CA47), N($AK$72:$AK$76&gt;$AI47)),
SUMPRODUCT(INDEX($AL$67:$AN$76,,$AE47), INDEX($AO$67:$AU$76,,$AD47), 1 / ($AW$67:$AW$76*CE47 + (1-$AW$67:$AW$76)*CA47), N($AK$67:$AK$76&gt;$AI47))
) / 1000</f>
        <v>0</v>
      </c>
      <c r="CG47" s="250">
        <f t="shared" si="34"/>
        <v>25</v>
      </c>
      <c r="CH47" s="237">
        <f t="shared" si="35"/>
        <v>38</v>
      </c>
      <c r="CI47" s="253">
        <f t="shared" si="36"/>
        <v>4.0666935483870965</v>
      </c>
      <c r="CJ47" s="253" cm="1">
        <f t="array" ref="CJ47">$BC47 * IF($AD47&lt;=2,
SUMPRODUCT(INDEX($AL$67:$AN$71,,$AE47), INDEX($AO$67:$AU$71,,$AD47), 1 / ($AV$67:$AV$71*CI47 + (1-$AV$67:$AV$71)*CE47), N($AK$67:$AK$71&gt;$AI47)),
SUMPRODUCT(INDEX($AL$57:$AN$66,,$AE47), INDEX($AO$57:$AU$66,,$AD47), 1 / ($AW$57:$AW$66*CI47 + (1-$AW$57:$AW$66)*CE47), N($AK$57:$AK$66&gt;$AI47))
) / 1000</f>
        <v>0</v>
      </c>
      <c r="CK47" s="250">
        <f t="shared" si="37"/>
        <v>20</v>
      </c>
      <c r="CL47" s="237">
        <f t="shared" si="38"/>
        <v>33</v>
      </c>
      <c r="CM47" s="253">
        <f t="shared" si="39"/>
        <v>4.8487499999999999</v>
      </c>
      <c r="CN47" s="253" cm="1">
        <f t="array" ref="CN47">$BC47 * IF($AD47&lt;=2,
SUMPRODUCT(INDEX($AL$62:$AN$66,,$AE47), INDEX($AO$62:$AU$66,,$AD47), 1 / ($AV$62:$AV$66*CM47 + (1-$AV$62:$AV$66)*CI47), N($AK$62:$AK$66&gt;$AI47)),
SUMPRODUCT(INDEX($AL$47:$AN$56,,$AE47), INDEX($AO$47:$AU$56,,$AD47), 1 / ($AW$47:$AW$56*CM47 + (1-$AW$47:$AW$56)*CI47), N($AK$47:$AK$56&gt;$AI47))
) / 1000</f>
        <v>0</v>
      </c>
      <c r="CO47" s="253" cm="1">
        <f t="array" ref="CO47">$BC47 * IF($AD47&lt;=2,
SUMPRODUCT(INDEX($AL$23:$AN$61,,$AE47), INDEX($AO$23:$AU$61,,$AD47), 1 / ($AV$23:$AV$61*CM47), N($AK$23:$AK$61&gt;$AI47)),
SUMPRODUCT(INDEX($AL$23:$AN$46,,$AE47), INDEX($AO$23:$AU$46,,$AD47), 1 / ($AW$23:$AW$46*CM47), N($AK$23:$AK$46&gt;$AI47))
) / 1000</f>
        <v>0</v>
      </c>
      <c r="CP47" s="237">
        <f t="shared" si="40"/>
        <v>0</v>
      </c>
      <c r="CQ47" s="210"/>
    </row>
    <row r="48" spans="1:95" s="76" customFormat="1" ht="14.25" customHeight="1" x14ac:dyDescent="0.25">
      <c r="A48" s="238" t="b">
        <f t="shared" si="0"/>
        <v>0</v>
      </c>
      <c r="B48" s="239">
        <v>26</v>
      </c>
      <c r="C48" s="258"/>
      <c r="D48" s="258"/>
      <c r="E48" s="240"/>
      <c r="F48" s="241" t="str">
        <f>IF(ISBLANK(E48), "", VLOOKUP(E48, Z!$A$2:$C$4127, 3, FALSE))</f>
        <v/>
      </c>
      <c r="G48" s="242"/>
      <c r="H48" s="242"/>
      <c r="I48" s="243"/>
      <c r="J48" s="244"/>
      <c r="K48" s="259"/>
      <c r="L48" s="260"/>
      <c r="M48" s="247" t="str" cm="1">
        <f t="array" ref="M48">IF($K48&gt;0, INDEX(Clean,1+AG48,$C$1), "")</f>
        <v/>
      </c>
      <c r="N48" s="245"/>
      <c r="O48" s="245"/>
      <c r="P48" s="246"/>
      <c r="Q48" s="248">
        <f t="shared" si="6"/>
        <v>0</v>
      </c>
      <c r="R48" s="247" t="str" cm="1">
        <f t="array" ref="R48">IF($K48&gt;0, INDEX(Clean,1+AH48,$C$1), "")</f>
        <v/>
      </c>
      <c r="S48" s="245"/>
      <c r="T48" s="245"/>
      <c r="U48" s="246"/>
      <c r="V48" s="248">
        <f t="shared" si="7"/>
        <v>0</v>
      </c>
      <c r="W48" s="261"/>
      <c r="X48" s="258"/>
      <c r="Y48" s="240"/>
      <c r="Z48" s="241" t="str">
        <f>IF(ISBLANK(Y48), "", VLOOKUP(Y48, Z!$A$2:$C$4127, 3, FALSE))</f>
        <v/>
      </c>
      <c r="AA48" s="262"/>
      <c r="AB48" s="249">
        <f t="shared" si="8"/>
        <v>0</v>
      </c>
      <c r="AC48" s="210"/>
      <c r="AD48" s="236">
        <f t="shared" ref="AD48" si="110">IF(ISBLANK(H48), 1, IFERROR(MATCH(H48, INDEX(Use,,1), 0), IFERROR(MATCH(H48, INDEX(Use,,2), 0), MATCH(H48, INDEX(Use,,3), 0))))</f>
        <v>1</v>
      </c>
      <c r="AE48" s="236">
        <f t="shared" ref="AE48" si="111">IF(ISBLANK(G48), 1, IFERROR(MATCH(G48, INDEX(Loc,,1), 0), IFERROR(MATCH(G48, INDEX(Loc,,2), 0), MATCH(G48, INDEX(Loc,,3), 0))))</f>
        <v>1</v>
      </c>
      <c r="AF48" s="236">
        <f t="shared" ref="AF48" si="112">_xlfn.IFNA(IF(IFERROR(MATCH(I48, INDEX(Medium,,1), 0), IFERROR(MATCH(I48, INDEX(Medium,,2), 0), MATCH(I48, INDEX(Medium,,3), 0))) = 2, 1, 0), 0)</f>
        <v>0</v>
      </c>
      <c r="AG48" s="236">
        <v>1</v>
      </c>
      <c r="AH48" s="236">
        <v>0</v>
      </c>
      <c r="AI48" s="236">
        <f t="shared" si="4"/>
        <v>-100</v>
      </c>
      <c r="AJ48" s="210"/>
      <c r="AK48" s="236">
        <v>6</v>
      </c>
      <c r="AL48" s="250">
        <v>362</v>
      </c>
      <c r="AM48" s="250">
        <v>365</v>
      </c>
      <c r="AN48" s="250">
        <v>417</v>
      </c>
      <c r="AO48" s="251">
        <f t="shared" si="5"/>
        <v>0</v>
      </c>
      <c r="AP48" s="251">
        <f t="shared" si="5"/>
        <v>0</v>
      </c>
      <c r="AQ48" s="251" cm="1">
        <f t="array" ref="AQ48">MIN(INDEX(Use,AQ$21,5) + MAX(0, (1-INDEX(Use,AQ$21,5))*($AK48-5)/(35-5)), 1)</f>
        <v>0.42000000000000004</v>
      </c>
      <c r="AR48" s="251" cm="1">
        <f t="array" ref="AR48">MIN(INDEX(Use,AR$21,5) + MAX(0, (1-INDEX(Use,AR$21,5))*($AK48-5)/(35-5)), 1)</f>
        <v>0.61333333333333329</v>
      </c>
      <c r="AS48" s="251" cm="1">
        <f t="array" ref="AS48">MIN(INDEX(Use,AS$21,5) + MAX(0, (1-INDEX(Use,AS$21,5))*($AK48-5)/(35-5)), 1)</f>
        <v>0.80666666666666675</v>
      </c>
      <c r="AT48" s="251" cm="1">
        <f t="array" ref="AT48">MIN(INDEX(Use,AT$21,5) + MAX(0, (1-INDEX(Use,AT$21,5))*($AK48-5)/(35-5)), 1)</f>
        <v>0.80666666666666675</v>
      </c>
      <c r="AU48" s="251" cm="1">
        <f t="array" ref="AU48">MIN(INDEX(Use,AU$21,5) + MAX(0, (1-INDEX(Use,AU$21,5))*($AK48-5)/(35-5)), 1)</f>
        <v>0.80666666666666675</v>
      </c>
      <c r="AV48" s="251">
        <v>1</v>
      </c>
      <c r="AW48" s="251">
        <v>0.9</v>
      </c>
      <c r="AX48" s="212"/>
      <c r="AY48" s="236" cm="1">
        <f t="array" ref="AY48">INDEX(Use, $AD48, 4)</f>
        <v>7</v>
      </c>
      <c r="AZ48" s="236">
        <f t="shared" si="12"/>
        <v>32</v>
      </c>
      <c r="BA48" s="236">
        <f t="shared" si="13"/>
        <v>13</v>
      </c>
      <c r="BB48" s="236">
        <f t="shared" si="14"/>
        <v>0</v>
      </c>
      <c r="BC48" s="252" cm="1">
        <f t="array" ref="BC48">K48/IF($L48&gt;0, INDEX($AO$23:$AU$77, $L48+20, $AD48), 1)</f>
        <v>0</v>
      </c>
      <c r="BD48" s="237">
        <f t="shared" si="15"/>
        <v>0</v>
      </c>
      <c r="BE48" s="236">
        <v>35</v>
      </c>
      <c r="BF48" s="237">
        <f t="shared" si="16"/>
        <v>52.55</v>
      </c>
      <c r="BG48" s="253">
        <f t="shared" si="17"/>
        <v>2.7676728869374316</v>
      </c>
      <c r="BH48" s="253" cm="1">
        <f t="array" ref="BH48">$BC48 * SUMPRODUCT(INDEX($AL$77:$AN$82,,$AE48),INDEX($AO$77:$AU$82,,$AD48), N($AK$77:$AK$82&gt;$AI48)) / BG48 / 1000</f>
        <v>0</v>
      </c>
      <c r="BI48" s="250">
        <f t="shared" si="18"/>
        <v>30</v>
      </c>
      <c r="BJ48" s="237">
        <f t="shared" si="19"/>
        <v>46.033333333333331</v>
      </c>
      <c r="BK48" s="253">
        <f t="shared" si="20"/>
        <v>3.2297395388556791</v>
      </c>
      <c r="BL48" s="253" cm="1">
        <f t="array" ref="BL48">$BC48 * IF($AD48&lt;=2,
SUMPRODUCT(INDEX($AL$72:$AN$76,,$AE48), INDEX($AO$72:$AU$76,,$AD48), 1 / ($AV$72:$AV$76*BK48 + (1-$AV$72:$AV$76)*BG48), N($AK$72:$AK$76&gt;$AI48)),
SUMPRODUCT(INDEX($AL$67:$AN$76,,$AE48), INDEX($AO$67:$AU$76,,$AD48), 1 / ($AW$67:$AW$76*BK48 + (1-$AW$67:$AW$76)*BG48), N($AK$67:$AK$76&gt;$AI48))
) / 1000</f>
        <v>0</v>
      </c>
      <c r="BM48" s="250">
        <f t="shared" si="21"/>
        <v>25</v>
      </c>
      <c r="BN48" s="237">
        <f t="shared" si="22"/>
        <v>39.516666666666666</v>
      </c>
      <c r="BO48" s="253">
        <f t="shared" si="23"/>
        <v>3.877011788826243</v>
      </c>
      <c r="BP48" s="253" cm="1">
        <f t="array" ref="BP48">$BC48 * IF($AD48&lt;=2,
SUMPRODUCT(INDEX($AL$67:$AN$71,,$AE48), INDEX($AO$67:$AU$71,,$AD48), 1 / ($AV$67:$AV$71*BO48 + (1-$AV$67:$AV$71)*BK48), N($AK$67:$AK$71&gt;$AI48)),
SUMPRODUCT(INDEX($AL$57:$AN$66,,$AE48), INDEX($AO$57:$AU$66,,$AD48), 1 / ($AW$57:$AW$66*BO48 + (1-$AW$57:$AW$66)*BK48), N($AK$57:$AK$66&gt;$AI48))
) / 1000</f>
        <v>0</v>
      </c>
      <c r="BQ48" s="250">
        <f t="shared" si="24"/>
        <v>20</v>
      </c>
      <c r="BR48" s="237">
        <f t="shared" si="25"/>
        <v>33</v>
      </c>
      <c r="BS48" s="253">
        <f t="shared" si="26"/>
        <v>4.8487499999999999</v>
      </c>
      <c r="BT48" s="253" cm="1">
        <f t="array" ref="BT48">$BC48 * IF($AD48&lt;=2,
SUMPRODUCT(INDEX($AL$62:$AN$66,,$AE48), INDEX($AO$62:$AU$66,,$AD48), 1 / ($AV$62:$AV$66*BS48 + (1-$AV$62:$AV$66)*BO48), N($AK$62:$AK$66&gt;$AI48)),
SUMPRODUCT(INDEX($AL$47:$AN$56,,$AE48), INDEX($AO$47:$AU$56,,$AD48), 1 / ($AW$47:$AW$56*BS48 + (1-$AW$47:$AW$56)*BO48), N($AK$47:$AK$56&gt;$AI48))
) / 1000</f>
        <v>0</v>
      </c>
      <c r="BU48" s="253" cm="1">
        <f t="array" ref="BU48">$BC48 * IF($AD48&lt;=2,
SUMPRODUCT(INDEX($AL$23:$AN$61,,$AE48), INDEX($AO$23:$AU$61,,$AD48), 1 / ($AV$23:$AV$61*BS48), N($AK$23:$AK$61&gt;$AI48)),
SUMPRODUCT(INDEX($AL$23:$AN$46,,$AE48), INDEX($AO$23:$AU$46,,$AD48), 1 / ($AW$23:$AW$46*BS48), N($AK$23:$AK$46&gt;$AI48))
) / 1000</f>
        <v>0</v>
      </c>
      <c r="BV48" s="237">
        <f t="shared" si="27"/>
        <v>0</v>
      </c>
      <c r="BW48" s="210"/>
      <c r="BX48" s="237">
        <f t="shared" si="28"/>
        <v>0</v>
      </c>
      <c r="BY48" s="236">
        <v>35</v>
      </c>
      <c r="BZ48" s="237">
        <f t="shared" si="29"/>
        <v>48</v>
      </c>
      <c r="CA48" s="253">
        <f t="shared" si="30"/>
        <v>3.0748170731707316</v>
      </c>
      <c r="CB48" s="253" cm="1">
        <f t="array" ref="CB48">$BC48 * SUMPRODUCT(INDEX($AL$77:$AN$82,,$AE48),INDEX($AO$77:$AU$82,,$AD48), N($AK$77:$AK$82&gt;$AI48)) / CA48 / 1000</f>
        <v>0</v>
      </c>
      <c r="CC48" s="250">
        <f t="shared" si="31"/>
        <v>30</v>
      </c>
      <c r="CD48" s="237">
        <f t="shared" si="32"/>
        <v>43</v>
      </c>
      <c r="CE48" s="253">
        <f t="shared" si="33"/>
        <v>3.5018750000000001</v>
      </c>
      <c r="CF48" s="253" cm="1">
        <f t="array" ref="CF48">$BC48 * IF($AD48&lt;=2,
SUMPRODUCT(INDEX($AL$72:$AN$76,,$AE48), INDEX($AO$72:$AU$76,,$AD48), 1 / ($AV$72:$AV$76*CE48 + (1-$AV$72:$AV$76)*CA48), N($AK$72:$AK$76&gt;$AI48)),
SUMPRODUCT(INDEX($AL$67:$AN$76,,$AE48), INDEX($AO$67:$AU$76,,$AD48), 1 / ($AW$67:$AW$76*CE48 + (1-$AW$67:$AW$76)*CA48), N($AK$67:$AK$76&gt;$AI48))
) / 1000</f>
        <v>0</v>
      </c>
      <c r="CG48" s="250">
        <f t="shared" si="34"/>
        <v>25</v>
      </c>
      <c r="CH48" s="237">
        <f t="shared" si="35"/>
        <v>38</v>
      </c>
      <c r="CI48" s="253">
        <f t="shared" si="36"/>
        <v>4.0666935483870965</v>
      </c>
      <c r="CJ48" s="253" cm="1">
        <f t="array" ref="CJ48">$BC48 * IF($AD48&lt;=2,
SUMPRODUCT(INDEX($AL$67:$AN$71,,$AE48), INDEX($AO$67:$AU$71,,$AD48), 1 / ($AV$67:$AV$71*CI48 + (1-$AV$67:$AV$71)*CE48), N($AK$67:$AK$71&gt;$AI48)),
SUMPRODUCT(INDEX($AL$57:$AN$66,,$AE48), INDEX($AO$57:$AU$66,,$AD48), 1 / ($AW$57:$AW$66*CI48 + (1-$AW$57:$AW$66)*CE48), N($AK$57:$AK$66&gt;$AI48))
) / 1000</f>
        <v>0</v>
      </c>
      <c r="CK48" s="250">
        <f t="shared" si="37"/>
        <v>20</v>
      </c>
      <c r="CL48" s="237">
        <f t="shared" si="38"/>
        <v>33</v>
      </c>
      <c r="CM48" s="253">
        <f t="shared" si="39"/>
        <v>4.8487499999999999</v>
      </c>
      <c r="CN48" s="253" cm="1">
        <f t="array" ref="CN48">$BC48 * IF($AD48&lt;=2,
SUMPRODUCT(INDEX($AL$62:$AN$66,,$AE48), INDEX($AO$62:$AU$66,,$AD48), 1 / ($AV$62:$AV$66*CM48 + (1-$AV$62:$AV$66)*CI48), N($AK$62:$AK$66&gt;$AI48)),
SUMPRODUCT(INDEX($AL$47:$AN$56,,$AE48), INDEX($AO$47:$AU$56,,$AD48), 1 / ($AW$47:$AW$56*CM48 + (1-$AW$47:$AW$56)*CI48), N($AK$47:$AK$56&gt;$AI48))
) / 1000</f>
        <v>0</v>
      </c>
      <c r="CO48" s="253" cm="1">
        <f t="array" ref="CO48">$BC48 * IF($AD48&lt;=2,
SUMPRODUCT(INDEX($AL$23:$AN$61,,$AE48), INDEX($AO$23:$AU$61,,$AD48), 1 / ($AV$23:$AV$61*CM48), N($AK$23:$AK$61&gt;$AI48)),
SUMPRODUCT(INDEX($AL$23:$AN$46,,$AE48), INDEX($AO$23:$AU$46,,$AD48), 1 / ($AW$23:$AW$46*CM48), N($AK$23:$AK$46&gt;$AI48))
) / 1000</f>
        <v>0</v>
      </c>
      <c r="CP48" s="237">
        <f t="shared" si="40"/>
        <v>0</v>
      </c>
      <c r="CQ48" s="210"/>
    </row>
    <row r="49" spans="1:95" s="76" customFormat="1" ht="14.25" customHeight="1" x14ac:dyDescent="0.25">
      <c r="A49" s="238" t="b">
        <f t="shared" si="0"/>
        <v>0</v>
      </c>
      <c r="B49" s="239">
        <v>27</v>
      </c>
      <c r="C49" s="258"/>
      <c r="D49" s="258"/>
      <c r="E49" s="240"/>
      <c r="F49" s="241" t="str">
        <f>IF(ISBLANK(E49), "", VLOOKUP(E49, Z!$A$2:$C$4127, 3, FALSE))</f>
        <v/>
      </c>
      <c r="G49" s="242"/>
      <c r="H49" s="242"/>
      <c r="I49" s="243"/>
      <c r="J49" s="244"/>
      <c r="K49" s="259"/>
      <c r="L49" s="260"/>
      <c r="M49" s="247" t="str" cm="1">
        <f t="array" ref="M49">IF($K49&gt;0, INDEX(Clean,1+AG49,$C$1), "")</f>
        <v/>
      </c>
      <c r="N49" s="245"/>
      <c r="O49" s="245"/>
      <c r="P49" s="246"/>
      <c r="Q49" s="248">
        <f t="shared" si="6"/>
        <v>0</v>
      </c>
      <c r="R49" s="247" t="str" cm="1">
        <f t="array" ref="R49">IF($K49&gt;0, INDEX(Clean,1+AH49,$C$1), "")</f>
        <v/>
      </c>
      <c r="S49" s="245"/>
      <c r="T49" s="245"/>
      <c r="U49" s="246"/>
      <c r="V49" s="248">
        <f t="shared" si="7"/>
        <v>0</v>
      </c>
      <c r="W49" s="261"/>
      <c r="X49" s="258"/>
      <c r="Y49" s="240"/>
      <c r="Z49" s="241" t="str">
        <f>IF(ISBLANK(Y49), "", VLOOKUP(Y49, Z!$A$2:$C$4127, 3, FALSE))</f>
        <v/>
      </c>
      <c r="AA49" s="262"/>
      <c r="AB49" s="249">
        <f t="shared" si="8"/>
        <v>0</v>
      </c>
      <c r="AC49" s="210"/>
      <c r="AD49" s="236">
        <f t="shared" ref="AD49" si="113">IF(ISBLANK(H49), 1, IFERROR(MATCH(H49, INDEX(Use,,1), 0), IFERROR(MATCH(H49, INDEX(Use,,2), 0), MATCH(H49, INDEX(Use,,3), 0))))</f>
        <v>1</v>
      </c>
      <c r="AE49" s="236">
        <f t="shared" ref="AE49" si="114">IF(ISBLANK(G49), 1, IFERROR(MATCH(G49, INDEX(Loc,,1), 0), IFERROR(MATCH(G49, INDEX(Loc,,2), 0), MATCH(G49, INDEX(Loc,,3), 0))))</f>
        <v>1</v>
      </c>
      <c r="AF49" s="236">
        <f t="shared" ref="AF49" si="115">_xlfn.IFNA(IF(IFERROR(MATCH(I49, INDEX(Medium,,1), 0), IFERROR(MATCH(I49, INDEX(Medium,,2), 0), MATCH(I49, INDEX(Medium,,3), 0))) = 2, 1, 0), 0)</f>
        <v>0</v>
      </c>
      <c r="AG49" s="236">
        <v>1</v>
      </c>
      <c r="AH49" s="236">
        <v>0</v>
      </c>
      <c r="AI49" s="236">
        <f t="shared" si="4"/>
        <v>-100</v>
      </c>
      <c r="AJ49" s="210"/>
      <c r="AK49" s="236">
        <v>7</v>
      </c>
      <c r="AL49" s="250">
        <v>426</v>
      </c>
      <c r="AM49" s="250">
        <v>341</v>
      </c>
      <c r="AN49" s="250">
        <v>406</v>
      </c>
      <c r="AO49" s="251">
        <f t="shared" si="5"/>
        <v>0</v>
      </c>
      <c r="AP49" s="251">
        <f t="shared" si="5"/>
        <v>0</v>
      </c>
      <c r="AQ49" s="251" cm="1">
        <f t="array" ref="AQ49">MIN(INDEX(Use,AQ$21,5) + MAX(0, (1-INDEX(Use,AQ$21,5))*($AK49-5)/(35-5)), 1)</f>
        <v>0.44</v>
      </c>
      <c r="AR49" s="251" cm="1">
        <f t="array" ref="AR49">MIN(INDEX(Use,AR$21,5) + MAX(0, (1-INDEX(Use,AR$21,5))*($AK49-5)/(35-5)), 1)</f>
        <v>0.62666666666666659</v>
      </c>
      <c r="AS49" s="251" cm="1">
        <f t="array" ref="AS49">MIN(INDEX(Use,AS$21,5) + MAX(0, (1-INDEX(Use,AS$21,5))*($AK49-5)/(35-5)), 1)</f>
        <v>0.81333333333333335</v>
      </c>
      <c r="AT49" s="251" cm="1">
        <f t="array" ref="AT49">MIN(INDEX(Use,AT$21,5) + MAX(0, (1-INDEX(Use,AT$21,5))*($AK49-5)/(35-5)), 1)</f>
        <v>0.81333333333333335</v>
      </c>
      <c r="AU49" s="251" cm="1">
        <f t="array" ref="AU49">MIN(INDEX(Use,AU$21,5) + MAX(0, (1-INDEX(Use,AU$21,5))*($AK49-5)/(35-5)), 1)</f>
        <v>0.81333333333333335</v>
      </c>
      <c r="AV49" s="251">
        <v>1</v>
      </c>
      <c r="AW49" s="251">
        <v>0.8</v>
      </c>
      <c r="AX49" s="212"/>
      <c r="AY49" s="236" cm="1">
        <f t="array" ref="AY49">INDEX(Use, $AD49, 4)</f>
        <v>7</v>
      </c>
      <c r="AZ49" s="236">
        <f t="shared" si="12"/>
        <v>32</v>
      </c>
      <c r="BA49" s="236">
        <f t="shared" si="13"/>
        <v>13</v>
      </c>
      <c r="BB49" s="236">
        <f t="shared" si="14"/>
        <v>0</v>
      </c>
      <c r="BC49" s="252" cm="1">
        <f t="array" ref="BC49">K49/IF($L49&gt;0, INDEX($AO$23:$AU$77, $L49+20, $AD49), 1)</f>
        <v>0</v>
      </c>
      <c r="BD49" s="237">
        <f t="shared" si="15"/>
        <v>0</v>
      </c>
      <c r="BE49" s="236">
        <v>35</v>
      </c>
      <c r="BF49" s="237">
        <f t="shared" si="16"/>
        <v>52.55</v>
      </c>
      <c r="BG49" s="253">
        <f t="shared" si="17"/>
        <v>2.7676728869374316</v>
      </c>
      <c r="BH49" s="253" cm="1">
        <f t="array" ref="BH49">$BC49 * SUMPRODUCT(INDEX($AL$77:$AN$82,,$AE49),INDEX($AO$77:$AU$82,,$AD49), N($AK$77:$AK$82&gt;$AI49)) / BG49 / 1000</f>
        <v>0</v>
      </c>
      <c r="BI49" s="250">
        <f t="shared" si="18"/>
        <v>30</v>
      </c>
      <c r="BJ49" s="237">
        <f t="shared" si="19"/>
        <v>46.033333333333331</v>
      </c>
      <c r="BK49" s="253">
        <f t="shared" si="20"/>
        <v>3.2297395388556791</v>
      </c>
      <c r="BL49" s="253" cm="1">
        <f t="array" ref="BL49">$BC49 * IF($AD49&lt;=2,
SUMPRODUCT(INDEX($AL$72:$AN$76,,$AE49), INDEX($AO$72:$AU$76,,$AD49), 1 / ($AV$72:$AV$76*BK49 + (1-$AV$72:$AV$76)*BG49), N($AK$72:$AK$76&gt;$AI49)),
SUMPRODUCT(INDEX($AL$67:$AN$76,,$AE49), INDEX($AO$67:$AU$76,,$AD49), 1 / ($AW$67:$AW$76*BK49 + (1-$AW$67:$AW$76)*BG49), N($AK$67:$AK$76&gt;$AI49))
) / 1000</f>
        <v>0</v>
      </c>
      <c r="BM49" s="250">
        <f t="shared" si="21"/>
        <v>25</v>
      </c>
      <c r="BN49" s="237">
        <f t="shared" si="22"/>
        <v>39.516666666666666</v>
      </c>
      <c r="BO49" s="253">
        <f t="shared" si="23"/>
        <v>3.877011788826243</v>
      </c>
      <c r="BP49" s="253" cm="1">
        <f t="array" ref="BP49">$BC49 * IF($AD49&lt;=2,
SUMPRODUCT(INDEX($AL$67:$AN$71,,$AE49), INDEX($AO$67:$AU$71,,$AD49), 1 / ($AV$67:$AV$71*BO49 + (1-$AV$67:$AV$71)*BK49), N($AK$67:$AK$71&gt;$AI49)),
SUMPRODUCT(INDEX($AL$57:$AN$66,,$AE49), INDEX($AO$57:$AU$66,,$AD49), 1 / ($AW$57:$AW$66*BO49 + (1-$AW$57:$AW$66)*BK49), N($AK$57:$AK$66&gt;$AI49))
) / 1000</f>
        <v>0</v>
      </c>
      <c r="BQ49" s="250">
        <f t="shared" si="24"/>
        <v>20</v>
      </c>
      <c r="BR49" s="237">
        <f t="shared" si="25"/>
        <v>33</v>
      </c>
      <c r="BS49" s="253">
        <f t="shared" si="26"/>
        <v>4.8487499999999999</v>
      </c>
      <c r="BT49" s="253" cm="1">
        <f t="array" ref="BT49">$BC49 * IF($AD49&lt;=2,
SUMPRODUCT(INDEX($AL$62:$AN$66,,$AE49), INDEX($AO$62:$AU$66,,$AD49), 1 / ($AV$62:$AV$66*BS49 + (1-$AV$62:$AV$66)*BO49), N($AK$62:$AK$66&gt;$AI49)),
SUMPRODUCT(INDEX($AL$47:$AN$56,,$AE49), INDEX($AO$47:$AU$56,,$AD49), 1 / ($AW$47:$AW$56*BS49 + (1-$AW$47:$AW$56)*BO49), N($AK$47:$AK$56&gt;$AI49))
) / 1000</f>
        <v>0</v>
      </c>
      <c r="BU49" s="253" cm="1">
        <f t="array" ref="BU49">$BC49 * IF($AD49&lt;=2,
SUMPRODUCT(INDEX($AL$23:$AN$61,,$AE49), INDEX($AO$23:$AU$61,,$AD49), 1 / ($AV$23:$AV$61*BS49), N($AK$23:$AK$61&gt;$AI49)),
SUMPRODUCT(INDEX($AL$23:$AN$46,,$AE49), INDEX($AO$23:$AU$46,,$AD49), 1 / ($AW$23:$AW$46*BS49), N($AK$23:$AK$46&gt;$AI49))
) / 1000</f>
        <v>0</v>
      </c>
      <c r="BV49" s="237">
        <f t="shared" si="27"/>
        <v>0</v>
      </c>
      <c r="BW49" s="210"/>
      <c r="BX49" s="237">
        <f t="shared" si="28"/>
        <v>0</v>
      </c>
      <c r="BY49" s="236">
        <v>35</v>
      </c>
      <c r="BZ49" s="237">
        <f t="shared" si="29"/>
        <v>48</v>
      </c>
      <c r="CA49" s="253">
        <f t="shared" si="30"/>
        <v>3.0748170731707316</v>
      </c>
      <c r="CB49" s="253" cm="1">
        <f t="array" ref="CB49">$BC49 * SUMPRODUCT(INDEX($AL$77:$AN$82,,$AE49),INDEX($AO$77:$AU$82,,$AD49), N($AK$77:$AK$82&gt;$AI49)) / CA49 / 1000</f>
        <v>0</v>
      </c>
      <c r="CC49" s="250">
        <f t="shared" si="31"/>
        <v>30</v>
      </c>
      <c r="CD49" s="237">
        <f t="shared" si="32"/>
        <v>43</v>
      </c>
      <c r="CE49" s="253">
        <f t="shared" si="33"/>
        <v>3.5018750000000001</v>
      </c>
      <c r="CF49" s="253" cm="1">
        <f t="array" ref="CF49">$BC49 * IF($AD49&lt;=2,
SUMPRODUCT(INDEX($AL$72:$AN$76,,$AE49), INDEX($AO$72:$AU$76,,$AD49), 1 / ($AV$72:$AV$76*CE49 + (1-$AV$72:$AV$76)*CA49), N($AK$72:$AK$76&gt;$AI49)),
SUMPRODUCT(INDEX($AL$67:$AN$76,,$AE49), INDEX($AO$67:$AU$76,,$AD49), 1 / ($AW$67:$AW$76*CE49 + (1-$AW$67:$AW$76)*CA49), N($AK$67:$AK$76&gt;$AI49))
) / 1000</f>
        <v>0</v>
      </c>
      <c r="CG49" s="250">
        <f t="shared" si="34"/>
        <v>25</v>
      </c>
      <c r="CH49" s="237">
        <f t="shared" si="35"/>
        <v>38</v>
      </c>
      <c r="CI49" s="253">
        <f t="shared" si="36"/>
        <v>4.0666935483870965</v>
      </c>
      <c r="CJ49" s="253" cm="1">
        <f t="array" ref="CJ49">$BC49 * IF($AD49&lt;=2,
SUMPRODUCT(INDEX($AL$67:$AN$71,,$AE49), INDEX($AO$67:$AU$71,,$AD49), 1 / ($AV$67:$AV$71*CI49 + (1-$AV$67:$AV$71)*CE49), N($AK$67:$AK$71&gt;$AI49)),
SUMPRODUCT(INDEX($AL$57:$AN$66,,$AE49), INDEX($AO$57:$AU$66,,$AD49), 1 / ($AW$57:$AW$66*CI49 + (1-$AW$57:$AW$66)*CE49), N($AK$57:$AK$66&gt;$AI49))
) / 1000</f>
        <v>0</v>
      </c>
      <c r="CK49" s="250">
        <f t="shared" si="37"/>
        <v>20</v>
      </c>
      <c r="CL49" s="237">
        <f t="shared" si="38"/>
        <v>33</v>
      </c>
      <c r="CM49" s="253">
        <f t="shared" si="39"/>
        <v>4.8487499999999999</v>
      </c>
      <c r="CN49" s="253" cm="1">
        <f t="array" ref="CN49">$BC49 * IF($AD49&lt;=2,
SUMPRODUCT(INDEX($AL$62:$AN$66,,$AE49), INDEX($AO$62:$AU$66,,$AD49), 1 / ($AV$62:$AV$66*CM49 + (1-$AV$62:$AV$66)*CI49), N($AK$62:$AK$66&gt;$AI49)),
SUMPRODUCT(INDEX($AL$47:$AN$56,,$AE49), INDEX($AO$47:$AU$56,,$AD49), 1 / ($AW$47:$AW$56*CM49 + (1-$AW$47:$AW$56)*CI49), N($AK$47:$AK$56&gt;$AI49))
) / 1000</f>
        <v>0</v>
      </c>
      <c r="CO49" s="253" cm="1">
        <f t="array" ref="CO49">$BC49 * IF($AD49&lt;=2,
SUMPRODUCT(INDEX($AL$23:$AN$61,,$AE49), INDEX($AO$23:$AU$61,,$AD49), 1 / ($AV$23:$AV$61*CM49), N($AK$23:$AK$61&gt;$AI49)),
SUMPRODUCT(INDEX($AL$23:$AN$46,,$AE49), INDEX($AO$23:$AU$46,,$AD49), 1 / ($AW$23:$AW$46*CM49), N($AK$23:$AK$46&gt;$AI49))
) / 1000</f>
        <v>0</v>
      </c>
      <c r="CP49" s="237">
        <f t="shared" si="40"/>
        <v>0</v>
      </c>
      <c r="CQ49" s="210"/>
    </row>
    <row r="50" spans="1:95" s="76" customFormat="1" ht="14.25" customHeight="1" x14ac:dyDescent="0.25">
      <c r="A50" s="238" t="b">
        <f t="shared" si="0"/>
        <v>0</v>
      </c>
      <c r="B50" s="239">
        <v>28</v>
      </c>
      <c r="C50" s="258"/>
      <c r="D50" s="258"/>
      <c r="E50" s="240"/>
      <c r="F50" s="241" t="str">
        <f>IF(ISBLANK(E50), "", VLOOKUP(E50, Z!$A$2:$C$4127, 3, FALSE))</f>
        <v/>
      </c>
      <c r="G50" s="242"/>
      <c r="H50" s="242"/>
      <c r="I50" s="243"/>
      <c r="J50" s="244"/>
      <c r="K50" s="259"/>
      <c r="L50" s="260"/>
      <c r="M50" s="247" t="str" cm="1">
        <f t="array" ref="M50">IF($K50&gt;0, INDEX(Clean,1+AG50,$C$1), "")</f>
        <v/>
      </c>
      <c r="N50" s="245"/>
      <c r="O50" s="245"/>
      <c r="P50" s="246"/>
      <c r="Q50" s="248">
        <f t="shared" si="6"/>
        <v>0</v>
      </c>
      <c r="R50" s="247" t="str" cm="1">
        <f t="array" ref="R50">IF($K50&gt;0, INDEX(Clean,1+AH50,$C$1), "")</f>
        <v/>
      </c>
      <c r="S50" s="245"/>
      <c r="T50" s="245"/>
      <c r="U50" s="246"/>
      <c r="V50" s="248">
        <f t="shared" si="7"/>
        <v>0</v>
      </c>
      <c r="W50" s="261"/>
      <c r="X50" s="258"/>
      <c r="Y50" s="240"/>
      <c r="Z50" s="241" t="str">
        <f>IF(ISBLANK(Y50), "", VLOOKUP(Y50, Z!$A$2:$C$4127, 3, FALSE))</f>
        <v/>
      </c>
      <c r="AA50" s="262"/>
      <c r="AB50" s="249">
        <f t="shared" si="8"/>
        <v>0</v>
      </c>
      <c r="AC50" s="210"/>
      <c r="AD50" s="236">
        <f t="shared" ref="AD50" si="116">IF(ISBLANK(H50), 1, IFERROR(MATCH(H50, INDEX(Use,,1), 0), IFERROR(MATCH(H50, INDEX(Use,,2), 0), MATCH(H50, INDEX(Use,,3), 0))))</f>
        <v>1</v>
      </c>
      <c r="AE50" s="236">
        <f t="shared" ref="AE50" si="117">IF(ISBLANK(G50), 1, IFERROR(MATCH(G50, INDEX(Loc,,1), 0), IFERROR(MATCH(G50, INDEX(Loc,,2), 0), MATCH(G50, INDEX(Loc,,3), 0))))</f>
        <v>1</v>
      </c>
      <c r="AF50" s="236">
        <f t="shared" ref="AF50" si="118">_xlfn.IFNA(IF(IFERROR(MATCH(I50, INDEX(Medium,,1), 0), IFERROR(MATCH(I50, INDEX(Medium,,2), 0), MATCH(I50, INDEX(Medium,,3), 0))) = 2, 1, 0), 0)</f>
        <v>0</v>
      </c>
      <c r="AG50" s="236">
        <v>1</v>
      </c>
      <c r="AH50" s="236">
        <v>0</v>
      </c>
      <c r="AI50" s="236">
        <f t="shared" si="4"/>
        <v>-100</v>
      </c>
      <c r="AJ50" s="210"/>
      <c r="AK50" s="236">
        <v>8</v>
      </c>
      <c r="AL50" s="250">
        <v>438</v>
      </c>
      <c r="AM50" s="250">
        <v>321</v>
      </c>
      <c r="AN50" s="250">
        <v>336</v>
      </c>
      <c r="AO50" s="251">
        <f t="shared" si="5"/>
        <v>0</v>
      </c>
      <c r="AP50" s="251">
        <f t="shared" si="5"/>
        <v>0</v>
      </c>
      <c r="AQ50" s="251" cm="1">
        <f t="array" ref="AQ50">MIN(INDEX(Use,AQ$21,5) + MAX(0, (1-INDEX(Use,AQ$21,5))*($AK50-5)/(35-5)), 1)</f>
        <v>0.46</v>
      </c>
      <c r="AR50" s="251" cm="1">
        <f t="array" ref="AR50">MIN(INDEX(Use,AR$21,5) + MAX(0, (1-INDEX(Use,AR$21,5))*($AK50-5)/(35-5)), 1)</f>
        <v>0.64</v>
      </c>
      <c r="AS50" s="251" cm="1">
        <f t="array" ref="AS50">MIN(INDEX(Use,AS$21,5) + MAX(0, (1-INDEX(Use,AS$21,5))*($AK50-5)/(35-5)), 1)</f>
        <v>0.82000000000000006</v>
      </c>
      <c r="AT50" s="251" cm="1">
        <f t="array" ref="AT50">MIN(INDEX(Use,AT$21,5) + MAX(0, (1-INDEX(Use,AT$21,5))*($AK50-5)/(35-5)), 1)</f>
        <v>0.82000000000000006</v>
      </c>
      <c r="AU50" s="251" cm="1">
        <f t="array" ref="AU50">MIN(INDEX(Use,AU$21,5) + MAX(0, (1-INDEX(Use,AU$21,5))*($AK50-5)/(35-5)), 1)</f>
        <v>0.82000000000000006</v>
      </c>
      <c r="AV50" s="251">
        <v>1</v>
      </c>
      <c r="AW50" s="251">
        <v>0.7</v>
      </c>
      <c r="AX50" s="212"/>
      <c r="AY50" s="236" cm="1">
        <f t="array" ref="AY50">INDEX(Use, $AD50, 4)</f>
        <v>7</v>
      </c>
      <c r="AZ50" s="236">
        <f t="shared" si="12"/>
        <v>32</v>
      </c>
      <c r="BA50" s="236">
        <f t="shared" si="13"/>
        <v>13</v>
      </c>
      <c r="BB50" s="236">
        <f t="shared" si="14"/>
        <v>0</v>
      </c>
      <c r="BC50" s="252" cm="1">
        <f t="array" ref="BC50">K50/IF($L50&gt;0, INDEX($AO$23:$AU$77, $L50+20, $AD50), 1)</f>
        <v>0</v>
      </c>
      <c r="BD50" s="237">
        <f t="shared" si="15"/>
        <v>0</v>
      </c>
      <c r="BE50" s="236">
        <v>35</v>
      </c>
      <c r="BF50" s="237">
        <f t="shared" si="16"/>
        <v>52.55</v>
      </c>
      <c r="BG50" s="253">
        <f t="shared" si="17"/>
        <v>2.7676728869374316</v>
      </c>
      <c r="BH50" s="253" cm="1">
        <f t="array" ref="BH50">$BC50 * SUMPRODUCT(INDEX($AL$77:$AN$82,,$AE50),INDEX($AO$77:$AU$82,,$AD50), N($AK$77:$AK$82&gt;$AI50)) / BG50 / 1000</f>
        <v>0</v>
      </c>
      <c r="BI50" s="250">
        <f t="shared" si="18"/>
        <v>30</v>
      </c>
      <c r="BJ50" s="237">
        <f t="shared" si="19"/>
        <v>46.033333333333331</v>
      </c>
      <c r="BK50" s="253">
        <f t="shared" si="20"/>
        <v>3.2297395388556791</v>
      </c>
      <c r="BL50" s="253" cm="1">
        <f t="array" ref="BL50">$BC50 * IF($AD50&lt;=2,
SUMPRODUCT(INDEX($AL$72:$AN$76,,$AE50), INDEX($AO$72:$AU$76,,$AD50), 1 / ($AV$72:$AV$76*BK50 + (1-$AV$72:$AV$76)*BG50), N($AK$72:$AK$76&gt;$AI50)),
SUMPRODUCT(INDEX($AL$67:$AN$76,,$AE50), INDEX($AO$67:$AU$76,,$AD50), 1 / ($AW$67:$AW$76*BK50 + (1-$AW$67:$AW$76)*BG50), N($AK$67:$AK$76&gt;$AI50))
) / 1000</f>
        <v>0</v>
      </c>
      <c r="BM50" s="250">
        <f t="shared" si="21"/>
        <v>25</v>
      </c>
      <c r="BN50" s="237">
        <f t="shared" si="22"/>
        <v>39.516666666666666</v>
      </c>
      <c r="BO50" s="253">
        <f t="shared" si="23"/>
        <v>3.877011788826243</v>
      </c>
      <c r="BP50" s="253" cm="1">
        <f t="array" ref="BP50">$BC50 * IF($AD50&lt;=2,
SUMPRODUCT(INDEX($AL$67:$AN$71,,$AE50), INDEX($AO$67:$AU$71,,$AD50), 1 / ($AV$67:$AV$71*BO50 + (1-$AV$67:$AV$71)*BK50), N($AK$67:$AK$71&gt;$AI50)),
SUMPRODUCT(INDEX($AL$57:$AN$66,,$AE50), INDEX($AO$57:$AU$66,,$AD50), 1 / ($AW$57:$AW$66*BO50 + (1-$AW$57:$AW$66)*BK50), N($AK$57:$AK$66&gt;$AI50))
) / 1000</f>
        <v>0</v>
      </c>
      <c r="BQ50" s="250">
        <f t="shared" si="24"/>
        <v>20</v>
      </c>
      <c r="BR50" s="237">
        <f t="shared" si="25"/>
        <v>33</v>
      </c>
      <c r="BS50" s="253">
        <f t="shared" si="26"/>
        <v>4.8487499999999999</v>
      </c>
      <c r="BT50" s="253" cm="1">
        <f t="array" ref="BT50">$BC50 * IF($AD50&lt;=2,
SUMPRODUCT(INDEX($AL$62:$AN$66,,$AE50), INDEX($AO$62:$AU$66,,$AD50), 1 / ($AV$62:$AV$66*BS50 + (1-$AV$62:$AV$66)*BO50), N($AK$62:$AK$66&gt;$AI50)),
SUMPRODUCT(INDEX($AL$47:$AN$56,,$AE50), INDEX($AO$47:$AU$56,,$AD50), 1 / ($AW$47:$AW$56*BS50 + (1-$AW$47:$AW$56)*BO50), N($AK$47:$AK$56&gt;$AI50))
) / 1000</f>
        <v>0</v>
      </c>
      <c r="BU50" s="253" cm="1">
        <f t="array" ref="BU50">$BC50 * IF($AD50&lt;=2,
SUMPRODUCT(INDEX($AL$23:$AN$61,,$AE50), INDEX($AO$23:$AU$61,,$AD50), 1 / ($AV$23:$AV$61*BS50), N($AK$23:$AK$61&gt;$AI50)),
SUMPRODUCT(INDEX($AL$23:$AN$46,,$AE50), INDEX($AO$23:$AU$46,,$AD50), 1 / ($AW$23:$AW$46*BS50), N($AK$23:$AK$46&gt;$AI50))
) / 1000</f>
        <v>0</v>
      </c>
      <c r="BV50" s="237">
        <f t="shared" si="27"/>
        <v>0</v>
      </c>
      <c r="BW50" s="210"/>
      <c r="BX50" s="237">
        <f t="shared" si="28"/>
        <v>0</v>
      </c>
      <c r="BY50" s="236">
        <v>35</v>
      </c>
      <c r="BZ50" s="237">
        <f t="shared" si="29"/>
        <v>48</v>
      </c>
      <c r="CA50" s="253">
        <f t="shared" si="30"/>
        <v>3.0748170731707316</v>
      </c>
      <c r="CB50" s="253" cm="1">
        <f t="array" ref="CB50">$BC50 * SUMPRODUCT(INDEX($AL$77:$AN$82,,$AE50),INDEX($AO$77:$AU$82,,$AD50), N($AK$77:$AK$82&gt;$AI50)) / CA50 / 1000</f>
        <v>0</v>
      </c>
      <c r="CC50" s="250">
        <f t="shared" si="31"/>
        <v>30</v>
      </c>
      <c r="CD50" s="237">
        <f t="shared" si="32"/>
        <v>43</v>
      </c>
      <c r="CE50" s="253">
        <f t="shared" si="33"/>
        <v>3.5018750000000001</v>
      </c>
      <c r="CF50" s="253" cm="1">
        <f t="array" ref="CF50">$BC50 * IF($AD50&lt;=2,
SUMPRODUCT(INDEX($AL$72:$AN$76,,$AE50), INDEX($AO$72:$AU$76,,$AD50), 1 / ($AV$72:$AV$76*CE50 + (1-$AV$72:$AV$76)*CA50), N($AK$72:$AK$76&gt;$AI50)),
SUMPRODUCT(INDEX($AL$67:$AN$76,,$AE50), INDEX($AO$67:$AU$76,,$AD50), 1 / ($AW$67:$AW$76*CE50 + (1-$AW$67:$AW$76)*CA50), N($AK$67:$AK$76&gt;$AI50))
) / 1000</f>
        <v>0</v>
      </c>
      <c r="CG50" s="250">
        <f t="shared" si="34"/>
        <v>25</v>
      </c>
      <c r="CH50" s="237">
        <f t="shared" si="35"/>
        <v>38</v>
      </c>
      <c r="CI50" s="253">
        <f t="shared" si="36"/>
        <v>4.0666935483870965</v>
      </c>
      <c r="CJ50" s="253" cm="1">
        <f t="array" ref="CJ50">$BC50 * IF($AD50&lt;=2,
SUMPRODUCT(INDEX($AL$67:$AN$71,,$AE50), INDEX($AO$67:$AU$71,,$AD50), 1 / ($AV$67:$AV$71*CI50 + (1-$AV$67:$AV$71)*CE50), N($AK$67:$AK$71&gt;$AI50)),
SUMPRODUCT(INDEX($AL$57:$AN$66,,$AE50), INDEX($AO$57:$AU$66,,$AD50), 1 / ($AW$57:$AW$66*CI50 + (1-$AW$57:$AW$66)*CE50), N($AK$57:$AK$66&gt;$AI50))
) / 1000</f>
        <v>0</v>
      </c>
      <c r="CK50" s="250">
        <f t="shared" si="37"/>
        <v>20</v>
      </c>
      <c r="CL50" s="237">
        <f t="shared" si="38"/>
        <v>33</v>
      </c>
      <c r="CM50" s="253">
        <f t="shared" si="39"/>
        <v>4.8487499999999999</v>
      </c>
      <c r="CN50" s="253" cm="1">
        <f t="array" ref="CN50">$BC50 * IF($AD50&lt;=2,
SUMPRODUCT(INDEX($AL$62:$AN$66,,$AE50), INDEX($AO$62:$AU$66,,$AD50), 1 / ($AV$62:$AV$66*CM50 + (1-$AV$62:$AV$66)*CI50), N($AK$62:$AK$66&gt;$AI50)),
SUMPRODUCT(INDEX($AL$47:$AN$56,,$AE50), INDEX($AO$47:$AU$56,,$AD50), 1 / ($AW$47:$AW$56*CM50 + (1-$AW$47:$AW$56)*CI50), N($AK$47:$AK$56&gt;$AI50))
) / 1000</f>
        <v>0</v>
      </c>
      <c r="CO50" s="253" cm="1">
        <f t="array" ref="CO50">$BC50 * IF($AD50&lt;=2,
SUMPRODUCT(INDEX($AL$23:$AN$61,,$AE50), INDEX($AO$23:$AU$61,,$AD50), 1 / ($AV$23:$AV$61*CM50), N($AK$23:$AK$61&gt;$AI50)),
SUMPRODUCT(INDEX($AL$23:$AN$46,,$AE50), INDEX($AO$23:$AU$46,,$AD50), 1 / ($AW$23:$AW$46*CM50), N($AK$23:$AK$46&gt;$AI50))
) / 1000</f>
        <v>0</v>
      </c>
      <c r="CP50" s="237">
        <f t="shared" si="40"/>
        <v>0</v>
      </c>
      <c r="CQ50" s="210"/>
    </row>
    <row r="51" spans="1:95" s="76" customFormat="1" ht="14.25" customHeight="1" x14ac:dyDescent="0.25">
      <c r="A51" s="238" t="b">
        <f t="shared" si="0"/>
        <v>0</v>
      </c>
      <c r="B51" s="239">
        <v>29</v>
      </c>
      <c r="C51" s="258"/>
      <c r="D51" s="258"/>
      <c r="E51" s="240"/>
      <c r="F51" s="241" t="str">
        <f>IF(ISBLANK(E51), "", VLOOKUP(E51, Z!$A$2:$C$4127, 3, FALSE))</f>
        <v/>
      </c>
      <c r="G51" s="242"/>
      <c r="H51" s="242"/>
      <c r="I51" s="243"/>
      <c r="J51" s="244"/>
      <c r="K51" s="259"/>
      <c r="L51" s="260"/>
      <c r="M51" s="247" t="str" cm="1">
        <f t="array" ref="M51">IF($K51&gt;0, INDEX(Clean,1+AG51,$C$1), "")</f>
        <v/>
      </c>
      <c r="N51" s="245"/>
      <c r="O51" s="245"/>
      <c r="P51" s="246"/>
      <c r="Q51" s="248">
        <f t="shared" si="6"/>
        <v>0</v>
      </c>
      <c r="R51" s="247" t="str" cm="1">
        <f t="array" ref="R51">IF($K51&gt;0, INDEX(Clean,1+AH51,$C$1), "")</f>
        <v/>
      </c>
      <c r="S51" s="245"/>
      <c r="T51" s="245"/>
      <c r="U51" s="246"/>
      <c r="V51" s="248">
        <f t="shared" si="7"/>
        <v>0</v>
      </c>
      <c r="W51" s="261"/>
      <c r="X51" s="258"/>
      <c r="Y51" s="240"/>
      <c r="Z51" s="241" t="str">
        <f>IF(ISBLANK(Y51), "", VLOOKUP(Y51, Z!$A$2:$C$4127, 3, FALSE))</f>
        <v/>
      </c>
      <c r="AA51" s="262"/>
      <c r="AB51" s="249">
        <f t="shared" si="8"/>
        <v>0</v>
      </c>
      <c r="AC51" s="210"/>
      <c r="AD51" s="236">
        <f t="shared" ref="AD51" si="119">IF(ISBLANK(H51), 1, IFERROR(MATCH(H51, INDEX(Use,,1), 0), IFERROR(MATCH(H51, INDEX(Use,,2), 0), MATCH(H51, INDEX(Use,,3), 0))))</f>
        <v>1</v>
      </c>
      <c r="AE51" s="236">
        <f t="shared" ref="AE51" si="120">IF(ISBLANK(G51), 1, IFERROR(MATCH(G51, INDEX(Loc,,1), 0), IFERROR(MATCH(G51, INDEX(Loc,,2), 0), MATCH(G51, INDEX(Loc,,3), 0))))</f>
        <v>1</v>
      </c>
      <c r="AF51" s="236">
        <f t="shared" ref="AF51" si="121">_xlfn.IFNA(IF(IFERROR(MATCH(I51, INDEX(Medium,,1), 0), IFERROR(MATCH(I51, INDEX(Medium,,2), 0), MATCH(I51, INDEX(Medium,,3), 0))) = 2, 1, 0), 0)</f>
        <v>0</v>
      </c>
      <c r="AG51" s="236">
        <v>1</v>
      </c>
      <c r="AH51" s="236">
        <v>0</v>
      </c>
      <c r="AI51" s="236">
        <f t="shared" si="4"/>
        <v>-100</v>
      </c>
      <c r="AJ51" s="210"/>
      <c r="AK51" s="236">
        <v>9</v>
      </c>
      <c r="AL51" s="250">
        <v>366</v>
      </c>
      <c r="AM51" s="250">
        <v>359</v>
      </c>
      <c r="AN51" s="250">
        <v>339</v>
      </c>
      <c r="AO51" s="251">
        <f t="shared" si="5"/>
        <v>0</v>
      </c>
      <c r="AP51" s="251">
        <f t="shared" si="5"/>
        <v>0</v>
      </c>
      <c r="AQ51" s="251" cm="1">
        <f t="array" ref="AQ51">MIN(INDEX(Use,AQ$21,5) + MAX(0, (1-INDEX(Use,AQ$21,5))*($AK51-5)/(35-5)), 1)</f>
        <v>0.48000000000000004</v>
      </c>
      <c r="AR51" s="251" cm="1">
        <f t="array" ref="AR51">MIN(INDEX(Use,AR$21,5) + MAX(0, (1-INDEX(Use,AR$21,5))*($AK51-5)/(35-5)), 1)</f>
        <v>0.65333333333333332</v>
      </c>
      <c r="AS51" s="251" cm="1">
        <f t="array" ref="AS51">MIN(INDEX(Use,AS$21,5) + MAX(0, (1-INDEX(Use,AS$21,5))*($AK51-5)/(35-5)), 1)</f>
        <v>0.82666666666666666</v>
      </c>
      <c r="AT51" s="251" cm="1">
        <f t="array" ref="AT51">MIN(INDEX(Use,AT$21,5) + MAX(0, (1-INDEX(Use,AT$21,5))*($AK51-5)/(35-5)), 1)</f>
        <v>0.82666666666666666</v>
      </c>
      <c r="AU51" s="251" cm="1">
        <f t="array" ref="AU51">MIN(INDEX(Use,AU$21,5) + MAX(0, (1-INDEX(Use,AU$21,5))*($AK51-5)/(35-5)), 1)</f>
        <v>0.82666666666666666</v>
      </c>
      <c r="AV51" s="251">
        <v>1</v>
      </c>
      <c r="AW51" s="251">
        <v>0.6</v>
      </c>
      <c r="AX51" s="212"/>
      <c r="AY51" s="236" cm="1">
        <f t="array" ref="AY51">INDEX(Use, $AD51, 4)</f>
        <v>7</v>
      </c>
      <c r="AZ51" s="236">
        <f t="shared" si="12"/>
        <v>32</v>
      </c>
      <c r="BA51" s="236">
        <f t="shared" si="13"/>
        <v>13</v>
      </c>
      <c r="BB51" s="236">
        <f t="shared" si="14"/>
        <v>0</v>
      </c>
      <c r="BC51" s="252" cm="1">
        <f t="array" ref="BC51">K51/IF($L51&gt;0, INDEX($AO$23:$AU$77, $L51+20, $AD51), 1)</f>
        <v>0</v>
      </c>
      <c r="BD51" s="237">
        <f t="shared" si="15"/>
        <v>0</v>
      </c>
      <c r="BE51" s="236">
        <v>35</v>
      </c>
      <c r="BF51" s="237">
        <f t="shared" si="16"/>
        <v>52.55</v>
      </c>
      <c r="BG51" s="253">
        <f t="shared" si="17"/>
        <v>2.7676728869374316</v>
      </c>
      <c r="BH51" s="253" cm="1">
        <f t="array" ref="BH51">$BC51 * SUMPRODUCT(INDEX($AL$77:$AN$82,,$AE51),INDEX($AO$77:$AU$82,,$AD51), N($AK$77:$AK$82&gt;$AI51)) / BG51 / 1000</f>
        <v>0</v>
      </c>
      <c r="BI51" s="250">
        <f t="shared" si="18"/>
        <v>30</v>
      </c>
      <c r="BJ51" s="237">
        <f t="shared" si="19"/>
        <v>46.033333333333331</v>
      </c>
      <c r="BK51" s="253">
        <f t="shared" si="20"/>
        <v>3.2297395388556791</v>
      </c>
      <c r="BL51" s="253" cm="1">
        <f t="array" ref="BL51">$BC51 * IF($AD51&lt;=2,
SUMPRODUCT(INDEX($AL$72:$AN$76,,$AE51), INDEX($AO$72:$AU$76,,$AD51), 1 / ($AV$72:$AV$76*BK51 + (1-$AV$72:$AV$76)*BG51), N($AK$72:$AK$76&gt;$AI51)),
SUMPRODUCT(INDEX($AL$67:$AN$76,,$AE51), INDEX($AO$67:$AU$76,,$AD51), 1 / ($AW$67:$AW$76*BK51 + (1-$AW$67:$AW$76)*BG51), N($AK$67:$AK$76&gt;$AI51))
) / 1000</f>
        <v>0</v>
      </c>
      <c r="BM51" s="250">
        <f t="shared" si="21"/>
        <v>25</v>
      </c>
      <c r="BN51" s="237">
        <f t="shared" si="22"/>
        <v>39.516666666666666</v>
      </c>
      <c r="BO51" s="253">
        <f t="shared" si="23"/>
        <v>3.877011788826243</v>
      </c>
      <c r="BP51" s="253" cm="1">
        <f t="array" ref="BP51">$BC51 * IF($AD51&lt;=2,
SUMPRODUCT(INDEX($AL$67:$AN$71,,$AE51), INDEX($AO$67:$AU$71,,$AD51), 1 / ($AV$67:$AV$71*BO51 + (1-$AV$67:$AV$71)*BK51), N($AK$67:$AK$71&gt;$AI51)),
SUMPRODUCT(INDEX($AL$57:$AN$66,,$AE51), INDEX($AO$57:$AU$66,,$AD51), 1 / ($AW$57:$AW$66*BO51 + (1-$AW$57:$AW$66)*BK51), N($AK$57:$AK$66&gt;$AI51))
) / 1000</f>
        <v>0</v>
      </c>
      <c r="BQ51" s="250">
        <f t="shared" si="24"/>
        <v>20</v>
      </c>
      <c r="BR51" s="237">
        <f t="shared" si="25"/>
        <v>33</v>
      </c>
      <c r="BS51" s="253">
        <f t="shared" si="26"/>
        <v>4.8487499999999999</v>
      </c>
      <c r="BT51" s="253" cm="1">
        <f t="array" ref="BT51">$BC51 * IF($AD51&lt;=2,
SUMPRODUCT(INDEX($AL$62:$AN$66,,$AE51), INDEX($AO$62:$AU$66,,$AD51), 1 / ($AV$62:$AV$66*BS51 + (1-$AV$62:$AV$66)*BO51), N($AK$62:$AK$66&gt;$AI51)),
SUMPRODUCT(INDEX($AL$47:$AN$56,,$AE51), INDEX($AO$47:$AU$56,,$AD51), 1 / ($AW$47:$AW$56*BS51 + (1-$AW$47:$AW$56)*BO51), N($AK$47:$AK$56&gt;$AI51))
) / 1000</f>
        <v>0</v>
      </c>
      <c r="BU51" s="253" cm="1">
        <f t="array" ref="BU51">$BC51 * IF($AD51&lt;=2,
SUMPRODUCT(INDEX($AL$23:$AN$61,,$AE51), INDEX($AO$23:$AU$61,,$AD51), 1 / ($AV$23:$AV$61*BS51), N($AK$23:$AK$61&gt;$AI51)),
SUMPRODUCT(INDEX($AL$23:$AN$46,,$AE51), INDEX($AO$23:$AU$46,,$AD51), 1 / ($AW$23:$AW$46*BS51), N($AK$23:$AK$46&gt;$AI51))
) / 1000</f>
        <v>0</v>
      </c>
      <c r="BV51" s="237">
        <f t="shared" si="27"/>
        <v>0</v>
      </c>
      <c r="BW51" s="210"/>
      <c r="BX51" s="237">
        <f t="shared" si="28"/>
        <v>0</v>
      </c>
      <c r="BY51" s="236">
        <v>35</v>
      </c>
      <c r="BZ51" s="237">
        <f t="shared" si="29"/>
        <v>48</v>
      </c>
      <c r="CA51" s="253">
        <f t="shared" si="30"/>
        <v>3.0748170731707316</v>
      </c>
      <c r="CB51" s="253" cm="1">
        <f t="array" ref="CB51">$BC51 * SUMPRODUCT(INDEX($AL$77:$AN$82,,$AE51),INDEX($AO$77:$AU$82,,$AD51), N($AK$77:$AK$82&gt;$AI51)) / CA51 / 1000</f>
        <v>0</v>
      </c>
      <c r="CC51" s="250">
        <f t="shared" si="31"/>
        <v>30</v>
      </c>
      <c r="CD51" s="237">
        <f t="shared" si="32"/>
        <v>43</v>
      </c>
      <c r="CE51" s="253">
        <f t="shared" si="33"/>
        <v>3.5018750000000001</v>
      </c>
      <c r="CF51" s="253" cm="1">
        <f t="array" ref="CF51">$BC51 * IF($AD51&lt;=2,
SUMPRODUCT(INDEX($AL$72:$AN$76,,$AE51), INDEX($AO$72:$AU$76,,$AD51), 1 / ($AV$72:$AV$76*CE51 + (1-$AV$72:$AV$76)*CA51), N($AK$72:$AK$76&gt;$AI51)),
SUMPRODUCT(INDEX($AL$67:$AN$76,,$AE51), INDEX($AO$67:$AU$76,,$AD51), 1 / ($AW$67:$AW$76*CE51 + (1-$AW$67:$AW$76)*CA51), N($AK$67:$AK$76&gt;$AI51))
) / 1000</f>
        <v>0</v>
      </c>
      <c r="CG51" s="250">
        <f t="shared" si="34"/>
        <v>25</v>
      </c>
      <c r="CH51" s="237">
        <f t="shared" si="35"/>
        <v>38</v>
      </c>
      <c r="CI51" s="253">
        <f t="shared" si="36"/>
        <v>4.0666935483870965</v>
      </c>
      <c r="CJ51" s="253" cm="1">
        <f t="array" ref="CJ51">$BC51 * IF($AD51&lt;=2,
SUMPRODUCT(INDEX($AL$67:$AN$71,,$AE51), INDEX($AO$67:$AU$71,,$AD51), 1 / ($AV$67:$AV$71*CI51 + (1-$AV$67:$AV$71)*CE51), N($AK$67:$AK$71&gt;$AI51)),
SUMPRODUCT(INDEX($AL$57:$AN$66,,$AE51), INDEX($AO$57:$AU$66,,$AD51), 1 / ($AW$57:$AW$66*CI51 + (1-$AW$57:$AW$66)*CE51), N($AK$57:$AK$66&gt;$AI51))
) / 1000</f>
        <v>0</v>
      </c>
      <c r="CK51" s="250">
        <f t="shared" si="37"/>
        <v>20</v>
      </c>
      <c r="CL51" s="237">
        <f t="shared" si="38"/>
        <v>33</v>
      </c>
      <c r="CM51" s="253">
        <f t="shared" si="39"/>
        <v>4.8487499999999999</v>
      </c>
      <c r="CN51" s="253" cm="1">
        <f t="array" ref="CN51">$BC51 * IF($AD51&lt;=2,
SUMPRODUCT(INDEX($AL$62:$AN$66,,$AE51), INDEX($AO$62:$AU$66,,$AD51), 1 / ($AV$62:$AV$66*CM51 + (1-$AV$62:$AV$66)*CI51), N($AK$62:$AK$66&gt;$AI51)),
SUMPRODUCT(INDEX($AL$47:$AN$56,,$AE51), INDEX($AO$47:$AU$56,,$AD51), 1 / ($AW$47:$AW$56*CM51 + (1-$AW$47:$AW$56)*CI51), N($AK$47:$AK$56&gt;$AI51))
) / 1000</f>
        <v>0</v>
      </c>
      <c r="CO51" s="253" cm="1">
        <f t="array" ref="CO51">$BC51 * IF($AD51&lt;=2,
SUMPRODUCT(INDEX($AL$23:$AN$61,,$AE51), INDEX($AO$23:$AU$61,,$AD51), 1 / ($AV$23:$AV$61*CM51), N($AK$23:$AK$61&gt;$AI51)),
SUMPRODUCT(INDEX($AL$23:$AN$46,,$AE51), INDEX($AO$23:$AU$46,,$AD51), 1 / ($AW$23:$AW$46*CM51), N($AK$23:$AK$46&gt;$AI51))
) / 1000</f>
        <v>0</v>
      </c>
      <c r="CP51" s="237">
        <f t="shared" si="40"/>
        <v>0</v>
      </c>
      <c r="CQ51" s="210"/>
    </row>
    <row r="52" spans="1:95" s="76" customFormat="1" ht="14.25" customHeight="1" x14ac:dyDescent="0.25">
      <c r="A52" s="238" t="b">
        <f t="shared" si="0"/>
        <v>0</v>
      </c>
      <c r="B52" s="239">
        <v>30</v>
      </c>
      <c r="C52" s="258"/>
      <c r="D52" s="258"/>
      <c r="E52" s="240"/>
      <c r="F52" s="241" t="str">
        <f>IF(ISBLANK(E52), "", VLOOKUP(E52, Z!$A$2:$C$4127, 3, FALSE))</f>
        <v/>
      </c>
      <c r="G52" s="242"/>
      <c r="H52" s="242"/>
      <c r="I52" s="243"/>
      <c r="J52" s="244"/>
      <c r="K52" s="259"/>
      <c r="L52" s="260"/>
      <c r="M52" s="247" t="str" cm="1">
        <f t="array" ref="M52">IF($K52&gt;0, INDEX(Clean,1+AG52,$C$1), "")</f>
        <v/>
      </c>
      <c r="N52" s="245"/>
      <c r="O52" s="245"/>
      <c r="P52" s="246"/>
      <c r="Q52" s="248">
        <f t="shared" si="6"/>
        <v>0</v>
      </c>
      <c r="R52" s="247" t="str" cm="1">
        <f t="array" ref="R52">IF($K52&gt;0, INDEX(Clean,1+AH52,$C$1), "")</f>
        <v/>
      </c>
      <c r="S52" s="245"/>
      <c r="T52" s="245"/>
      <c r="U52" s="246"/>
      <c r="V52" s="248">
        <f t="shared" si="7"/>
        <v>0</v>
      </c>
      <c r="W52" s="261"/>
      <c r="X52" s="258"/>
      <c r="Y52" s="240"/>
      <c r="Z52" s="241" t="str">
        <f>IF(ISBLANK(Y52), "", VLOOKUP(Y52, Z!$A$2:$C$4127, 3, FALSE))</f>
        <v/>
      </c>
      <c r="AA52" s="262"/>
      <c r="AB52" s="249">
        <f t="shared" si="8"/>
        <v>0</v>
      </c>
      <c r="AC52" s="210"/>
      <c r="AD52" s="236">
        <f t="shared" ref="AD52" si="122">IF(ISBLANK(H52), 1, IFERROR(MATCH(H52, INDEX(Use,,1), 0), IFERROR(MATCH(H52, INDEX(Use,,2), 0), MATCH(H52, INDEX(Use,,3), 0))))</f>
        <v>1</v>
      </c>
      <c r="AE52" s="236">
        <f t="shared" ref="AE52" si="123">IF(ISBLANK(G52), 1, IFERROR(MATCH(G52, INDEX(Loc,,1), 0), IFERROR(MATCH(G52, INDEX(Loc,,2), 0), MATCH(G52, INDEX(Loc,,3), 0))))</f>
        <v>1</v>
      </c>
      <c r="AF52" s="236">
        <f t="shared" ref="AF52" si="124">_xlfn.IFNA(IF(IFERROR(MATCH(I52, INDEX(Medium,,1), 0), IFERROR(MATCH(I52, INDEX(Medium,,2), 0), MATCH(I52, INDEX(Medium,,3), 0))) = 2, 1, 0), 0)</f>
        <v>0</v>
      </c>
      <c r="AG52" s="236">
        <v>1</v>
      </c>
      <c r="AH52" s="236">
        <v>0</v>
      </c>
      <c r="AI52" s="236">
        <f t="shared" si="4"/>
        <v>-100</v>
      </c>
      <c r="AJ52" s="210"/>
      <c r="AK52" s="236">
        <v>10</v>
      </c>
      <c r="AL52" s="250">
        <v>339</v>
      </c>
      <c r="AM52" s="250">
        <v>346</v>
      </c>
      <c r="AN52" s="250">
        <v>318</v>
      </c>
      <c r="AO52" s="251">
        <f t="shared" si="5"/>
        <v>0</v>
      </c>
      <c r="AP52" s="251">
        <f t="shared" si="5"/>
        <v>0</v>
      </c>
      <c r="AQ52" s="251" cm="1">
        <f t="array" ref="AQ52">MIN(INDEX(Use,AQ$21,5) + MAX(0, (1-INDEX(Use,AQ$21,5))*($AK52-5)/(35-5)), 1)</f>
        <v>0.5</v>
      </c>
      <c r="AR52" s="251" cm="1">
        <f t="array" ref="AR52">MIN(INDEX(Use,AR$21,5) + MAX(0, (1-INDEX(Use,AR$21,5))*($AK52-5)/(35-5)), 1)</f>
        <v>0.66666666666666663</v>
      </c>
      <c r="AS52" s="251" cm="1">
        <f t="array" ref="AS52">MIN(INDEX(Use,AS$21,5) + MAX(0, (1-INDEX(Use,AS$21,5))*($AK52-5)/(35-5)), 1)</f>
        <v>0.83333333333333337</v>
      </c>
      <c r="AT52" s="251" cm="1">
        <f t="array" ref="AT52">MIN(INDEX(Use,AT$21,5) + MAX(0, (1-INDEX(Use,AT$21,5))*($AK52-5)/(35-5)), 1)</f>
        <v>0.83333333333333337</v>
      </c>
      <c r="AU52" s="251" cm="1">
        <f t="array" ref="AU52">MIN(INDEX(Use,AU$21,5) + MAX(0, (1-INDEX(Use,AU$21,5))*($AK52-5)/(35-5)), 1)</f>
        <v>0.83333333333333337</v>
      </c>
      <c r="AV52" s="251">
        <v>1</v>
      </c>
      <c r="AW52" s="251">
        <v>0.5</v>
      </c>
      <c r="AX52" s="212"/>
      <c r="AY52" s="236" cm="1">
        <f t="array" ref="AY52">INDEX(Use, $AD52, 4)</f>
        <v>7</v>
      </c>
      <c r="AZ52" s="236">
        <f t="shared" si="12"/>
        <v>32</v>
      </c>
      <c r="BA52" s="236">
        <f t="shared" si="13"/>
        <v>13</v>
      </c>
      <c r="BB52" s="236">
        <f t="shared" si="14"/>
        <v>0</v>
      </c>
      <c r="BC52" s="252" cm="1">
        <f t="array" ref="BC52">K52/IF($L52&gt;0, INDEX($AO$23:$AU$77, $L52+20, $AD52), 1)</f>
        <v>0</v>
      </c>
      <c r="BD52" s="237">
        <f t="shared" si="15"/>
        <v>0</v>
      </c>
      <c r="BE52" s="236">
        <v>35</v>
      </c>
      <c r="BF52" s="237">
        <f t="shared" si="16"/>
        <v>52.55</v>
      </c>
      <c r="BG52" s="253">
        <f t="shared" si="17"/>
        <v>2.7676728869374316</v>
      </c>
      <c r="BH52" s="253" cm="1">
        <f t="array" ref="BH52">$BC52 * SUMPRODUCT(INDEX($AL$77:$AN$82,,$AE52),INDEX($AO$77:$AU$82,,$AD52), N($AK$77:$AK$82&gt;$AI52)) / BG52 / 1000</f>
        <v>0</v>
      </c>
      <c r="BI52" s="250">
        <f t="shared" si="18"/>
        <v>30</v>
      </c>
      <c r="BJ52" s="237">
        <f t="shared" si="19"/>
        <v>46.033333333333331</v>
      </c>
      <c r="BK52" s="253">
        <f t="shared" si="20"/>
        <v>3.2297395388556791</v>
      </c>
      <c r="BL52" s="253" cm="1">
        <f t="array" ref="BL52">$BC52 * IF($AD52&lt;=2,
SUMPRODUCT(INDEX($AL$72:$AN$76,,$AE52), INDEX($AO$72:$AU$76,,$AD52), 1 / ($AV$72:$AV$76*BK52 + (1-$AV$72:$AV$76)*BG52), N($AK$72:$AK$76&gt;$AI52)),
SUMPRODUCT(INDEX($AL$67:$AN$76,,$AE52), INDEX($AO$67:$AU$76,,$AD52), 1 / ($AW$67:$AW$76*BK52 + (1-$AW$67:$AW$76)*BG52), N($AK$67:$AK$76&gt;$AI52))
) / 1000</f>
        <v>0</v>
      </c>
      <c r="BM52" s="250">
        <f t="shared" si="21"/>
        <v>25</v>
      </c>
      <c r="BN52" s="237">
        <f t="shared" si="22"/>
        <v>39.516666666666666</v>
      </c>
      <c r="BO52" s="253">
        <f t="shared" si="23"/>
        <v>3.877011788826243</v>
      </c>
      <c r="BP52" s="253" cm="1">
        <f t="array" ref="BP52">$BC52 * IF($AD52&lt;=2,
SUMPRODUCT(INDEX($AL$67:$AN$71,,$AE52), INDEX($AO$67:$AU$71,,$AD52), 1 / ($AV$67:$AV$71*BO52 + (1-$AV$67:$AV$71)*BK52), N($AK$67:$AK$71&gt;$AI52)),
SUMPRODUCT(INDEX($AL$57:$AN$66,,$AE52), INDEX($AO$57:$AU$66,,$AD52), 1 / ($AW$57:$AW$66*BO52 + (1-$AW$57:$AW$66)*BK52), N($AK$57:$AK$66&gt;$AI52))
) / 1000</f>
        <v>0</v>
      </c>
      <c r="BQ52" s="250">
        <f t="shared" si="24"/>
        <v>20</v>
      </c>
      <c r="BR52" s="237">
        <f t="shared" si="25"/>
        <v>33</v>
      </c>
      <c r="BS52" s="253">
        <f t="shared" si="26"/>
        <v>4.8487499999999999</v>
      </c>
      <c r="BT52" s="253" cm="1">
        <f t="array" ref="BT52">$BC52 * IF($AD52&lt;=2,
SUMPRODUCT(INDEX($AL$62:$AN$66,,$AE52), INDEX($AO$62:$AU$66,,$AD52), 1 / ($AV$62:$AV$66*BS52 + (1-$AV$62:$AV$66)*BO52), N($AK$62:$AK$66&gt;$AI52)),
SUMPRODUCT(INDEX($AL$47:$AN$56,,$AE52), INDEX($AO$47:$AU$56,,$AD52), 1 / ($AW$47:$AW$56*BS52 + (1-$AW$47:$AW$56)*BO52), N($AK$47:$AK$56&gt;$AI52))
) / 1000</f>
        <v>0</v>
      </c>
      <c r="BU52" s="253" cm="1">
        <f t="array" ref="BU52">$BC52 * IF($AD52&lt;=2,
SUMPRODUCT(INDEX($AL$23:$AN$61,,$AE52), INDEX($AO$23:$AU$61,,$AD52), 1 / ($AV$23:$AV$61*BS52), N($AK$23:$AK$61&gt;$AI52)),
SUMPRODUCT(INDEX($AL$23:$AN$46,,$AE52), INDEX($AO$23:$AU$46,,$AD52), 1 / ($AW$23:$AW$46*BS52), N($AK$23:$AK$46&gt;$AI52))
) / 1000</f>
        <v>0</v>
      </c>
      <c r="BV52" s="237">
        <f t="shared" si="27"/>
        <v>0</v>
      </c>
      <c r="BW52" s="210"/>
      <c r="BX52" s="237">
        <f t="shared" si="28"/>
        <v>0</v>
      </c>
      <c r="BY52" s="236">
        <v>35</v>
      </c>
      <c r="BZ52" s="237">
        <f t="shared" si="29"/>
        <v>48</v>
      </c>
      <c r="CA52" s="253">
        <f t="shared" si="30"/>
        <v>3.0748170731707316</v>
      </c>
      <c r="CB52" s="253" cm="1">
        <f t="array" ref="CB52">$BC52 * SUMPRODUCT(INDEX($AL$77:$AN$82,,$AE52),INDEX($AO$77:$AU$82,,$AD52), N($AK$77:$AK$82&gt;$AI52)) / CA52 / 1000</f>
        <v>0</v>
      </c>
      <c r="CC52" s="250">
        <f t="shared" si="31"/>
        <v>30</v>
      </c>
      <c r="CD52" s="237">
        <f t="shared" si="32"/>
        <v>43</v>
      </c>
      <c r="CE52" s="253">
        <f t="shared" si="33"/>
        <v>3.5018750000000001</v>
      </c>
      <c r="CF52" s="253" cm="1">
        <f t="array" ref="CF52">$BC52 * IF($AD52&lt;=2,
SUMPRODUCT(INDEX($AL$72:$AN$76,,$AE52), INDEX($AO$72:$AU$76,,$AD52), 1 / ($AV$72:$AV$76*CE52 + (1-$AV$72:$AV$76)*CA52), N($AK$72:$AK$76&gt;$AI52)),
SUMPRODUCT(INDEX($AL$67:$AN$76,,$AE52), INDEX($AO$67:$AU$76,,$AD52), 1 / ($AW$67:$AW$76*CE52 + (1-$AW$67:$AW$76)*CA52), N($AK$67:$AK$76&gt;$AI52))
) / 1000</f>
        <v>0</v>
      </c>
      <c r="CG52" s="250">
        <f t="shared" si="34"/>
        <v>25</v>
      </c>
      <c r="CH52" s="237">
        <f t="shared" si="35"/>
        <v>38</v>
      </c>
      <c r="CI52" s="253">
        <f t="shared" si="36"/>
        <v>4.0666935483870965</v>
      </c>
      <c r="CJ52" s="253" cm="1">
        <f t="array" ref="CJ52">$BC52 * IF($AD52&lt;=2,
SUMPRODUCT(INDEX($AL$67:$AN$71,,$AE52), INDEX($AO$67:$AU$71,,$AD52), 1 / ($AV$67:$AV$71*CI52 + (1-$AV$67:$AV$71)*CE52), N($AK$67:$AK$71&gt;$AI52)),
SUMPRODUCT(INDEX($AL$57:$AN$66,,$AE52), INDEX($AO$57:$AU$66,,$AD52), 1 / ($AW$57:$AW$66*CI52 + (1-$AW$57:$AW$66)*CE52), N($AK$57:$AK$66&gt;$AI52))
) / 1000</f>
        <v>0</v>
      </c>
      <c r="CK52" s="250">
        <f t="shared" si="37"/>
        <v>20</v>
      </c>
      <c r="CL52" s="237">
        <f t="shared" si="38"/>
        <v>33</v>
      </c>
      <c r="CM52" s="253">
        <f t="shared" si="39"/>
        <v>4.8487499999999999</v>
      </c>
      <c r="CN52" s="253" cm="1">
        <f t="array" ref="CN52">$BC52 * IF($AD52&lt;=2,
SUMPRODUCT(INDEX($AL$62:$AN$66,,$AE52), INDEX($AO$62:$AU$66,,$AD52), 1 / ($AV$62:$AV$66*CM52 + (1-$AV$62:$AV$66)*CI52), N($AK$62:$AK$66&gt;$AI52)),
SUMPRODUCT(INDEX($AL$47:$AN$56,,$AE52), INDEX($AO$47:$AU$56,,$AD52), 1 / ($AW$47:$AW$56*CM52 + (1-$AW$47:$AW$56)*CI52), N($AK$47:$AK$56&gt;$AI52))
) / 1000</f>
        <v>0</v>
      </c>
      <c r="CO52" s="253" cm="1">
        <f t="array" ref="CO52">$BC52 * IF($AD52&lt;=2,
SUMPRODUCT(INDEX($AL$23:$AN$61,,$AE52), INDEX($AO$23:$AU$61,,$AD52), 1 / ($AV$23:$AV$61*CM52), N($AK$23:$AK$61&gt;$AI52)),
SUMPRODUCT(INDEX($AL$23:$AN$46,,$AE52), INDEX($AO$23:$AU$46,,$AD52), 1 / ($AW$23:$AW$46*CM52), N($AK$23:$AK$46&gt;$AI52))
) / 1000</f>
        <v>0</v>
      </c>
      <c r="CP52" s="237">
        <f t="shared" si="40"/>
        <v>0</v>
      </c>
      <c r="CQ52" s="210"/>
    </row>
    <row r="53" spans="1:95" s="76" customFormat="1" ht="14.25" customHeight="1" x14ac:dyDescent="0.25">
      <c r="A53" s="238" t="b">
        <f t="shared" si="0"/>
        <v>0</v>
      </c>
      <c r="B53" s="239">
        <v>31</v>
      </c>
      <c r="C53" s="258"/>
      <c r="D53" s="258"/>
      <c r="E53" s="240"/>
      <c r="F53" s="241" t="str">
        <f>IF(ISBLANK(E53), "", VLOOKUP(E53, Z!$A$2:$C$4127, 3, FALSE))</f>
        <v/>
      </c>
      <c r="G53" s="242"/>
      <c r="H53" s="242"/>
      <c r="I53" s="243"/>
      <c r="J53" s="244"/>
      <c r="K53" s="259"/>
      <c r="L53" s="260"/>
      <c r="M53" s="247" t="str" cm="1">
        <f t="array" ref="M53">IF($K53&gt;0, INDEX(Clean,1+AG53,$C$1), "")</f>
        <v/>
      </c>
      <c r="N53" s="245"/>
      <c r="O53" s="245"/>
      <c r="P53" s="246"/>
      <c r="Q53" s="248">
        <f t="shared" si="6"/>
        <v>0</v>
      </c>
      <c r="R53" s="247" t="str" cm="1">
        <f t="array" ref="R53">IF($K53&gt;0, INDEX(Clean,1+AH53,$C$1), "")</f>
        <v/>
      </c>
      <c r="S53" s="245"/>
      <c r="T53" s="245"/>
      <c r="U53" s="246"/>
      <c r="V53" s="248">
        <f t="shared" si="7"/>
        <v>0</v>
      </c>
      <c r="W53" s="261"/>
      <c r="X53" s="258"/>
      <c r="Y53" s="240"/>
      <c r="Z53" s="241" t="str">
        <f>IF(ISBLANK(Y53), "", VLOOKUP(Y53, Z!$A$2:$C$4127, 3, FALSE))</f>
        <v/>
      </c>
      <c r="AA53" s="262"/>
      <c r="AB53" s="249">
        <f t="shared" si="8"/>
        <v>0</v>
      </c>
      <c r="AC53" s="210"/>
      <c r="AD53" s="236">
        <f t="shared" ref="AD53" si="125">IF(ISBLANK(H53), 1, IFERROR(MATCH(H53, INDEX(Use,,1), 0), IFERROR(MATCH(H53, INDEX(Use,,2), 0), MATCH(H53, INDEX(Use,,3), 0))))</f>
        <v>1</v>
      </c>
      <c r="AE53" s="236">
        <f t="shared" ref="AE53" si="126">IF(ISBLANK(G53), 1, IFERROR(MATCH(G53, INDEX(Loc,,1), 0), IFERROR(MATCH(G53, INDEX(Loc,,2), 0), MATCH(G53, INDEX(Loc,,3), 0))))</f>
        <v>1</v>
      </c>
      <c r="AF53" s="236">
        <f t="shared" ref="AF53" si="127">_xlfn.IFNA(IF(IFERROR(MATCH(I53, INDEX(Medium,,1), 0), IFERROR(MATCH(I53, INDEX(Medium,,2), 0), MATCH(I53, INDEX(Medium,,3), 0))) = 2, 1, 0), 0)</f>
        <v>0</v>
      </c>
      <c r="AG53" s="236">
        <v>1</v>
      </c>
      <c r="AH53" s="236">
        <v>0</v>
      </c>
      <c r="AI53" s="236">
        <f t="shared" si="4"/>
        <v>-100</v>
      </c>
      <c r="AJ53" s="210"/>
      <c r="AK53" s="236">
        <v>11</v>
      </c>
      <c r="AL53" s="250">
        <v>329</v>
      </c>
      <c r="AM53" s="250">
        <v>376</v>
      </c>
      <c r="AN53" s="250">
        <v>368</v>
      </c>
      <c r="AO53" s="251">
        <f t="shared" si="5"/>
        <v>0</v>
      </c>
      <c r="AP53" s="251">
        <f t="shared" si="5"/>
        <v>0</v>
      </c>
      <c r="AQ53" s="251" cm="1">
        <f t="array" ref="AQ53">MIN(INDEX(Use,AQ$21,5) + MAX(0, (1-INDEX(Use,AQ$21,5))*($AK53-5)/(35-5)), 1)</f>
        <v>0.52</v>
      </c>
      <c r="AR53" s="251" cm="1">
        <f t="array" ref="AR53">MIN(INDEX(Use,AR$21,5) + MAX(0, (1-INDEX(Use,AR$21,5))*($AK53-5)/(35-5)), 1)</f>
        <v>0.67999999999999994</v>
      </c>
      <c r="AS53" s="251" cm="1">
        <f t="array" ref="AS53">MIN(INDEX(Use,AS$21,5) + MAX(0, (1-INDEX(Use,AS$21,5))*($AK53-5)/(35-5)), 1)</f>
        <v>0.84000000000000008</v>
      </c>
      <c r="AT53" s="251" cm="1">
        <f t="array" ref="AT53">MIN(INDEX(Use,AT$21,5) + MAX(0, (1-INDEX(Use,AT$21,5))*($AK53-5)/(35-5)), 1)</f>
        <v>0.84000000000000008</v>
      </c>
      <c r="AU53" s="251" cm="1">
        <f t="array" ref="AU53">MIN(INDEX(Use,AU$21,5) + MAX(0, (1-INDEX(Use,AU$21,5))*($AK53-5)/(35-5)), 1)</f>
        <v>0.84000000000000008</v>
      </c>
      <c r="AV53" s="251">
        <v>1</v>
      </c>
      <c r="AW53" s="251">
        <v>0.4</v>
      </c>
      <c r="AX53" s="212"/>
      <c r="AY53" s="236" cm="1">
        <f t="array" ref="AY53">INDEX(Use, $AD53, 4)</f>
        <v>7</v>
      </c>
      <c r="AZ53" s="236">
        <f t="shared" si="12"/>
        <v>32</v>
      </c>
      <c r="BA53" s="236">
        <f t="shared" si="13"/>
        <v>13</v>
      </c>
      <c r="BB53" s="236">
        <f t="shared" si="14"/>
        <v>0</v>
      </c>
      <c r="BC53" s="252" cm="1">
        <f t="array" ref="BC53">K53/IF($L53&gt;0, INDEX($AO$23:$AU$77, $L53+20, $AD53), 1)</f>
        <v>0</v>
      </c>
      <c r="BD53" s="237">
        <f t="shared" si="15"/>
        <v>0</v>
      </c>
      <c r="BE53" s="236">
        <v>35</v>
      </c>
      <c r="BF53" s="237">
        <f t="shared" si="16"/>
        <v>52.55</v>
      </c>
      <c r="BG53" s="253">
        <f t="shared" si="17"/>
        <v>2.7676728869374316</v>
      </c>
      <c r="BH53" s="253" cm="1">
        <f t="array" ref="BH53">$BC53 * SUMPRODUCT(INDEX($AL$77:$AN$82,,$AE53),INDEX($AO$77:$AU$82,,$AD53), N($AK$77:$AK$82&gt;$AI53)) / BG53 / 1000</f>
        <v>0</v>
      </c>
      <c r="BI53" s="250">
        <f t="shared" si="18"/>
        <v>30</v>
      </c>
      <c r="BJ53" s="237">
        <f t="shared" si="19"/>
        <v>46.033333333333331</v>
      </c>
      <c r="BK53" s="253">
        <f t="shared" si="20"/>
        <v>3.2297395388556791</v>
      </c>
      <c r="BL53" s="253" cm="1">
        <f t="array" ref="BL53">$BC53 * IF($AD53&lt;=2,
SUMPRODUCT(INDEX($AL$72:$AN$76,,$AE53), INDEX($AO$72:$AU$76,,$AD53), 1 / ($AV$72:$AV$76*BK53 + (1-$AV$72:$AV$76)*BG53), N($AK$72:$AK$76&gt;$AI53)),
SUMPRODUCT(INDEX($AL$67:$AN$76,,$AE53), INDEX($AO$67:$AU$76,,$AD53), 1 / ($AW$67:$AW$76*BK53 + (1-$AW$67:$AW$76)*BG53), N($AK$67:$AK$76&gt;$AI53))
) / 1000</f>
        <v>0</v>
      </c>
      <c r="BM53" s="250">
        <f t="shared" si="21"/>
        <v>25</v>
      </c>
      <c r="BN53" s="237">
        <f t="shared" si="22"/>
        <v>39.516666666666666</v>
      </c>
      <c r="BO53" s="253">
        <f t="shared" si="23"/>
        <v>3.877011788826243</v>
      </c>
      <c r="BP53" s="253" cm="1">
        <f t="array" ref="BP53">$BC53 * IF($AD53&lt;=2,
SUMPRODUCT(INDEX($AL$67:$AN$71,,$AE53), INDEX($AO$67:$AU$71,,$AD53), 1 / ($AV$67:$AV$71*BO53 + (1-$AV$67:$AV$71)*BK53), N($AK$67:$AK$71&gt;$AI53)),
SUMPRODUCT(INDEX($AL$57:$AN$66,,$AE53), INDEX($AO$57:$AU$66,,$AD53), 1 / ($AW$57:$AW$66*BO53 + (1-$AW$57:$AW$66)*BK53), N($AK$57:$AK$66&gt;$AI53))
) / 1000</f>
        <v>0</v>
      </c>
      <c r="BQ53" s="250">
        <f t="shared" si="24"/>
        <v>20</v>
      </c>
      <c r="BR53" s="237">
        <f t="shared" si="25"/>
        <v>33</v>
      </c>
      <c r="BS53" s="253">
        <f t="shared" si="26"/>
        <v>4.8487499999999999</v>
      </c>
      <c r="BT53" s="253" cm="1">
        <f t="array" ref="BT53">$BC53 * IF($AD53&lt;=2,
SUMPRODUCT(INDEX($AL$62:$AN$66,,$AE53), INDEX($AO$62:$AU$66,,$AD53), 1 / ($AV$62:$AV$66*BS53 + (1-$AV$62:$AV$66)*BO53), N($AK$62:$AK$66&gt;$AI53)),
SUMPRODUCT(INDEX($AL$47:$AN$56,,$AE53), INDEX($AO$47:$AU$56,,$AD53), 1 / ($AW$47:$AW$56*BS53 + (1-$AW$47:$AW$56)*BO53), N($AK$47:$AK$56&gt;$AI53))
) / 1000</f>
        <v>0</v>
      </c>
      <c r="BU53" s="253" cm="1">
        <f t="array" ref="BU53">$BC53 * IF($AD53&lt;=2,
SUMPRODUCT(INDEX($AL$23:$AN$61,,$AE53), INDEX($AO$23:$AU$61,,$AD53), 1 / ($AV$23:$AV$61*BS53), N($AK$23:$AK$61&gt;$AI53)),
SUMPRODUCT(INDEX($AL$23:$AN$46,,$AE53), INDEX($AO$23:$AU$46,,$AD53), 1 / ($AW$23:$AW$46*BS53), N($AK$23:$AK$46&gt;$AI53))
) / 1000</f>
        <v>0</v>
      </c>
      <c r="BV53" s="237">
        <f t="shared" si="27"/>
        <v>0</v>
      </c>
      <c r="BW53" s="210"/>
      <c r="BX53" s="237">
        <f t="shared" si="28"/>
        <v>0</v>
      </c>
      <c r="BY53" s="236">
        <v>35</v>
      </c>
      <c r="BZ53" s="237">
        <f t="shared" si="29"/>
        <v>48</v>
      </c>
      <c r="CA53" s="253">
        <f t="shared" si="30"/>
        <v>3.0748170731707316</v>
      </c>
      <c r="CB53" s="253" cm="1">
        <f t="array" ref="CB53">$BC53 * SUMPRODUCT(INDEX($AL$77:$AN$82,,$AE53),INDEX($AO$77:$AU$82,,$AD53), N($AK$77:$AK$82&gt;$AI53)) / CA53 / 1000</f>
        <v>0</v>
      </c>
      <c r="CC53" s="250">
        <f t="shared" si="31"/>
        <v>30</v>
      </c>
      <c r="CD53" s="237">
        <f t="shared" si="32"/>
        <v>43</v>
      </c>
      <c r="CE53" s="253">
        <f t="shared" si="33"/>
        <v>3.5018750000000001</v>
      </c>
      <c r="CF53" s="253" cm="1">
        <f t="array" ref="CF53">$BC53 * IF($AD53&lt;=2,
SUMPRODUCT(INDEX($AL$72:$AN$76,,$AE53), INDEX($AO$72:$AU$76,,$AD53), 1 / ($AV$72:$AV$76*CE53 + (1-$AV$72:$AV$76)*CA53), N($AK$72:$AK$76&gt;$AI53)),
SUMPRODUCT(INDEX($AL$67:$AN$76,,$AE53), INDEX($AO$67:$AU$76,,$AD53), 1 / ($AW$67:$AW$76*CE53 + (1-$AW$67:$AW$76)*CA53), N($AK$67:$AK$76&gt;$AI53))
) / 1000</f>
        <v>0</v>
      </c>
      <c r="CG53" s="250">
        <f t="shared" si="34"/>
        <v>25</v>
      </c>
      <c r="CH53" s="237">
        <f t="shared" si="35"/>
        <v>38</v>
      </c>
      <c r="CI53" s="253">
        <f t="shared" si="36"/>
        <v>4.0666935483870965</v>
      </c>
      <c r="CJ53" s="253" cm="1">
        <f t="array" ref="CJ53">$BC53 * IF($AD53&lt;=2,
SUMPRODUCT(INDEX($AL$67:$AN$71,,$AE53), INDEX($AO$67:$AU$71,,$AD53), 1 / ($AV$67:$AV$71*CI53 + (1-$AV$67:$AV$71)*CE53), N($AK$67:$AK$71&gt;$AI53)),
SUMPRODUCT(INDEX($AL$57:$AN$66,,$AE53), INDEX($AO$57:$AU$66,,$AD53), 1 / ($AW$57:$AW$66*CI53 + (1-$AW$57:$AW$66)*CE53), N($AK$57:$AK$66&gt;$AI53))
) / 1000</f>
        <v>0</v>
      </c>
      <c r="CK53" s="250">
        <f t="shared" si="37"/>
        <v>20</v>
      </c>
      <c r="CL53" s="237">
        <f t="shared" si="38"/>
        <v>33</v>
      </c>
      <c r="CM53" s="253">
        <f t="shared" si="39"/>
        <v>4.8487499999999999</v>
      </c>
      <c r="CN53" s="253" cm="1">
        <f t="array" ref="CN53">$BC53 * IF($AD53&lt;=2,
SUMPRODUCT(INDEX($AL$62:$AN$66,,$AE53), INDEX($AO$62:$AU$66,,$AD53), 1 / ($AV$62:$AV$66*CM53 + (1-$AV$62:$AV$66)*CI53), N($AK$62:$AK$66&gt;$AI53)),
SUMPRODUCT(INDEX($AL$47:$AN$56,,$AE53), INDEX($AO$47:$AU$56,,$AD53), 1 / ($AW$47:$AW$56*CM53 + (1-$AW$47:$AW$56)*CI53), N($AK$47:$AK$56&gt;$AI53))
) / 1000</f>
        <v>0</v>
      </c>
      <c r="CO53" s="253" cm="1">
        <f t="array" ref="CO53">$BC53 * IF($AD53&lt;=2,
SUMPRODUCT(INDEX($AL$23:$AN$61,,$AE53), INDEX($AO$23:$AU$61,,$AD53), 1 / ($AV$23:$AV$61*CM53), N($AK$23:$AK$61&gt;$AI53)),
SUMPRODUCT(INDEX($AL$23:$AN$46,,$AE53), INDEX($AO$23:$AU$46,,$AD53), 1 / ($AW$23:$AW$46*CM53), N($AK$23:$AK$46&gt;$AI53))
) / 1000</f>
        <v>0</v>
      </c>
      <c r="CP53" s="237">
        <f t="shared" si="40"/>
        <v>0</v>
      </c>
      <c r="CQ53" s="210"/>
    </row>
    <row r="54" spans="1:95" s="76" customFormat="1" ht="14.25" customHeight="1" x14ac:dyDescent="0.25">
      <c r="A54" s="238" t="b">
        <f t="shared" si="0"/>
        <v>0</v>
      </c>
      <c r="B54" s="239">
        <v>32</v>
      </c>
      <c r="C54" s="258"/>
      <c r="D54" s="258"/>
      <c r="E54" s="240"/>
      <c r="F54" s="241" t="str">
        <f>IF(ISBLANK(E54), "", VLOOKUP(E54, Z!$A$2:$C$4127, 3, FALSE))</f>
        <v/>
      </c>
      <c r="G54" s="242"/>
      <c r="H54" s="242"/>
      <c r="I54" s="243"/>
      <c r="J54" s="244"/>
      <c r="K54" s="259"/>
      <c r="L54" s="260"/>
      <c r="M54" s="247" t="str" cm="1">
        <f t="array" ref="M54">IF($K54&gt;0, INDEX(Clean,1+AG54,$C$1), "")</f>
        <v/>
      </c>
      <c r="N54" s="245"/>
      <c r="O54" s="245"/>
      <c r="P54" s="246"/>
      <c r="Q54" s="248">
        <f t="shared" si="6"/>
        <v>0</v>
      </c>
      <c r="R54" s="247" t="str" cm="1">
        <f t="array" ref="R54">IF($K54&gt;0, INDEX(Clean,1+AH54,$C$1), "")</f>
        <v/>
      </c>
      <c r="S54" s="245"/>
      <c r="T54" s="245"/>
      <c r="U54" s="246"/>
      <c r="V54" s="248">
        <f t="shared" si="7"/>
        <v>0</v>
      </c>
      <c r="W54" s="261"/>
      <c r="X54" s="258"/>
      <c r="Y54" s="240"/>
      <c r="Z54" s="241" t="str">
        <f>IF(ISBLANK(Y54), "", VLOOKUP(Y54, Z!$A$2:$C$4127, 3, FALSE))</f>
        <v/>
      </c>
      <c r="AA54" s="262"/>
      <c r="AB54" s="249">
        <f t="shared" si="8"/>
        <v>0</v>
      </c>
      <c r="AC54" s="210"/>
      <c r="AD54" s="236">
        <f t="shared" ref="AD54" si="128">IF(ISBLANK(H54), 1, IFERROR(MATCH(H54, INDEX(Use,,1), 0), IFERROR(MATCH(H54, INDEX(Use,,2), 0), MATCH(H54, INDEX(Use,,3), 0))))</f>
        <v>1</v>
      </c>
      <c r="AE54" s="236">
        <f t="shared" ref="AE54" si="129">IF(ISBLANK(G54), 1, IFERROR(MATCH(G54, INDEX(Loc,,1), 0), IFERROR(MATCH(G54, INDEX(Loc,,2), 0), MATCH(G54, INDEX(Loc,,3), 0))))</f>
        <v>1</v>
      </c>
      <c r="AF54" s="236">
        <f t="shared" ref="AF54" si="130">_xlfn.IFNA(IF(IFERROR(MATCH(I54, INDEX(Medium,,1), 0), IFERROR(MATCH(I54, INDEX(Medium,,2), 0), MATCH(I54, INDEX(Medium,,3), 0))) = 2, 1, 0), 0)</f>
        <v>0</v>
      </c>
      <c r="AG54" s="236">
        <v>1</v>
      </c>
      <c r="AH54" s="236">
        <v>0</v>
      </c>
      <c r="AI54" s="236">
        <f t="shared" si="4"/>
        <v>-100</v>
      </c>
      <c r="AJ54" s="210"/>
      <c r="AK54" s="236">
        <v>12</v>
      </c>
      <c r="AL54" s="250">
        <v>385</v>
      </c>
      <c r="AM54" s="250">
        <v>427</v>
      </c>
      <c r="AN54" s="250">
        <v>321</v>
      </c>
      <c r="AO54" s="251">
        <f t="shared" si="5"/>
        <v>0</v>
      </c>
      <c r="AP54" s="251">
        <f t="shared" si="5"/>
        <v>0</v>
      </c>
      <c r="AQ54" s="251" cm="1">
        <f t="array" ref="AQ54">MIN(INDEX(Use,AQ$21,5) + MAX(0, (1-INDEX(Use,AQ$21,5))*($AK54-5)/(35-5)), 1)</f>
        <v>0.54</v>
      </c>
      <c r="AR54" s="251" cm="1">
        <f t="array" ref="AR54">MIN(INDEX(Use,AR$21,5) + MAX(0, (1-INDEX(Use,AR$21,5))*($AK54-5)/(35-5)), 1)</f>
        <v>0.69333333333333336</v>
      </c>
      <c r="AS54" s="251" cm="1">
        <f t="array" ref="AS54">MIN(INDEX(Use,AS$21,5) + MAX(0, (1-INDEX(Use,AS$21,5))*($AK54-5)/(35-5)), 1)</f>
        <v>0.84666666666666668</v>
      </c>
      <c r="AT54" s="251" cm="1">
        <f t="array" ref="AT54">MIN(INDEX(Use,AT$21,5) + MAX(0, (1-INDEX(Use,AT$21,5))*($AK54-5)/(35-5)), 1)</f>
        <v>0.84666666666666668</v>
      </c>
      <c r="AU54" s="251" cm="1">
        <f t="array" ref="AU54">MIN(INDEX(Use,AU$21,5) + MAX(0, (1-INDEX(Use,AU$21,5))*($AK54-5)/(35-5)), 1)</f>
        <v>0.84666666666666668</v>
      </c>
      <c r="AV54" s="251">
        <v>1</v>
      </c>
      <c r="AW54" s="251">
        <v>0.3</v>
      </c>
      <c r="AX54" s="212"/>
      <c r="AY54" s="236" cm="1">
        <f t="array" ref="AY54">INDEX(Use, $AD54, 4)</f>
        <v>7</v>
      </c>
      <c r="AZ54" s="236">
        <f t="shared" si="12"/>
        <v>32</v>
      </c>
      <c r="BA54" s="236">
        <f t="shared" si="13"/>
        <v>13</v>
      </c>
      <c r="BB54" s="236">
        <f t="shared" si="14"/>
        <v>0</v>
      </c>
      <c r="BC54" s="252" cm="1">
        <f t="array" ref="BC54">K54/IF($L54&gt;0, INDEX($AO$23:$AU$77, $L54+20, $AD54), 1)</f>
        <v>0</v>
      </c>
      <c r="BD54" s="237">
        <f t="shared" si="15"/>
        <v>0</v>
      </c>
      <c r="BE54" s="236">
        <v>35</v>
      </c>
      <c r="BF54" s="237">
        <f t="shared" si="16"/>
        <v>52.55</v>
      </c>
      <c r="BG54" s="253">
        <f t="shared" si="17"/>
        <v>2.7676728869374316</v>
      </c>
      <c r="BH54" s="253" cm="1">
        <f t="array" ref="BH54">$BC54 * SUMPRODUCT(INDEX($AL$77:$AN$82,,$AE54),INDEX($AO$77:$AU$82,,$AD54), N($AK$77:$AK$82&gt;$AI54)) / BG54 / 1000</f>
        <v>0</v>
      </c>
      <c r="BI54" s="250">
        <f t="shared" si="18"/>
        <v>30</v>
      </c>
      <c r="BJ54" s="237">
        <f t="shared" si="19"/>
        <v>46.033333333333331</v>
      </c>
      <c r="BK54" s="253">
        <f t="shared" si="20"/>
        <v>3.2297395388556791</v>
      </c>
      <c r="BL54" s="253" cm="1">
        <f t="array" ref="BL54">$BC54 * IF($AD54&lt;=2,
SUMPRODUCT(INDEX($AL$72:$AN$76,,$AE54), INDEX($AO$72:$AU$76,,$AD54), 1 / ($AV$72:$AV$76*BK54 + (1-$AV$72:$AV$76)*BG54), N($AK$72:$AK$76&gt;$AI54)),
SUMPRODUCT(INDEX($AL$67:$AN$76,,$AE54), INDEX($AO$67:$AU$76,,$AD54), 1 / ($AW$67:$AW$76*BK54 + (1-$AW$67:$AW$76)*BG54), N($AK$67:$AK$76&gt;$AI54))
) / 1000</f>
        <v>0</v>
      </c>
      <c r="BM54" s="250">
        <f t="shared" si="21"/>
        <v>25</v>
      </c>
      <c r="BN54" s="237">
        <f t="shared" si="22"/>
        <v>39.516666666666666</v>
      </c>
      <c r="BO54" s="253">
        <f t="shared" si="23"/>
        <v>3.877011788826243</v>
      </c>
      <c r="BP54" s="253" cm="1">
        <f t="array" ref="BP54">$BC54 * IF($AD54&lt;=2,
SUMPRODUCT(INDEX($AL$67:$AN$71,,$AE54), INDEX($AO$67:$AU$71,,$AD54), 1 / ($AV$67:$AV$71*BO54 + (1-$AV$67:$AV$71)*BK54), N($AK$67:$AK$71&gt;$AI54)),
SUMPRODUCT(INDEX($AL$57:$AN$66,,$AE54), INDEX($AO$57:$AU$66,,$AD54), 1 / ($AW$57:$AW$66*BO54 + (1-$AW$57:$AW$66)*BK54), N($AK$57:$AK$66&gt;$AI54))
) / 1000</f>
        <v>0</v>
      </c>
      <c r="BQ54" s="250">
        <f t="shared" si="24"/>
        <v>20</v>
      </c>
      <c r="BR54" s="237">
        <f t="shared" si="25"/>
        <v>33</v>
      </c>
      <c r="BS54" s="253">
        <f t="shared" si="26"/>
        <v>4.8487499999999999</v>
      </c>
      <c r="BT54" s="253" cm="1">
        <f t="array" ref="BT54">$BC54 * IF($AD54&lt;=2,
SUMPRODUCT(INDEX($AL$62:$AN$66,,$AE54), INDEX($AO$62:$AU$66,,$AD54), 1 / ($AV$62:$AV$66*BS54 + (1-$AV$62:$AV$66)*BO54), N($AK$62:$AK$66&gt;$AI54)),
SUMPRODUCT(INDEX($AL$47:$AN$56,,$AE54), INDEX($AO$47:$AU$56,,$AD54), 1 / ($AW$47:$AW$56*BS54 + (1-$AW$47:$AW$56)*BO54), N($AK$47:$AK$56&gt;$AI54))
) / 1000</f>
        <v>0</v>
      </c>
      <c r="BU54" s="253" cm="1">
        <f t="array" ref="BU54">$BC54 * IF($AD54&lt;=2,
SUMPRODUCT(INDEX($AL$23:$AN$61,,$AE54), INDEX($AO$23:$AU$61,,$AD54), 1 / ($AV$23:$AV$61*BS54), N($AK$23:$AK$61&gt;$AI54)),
SUMPRODUCT(INDEX($AL$23:$AN$46,,$AE54), INDEX($AO$23:$AU$46,,$AD54), 1 / ($AW$23:$AW$46*BS54), N($AK$23:$AK$46&gt;$AI54))
) / 1000</f>
        <v>0</v>
      </c>
      <c r="BV54" s="237">
        <f t="shared" si="27"/>
        <v>0</v>
      </c>
      <c r="BW54" s="210"/>
      <c r="BX54" s="237">
        <f t="shared" si="28"/>
        <v>0</v>
      </c>
      <c r="BY54" s="236">
        <v>35</v>
      </c>
      <c r="BZ54" s="237">
        <f t="shared" si="29"/>
        <v>48</v>
      </c>
      <c r="CA54" s="253">
        <f t="shared" si="30"/>
        <v>3.0748170731707316</v>
      </c>
      <c r="CB54" s="253" cm="1">
        <f t="array" ref="CB54">$BC54 * SUMPRODUCT(INDEX($AL$77:$AN$82,,$AE54),INDEX($AO$77:$AU$82,,$AD54), N($AK$77:$AK$82&gt;$AI54)) / CA54 / 1000</f>
        <v>0</v>
      </c>
      <c r="CC54" s="250">
        <f t="shared" si="31"/>
        <v>30</v>
      </c>
      <c r="CD54" s="237">
        <f t="shared" si="32"/>
        <v>43</v>
      </c>
      <c r="CE54" s="253">
        <f t="shared" si="33"/>
        <v>3.5018750000000001</v>
      </c>
      <c r="CF54" s="253" cm="1">
        <f t="array" ref="CF54">$BC54 * IF($AD54&lt;=2,
SUMPRODUCT(INDEX($AL$72:$AN$76,,$AE54), INDEX($AO$72:$AU$76,,$AD54), 1 / ($AV$72:$AV$76*CE54 + (1-$AV$72:$AV$76)*CA54), N($AK$72:$AK$76&gt;$AI54)),
SUMPRODUCT(INDEX($AL$67:$AN$76,,$AE54), INDEX($AO$67:$AU$76,,$AD54), 1 / ($AW$67:$AW$76*CE54 + (1-$AW$67:$AW$76)*CA54), N($AK$67:$AK$76&gt;$AI54))
) / 1000</f>
        <v>0</v>
      </c>
      <c r="CG54" s="250">
        <f t="shared" si="34"/>
        <v>25</v>
      </c>
      <c r="CH54" s="237">
        <f t="shared" si="35"/>
        <v>38</v>
      </c>
      <c r="CI54" s="253">
        <f t="shared" si="36"/>
        <v>4.0666935483870965</v>
      </c>
      <c r="CJ54" s="253" cm="1">
        <f t="array" ref="CJ54">$BC54 * IF($AD54&lt;=2,
SUMPRODUCT(INDEX($AL$67:$AN$71,,$AE54), INDEX($AO$67:$AU$71,,$AD54), 1 / ($AV$67:$AV$71*CI54 + (1-$AV$67:$AV$71)*CE54), N($AK$67:$AK$71&gt;$AI54)),
SUMPRODUCT(INDEX($AL$57:$AN$66,,$AE54), INDEX($AO$57:$AU$66,,$AD54), 1 / ($AW$57:$AW$66*CI54 + (1-$AW$57:$AW$66)*CE54), N($AK$57:$AK$66&gt;$AI54))
) / 1000</f>
        <v>0</v>
      </c>
      <c r="CK54" s="250">
        <f t="shared" si="37"/>
        <v>20</v>
      </c>
      <c r="CL54" s="237">
        <f t="shared" si="38"/>
        <v>33</v>
      </c>
      <c r="CM54" s="253">
        <f t="shared" si="39"/>
        <v>4.8487499999999999</v>
      </c>
      <c r="CN54" s="253" cm="1">
        <f t="array" ref="CN54">$BC54 * IF($AD54&lt;=2,
SUMPRODUCT(INDEX($AL$62:$AN$66,,$AE54), INDEX($AO$62:$AU$66,,$AD54), 1 / ($AV$62:$AV$66*CM54 + (1-$AV$62:$AV$66)*CI54), N($AK$62:$AK$66&gt;$AI54)),
SUMPRODUCT(INDEX($AL$47:$AN$56,,$AE54), INDEX($AO$47:$AU$56,,$AD54), 1 / ($AW$47:$AW$56*CM54 + (1-$AW$47:$AW$56)*CI54), N($AK$47:$AK$56&gt;$AI54))
) / 1000</f>
        <v>0</v>
      </c>
      <c r="CO54" s="253" cm="1">
        <f t="array" ref="CO54">$BC54 * IF($AD54&lt;=2,
SUMPRODUCT(INDEX($AL$23:$AN$61,,$AE54), INDEX($AO$23:$AU$61,,$AD54), 1 / ($AV$23:$AV$61*CM54), N($AK$23:$AK$61&gt;$AI54)),
SUMPRODUCT(INDEX($AL$23:$AN$46,,$AE54), INDEX($AO$23:$AU$46,,$AD54), 1 / ($AW$23:$AW$46*CM54), N($AK$23:$AK$46&gt;$AI54))
) / 1000</f>
        <v>0</v>
      </c>
      <c r="CP54" s="237">
        <f t="shared" si="40"/>
        <v>0</v>
      </c>
      <c r="CQ54" s="210"/>
    </row>
    <row r="55" spans="1:95" s="76" customFormat="1" ht="14.25" customHeight="1" x14ac:dyDescent="0.25">
      <c r="A55" s="238" t="b">
        <f t="shared" si="0"/>
        <v>0</v>
      </c>
      <c r="B55" s="239">
        <v>33</v>
      </c>
      <c r="C55" s="258"/>
      <c r="D55" s="258"/>
      <c r="E55" s="240"/>
      <c r="F55" s="241" t="str">
        <f>IF(ISBLANK(E55), "", VLOOKUP(E55, Z!$A$2:$C$4127, 3, FALSE))</f>
        <v/>
      </c>
      <c r="G55" s="242"/>
      <c r="H55" s="242"/>
      <c r="I55" s="243"/>
      <c r="J55" s="244"/>
      <c r="K55" s="259"/>
      <c r="L55" s="260"/>
      <c r="M55" s="247" t="str" cm="1">
        <f t="array" ref="M55">IF($K55&gt;0, INDEX(Clean,1+AG55,$C$1), "")</f>
        <v/>
      </c>
      <c r="N55" s="245"/>
      <c r="O55" s="245"/>
      <c r="P55" s="246"/>
      <c r="Q55" s="248">
        <f t="shared" si="6"/>
        <v>0</v>
      </c>
      <c r="R55" s="247" t="str" cm="1">
        <f t="array" ref="R55">IF($K55&gt;0, INDEX(Clean,1+AH55,$C$1), "")</f>
        <v/>
      </c>
      <c r="S55" s="245"/>
      <c r="T55" s="245"/>
      <c r="U55" s="246"/>
      <c r="V55" s="248">
        <f t="shared" si="7"/>
        <v>0</v>
      </c>
      <c r="W55" s="261"/>
      <c r="X55" s="258"/>
      <c r="Y55" s="240"/>
      <c r="Z55" s="241" t="str">
        <f>IF(ISBLANK(Y55), "", VLOOKUP(Y55, Z!$A$2:$C$4127, 3, FALSE))</f>
        <v/>
      </c>
      <c r="AA55" s="262"/>
      <c r="AB55" s="249">
        <f t="shared" si="8"/>
        <v>0</v>
      </c>
      <c r="AC55" s="210"/>
      <c r="AD55" s="236">
        <f t="shared" ref="AD55" si="131">IF(ISBLANK(H55), 1, IFERROR(MATCH(H55, INDEX(Use,,1), 0), IFERROR(MATCH(H55, INDEX(Use,,2), 0), MATCH(H55, INDEX(Use,,3), 0))))</f>
        <v>1</v>
      </c>
      <c r="AE55" s="236">
        <f t="shared" ref="AE55" si="132">IF(ISBLANK(G55), 1, IFERROR(MATCH(G55, INDEX(Loc,,1), 0), IFERROR(MATCH(G55, INDEX(Loc,,2), 0), MATCH(G55, INDEX(Loc,,3), 0))))</f>
        <v>1</v>
      </c>
      <c r="AF55" s="236">
        <f t="shared" ref="AF55" si="133">_xlfn.IFNA(IF(IFERROR(MATCH(I55, INDEX(Medium,,1), 0), IFERROR(MATCH(I55, INDEX(Medium,,2), 0), MATCH(I55, INDEX(Medium,,3), 0))) = 2, 1, 0), 0)</f>
        <v>0</v>
      </c>
      <c r="AG55" s="236">
        <v>1</v>
      </c>
      <c r="AH55" s="236">
        <v>0</v>
      </c>
      <c r="AI55" s="236">
        <f t="shared" si="4"/>
        <v>-100</v>
      </c>
      <c r="AJ55" s="210"/>
      <c r="AK55" s="236">
        <v>13</v>
      </c>
      <c r="AL55" s="250">
        <v>350</v>
      </c>
      <c r="AM55" s="250">
        <v>426</v>
      </c>
      <c r="AN55" s="250">
        <v>350</v>
      </c>
      <c r="AO55" s="251">
        <f t="shared" si="5"/>
        <v>0</v>
      </c>
      <c r="AP55" s="251">
        <f t="shared" si="5"/>
        <v>0</v>
      </c>
      <c r="AQ55" s="251" cm="1">
        <f t="array" ref="AQ55">MIN(INDEX(Use,AQ$21,5) + MAX(0, (1-INDEX(Use,AQ$21,5))*($AK55-5)/(35-5)), 1)</f>
        <v>0.56000000000000005</v>
      </c>
      <c r="AR55" s="251" cm="1">
        <f t="array" ref="AR55">MIN(INDEX(Use,AR$21,5) + MAX(0, (1-INDEX(Use,AR$21,5))*($AK55-5)/(35-5)), 1)</f>
        <v>0.70666666666666667</v>
      </c>
      <c r="AS55" s="251" cm="1">
        <f t="array" ref="AS55">MIN(INDEX(Use,AS$21,5) + MAX(0, (1-INDEX(Use,AS$21,5))*($AK55-5)/(35-5)), 1)</f>
        <v>0.85333333333333339</v>
      </c>
      <c r="AT55" s="251" cm="1">
        <f t="array" ref="AT55">MIN(INDEX(Use,AT$21,5) + MAX(0, (1-INDEX(Use,AT$21,5))*($AK55-5)/(35-5)), 1)</f>
        <v>0.85333333333333339</v>
      </c>
      <c r="AU55" s="251" cm="1">
        <f t="array" ref="AU55">MIN(INDEX(Use,AU$21,5) + MAX(0, (1-INDEX(Use,AU$21,5))*($AK55-5)/(35-5)), 1)</f>
        <v>0.85333333333333339</v>
      </c>
      <c r="AV55" s="251">
        <v>1</v>
      </c>
      <c r="AW55" s="251">
        <v>0.2</v>
      </c>
      <c r="AX55" s="212"/>
      <c r="AY55" s="236" cm="1">
        <f t="array" ref="AY55">INDEX(Use, $AD55, 4)</f>
        <v>7</v>
      </c>
      <c r="AZ55" s="236">
        <f t="shared" si="12"/>
        <v>32</v>
      </c>
      <c r="BA55" s="236">
        <f t="shared" si="13"/>
        <v>13</v>
      </c>
      <c r="BB55" s="236">
        <f t="shared" si="14"/>
        <v>0</v>
      </c>
      <c r="BC55" s="252" cm="1">
        <f t="array" ref="BC55">K55/IF($L55&gt;0, INDEX($AO$23:$AU$77, $L55+20, $AD55), 1)</f>
        <v>0</v>
      </c>
      <c r="BD55" s="237">
        <f t="shared" si="15"/>
        <v>0</v>
      </c>
      <c r="BE55" s="236">
        <v>35</v>
      </c>
      <c r="BF55" s="237">
        <f t="shared" si="16"/>
        <v>52.55</v>
      </c>
      <c r="BG55" s="253">
        <f t="shared" si="17"/>
        <v>2.7676728869374316</v>
      </c>
      <c r="BH55" s="253" cm="1">
        <f t="array" ref="BH55">$BC55 * SUMPRODUCT(INDEX($AL$77:$AN$82,,$AE55),INDEX($AO$77:$AU$82,,$AD55), N($AK$77:$AK$82&gt;$AI55)) / BG55 / 1000</f>
        <v>0</v>
      </c>
      <c r="BI55" s="250">
        <f t="shared" si="18"/>
        <v>30</v>
      </c>
      <c r="BJ55" s="237">
        <f t="shared" si="19"/>
        <v>46.033333333333331</v>
      </c>
      <c r="BK55" s="253">
        <f t="shared" si="20"/>
        <v>3.2297395388556791</v>
      </c>
      <c r="BL55" s="253" cm="1">
        <f t="array" ref="BL55">$BC55 * IF($AD55&lt;=2,
SUMPRODUCT(INDEX($AL$72:$AN$76,,$AE55), INDEX($AO$72:$AU$76,,$AD55), 1 / ($AV$72:$AV$76*BK55 + (1-$AV$72:$AV$76)*BG55), N($AK$72:$AK$76&gt;$AI55)),
SUMPRODUCT(INDEX($AL$67:$AN$76,,$AE55), INDEX($AO$67:$AU$76,,$AD55), 1 / ($AW$67:$AW$76*BK55 + (1-$AW$67:$AW$76)*BG55), N($AK$67:$AK$76&gt;$AI55))
) / 1000</f>
        <v>0</v>
      </c>
      <c r="BM55" s="250">
        <f t="shared" si="21"/>
        <v>25</v>
      </c>
      <c r="BN55" s="237">
        <f t="shared" si="22"/>
        <v>39.516666666666666</v>
      </c>
      <c r="BO55" s="253">
        <f t="shared" si="23"/>
        <v>3.877011788826243</v>
      </c>
      <c r="BP55" s="253" cm="1">
        <f t="array" ref="BP55">$BC55 * IF($AD55&lt;=2,
SUMPRODUCT(INDEX($AL$67:$AN$71,,$AE55), INDEX($AO$67:$AU$71,,$AD55), 1 / ($AV$67:$AV$71*BO55 + (1-$AV$67:$AV$71)*BK55), N($AK$67:$AK$71&gt;$AI55)),
SUMPRODUCT(INDEX($AL$57:$AN$66,,$AE55), INDEX($AO$57:$AU$66,,$AD55), 1 / ($AW$57:$AW$66*BO55 + (1-$AW$57:$AW$66)*BK55), N($AK$57:$AK$66&gt;$AI55))
) / 1000</f>
        <v>0</v>
      </c>
      <c r="BQ55" s="250">
        <f t="shared" si="24"/>
        <v>20</v>
      </c>
      <c r="BR55" s="237">
        <f t="shared" si="25"/>
        <v>33</v>
      </c>
      <c r="BS55" s="253">
        <f t="shared" si="26"/>
        <v>4.8487499999999999</v>
      </c>
      <c r="BT55" s="253" cm="1">
        <f t="array" ref="BT55">$BC55 * IF($AD55&lt;=2,
SUMPRODUCT(INDEX($AL$62:$AN$66,,$AE55), INDEX($AO$62:$AU$66,,$AD55), 1 / ($AV$62:$AV$66*BS55 + (1-$AV$62:$AV$66)*BO55), N($AK$62:$AK$66&gt;$AI55)),
SUMPRODUCT(INDEX($AL$47:$AN$56,,$AE55), INDEX($AO$47:$AU$56,,$AD55), 1 / ($AW$47:$AW$56*BS55 + (1-$AW$47:$AW$56)*BO55), N($AK$47:$AK$56&gt;$AI55))
) / 1000</f>
        <v>0</v>
      </c>
      <c r="BU55" s="253" cm="1">
        <f t="array" ref="BU55">$BC55 * IF($AD55&lt;=2,
SUMPRODUCT(INDEX($AL$23:$AN$61,,$AE55), INDEX($AO$23:$AU$61,,$AD55), 1 / ($AV$23:$AV$61*BS55), N($AK$23:$AK$61&gt;$AI55)),
SUMPRODUCT(INDEX($AL$23:$AN$46,,$AE55), INDEX($AO$23:$AU$46,,$AD55), 1 / ($AW$23:$AW$46*BS55), N($AK$23:$AK$46&gt;$AI55))
) / 1000</f>
        <v>0</v>
      </c>
      <c r="BV55" s="237">
        <f t="shared" si="27"/>
        <v>0</v>
      </c>
      <c r="BW55" s="210"/>
      <c r="BX55" s="237">
        <f t="shared" si="28"/>
        <v>0</v>
      </c>
      <c r="BY55" s="236">
        <v>35</v>
      </c>
      <c r="BZ55" s="237">
        <f t="shared" si="29"/>
        <v>48</v>
      </c>
      <c r="CA55" s="253">
        <f t="shared" si="30"/>
        <v>3.0748170731707316</v>
      </c>
      <c r="CB55" s="253" cm="1">
        <f t="array" ref="CB55">$BC55 * SUMPRODUCT(INDEX($AL$77:$AN$82,,$AE55),INDEX($AO$77:$AU$82,,$AD55), N($AK$77:$AK$82&gt;$AI55)) / CA55 / 1000</f>
        <v>0</v>
      </c>
      <c r="CC55" s="250">
        <f t="shared" si="31"/>
        <v>30</v>
      </c>
      <c r="CD55" s="237">
        <f t="shared" si="32"/>
        <v>43</v>
      </c>
      <c r="CE55" s="253">
        <f t="shared" si="33"/>
        <v>3.5018750000000001</v>
      </c>
      <c r="CF55" s="253" cm="1">
        <f t="array" ref="CF55">$BC55 * IF($AD55&lt;=2,
SUMPRODUCT(INDEX($AL$72:$AN$76,,$AE55), INDEX($AO$72:$AU$76,,$AD55), 1 / ($AV$72:$AV$76*CE55 + (1-$AV$72:$AV$76)*CA55), N($AK$72:$AK$76&gt;$AI55)),
SUMPRODUCT(INDEX($AL$67:$AN$76,,$AE55), INDEX($AO$67:$AU$76,,$AD55), 1 / ($AW$67:$AW$76*CE55 + (1-$AW$67:$AW$76)*CA55), N($AK$67:$AK$76&gt;$AI55))
) / 1000</f>
        <v>0</v>
      </c>
      <c r="CG55" s="250">
        <f t="shared" si="34"/>
        <v>25</v>
      </c>
      <c r="CH55" s="237">
        <f t="shared" si="35"/>
        <v>38</v>
      </c>
      <c r="CI55" s="253">
        <f t="shared" si="36"/>
        <v>4.0666935483870965</v>
      </c>
      <c r="CJ55" s="253" cm="1">
        <f t="array" ref="CJ55">$BC55 * IF($AD55&lt;=2,
SUMPRODUCT(INDEX($AL$67:$AN$71,,$AE55), INDEX($AO$67:$AU$71,,$AD55), 1 / ($AV$67:$AV$71*CI55 + (1-$AV$67:$AV$71)*CE55), N($AK$67:$AK$71&gt;$AI55)),
SUMPRODUCT(INDEX($AL$57:$AN$66,,$AE55), INDEX($AO$57:$AU$66,,$AD55), 1 / ($AW$57:$AW$66*CI55 + (1-$AW$57:$AW$66)*CE55), N($AK$57:$AK$66&gt;$AI55))
) / 1000</f>
        <v>0</v>
      </c>
      <c r="CK55" s="250">
        <f t="shared" si="37"/>
        <v>20</v>
      </c>
      <c r="CL55" s="237">
        <f t="shared" si="38"/>
        <v>33</v>
      </c>
      <c r="CM55" s="253">
        <f t="shared" si="39"/>
        <v>4.8487499999999999</v>
      </c>
      <c r="CN55" s="253" cm="1">
        <f t="array" ref="CN55">$BC55 * IF($AD55&lt;=2,
SUMPRODUCT(INDEX($AL$62:$AN$66,,$AE55), INDEX($AO$62:$AU$66,,$AD55), 1 / ($AV$62:$AV$66*CM55 + (1-$AV$62:$AV$66)*CI55), N($AK$62:$AK$66&gt;$AI55)),
SUMPRODUCT(INDEX($AL$47:$AN$56,,$AE55), INDEX($AO$47:$AU$56,,$AD55), 1 / ($AW$47:$AW$56*CM55 + (1-$AW$47:$AW$56)*CI55), N($AK$47:$AK$56&gt;$AI55))
) / 1000</f>
        <v>0</v>
      </c>
      <c r="CO55" s="253" cm="1">
        <f t="array" ref="CO55">$BC55 * IF($AD55&lt;=2,
SUMPRODUCT(INDEX($AL$23:$AN$61,,$AE55), INDEX($AO$23:$AU$61,,$AD55), 1 / ($AV$23:$AV$61*CM55), N($AK$23:$AK$61&gt;$AI55)),
SUMPRODUCT(INDEX($AL$23:$AN$46,,$AE55), INDEX($AO$23:$AU$46,,$AD55), 1 / ($AW$23:$AW$46*CM55), N($AK$23:$AK$46&gt;$AI55))
) / 1000</f>
        <v>0</v>
      </c>
      <c r="CP55" s="237">
        <f t="shared" si="40"/>
        <v>0</v>
      </c>
      <c r="CQ55" s="210"/>
    </row>
    <row r="56" spans="1:95" s="76" customFormat="1" ht="14.25" customHeight="1" x14ac:dyDescent="0.25">
      <c r="A56" s="238" t="b">
        <f t="shared" si="0"/>
        <v>0</v>
      </c>
      <c r="B56" s="239">
        <v>34</v>
      </c>
      <c r="C56" s="258"/>
      <c r="D56" s="258"/>
      <c r="E56" s="240"/>
      <c r="F56" s="241" t="str">
        <f>IF(ISBLANK(E56), "", VLOOKUP(E56, Z!$A$2:$C$4127, 3, FALSE))</f>
        <v/>
      </c>
      <c r="G56" s="242"/>
      <c r="H56" s="242"/>
      <c r="I56" s="243"/>
      <c r="J56" s="244"/>
      <c r="K56" s="259"/>
      <c r="L56" s="260"/>
      <c r="M56" s="247" t="str" cm="1">
        <f t="array" ref="M56">IF($K56&gt;0, INDEX(Clean,1+AG56,$C$1), "")</f>
        <v/>
      </c>
      <c r="N56" s="245"/>
      <c r="O56" s="245"/>
      <c r="P56" s="246"/>
      <c r="Q56" s="248">
        <f t="shared" si="6"/>
        <v>0</v>
      </c>
      <c r="R56" s="247" t="str" cm="1">
        <f t="array" ref="R56">IF($K56&gt;0, INDEX(Clean,1+AH56,$C$1), "")</f>
        <v/>
      </c>
      <c r="S56" s="245"/>
      <c r="T56" s="245"/>
      <c r="U56" s="246"/>
      <c r="V56" s="248">
        <f t="shared" si="7"/>
        <v>0</v>
      </c>
      <c r="W56" s="261"/>
      <c r="X56" s="258"/>
      <c r="Y56" s="240"/>
      <c r="Z56" s="241" t="str">
        <f>IF(ISBLANK(Y56), "", VLOOKUP(Y56, Z!$A$2:$C$4127, 3, FALSE))</f>
        <v/>
      </c>
      <c r="AA56" s="262"/>
      <c r="AB56" s="249">
        <f t="shared" si="8"/>
        <v>0</v>
      </c>
      <c r="AC56" s="210"/>
      <c r="AD56" s="236">
        <f t="shared" ref="AD56" si="134">IF(ISBLANK(H56), 1, IFERROR(MATCH(H56, INDEX(Use,,1), 0), IFERROR(MATCH(H56, INDEX(Use,,2), 0), MATCH(H56, INDEX(Use,,3), 0))))</f>
        <v>1</v>
      </c>
      <c r="AE56" s="236">
        <f t="shared" ref="AE56" si="135">IF(ISBLANK(G56), 1, IFERROR(MATCH(G56, INDEX(Loc,,1), 0), IFERROR(MATCH(G56, INDEX(Loc,,2), 0), MATCH(G56, INDEX(Loc,,3), 0))))</f>
        <v>1</v>
      </c>
      <c r="AF56" s="236">
        <f t="shared" ref="AF56" si="136">_xlfn.IFNA(IF(IFERROR(MATCH(I56, INDEX(Medium,,1), 0), IFERROR(MATCH(I56, INDEX(Medium,,2), 0), MATCH(I56, INDEX(Medium,,3), 0))) = 2, 1, 0), 0)</f>
        <v>0</v>
      </c>
      <c r="AG56" s="236">
        <v>1</v>
      </c>
      <c r="AH56" s="236">
        <v>0</v>
      </c>
      <c r="AI56" s="236">
        <f t="shared" si="4"/>
        <v>-100</v>
      </c>
      <c r="AJ56" s="210"/>
      <c r="AK56" s="236">
        <v>14</v>
      </c>
      <c r="AL56" s="250">
        <v>385</v>
      </c>
      <c r="AM56" s="250">
        <v>344</v>
      </c>
      <c r="AN56" s="250">
        <v>378</v>
      </c>
      <c r="AO56" s="251">
        <f t="shared" si="5"/>
        <v>0</v>
      </c>
      <c r="AP56" s="251">
        <f t="shared" si="5"/>
        <v>0</v>
      </c>
      <c r="AQ56" s="251" cm="1">
        <f t="array" ref="AQ56">MIN(INDEX(Use,AQ$21,5) + MAX(0, (1-INDEX(Use,AQ$21,5))*($AK56-5)/(35-5)), 1)</f>
        <v>0.58000000000000007</v>
      </c>
      <c r="AR56" s="251" cm="1">
        <f t="array" ref="AR56">MIN(INDEX(Use,AR$21,5) + MAX(0, (1-INDEX(Use,AR$21,5))*($AK56-5)/(35-5)), 1)</f>
        <v>0.72</v>
      </c>
      <c r="AS56" s="251" cm="1">
        <f t="array" ref="AS56">MIN(INDEX(Use,AS$21,5) + MAX(0, (1-INDEX(Use,AS$21,5))*($AK56-5)/(35-5)), 1)</f>
        <v>0.86</v>
      </c>
      <c r="AT56" s="251" cm="1">
        <f t="array" ref="AT56">MIN(INDEX(Use,AT$21,5) + MAX(0, (1-INDEX(Use,AT$21,5))*($AK56-5)/(35-5)), 1)</f>
        <v>0.86</v>
      </c>
      <c r="AU56" s="251" cm="1">
        <f t="array" ref="AU56">MIN(INDEX(Use,AU$21,5) + MAX(0, (1-INDEX(Use,AU$21,5))*($AK56-5)/(35-5)), 1)</f>
        <v>0.86</v>
      </c>
      <c r="AV56" s="251">
        <v>1</v>
      </c>
      <c r="AW56" s="251">
        <v>0.1</v>
      </c>
      <c r="AX56" s="212"/>
      <c r="AY56" s="236" cm="1">
        <f t="array" ref="AY56">INDEX(Use, $AD56, 4)</f>
        <v>7</v>
      </c>
      <c r="AZ56" s="236">
        <f t="shared" si="12"/>
        <v>32</v>
      </c>
      <c r="BA56" s="236">
        <f t="shared" si="13"/>
        <v>13</v>
      </c>
      <c r="BB56" s="236">
        <f t="shared" si="14"/>
        <v>0</v>
      </c>
      <c r="BC56" s="252" cm="1">
        <f t="array" ref="BC56">K56/IF($L56&gt;0, INDEX($AO$23:$AU$77, $L56+20, $AD56), 1)</f>
        <v>0</v>
      </c>
      <c r="BD56" s="237">
        <f t="shared" si="15"/>
        <v>0</v>
      </c>
      <c r="BE56" s="236">
        <v>35</v>
      </c>
      <c r="BF56" s="237">
        <f t="shared" si="16"/>
        <v>52.55</v>
      </c>
      <c r="BG56" s="253">
        <f t="shared" si="17"/>
        <v>2.7676728869374316</v>
      </c>
      <c r="BH56" s="253" cm="1">
        <f t="array" ref="BH56">$BC56 * SUMPRODUCT(INDEX($AL$77:$AN$82,,$AE56),INDEX($AO$77:$AU$82,,$AD56), N($AK$77:$AK$82&gt;$AI56)) / BG56 / 1000</f>
        <v>0</v>
      </c>
      <c r="BI56" s="250">
        <f t="shared" si="18"/>
        <v>30</v>
      </c>
      <c r="BJ56" s="237">
        <f t="shared" si="19"/>
        <v>46.033333333333331</v>
      </c>
      <c r="BK56" s="253">
        <f t="shared" si="20"/>
        <v>3.2297395388556791</v>
      </c>
      <c r="BL56" s="253" cm="1">
        <f t="array" ref="BL56">$BC56 * IF($AD56&lt;=2,
SUMPRODUCT(INDEX($AL$72:$AN$76,,$AE56), INDEX($AO$72:$AU$76,,$AD56), 1 / ($AV$72:$AV$76*BK56 + (1-$AV$72:$AV$76)*BG56), N($AK$72:$AK$76&gt;$AI56)),
SUMPRODUCT(INDEX($AL$67:$AN$76,,$AE56), INDEX($AO$67:$AU$76,,$AD56), 1 / ($AW$67:$AW$76*BK56 + (1-$AW$67:$AW$76)*BG56), N($AK$67:$AK$76&gt;$AI56))
) / 1000</f>
        <v>0</v>
      </c>
      <c r="BM56" s="250">
        <f t="shared" si="21"/>
        <v>25</v>
      </c>
      <c r="BN56" s="237">
        <f t="shared" si="22"/>
        <v>39.516666666666666</v>
      </c>
      <c r="BO56" s="253">
        <f t="shared" si="23"/>
        <v>3.877011788826243</v>
      </c>
      <c r="BP56" s="253" cm="1">
        <f t="array" ref="BP56">$BC56 * IF($AD56&lt;=2,
SUMPRODUCT(INDEX($AL$67:$AN$71,,$AE56), INDEX($AO$67:$AU$71,,$AD56), 1 / ($AV$67:$AV$71*BO56 + (1-$AV$67:$AV$71)*BK56), N($AK$67:$AK$71&gt;$AI56)),
SUMPRODUCT(INDEX($AL$57:$AN$66,,$AE56), INDEX($AO$57:$AU$66,,$AD56), 1 / ($AW$57:$AW$66*BO56 + (1-$AW$57:$AW$66)*BK56), N($AK$57:$AK$66&gt;$AI56))
) / 1000</f>
        <v>0</v>
      </c>
      <c r="BQ56" s="250">
        <f t="shared" si="24"/>
        <v>20</v>
      </c>
      <c r="BR56" s="237">
        <f t="shared" si="25"/>
        <v>33</v>
      </c>
      <c r="BS56" s="253">
        <f t="shared" si="26"/>
        <v>4.8487499999999999</v>
      </c>
      <c r="BT56" s="253" cm="1">
        <f t="array" ref="BT56">$BC56 * IF($AD56&lt;=2,
SUMPRODUCT(INDEX($AL$62:$AN$66,,$AE56), INDEX($AO$62:$AU$66,,$AD56), 1 / ($AV$62:$AV$66*BS56 + (1-$AV$62:$AV$66)*BO56), N($AK$62:$AK$66&gt;$AI56)),
SUMPRODUCT(INDEX($AL$47:$AN$56,,$AE56), INDEX($AO$47:$AU$56,,$AD56), 1 / ($AW$47:$AW$56*BS56 + (1-$AW$47:$AW$56)*BO56), N($AK$47:$AK$56&gt;$AI56))
) / 1000</f>
        <v>0</v>
      </c>
      <c r="BU56" s="253" cm="1">
        <f t="array" ref="BU56">$BC56 * IF($AD56&lt;=2,
SUMPRODUCT(INDEX($AL$23:$AN$61,,$AE56), INDEX($AO$23:$AU$61,,$AD56), 1 / ($AV$23:$AV$61*BS56), N($AK$23:$AK$61&gt;$AI56)),
SUMPRODUCT(INDEX($AL$23:$AN$46,,$AE56), INDEX($AO$23:$AU$46,,$AD56), 1 / ($AW$23:$AW$46*BS56), N($AK$23:$AK$46&gt;$AI56))
) / 1000</f>
        <v>0</v>
      </c>
      <c r="BV56" s="237">
        <f t="shared" si="27"/>
        <v>0</v>
      </c>
      <c r="BW56" s="210"/>
      <c r="BX56" s="237">
        <f t="shared" si="28"/>
        <v>0</v>
      </c>
      <c r="BY56" s="236">
        <v>35</v>
      </c>
      <c r="BZ56" s="237">
        <f t="shared" si="29"/>
        <v>48</v>
      </c>
      <c r="CA56" s="253">
        <f t="shared" si="30"/>
        <v>3.0748170731707316</v>
      </c>
      <c r="CB56" s="253" cm="1">
        <f t="array" ref="CB56">$BC56 * SUMPRODUCT(INDEX($AL$77:$AN$82,,$AE56),INDEX($AO$77:$AU$82,,$AD56), N($AK$77:$AK$82&gt;$AI56)) / CA56 / 1000</f>
        <v>0</v>
      </c>
      <c r="CC56" s="250">
        <f t="shared" si="31"/>
        <v>30</v>
      </c>
      <c r="CD56" s="237">
        <f t="shared" si="32"/>
        <v>43</v>
      </c>
      <c r="CE56" s="253">
        <f t="shared" si="33"/>
        <v>3.5018750000000001</v>
      </c>
      <c r="CF56" s="253" cm="1">
        <f t="array" ref="CF56">$BC56 * IF($AD56&lt;=2,
SUMPRODUCT(INDEX($AL$72:$AN$76,,$AE56), INDEX($AO$72:$AU$76,,$AD56), 1 / ($AV$72:$AV$76*CE56 + (1-$AV$72:$AV$76)*CA56), N($AK$72:$AK$76&gt;$AI56)),
SUMPRODUCT(INDEX($AL$67:$AN$76,,$AE56), INDEX($AO$67:$AU$76,,$AD56), 1 / ($AW$67:$AW$76*CE56 + (1-$AW$67:$AW$76)*CA56), N($AK$67:$AK$76&gt;$AI56))
) / 1000</f>
        <v>0</v>
      </c>
      <c r="CG56" s="250">
        <f t="shared" si="34"/>
        <v>25</v>
      </c>
      <c r="CH56" s="237">
        <f t="shared" si="35"/>
        <v>38</v>
      </c>
      <c r="CI56" s="253">
        <f t="shared" si="36"/>
        <v>4.0666935483870965</v>
      </c>
      <c r="CJ56" s="253" cm="1">
        <f t="array" ref="CJ56">$BC56 * IF($AD56&lt;=2,
SUMPRODUCT(INDEX($AL$67:$AN$71,,$AE56), INDEX($AO$67:$AU$71,,$AD56), 1 / ($AV$67:$AV$71*CI56 + (1-$AV$67:$AV$71)*CE56), N($AK$67:$AK$71&gt;$AI56)),
SUMPRODUCT(INDEX($AL$57:$AN$66,,$AE56), INDEX($AO$57:$AU$66,,$AD56), 1 / ($AW$57:$AW$66*CI56 + (1-$AW$57:$AW$66)*CE56), N($AK$57:$AK$66&gt;$AI56))
) / 1000</f>
        <v>0</v>
      </c>
      <c r="CK56" s="250">
        <f t="shared" si="37"/>
        <v>20</v>
      </c>
      <c r="CL56" s="237">
        <f t="shared" si="38"/>
        <v>33</v>
      </c>
      <c r="CM56" s="253">
        <f t="shared" si="39"/>
        <v>4.8487499999999999</v>
      </c>
      <c r="CN56" s="253" cm="1">
        <f t="array" ref="CN56">$BC56 * IF($AD56&lt;=2,
SUMPRODUCT(INDEX($AL$62:$AN$66,,$AE56), INDEX($AO$62:$AU$66,,$AD56), 1 / ($AV$62:$AV$66*CM56 + (1-$AV$62:$AV$66)*CI56), N($AK$62:$AK$66&gt;$AI56)),
SUMPRODUCT(INDEX($AL$47:$AN$56,,$AE56), INDEX($AO$47:$AU$56,,$AD56), 1 / ($AW$47:$AW$56*CM56 + (1-$AW$47:$AW$56)*CI56), N($AK$47:$AK$56&gt;$AI56))
) / 1000</f>
        <v>0</v>
      </c>
      <c r="CO56" s="253" cm="1">
        <f t="array" ref="CO56">$BC56 * IF($AD56&lt;=2,
SUMPRODUCT(INDEX($AL$23:$AN$61,,$AE56), INDEX($AO$23:$AU$61,,$AD56), 1 / ($AV$23:$AV$61*CM56), N($AK$23:$AK$61&gt;$AI56)),
SUMPRODUCT(INDEX($AL$23:$AN$46,,$AE56), INDEX($AO$23:$AU$46,,$AD56), 1 / ($AW$23:$AW$46*CM56), N($AK$23:$AK$46&gt;$AI56))
) / 1000</f>
        <v>0</v>
      </c>
      <c r="CP56" s="237">
        <f t="shared" si="40"/>
        <v>0</v>
      </c>
      <c r="CQ56" s="210"/>
    </row>
    <row r="57" spans="1:95" s="76" customFormat="1" ht="14.25" customHeight="1" x14ac:dyDescent="0.25">
      <c r="A57" s="238" t="b">
        <f t="shared" si="0"/>
        <v>0</v>
      </c>
      <c r="B57" s="239">
        <v>35</v>
      </c>
      <c r="C57" s="258"/>
      <c r="D57" s="258"/>
      <c r="E57" s="240"/>
      <c r="F57" s="241" t="str">
        <f>IF(ISBLANK(E57), "", VLOOKUP(E57, Z!$A$2:$C$4127, 3, FALSE))</f>
        <v/>
      </c>
      <c r="G57" s="242"/>
      <c r="H57" s="242"/>
      <c r="I57" s="243"/>
      <c r="J57" s="244"/>
      <c r="K57" s="259"/>
      <c r="L57" s="260"/>
      <c r="M57" s="247" t="str" cm="1">
        <f t="array" ref="M57">IF($K57&gt;0, INDEX(Clean,1+AG57,$C$1), "")</f>
        <v/>
      </c>
      <c r="N57" s="245"/>
      <c r="O57" s="245"/>
      <c r="P57" s="246"/>
      <c r="Q57" s="248">
        <f t="shared" si="6"/>
        <v>0</v>
      </c>
      <c r="R57" s="247" t="str" cm="1">
        <f t="array" ref="R57">IF($K57&gt;0, INDEX(Clean,1+AH57,$C$1), "")</f>
        <v/>
      </c>
      <c r="S57" s="245"/>
      <c r="T57" s="245"/>
      <c r="U57" s="246"/>
      <c r="V57" s="248">
        <f t="shared" si="7"/>
        <v>0</v>
      </c>
      <c r="W57" s="261"/>
      <c r="X57" s="258"/>
      <c r="Y57" s="240"/>
      <c r="Z57" s="241" t="str">
        <f>IF(ISBLANK(Y57), "", VLOOKUP(Y57, Z!$A$2:$C$4127, 3, FALSE))</f>
        <v/>
      </c>
      <c r="AA57" s="262"/>
      <c r="AB57" s="249">
        <f t="shared" si="8"/>
        <v>0</v>
      </c>
      <c r="AC57" s="210"/>
      <c r="AD57" s="236">
        <f t="shared" ref="AD57" si="137">IF(ISBLANK(H57), 1, IFERROR(MATCH(H57, INDEX(Use,,1), 0), IFERROR(MATCH(H57, INDEX(Use,,2), 0), MATCH(H57, INDEX(Use,,3), 0))))</f>
        <v>1</v>
      </c>
      <c r="AE57" s="236">
        <f t="shared" ref="AE57" si="138">IF(ISBLANK(G57), 1, IFERROR(MATCH(G57, INDEX(Loc,,1), 0), IFERROR(MATCH(G57, INDEX(Loc,,2), 0), MATCH(G57, INDEX(Loc,,3), 0))))</f>
        <v>1</v>
      </c>
      <c r="AF57" s="236">
        <f t="shared" ref="AF57" si="139">_xlfn.IFNA(IF(IFERROR(MATCH(I57, INDEX(Medium,,1), 0), IFERROR(MATCH(I57, INDEX(Medium,,2), 0), MATCH(I57, INDEX(Medium,,3), 0))) = 2, 1, 0), 0)</f>
        <v>0</v>
      </c>
      <c r="AG57" s="236">
        <v>1</v>
      </c>
      <c r="AH57" s="236">
        <v>0</v>
      </c>
      <c r="AI57" s="236">
        <f t="shared" si="4"/>
        <v>-100</v>
      </c>
      <c r="AJ57" s="210"/>
      <c r="AK57" s="236">
        <v>15</v>
      </c>
      <c r="AL57" s="250">
        <v>404</v>
      </c>
      <c r="AM57" s="250">
        <v>375</v>
      </c>
      <c r="AN57" s="250">
        <v>330</v>
      </c>
      <c r="AO57" s="251">
        <f t="shared" si="5"/>
        <v>0</v>
      </c>
      <c r="AP57" s="251">
        <f t="shared" si="5"/>
        <v>0</v>
      </c>
      <c r="AQ57" s="251" cm="1">
        <f t="array" ref="AQ57">MIN(INDEX(Use,AQ$21,5) + MAX(0, (1-INDEX(Use,AQ$21,5))*($AK57-5)/(35-5)), 1)</f>
        <v>0.60000000000000009</v>
      </c>
      <c r="AR57" s="251" cm="1">
        <f t="array" ref="AR57">MIN(INDEX(Use,AR$21,5) + MAX(0, (1-INDEX(Use,AR$21,5))*($AK57-5)/(35-5)), 1)</f>
        <v>0.73333333333333328</v>
      </c>
      <c r="AS57" s="251" cm="1">
        <f t="array" ref="AS57">MIN(INDEX(Use,AS$21,5) + MAX(0, (1-INDEX(Use,AS$21,5))*($AK57-5)/(35-5)), 1)</f>
        <v>0.8666666666666667</v>
      </c>
      <c r="AT57" s="251" cm="1">
        <f t="array" ref="AT57">MIN(INDEX(Use,AT$21,5) + MAX(0, (1-INDEX(Use,AT$21,5))*($AK57-5)/(35-5)), 1)</f>
        <v>0.8666666666666667</v>
      </c>
      <c r="AU57" s="251" cm="1">
        <f t="array" ref="AU57">MIN(INDEX(Use,AU$21,5) + MAX(0, (1-INDEX(Use,AU$21,5))*($AK57-5)/(35-5)), 1)</f>
        <v>0.8666666666666667</v>
      </c>
      <c r="AV57" s="251">
        <v>1</v>
      </c>
      <c r="AW57" s="251">
        <v>1</v>
      </c>
      <c r="AX57" s="212"/>
      <c r="AY57" s="236" cm="1">
        <f t="array" ref="AY57">INDEX(Use, $AD57, 4)</f>
        <v>7</v>
      </c>
      <c r="AZ57" s="236">
        <f t="shared" si="12"/>
        <v>32</v>
      </c>
      <c r="BA57" s="236">
        <f t="shared" si="13"/>
        <v>13</v>
      </c>
      <c r="BB57" s="236">
        <f t="shared" si="14"/>
        <v>0</v>
      </c>
      <c r="BC57" s="252" cm="1">
        <f t="array" ref="BC57">K57/IF($L57&gt;0, INDEX($AO$23:$AU$77, $L57+20, $AD57), 1)</f>
        <v>0</v>
      </c>
      <c r="BD57" s="237">
        <f t="shared" si="15"/>
        <v>0</v>
      </c>
      <c r="BE57" s="236">
        <v>35</v>
      </c>
      <c r="BF57" s="237">
        <f t="shared" si="16"/>
        <v>52.55</v>
      </c>
      <c r="BG57" s="253">
        <f t="shared" si="17"/>
        <v>2.7676728869374316</v>
      </c>
      <c r="BH57" s="253" cm="1">
        <f t="array" ref="BH57">$BC57 * SUMPRODUCT(INDEX($AL$77:$AN$82,,$AE57),INDEX($AO$77:$AU$82,,$AD57), N($AK$77:$AK$82&gt;$AI57)) / BG57 / 1000</f>
        <v>0</v>
      </c>
      <c r="BI57" s="250">
        <f t="shared" si="18"/>
        <v>30</v>
      </c>
      <c r="BJ57" s="237">
        <f t="shared" si="19"/>
        <v>46.033333333333331</v>
      </c>
      <c r="BK57" s="253">
        <f t="shared" si="20"/>
        <v>3.2297395388556791</v>
      </c>
      <c r="BL57" s="253" cm="1">
        <f t="array" ref="BL57">$BC57 * IF($AD57&lt;=2,
SUMPRODUCT(INDEX($AL$72:$AN$76,,$AE57), INDEX($AO$72:$AU$76,,$AD57), 1 / ($AV$72:$AV$76*BK57 + (1-$AV$72:$AV$76)*BG57), N($AK$72:$AK$76&gt;$AI57)),
SUMPRODUCT(INDEX($AL$67:$AN$76,,$AE57), INDEX($AO$67:$AU$76,,$AD57), 1 / ($AW$67:$AW$76*BK57 + (1-$AW$67:$AW$76)*BG57), N($AK$67:$AK$76&gt;$AI57))
) / 1000</f>
        <v>0</v>
      </c>
      <c r="BM57" s="250">
        <f t="shared" si="21"/>
        <v>25</v>
      </c>
      <c r="BN57" s="237">
        <f t="shared" si="22"/>
        <v>39.516666666666666</v>
      </c>
      <c r="BO57" s="253">
        <f t="shared" si="23"/>
        <v>3.877011788826243</v>
      </c>
      <c r="BP57" s="253" cm="1">
        <f t="array" ref="BP57">$BC57 * IF($AD57&lt;=2,
SUMPRODUCT(INDEX($AL$67:$AN$71,,$AE57), INDEX($AO$67:$AU$71,,$AD57), 1 / ($AV$67:$AV$71*BO57 + (1-$AV$67:$AV$71)*BK57), N($AK$67:$AK$71&gt;$AI57)),
SUMPRODUCT(INDEX($AL$57:$AN$66,,$AE57), INDEX($AO$57:$AU$66,,$AD57), 1 / ($AW$57:$AW$66*BO57 + (1-$AW$57:$AW$66)*BK57), N($AK$57:$AK$66&gt;$AI57))
) / 1000</f>
        <v>0</v>
      </c>
      <c r="BQ57" s="250">
        <f t="shared" si="24"/>
        <v>20</v>
      </c>
      <c r="BR57" s="237">
        <f t="shared" si="25"/>
        <v>33</v>
      </c>
      <c r="BS57" s="253">
        <f t="shared" si="26"/>
        <v>4.8487499999999999</v>
      </c>
      <c r="BT57" s="253" cm="1">
        <f t="array" ref="BT57">$BC57 * IF($AD57&lt;=2,
SUMPRODUCT(INDEX($AL$62:$AN$66,,$AE57), INDEX($AO$62:$AU$66,,$AD57), 1 / ($AV$62:$AV$66*BS57 + (1-$AV$62:$AV$66)*BO57), N($AK$62:$AK$66&gt;$AI57)),
SUMPRODUCT(INDEX($AL$47:$AN$56,,$AE57), INDEX($AO$47:$AU$56,,$AD57), 1 / ($AW$47:$AW$56*BS57 + (1-$AW$47:$AW$56)*BO57), N($AK$47:$AK$56&gt;$AI57))
) / 1000</f>
        <v>0</v>
      </c>
      <c r="BU57" s="253" cm="1">
        <f t="array" ref="BU57">$BC57 * IF($AD57&lt;=2,
SUMPRODUCT(INDEX($AL$23:$AN$61,,$AE57), INDEX($AO$23:$AU$61,,$AD57), 1 / ($AV$23:$AV$61*BS57), N($AK$23:$AK$61&gt;$AI57)),
SUMPRODUCT(INDEX($AL$23:$AN$46,,$AE57), INDEX($AO$23:$AU$46,,$AD57), 1 / ($AW$23:$AW$46*BS57), N($AK$23:$AK$46&gt;$AI57))
) / 1000</f>
        <v>0</v>
      </c>
      <c r="BV57" s="237">
        <f t="shared" si="27"/>
        <v>0</v>
      </c>
      <c r="BW57" s="210"/>
      <c r="BX57" s="237">
        <f t="shared" si="28"/>
        <v>0</v>
      </c>
      <c r="BY57" s="236">
        <v>35</v>
      </c>
      <c r="BZ57" s="237">
        <f t="shared" si="29"/>
        <v>48</v>
      </c>
      <c r="CA57" s="253">
        <f t="shared" si="30"/>
        <v>3.0748170731707316</v>
      </c>
      <c r="CB57" s="253" cm="1">
        <f t="array" ref="CB57">$BC57 * SUMPRODUCT(INDEX($AL$77:$AN$82,,$AE57),INDEX($AO$77:$AU$82,,$AD57), N($AK$77:$AK$82&gt;$AI57)) / CA57 / 1000</f>
        <v>0</v>
      </c>
      <c r="CC57" s="250">
        <f t="shared" si="31"/>
        <v>30</v>
      </c>
      <c r="CD57" s="237">
        <f t="shared" si="32"/>
        <v>43</v>
      </c>
      <c r="CE57" s="253">
        <f t="shared" si="33"/>
        <v>3.5018750000000001</v>
      </c>
      <c r="CF57" s="253" cm="1">
        <f t="array" ref="CF57">$BC57 * IF($AD57&lt;=2,
SUMPRODUCT(INDEX($AL$72:$AN$76,,$AE57), INDEX($AO$72:$AU$76,,$AD57), 1 / ($AV$72:$AV$76*CE57 + (1-$AV$72:$AV$76)*CA57), N($AK$72:$AK$76&gt;$AI57)),
SUMPRODUCT(INDEX($AL$67:$AN$76,,$AE57), INDEX($AO$67:$AU$76,,$AD57), 1 / ($AW$67:$AW$76*CE57 + (1-$AW$67:$AW$76)*CA57), N($AK$67:$AK$76&gt;$AI57))
) / 1000</f>
        <v>0</v>
      </c>
      <c r="CG57" s="250">
        <f t="shared" si="34"/>
        <v>25</v>
      </c>
      <c r="CH57" s="237">
        <f t="shared" si="35"/>
        <v>38</v>
      </c>
      <c r="CI57" s="253">
        <f t="shared" si="36"/>
        <v>4.0666935483870965</v>
      </c>
      <c r="CJ57" s="253" cm="1">
        <f t="array" ref="CJ57">$BC57 * IF($AD57&lt;=2,
SUMPRODUCT(INDEX($AL$67:$AN$71,,$AE57), INDEX($AO$67:$AU$71,,$AD57), 1 / ($AV$67:$AV$71*CI57 + (1-$AV$67:$AV$71)*CE57), N($AK$67:$AK$71&gt;$AI57)),
SUMPRODUCT(INDEX($AL$57:$AN$66,,$AE57), INDEX($AO$57:$AU$66,,$AD57), 1 / ($AW$57:$AW$66*CI57 + (1-$AW$57:$AW$66)*CE57), N($AK$57:$AK$66&gt;$AI57))
) / 1000</f>
        <v>0</v>
      </c>
      <c r="CK57" s="250">
        <f t="shared" si="37"/>
        <v>20</v>
      </c>
      <c r="CL57" s="237">
        <f t="shared" si="38"/>
        <v>33</v>
      </c>
      <c r="CM57" s="253">
        <f t="shared" si="39"/>
        <v>4.8487499999999999</v>
      </c>
      <c r="CN57" s="253" cm="1">
        <f t="array" ref="CN57">$BC57 * IF($AD57&lt;=2,
SUMPRODUCT(INDEX($AL$62:$AN$66,,$AE57), INDEX($AO$62:$AU$66,,$AD57), 1 / ($AV$62:$AV$66*CM57 + (1-$AV$62:$AV$66)*CI57), N($AK$62:$AK$66&gt;$AI57)),
SUMPRODUCT(INDEX($AL$47:$AN$56,,$AE57), INDEX($AO$47:$AU$56,,$AD57), 1 / ($AW$47:$AW$56*CM57 + (1-$AW$47:$AW$56)*CI57), N($AK$47:$AK$56&gt;$AI57))
) / 1000</f>
        <v>0</v>
      </c>
      <c r="CO57" s="253" cm="1">
        <f t="array" ref="CO57">$BC57 * IF($AD57&lt;=2,
SUMPRODUCT(INDEX($AL$23:$AN$61,,$AE57), INDEX($AO$23:$AU$61,,$AD57), 1 / ($AV$23:$AV$61*CM57), N($AK$23:$AK$61&gt;$AI57)),
SUMPRODUCT(INDEX($AL$23:$AN$46,,$AE57), INDEX($AO$23:$AU$46,,$AD57), 1 / ($AW$23:$AW$46*CM57), N($AK$23:$AK$46&gt;$AI57))
) / 1000</f>
        <v>0</v>
      </c>
      <c r="CP57" s="237">
        <f t="shared" si="40"/>
        <v>0</v>
      </c>
      <c r="CQ57" s="210"/>
    </row>
    <row r="58" spans="1:95" s="76" customFormat="1" ht="14.25" customHeight="1" x14ac:dyDescent="0.25">
      <c r="A58" s="238" t="b">
        <f t="shared" si="0"/>
        <v>0</v>
      </c>
      <c r="B58" s="239">
        <v>36</v>
      </c>
      <c r="C58" s="258"/>
      <c r="D58" s="258"/>
      <c r="E58" s="240"/>
      <c r="F58" s="241" t="str">
        <f>IF(ISBLANK(E58), "", VLOOKUP(E58, Z!$A$2:$C$4127, 3, FALSE))</f>
        <v/>
      </c>
      <c r="G58" s="242"/>
      <c r="H58" s="242"/>
      <c r="I58" s="243"/>
      <c r="J58" s="244"/>
      <c r="K58" s="259"/>
      <c r="L58" s="260"/>
      <c r="M58" s="247" t="str" cm="1">
        <f t="array" ref="M58">IF($K58&gt;0, INDEX(Clean,1+AG58,$C$1), "")</f>
        <v/>
      </c>
      <c r="N58" s="245"/>
      <c r="O58" s="245"/>
      <c r="P58" s="246"/>
      <c r="Q58" s="248">
        <f t="shared" si="6"/>
        <v>0</v>
      </c>
      <c r="R58" s="247" t="str" cm="1">
        <f t="array" ref="R58">IF($K58&gt;0, INDEX(Clean,1+AH58,$C$1), "")</f>
        <v/>
      </c>
      <c r="S58" s="245"/>
      <c r="T58" s="245"/>
      <c r="U58" s="246"/>
      <c r="V58" s="248">
        <f t="shared" si="7"/>
        <v>0</v>
      </c>
      <c r="W58" s="261"/>
      <c r="X58" s="258"/>
      <c r="Y58" s="240"/>
      <c r="Z58" s="241" t="str">
        <f>IF(ISBLANK(Y58), "", VLOOKUP(Y58, Z!$A$2:$C$4127, 3, FALSE))</f>
        <v/>
      </c>
      <c r="AA58" s="262"/>
      <c r="AB58" s="249">
        <f t="shared" si="8"/>
        <v>0</v>
      </c>
      <c r="AC58" s="210"/>
      <c r="AD58" s="236">
        <f t="shared" ref="AD58" si="140">IF(ISBLANK(H58), 1, IFERROR(MATCH(H58, INDEX(Use,,1), 0), IFERROR(MATCH(H58, INDEX(Use,,2), 0), MATCH(H58, INDEX(Use,,3), 0))))</f>
        <v>1</v>
      </c>
      <c r="AE58" s="236">
        <f t="shared" ref="AE58" si="141">IF(ISBLANK(G58), 1, IFERROR(MATCH(G58, INDEX(Loc,,1), 0), IFERROR(MATCH(G58, INDEX(Loc,,2), 0), MATCH(G58, INDEX(Loc,,3), 0))))</f>
        <v>1</v>
      </c>
      <c r="AF58" s="236">
        <f t="shared" ref="AF58" si="142">_xlfn.IFNA(IF(IFERROR(MATCH(I58, INDEX(Medium,,1), 0), IFERROR(MATCH(I58, INDEX(Medium,,2), 0), MATCH(I58, INDEX(Medium,,3), 0))) = 2, 1, 0), 0)</f>
        <v>0</v>
      </c>
      <c r="AG58" s="236">
        <v>1</v>
      </c>
      <c r="AH58" s="236">
        <v>0</v>
      </c>
      <c r="AI58" s="236">
        <f t="shared" si="4"/>
        <v>-100</v>
      </c>
      <c r="AJ58" s="210"/>
      <c r="AK58" s="236">
        <v>16</v>
      </c>
      <c r="AL58" s="250">
        <v>395</v>
      </c>
      <c r="AM58" s="250">
        <v>374</v>
      </c>
      <c r="AN58" s="250">
        <v>390</v>
      </c>
      <c r="AO58" s="251">
        <f t="shared" si="5"/>
        <v>0</v>
      </c>
      <c r="AP58" s="251">
        <f t="shared" si="5"/>
        <v>0</v>
      </c>
      <c r="AQ58" s="251" cm="1">
        <f t="array" ref="AQ58">MIN(INDEX(Use,AQ$21,5) + MAX(0, (1-INDEX(Use,AQ$21,5))*($AK58-5)/(35-5)), 1)</f>
        <v>0.62</v>
      </c>
      <c r="AR58" s="251" cm="1">
        <f t="array" ref="AR58">MIN(INDEX(Use,AR$21,5) + MAX(0, (1-INDEX(Use,AR$21,5))*($AK58-5)/(35-5)), 1)</f>
        <v>0.74666666666666659</v>
      </c>
      <c r="AS58" s="251" cm="1">
        <f t="array" ref="AS58">MIN(INDEX(Use,AS$21,5) + MAX(0, (1-INDEX(Use,AS$21,5))*($AK58-5)/(35-5)), 1)</f>
        <v>0.87333333333333329</v>
      </c>
      <c r="AT58" s="251" cm="1">
        <f t="array" ref="AT58">MIN(INDEX(Use,AT$21,5) + MAX(0, (1-INDEX(Use,AT$21,5))*($AK58-5)/(35-5)), 1)</f>
        <v>0.87333333333333329</v>
      </c>
      <c r="AU58" s="251" cm="1">
        <f t="array" ref="AU58">MIN(INDEX(Use,AU$21,5) + MAX(0, (1-INDEX(Use,AU$21,5))*($AK58-5)/(35-5)), 1)</f>
        <v>0.87333333333333329</v>
      </c>
      <c r="AV58" s="251">
        <v>1</v>
      </c>
      <c r="AW58" s="251">
        <v>0.9</v>
      </c>
      <c r="AX58" s="212"/>
      <c r="AY58" s="236" cm="1">
        <f t="array" ref="AY58">INDEX(Use, $AD58, 4)</f>
        <v>7</v>
      </c>
      <c r="AZ58" s="236">
        <f t="shared" si="12"/>
        <v>32</v>
      </c>
      <c r="BA58" s="236">
        <f t="shared" si="13"/>
        <v>13</v>
      </c>
      <c r="BB58" s="236">
        <f t="shared" si="14"/>
        <v>0</v>
      </c>
      <c r="BC58" s="252" cm="1">
        <f t="array" ref="BC58">K58/IF($L58&gt;0, INDEX($AO$23:$AU$77, $L58+20, $AD58), 1)</f>
        <v>0</v>
      </c>
      <c r="BD58" s="237">
        <f t="shared" si="15"/>
        <v>0</v>
      </c>
      <c r="BE58" s="236">
        <v>35</v>
      </c>
      <c r="BF58" s="237">
        <f t="shared" si="16"/>
        <v>52.55</v>
      </c>
      <c r="BG58" s="253">
        <f t="shared" si="17"/>
        <v>2.7676728869374316</v>
      </c>
      <c r="BH58" s="253" cm="1">
        <f t="array" ref="BH58">$BC58 * SUMPRODUCT(INDEX($AL$77:$AN$82,,$AE58),INDEX($AO$77:$AU$82,,$AD58), N($AK$77:$AK$82&gt;$AI58)) / BG58 / 1000</f>
        <v>0</v>
      </c>
      <c r="BI58" s="250">
        <f t="shared" si="18"/>
        <v>30</v>
      </c>
      <c r="BJ58" s="237">
        <f t="shared" si="19"/>
        <v>46.033333333333331</v>
      </c>
      <c r="BK58" s="253">
        <f t="shared" si="20"/>
        <v>3.2297395388556791</v>
      </c>
      <c r="BL58" s="253" cm="1">
        <f t="array" ref="BL58">$BC58 * IF($AD58&lt;=2,
SUMPRODUCT(INDEX($AL$72:$AN$76,,$AE58), INDEX($AO$72:$AU$76,,$AD58), 1 / ($AV$72:$AV$76*BK58 + (1-$AV$72:$AV$76)*BG58), N($AK$72:$AK$76&gt;$AI58)),
SUMPRODUCT(INDEX($AL$67:$AN$76,,$AE58), INDEX($AO$67:$AU$76,,$AD58), 1 / ($AW$67:$AW$76*BK58 + (1-$AW$67:$AW$76)*BG58), N($AK$67:$AK$76&gt;$AI58))
) / 1000</f>
        <v>0</v>
      </c>
      <c r="BM58" s="250">
        <f t="shared" si="21"/>
        <v>25</v>
      </c>
      <c r="BN58" s="237">
        <f t="shared" si="22"/>
        <v>39.516666666666666</v>
      </c>
      <c r="BO58" s="253">
        <f t="shared" si="23"/>
        <v>3.877011788826243</v>
      </c>
      <c r="BP58" s="253" cm="1">
        <f t="array" ref="BP58">$BC58 * IF($AD58&lt;=2,
SUMPRODUCT(INDEX($AL$67:$AN$71,,$AE58), INDEX($AO$67:$AU$71,,$AD58), 1 / ($AV$67:$AV$71*BO58 + (1-$AV$67:$AV$71)*BK58), N($AK$67:$AK$71&gt;$AI58)),
SUMPRODUCT(INDEX($AL$57:$AN$66,,$AE58), INDEX($AO$57:$AU$66,,$AD58), 1 / ($AW$57:$AW$66*BO58 + (1-$AW$57:$AW$66)*BK58), N($AK$57:$AK$66&gt;$AI58))
) / 1000</f>
        <v>0</v>
      </c>
      <c r="BQ58" s="250">
        <f t="shared" si="24"/>
        <v>20</v>
      </c>
      <c r="BR58" s="237">
        <f t="shared" si="25"/>
        <v>33</v>
      </c>
      <c r="BS58" s="253">
        <f t="shared" si="26"/>
        <v>4.8487499999999999</v>
      </c>
      <c r="BT58" s="253" cm="1">
        <f t="array" ref="BT58">$BC58 * IF($AD58&lt;=2,
SUMPRODUCT(INDEX($AL$62:$AN$66,,$AE58), INDEX($AO$62:$AU$66,,$AD58), 1 / ($AV$62:$AV$66*BS58 + (1-$AV$62:$AV$66)*BO58), N($AK$62:$AK$66&gt;$AI58)),
SUMPRODUCT(INDEX($AL$47:$AN$56,,$AE58), INDEX($AO$47:$AU$56,,$AD58), 1 / ($AW$47:$AW$56*BS58 + (1-$AW$47:$AW$56)*BO58), N($AK$47:$AK$56&gt;$AI58))
) / 1000</f>
        <v>0</v>
      </c>
      <c r="BU58" s="253" cm="1">
        <f t="array" ref="BU58">$BC58 * IF($AD58&lt;=2,
SUMPRODUCT(INDEX($AL$23:$AN$61,,$AE58), INDEX($AO$23:$AU$61,,$AD58), 1 / ($AV$23:$AV$61*BS58), N($AK$23:$AK$61&gt;$AI58)),
SUMPRODUCT(INDEX($AL$23:$AN$46,,$AE58), INDEX($AO$23:$AU$46,,$AD58), 1 / ($AW$23:$AW$46*BS58), N($AK$23:$AK$46&gt;$AI58))
) / 1000</f>
        <v>0</v>
      </c>
      <c r="BV58" s="237">
        <f t="shared" si="27"/>
        <v>0</v>
      </c>
      <c r="BW58" s="210"/>
      <c r="BX58" s="237">
        <f t="shared" si="28"/>
        <v>0</v>
      </c>
      <c r="BY58" s="236">
        <v>35</v>
      </c>
      <c r="BZ58" s="237">
        <f t="shared" si="29"/>
        <v>48</v>
      </c>
      <c r="CA58" s="253">
        <f t="shared" si="30"/>
        <v>3.0748170731707316</v>
      </c>
      <c r="CB58" s="253" cm="1">
        <f t="array" ref="CB58">$BC58 * SUMPRODUCT(INDEX($AL$77:$AN$82,,$AE58),INDEX($AO$77:$AU$82,,$AD58), N($AK$77:$AK$82&gt;$AI58)) / CA58 / 1000</f>
        <v>0</v>
      </c>
      <c r="CC58" s="250">
        <f t="shared" si="31"/>
        <v>30</v>
      </c>
      <c r="CD58" s="237">
        <f t="shared" si="32"/>
        <v>43</v>
      </c>
      <c r="CE58" s="253">
        <f t="shared" si="33"/>
        <v>3.5018750000000001</v>
      </c>
      <c r="CF58" s="253" cm="1">
        <f t="array" ref="CF58">$BC58 * IF($AD58&lt;=2,
SUMPRODUCT(INDEX($AL$72:$AN$76,,$AE58), INDEX($AO$72:$AU$76,,$AD58), 1 / ($AV$72:$AV$76*CE58 + (1-$AV$72:$AV$76)*CA58), N($AK$72:$AK$76&gt;$AI58)),
SUMPRODUCT(INDEX($AL$67:$AN$76,,$AE58), INDEX($AO$67:$AU$76,,$AD58), 1 / ($AW$67:$AW$76*CE58 + (1-$AW$67:$AW$76)*CA58), N($AK$67:$AK$76&gt;$AI58))
) / 1000</f>
        <v>0</v>
      </c>
      <c r="CG58" s="250">
        <f t="shared" si="34"/>
        <v>25</v>
      </c>
      <c r="CH58" s="237">
        <f t="shared" si="35"/>
        <v>38</v>
      </c>
      <c r="CI58" s="253">
        <f t="shared" si="36"/>
        <v>4.0666935483870965</v>
      </c>
      <c r="CJ58" s="253" cm="1">
        <f t="array" ref="CJ58">$BC58 * IF($AD58&lt;=2,
SUMPRODUCT(INDEX($AL$67:$AN$71,,$AE58), INDEX($AO$67:$AU$71,,$AD58), 1 / ($AV$67:$AV$71*CI58 + (1-$AV$67:$AV$71)*CE58), N($AK$67:$AK$71&gt;$AI58)),
SUMPRODUCT(INDEX($AL$57:$AN$66,,$AE58), INDEX($AO$57:$AU$66,,$AD58), 1 / ($AW$57:$AW$66*CI58 + (1-$AW$57:$AW$66)*CE58), N($AK$57:$AK$66&gt;$AI58))
) / 1000</f>
        <v>0</v>
      </c>
      <c r="CK58" s="250">
        <f t="shared" si="37"/>
        <v>20</v>
      </c>
      <c r="CL58" s="237">
        <f t="shared" si="38"/>
        <v>33</v>
      </c>
      <c r="CM58" s="253">
        <f t="shared" si="39"/>
        <v>4.8487499999999999</v>
      </c>
      <c r="CN58" s="253" cm="1">
        <f t="array" ref="CN58">$BC58 * IF($AD58&lt;=2,
SUMPRODUCT(INDEX($AL$62:$AN$66,,$AE58), INDEX($AO$62:$AU$66,,$AD58), 1 / ($AV$62:$AV$66*CM58 + (1-$AV$62:$AV$66)*CI58), N($AK$62:$AK$66&gt;$AI58)),
SUMPRODUCT(INDEX($AL$47:$AN$56,,$AE58), INDEX($AO$47:$AU$56,,$AD58), 1 / ($AW$47:$AW$56*CM58 + (1-$AW$47:$AW$56)*CI58), N($AK$47:$AK$56&gt;$AI58))
) / 1000</f>
        <v>0</v>
      </c>
      <c r="CO58" s="253" cm="1">
        <f t="array" ref="CO58">$BC58 * IF($AD58&lt;=2,
SUMPRODUCT(INDEX($AL$23:$AN$61,,$AE58), INDEX($AO$23:$AU$61,,$AD58), 1 / ($AV$23:$AV$61*CM58), N($AK$23:$AK$61&gt;$AI58)),
SUMPRODUCT(INDEX($AL$23:$AN$46,,$AE58), INDEX($AO$23:$AU$46,,$AD58), 1 / ($AW$23:$AW$46*CM58), N($AK$23:$AK$46&gt;$AI58))
) / 1000</f>
        <v>0</v>
      </c>
      <c r="CP58" s="237">
        <f t="shared" si="40"/>
        <v>0</v>
      </c>
      <c r="CQ58" s="210"/>
    </row>
    <row r="59" spans="1:95" s="76" customFormat="1" ht="14.25" customHeight="1" x14ac:dyDescent="0.25">
      <c r="A59" s="238" t="b">
        <f t="shared" si="0"/>
        <v>0</v>
      </c>
      <c r="B59" s="239">
        <v>37</v>
      </c>
      <c r="C59" s="258"/>
      <c r="D59" s="258"/>
      <c r="E59" s="240"/>
      <c r="F59" s="241" t="str">
        <f>IF(ISBLANK(E59), "", VLOOKUP(E59, Z!$A$2:$C$4127, 3, FALSE))</f>
        <v/>
      </c>
      <c r="G59" s="242"/>
      <c r="H59" s="242"/>
      <c r="I59" s="243"/>
      <c r="J59" s="244"/>
      <c r="K59" s="259"/>
      <c r="L59" s="260"/>
      <c r="M59" s="247" t="str" cm="1">
        <f t="array" ref="M59">IF($K59&gt;0, INDEX(Clean,1+AG59,$C$1), "")</f>
        <v/>
      </c>
      <c r="N59" s="245"/>
      <c r="O59" s="245"/>
      <c r="P59" s="246"/>
      <c r="Q59" s="248">
        <f t="shared" si="6"/>
        <v>0</v>
      </c>
      <c r="R59" s="247" t="str" cm="1">
        <f t="array" ref="R59">IF($K59&gt;0, INDEX(Clean,1+AH59,$C$1), "")</f>
        <v/>
      </c>
      <c r="S59" s="245"/>
      <c r="T59" s="245"/>
      <c r="U59" s="246"/>
      <c r="V59" s="248">
        <f t="shared" si="7"/>
        <v>0</v>
      </c>
      <c r="W59" s="261"/>
      <c r="X59" s="258"/>
      <c r="Y59" s="240"/>
      <c r="Z59" s="241" t="str">
        <f>IF(ISBLANK(Y59), "", VLOOKUP(Y59, Z!$A$2:$C$4127, 3, FALSE))</f>
        <v/>
      </c>
      <c r="AA59" s="262"/>
      <c r="AB59" s="249">
        <f t="shared" si="8"/>
        <v>0</v>
      </c>
      <c r="AC59" s="210"/>
      <c r="AD59" s="236">
        <f t="shared" ref="AD59" si="143">IF(ISBLANK(H59), 1, IFERROR(MATCH(H59, INDEX(Use,,1), 0), IFERROR(MATCH(H59, INDEX(Use,,2), 0), MATCH(H59, INDEX(Use,,3), 0))))</f>
        <v>1</v>
      </c>
      <c r="AE59" s="236">
        <f t="shared" ref="AE59" si="144">IF(ISBLANK(G59), 1, IFERROR(MATCH(G59, INDEX(Loc,,1), 0), IFERROR(MATCH(G59, INDEX(Loc,,2), 0), MATCH(G59, INDEX(Loc,,3), 0))))</f>
        <v>1</v>
      </c>
      <c r="AF59" s="236">
        <f t="shared" ref="AF59" si="145">_xlfn.IFNA(IF(IFERROR(MATCH(I59, INDEX(Medium,,1), 0), IFERROR(MATCH(I59, INDEX(Medium,,2), 0), MATCH(I59, INDEX(Medium,,3), 0))) = 2, 1, 0), 0)</f>
        <v>0</v>
      </c>
      <c r="AG59" s="236">
        <v>1</v>
      </c>
      <c r="AH59" s="236">
        <v>0</v>
      </c>
      <c r="AI59" s="236">
        <f t="shared" si="4"/>
        <v>-100</v>
      </c>
      <c r="AJ59" s="210"/>
      <c r="AK59" s="236">
        <v>17</v>
      </c>
      <c r="AL59" s="250">
        <v>358</v>
      </c>
      <c r="AM59" s="250">
        <v>301</v>
      </c>
      <c r="AN59" s="250">
        <v>365</v>
      </c>
      <c r="AO59" s="251">
        <f t="shared" si="5"/>
        <v>0</v>
      </c>
      <c r="AP59" s="251">
        <f t="shared" si="5"/>
        <v>0</v>
      </c>
      <c r="AQ59" s="251" cm="1">
        <f t="array" ref="AQ59">MIN(INDEX(Use,AQ$21,5) + MAX(0, (1-INDEX(Use,AQ$21,5))*($AK59-5)/(35-5)), 1)</f>
        <v>0.64</v>
      </c>
      <c r="AR59" s="251" cm="1">
        <f t="array" ref="AR59">MIN(INDEX(Use,AR$21,5) + MAX(0, (1-INDEX(Use,AR$21,5))*($AK59-5)/(35-5)), 1)</f>
        <v>0.76</v>
      </c>
      <c r="AS59" s="251" cm="1">
        <f t="array" ref="AS59">MIN(INDEX(Use,AS$21,5) + MAX(0, (1-INDEX(Use,AS$21,5))*($AK59-5)/(35-5)), 1)</f>
        <v>0.88</v>
      </c>
      <c r="AT59" s="251" cm="1">
        <f t="array" ref="AT59">MIN(INDEX(Use,AT$21,5) + MAX(0, (1-INDEX(Use,AT$21,5))*($AK59-5)/(35-5)), 1)</f>
        <v>0.88</v>
      </c>
      <c r="AU59" s="251" cm="1">
        <f t="array" ref="AU59">MIN(INDEX(Use,AU$21,5) + MAX(0, (1-INDEX(Use,AU$21,5))*($AK59-5)/(35-5)), 1)</f>
        <v>0.88</v>
      </c>
      <c r="AV59" s="251">
        <v>1</v>
      </c>
      <c r="AW59" s="251">
        <v>0.8</v>
      </c>
      <c r="AX59" s="212"/>
      <c r="AY59" s="236" cm="1">
        <f t="array" ref="AY59">INDEX(Use, $AD59, 4)</f>
        <v>7</v>
      </c>
      <c r="AZ59" s="236">
        <f t="shared" si="12"/>
        <v>32</v>
      </c>
      <c r="BA59" s="236">
        <f t="shared" si="13"/>
        <v>13</v>
      </c>
      <c r="BB59" s="236">
        <f t="shared" si="14"/>
        <v>0</v>
      </c>
      <c r="BC59" s="252" cm="1">
        <f t="array" ref="BC59">K59/IF($L59&gt;0, INDEX($AO$23:$AU$77, $L59+20, $AD59), 1)</f>
        <v>0</v>
      </c>
      <c r="BD59" s="237">
        <f t="shared" si="15"/>
        <v>0</v>
      </c>
      <c r="BE59" s="236">
        <v>35</v>
      </c>
      <c r="BF59" s="237">
        <f t="shared" si="16"/>
        <v>52.55</v>
      </c>
      <c r="BG59" s="253">
        <f t="shared" si="17"/>
        <v>2.7676728869374316</v>
      </c>
      <c r="BH59" s="253" cm="1">
        <f t="array" ref="BH59">$BC59 * SUMPRODUCT(INDEX($AL$77:$AN$82,,$AE59),INDEX($AO$77:$AU$82,,$AD59), N($AK$77:$AK$82&gt;$AI59)) / BG59 / 1000</f>
        <v>0</v>
      </c>
      <c r="BI59" s="250">
        <f t="shared" si="18"/>
        <v>30</v>
      </c>
      <c r="BJ59" s="237">
        <f t="shared" si="19"/>
        <v>46.033333333333331</v>
      </c>
      <c r="BK59" s="253">
        <f t="shared" si="20"/>
        <v>3.2297395388556791</v>
      </c>
      <c r="BL59" s="253" cm="1">
        <f t="array" ref="BL59">$BC59 * IF($AD59&lt;=2,
SUMPRODUCT(INDEX($AL$72:$AN$76,,$AE59), INDEX($AO$72:$AU$76,,$AD59), 1 / ($AV$72:$AV$76*BK59 + (1-$AV$72:$AV$76)*BG59), N($AK$72:$AK$76&gt;$AI59)),
SUMPRODUCT(INDEX($AL$67:$AN$76,,$AE59), INDEX($AO$67:$AU$76,,$AD59), 1 / ($AW$67:$AW$76*BK59 + (1-$AW$67:$AW$76)*BG59), N($AK$67:$AK$76&gt;$AI59))
) / 1000</f>
        <v>0</v>
      </c>
      <c r="BM59" s="250">
        <f t="shared" si="21"/>
        <v>25</v>
      </c>
      <c r="BN59" s="237">
        <f t="shared" si="22"/>
        <v>39.516666666666666</v>
      </c>
      <c r="BO59" s="253">
        <f t="shared" si="23"/>
        <v>3.877011788826243</v>
      </c>
      <c r="BP59" s="253" cm="1">
        <f t="array" ref="BP59">$BC59 * IF($AD59&lt;=2,
SUMPRODUCT(INDEX($AL$67:$AN$71,,$AE59), INDEX($AO$67:$AU$71,,$AD59), 1 / ($AV$67:$AV$71*BO59 + (1-$AV$67:$AV$71)*BK59), N($AK$67:$AK$71&gt;$AI59)),
SUMPRODUCT(INDEX($AL$57:$AN$66,,$AE59), INDEX($AO$57:$AU$66,,$AD59), 1 / ($AW$57:$AW$66*BO59 + (1-$AW$57:$AW$66)*BK59), N($AK$57:$AK$66&gt;$AI59))
) / 1000</f>
        <v>0</v>
      </c>
      <c r="BQ59" s="250">
        <f t="shared" si="24"/>
        <v>20</v>
      </c>
      <c r="BR59" s="237">
        <f t="shared" si="25"/>
        <v>33</v>
      </c>
      <c r="BS59" s="253">
        <f t="shared" si="26"/>
        <v>4.8487499999999999</v>
      </c>
      <c r="BT59" s="253" cm="1">
        <f t="array" ref="BT59">$BC59 * IF($AD59&lt;=2,
SUMPRODUCT(INDEX($AL$62:$AN$66,,$AE59), INDEX($AO$62:$AU$66,,$AD59), 1 / ($AV$62:$AV$66*BS59 + (1-$AV$62:$AV$66)*BO59), N($AK$62:$AK$66&gt;$AI59)),
SUMPRODUCT(INDEX($AL$47:$AN$56,,$AE59), INDEX($AO$47:$AU$56,,$AD59), 1 / ($AW$47:$AW$56*BS59 + (1-$AW$47:$AW$56)*BO59), N($AK$47:$AK$56&gt;$AI59))
) / 1000</f>
        <v>0</v>
      </c>
      <c r="BU59" s="253" cm="1">
        <f t="array" ref="BU59">$BC59 * IF($AD59&lt;=2,
SUMPRODUCT(INDEX($AL$23:$AN$61,,$AE59), INDEX($AO$23:$AU$61,,$AD59), 1 / ($AV$23:$AV$61*BS59), N($AK$23:$AK$61&gt;$AI59)),
SUMPRODUCT(INDEX($AL$23:$AN$46,,$AE59), INDEX($AO$23:$AU$46,,$AD59), 1 / ($AW$23:$AW$46*BS59), N($AK$23:$AK$46&gt;$AI59))
) / 1000</f>
        <v>0</v>
      </c>
      <c r="BV59" s="237">
        <f t="shared" si="27"/>
        <v>0</v>
      </c>
      <c r="BW59" s="210"/>
      <c r="BX59" s="237">
        <f t="shared" si="28"/>
        <v>0</v>
      </c>
      <c r="BY59" s="236">
        <v>35</v>
      </c>
      <c r="BZ59" s="237">
        <f t="shared" si="29"/>
        <v>48</v>
      </c>
      <c r="CA59" s="253">
        <f t="shared" si="30"/>
        <v>3.0748170731707316</v>
      </c>
      <c r="CB59" s="253" cm="1">
        <f t="array" ref="CB59">$BC59 * SUMPRODUCT(INDEX($AL$77:$AN$82,,$AE59),INDEX($AO$77:$AU$82,,$AD59), N($AK$77:$AK$82&gt;$AI59)) / CA59 / 1000</f>
        <v>0</v>
      </c>
      <c r="CC59" s="250">
        <f t="shared" si="31"/>
        <v>30</v>
      </c>
      <c r="CD59" s="237">
        <f t="shared" si="32"/>
        <v>43</v>
      </c>
      <c r="CE59" s="253">
        <f t="shared" si="33"/>
        <v>3.5018750000000001</v>
      </c>
      <c r="CF59" s="253" cm="1">
        <f t="array" ref="CF59">$BC59 * IF($AD59&lt;=2,
SUMPRODUCT(INDEX($AL$72:$AN$76,,$AE59), INDEX($AO$72:$AU$76,,$AD59), 1 / ($AV$72:$AV$76*CE59 + (1-$AV$72:$AV$76)*CA59), N($AK$72:$AK$76&gt;$AI59)),
SUMPRODUCT(INDEX($AL$67:$AN$76,,$AE59), INDEX($AO$67:$AU$76,,$AD59), 1 / ($AW$67:$AW$76*CE59 + (1-$AW$67:$AW$76)*CA59), N($AK$67:$AK$76&gt;$AI59))
) / 1000</f>
        <v>0</v>
      </c>
      <c r="CG59" s="250">
        <f t="shared" si="34"/>
        <v>25</v>
      </c>
      <c r="CH59" s="237">
        <f t="shared" si="35"/>
        <v>38</v>
      </c>
      <c r="CI59" s="253">
        <f t="shared" si="36"/>
        <v>4.0666935483870965</v>
      </c>
      <c r="CJ59" s="253" cm="1">
        <f t="array" ref="CJ59">$BC59 * IF($AD59&lt;=2,
SUMPRODUCT(INDEX($AL$67:$AN$71,,$AE59), INDEX($AO$67:$AU$71,,$AD59), 1 / ($AV$67:$AV$71*CI59 + (1-$AV$67:$AV$71)*CE59), N($AK$67:$AK$71&gt;$AI59)),
SUMPRODUCT(INDEX($AL$57:$AN$66,,$AE59), INDEX($AO$57:$AU$66,,$AD59), 1 / ($AW$57:$AW$66*CI59 + (1-$AW$57:$AW$66)*CE59), N($AK$57:$AK$66&gt;$AI59))
) / 1000</f>
        <v>0</v>
      </c>
      <c r="CK59" s="250">
        <f t="shared" si="37"/>
        <v>20</v>
      </c>
      <c r="CL59" s="237">
        <f t="shared" si="38"/>
        <v>33</v>
      </c>
      <c r="CM59" s="253">
        <f t="shared" si="39"/>
        <v>4.8487499999999999</v>
      </c>
      <c r="CN59" s="253" cm="1">
        <f t="array" ref="CN59">$BC59 * IF($AD59&lt;=2,
SUMPRODUCT(INDEX($AL$62:$AN$66,,$AE59), INDEX($AO$62:$AU$66,,$AD59), 1 / ($AV$62:$AV$66*CM59 + (1-$AV$62:$AV$66)*CI59), N($AK$62:$AK$66&gt;$AI59)),
SUMPRODUCT(INDEX($AL$47:$AN$56,,$AE59), INDEX($AO$47:$AU$56,,$AD59), 1 / ($AW$47:$AW$56*CM59 + (1-$AW$47:$AW$56)*CI59), N($AK$47:$AK$56&gt;$AI59))
) / 1000</f>
        <v>0</v>
      </c>
      <c r="CO59" s="253" cm="1">
        <f t="array" ref="CO59">$BC59 * IF($AD59&lt;=2,
SUMPRODUCT(INDEX($AL$23:$AN$61,,$AE59), INDEX($AO$23:$AU$61,,$AD59), 1 / ($AV$23:$AV$61*CM59), N($AK$23:$AK$61&gt;$AI59)),
SUMPRODUCT(INDEX($AL$23:$AN$46,,$AE59), INDEX($AO$23:$AU$46,,$AD59), 1 / ($AW$23:$AW$46*CM59), N($AK$23:$AK$46&gt;$AI59))
) / 1000</f>
        <v>0</v>
      </c>
      <c r="CP59" s="237">
        <f t="shared" si="40"/>
        <v>0</v>
      </c>
      <c r="CQ59" s="210"/>
    </row>
    <row r="60" spans="1:95" s="76" customFormat="1" ht="14.25" customHeight="1" x14ac:dyDescent="0.25">
      <c r="A60" s="238" t="b">
        <f t="shared" si="0"/>
        <v>0</v>
      </c>
      <c r="B60" s="239">
        <v>38</v>
      </c>
      <c r="C60" s="258"/>
      <c r="D60" s="258"/>
      <c r="E60" s="240"/>
      <c r="F60" s="241" t="str">
        <f>IF(ISBLANK(E60), "", VLOOKUP(E60, Z!$A$2:$C$4127, 3, FALSE))</f>
        <v/>
      </c>
      <c r="G60" s="242"/>
      <c r="H60" s="242"/>
      <c r="I60" s="243"/>
      <c r="J60" s="244"/>
      <c r="K60" s="259"/>
      <c r="L60" s="260"/>
      <c r="M60" s="247" t="str" cm="1">
        <f t="array" ref="M60">IF($K60&gt;0, INDEX(Clean,1+AG60,$C$1), "")</f>
        <v/>
      </c>
      <c r="N60" s="245"/>
      <c r="O60" s="245"/>
      <c r="P60" s="246"/>
      <c r="Q60" s="248">
        <f t="shared" si="6"/>
        <v>0</v>
      </c>
      <c r="R60" s="247" t="str" cm="1">
        <f t="array" ref="R60">IF($K60&gt;0, INDEX(Clean,1+AH60,$C$1), "")</f>
        <v/>
      </c>
      <c r="S60" s="245"/>
      <c r="T60" s="245"/>
      <c r="U60" s="246"/>
      <c r="V60" s="248">
        <f t="shared" si="7"/>
        <v>0</v>
      </c>
      <c r="W60" s="261"/>
      <c r="X60" s="258"/>
      <c r="Y60" s="240"/>
      <c r="Z60" s="241" t="str">
        <f>IF(ISBLANK(Y60), "", VLOOKUP(Y60, Z!$A$2:$C$4127, 3, FALSE))</f>
        <v/>
      </c>
      <c r="AA60" s="262"/>
      <c r="AB60" s="249">
        <f t="shared" si="8"/>
        <v>0</v>
      </c>
      <c r="AC60" s="210"/>
      <c r="AD60" s="236">
        <f t="shared" ref="AD60" si="146">IF(ISBLANK(H60), 1, IFERROR(MATCH(H60, INDEX(Use,,1), 0), IFERROR(MATCH(H60, INDEX(Use,,2), 0), MATCH(H60, INDEX(Use,,3), 0))))</f>
        <v>1</v>
      </c>
      <c r="AE60" s="236">
        <f t="shared" ref="AE60" si="147">IF(ISBLANK(G60), 1, IFERROR(MATCH(G60, INDEX(Loc,,1), 0), IFERROR(MATCH(G60, INDEX(Loc,,2), 0), MATCH(G60, INDEX(Loc,,3), 0))))</f>
        <v>1</v>
      </c>
      <c r="AF60" s="236">
        <f t="shared" ref="AF60" si="148">_xlfn.IFNA(IF(IFERROR(MATCH(I60, INDEX(Medium,,1), 0), IFERROR(MATCH(I60, INDEX(Medium,,2), 0), MATCH(I60, INDEX(Medium,,3), 0))) = 2, 1, 0), 0)</f>
        <v>0</v>
      </c>
      <c r="AG60" s="236">
        <v>1</v>
      </c>
      <c r="AH60" s="236">
        <v>0</v>
      </c>
      <c r="AI60" s="236">
        <f t="shared" si="4"/>
        <v>-100</v>
      </c>
      <c r="AJ60" s="210"/>
      <c r="AK60" s="236">
        <v>18</v>
      </c>
      <c r="AL60" s="250">
        <v>341</v>
      </c>
      <c r="AM60" s="250">
        <v>281</v>
      </c>
      <c r="AN60" s="250">
        <v>295</v>
      </c>
      <c r="AO60" s="251">
        <f t="shared" si="5"/>
        <v>0</v>
      </c>
      <c r="AP60" s="251">
        <f t="shared" si="5"/>
        <v>0</v>
      </c>
      <c r="AQ60" s="251" cm="1">
        <f t="array" ref="AQ60">MIN(INDEX(Use,AQ$21,5) + MAX(0, (1-INDEX(Use,AQ$21,5))*($AK60-5)/(35-5)), 1)</f>
        <v>0.66</v>
      </c>
      <c r="AR60" s="251" cm="1">
        <f t="array" ref="AR60">MIN(INDEX(Use,AR$21,5) + MAX(0, (1-INDEX(Use,AR$21,5))*($AK60-5)/(35-5)), 1)</f>
        <v>0.77333333333333332</v>
      </c>
      <c r="AS60" s="251" cm="1">
        <f t="array" ref="AS60">MIN(INDEX(Use,AS$21,5) + MAX(0, (1-INDEX(Use,AS$21,5))*($AK60-5)/(35-5)), 1)</f>
        <v>0.88666666666666671</v>
      </c>
      <c r="AT60" s="251" cm="1">
        <f t="array" ref="AT60">MIN(INDEX(Use,AT$21,5) + MAX(0, (1-INDEX(Use,AT$21,5))*($AK60-5)/(35-5)), 1)</f>
        <v>0.88666666666666671</v>
      </c>
      <c r="AU60" s="251" cm="1">
        <f t="array" ref="AU60">MIN(INDEX(Use,AU$21,5) + MAX(0, (1-INDEX(Use,AU$21,5))*($AK60-5)/(35-5)), 1)</f>
        <v>0.88666666666666671</v>
      </c>
      <c r="AV60" s="251">
        <v>1</v>
      </c>
      <c r="AW60" s="251">
        <v>0.7</v>
      </c>
      <c r="AX60" s="212"/>
      <c r="AY60" s="236" cm="1">
        <f t="array" ref="AY60">INDEX(Use, $AD60, 4)</f>
        <v>7</v>
      </c>
      <c r="AZ60" s="236">
        <f t="shared" si="12"/>
        <v>32</v>
      </c>
      <c r="BA60" s="236">
        <f t="shared" si="13"/>
        <v>13</v>
      </c>
      <c r="BB60" s="236">
        <f t="shared" si="14"/>
        <v>0</v>
      </c>
      <c r="BC60" s="252" cm="1">
        <f t="array" ref="BC60">K60/IF($L60&gt;0, INDEX($AO$23:$AU$77, $L60+20, $AD60), 1)</f>
        <v>0</v>
      </c>
      <c r="BD60" s="237">
        <f t="shared" si="15"/>
        <v>0</v>
      </c>
      <c r="BE60" s="236">
        <v>35</v>
      </c>
      <c r="BF60" s="237">
        <f t="shared" si="16"/>
        <v>52.55</v>
      </c>
      <c r="BG60" s="253">
        <f t="shared" si="17"/>
        <v>2.7676728869374316</v>
      </c>
      <c r="BH60" s="253" cm="1">
        <f t="array" ref="BH60">$BC60 * SUMPRODUCT(INDEX($AL$77:$AN$82,,$AE60),INDEX($AO$77:$AU$82,,$AD60), N($AK$77:$AK$82&gt;$AI60)) / BG60 / 1000</f>
        <v>0</v>
      </c>
      <c r="BI60" s="250">
        <f t="shared" si="18"/>
        <v>30</v>
      </c>
      <c r="BJ60" s="237">
        <f t="shared" si="19"/>
        <v>46.033333333333331</v>
      </c>
      <c r="BK60" s="253">
        <f t="shared" si="20"/>
        <v>3.2297395388556791</v>
      </c>
      <c r="BL60" s="253" cm="1">
        <f t="array" ref="BL60">$BC60 * IF($AD60&lt;=2,
SUMPRODUCT(INDEX($AL$72:$AN$76,,$AE60), INDEX($AO$72:$AU$76,,$AD60), 1 / ($AV$72:$AV$76*BK60 + (1-$AV$72:$AV$76)*BG60), N($AK$72:$AK$76&gt;$AI60)),
SUMPRODUCT(INDEX($AL$67:$AN$76,,$AE60), INDEX($AO$67:$AU$76,,$AD60), 1 / ($AW$67:$AW$76*BK60 + (1-$AW$67:$AW$76)*BG60), N($AK$67:$AK$76&gt;$AI60))
) / 1000</f>
        <v>0</v>
      </c>
      <c r="BM60" s="250">
        <f t="shared" si="21"/>
        <v>25</v>
      </c>
      <c r="BN60" s="237">
        <f t="shared" si="22"/>
        <v>39.516666666666666</v>
      </c>
      <c r="BO60" s="253">
        <f t="shared" si="23"/>
        <v>3.877011788826243</v>
      </c>
      <c r="BP60" s="253" cm="1">
        <f t="array" ref="BP60">$BC60 * IF($AD60&lt;=2,
SUMPRODUCT(INDEX($AL$67:$AN$71,,$AE60), INDEX($AO$67:$AU$71,,$AD60), 1 / ($AV$67:$AV$71*BO60 + (1-$AV$67:$AV$71)*BK60), N($AK$67:$AK$71&gt;$AI60)),
SUMPRODUCT(INDEX($AL$57:$AN$66,,$AE60), INDEX($AO$57:$AU$66,,$AD60), 1 / ($AW$57:$AW$66*BO60 + (1-$AW$57:$AW$66)*BK60), N($AK$57:$AK$66&gt;$AI60))
) / 1000</f>
        <v>0</v>
      </c>
      <c r="BQ60" s="250">
        <f t="shared" si="24"/>
        <v>20</v>
      </c>
      <c r="BR60" s="237">
        <f t="shared" si="25"/>
        <v>33</v>
      </c>
      <c r="BS60" s="253">
        <f t="shared" si="26"/>
        <v>4.8487499999999999</v>
      </c>
      <c r="BT60" s="253" cm="1">
        <f t="array" ref="BT60">$BC60 * IF($AD60&lt;=2,
SUMPRODUCT(INDEX($AL$62:$AN$66,,$AE60), INDEX($AO$62:$AU$66,,$AD60), 1 / ($AV$62:$AV$66*BS60 + (1-$AV$62:$AV$66)*BO60), N($AK$62:$AK$66&gt;$AI60)),
SUMPRODUCT(INDEX($AL$47:$AN$56,,$AE60), INDEX($AO$47:$AU$56,,$AD60), 1 / ($AW$47:$AW$56*BS60 + (1-$AW$47:$AW$56)*BO60), N($AK$47:$AK$56&gt;$AI60))
) / 1000</f>
        <v>0</v>
      </c>
      <c r="BU60" s="253" cm="1">
        <f t="array" ref="BU60">$BC60 * IF($AD60&lt;=2,
SUMPRODUCT(INDEX($AL$23:$AN$61,,$AE60), INDEX($AO$23:$AU$61,,$AD60), 1 / ($AV$23:$AV$61*BS60), N($AK$23:$AK$61&gt;$AI60)),
SUMPRODUCT(INDEX($AL$23:$AN$46,,$AE60), INDEX($AO$23:$AU$46,,$AD60), 1 / ($AW$23:$AW$46*BS60), N($AK$23:$AK$46&gt;$AI60))
) / 1000</f>
        <v>0</v>
      </c>
      <c r="BV60" s="237">
        <f t="shared" si="27"/>
        <v>0</v>
      </c>
      <c r="BW60" s="210"/>
      <c r="BX60" s="237">
        <f t="shared" si="28"/>
        <v>0</v>
      </c>
      <c r="BY60" s="236">
        <v>35</v>
      </c>
      <c r="BZ60" s="237">
        <f t="shared" si="29"/>
        <v>48</v>
      </c>
      <c r="CA60" s="253">
        <f t="shared" si="30"/>
        <v>3.0748170731707316</v>
      </c>
      <c r="CB60" s="253" cm="1">
        <f t="array" ref="CB60">$BC60 * SUMPRODUCT(INDEX($AL$77:$AN$82,,$AE60),INDEX($AO$77:$AU$82,,$AD60), N($AK$77:$AK$82&gt;$AI60)) / CA60 / 1000</f>
        <v>0</v>
      </c>
      <c r="CC60" s="250">
        <f t="shared" si="31"/>
        <v>30</v>
      </c>
      <c r="CD60" s="237">
        <f t="shared" si="32"/>
        <v>43</v>
      </c>
      <c r="CE60" s="253">
        <f t="shared" si="33"/>
        <v>3.5018750000000001</v>
      </c>
      <c r="CF60" s="253" cm="1">
        <f t="array" ref="CF60">$BC60 * IF($AD60&lt;=2,
SUMPRODUCT(INDEX($AL$72:$AN$76,,$AE60), INDEX($AO$72:$AU$76,,$AD60), 1 / ($AV$72:$AV$76*CE60 + (1-$AV$72:$AV$76)*CA60), N($AK$72:$AK$76&gt;$AI60)),
SUMPRODUCT(INDEX($AL$67:$AN$76,,$AE60), INDEX($AO$67:$AU$76,,$AD60), 1 / ($AW$67:$AW$76*CE60 + (1-$AW$67:$AW$76)*CA60), N($AK$67:$AK$76&gt;$AI60))
) / 1000</f>
        <v>0</v>
      </c>
      <c r="CG60" s="250">
        <f t="shared" si="34"/>
        <v>25</v>
      </c>
      <c r="CH60" s="237">
        <f t="shared" si="35"/>
        <v>38</v>
      </c>
      <c r="CI60" s="253">
        <f t="shared" si="36"/>
        <v>4.0666935483870965</v>
      </c>
      <c r="CJ60" s="253" cm="1">
        <f t="array" ref="CJ60">$BC60 * IF($AD60&lt;=2,
SUMPRODUCT(INDEX($AL$67:$AN$71,,$AE60), INDEX($AO$67:$AU$71,,$AD60), 1 / ($AV$67:$AV$71*CI60 + (1-$AV$67:$AV$71)*CE60), N($AK$67:$AK$71&gt;$AI60)),
SUMPRODUCT(INDEX($AL$57:$AN$66,,$AE60), INDEX($AO$57:$AU$66,,$AD60), 1 / ($AW$57:$AW$66*CI60 + (1-$AW$57:$AW$66)*CE60), N($AK$57:$AK$66&gt;$AI60))
) / 1000</f>
        <v>0</v>
      </c>
      <c r="CK60" s="250">
        <f t="shared" si="37"/>
        <v>20</v>
      </c>
      <c r="CL60" s="237">
        <f t="shared" si="38"/>
        <v>33</v>
      </c>
      <c r="CM60" s="253">
        <f t="shared" si="39"/>
        <v>4.8487499999999999</v>
      </c>
      <c r="CN60" s="253" cm="1">
        <f t="array" ref="CN60">$BC60 * IF($AD60&lt;=2,
SUMPRODUCT(INDEX($AL$62:$AN$66,,$AE60), INDEX($AO$62:$AU$66,,$AD60), 1 / ($AV$62:$AV$66*CM60 + (1-$AV$62:$AV$66)*CI60), N($AK$62:$AK$66&gt;$AI60)),
SUMPRODUCT(INDEX($AL$47:$AN$56,,$AE60), INDEX($AO$47:$AU$56,,$AD60), 1 / ($AW$47:$AW$56*CM60 + (1-$AW$47:$AW$56)*CI60), N($AK$47:$AK$56&gt;$AI60))
) / 1000</f>
        <v>0</v>
      </c>
      <c r="CO60" s="253" cm="1">
        <f t="array" ref="CO60">$BC60 * IF($AD60&lt;=2,
SUMPRODUCT(INDEX($AL$23:$AN$61,,$AE60), INDEX($AO$23:$AU$61,,$AD60), 1 / ($AV$23:$AV$61*CM60), N($AK$23:$AK$61&gt;$AI60)),
SUMPRODUCT(INDEX($AL$23:$AN$46,,$AE60), INDEX($AO$23:$AU$46,,$AD60), 1 / ($AW$23:$AW$46*CM60), N($AK$23:$AK$46&gt;$AI60))
) / 1000</f>
        <v>0</v>
      </c>
      <c r="CP60" s="237">
        <f t="shared" si="40"/>
        <v>0</v>
      </c>
      <c r="CQ60" s="210"/>
    </row>
    <row r="61" spans="1:95" s="76" customFormat="1" ht="14.25" customHeight="1" x14ac:dyDescent="0.25">
      <c r="A61" s="238" t="b">
        <f t="shared" si="0"/>
        <v>0</v>
      </c>
      <c r="B61" s="239">
        <v>39</v>
      </c>
      <c r="C61" s="258"/>
      <c r="D61" s="258"/>
      <c r="E61" s="240"/>
      <c r="F61" s="241" t="str">
        <f>IF(ISBLANK(E61), "", VLOOKUP(E61, Z!$A$2:$C$4127, 3, FALSE))</f>
        <v/>
      </c>
      <c r="G61" s="242"/>
      <c r="H61" s="242"/>
      <c r="I61" s="243"/>
      <c r="J61" s="244"/>
      <c r="K61" s="259"/>
      <c r="L61" s="260"/>
      <c r="M61" s="247" t="str" cm="1">
        <f t="array" ref="M61">IF($K61&gt;0, INDEX(Clean,1+AG61,$C$1), "")</f>
        <v/>
      </c>
      <c r="N61" s="245"/>
      <c r="O61" s="245"/>
      <c r="P61" s="246"/>
      <c r="Q61" s="248">
        <f t="shared" si="6"/>
        <v>0</v>
      </c>
      <c r="R61" s="247" t="str" cm="1">
        <f t="array" ref="R61">IF($K61&gt;0, INDEX(Clean,1+AH61,$C$1), "")</f>
        <v/>
      </c>
      <c r="S61" s="245"/>
      <c r="T61" s="245"/>
      <c r="U61" s="246"/>
      <c r="V61" s="248">
        <f t="shared" si="7"/>
        <v>0</v>
      </c>
      <c r="W61" s="261"/>
      <c r="X61" s="258"/>
      <c r="Y61" s="240"/>
      <c r="Z61" s="241" t="str">
        <f>IF(ISBLANK(Y61), "", VLOOKUP(Y61, Z!$A$2:$C$4127, 3, FALSE))</f>
        <v/>
      </c>
      <c r="AA61" s="262"/>
      <c r="AB61" s="249">
        <f t="shared" si="8"/>
        <v>0</v>
      </c>
      <c r="AC61" s="210"/>
      <c r="AD61" s="236">
        <f t="shared" ref="AD61" si="149">IF(ISBLANK(H61), 1, IFERROR(MATCH(H61, INDEX(Use,,1), 0), IFERROR(MATCH(H61, INDEX(Use,,2), 0), MATCH(H61, INDEX(Use,,3), 0))))</f>
        <v>1</v>
      </c>
      <c r="AE61" s="236">
        <f t="shared" ref="AE61" si="150">IF(ISBLANK(G61), 1, IFERROR(MATCH(G61, INDEX(Loc,,1), 0), IFERROR(MATCH(G61, INDEX(Loc,,2), 0), MATCH(G61, INDEX(Loc,,3), 0))))</f>
        <v>1</v>
      </c>
      <c r="AF61" s="236">
        <f t="shared" ref="AF61" si="151">_xlfn.IFNA(IF(IFERROR(MATCH(I61, INDEX(Medium,,1), 0), IFERROR(MATCH(I61, INDEX(Medium,,2), 0), MATCH(I61, INDEX(Medium,,3), 0))) = 2, 1, 0), 0)</f>
        <v>0</v>
      </c>
      <c r="AG61" s="236">
        <v>1</v>
      </c>
      <c r="AH61" s="236">
        <v>0</v>
      </c>
      <c r="AI61" s="236">
        <f t="shared" si="4"/>
        <v>-100</v>
      </c>
      <c r="AJ61" s="210"/>
      <c r="AK61" s="236">
        <v>19</v>
      </c>
      <c r="AL61" s="250">
        <v>344</v>
      </c>
      <c r="AM61" s="250">
        <v>240</v>
      </c>
      <c r="AN61" s="250">
        <v>238</v>
      </c>
      <c r="AO61" s="251">
        <f t="shared" si="5"/>
        <v>0</v>
      </c>
      <c r="AP61" s="251">
        <f t="shared" si="5"/>
        <v>0</v>
      </c>
      <c r="AQ61" s="251" cm="1">
        <f t="array" ref="AQ61">MIN(INDEX(Use,AQ$21,5) + MAX(0, (1-INDEX(Use,AQ$21,5))*($AK61-5)/(35-5)), 1)</f>
        <v>0.68</v>
      </c>
      <c r="AR61" s="251" cm="1">
        <f t="array" ref="AR61">MIN(INDEX(Use,AR$21,5) + MAX(0, (1-INDEX(Use,AR$21,5))*($AK61-5)/(35-5)), 1)</f>
        <v>0.78666666666666663</v>
      </c>
      <c r="AS61" s="251" cm="1">
        <f t="array" ref="AS61">MIN(INDEX(Use,AS$21,5) + MAX(0, (1-INDEX(Use,AS$21,5))*($AK61-5)/(35-5)), 1)</f>
        <v>0.89333333333333331</v>
      </c>
      <c r="AT61" s="251" cm="1">
        <f t="array" ref="AT61">MIN(INDEX(Use,AT$21,5) + MAX(0, (1-INDEX(Use,AT$21,5))*($AK61-5)/(35-5)), 1)</f>
        <v>0.89333333333333331</v>
      </c>
      <c r="AU61" s="251" cm="1">
        <f t="array" ref="AU61">MIN(INDEX(Use,AU$21,5) + MAX(0, (1-INDEX(Use,AU$21,5))*($AK61-5)/(35-5)), 1)</f>
        <v>0.89333333333333331</v>
      </c>
      <c r="AV61" s="251">
        <v>1</v>
      </c>
      <c r="AW61" s="251">
        <v>0.6</v>
      </c>
      <c r="AX61" s="212"/>
      <c r="AY61" s="236" cm="1">
        <f t="array" ref="AY61">INDEX(Use, $AD61, 4)</f>
        <v>7</v>
      </c>
      <c r="AZ61" s="236">
        <f t="shared" si="12"/>
        <v>32</v>
      </c>
      <c r="BA61" s="236">
        <f t="shared" si="13"/>
        <v>13</v>
      </c>
      <c r="BB61" s="236">
        <f t="shared" si="14"/>
        <v>0</v>
      </c>
      <c r="BC61" s="252" cm="1">
        <f t="array" ref="BC61">K61/IF($L61&gt;0, INDEX($AO$23:$AU$77, $L61+20, $AD61), 1)</f>
        <v>0</v>
      </c>
      <c r="BD61" s="237">
        <f t="shared" si="15"/>
        <v>0</v>
      </c>
      <c r="BE61" s="236">
        <v>35</v>
      </c>
      <c r="BF61" s="237">
        <f t="shared" si="16"/>
        <v>52.55</v>
      </c>
      <c r="BG61" s="253">
        <f t="shared" si="17"/>
        <v>2.7676728869374316</v>
      </c>
      <c r="BH61" s="253" cm="1">
        <f t="array" ref="BH61">$BC61 * SUMPRODUCT(INDEX($AL$77:$AN$82,,$AE61),INDEX($AO$77:$AU$82,,$AD61), N($AK$77:$AK$82&gt;$AI61)) / BG61 / 1000</f>
        <v>0</v>
      </c>
      <c r="BI61" s="250">
        <f t="shared" si="18"/>
        <v>30</v>
      </c>
      <c r="BJ61" s="237">
        <f t="shared" si="19"/>
        <v>46.033333333333331</v>
      </c>
      <c r="BK61" s="253">
        <f t="shared" si="20"/>
        <v>3.2297395388556791</v>
      </c>
      <c r="BL61" s="253" cm="1">
        <f t="array" ref="BL61">$BC61 * IF($AD61&lt;=2,
SUMPRODUCT(INDEX($AL$72:$AN$76,,$AE61), INDEX($AO$72:$AU$76,,$AD61), 1 / ($AV$72:$AV$76*BK61 + (1-$AV$72:$AV$76)*BG61), N($AK$72:$AK$76&gt;$AI61)),
SUMPRODUCT(INDEX($AL$67:$AN$76,,$AE61), INDEX($AO$67:$AU$76,,$AD61), 1 / ($AW$67:$AW$76*BK61 + (1-$AW$67:$AW$76)*BG61), N($AK$67:$AK$76&gt;$AI61))
) / 1000</f>
        <v>0</v>
      </c>
      <c r="BM61" s="250">
        <f t="shared" si="21"/>
        <v>25</v>
      </c>
      <c r="BN61" s="237">
        <f t="shared" si="22"/>
        <v>39.516666666666666</v>
      </c>
      <c r="BO61" s="253">
        <f t="shared" si="23"/>
        <v>3.877011788826243</v>
      </c>
      <c r="BP61" s="253" cm="1">
        <f t="array" ref="BP61">$BC61 * IF($AD61&lt;=2,
SUMPRODUCT(INDEX($AL$67:$AN$71,,$AE61), INDEX($AO$67:$AU$71,,$AD61), 1 / ($AV$67:$AV$71*BO61 + (1-$AV$67:$AV$71)*BK61), N($AK$67:$AK$71&gt;$AI61)),
SUMPRODUCT(INDEX($AL$57:$AN$66,,$AE61), INDEX($AO$57:$AU$66,,$AD61), 1 / ($AW$57:$AW$66*BO61 + (1-$AW$57:$AW$66)*BK61), N($AK$57:$AK$66&gt;$AI61))
) / 1000</f>
        <v>0</v>
      </c>
      <c r="BQ61" s="250">
        <f t="shared" si="24"/>
        <v>20</v>
      </c>
      <c r="BR61" s="237">
        <f t="shared" si="25"/>
        <v>33</v>
      </c>
      <c r="BS61" s="253">
        <f t="shared" si="26"/>
        <v>4.8487499999999999</v>
      </c>
      <c r="BT61" s="253" cm="1">
        <f t="array" ref="BT61">$BC61 * IF($AD61&lt;=2,
SUMPRODUCT(INDEX($AL$62:$AN$66,,$AE61), INDEX($AO$62:$AU$66,,$AD61), 1 / ($AV$62:$AV$66*BS61 + (1-$AV$62:$AV$66)*BO61), N($AK$62:$AK$66&gt;$AI61)),
SUMPRODUCT(INDEX($AL$47:$AN$56,,$AE61), INDEX($AO$47:$AU$56,,$AD61), 1 / ($AW$47:$AW$56*BS61 + (1-$AW$47:$AW$56)*BO61), N($AK$47:$AK$56&gt;$AI61))
) / 1000</f>
        <v>0</v>
      </c>
      <c r="BU61" s="253" cm="1">
        <f t="array" ref="BU61">$BC61 * IF($AD61&lt;=2,
SUMPRODUCT(INDEX($AL$23:$AN$61,,$AE61), INDEX($AO$23:$AU$61,,$AD61), 1 / ($AV$23:$AV$61*BS61), N($AK$23:$AK$61&gt;$AI61)),
SUMPRODUCT(INDEX($AL$23:$AN$46,,$AE61), INDEX($AO$23:$AU$46,,$AD61), 1 / ($AW$23:$AW$46*BS61), N($AK$23:$AK$46&gt;$AI61))
) / 1000</f>
        <v>0</v>
      </c>
      <c r="BV61" s="237">
        <f t="shared" si="27"/>
        <v>0</v>
      </c>
      <c r="BW61" s="210"/>
      <c r="BX61" s="237">
        <f t="shared" si="28"/>
        <v>0</v>
      </c>
      <c r="BY61" s="236">
        <v>35</v>
      </c>
      <c r="BZ61" s="237">
        <f t="shared" si="29"/>
        <v>48</v>
      </c>
      <c r="CA61" s="253">
        <f t="shared" si="30"/>
        <v>3.0748170731707316</v>
      </c>
      <c r="CB61" s="253" cm="1">
        <f t="array" ref="CB61">$BC61 * SUMPRODUCT(INDEX($AL$77:$AN$82,,$AE61),INDEX($AO$77:$AU$82,,$AD61), N($AK$77:$AK$82&gt;$AI61)) / CA61 / 1000</f>
        <v>0</v>
      </c>
      <c r="CC61" s="250">
        <f t="shared" si="31"/>
        <v>30</v>
      </c>
      <c r="CD61" s="237">
        <f t="shared" si="32"/>
        <v>43</v>
      </c>
      <c r="CE61" s="253">
        <f t="shared" si="33"/>
        <v>3.5018750000000001</v>
      </c>
      <c r="CF61" s="253" cm="1">
        <f t="array" ref="CF61">$BC61 * IF($AD61&lt;=2,
SUMPRODUCT(INDEX($AL$72:$AN$76,,$AE61), INDEX($AO$72:$AU$76,,$AD61), 1 / ($AV$72:$AV$76*CE61 + (1-$AV$72:$AV$76)*CA61), N($AK$72:$AK$76&gt;$AI61)),
SUMPRODUCT(INDEX($AL$67:$AN$76,,$AE61), INDEX($AO$67:$AU$76,,$AD61), 1 / ($AW$67:$AW$76*CE61 + (1-$AW$67:$AW$76)*CA61), N($AK$67:$AK$76&gt;$AI61))
) / 1000</f>
        <v>0</v>
      </c>
      <c r="CG61" s="250">
        <f t="shared" si="34"/>
        <v>25</v>
      </c>
      <c r="CH61" s="237">
        <f t="shared" si="35"/>
        <v>38</v>
      </c>
      <c r="CI61" s="253">
        <f t="shared" si="36"/>
        <v>4.0666935483870965</v>
      </c>
      <c r="CJ61" s="253" cm="1">
        <f t="array" ref="CJ61">$BC61 * IF($AD61&lt;=2,
SUMPRODUCT(INDEX($AL$67:$AN$71,,$AE61), INDEX($AO$67:$AU$71,,$AD61), 1 / ($AV$67:$AV$71*CI61 + (1-$AV$67:$AV$71)*CE61), N($AK$67:$AK$71&gt;$AI61)),
SUMPRODUCT(INDEX($AL$57:$AN$66,,$AE61), INDEX($AO$57:$AU$66,,$AD61), 1 / ($AW$57:$AW$66*CI61 + (1-$AW$57:$AW$66)*CE61), N($AK$57:$AK$66&gt;$AI61))
) / 1000</f>
        <v>0</v>
      </c>
      <c r="CK61" s="250">
        <f t="shared" si="37"/>
        <v>20</v>
      </c>
      <c r="CL61" s="237">
        <f t="shared" si="38"/>
        <v>33</v>
      </c>
      <c r="CM61" s="253">
        <f t="shared" si="39"/>
        <v>4.8487499999999999</v>
      </c>
      <c r="CN61" s="253" cm="1">
        <f t="array" ref="CN61">$BC61 * IF($AD61&lt;=2,
SUMPRODUCT(INDEX($AL$62:$AN$66,,$AE61), INDEX($AO$62:$AU$66,,$AD61), 1 / ($AV$62:$AV$66*CM61 + (1-$AV$62:$AV$66)*CI61), N($AK$62:$AK$66&gt;$AI61)),
SUMPRODUCT(INDEX($AL$47:$AN$56,,$AE61), INDEX($AO$47:$AU$56,,$AD61), 1 / ($AW$47:$AW$56*CM61 + (1-$AW$47:$AW$56)*CI61), N($AK$47:$AK$56&gt;$AI61))
) / 1000</f>
        <v>0</v>
      </c>
      <c r="CO61" s="253" cm="1">
        <f t="array" ref="CO61">$BC61 * IF($AD61&lt;=2,
SUMPRODUCT(INDEX($AL$23:$AN$61,,$AE61), INDEX($AO$23:$AU$61,,$AD61), 1 / ($AV$23:$AV$61*CM61), N($AK$23:$AK$61&gt;$AI61)),
SUMPRODUCT(INDEX($AL$23:$AN$46,,$AE61), INDEX($AO$23:$AU$46,,$AD61), 1 / ($AW$23:$AW$46*CM61), N($AK$23:$AK$46&gt;$AI61))
) / 1000</f>
        <v>0</v>
      </c>
      <c r="CP61" s="237">
        <f t="shared" si="40"/>
        <v>0</v>
      </c>
      <c r="CQ61" s="210"/>
    </row>
    <row r="62" spans="1:95" s="76" customFormat="1" ht="14.25" customHeight="1" x14ac:dyDescent="0.25">
      <c r="A62" s="238" t="b">
        <f t="shared" si="0"/>
        <v>0</v>
      </c>
      <c r="B62" s="239">
        <v>40</v>
      </c>
      <c r="C62" s="258"/>
      <c r="D62" s="258"/>
      <c r="E62" s="240"/>
      <c r="F62" s="241" t="str">
        <f>IF(ISBLANK(E62), "", VLOOKUP(E62, Z!$A$2:$C$4127, 3, FALSE))</f>
        <v/>
      </c>
      <c r="G62" s="242"/>
      <c r="H62" s="242"/>
      <c r="I62" s="243"/>
      <c r="J62" s="244"/>
      <c r="K62" s="259"/>
      <c r="L62" s="260"/>
      <c r="M62" s="247" t="str" cm="1">
        <f t="array" ref="M62">IF($K62&gt;0, INDEX(Clean,1+AG62,$C$1), "")</f>
        <v/>
      </c>
      <c r="N62" s="245"/>
      <c r="O62" s="245"/>
      <c r="P62" s="246"/>
      <c r="Q62" s="248">
        <f t="shared" si="6"/>
        <v>0</v>
      </c>
      <c r="R62" s="247" t="str" cm="1">
        <f t="array" ref="R62">IF($K62&gt;0, INDEX(Clean,1+AH62,$C$1), "")</f>
        <v/>
      </c>
      <c r="S62" s="245"/>
      <c r="T62" s="245"/>
      <c r="U62" s="246"/>
      <c r="V62" s="248">
        <f t="shared" si="7"/>
        <v>0</v>
      </c>
      <c r="W62" s="261"/>
      <c r="X62" s="258"/>
      <c r="Y62" s="240"/>
      <c r="Z62" s="241" t="str">
        <f>IF(ISBLANK(Y62), "", VLOOKUP(Y62, Z!$A$2:$C$4127, 3, FALSE))</f>
        <v/>
      </c>
      <c r="AA62" s="262"/>
      <c r="AB62" s="249">
        <f t="shared" si="8"/>
        <v>0</v>
      </c>
      <c r="AC62" s="210"/>
      <c r="AD62" s="236">
        <f t="shared" ref="AD62" si="152">IF(ISBLANK(H62), 1, IFERROR(MATCH(H62, INDEX(Use,,1), 0), IFERROR(MATCH(H62, INDEX(Use,,2), 0), MATCH(H62, INDEX(Use,,3), 0))))</f>
        <v>1</v>
      </c>
      <c r="AE62" s="236">
        <f t="shared" ref="AE62" si="153">IF(ISBLANK(G62), 1, IFERROR(MATCH(G62, INDEX(Loc,,1), 0), IFERROR(MATCH(G62, INDEX(Loc,,2), 0), MATCH(G62, INDEX(Loc,,3), 0))))</f>
        <v>1</v>
      </c>
      <c r="AF62" s="236">
        <f t="shared" ref="AF62" si="154">_xlfn.IFNA(IF(IFERROR(MATCH(I62, INDEX(Medium,,1), 0), IFERROR(MATCH(I62, INDEX(Medium,,2), 0), MATCH(I62, INDEX(Medium,,3), 0))) = 2, 1, 0), 0)</f>
        <v>0</v>
      </c>
      <c r="AG62" s="236">
        <v>1</v>
      </c>
      <c r="AH62" s="236">
        <v>0</v>
      </c>
      <c r="AI62" s="236">
        <f t="shared" si="4"/>
        <v>-100</v>
      </c>
      <c r="AJ62" s="210"/>
      <c r="AK62" s="236">
        <v>20</v>
      </c>
      <c r="AL62" s="250">
        <v>304</v>
      </c>
      <c r="AM62" s="250">
        <v>259</v>
      </c>
      <c r="AN62" s="250">
        <v>188</v>
      </c>
      <c r="AO62" s="251">
        <f t="shared" si="5"/>
        <v>6.25E-2</v>
      </c>
      <c r="AP62" s="251">
        <f t="shared" si="5"/>
        <v>6.25E-2</v>
      </c>
      <c r="AQ62" s="251" cm="1">
        <f t="array" ref="AQ62">MIN(INDEX(Use,AQ$21,5) + MAX(0, (1-INDEX(Use,AQ$21,5))*($AK62-5)/(35-5)), 1)</f>
        <v>0.7</v>
      </c>
      <c r="AR62" s="251" cm="1">
        <f t="array" ref="AR62">MIN(INDEX(Use,AR$21,5) + MAX(0, (1-INDEX(Use,AR$21,5))*($AK62-5)/(35-5)), 1)</f>
        <v>0.8</v>
      </c>
      <c r="AS62" s="251" cm="1">
        <f t="array" ref="AS62">MIN(INDEX(Use,AS$21,5) + MAX(0, (1-INDEX(Use,AS$21,5))*($AK62-5)/(35-5)), 1)</f>
        <v>0.9</v>
      </c>
      <c r="AT62" s="251" cm="1">
        <f t="array" ref="AT62">MIN(INDEX(Use,AT$21,5) + MAX(0, (1-INDEX(Use,AT$21,5))*($AK62-5)/(35-5)), 1)</f>
        <v>0.9</v>
      </c>
      <c r="AU62" s="251" cm="1">
        <f t="array" ref="AU62">MIN(INDEX(Use,AU$21,5) + MAX(0, (1-INDEX(Use,AU$21,5))*($AK62-5)/(35-5)), 1)</f>
        <v>0.9</v>
      </c>
      <c r="AV62" s="251">
        <v>1</v>
      </c>
      <c r="AW62" s="251">
        <v>0.5</v>
      </c>
      <c r="AX62" s="212"/>
      <c r="AY62" s="236" cm="1">
        <f t="array" ref="AY62">INDEX(Use, $AD62, 4)</f>
        <v>7</v>
      </c>
      <c r="AZ62" s="236">
        <f t="shared" si="12"/>
        <v>32</v>
      </c>
      <c r="BA62" s="236">
        <f t="shared" si="13"/>
        <v>13</v>
      </c>
      <c r="BB62" s="236">
        <f t="shared" si="14"/>
        <v>0</v>
      </c>
      <c r="BC62" s="252" cm="1">
        <f t="array" ref="BC62">K62/IF($L62&gt;0, INDEX($AO$23:$AU$77, $L62+20, $AD62), 1)</f>
        <v>0</v>
      </c>
      <c r="BD62" s="237">
        <f t="shared" si="15"/>
        <v>0</v>
      </c>
      <c r="BE62" s="236">
        <v>35</v>
      </c>
      <c r="BF62" s="237">
        <f t="shared" si="16"/>
        <v>52.55</v>
      </c>
      <c r="BG62" s="253">
        <f t="shared" si="17"/>
        <v>2.7676728869374316</v>
      </c>
      <c r="BH62" s="253" cm="1">
        <f t="array" ref="BH62">$BC62 * SUMPRODUCT(INDEX($AL$77:$AN$82,,$AE62),INDEX($AO$77:$AU$82,,$AD62), N($AK$77:$AK$82&gt;$AI62)) / BG62 / 1000</f>
        <v>0</v>
      </c>
      <c r="BI62" s="250">
        <f t="shared" si="18"/>
        <v>30</v>
      </c>
      <c r="BJ62" s="237">
        <f t="shared" si="19"/>
        <v>46.033333333333331</v>
      </c>
      <c r="BK62" s="253">
        <f t="shared" si="20"/>
        <v>3.2297395388556791</v>
      </c>
      <c r="BL62" s="253" cm="1">
        <f t="array" ref="BL62">$BC62 * IF($AD62&lt;=2,
SUMPRODUCT(INDEX($AL$72:$AN$76,,$AE62), INDEX($AO$72:$AU$76,,$AD62), 1 / ($AV$72:$AV$76*BK62 + (1-$AV$72:$AV$76)*BG62), N($AK$72:$AK$76&gt;$AI62)),
SUMPRODUCT(INDEX($AL$67:$AN$76,,$AE62), INDEX($AO$67:$AU$76,,$AD62), 1 / ($AW$67:$AW$76*BK62 + (1-$AW$67:$AW$76)*BG62), N($AK$67:$AK$76&gt;$AI62))
) / 1000</f>
        <v>0</v>
      </c>
      <c r="BM62" s="250">
        <f t="shared" si="21"/>
        <v>25</v>
      </c>
      <c r="BN62" s="237">
        <f t="shared" si="22"/>
        <v>39.516666666666666</v>
      </c>
      <c r="BO62" s="253">
        <f t="shared" si="23"/>
        <v>3.877011788826243</v>
      </c>
      <c r="BP62" s="253" cm="1">
        <f t="array" ref="BP62">$BC62 * IF($AD62&lt;=2,
SUMPRODUCT(INDEX($AL$67:$AN$71,,$AE62), INDEX($AO$67:$AU$71,,$AD62), 1 / ($AV$67:$AV$71*BO62 + (1-$AV$67:$AV$71)*BK62), N($AK$67:$AK$71&gt;$AI62)),
SUMPRODUCT(INDEX($AL$57:$AN$66,,$AE62), INDEX($AO$57:$AU$66,,$AD62), 1 / ($AW$57:$AW$66*BO62 + (1-$AW$57:$AW$66)*BK62), N($AK$57:$AK$66&gt;$AI62))
) / 1000</f>
        <v>0</v>
      </c>
      <c r="BQ62" s="250">
        <f t="shared" si="24"/>
        <v>20</v>
      </c>
      <c r="BR62" s="237">
        <f t="shared" si="25"/>
        <v>33</v>
      </c>
      <c r="BS62" s="253">
        <f t="shared" si="26"/>
        <v>4.8487499999999999</v>
      </c>
      <c r="BT62" s="253" cm="1">
        <f t="array" ref="BT62">$BC62 * IF($AD62&lt;=2,
SUMPRODUCT(INDEX($AL$62:$AN$66,,$AE62), INDEX($AO$62:$AU$66,,$AD62), 1 / ($AV$62:$AV$66*BS62 + (1-$AV$62:$AV$66)*BO62), N($AK$62:$AK$66&gt;$AI62)),
SUMPRODUCT(INDEX($AL$47:$AN$56,,$AE62), INDEX($AO$47:$AU$56,,$AD62), 1 / ($AW$47:$AW$56*BS62 + (1-$AW$47:$AW$56)*BO62), N($AK$47:$AK$56&gt;$AI62))
) / 1000</f>
        <v>0</v>
      </c>
      <c r="BU62" s="253" cm="1">
        <f t="array" ref="BU62">$BC62 * IF($AD62&lt;=2,
SUMPRODUCT(INDEX($AL$23:$AN$61,,$AE62), INDEX($AO$23:$AU$61,,$AD62), 1 / ($AV$23:$AV$61*BS62), N($AK$23:$AK$61&gt;$AI62)),
SUMPRODUCT(INDEX($AL$23:$AN$46,,$AE62), INDEX($AO$23:$AU$46,,$AD62), 1 / ($AW$23:$AW$46*BS62), N($AK$23:$AK$46&gt;$AI62))
) / 1000</f>
        <v>0</v>
      </c>
      <c r="BV62" s="237">
        <f t="shared" si="27"/>
        <v>0</v>
      </c>
      <c r="BW62" s="210"/>
      <c r="BX62" s="237">
        <f t="shared" si="28"/>
        <v>0</v>
      </c>
      <c r="BY62" s="236">
        <v>35</v>
      </c>
      <c r="BZ62" s="237">
        <f t="shared" si="29"/>
        <v>48</v>
      </c>
      <c r="CA62" s="253">
        <f t="shared" si="30"/>
        <v>3.0748170731707316</v>
      </c>
      <c r="CB62" s="253" cm="1">
        <f t="array" ref="CB62">$BC62 * SUMPRODUCT(INDEX($AL$77:$AN$82,,$AE62),INDEX($AO$77:$AU$82,,$AD62), N($AK$77:$AK$82&gt;$AI62)) / CA62 / 1000</f>
        <v>0</v>
      </c>
      <c r="CC62" s="250">
        <f t="shared" si="31"/>
        <v>30</v>
      </c>
      <c r="CD62" s="237">
        <f t="shared" si="32"/>
        <v>43</v>
      </c>
      <c r="CE62" s="253">
        <f t="shared" si="33"/>
        <v>3.5018750000000001</v>
      </c>
      <c r="CF62" s="253" cm="1">
        <f t="array" ref="CF62">$BC62 * IF($AD62&lt;=2,
SUMPRODUCT(INDEX($AL$72:$AN$76,,$AE62), INDEX($AO$72:$AU$76,,$AD62), 1 / ($AV$72:$AV$76*CE62 + (1-$AV$72:$AV$76)*CA62), N($AK$72:$AK$76&gt;$AI62)),
SUMPRODUCT(INDEX($AL$67:$AN$76,,$AE62), INDEX($AO$67:$AU$76,,$AD62), 1 / ($AW$67:$AW$76*CE62 + (1-$AW$67:$AW$76)*CA62), N($AK$67:$AK$76&gt;$AI62))
) / 1000</f>
        <v>0</v>
      </c>
      <c r="CG62" s="250">
        <f t="shared" si="34"/>
        <v>25</v>
      </c>
      <c r="CH62" s="237">
        <f t="shared" si="35"/>
        <v>38</v>
      </c>
      <c r="CI62" s="253">
        <f t="shared" si="36"/>
        <v>4.0666935483870965</v>
      </c>
      <c r="CJ62" s="253" cm="1">
        <f t="array" ref="CJ62">$BC62 * IF($AD62&lt;=2,
SUMPRODUCT(INDEX($AL$67:$AN$71,,$AE62), INDEX($AO$67:$AU$71,,$AD62), 1 / ($AV$67:$AV$71*CI62 + (1-$AV$67:$AV$71)*CE62), N($AK$67:$AK$71&gt;$AI62)),
SUMPRODUCT(INDEX($AL$57:$AN$66,,$AE62), INDEX($AO$57:$AU$66,,$AD62), 1 / ($AW$57:$AW$66*CI62 + (1-$AW$57:$AW$66)*CE62), N($AK$57:$AK$66&gt;$AI62))
) / 1000</f>
        <v>0</v>
      </c>
      <c r="CK62" s="250">
        <f t="shared" si="37"/>
        <v>20</v>
      </c>
      <c r="CL62" s="237">
        <f t="shared" si="38"/>
        <v>33</v>
      </c>
      <c r="CM62" s="253">
        <f t="shared" si="39"/>
        <v>4.8487499999999999</v>
      </c>
      <c r="CN62" s="253" cm="1">
        <f t="array" ref="CN62">$BC62 * IF($AD62&lt;=2,
SUMPRODUCT(INDEX($AL$62:$AN$66,,$AE62), INDEX($AO$62:$AU$66,,$AD62), 1 / ($AV$62:$AV$66*CM62 + (1-$AV$62:$AV$66)*CI62), N($AK$62:$AK$66&gt;$AI62)),
SUMPRODUCT(INDEX($AL$47:$AN$56,,$AE62), INDEX($AO$47:$AU$56,,$AD62), 1 / ($AW$47:$AW$56*CM62 + (1-$AW$47:$AW$56)*CI62), N($AK$47:$AK$56&gt;$AI62))
) / 1000</f>
        <v>0</v>
      </c>
      <c r="CO62" s="253" cm="1">
        <f t="array" ref="CO62">$BC62 * IF($AD62&lt;=2,
SUMPRODUCT(INDEX($AL$23:$AN$61,,$AE62), INDEX($AO$23:$AU$61,,$AD62), 1 / ($AV$23:$AV$61*CM62), N($AK$23:$AK$61&gt;$AI62)),
SUMPRODUCT(INDEX($AL$23:$AN$46,,$AE62), INDEX($AO$23:$AU$46,,$AD62), 1 / ($AW$23:$AW$46*CM62), N($AK$23:$AK$46&gt;$AI62))
) / 1000</f>
        <v>0</v>
      </c>
      <c r="CP62" s="237">
        <f t="shared" si="40"/>
        <v>0</v>
      </c>
      <c r="CQ62" s="210"/>
    </row>
    <row r="63" spans="1:95" s="76" customFormat="1" ht="14.25" customHeight="1" x14ac:dyDescent="0.25">
      <c r="A63" s="238" t="b">
        <f t="shared" si="0"/>
        <v>0</v>
      </c>
      <c r="B63" s="239">
        <v>41</v>
      </c>
      <c r="C63" s="258"/>
      <c r="D63" s="258"/>
      <c r="E63" s="240"/>
      <c r="F63" s="241" t="str">
        <f>IF(ISBLANK(E63), "", VLOOKUP(E63, Z!$A$2:$C$4127, 3, FALSE))</f>
        <v/>
      </c>
      <c r="G63" s="242"/>
      <c r="H63" s="242"/>
      <c r="I63" s="243"/>
      <c r="J63" s="244"/>
      <c r="K63" s="259"/>
      <c r="L63" s="260"/>
      <c r="M63" s="247" t="str" cm="1">
        <f t="array" ref="M63">IF($K63&gt;0, INDEX(Clean,1+AG63,$C$1), "")</f>
        <v/>
      </c>
      <c r="N63" s="245"/>
      <c r="O63" s="245"/>
      <c r="P63" s="246"/>
      <c r="Q63" s="248">
        <f t="shared" si="6"/>
        <v>0</v>
      </c>
      <c r="R63" s="247" t="str" cm="1">
        <f t="array" ref="R63">IF($K63&gt;0, INDEX(Clean,1+AH63,$C$1), "")</f>
        <v/>
      </c>
      <c r="S63" s="245"/>
      <c r="T63" s="245"/>
      <c r="U63" s="246"/>
      <c r="V63" s="248">
        <f t="shared" si="7"/>
        <v>0</v>
      </c>
      <c r="W63" s="261"/>
      <c r="X63" s="258"/>
      <c r="Y63" s="240"/>
      <c r="Z63" s="241" t="str">
        <f>IF(ISBLANK(Y63), "", VLOOKUP(Y63, Z!$A$2:$C$4127, 3, FALSE))</f>
        <v/>
      </c>
      <c r="AA63" s="262"/>
      <c r="AB63" s="249">
        <f t="shared" si="8"/>
        <v>0</v>
      </c>
      <c r="AC63" s="210"/>
      <c r="AD63" s="236">
        <f t="shared" ref="AD63" si="155">IF(ISBLANK(H63), 1, IFERROR(MATCH(H63, INDEX(Use,,1), 0), IFERROR(MATCH(H63, INDEX(Use,,2), 0), MATCH(H63, INDEX(Use,,3), 0))))</f>
        <v>1</v>
      </c>
      <c r="AE63" s="236">
        <f t="shared" ref="AE63" si="156">IF(ISBLANK(G63), 1, IFERROR(MATCH(G63, INDEX(Loc,,1), 0), IFERROR(MATCH(G63, INDEX(Loc,,2), 0), MATCH(G63, INDEX(Loc,,3), 0))))</f>
        <v>1</v>
      </c>
      <c r="AF63" s="236">
        <f t="shared" ref="AF63" si="157">_xlfn.IFNA(IF(IFERROR(MATCH(I63, INDEX(Medium,,1), 0), IFERROR(MATCH(I63, INDEX(Medium,,2), 0), MATCH(I63, INDEX(Medium,,3), 0))) = 2, 1, 0), 0)</f>
        <v>0</v>
      </c>
      <c r="AG63" s="236">
        <v>1</v>
      </c>
      <c r="AH63" s="236">
        <v>0</v>
      </c>
      <c r="AI63" s="236">
        <f t="shared" si="4"/>
        <v>-100</v>
      </c>
      <c r="AJ63" s="210"/>
      <c r="AK63" s="236">
        <v>21</v>
      </c>
      <c r="AL63" s="250">
        <v>295</v>
      </c>
      <c r="AM63" s="250">
        <v>198</v>
      </c>
      <c r="AN63" s="250">
        <v>146</v>
      </c>
      <c r="AO63" s="251">
        <f t="shared" si="5"/>
        <v>0.125</v>
      </c>
      <c r="AP63" s="251">
        <f t="shared" si="5"/>
        <v>0.125</v>
      </c>
      <c r="AQ63" s="251" cm="1">
        <f t="array" ref="AQ63">MIN(INDEX(Use,AQ$21,5) + MAX(0, (1-INDEX(Use,AQ$21,5))*($AK63-5)/(35-5)), 1)</f>
        <v>0.72</v>
      </c>
      <c r="AR63" s="251" cm="1">
        <f t="array" ref="AR63">MIN(INDEX(Use,AR$21,5) + MAX(0, (1-INDEX(Use,AR$21,5))*($AK63-5)/(35-5)), 1)</f>
        <v>0.81333333333333335</v>
      </c>
      <c r="AS63" s="251" cm="1">
        <f t="array" ref="AS63">MIN(INDEX(Use,AS$21,5) + MAX(0, (1-INDEX(Use,AS$21,5))*($AK63-5)/(35-5)), 1)</f>
        <v>0.90666666666666673</v>
      </c>
      <c r="AT63" s="251" cm="1">
        <f t="array" ref="AT63">MIN(INDEX(Use,AT$21,5) + MAX(0, (1-INDEX(Use,AT$21,5))*($AK63-5)/(35-5)), 1)</f>
        <v>0.90666666666666673</v>
      </c>
      <c r="AU63" s="251" cm="1">
        <f t="array" ref="AU63">MIN(INDEX(Use,AU$21,5) + MAX(0, (1-INDEX(Use,AU$21,5))*($AK63-5)/(35-5)), 1)</f>
        <v>0.90666666666666673</v>
      </c>
      <c r="AV63" s="251">
        <v>0.8</v>
      </c>
      <c r="AW63" s="251">
        <v>0.4</v>
      </c>
      <c r="AX63" s="212"/>
      <c r="AY63" s="236" cm="1">
        <f t="array" ref="AY63">INDEX(Use, $AD63, 4)</f>
        <v>7</v>
      </c>
      <c r="AZ63" s="236">
        <f t="shared" si="12"/>
        <v>32</v>
      </c>
      <c r="BA63" s="236">
        <f t="shared" si="13"/>
        <v>13</v>
      </c>
      <c r="BB63" s="236">
        <f t="shared" si="14"/>
        <v>0</v>
      </c>
      <c r="BC63" s="252" cm="1">
        <f t="array" ref="BC63">K63/IF($L63&gt;0, INDEX($AO$23:$AU$77, $L63+20, $AD63), 1)</f>
        <v>0</v>
      </c>
      <c r="BD63" s="237">
        <f t="shared" si="15"/>
        <v>0</v>
      </c>
      <c r="BE63" s="236">
        <v>35</v>
      </c>
      <c r="BF63" s="237">
        <f t="shared" si="16"/>
        <v>52.55</v>
      </c>
      <c r="BG63" s="253">
        <f t="shared" si="17"/>
        <v>2.7676728869374316</v>
      </c>
      <c r="BH63" s="253" cm="1">
        <f t="array" ref="BH63">$BC63 * SUMPRODUCT(INDEX($AL$77:$AN$82,,$AE63),INDEX($AO$77:$AU$82,,$AD63), N($AK$77:$AK$82&gt;$AI63)) / BG63 / 1000</f>
        <v>0</v>
      </c>
      <c r="BI63" s="250">
        <f t="shared" si="18"/>
        <v>30</v>
      </c>
      <c r="BJ63" s="237">
        <f t="shared" si="19"/>
        <v>46.033333333333331</v>
      </c>
      <c r="BK63" s="253">
        <f t="shared" si="20"/>
        <v>3.2297395388556791</v>
      </c>
      <c r="BL63" s="253" cm="1">
        <f t="array" ref="BL63">$BC63 * IF($AD63&lt;=2,
SUMPRODUCT(INDEX($AL$72:$AN$76,,$AE63), INDEX($AO$72:$AU$76,,$AD63), 1 / ($AV$72:$AV$76*BK63 + (1-$AV$72:$AV$76)*BG63), N($AK$72:$AK$76&gt;$AI63)),
SUMPRODUCT(INDEX($AL$67:$AN$76,,$AE63), INDEX($AO$67:$AU$76,,$AD63), 1 / ($AW$67:$AW$76*BK63 + (1-$AW$67:$AW$76)*BG63), N($AK$67:$AK$76&gt;$AI63))
) / 1000</f>
        <v>0</v>
      </c>
      <c r="BM63" s="250">
        <f t="shared" si="21"/>
        <v>25</v>
      </c>
      <c r="BN63" s="237">
        <f t="shared" si="22"/>
        <v>39.516666666666666</v>
      </c>
      <c r="BO63" s="253">
        <f t="shared" si="23"/>
        <v>3.877011788826243</v>
      </c>
      <c r="BP63" s="253" cm="1">
        <f t="array" ref="BP63">$BC63 * IF($AD63&lt;=2,
SUMPRODUCT(INDEX($AL$67:$AN$71,,$AE63), INDEX($AO$67:$AU$71,,$AD63), 1 / ($AV$67:$AV$71*BO63 + (1-$AV$67:$AV$71)*BK63), N($AK$67:$AK$71&gt;$AI63)),
SUMPRODUCT(INDEX($AL$57:$AN$66,,$AE63), INDEX($AO$57:$AU$66,,$AD63), 1 / ($AW$57:$AW$66*BO63 + (1-$AW$57:$AW$66)*BK63), N($AK$57:$AK$66&gt;$AI63))
) / 1000</f>
        <v>0</v>
      </c>
      <c r="BQ63" s="250">
        <f t="shared" si="24"/>
        <v>20</v>
      </c>
      <c r="BR63" s="237">
        <f t="shared" si="25"/>
        <v>33</v>
      </c>
      <c r="BS63" s="253">
        <f t="shared" si="26"/>
        <v>4.8487499999999999</v>
      </c>
      <c r="BT63" s="253" cm="1">
        <f t="array" ref="BT63">$BC63 * IF($AD63&lt;=2,
SUMPRODUCT(INDEX($AL$62:$AN$66,,$AE63), INDEX($AO$62:$AU$66,,$AD63), 1 / ($AV$62:$AV$66*BS63 + (1-$AV$62:$AV$66)*BO63), N($AK$62:$AK$66&gt;$AI63)),
SUMPRODUCT(INDEX($AL$47:$AN$56,,$AE63), INDEX($AO$47:$AU$56,,$AD63), 1 / ($AW$47:$AW$56*BS63 + (1-$AW$47:$AW$56)*BO63), N($AK$47:$AK$56&gt;$AI63))
) / 1000</f>
        <v>0</v>
      </c>
      <c r="BU63" s="253" cm="1">
        <f t="array" ref="BU63">$BC63 * IF($AD63&lt;=2,
SUMPRODUCT(INDEX($AL$23:$AN$61,,$AE63), INDEX($AO$23:$AU$61,,$AD63), 1 / ($AV$23:$AV$61*BS63), N($AK$23:$AK$61&gt;$AI63)),
SUMPRODUCT(INDEX($AL$23:$AN$46,,$AE63), INDEX($AO$23:$AU$46,,$AD63), 1 / ($AW$23:$AW$46*BS63), N($AK$23:$AK$46&gt;$AI63))
) / 1000</f>
        <v>0</v>
      </c>
      <c r="BV63" s="237">
        <f t="shared" si="27"/>
        <v>0</v>
      </c>
      <c r="BW63" s="210"/>
      <c r="BX63" s="237">
        <f t="shared" si="28"/>
        <v>0</v>
      </c>
      <c r="BY63" s="236">
        <v>35</v>
      </c>
      <c r="BZ63" s="237">
        <f t="shared" si="29"/>
        <v>48</v>
      </c>
      <c r="CA63" s="253">
        <f t="shared" si="30"/>
        <v>3.0748170731707316</v>
      </c>
      <c r="CB63" s="253" cm="1">
        <f t="array" ref="CB63">$BC63 * SUMPRODUCT(INDEX($AL$77:$AN$82,,$AE63),INDEX($AO$77:$AU$82,,$AD63), N($AK$77:$AK$82&gt;$AI63)) / CA63 / 1000</f>
        <v>0</v>
      </c>
      <c r="CC63" s="250">
        <f t="shared" si="31"/>
        <v>30</v>
      </c>
      <c r="CD63" s="237">
        <f t="shared" si="32"/>
        <v>43</v>
      </c>
      <c r="CE63" s="253">
        <f t="shared" si="33"/>
        <v>3.5018750000000001</v>
      </c>
      <c r="CF63" s="253" cm="1">
        <f t="array" ref="CF63">$BC63 * IF($AD63&lt;=2,
SUMPRODUCT(INDEX($AL$72:$AN$76,,$AE63), INDEX($AO$72:$AU$76,,$AD63), 1 / ($AV$72:$AV$76*CE63 + (1-$AV$72:$AV$76)*CA63), N($AK$72:$AK$76&gt;$AI63)),
SUMPRODUCT(INDEX($AL$67:$AN$76,,$AE63), INDEX($AO$67:$AU$76,,$AD63), 1 / ($AW$67:$AW$76*CE63 + (1-$AW$67:$AW$76)*CA63), N($AK$67:$AK$76&gt;$AI63))
) / 1000</f>
        <v>0</v>
      </c>
      <c r="CG63" s="250">
        <f t="shared" si="34"/>
        <v>25</v>
      </c>
      <c r="CH63" s="237">
        <f t="shared" si="35"/>
        <v>38</v>
      </c>
      <c r="CI63" s="253">
        <f t="shared" si="36"/>
        <v>4.0666935483870965</v>
      </c>
      <c r="CJ63" s="253" cm="1">
        <f t="array" ref="CJ63">$BC63 * IF($AD63&lt;=2,
SUMPRODUCT(INDEX($AL$67:$AN$71,,$AE63), INDEX($AO$67:$AU$71,,$AD63), 1 / ($AV$67:$AV$71*CI63 + (1-$AV$67:$AV$71)*CE63), N($AK$67:$AK$71&gt;$AI63)),
SUMPRODUCT(INDEX($AL$57:$AN$66,,$AE63), INDEX($AO$57:$AU$66,,$AD63), 1 / ($AW$57:$AW$66*CI63 + (1-$AW$57:$AW$66)*CE63), N($AK$57:$AK$66&gt;$AI63))
) / 1000</f>
        <v>0</v>
      </c>
      <c r="CK63" s="250">
        <f t="shared" si="37"/>
        <v>20</v>
      </c>
      <c r="CL63" s="237">
        <f t="shared" si="38"/>
        <v>33</v>
      </c>
      <c r="CM63" s="253">
        <f t="shared" si="39"/>
        <v>4.8487499999999999</v>
      </c>
      <c r="CN63" s="253" cm="1">
        <f t="array" ref="CN63">$BC63 * IF($AD63&lt;=2,
SUMPRODUCT(INDEX($AL$62:$AN$66,,$AE63), INDEX($AO$62:$AU$66,,$AD63), 1 / ($AV$62:$AV$66*CM63 + (1-$AV$62:$AV$66)*CI63), N($AK$62:$AK$66&gt;$AI63)),
SUMPRODUCT(INDEX($AL$47:$AN$56,,$AE63), INDEX($AO$47:$AU$56,,$AD63), 1 / ($AW$47:$AW$56*CM63 + (1-$AW$47:$AW$56)*CI63), N($AK$47:$AK$56&gt;$AI63))
) / 1000</f>
        <v>0</v>
      </c>
      <c r="CO63" s="253" cm="1">
        <f t="array" ref="CO63">$BC63 * IF($AD63&lt;=2,
SUMPRODUCT(INDEX($AL$23:$AN$61,,$AE63), INDEX($AO$23:$AU$61,,$AD63), 1 / ($AV$23:$AV$61*CM63), N($AK$23:$AK$61&gt;$AI63)),
SUMPRODUCT(INDEX($AL$23:$AN$46,,$AE63), INDEX($AO$23:$AU$46,,$AD63), 1 / ($AW$23:$AW$46*CM63), N($AK$23:$AK$46&gt;$AI63))
) / 1000</f>
        <v>0</v>
      </c>
      <c r="CP63" s="237">
        <f t="shared" si="40"/>
        <v>0</v>
      </c>
      <c r="CQ63" s="210"/>
    </row>
    <row r="64" spans="1:95" s="76" customFormat="1" ht="14.25" customHeight="1" x14ac:dyDescent="0.25">
      <c r="A64" s="238" t="b">
        <f t="shared" si="0"/>
        <v>0</v>
      </c>
      <c r="B64" s="239">
        <v>42</v>
      </c>
      <c r="C64" s="258"/>
      <c r="D64" s="258"/>
      <c r="E64" s="240"/>
      <c r="F64" s="241" t="str">
        <f>IF(ISBLANK(E64), "", VLOOKUP(E64, Z!$A$2:$C$4127, 3, FALSE))</f>
        <v/>
      </c>
      <c r="G64" s="242"/>
      <c r="H64" s="242"/>
      <c r="I64" s="243"/>
      <c r="J64" s="244"/>
      <c r="K64" s="259"/>
      <c r="L64" s="260"/>
      <c r="M64" s="247" t="str" cm="1">
        <f t="array" ref="M64">IF($K64&gt;0, INDEX(Clean,1+AG64,$C$1), "")</f>
        <v/>
      </c>
      <c r="N64" s="245"/>
      <c r="O64" s="245"/>
      <c r="P64" s="246"/>
      <c r="Q64" s="248">
        <f t="shared" si="6"/>
        <v>0</v>
      </c>
      <c r="R64" s="247" t="str" cm="1">
        <f t="array" ref="R64">IF($K64&gt;0, INDEX(Clean,1+AH64,$C$1), "")</f>
        <v/>
      </c>
      <c r="S64" s="245"/>
      <c r="T64" s="245"/>
      <c r="U64" s="246"/>
      <c r="V64" s="248">
        <f t="shared" si="7"/>
        <v>0</v>
      </c>
      <c r="W64" s="261"/>
      <c r="X64" s="258"/>
      <c r="Y64" s="240"/>
      <c r="Z64" s="241" t="str">
        <f>IF(ISBLANK(Y64), "", VLOOKUP(Y64, Z!$A$2:$C$4127, 3, FALSE))</f>
        <v/>
      </c>
      <c r="AA64" s="262"/>
      <c r="AB64" s="249">
        <f t="shared" si="8"/>
        <v>0</v>
      </c>
      <c r="AC64" s="210"/>
      <c r="AD64" s="236">
        <f t="shared" ref="AD64" si="158">IF(ISBLANK(H64), 1, IFERROR(MATCH(H64, INDEX(Use,,1), 0), IFERROR(MATCH(H64, INDEX(Use,,2), 0), MATCH(H64, INDEX(Use,,3), 0))))</f>
        <v>1</v>
      </c>
      <c r="AE64" s="236">
        <f t="shared" ref="AE64" si="159">IF(ISBLANK(G64), 1, IFERROR(MATCH(G64, INDEX(Loc,,1), 0), IFERROR(MATCH(G64, INDEX(Loc,,2), 0), MATCH(G64, INDEX(Loc,,3), 0))))</f>
        <v>1</v>
      </c>
      <c r="AF64" s="236">
        <f t="shared" ref="AF64" si="160">_xlfn.IFNA(IF(IFERROR(MATCH(I64, INDEX(Medium,,1), 0), IFERROR(MATCH(I64, INDEX(Medium,,2), 0), MATCH(I64, INDEX(Medium,,3), 0))) = 2, 1, 0), 0)</f>
        <v>0</v>
      </c>
      <c r="AG64" s="236">
        <v>1</v>
      </c>
      <c r="AH64" s="236">
        <v>0</v>
      </c>
      <c r="AI64" s="236">
        <f t="shared" si="4"/>
        <v>-100</v>
      </c>
      <c r="AJ64" s="210"/>
      <c r="AK64" s="236">
        <v>22</v>
      </c>
      <c r="AL64" s="250">
        <v>242</v>
      </c>
      <c r="AM64" s="250">
        <v>172</v>
      </c>
      <c r="AN64" s="250">
        <v>134</v>
      </c>
      <c r="AO64" s="251">
        <f t="shared" si="5"/>
        <v>0.1875</v>
      </c>
      <c r="AP64" s="251">
        <f t="shared" si="5"/>
        <v>0.1875</v>
      </c>
      <c r="AQ64" s="251" cm="1">
        <f t="array" ref="AQ64">MIN(INDEX(Use,AQ$21,5) + MAX(0, (1-INDEX(Use,AQ$21,5))*($AK64-5)/(35-5)), 1)</f>
        <v>0.74</v>
      </c>
      <c r="AR64" s="251" cm="1">
        <f t="array" ref="AR64">MIN(INDEX(Use,AR$21,5) + MAX(0, (1-INDEX(Use,AR$21,5))*($AK64-5)/(35-5)), 1)</f>
        <v>0.82666666666666666</v>
      </c>
      <c r="AS64" s="251" cm="1">
        <f t="array" ref="AS64">MIN(INDEX(Use,AS$21,5) + MAX(0, (1-INDEX(Use,AS$21,5))*($AK64-5)/(35-5)), 1)</f>
        <v>0.91333333333333333</v>
      </c>
      <c r="AT64" s="251" cm="1">
        <f t="array" ref="AT64">MIN(INDEX(Use,AT$21,5) + MAX(0, (1-INDEX(Use,AT$21,5))*($AK64-5)/(35-5)), 1)</f>
        <v>0.91333333333333333</v>
      </c>
      <c r="AU64" s="251" cm="1">
        <f t="array" ref="AU64">MIN(INDEX(Use,AU$21,5) + MAX(0, (1-INDEX(Use,AU$21,5))*($AK64-5)/(35-5)), 1)</f>
        <v>0.91333333333333333</v>
      </c>
      <c r="AV64" s="251">
        <v>0.6</v>
      </c>
      <c r="AW64" s="251">
        <v>0.3</v>
      </c>
      <c r="AX64" s="212"/>
      <c r="AY64" s="236" cm="1">
        <f t="array" ref="AY64">INDEX(Use, $AD64, 4)</f>
        <v>7</v>
      </c>
      <c r="AZ64" s="236">
        <f t="shared" si="12"/>
        <v>32</v>
      </c>
      <c r="BA64" s="236">
        <f t="shared" si="13"/>
        <v>13</v>
      </c>
      <c r="BB64" s="236">
        <f t="shared" si="14"/>
        <v>0</v>
      </c>
      <c r="BC64" s="252" cm="1">
        <f t="array" ref="BC64">K64/IF($L64&gt;0, INDEX($AO$23:$AU$77, $L64+20, $AD64), 1)</f>
        <v>0</v>
      </c>
      <c r="BD64" s="237">
        <f t="shared" si="15"/>
        <v>0</v>
      </c>
      <c r="BE64" s="236">
        <v>35</v>
      </c>
      <c r="BF64" s="237">
        <f t="shared" si="16"/>
        <v>52.55</v>
      </c>
      <c r="BG64" s="253">
        <f t="shared" si="17"/>
        <v>2.7676728869374316</v>
      </c>
      <c r="BH64" s="253" cm="1">
        <f t="array" ref="BH64">$BC64 * SUMPRODUCT(INDEX($AL$77:$AN$82,,$AE64),INDEX($AO$77:$AU$82,,$AD64), N($AK$77:$AK$82&gt;$AI64)) / BG64 / 1000</f>
        <v>0</v>
      </c>
      <c r="BI64" s="250">
        <f t="shared" si="18"/>
        <v>30</v>
      </c>
      <c r="BJ64" s="237">
        <f t="shared" si="19"/>
        <v>46.033333333333331</v>
      </c>
      <c r="BK64" s="253">
        <f t="shared" si="20"/>
        <v>3.2297395388556791</v>
      </c>
      <c r="BL64" s="253" cm="1">
        <f t="array" ref="BL64">$BC64 * IF($AD64&lt;=2,
SUMPRODUCT(INDEX($AL$72:$AN$76,,$AE64), INDEX($AO$72:$AU$76,,$AD64), 1 / ($AV$72:$AV$76*BK64 + (1-$AV$72:$AV$76)*BG64), N($AK$72:$AK$76&gt;$AI64)),
SUMPRODUCT(INDEX($AL$67:$AN$76,,$AE64), INDEX($AO$67:$AU$76,,$AD64), 1 / ($AW$67:$AW$76*BK64 + (1-$AW$67:$AW$76)*BG64), N($AK$67:$AK$76&gt;$AI64))
) / 1000</f>
        <v>0</v>
      </c>
      <c r="BM64" s="250">
        <f t="shared" si="21"/>
        <v>25</v>
      </c>
      <c r="BN64" s="237">
        <f t="shared" si="22"/>
        <v>39.516666666666666</v>
      </c>
      <c r="BO64" s="253">
        <f t="shared" si="23"/>
        <v>3.877011788826243</v>
      </c>
      <c r="BP64" s="253" cm="1">
        <f t="array" ref="BP64">$BC64 * IF($AD64&lt;=2,
SUMPRODUCT(INDEX($AL$67:$AN$71,,$AE64), INDEX($AO$67:$AU$71,,$AD64), 1 / ($AV$67:$AV$71*BO64 + (1-$AV$67:$AV$71)*BK64), N($AK$67:$AK$71&gt;$AI64)),
SUMPRODUCT(INDEX($AL$57:$AN$66,,$AE64), INDEX($AO$57:$AU$66,,$AD64), 1 / ($AW$57:$AW$66*BO64 + (1-$AW$57:$AW$66)*BK64), N($AK$57:$AK$66&gt;$AI64))
) / 1000</f>
        <v>0</v>
      </c>
      <c r="BQ64" s="250">
        <f t="shared" si="24"/>
        <v>20</v>
      </c>
      <c r="BR64" s="237">
        <f t="shared" si="25"/>
        <v>33</v>
      </c>
      <c r="BS64" s="253">
        <f t="shared" si="26"/>
        <v>4.8487499999999999</v>
      </c>
      <c r="BT64" s="253" cm="1">
        <f t="array" ref="BT64">$BC64 * IF($AD64&lt;=2,
SUMPRODUCT(INDEX($AL$62:$AN$66,,$AE64), INDEX($AO$62:$AU$66,,$AD64), 1 / ($AV$62:$AV$66*BS64 + (1-$AV$62:$AV$66)*BO64), N($AK$62:$AK$66&gt;$AI64)),
SUMPRODUCT(INDEX($AL$47:$AN$56,,$AE64), INDEX($AO$47:$AU$56,,$AD64), 1 / ($AW$47:$AW$56*BS64 + (1-$AW$47:$AW$56)*BO64), N($AK$47:$AK$56&gt;$AI64))
) / 1000</f>
        <v>0</v>
      </c>
      <c r="BU64" s="253" cm="1">
        <f t="array" ref="BU64">$BC64 * IF($AD64&lt;=2,
SUMPRODUCT(INDEX($AL$23:$AN$61,,$AE64), INDEX($AO$23:$AU$61,,$AD64), 1 / ($AV$23:$AV$61*BS64), N($AK$23:$AK$61&gt;$AI64)),
SUMPRODUCT(INDEX($AL$23:$AN$46,,$AE64), INDEX($AO$23:$AU$46,,$AD64), 1 / ($AW$23:$AW$46*BS64), N($AK$23:$AK$46&gt;$AI64))
) / 1000</f>
        <v>0</v>
      </c>
      <c r="BV64" s="237">
        <f t="shared" si="27"/>
        <v>0</v>
      </c>
      <c r="BW64" s="210"/>
      <c r="BX64" s="237">
        <f t="shared" si="28"/>
        <v>0</v>
      </c>
      <c r="BY64" s="236">
        <v>35</v>
      </c>
      <c r="BZ64" s="237">
        <f t="shared" si="29"/>
        <v>48</v>
      </c>
      <c r="CA64" s="253">
        <f t="shared" si="30"/>
        <v>3.0748170731707316</v>
      </c>
      <c r="CB64" s="253" cm="1">
        <f t="array" ref="CB64">$BC64 * SUMPRODUCT(INDEX($AL$77:$AN$82,,$AE64),INDEX($AO$77:$AU$82,,$AD64), N($AK$77:$AK$82&gt;$AI64)) / CA64 / 1000</f>
        <v>0</v>
      </c>
      <c r="CC64" s="250">
        <f t="shared" si="31"/>
        <v>30</v>
      </c>
      <c r="CD64" s="237">
        <f t="shared" si="32"/>
        <v>43</v>
      </c>
      <c r="CE64" s="253">
        <f t="shared" si="33"/>
        <v>3.5018750000000001</v>
      </c>
      <c r="CF64" s="253" cm="1">
        <f t="array" ref="CF64">$BC64 * IF($AD64&lt;=2,
SUMPRODUCT(INDEX($AL$72:$AN$76,,$AE64), INDEX($AO$72:$AU$76,,$AD64), 1 / ($AV$72:$AV$76*CE64 + (1-$AV$72:$AV$76)*CA64), N($AK$72:$AK$76&gt;$AI64)),
SUMPRODUCT(INDEX($AL$67:$AN$76,,$AE64), INDEX($AO$67:$AU$76,,$AD64), 1 / ($AW$67:$AW$76*CE64 + (1-$AW$67:$AW$76)*CA64), N($AK$67:$AK$76&gt;$AI64))
) / 1000</f>
        <v>0</v>
      </c>
      <c r="CG64" s="250">
        <f t="shared" si="34"/>
        <v>25</v>
      </c>
      <c r="CH64" s="237">
        <f t="shared" si="35"/>
        <v>38</v>
      </c>
      <c r="CI64" s="253">
        <f t="shared" si="36"/>
        <v>4.0666935483870965</v>
      </c>
      <c r="CJ64" s="253" cm="1">
        <f t="array" ref="CJ64">$BC64 * IF($AD64&lt;=2,
SUMPRODUCT(INDEX($AL$67:$AN$71,,$AE64), INDEX($AO$67:$AU$71,,$AD64), 1 / ($AV$67:$AV$71*CI64 + (1-$AV$67:$AV$71)*CE64), N($AK$67:$AK$71&gt;$AI64)),
SUMPRODUCT(INDEX($AL$57:$AN$66,,$AE64), INDEX($AO$57:$AU$66,,$AD64), 1 / ($AW$57:$AW$66*CI64 + (1-$AW$57:$AW$66)*CE64), N($AK$57:$AK$66&gt;$AI64))
) / 1000</f>
        <v>0</v>
      </c>
      <c r="CK64" s="250">
        <f t="shared" si="37"/>
        <v>20</v>
      </c>
      <c r="CL64" s="237">
        <f t="shared" si="38"/>
        <v>33</v>
      </c>
      <c r="CM64" s="253">
        <f t="shared" si="39"/>
        <v>4.8487499999999999</v>
      </c>
      <c r="CN64" s="253" cm="1">
        <f t="array" ref="CN64">$BC64 * IF($AD64&lt;=2,
SUMPRODUCT(INDEX($AL$62:$AN$66,,$AE64), INDEX($AO$62:$AU$66,,$AD64), 1 / ($AV$62:$AV$66*CM64 + (1-$AV$62:$AV$66)*CI64), N($AK$62:$AK$66&gt;$AI64)),
SUMPRODUCT(INDEX($AL$47:$AN$56,,$AE64), INDEX($AO$47:$AU$56,,$AD64), 1 / ($AW$47:$AW$56*CM64 + (1-$AW$47:$AW$56)*CI64), N($AK$47:$AK$56&gt;$AI64))
) / 1000</f>
        <v>0</v>
      </c>
      <c r="CO64" s="253" cm="1">
        <f t="array" ref="CO64">$BC64 * IF($AD64&lt;=2,
SUMPRODUCT(INDEX($AL$23:$AN$61,,$AE64), INDEX($AO$23:$AU$61,,$AD64), 1 / ($AV$23:$AV$61*CM64), N($AK$23:$AK$61&gt;$AI64)),
SUMPRODUCT(INDEX($AL$23:$AN$46,,$AE64), INDEX($AO$23:$AU$46,,$AD64), 1 / ($AW$23:$AW$46*CM64), N($AK$23:$AK$46&gt;$AI64))
) / 1000</f>
        <v>0</v>
      </c>
      <c r="CP64" s="237">
        <f t="shared" si="40"/>
        <v>0</v>
      </c>
      <c r="CQ64" s="210"/>
    </row>
    <row r="65" spans="1:95" s="76" customFormat="1" ht="14.25" customHeight="1" x14ac:dyDescent="0.25">
      <c r="A65" s="238" t="b">
        <f t="shared" si="0"/>
        <v>0</v>
      </c>
      <c r="B65" s="239">
        <v>43</v>
      </c>
      <c r="C65" s="258"/>
      <c r="D65" s="258"/>
      <c r="E65" s="240"/>
      <c r="F65" s="241" t="str">
        <f>IF(ISBLANK(E65), "", VLOOKUP(E65, Z!$A$2:$C$4127, 3, FALSE))</f>
        <v/>
      </c>
      <c r="G65" s="242"/>
      <c r="H65" s="242"/>
      <c r="I65" s="243"/>
      <c r="J65" s="244"/>
      <c r="K65" s="259"/>
      <c r="L65" s="260"/>
      <c r="M65" s="247" t="str" cm="1">
        <f t="array" ref="M65">IF($K65&gt;0, INDEX(Clean,1+AG65,$C$1), "")</f>
        <v/>
      </c>
      <c r="N65" s="245"/>
      <c r="O65" s="245"/>
      <c r="P65" s="246"/>
      <c r="Q65" s="248">
        <f t="shared" si="6"/>
        <v>0</v>
      </c>
      <c r="R65" s="247" t="str" cm="1">
        <f t="array" ref="R65">IF($K65&gt;0, INDEX(Clean,1+AH65,$C$1), "")</f>
        <v/>
      </c>
      <c r="S65" s="245"/>
      <c r="T65" s="245"/>
      <c r="U65" s="246"/>
      <c r="V65" s="248">
        <f t="shared" si="7"/>
        <v>0</v>
      </c>
      <c r="W65" s="261"/>
      <c r="X65" s="258"/>
      <c r="Y65" s="240"/>
      <c r="Z65" s="241" t="str">
        <f>IF(ISBLANK(Y65), "", VLOOKUP(Y65, Z!$A$2:$C$4127, 3, FALSE))</f>
        <v/>
      </c>
      <c r="AA65" s="262"/>
      <c r="AB65" s="249">
        <f t="shared" si="8"/>
        <v>0</v>
      </c>
      <c r="AC65" s="210"/>
      <c r="AD65" s="236">
        <f t="shared" ref="AD65" si="161">IF(ISBLANK(H65), 1, IFERROR(MATCH(H65, INDEX(Use,,1), 0), IFERROR(MATCH(H65, INDEX(Use,,2), 0), MATCH(H65, INDEX(Use,,3), 0))))</f>
        <v>1</v>
      </c>
      <c r="AE65" s="236">
        <f t="shared" ref="AE65" si="162">IF(ISBLANK(G65), 1, IFERROR(MATCH(G65, INDEX(Loc,,1), 0), IFERROR(MATCH(G65, INDEX(Loc,,2), 0), MATCH(G65, INDEX(Loc,,3), 0))))</f>
        <v>1</v>
      </c>
      <c r="AF65" s="236">
        <f t="shared" ref="AF65" si="163">_xlfn.IFNA(IF(IFERROR(MATCH(I65, INDEX(Medium,,1), 0), IFERROR(MATCH(I65, INDEX(Medium,,2), 0), MATCH(I65, INDEX(Medium,,3), 0))) = 2, 1, 0), 0)</f>
        <v>0</v>
      </c>
      <c r="AG65" s="236">
        <v>1</v>
      </c>
      <c r="AH65" s="236">
        <v>0</v>
      </c>
      <c r="AI65" s="236">
        <f t="shared" si="4"/>
        <v>-100</v>
      </c>
      <c r="AJ65" s="210"/>
      <c r="AK65" s="236">
        <v>23</v>
      </c>
      <c r="AL65" s="250">
        <v>208</v>
      </c>
      <c r="AM65" s="250">
        <v>135</v>
      </c>
      <c r="AN65" s="250">
        <v>114</v>
      </c>
      <c r="AO65" s="251">
        <f t="shared" si="5"/>
        <v>0.25</v>
      </c>
      <c r="AP65" s="251">
        <f t="shared" si="5"/>
        <v>0.25</v>
      </c>
      <c r="AQ65" s="251" cm="1">
        <f t="array" ref="AQ65">MIN(INDEX(Use,AQ$21,5) + MAX(0, (1-INDEX(Use,AQ$21,5))*($AK65-5)/(35-5)), 1)</f>
        <v>0.76</v>
      </c>
      <c r="AR65" s="251" cm="1">
        <f t="array" ref="AR65">MIN(INDEX(Use,AR$21,5) + MAX(0, (1-INDEX(Use,AR$21,5))*($AK65-5)/(35-5)), 1)</f>
        <v>0.84</v>
      </c>
      <c r="AS65" s="251" cm="1">
        <f t="array" ref="AS65">MIN(INDEX(Use,AS$21,5) + MAX(0, (1-INDEX(Use,AS$21,5))*($AK65-5)/(35-5)), 1)</f>
        <v>0.92</v>
      </c>
      <c r="AT65" s="251" cm="1">
        <f t="array" ref="AT65">MIN(INDEX(Use,AT$21,5) + MAX(0, (1-INDEX(Use,AT$21,5))*($AK65-5)/(35-5)), 1)</f>
        <v>0.92</v>
      </c>
      <c r="AU65" s="251" cm="1">
        <f t="array" ref="AU65">MIN(INDEX(Use,AU$21,5) + MAX(0, (1-INDEX(Use,AU$21,5))*($AK65-5)/(35-5)), 1)</f>
        <v>0.92</v>
      </c>
      <c r="AV65" s="251">
        <v>0.4</v>
      </c>
      <c r="AW65" s="251">
        <v>0.2</v>
      </c>
      <c r="AX65" s="212"/>
      <c r="AY65" s="236" cm="1">
        <f t="array" ref="AY65">INDEX(Use, $AD65, 4)</f>
        <v>7</v>
      </c>
      <c r="AZ65" s="236">
        <f t="shared" si="12"/>
        <v>32</v>
      </c>
      <c r="BA65" s="236">
        <f t="shared" si="13"/>
        <v>13</v>
      </c>
      <c r="BB65" s="236">
        <f t="shared" si="14"/>
        <v>0</v>
      </c>
      <c r="BC65" s="252" cm="1">
        <f t="array" ref="BC65">K65/IF($L65&gt;0, INDEX($AO$23:$AU$77, $L65+20, $AD65), 1)</f>
        <v>0</v>
      </c>
      <c r="BD65" s="237">
        <f t="shared" si="15"/>
        <v>0</v>
      </c>
      <c r="BE65" s="236">
        <v>35</v>
      </c>
      <c r="BF65" s="237">
        <f t="shared" si="16"/>
        <v>52.55</v>
      </c>
      <c r="BG65" s="253">
        <f t="shared" si="17"/>
        <v>2.7676728869374316</v>
      </c>
      <c r="BH65" s="253" cm="1">
        <f t="array" ref="BH65">$BC65 * SUMPRODUCT(INDEX($AL$77:$AN$82,,$AE65),INDEX($AO$77:$AU$82,,$AD65), N($AK$77:$AK$82&gt;$AI65)) / BG65 / 1000</f>
        <v>0</v>
      </c>
      <c r="BI65" s="250">
        <f t="shared" si="18"/>
        <v>30</v>
      </c>
      <c r="BJ65" s="237">
        <f t="shared" si="19"/>
        <v>46.033333333333331</v>
      </c>
      <c r="BK65" s="253">
        <f t="shared" si="20"/>
        <v>3.2297395388556791</v>
      </c>
      <c r="BL65" s="253" cm="1">
        <f t="array" ref="BL65">$BC65 * IF($AD65&lt;=2,
SUMPRODUCT(INDEX($AL$72:$AN$76,,$AE65), INDEX($AO$72:$AU$76,,$AD65), 1 / ($AV$72:$AV$76*BK65 + (1-$AV$72:$AV$76)*BG65), N($AK$72:$AK$76&gt;$AI65)),
SUMPRODUCT(INDEX($AL$67:$AN$76,,$AE65), INDEX($AO$67:$AU$76,,$AD65), 1 / ($AW$67:$AW$76*BK65 + (1-$AW$67:$AW$76)*BG65), N($AK$67:$AK$76&gt;$AI65))
) / 1000</f>
        <v>0</v>
      </c>
      <c r="BM65" s="250">
        <f t="shared" si="21"/>
        <v>25</v>
      </c>
      <c r="BN65" s="237">
        <f t="shared" si="22"/>
        <v>39.516666666666666</v>
      </c>
      <c r="BO65" s="253">
        <f t="shared" si="23"/>
        <v>3.877011788826243</v>
      </c>
      <c r="BP65" s="253" cm="1">
        <f t="array" ref="BP65">$BC65 * IF($AD65&lt;=2,
SUMPRODUCT(INDEX($AL$67:$AN$71,,$AE65), INDEX($AO$67:$AU$71,,$AD65), 1 / ($AV$67:$AV$71*BO65 + (1-$AV$67:$AV$71)*BK65), N($AK$67:$AK$71&gt;$AI65)),
SUMPRODUCT(INDEX($AL$57:$AN$66,,$AE65), INDEX($AO$57:$AU$66,,$AD65), 1 / ($AW$57:$AW$66*BO65 + (1-$AW$57:$AW$66)*BK65), N($AK$57:$AK$66&gt;$AI65))
) / 1000</f>
        <v>0</v>
      </c>
      <c r="BQ65" s="250">
        <f t="shared" si="24"/>
        <v>20</v>
      </c>
      <c r="BR65" s="237">
        <f t="shared" si="25"/>
        <v>33</v>
      </c>
      <c r="BS65" s="253">
        <f t="shared" si="26"/>
        <v>4.8487499999999999</v>
      </c>
      <c r="BT65" s="253" cm="1">
        <f t="array" ref="BT65">$BC65 * IF($AD65&lt;=2,
SUMPRODUCT(INDEX($AL$62:$AN$66,,$AE65), INDEX($AO$62:$AU$66,,$AD65), 1 / ($AV$62:$AV$66*BS65 + (1-$AV$62:$AV$66)*BO65), N($AK$62:$AK$66&gt;$AI65)),
SUMPRODUCT(INDEX($AL$47:$AN$56,,$AE65), INDEX($AO$47:$AU$56,,$AD65), 1 / ($AW$47:$AW$56*BS65 + (1-$AW$47:$AW$56)*BO65), N($AK$47:$AK$56&gt;$AI65))
) / 1000</f>
        <v>0</v>
      </c>
      <c r="BU65" s="253" cm="1">
        <f t="array" ref="BU65">$BC65 * IF($AD65&lt;=2,
SUMPRODUCT(INDEX($AL$23:$AN$61,,$AE65), INDEX($AO$23:$AU$61,,$AD65), 1 / ($AV$23:$AV$61*BS65), N($AK$23:$AK$61&gt;$AI65)),
SUMPRODUCT(INDEX($AL$23:$AN$46,,$AE65), INDEX($AO$23:$AU$46,,$AD65), 1 / ($AW$23:$AW$46*BS65), N($AK$23:$AK$46&gt;$AI65))
) / 1000</f>
        <v>0</v>
      </c>
      <c r="BV65" s="237">
        <f t="shared" si="27"/>
        <v>0</v>
      </c>
      <c r="BW65" s="210"/>
      <c r="BX65" s="237">
        <f t="shared" si="28"/>
        <v>0</v>
      </c>
      <c r="BY65" s="236">
        <v>35</v>
      </c>
      <c r="BZ65" s="237">
        <f t="shared" si="29"/>
        <v>48</v>
      </c>
      <c r="CA65" s="253">
        <f t="shared" si="30"/>
        <v>3.0748170731707316</v>
      </c>
      <c r="CB65" s="253" cm="1">
        <f t="array" ref="CB65">$BC65 * SUMPRODUCT(INDEX($AL$77:$AN$82,,$AE65),INDEX($AO$77:$AU$82,,$AD65), N($AK$77:$AK$82&gt;$AI65)) / CA65 / 1000</f>
        <v>0</v>
      </c>
      <c r="CC65" s="250">
        <f t="shared" si="31"/>
        <v>30</v>
      </c>
      <c r="CD65" s="237">
        <f t="shared" si="32"/>
        <v>43</v>
      </c>
      <c r="CE65" s="253">
        <f t="shared" si="33"/>
        <v>3.5018750000000001</v>
      </c>
      <c r="CF65" s="253" cm="1">
        <f t="array" ref="CF65">$BC65 * IF($AD65&lt;=2,
SUMPRODUCT(INDEX($AL$72:$AN$76,,$AE65), INDEX($AO$72:$AU$76,,$AD65), 1 / ($AV$72:$AV$76*CE65 + (1-$AV$72:$AV$76)*CA65), N($AK$72:$AK$76&gt;$AI65)),
SUMPRODUCT(INDEX($AL$67:$AN$76,,$AE65), INDEX($AO$67:$AU$76,,$AD65), 1 / ($AW$67:$AW$76*CE65 + (1-$AW$67:$AW$76)*CA65), N($AK$67:$AK$76&gt;$AI65))
) / 1000</f>
        <v>0</v>
      </c>
      <c r="CG65" s="250">
        <f t="shared" si="34"/>
        <v>25</v>
      </c>
      <c r="CH65" s="237">
        <f t="shared" si="35"/>
        <v>38</v>
      </c>
      <c r="CI65" s="253">
        <f t="shared" si="36"/>
        <v>4.0666935483870965</v>
      </c>
      <c r="CJ65" s="253" cm="1">
        <f t="array" ref="CJ65">$BC65 * IF($AD65&lt;=2,
SUMPRODUCT(INDEX($AL$67:$AN$71,,$AE65), INDEX($AO$67:$AU$71,,$AD65), 1 / ($AV$67:$AV$71*CI65 + (1-$AV$67:$AV$71)*CE65), N($AK$67:$AK$71&gt;$AI65)),
SUMPRODUCT(INDEX($AL$57:$AN$66,,$AE65), INDEX($AO$57:$AU$66,,$AD65), 1 / ($AW$57:$AW$66*CI65 + (1-$AW$57:$AW$66)*CE65), N($AK$57:$AK$66&gt;$AI65))
) / 1000</f>
        <v>0</v>
      </c>
      <c r="CK65" s="250">
        <f t="shared" si="37"/>
        <v>20</v>
      </c>
      <c r="CL65" s="237">
        <f t="shared" si="38"/>
        <v>33</v>
      </c>
      <c r="CM65" s="253">
        <f t="shared" si="39"/>
        <v>4.8487499999999999</v>
      </c>
      <c r="CN65" s="253" cm="1">
        <f t="array" ref="CN65">$BC65 * IF($AD65&lt;=2,
SUMPRODUCT(INDEX($AL$62:$AN$66,,$AE65), INDEX($AO$62:$AU$66,,$AD65), 1 / ($AV$62:$AV$66*CM65 + (1-$AV$62:$AV$66)*CI65), N($AK$62:$AK$66&gt;$AI65)),
SUMPRODUCT(INDEX($AL$47:$AN$56,,$AE65), INDEX($AO$47:$AU$56,,$AD65), 1 / ($AW$47:$AW$56*CM65 + (1-$AW$47:$AW$56)*CI65), N($AK$47:$AK$56&gt;$AI65))
) / 1000</f>
        <v>0</v>
      </c>
      <c r="CO65" s="253" cm="1">
        <f t="array" ref="CO65">$BC65 * IF($AD65&lt;=2,
SUMPRODUCT(INDEX($AL$23:$AN$61,,$AE65), INDEX($AO$23:$AU$61,,$AD65), 1 / ($AV$23:$AV$61*CM65), N($AK$23:$AK$61&gt;$AI65)),
SUMPRODUCT(INDEX($AL$23:$AN$46,,$AE65), INDEX($AO$23:$AU$46,,$AD65), 1 / ($AW$23:$AW$46*CM65), N($AK$23:$AK$46&gt;$AI65))
) / 1000</f>
        <v>0</v>
      </c>
      <c r="CP65" s="237">
        <f t="shared" si="40"/>
        <v>0</v>
      </c>
      <c r="CQ65" s="210"/>
    </row>
    <row r="66" spans="1:95" s="76" customFormat="1" ht="14.25" customHeight="1" x14ac:dyDescent="0.25">
      <c r="A66" s="238" t="b">
        <f t="shared" si="0"/>
        <v>0</v>
      </c>
      <c r="B66" s="239">
        <v>44</v>
      </c>
      <c r="C66" s="258"/>
      <c r="D66" s="258"/>
      <c r="E66" s="240"/>
      <c r="F66" s="241" t="str">
        <f>IF(ISBLANK(E66), "", VLOOKUP(E66, Z!$A$2:$C$4127, 3, FALSE))</f>
        <v/>
      </c>
      <c r="G66" s="242"/>
      <c r="H66" s="242"/>
      <c r="I66" s="243"/>
      <c r="J66" s="244"/>
      <c r="K66" s="259"/>
      <c r="L66" s="260"/>
      <c r="M66" s="247" t="str" cm="1">
        <f t="array" ref="M66">IF($K66&gt;0, INDEX(Clean,1+AG66,$C$1), "")</f>
        <v/>
      </c>
      <c r="N66" s="245"/>
      <c r="O66" s="245"/>
      <c r="P66" s="246"/>
      <c r="Q66" s="248">
        <f t="shared" si="6"/>
        <v>0</v>
      </c>
      <c r="R66" s="247" t="str" cm="1">
        <f t="array" ref="R66">IF($K66&gt;0, INDEX(Clean,1+AH66,$C$1), "")</f>
        <v/>
      </c>
      <c r="S66" s="245"/>
      <c r="T66" s="245"/>
      <c r="U66" s="246"/>
      <c r="V66" s="248">
        <f t="shared" si="7"/>
        <v>0</v>
      </c>
      <c r="W66" s="261"/>
      <c r="X66" s="258"/>
      <c r="Y66" s="240"/>
      <c r="Z66" s="241" t="str">
        <f>IF(ISBLANK(Y66), "", VLOOKUP(Y66, Z!$A$2:$C$4127, 3, FALSE))</f>
        <v/>
      </c>
      <c r="AA66" s="262"/>
      <c r="AB66" s="249">
        <f t="shared" si="8"/>
        <v>0</v>
      </c>
      <c r="AC66" s="210"/>
      <c r="AD66" s="236">
        <f t="shared" ref="AD66" si="164">IF(ISBLANK(H66), 1, IFERROR(MATCH(H66, INDEX(Use,,1), 0), IFERROR(MATCH(H66, INDEX(Use,,2), 0), MATCH(H66, INDEX(Use,,3), 0))))</f>
        <v>1</v>
      </c>
      <c r="AE66" s="236">
        <f t="shared" ref="AE66" si="165">IF(ISBLANK(G66), 1, IFERROR(MATCH(G66, INDEX(Loc,,1), 0), IFERROR(MATCH(G66, INDEX(Loc,,2), 0), MATCH(G66, INDEX(Loc,,3), 0))))</f>
        <v>1</v>
      </c>
      <c r="AF66" s="236">
        <f t="shared" ref="AF66" si="166">_xlfn.IFNA(IF(IFERROR(MATCH(I66, INDEX(Medium,,1), 0), IFERROR(MATCH(I66, INDEX(Medium,,2), 0), MATCH(I66, INDEX(Medium,,3), 0))) = 2, 1, 0), 0)</f>
        <v>0</v>
      </c>
      <c r="AG66" s="236">
        <v>1</v>
      </c>
      <c r="AH66" s="236">
        <v>0</v>
      </c>
      <c r="AI66" s="236">
        <f t="shared" si="4"/>
        <v>-100</v>
      </c>
      <c r="AJ66" s="210"/>
      <c r="AK66" s="236">
        <v>24</v>
      </c>
      <c r="AL66" s="250">
        <v>179</v>
      </c>
      <c r="AM66" s="250">
        <v>135</v>
      </c>
      <c r="AN66" s="250">
        <v>103</v>
      </c>
      <c r="AO66" s="251">
        <f t="shared" si="5"/>
        <v>0.3125</v>
      </c>
      <c r="AP66" s="251">
        <f t="shared" si="5"/>
        <v>0.3125</v>
      </c>
      <c r="AQ66" s="251" cm="1">
        <f t="array" ref="AQ66">MIN(INDEX(Use,AQ$21,5) + MAX(0, (1-INDEX(Use,AQ$21,5))*($AK66-5)/(35-5)), 1)</f>
        <v>0.78</v>
      </c>
      <c r="AR66" s="251" cm="1">
        <f t="array" ref="AR66">MIN(INDEX(Use,AR$21,5) + MAX(0, (1-INDEX(Use,AR$21,5))*($AK66-5)/(35-5)), 1)</f>
        <v>0.85333333333333328</v>
      </c>
      <c r="AS66" s="251" cm="1">
        <f t="array" ref="AS66">MIN(INDEX(Use,AS$21,5) + MAX(0, (1-INDEX(Use,AS$21,5))*($AK66-5)/(35-5)), 1)</f>
        <v>0.92666666666666664</v>
      </c>
      <c r="AT66" s="251" cm="1">
        <f t="array" ref="AT66">MIN(INDEX(Use,AT$21,5) + MAX(0, (1-INDEX(Use,AT$21,5))*($AK66-5)/(35-5)), 1)</f>
        <v>0.92666666666666664</v>
      </c>
      <c r="AU66" s="251" cm="1">
        <f t="array" ref="AU66">MIN(INDEX(Use,AU$21,5) + MAX(0, (1-INDEX(Use,AU$21,5))*($AK66-5)/(35-5)), 1)</f>
        <v>0.92666666666666664</v>
      </c>
      <c r="AV66" s="251">
        <v>0.2</v>
      </c>
      <c r="AW66" s="251">
        <v>0.1</v>
      </c>
      <c r="AX66" s="212"/>
      <c r="AY66" s="236" cm="1">
        <f t="array" ref="AY66">INDEX(Use, $AD66, 4)</f>
        <v>7</v>
      </c>
      <c r="AZ66" s="236">
        <f t="shared" si="12"/>
        <v>32</v>
      </c>
      <c r="BA66" s="236">
        <f t="shared" si="13"/>
        <v>13</v>
      </c>
      <c r="BB66" s="236">
        <f t="shared" si="14"/>
        <v>0</v>
      </c>
      <c r="BC66" s="252" cm="1">
        <f t="array" ref="BC66">K66/IF($L66&gt;0, INDEX($AO$23:$AU$77, $L66+20, $AD66), 1)</f>
        <v>0</v>
      </c>
      <c r="BD66" s="237">
        <f t="shared" si="15"/>
        <v>0</v>
      </c>
      <c r="BE66" s="236">
        <v>35</v>
      </c>
      <c r="BF66" s="237">
        <f t="shared" si="16"/>
        <v>52.55</v>
      </c>
      <c r="BG66" s="253">
        <f t="shared" si="17"/>
        <v>2.7676728869374316</v>
      </c>
      <c r="BH66" s="253" cm="1">
        <f t="array" ref="BH66">$BC66 * SUMPRODUCT(INDEX($AL$77:$AN$82,,$AE66),INDEX($AO$77:$AU$82,,$AD66), N($AK$77:$AK$82&gt;$AI66)) / BG66 / 1000</f>
        <v>0</v>
      </c>
      <c r="BI66" s="250">
        <f t="shared" si="18"/>
        <v>30</v>
      </c>
      <c r="BJ66" s="237">
        <f t="shared" si="19"/>
        <v>46.033333333333331</v>
      </c>
      <c r="BK66" s="253">
        <f t="shared" si="20"/>
        <v>3.2297395388556791</v>
      </c>
      <c r="BL66" s="253" cm="1">
        <f t="array" ref="BL66">$BC66 * IF($AD66&lt;=2,
SUMPRODUCT(INDEX($AL$72:$AN$76,,$AE66), INDEX($AO$72:$AU$76,,$AD66), 1 / ($AV$72:$AV$76*BK66 + (1-$AV$72:$AV$76)*BG66), N($AK$72:$AK$76&gt;$AI66)),
SUMPRODUCT(INDEX($AL$67:$AN$76,,$AE66), INDEX($AO$67:$AU$76,,$AD66), 1 / ($AW$67:$AW$76*BK66 + (1-$AW$67:$AW$76)*BG66), N($AK$67:$AK$76&gt;$AI66))
) / 1000</f>
        <v>0</v>
      </c>
      <c r="BM66" s="250">
        <f t="shared" si="21"/>
        <v>25</v>
      </c>
      <c r="BN66" s="237">
        <f t="shared" si="22"/>
        <v>39.516666666666666</v>
      </c>
      <c r="BO66" s="253">
        <f t="shared" si="23"/>
        <v>3.877011788826243</v>
      </c>
      <c r="BP66" s="253" cm="1">
        <f t="array" ref="BP66">$BC66 * IF($AD66&lt;=2,
SUMPRODUCT(INDEX($AL$67:$AN$71,,$AE66), INDEX($AO$67:$AU$71,,$AD66), 1 / ($AV$67:$AV$71*BO66 + (1-$AV$67:$AV$71)*BK66), N($AK$67:$AK$71&gt;$AI66)),
SUMPRODUCT(INDEX($AL$57:$AN$66,,$AE66), INDEX($AO$57:$AU$66,,$AD66), 1 / ($AW$57:$AW$66*BO66 + (1-$AW$57:$AW$66)*BK66), N($AK$57:$AK$66&gt;$AI66))
) / 1000</f>
        <v>0</v>
      </c>
      <c r="BQ66" s="250">
        <f t="shared" si="24"/>
        <v>20</v>
      </c>
      <c r="BR66" s="237">
        <f t="shared" si="25"/>
        <v>33</v>
      </c>
      <c r="BS66" s="253">
        <f t="shared" si="26"/>
        <v>4.8487499999999999</v>
      </c>
      <c r="BT66" s="253" cm="1">
        <f t="array" ref="BT66">$BC66 * IF($AD66&lt;=2,
SUMPRODUCT(INDEX($AL$62:$AN$66,,$AE66), INDEX($AO$62:$AU$66,,$AD66), 1 / ($AV$62:$AV$66*BS66 + (1-$AV$62:$AV$66)*BO66), N($AK$62:$AK$66&gt;$AI66)),
SUMPRODUCT(INDEX($AL$47:$AN$56,,$AE66), INDEX($AO$47:$AU$56,,$AD66), 1 / ($AW$47:$AW$56*BS66 + (1-$AW$47:$AW$56)*BO66), N($AK$47:$AK$56&gt;$AI66))
) / 1000</f>
        <v>0</v>
      </c>
      <c r="BU66" s="253" cm="1">
        <f t="array" ref="BU66">$BC66 * IF($AD66&lt;=2,
SUMPRODUCT(INDEX($AL$23:$AN$61,,$AE66), INDEX($AO$23:$AU$61,,$AD66), 1 / ($AV$23:$AV$61*BS66), N($AK$23:$AK$61&gt;$AI66)),
SUMPRODUCT(INDEX($AL$23:$AN$46,,$AE66), INDEX($AO$23:$AU$46,,$AD66), 1 / ($AW$23:$AW$46*BS66), N($AK$23:$AK$46&gt;$AI66))
) / 1000</f>
        <v>0</v>
      </c>
      <c r="BV66" s="237">
        <f t="shared" si="27"/>
        <v>0</v>
      </c>
      <c r="BW66" s="210"/>
      <c r="BX66" s="237">
        <f t="shared" si="28"/>
        <v>0</v>
      </c>
      <c r="BY66" s="236">
        <v>35</v>
      </c>
      <c r="BZ66" s="237">
        <f t="shared" si="29"/>
        <v>48</v>
      </c>
      <c r="CA66" s="253">
        <f t="shared" si="30"/>
        <v>3.0748170731707316</v>
      </c>
      <c r="CB66" s="253" cm="1">
        <f t="array" ref="CB66">$BC66 * SUMPRODUCT(INDEX($AL$77:$AN$82,,$AE66),INDEX($AO$77:$AU$82,,$AD66), N($AK$77:$AK$82&gt;$AI66)) / CA66 / 1000</f>
        <v>0</v>
      </c>
      <c r="CC66" s="250">
        <f t="shared" si="31"/>
        <v>30</v>
      </c>
      <c r="CD66" s="237">
        <f t="shared" si="32"/>
        <v>43</v>
      </c>
      <c r="CE66" s="253">
        <f t="shared" si="33"/>
        <v>3.5018750000000001</v>
      </c>
      <c r="CF66" s="253" cm="1">
        <f t="array" ref="CF66">$BC66 * IF($AD66&lt;=2,
SUMPRODUCT(INDEX($AL$72:$AN$76,,$AE66), INDEX($AO$72:$AU$76,,$AD66), 1 / ($AV$72:$AV$76*CE66 + (1-$AV$72:$AV$76)*CA66), N($AK$72:$AK$76&gt;$AI66)),
SUMPRODUCT(INDEX($AL$67:$AN$76,,$AE66), INDEX($AO$67:$AU$76,,$AD66), 1 / ($AW$67:$AW$76*CE66 + (1-$AW$67:$AW$76)*CA66), N($AK$67:$AK$76&gt;$AI66))
) / 1000</f>
        <v>0</v>
      </c>
      <c r="CG66" s="250">
        <f t="shared" si="34"/>
        <v>25</v>
      </c>
      <c r="CH66" s="237">
        <f t="shared" si="35"/>
        <v>38</v>
      </c>
      <c r="CI66" s="253">
        <f t="shared" si="36"/>
        <v>4.0666935483870965</v>
      </c>
      <c r="CJ66" s="253" cm="1">
        <f t="array" ref="CJ66">$BC66 * IF($AD66&lt;=2,
SUMPRODUCT(INDEX($AL$67:$AN$71,,$AE66), INDEX($AO$67:$AU$71,,$AD66), 1 / ($AV$67:$AV$71*CI66 + (1-$AV$67:$AV$71)*CE66), N($AK$67:$AK$71&gt;$AI66)),
SUMPRODUCT(INDEX($AL$57:$AN$66,,$AE66), INDEX($AO$57:$AU$66,,$AD66), 1 / ($AW$57:$AW$66*CI66 + (1-$AW$57:$AW$66)*CE66), N($AK$57:$AK$66&gt;$AI66))
) / 1000</f>
        <v>0</v>
      </c>
      <c r="CK66" s="250">
        <f t="shared" si="37"/>
        <v>20</v>
      </c>
      <c r="CL66" s="237">
        <f t="shared" si="38"/>
        <v>33</v>
      </c>
      <c r="CM66" s="253">
        <f t="shared" si="39"/>
        <v>4.8487499999999999</v>
      </c>
      <c r="CN66" s="253" cm="1">
        <f t="array" ref="CN66">$BC66 * IF($AD66&lt;=2,
SUMPRODUCT(INDEX($AL$62:$AN$66,,$AE66), INDEX($AO$62:$AU$66,,$AD66), 1 / ($AV$62:$AV$66*CM66 + (1-$AV$62:$AV$66)*CI66), N($AK$62:$AK$66&gt;$AI66)),
SUMPRODUCT(INDEX($AL$47:$AN$56,,$AE66), INDEX($AO$47:$AU$56,,$AD66), 1 / ($AW$47:$AW$56*CM66 + (1-$AW$47:$AW$56)*CI66), N($AK$47:$AK$56&gt;$AI66))
) / 1000</f>
        <v>0</v>
      </c>
      <c r="CO66" s="253" cm="1">
        <f t="array" ref="CO66">$BC66 * IF($AD66&lt;=2,
SUMPRODUCT(INDEX($AL$23:$AN$61,,$AE66), INDEX($AO$23:$AU$61,,$AD66), 1 / ($AV$23:$AV$61*CM66), N($AK$23:$AK$61&gt;$AI66)),
SUMPRODUCT(INDEX($AL$23:$AN$46,,$AE66), INDEX($AO$23:$AU$46,,$AD66), 1 / ($AW$23:$AW$46*CM66), N($AK$23:$AK$46&gt;$AI66))
) / 1000</f>
        <v>0</v>
      </c>
      <c r="CP66" s="237">
        <f t="shared" si="40"/>
        <v>0</v>
      </c>
      <c r="CQ66" s="210"/>
    </row>
    <row r="67" spans="1:95" s="76" customFormat="1" ht="14.25" customHeight="1" x14ac:dyDescent="0.25">
      <c r="A67" s="238" t="b">
        <f t="shared" si="0"/>
        <v>0</v>
      </c>
      <c r="B67" s="239">
        <v>45</v>
      </c>
      <c r="C67" s="258"/>
      <c r="D67" s="258"/>
      <c r="E67" s="240"/>
      <c r="F67" s="241" t="str">
        <f>IF(ISBLANK(E67), "", VLOOKUP(E67, Z!$A$2:$C$4127, 3, FALSE))</f>
        <v/>
      </c>
      <c r="G67" s="242"/>
      <c r="H67" s="242"/>
      <c r="I67" s="243"/>
      <c r="J67" s="244"/>
      <c r="K67" s="259"/>
      <c r="L67" s="260"/>
      <c r="M67" s="247" t="str" cm="1">
        <f t="array" ref="M67">IF($K67&gt;0, INDEX(Clean,1+AG67,$C$1), "")</f>
        <v/>
      </c>
      <c r="N67" s="245"/>
      <c r="O67" s="245"/>
      <c r="P67" s="246"/>
      <c r="Q67" s="248">
        <f t="shared" si="6"/>
        <v>0</v>
      </c>
      <c r="R67" s="247" t="str" cm="1">
        <f t="array" ref="R67">IF($K67&gt;0, INDEX(Clean,1+AH67,$C$1), "")</f>
        <v/>
      </c>
      <c r="S67" s="245"/>
      <c r="T67" s="245"/>
      <c r="U67" s="246"/>
      <c r="V67" s="248">
        <f t="shared" si="7"/>
        <v>0</v>
      </c>
      <c r="W67" s="261"/>
      <c r="X67" s="258"/>
      <c r="Y67" s="240"/>
      <c r="Z67" s="241" t="str">
        <f>IF(ISBLANK(Y67), "", VLOOKUP(Y67, Z!$A$2:$C$4127, 3, FALSE))</f>
        <v/>
      </c>
      <c r="AA67" s="262"/>
      <c r="AB67" s="249">
        <f t="shared" si="8"/>
        <v>0</v>
      </c>
      <c r="AC67" s="210"/>
      <c r="AD67" s="236">
        <f t="shared" ref="AD67" si="167">IF(ISBLANK(H67), 1, IFERROR(MATCH(H67, INDEX(Use,,1), 0), IFERROR(MATCH(H67, INDEX(Use,,2), 0), MATCH(H67, INDEX(Use,,3), 0))))</f>
        <v>1</v>
      </c>
      <c r="AE67" s="236">
        <f t="shared" ref="AE67" si="168">IF(ISBLANK(G67), 1, IFERROR(MATCH(G67, INDEX(Loc,,1), 0), IFERROR(MATCH(G67, INDEX(Loc,,2), 0), MATCH(G67, INDEX(Loc,,3), 0))))</f>
        <v>1</v>
      </c>
      <c r="AF67" s="236">
        <f t="shared" ref="AF67" si="169">_xlfn.IFNA(IF(IFERROR(MATCH(I67, INDEX(Medium,,1), 0), IFERROR(MATCH(I67, INDEX(Medium,,2), 0), MATCH(I67, INDEX(Medium,,3), 0))) = 2, 1, 0), 0)</f>
        <v>0</v>
      </c>
      <c r="AG67" s="236">
        <v>1</v>
      </c>
      <c r="AH67" s="236">
        <v>0</v>
      </c>
      <c r="AI67" s="236">
        <f t="shared" si="4"/>
        <v>-100</v>
      </c>
      <c r="AJ67" s="210"/>
      <c r="AK67" s="236">
        <v>25</v>
      </c>
      <c r="AL67" s="250">
        <v>139</v>
      </c>
      <c r="AM67" s="250">
        <v>128</v>
      </c>
      <c r="AN67" s="250">
        <v>46</v>
      </c>
      <c r="AO67" s="251">
        <f t="shared" si="5"/>
        <v>0.375</v>
      </c>
      <c r="AP67" s="251">
        <f t="shared" si="5"/>
        <v>0.375</v>
      </c>
      <c r="AQ67" s="251" cm="1">
        <f t="array" ref="AQ67">MIN(INDEX(Use,AQ$21,5) + MAX(0, (1-INDEX(Use,AQ$21,5))*($AK67-5)/(35-5)), 1)</f>
        <v>0.8</v>
      </c>
      <c r="AR67" s="251" cm="1">
        <f t="array" ref="AR67">MIN(INDEX(Use,AR$21,5) + MAX(0, (1-INDEX(Use,AR$21,5))*($AK67-5)/(35-5)), 1)</f>
        <v>0.8666666666666667</v>
      </c>
      <c r="AS67" s="251" cm="1">
        <f t="array" ref="AS67">MIN(INDEX(Use,AS$21,5) + MAX(0, (1-INDEX(Use,AS$21,5))*($AK67-5)/(35-5)), 1)</f>
        <v>0.93333333333333335</v>
      </c>
      <c r="AT67" s="251" cm="1">
        <f t="array" ref="AT67">MIN(INDEX(Use,AT$21,5) + MAX(0, (1-INDEX(Use,AT$21,5))*($AK67-5)/(35-5)), 1)</f>
        <v>0.93333333333333335</v>
      </c>
      <c r="AU67" s="251" cm="1">
        <f t="array" ref="AU67">MIN(INDEX(Use,AU$21,5) + MAX(0, (1-INDEX(Use,AU$21,5))*($AK67-5)/(35-5)), 1)</f>
        <v>0.93333333333333335</v>
      </c>
      <c r="AV67" s="251">
        <v>1</v>
      </c>
      <c r="AW67" s="251">
        <v>1</v>
      </c>
      <c r="AX67" s="212"/>
      <c r="AY67" s="236" cm="1">
        <f t="array" ref="AY67">INDEX(Use, $AD67, 4)</f>
        <v>7</v>
      </c>
      <c r="AZ67" s="236">
        <f t="shared" si="12"/>
        <v>32</v>
      </c>
      <c r="BA67" s="236">
        <f t="shared" si="13"/>
        <v>13</v>
      </c>
      <c r="BB67" s="236">
        <f t="shared" si="14"/>
        <v>0</v>
      </c>
      <c r="BC67" s="252" cm="1">
        <f t="array" ref="BC67">K67/IF($L67&gt;0, INDEX($AO$23:$AU$77, $L67+20, $AD67), 1)</f>
        <v>0</v>
      </c>
      <c r="BD67" s="237">
        <f t="shared" si="15"/>
        <v>0</v>
      </c>
      <c r="BE67" s="236">
        <v>35</v>
      </c>
      <c r="BF67" s="237">
        <f t="shared" si="16"/>
        <v>52.55</v>
      </c>
      <c r="BG67" s="253">
        <f t="shared" si="17"/>
        <v>2.7676728869374316</v>
      </c>
      <c r="BH67" s="253" cm="1">
        <f t="array" ref="BH67">$BC67 * SUMPRODUCT(INDEX($AL$77:$AN$82,,$AE67),INDEX($AO$77:$AU$82,,$AD67), N($AK$77:$AK$82&gt;$AI67)) / BG67 / 1000</f>
        <v>0</v>
      </c>
      <c r="BI67" s="250">
        <f t="shared" si="18"/>
        <v>30</v>
      </c>
      <c r="BJ67" s="237">
        <f t="shared" si="19"/>
        <v>46.033333333333331</v>
      </c>
      <c r="BK67" s="253">
        <f t="shared" si="20"/>
        <v>3.2297395388556791</v>
      </c>
      <c r="BL67" s="253" cm="1">
        <f t="array" ref="BL67">$BC67 * IF($AD67&lt;=2,
SUMPRODUCT(INDEX($AL$72:$AN$76,,$AE67), INDEX($AO$72:$AU$76,,$AD67), 1 / ($AV$72:$AV$76*BK67 + (1-$AV$72:$AV$76)*BG67), N($AK$72:$AK$76&gt;$AI67)),
SUMPRODUCT(INDEX($AL$67:$AN$76,,$AE67), INDEX($AO$67:$AU$76,,$AD67), 1 / ($AW$67:$AW$76*BK67 + (1-$AW$67:$AW$76)*BG67), N($AK$67:$AK$76&gt;$AI67))
) / 1000</f>
        <v>0</v>
      </c>
      <c r="BM67" s="250">
        <f t="shared" si="21"/>
        <v>25</v>
      </c>
      <c r="BN67" s="237">
        <f t="shared" si="22"/>
        <v>39.516666666666666</v>
      </c>
      <c r="BO67" s="253">
        <f t="shared" si="23"/>
        <v>3.877011788826243</v>
      </c>
      <c r="BP67" s="253" cm="1">
        <f t="array" ref="BP67">$BC67 * IF($AD67&lt;=2,
SUMPRODUCT(INDEX($AL$67:$AN$71,,$AE67), INDEX($AO$67:$AU$71,,$AD67), 1 / ($AV$67:$AV$71*BO67 + (1-$AV$67:$AV$71)*BK67), N($AK$67:$AK$71&gt;$AI67)),
SUMPRODUCT(INDEX($AL$57:$AN$66,,$AE67), INDEX($AO$57:$AU$66,,$AD67), 1 / ($AW$57:$AW$66*BO67 + (1-$AW$57:$AW$66)*BK67), N($AK$57:$AK$66&gt;$AI67))
) / 1000</f>
        <v>0</v>
      </c>
      <c r="BQ67" s="250">
        <f t="shared" si="24"/>
        <v>20</v>
      </c>
      <c r="BR67" s="237">
        <f t="shared" si="25"/>
        <v>33</v>
      </c>
      <c r="BS67" s="253">
        <f t="shared" si="26"/>
        <v>4.8487499999999999</v>
      </c>
      <c r="BT67" s="253" cm="1">
        <f t="array" ref="BT67">$BC67 * IF($AD67&lt;=2,
SUMPRODUCT(INDEX($AL$62:$AN$66,,$AE67), INDEX($AO$62:$AU$66,,$AD67), 1 / ($AV$62:$AV$66*BS67 + (1-$AV$62:$AV$66)*BO67), N($AK$62:$AK$66&gt;$AI67)),
SUMPRODUCT(INDEX($AL$47:$AN$56,,$AE67), INDEX($AO$47:$AU$56,,$AD67), 1 / ($AW$47:$AW$56*BS67 + (1-$AW$47:$AW$56)*BO67), N($AK$47:$AK$56&gt;$AI67))
) / 1000</f>
        <v>0</v>
      </c>
      <c r="BU67" s="253" cm="1">
        <f t="array" ref="BU67">$BC67 * IF($AD67&lt;=2,
SUMPRODUCT(INDEX($AL$23:$AN$61,,$AE67), INDEX($AO$23:$AU$61,,$AD67), 1 / ($AV$23:$AV$61*BS67), N($AK$23:$AK$61&gt;$AI67)),
SUMPRODUCT(INDEX($AL$23:$AN$46,,$AE67), INDEX($AO$23:$AU$46,,$AD67), 1 / ($AW$23:$AW$46*BS67), N($AK$23:$AK$46&gt;$AI67))
) / 1000</f>
        <v>0</v>
      </c>
      <c r="BV67" s="237">
        <f t="shared" si="27"/>
        <v>0</v>
      </c>
      <c r="BW67" s="210"/>
      <c r="BX67" s="237">
        <f t="shared" si="28"/>
        <v>0</v>
      </c>
      <c r="BY67" s="236">
        <v>35</v>
      </c>
      <c r="BZ67" s="237">
        <f t="shared" si="29"/>
        <v>48</v>
      </c>
      <c r="CA67" s="253">
        <f t="shared" si="30"/>
        <v>3.0748170731707316</v>
      </c>
      <c r="CB67" s="253" cm="1">
        <f t="array" ref="CB67">$BC67 * SUMPRODUCT(INDEX($AL$77:$AN$82,,$AE67),INDEX($AO$77:$AU$82,,$AD67), N($AK$77:$AK$82&gt;$AI67)) / CA67 / 1000</f>
        <v>0</v>
      </c>
      <c r="CC67" s="250">
        <f t="shared" si="31"/>
        <v>30</v>
      </c>
      <c r="CD67" s="237">
        <f t="shared" si="32"/>
        <v>43</v>
      </c>
      <c r="CE67" s="253">
        <f t="shared" si="33"/>
        <v>3.5018750000000001</v>
      </c>
      <c r="CF67" s="253" cm="1">
        <f t="array" ref="CF67">$BC67 * IF($AD67&lt;=2,
SUMPRODUCT(INDEX($AL$72:$AN$76,,$AE67), INDEX($AO$72:$AU$76,,$AD67), 1 / ($AV$72:$AV$76*CE67 + (1-$AV$72:$AV$76)*CA67), N($AK$72:$AK$76&gt;$AI67)),
SUMPRODUCT(INDEX($AL$67:$AN$76,,$AE67), INDEX($AO$67:$AU$76,,$AD67), 1 / ($AW$67:$AW$76*CE67 + (1-$AW$67:$AW$76)*CA67), N($AK$67:$AK$76&gt;$AI67))
) / 1000</f>
        <v>0</v>
      </c>
      <c r="CG67" s="250">
        <f t="shared" si="34"/>
        <v>25</v>
      </c>
      <c r="CH67" s="237">
        <f t="shared" si="35"/>
        <v>38</v>
      </c>
      <c r="CI67" s="253">
        <f t="shared" si="36"/>
        <v>4.0666935483870965</v>
      </c>
      <c r="CJ67" s="253" cm="1">
        <f t="array" ref="CJ67">$BC67 * IF($AD67&lt;=2,
SUMPRODUCT(INDEX($AL$67:$AN$71,,$AE67), INDEX($AO$67:$AU$71,,$AD67), 1 / ($AV$67:$AV$71*CI67 + (1-$AV$67:$AV$71)*CE67), N($AK$67:$AK$71&gt;$AI67)),
SUMPRODUCT(INDEX($AL$57:$AN$66,,$AE67), INDEX($AO$57:$AU$66,,$AD67), 1 / ($AW$57:$AW$66*CI67 + (1-$AW$57:$AW$66)*CE67), N($AK$57:$AK$66&gt;$AI67))
) / 1000</f>
        <v>0</v>
      </c>
      <c r="CK67" s="250">
        <f t="shared" si="37"/>
        <v>20</v>
      </c>
      <c r="CL67" s="237">
        <f t="shared" si="38"/>
        <v>33</v>
      </c>
      <c r="CM67" s="253">
        <f t="shared" si="39"/>
        <v>4.8487499999999999</v>
      </c>
      <c r="CN67" s="253" cm="1">
        <f t="array" ref="CN67">$BC67 * IF($AD67&lt;=2,
SUMPRODUCT(INDEX($AL$62:$AN$66,,$AE67), INDEX($AO$62:$AU$66,,$AD67), 1 / ($AV$62:$AV$66*CM67 + (1-$AV$62:$AV$66)*CI67), N($AK$62:$AK$66&gt;$AI67)),
SUMPRODUCT(INDEX($AL$47:$AN$56,,$AE67), INDEX($AO$47:$AU$56,,$AD67), 1 / ($AW$47:$AW$56*CM67 + (1-$AW$47:$AW$56)*CI67), N($AK$47:$AK$56&gt;$AI67))
) / 1000</f>
        <v>0</v>
      </c>
      <c r="CO67" s="253" cm="1">
        <f t="array" ref="CO67">$BC67 * IF($AD67&lt;=2,
SUMPRODUCT(INDEX($AL$23:$AN$61,,$AE67), INDEX($AO$23:$AU$61,,$AD67), 1 / ($AV$23:$AV$61*CM67), N($AK$23:$AK$61&gt;$AI67)),
SUMPRODUCT(INDEX($AL$23:$AN$46,,$AE67), INDEX($AO$23:$AU$46,,$AD67), 1 / ($AW$23:$AW$46*CM67), N($AK$23:$AK$46&gt;$AI67))
) / 1000</f>
        <v>0</v>
      </c>
      <c r="CP67" s="237">
        <f t="shared" si="40"/>
        <v>0</v>
      </c>
      <c r="CQ67" s="210"/>
    </row>
    <row r="68" spans="1:95" s="76" customFormat="1" ht="14.25" customHeight="1" x14ac:dyDescent="0.25">
      <c r="A68" s="238" t="b">
        <f t="shared" si="0"/>
        <v>0</v>
      </c>
      <c r="B68" s="239">
        <v>46</v>
      </c>
      <c r="C68" s="258"/>
      <c r="D68" s="258"/>
      <c r="E68" s="240"/>
      <c r="F68" s="241" t="str">
        <f>IF(ISBLANK(E68), "", VLOOKUP(E68, Z!$A$2:$C$4127, 3, FALSE))</f>
        <v/>
      </c>
      <c r="G68" s="242"/>
      <c r="H68" s="242"/>
      <c r="I68" s="243"/>
      <c r="J68" s="244"/>
      <c r="K68" s="259"/>
      <c r="L68" s="260"/>
      <c r="M68" s="247" t="str" cm="1">
        <f t="array" ref="M68">IF($K68&gt;0, INDEX(Clean,1+AG68,$C$1), "")</f>
        <v/>
      </c>
      <c r="N68" s="245"/>
      <c r="O68" s="245"/>
      <c r="P68" s="246"/>
      <c r="Q68" s="248">
        <f t="shared" si="6"/>
        <v>0</v>
      </c>
      <c r="R68" s="247" t="str" cm="1">
        <f t="array" ref="R68">IF($K68&gt;0, INDEX(Clean,1+AH68,$C$1), "")</f>
        <v/>
      </c>
      <c r="S68" s="245"/>
      <c r="T68" s="245"/>
      <c r="U68" s="246"/>
      <c r="V68" s="248">
        <f t="shared" si="7"/>
        <v>0</v>
      </c>
      <c r="W68" s="261"/>
      <c r="X68" s="258"/>
      <c r="Y68" s="240"/>
      <c r="Z68" s="241" t="str">
        <f>IF(ISBLANK(Y68), "", VLOOKUP(Y68, Z!$A$2:$C$4127, 3, FALSE))</f>
        <v/>
      </c>
      <c r="AA68" s="262"/>
      <c r="AB68" s="249">
        <f t="shared" si="8"/>
        <v>0</v>
      </c>
      <c r="AC68" s="210"/>
      <c r="AD68" s="236">
        <f t="shared" ref="AD68" si="170">IF(ISBLANK(H68), 1, IFERROR(MATCH(H68, INDEX(Use,,1), 0), IFERROR(MATCH(H68, INDEX(Use,,2), 0), MATCH(H68, INDEX(Use,,3), 0))))</f>
        <v>1</v>
      </c>
      <c r="AE68" s="236">
        <f t="shared" ref="AE68" si="171">IF(ISBLANK(G68), 1, IFERROR(MATCH(G68, INDEX(Loc,,1), 0), IFERROR(MATCH(G68, INDEX(Loc,,2), 0), MATCH(G68, INDEX(Loc,,3), 0))))</f>
        <v>1</v>
      </c>
      <c r="AF68" s="236">
        <f t="shared" ref="AF68" si="172">_xlfn.IFNA(IF(IFERROR(MATCH(I68, INDEX(Medium,,1), 0), IFERROR(MATCH(I68, INDEX(Medium,,2), 0), MATCH(I68, INDEX(Medium,,3), 0))) = 2, 1, 0), 0)</f>
        <v>0</v>
      </c>
      <c r="AG68" s="236">
        <v>1</v>
      </c>
      <c r="AH68" s="236">
        <v>0</v>
      </c>
      <c r="AI68" s="236">
        <f t="shared" si="4"/>
        <v>-100</v>
      </c>
      <c r="AJ68" s="210"/>
      <c r="AK68" s="236">
        <v>26</v>
      </c>
      <c r="AL68" s="250">
        <v>149</v>
      </c>
      <c r="AM68" s="250">
        <v>99</v>
      </c>
      <c r="AN68" s="250">
        <v>47</v>
      </c>
      <c r="AO68" s="251">
        <f t="shared" si="5"/>
        <v>0.4375</v>
      </c>
      <c r="AP68" s="251">
        <f t="shared" si="5"/>
        <v>0.4375</v>
      </c>
      <c r="AQ68" s="251" cm="1">
        <f t="array" ref="AQ68">MIN(INDEX(Use,AQ$21,5) + MAX(0, (1-INDEX(Use,AQ$21,5))*($AK68-5)/(35-5)), 1)</f>
        <v>0.82000000000000006</v>
      </c>
      <c r="AR68" s="251" cm="1">
        <f t="array" ref="AR68">MIN(INDEX(Use,AR$21,5) + MAX(0, (1-INDEX(Use,AR$21,5))*($AK68-5)/(35-5)), 1)</f>
        <v>0.88</v>
      </c>
      <c r="AS68" s="251" cm="1">
        <f t="array" ref="AS68">MIN(INDEX(Use,AS$21,5) + MAX(0, (1-INDEX(Use,AS$21,5))*($AK68-5)/(35-5)), 1)</f>
        <v>0.94000000000000006</v>
      </c>
      <c r="AT68" s="251" cm="1">
        <f t="array" ref="AT68">MIN(INDEX(Use,AT$21,5) + MAX(0, (1-INDEX(Use,AT$21,5))*($AK68-5)/(35-5)), 1)</f>
        <v>0.94000000000000006</v>
      </c>
      <c r="AU68" s="251" cm="1">
        <f t="array" ref="AU68">MIN(INDEX(Use,AU$21,5) + MAX(0, (1-INDEX(Use,AU$21,5))*($AK68-5)/(35-5)), 1)</f>
        <v>0.94000000000000006</v>
      </c>
      <c r="AV68" s="251">
        <v>0.8</v>
      </c>
      <c r="AW68" s="251">
        <v>0.9</v>
      </c>
      <c r="AX68" s="212"/>
      <c r="AY68" s="236" cm="1">
        <f t="array" ref="AY68">INDEX(Use, $AD68, 4)</f>
        <v>7</v>
      </c>
      <c r="AZ68" s="236">
        <f t="shared" si="12"/>
        <v>32</v>
      </c>
      <c r="BA68" s="236">
        <f t="shared" si="13"/>
        <v>13</v>
      </c>
      <c r="BB68" s="236">
        <f t="shared" si="14"/>
        <v>0</v>
      </c>
      <c r="BC68" s="252" cm="1">
        <f t="array" ref="BC68">K68/IF($L68&gt;0, INDEX($AO$23:$AU$77, $L68+20, $AD68), 1)</f>
        <v>0</v>
      </c>
      <c r="BD68" s="237">
        <f t="shared" si="15"/>
        <v>0</v>
      </c>
      <c r="BE68" s="236">
        <v>35</v>
      </c>
      <c r="BF68" s="237">
        <f t="shared" si="16"/>
        <v>52.55</v>
      </c>
      <c r="BG68" s="253">
        <f t="shared" si="17"/>
        <v>2.7676728869374316</v>
      </c>
      <c r="BH68" s="253" cm="1">
        <f t="array" ref="BH68">$BC68 * SUMPRODUCT(INDEX($AL$77:$AN$82,,$AE68),INDEX($AO$77:$AU$82,,$AD68), N($AK$77:$AK$82&gt;$AI68)) / BG68 / 1000</f>
        <v>0</v>
      </c>
      <c r="BI68" s="250">
        <f t="shared" si="18"/>
        <v>30</v>
      </c>
      <c r="BJ68" s="237">
        <f t="shared" si="19"/>
        <v>46.033333333333331</v>
      </c>
      <c r="BK68" s="253">
        <f t="shared" si="20"/>
        <v>3.2297395388556791</v>
      </c>
      <c r="BL68" s="253" cm="1">
        <f t="array" ref="BL68">$BC68 * IF($AD68&lt;=2,
SUMPRODUCT(INDEX($AL$72:$AN$76,,$AE68), INDEX($AO$72:$AU$76,,$AD68), 1 / ($AV$72:$AV$76*BK68 + (1-$AV$72:$AV$76)*BG68), N($AK$72:$AK$76&gt;$AI68)),
SUMPRODUCT(INDEX($AL$67:$AN$76,,$AE68), INDEX($AO$67:$AU$76,,$AD68), 1 / ($AW$67:$AW$76*BK68 + (1-$AW$67:$AW$76)*BG68), N($AK$67:$AK$76&gt;$AI68))
) / 1000</f>
        <v>0</v>
      </c>
      <c r="BM68" s="250">
        <f t="shared" si="21"/>
        <v>25</v>
      </c>
      <c r="BN68" s="237">
        <f t="shared" si="22"/>
        <v>39.516666666666666</v>
      </c>
      <c r="BO68" s="253">
        <f t="shared" si="23"/>
        <v>3.877011788826243</v>
      </c>
      <c r="BP68" s="253" cm="1">
        <f t="array" ref="BP68">$BC68 * IF($AD68&lt;=2,
SUMPRODUCT(INDEX($AL$67:$AN$71,,$AE68), INDEX($AO$67:$AU$71,,$AD68), 1 / ($AV$67:$AV$71*BO68 + (1-$AV$67:$AV$71)*BK68), N($AK$67:$AK$71&gt;$AI68)),
SUMPRODUCT(INDEX($AL$57:$AN$66,,$AE68), INDEX($AO$57:$AU$66,,$AD68), 1 / ($AW$57:$AW$66*BO68 + (1-$AW$57:$AW$66)*BK68), N($AK$57:$AK$66&gt;$AI68))
) / 1000</f>
        <v>0</v>
      </c>
      <c r="BQ68" s="250">
        <f t="shared" si="24"/>
        <v>20</v>
      </c>
      <c r="BR68" s="237">
        <f t="shared" si="25"/>
        <v>33</v>
      </c>
      <c r="BS68" s="253">
        <f t="shared" si="26"/>
        <v>4.8487499999999999</v>
      </c>
      <c r="BT68" s="253" cm="1">
        <f t="array" ref="BT68">$BC68 * IF($AD68&lt;=2,
SUMPRODUCT(INDEX($AL$62:$AN$66,,$AE68), INDEX($AO$62:$AU$66,,$AD68), 1 / ($AV$62:$AV$66*BS68 + (1-$AV$62:$AV$66)*BO68), N($AK$62:$AK$66&gt;$AI68)),
SUMPRODUCT(INDEX($AL$47:$AN$56,,$AE68), INDEX($AO$47:$AU$56,,$AD68), 1 / ($AW$47:$AW$56*BS68 + (1-$AW$47:$AW$56)*BO68), N($AK$47:$AK$56&gt;$AI68))
) / 1000</f>
        <v>0</v>
      </c>
      <c r="BU68" s="253" cm="1">
        <f t="array" ref="BU68">$BC68 * IF($AD68&lt;=2,
SUMPRODUCT(INDEX($AL$23:$AN$61,,$AE68), INDEX($AO$23:$AU$61,,$AD68), 1 / ($AV$23:$AV$61*BS68), N($AK$23:$AK$61&gt;$AI68)),
SUMPRODUCT(INDEX($AL$23:$AN$46,,$AE68), INDEX($AO$23:$AU$46,,$AD68), 1 / ($AW$23:$AW$46*BS68), N($AK$23:$AK$46&gt;$AI68))
) / 1000</f>
        <v>0</v>
      </c>
      <c r="BV68" s="237">
        <f t="shared" si="27"/>
        <v>0</v>
      </c>
      <c r="BW68" s="210"/>
      <c r="BX68" s="237">
        <f t="shared" si="28"/>
        <v>0</v>
      </c>
      <c r="BY68" s="236">
        <v>35</v>
      </c>
      <c r="BZ68" s="237">
        <f t="shared" si="29"/>
        <v>48</v>
      </c>
      <c r="CA68" s="253">
        <f t="shared" si="30"/>
        <v>3.0748170731707316</v>
      </c>
      <c r="CB68" s="253" cm="1">
        <f t="array" ref="CB68">$BC68 * SUMPRODUCT(INDEX($AL$77:$AN$82,,$AE68),INDEX($AO$77:$AU$82,,$AD68), N($AK$77:$AK$82&gt;$AI68)) / CA68 / 1000</f>
        <v>0</v>
      </c>
      <c r="CC68" s="250">
        <f t="shared" si="31"/>
        <v>30</v>
      </c>
      <c r="CD68" s="237">
        <f t="shared" si="32"/>
        <v>43</v>
      </c>
      <c r="CE68" s="253">
        <f t="shared" si="33"/>
        <v>3.5018750000000001</v>
      </c>
      <c r="CF68" s="253" cm="1">
        <f t="array" ref="CF68">$BC68 * IF($AD68&lt;=2,
SUMPRODUCT(INDEX($AL$72:$AN$76,,$AE68), INDEX($AO$72:$AU$76,,$AD68), 1 / ($AV$72:$AV$76*CE68 + (1-$AV$72:$AV$76)*CA68), N($AK$72:$AK$76&gt;$AI68)),
SUMPRODUCT(INDEX($AL$67:$AN$76,,$AE68), INDEX($AO$67:$AU$76,,$AD68), 1 / ($AW$67:$AW$76*CE68 + (1-$AW$67:$AW$76)*CA68), N($AK$67:$AK$76&gt;$AI68))
) / 1000</f>
        <v>0</v>
      </c>
      <c r="CG68" s="250">
        <f t="shared" si="34"/>
        <v>25</v>
      </c>
      <c r="CH68" s="237">
        <f t="shared" si="35"/>
        <v>38</v>
      </c>
      <c r="CI68" s="253">
        <f t="shared" si="36"/>
        <v>4.0666935483870965</v>
      </c>
      <c r="CJ68" s="253" cm="1">
        <f t="array" ref="CJ68">$BC68 * IF($AD68&lt;=2,
SUMPRODUCT(INDEX($AL$67:$AN$71,,$AE68), INDEX($AO$67:$AU$71,,$AD68), 1 / ($AV$67:$AV$71*CI68 + (1-$AV$67:$AV$71)*CE68), N($AK$67:$AK$71&gt;$AI68)),
SUMPRODUCT(INDEX($AL$57:$AN$66,,$AE68), INDEX($AO$57:$AU$66,,$AD68), 1 / ($AW$57:$AW$66*CI68 + (1-$AW$57:$AW$66)*CE68), N($AK$57:$AK$66&gt;$AI68))
) / 1000</f>
        <v>0</v>
      </c>
      <c r="CK68" s="250">
        <f t="shared" si="37"/>
        <v>20</v>
      </c>
      <c r="CL68" s="237">
        <f t="shared" si="38"/>
        <v>33</v>
      </c>
      <c r="CM68" s="253">
        <f t="shared" si="39"/>
        <v>4.8487499999999999</v>
      </c>
      <c r="CN68" s="253" cm="1">
        <f t="array" ref="CN68">$BC68 * IF($AD68&lt;=2,
SUMPRODUCT(INDEX($AL$62:$AN$66,,$AE68), INDEX($AO$62:$AU$66,,$AD68), 1 / ($AV$62:$AV$66*CM68 + (1-$AV$62:$AV$66)*CI68), N($AK$62:$AK$66&gt;$AI68)),
SUMPRODUCT(INDEX($AL$47:$AN$56,,$AE68), INDEX($AO$47:$AU$56,,$AD68), 1 / ($AW$47:$AW$56*CM68 + (1-$AW$47:$AW$56)*CI68), N($AK$47:$AK$56&gt;$AI68))
) / 1000</f>
        <v>0</v>
      </c>
      <c r="CO68" s="253" cm="1">
        <f t="array" ref="CO68">$BC68 * IF($AD68&lt;=2,
SUMPRODUCT(INDEX($AL$23:$AN$61,,$AE68), INDEX($AO$23:$AU$61,,$AD68), 1 / ($AV$23:$AV$61*CM68), N($AK$23:$AK$61&gt;$AI68)),
SUMPRODUCT(INDEX($AL$23:$AN$46,,$AE68), INDEX($AO$23:$AU$46,,$AD68), 1 / ($AW$23:$AW$46*CM68), N($AK$23:$AK$46&gt;$AI68))
) / 1000</f>
        <v>0</v>
      </c>
      <c r="CP68" s="237">
        <f t="shared" si="40"/>
        <v>0</v>
      </c>
      <c r="CQ68" s="210"/>
    </row>
    <row r="69" spans="1:95" s="76" customFormat="1" ht="14.25" customHeight="1" x14ac:dyDescent="0.25">
      <c r="A69" s="238" t="b">
        <f t="shared" si="0"/>
        <v>0</v>
      </c>
      <c r="B69" s="239">
        <v>47</v>
      </c>
      <c r="C69" s="258"/>
      <c r="D69" s="258"/>
      <c r="E69" s="240"/>
      <c r="F69" s="241" t="str">
        <f>IF(ISBLANK(E69), "", VLOOKUP(E69, Z!$A$2:$C$4127, 3, FALSE))</f>
        <v/>
      </c>
      <c r="G69" s="242"/>
      <c r="H69" s="242"/>
      <c r="I69" s="243"/>
      <c r="J69" s="244"/>
      <c r="K69" s="259"/>
      <c r="L69" s="260"/>
      <c r="M69" s="247" t="str" cm="1">
        <f t="array" ref="M69">IF($K69&gt;0, INDEX(Clean,1+AG69,$C$1), "")</f>
        <v/>
      </c>
      <c r="N69" s="245"/>
      <c r="O69" s="245"/>
      <c r="P69" s="246"/>
      <c r="Q69" s="248">
        <f t="shared" si="6"/>
        <v>0</v>
      </c>
      <c r="R69" s="247" t="str" cm="1">
        <f t="array" ref="R69">IF($K69&gt;0, INDEX(Clean,1+AH69,$C$1), "")</f>
        <v/>
      </c>
      <c r="S69" s="245"/>
      <c r="T69" s="245"/>
      <c r="U69" s="246"/>
      <c r="V69" s="248">
        <f t="shared" si="7"/>
        <v>0</v>
      </c>
      <c r="W69" s="261"/>
      <c r="X69" s="258"/>
      <c r="Y69" s="240"/>
      <c r="Z69" s="241" t="str">
        <f>IF(ISBLANK(Y69), "", VLOOKUP(Y69, Z!$A$2:$C$4127, 3, FALSE))</f>
        <v/>
      </c>
      <c r="AA69" s="262"/>
      <c r="AB69" s="249">
        <f t="shared" si="8"/>
        <v>0</v>
      </c>
      <c r="AC69" s="210"/>
      <c r="AD69" s="236">
        <f t="shared" ref="AD69" si="173">IF(ISBLANK(H69), 1, IFERROR(MATCH(H69, INDEX(Use,,1), 0), IFERROR(MATCH(H69, INDEX(Use,,2), 0), MATCH(H69, INDEX(Use,,3), 0))))</f>
        <v>1</v>
      </c>
      <c r="AE69" s="236">
        <f t="shared" ref="AE69" si="174">IF(ISBLANK(G69), 1, IFERROR(MATCH(G69, INDEX(Loc,,1), 0), IFERROR(MATCH(G69, INDEX(Loc,,2), 0), MATCH(G69, INDEX(Loc,,3), 0))))</f>
        <v>1</v>
      </c>
      <c r="AF69" s="236">
        <f t="shared" ref="AF69" si="175">_xlfn.IFNA(IF(IFERROR(MATCH(I69, INDEX(Medium,,1), 0), IFERROR(MATCH(I69, INDEX(Medium,,2), 0), MATCH(I69, INDEX(Medium,,3), 0))) = 2, 1, 0), 0)</f>
        <v>0</v>
      </c>
      <c r="AG69" s="236">
        <v>1</v>
      </c>
      <c r="AH69" s="236">
        <v>0</v>
      </c>
      <c r="AI69" s="236">
        <f t="shared" si="4"/>
        <v>-100</v>
      </c>
      <c r="AJ69" s="210"/>
      <c r="AK69" s="236">
        <v>27</v>
      </c>
      <c r="AL69" s="250">
        <v>113</v>
      </c>
      <c r="AM69" s="250">
        <v>87</v>
      </c>
      <c r="AN69" s="250">
        <v>29</v>
      </c>
      <c r="AO69" s="251">
        <f t="shared" si="5"/>
        <v>0.5</v>
      </c>
      <c r="AP69" s="251">
        <f t="shared" si="5"/>
        <v>0.5</v>
      </c>
      <c r="AQ69" s="251" cm="1">
        <f t="array" ref="AQ69">MIN(INDEX(Use,AQ$21,5) + MAX(0, (1-INDEX(Use,AQ$21,5))*($AK69-5)/(35-5)), 1)</f>
        <v>0.84000000000000008</v>
      </c>
      <c r="AR69" s="251" cm="1">
        <f t="array" ref="AR69">MIN(INDEX(Use,AR$21,5) + MAX(0, (1-INDEX(Use,AR$21,5))*($AK69-5)/(35-5)), 1)</f>
        <v>0.89333333333333331</v>
      </c>
      <c r="AS69" s="251" cm="1">
        <f t="array" ref="AS69">MIN(INDEX(Use,AS$21,5) + MAX(0, (1-INDEX(Use,AS$21,5))*($AK69-5)/(35-5)), 1)</f>
        <v>0.94666666666666666</v>
      </c>
      <c r="AT69" s="251" cm="1">
        <f t="array" ref="AT69">MIN(INDEX(Use,AT$21,5) + MAX(0, (1-INDEX(Use,AT$21,5))*($AK69-5)/(35-5)), 1)</f>
        <v>0.94666666666666666</v>
      </c>
      <c r="AU69" s="251" cm="1">
        <f t="array" ref="AU69">MIN(INDEX(Use,AU$21,5) + MAX(0, (1-INDEX(Use,AU$21,5))*($AK69-5)/(35-5)), 1)</f>
        <v>0.94666666666666666</v>
      </c>
      <c r="AV69" s="251">
        <v>0.6</v>
      </c>
      <c r="AW69" s="251">
        <v>0.8</v>
      </c>
      <c r="AX69" s="212"/>
      <c r="AY69" s="236" cm="1">
        <f t="array" ref="AY69">INDEX(Use, $AD69, 4)</f>
        <v>7</v>
      </c>
      <c r="AZ69" s="236">
        <f t="shared" si="12"/>
        <v>32</v>
      </c>
      <c r="BA69" s="236">
        <f t="shared" si="13"/>
        <v>13</v>
      </c>
      <c r="BB69" s="236">
        <f t="shared" si="14"/>
        <v>0</v>
      </c>
      <c r="BC69" s="252" cm="1">
        <f t="array" ref="BC69">K69/IF($L69&gt;0, INDEX($AO$23:$AU$77, $L69+20, $AD69), 1)</f>
        <v>0</v>
      </c>
      <c r="BD69" s="237">
        <f t="shared" si="15"/>
        <v>0</v>
      </c>
      <c r="BE69" s="236">
        <v>35</v>
      </c>
      <c r="BF69" s="237">
        <f t="shared" si="16"/>
        <v>52.55</v>
      </c>
      <c r="BG69" s="253">
        <f t="shared" si="17"/>
        <v>2.7676728869374316</v>
      </c>
      <c r="BH69" s="253" cm="1">
        <f t="array" ref="BH69">$BC69 * SUMPRODUCT(INDEX($AL$77:$AN$82,,$AE69),INDEX($AO$77:$AU$82,,$AD69), N($AK$77:$AK$82&gt;$AI69)) / BG69 / 1000</f>
        <v>0</v>
      </c>
      <c r="BI69" s="250">
        <f t="shared" si="18"/>
        <v>30</v>
      </c>
      <c r="BJ69" s="237">
        <f t="shared" si="19"/>
        <v>46.033333333333331</v>
      </c>
      <c r="BK69" s="253">
        <f t="shared" si="20"/>
        <v>3.2297395388556791</v>
      </c>
      <c r="BL69" s="253" cm="1">
        <f t="array" ref="BL69">$BC69 * IF($AD69&lt;=2,
SUMPRODUCT(INDEX($AL$72:$AN$76,,$AE69), INDEX($AO$72:$AU$76,,$AD69), 1 / ($AV$72:$AV$76*BK69 + (1-$AV$72:$AV$76)*BG69), N($AK$72:$AK$76&gt;$AI69)),
SUMPRODUCT(INDEX($AL$67:$AN$76,,$AE69), INDEX($AO$67:$AU$76,,$AD69), 1 / ($AW$67:$AW$76*BK69 + (1-$AW$67:$AW$76)*BG69), N($AK$67:$AK$76&gt;$AI69))
) / 1000</f>
        <v>0</v>
      </c>
      <c r="BM69" s="250">
        <f t="shared" si="21"/>
        <v>25</v>
      </c>
      <c r="BN69" s="237">
        <f t="shared" si="22"/>
        <v>39.516666666666666</v>
      </c>
      <c r="BO69" s="253">
        <f t="shared" si="23"/>
        <v>3.877011788826243</v>
      </c>
      <c r="BP69" s="253" cm="1">
        <f t="array" ref="BP69">$BC69 * IF($AD69&lt;=2,
SUMPRODUCT(INDEX($AL$67:$AN$71,,$AE69), INDEX($AO$67:$AU$71,,$AD69), 1 / ($AV$67:$AV$71*BO69 + (1-$AV$67:$AV$71)*BK69), N($AK$67:$AK$71&gt;$AI69)),
SUMPRODUCT(INDEX($AL$57:$AN$66,,$AE69), INDEX($AO$57:$AU$66,,$AD69), 1 / ($AW$57:$AW$66*BO69 + (1-$AW$57:$AW$66)*BK69), N($AK$57:$AK$66&gt;$AI69))
) / 1000</f>
        <v>0</v>
      </c>
      <c r="BQ69" s="250">
        <f t="shared" si="24"/>
        <v>20</v>
      </c>
      <c r="BR69" s="237">
        <f t="shared" si="25"/>
        <v>33</v>
      </c>
      <c r="BS69" s="253">
        <f t="shared" si="26"/>
        <v>4.8487499999999999</v>
      </c>
      <c r="BT69" s="253" cm="1">
        <f t="array" ref="BT69">$BC69 * IF($AD69&lt;=2,
SUMPRODUCT(INDEX($AL$62:$AN$66,,$AE69), INDEX($AO$62:$AU$66,,$AD69), 1 / ($AV$62:$AV$66*BS69 + (1-$AV$62:$AV$66)*BO69), N($AK$62:$AK$66&gt;$AI69)),
SUMPRODUCT(INDEX($AL$47:$AN$56,,$AE69), INDEX($AO$47:$AU$56,,$AD69), 1 / ($AW$47:$AW$56*BS69 + (1-$AW$47:$AW$56)*BO69), N($AK$47:$AK$56&gt;$AI69))
) / 1000</f>
        <v>0</v>
      </c>
      <c r="BU69" s="253" cm="1">
        <f t="array" ref="BU69">$BC69 * IF($AD69&lt;=2,
SUMPRODUCT(INDEX($AL$23:$AN$61,,$AE69), INDEX($AO$23:$AU$61,,$AD69), 1 / ($AV$23:$AV$61*BS69), N($AK$23:$AK$61&gt;$AI69)),
SUMPRODUCT(INDEX($AL$23:$AN$46,,$AE69), INDEX($AO$23:$AU$46,,$AD69), 1 / ($AW$23:$AW$46*BS69), N($AK$23:$AK$46&gt;$AI69))
) / 1000</f>
        <v>0</v>
      </c>
      <c r="BV69" s="237">
        <f t="shared" si="27"/>
        <v>0</v>
      </c>
      <c r="BW69" s="210"/>
      <c r="BX69" s="237">
        <f t="shared" si="28"/>
        <v>0</v>
      </c>
      <c r="BY69" s="236">
        <v>35</v>
      </c>
      <c r="BZ69" s="237">
        <f t="shared" si="29"/>
        <v>48</v>
      </c>
      <c r="CA69" s="253">
        <f t="shared" si="30"/>
        <v>3.0748170731707316</v>
      </c>
      <c r="CB69" s="253" cm="1">
        <f t="array" ref="CB69">$BC69 * SUMPRODUCT(INDEX($AL$77:$AN$82,,$AE69),INDEX($AO$77:$AU$82,,$AD69), N($AK$77:$AK$82&gt;$AI69)) / CA69 / 1000</f>
        <v>0</v>
      </c>
      <c r="CC69" s="250">
        <f t="shared" si="31"/>
        <v>30</v>
      </c>
      <c r="CD69" s="237">
        <f t="shared" si="32"/>
        <v>43</v>
      </c>
      <c r="CE69" s="253">
        <f t="shared" si="33"/>
        <v>3.5018750000000001</v>
      </c>
      <c r="CF69" s="253" cm="1">
        <f t="array" ref="CF69">$BC69 * IF($AD69&lt;=2,
SUMPRODUCT(INDEX($AL$72:$AN$76,,$AE69), INDEX($AO$72:$AU$76,,$AD69), 1 / ($AV$72:$AV$76*CE69 + (1-$AV$72:$AV$76)*CA69), N($AK$72:$AK$76&gt;$AI69)),
SUMPRODUCT(INDEX($AL$67:$AN$76,,$AE69), INDEX($AO$67:$AU$76,,$AD69), 1 / ($AW$67:$AW$76*CE69 + (1-$AW$67:$AW$76)*CA69), N($AK$67:$AK$76&gt;$AI69))
) / 1000</f>
        <v>0</v>
      </c>
      <c r="CG69" s="250">
        <f t="shared" si="34"/>
        <v>25</v>
      </c>
      <c r="CH69" s="237">
        <f t="shared" si="35"/>
        <v>38</v>
      </c>
      <c r="CI69" s="253">
        <f t="shared" si="36"/>
        <v>4.0666935483870965</v>
      </c>
      <c r="CJ69" s="253" cm="1">
        <f t="array" ref="CJ69">$BC69 * IF($AD69&lt;=2,
SUMPRODUCT(INDEX($AL$67:$AN$71,,$AE69), INDEX($AO$67:$AU$71,,$AD69), 1 / ($AV$67:$AV$71*CI69 + (1-$AV$67:$AV$71)*CE69), N($AK$67:$AK$71&gt;$AI69)),
SUMPRODUCT(INDEX($AL$57:$AN$66,,$AE69), INDEX($AO$57:$AU$66,,$AD69), 1 / ($AW$57:$AW$66*CI69 + (1-$AW$57:$AW$66)*CE69), N($AK$57:$AK$66&gt;$AI69))
) / 1000</f>
        <v>0</v>
      </c>
      <c r="CK69" s="250">
        <f t="shared" si="37"/>
        <v>20</v>
      </c>
      <c r="CL69" s="237">
        <f t="shared" si="38"/>
        <v>33</v>
      </c>
      <c r="CM69" s="253">
        <f t="shared" si="39"/>
        <v>4.8487499999999999</v>
      </c>
      <c r="CN69" s="253" cm="1">
        <f t="array" ref="CN69">$BC69 * IF($AD69&lt;=2,
SUMPRODUCT(INDEX($AL$62:$AN$66,,$AE69), INDEX($AO$62:$AU$66,,$AD69), 1 / ($AV$62:$AV$66*CM69 + (1-$AV$62:$AV$66)*CI69), N($AK$62:$AK$66&gt;$AI69)),
SUMPRODUCT(INDEX($AL$47:$AN$56,,$AE69), INDEX($AO$47:$AU$56,,$AD69), 1 / ($AW$47:$AW$56*CM69 + (1-$AW$47:$AW$56)*CI69), N($AK$47:$AK$56&gt;$AI69))
) / 1000</f>
        <v>0</v>
      </c>
      <c r="CO69" s="253" cm="1">
        <f t="array" ref="CO69">$BC69 * IF($AD69&lt;=2,
SUMPRODUCT(INDEX($AL$23:$AN$61,,$AE69), INDEX($AO$23:$AU$61,,$AD69), 1 / ($AV$23:$AV$61*CM69), N($AK$23:$AK$61&gt;$AI69)),
SUMPRODUCT(INDEX($AL$23:$AN$46,,$AE69), INDEX($AO$23:$AU$46,,$AD69), 1 / ($AW$23:$AW$46*CM69), N($AK$23:$AK$46&gt;$AI69))
) / 1000</f>
        <v>0</v>
      </c>
      <c r="CP69" s="237">
        <f t="shared" si="40"/>
        <v>0</v>
      </c>
      <c r="CQ69" s="210"/>
    </row>
    <row r="70" spans="1:95" s="76" customFormat="1" ht="14.25" customHeight="1" x14ac:dyDescent="0.25">
      <c r="A70" s="238" t="b">
        <f t="shared" si="0"/>
        <v>0</v>
      </c>
      <c r="B70" s="239">
        <v>48</v>
      </c>
      <c r="C70" s="258"/>
      <c r="D70" s="258"/>
      <c r="E70" s="240"/>
      <c r="F70" s="241" t="str">
        <f>IF(ISBLANK(E70), "", VLOOKUP(E70, Z!$A$2:$C$4127, 3, FALSE))</f>
        <v/>
      </c>
      <c r="G70" s="242"/>
      <c r="H70" s="242"/>
      <c r="I70" s="243"/>
      <c r="J70" s="244"/>
      <c r="K70" s="259"/>
      <c r="L70" s="260"/>
      <c r="M70" s="247" t="str" cm="1">
        <f t="array" ref="M70">IF($K70&gt;0, INDEX(Clean,1+AG70,$C$1), "")</f>
        <v/>
      </c>
      <c r="N70" s="245"/>
      <c r="O70" s="245"/>
      <c r="P70" s="246"/>
      <c r="Q70" s="248">
        <f t="shared" si="6"/>
        <v>0</v>
      </c>
      <c r="R70" s="247" t="str" cm="1">
        <f t="array" ref="R70">IF($K70&gt;0, INDEX(Clean,1+AH70,$C$1), "")</f>
        <v/>
      </c>
      <c r="S70" s="245"/>
      <c r="T70" s="245"/>
      <c r="U70" s="246"/>
      <c r="V70" s="248">
        <f t="shared" si="7"/>
        <v>0</v>
      </c>
      <c r="W70" s="261"/>
      <c r="X70" s="258"/>
      <c r="Y70" s="240"/>
      <c r="Z70" s="241" t="str">
        <f>IF(ISBLANK(Y70), "", VLOOKUP(Y70, Z!$A$2:$C$4127, 3, FALSE))</f>
        <v/>
      </c>
      <c r="AA70" s="262"/>
      <c r="AB70" s="249">
        <f t="shared" si="8"/>
        <v>0</v>
      </c>
      <c r="AC70" s="210"/>
      <c r="AD70" s="236">
        <f t="shared" ref="AD70" si="176">IF(ISBLANK(H70), 1, IFERROR(MATCH(H70, INDEX(Use,,1), 0), IFERROR(MATCH(H70, INDEX(Use,,2), 0), MATCH(H70, INDEX(Use,,3), 0))))</f>
        <v>1</v>
      </c>
      <c r="AE70" s="236">
        <f t="shared" ref="AE70" si="177">IF(ISBLANK(G70), 1, IFERROR(MATCH(G70, INDEX(Loc,,1), 0), IFERROR(MATCH(G70, INDEX(Loc,,2), 0), MATCH(G70, INDEX(Loc,,3), 0))))</f>
        <v>1</v>
      </c>
      <c r="AF70" s="236">
        <f t="shared" ref="AF70" si="178">_xlfn.IFNA(IF(IFERROR(MATCH(I70, INDEX(Medium,,1), 0), IFERROR(MATCH(I70, INDEX(Medium,,2), 0), MATCH(I70, INDEX(Medium,,3), 0))) = 2, 1, 0), 0)</f>
        <v>0</v>
      </c>
      <c r="AG70" s="236">
        <v>1</v>
      </c>
      <c r="AH70" s="236">
        <v>0</v>
      </c>
      <c r="AI70" s="236">
        <f t="shared" si="4"/>
        <v>-100</v>
      </c>
      <c r="AJ70" s="210"/>
      <c r="AK70" s="236">
        <v>28</v>
      </c>
      <c r="AL70" s="250">
        <v>70</v>
      </c>
      <c r="AM70" s="250">
        <v>59</v>
      </c>
      <c r="AN70" s="250">
        <v>24</v>
      </c>
      <c r="AO70" s="251">
        <f t="shared" si="5"/>
        <v>0.5625</v>
      </c>
      <c r="AP70" s="251">
        <f t="shared" si="5"/>
        <v>0.5625</v>
      </c>
      <c r="AQ70" s="251" cm="1">
        <f t="array" ref="AQ70">MIN(INDEX(Use,AQ$21,5) + MAX(0, (1-INDEX(Use,AQ$21,5))*($AK70-5)/(35-5)), 1)</f>
        <v>0.86</v>
      </c>
      <c r="AR70" s="251" cm="1">
        <f t="array" ref="AR70">MIN(INDEX(Use,AR$21,5) + MAX(0, (1-INDEX(Use,AR$21,5))*($AK70-5)/(35-5)), 1)</f>
        <v>0.90666666666666673</v>
      </c>
      <c r="AS70" s="251" cm="1">
        <f t="array" ref="AS70">MIN(INDEX(Use,AS$21,5) + MAX(0, (1-INDEX(Use,AS$21,5))*($AK70-5)/(35-5)), 1)</f>
        <v>0.95333333333333337</v>
      </c>
      <c r="AT70" s="251" cm="1">
        <f t="array" ref="AT70">MIN(INDEX(Use,AT$21,5) + MAX(0, (1-INDEX(Use,AT$21,5))*($AK70-5)/(35-5)), 1)</f>
        <v>0.95333333333333337</v>
      </c>
      <c r="AU70" s="251" cm="1">
        <f t="array" ref="AU70">MIN(INDEX(Use,AU$21,5) + MAX(0, (1-INDEX(Use,AU$21,5))*($AK70-5)/(35-5)), 1)</f>
        <v>0.95333333333333337</v>
      </c>
      <c r="AV70" s="251">
        <v>0.4</v>
      </c>
      <c r="AW70" s="251">
        <v>0.7</v>
      </c>
      <c r="AX70" s="212"/>
      <c r="AY70" s="236" cm="1">
        <f t="array" ref="AY70">INDEX(Use, $AD70, 4)</f>
        <v>7</v>
      </c>
      <c r="AZ70" s="236">
        <f t="shared" si="12"/>
        <v>32</v>
      </c>
      <c r="BA70" s="236">
        <f t="shared" si="13"/>
        <v>13</v>
      </c>
      <c r="BB70" s="236">
        <f t="shared" si="14"/>
        <v>0</v>
      </c>
      <c r="BC70" s="252" cm="1">
        <f t="array" ref="BC70">K70/IF($L70&gt;0, INDEX($AO$23:$AU$77, $L70+20, $AD70), 1)</f>
        <v>0</v>
      </c>
      <c r="BD70" s="237">
        <f t="shared" si="15"/>
        <v>0</v>
      </c>
      <c r="BE70" s="236">
        <v>35</v>
      </c>
      <c r="BF70" s="237">
        <f t="shared" si="16"/>
        <v>52.55</v>
      </c>
      <c r="BG70" s="253">
        <f t="shared" si="17"/>
        <v>2.7676728869374316</v>
      </c>
      <c r="BH70" s="253" cm="1">
        <f t="array" ref="BH70">$BC70 * SUMPRODUCT(INDEX($AL$77:$AN$82,,$AE70),INDEX($AO$77:$AU$82,,$AD70), N($AK$77:$AK$82&gt;$AI70)) / BG70 / 1000</f>
        <v>0</v>
      </c>
      <c r="BI70" s="250">
        <f t="shared" si="18"/>
        <v>30</v>
      </c>
      <c r="BJ70" s="237">
        <f t="shared" si="19"/>
        <v>46.033333333333331</v>
      </c>
      <c r="BK70" s="253">
        <f t="shared" si="20"/>
        <v>3.2297395388556791</v>
      </c>
      <c r="BL70" s="253" cm="1">
        <f t="array" ref="BL70">$BC70 * IF($AD70&lt;=2,
SUMPRODUCT(INDEX($AL$72:$AN$76,,$AE70), INDEX($AO$72:$AU$76,,$AD70), 1 / ($AV$72:$AV$76*BK70 + (1-$AV$72:$AV$76)*BG70), N($AK$72:$AK$76&gt;$AI70)),
SUMPRODUCT(INDEX($AL$67:$AN$76,,$AE70), INDEX($AO$67:$AU$76,,$AD70), 1 / ($AW$67:$AW$76*BK70 + (1-$AW$67:$AW$76)*BG70), N($AK$67:$AK$76&gt;$AI70))
) / 1000</f>
        <v>0</v>
      </c>
      <c r="BM70" s="250">
        <f t="shared" si="21"/>
        <v>25</v>
      </c>
      <c r="BN70" s="237">
        <f t="shared" si="22"/>
        <v>39.516666666666666</v>
      </c>
      <c r="BO70" s="253">
        <f t="shared" si="23"/>
        <v>3.877011788826243</v>
      </c>
      <c r="BP70" s="253" cm="1">
        <f t="array" ref="BP70">$BC70 * IF($AD70&lt;=2,
SUMPRODUCT(INDEX($AL$67:$AN$71,,$AE70), INDEX($AO$67:$AU$71,,$AD70), 1 / ($AV$67:$AV$71*BO70 + (1-$AV$67:$AV$71)*BK70), N($AK$67:$AK$71&gt;$AI70)),
SUMPRODUCT(INDEX($AL$57:$AN$66,,$AE70), INDEX($AO$57:$AU$66,,$AD70), 1 / ($AW$57:$AW$66*BO70 + (1-$AW$57:$AW$66)*BK70), N($AK$57:$AK$66&gt;$AI70))
) / 1000</f>
        <v>0</v>
      </c>
      <c r="BQ70" s="250">
        <f t="shared" si="24"/>
        <v>20</v>
      </c>
      <c r="BR70" s="237">
        <f t="shared" si="25"/>
        <v>33</v>
      </c>
      <c r="BS70" s="253">
        <f t="shared" si="26"/>
        <v>4.8487499999999999</v>
      </c>
      <c r="BT70" s="253" cm="1">
        <f t="array" ref="BT70">$BC70 * IF($AD70&lt;=2,
SUMPRODUCT(INDEX($AL$62:$AN$66,,$AE70), INDEX($AO$62:$AU$66,,$AD70), 1 / ($AV$62:$AV$66*BS70 + (1-$AV$62:$AV$66)*BO70), N($AK$62:$AK$66&gt;$AI70)),
SUMPRODUCT(INDEX($AL$47:$AN$56,,$AE70), INDEX($AO$47:$AU$56,,$AD70), 1 / ($AW$47:$AW$56*BS70 + (1-$AW$47:$AW$56)*BO70), N($AK$47:$AK$56&gt;$AI70))
) / 1000</f>
        <v>0</v>
      </c>
      <c r="BU70" s="253" cm="1">
        <f t="array" ref="BU70">$BC70 * IF($AD70&lt;=2,
SUMPRODUCT(INDEX($AL$23:$AN$61,,$AE70), INDEX($AO$23:$AU$61,,$AD70), 1 / ($AV$23:$AV$61*BS70), N($AK$23:$AK$61&gt;$AI70)),
SUMPRODUCT(INDEX($AL$23:$AN$46,,$AE70), INDEX($AO$23:$AU$46,,$AD70), 1 / ($AW$23:$AW$46*BS70), N($AK$23:$AK$46&gt;$AI70))
) / 1000</f>
        <v>0</v>
      </c>
      <c r="BV70" s="237">
        <f t="shared" si="27"/>
        <v>0</v>
      </c>
      <c r="BW70" s="210"/>
      <c r="BX70" s="237">
        <f t="shared" si="28"/>
        <v>0</v>
      </c>
      <c r="BY70" s="236">
        <v>35</v>
      </c>
      <c r="BZ70" s="237">
        <f t="shared" si="29"/>
        <v>48</v>
      </c>
      <c r="CA70" s="253">
        <f t="shared" si="30"/>
        <v>3.0748170731707316</v>
      </c>
      <c r="CB70" s="253" cm="1">
        <f t="array" ref="CB70">$BC70 * SUMPRODUCT(INDEX($AL$77:$AN$82,,$AE70),INDEX($AO$77:$AU$82,,$AD70), N($AK$77:$AK$82&gt;$AI70)) / CA70 / 1000</f>
        <v>0</v>
      </c>
      <c r="CC70" s="250">
        <f t="shared" si="31"/>
        <v>30</v>
      </c>
      <c r="CD70" s="237">
        <f t="shared" si="32"/>
        <v>43</v>
      </c>
      <c r="CE70" s="253">
        <f t="shared" si="33"/>
        <v>3.5018750000000001</v>
      </c>
      <c r="CF70" s="253" cm="1">
        <f t="array" ref="CF70">$BC70 * IF($AD70&lt;=2,
SUMPRODUCT(INDEX($AL$72:$AN$76,,$AE70), INDEX($AO$72:$AU$76,,$AD70), 1 / ($AV$72:$AV$76*CE70 + (1-$AV$72:$AV$76)*CA70), N($AK$72:$AK$76&gt;$AI70)),
SUMPRODUCT(INDEX($AL$67:$AN$76,,$AE70), INDEX($AO$67:$AU$76,,$AD70), 1 / ($AW$67:$AW$76*CE70 + (1-$AW$67:$AW$76)*CA70), N($AK$67:$AK$76&gt;$AI70))
) / 1000</f>
        <v>0</v>
      </c>
      <c r="CG70" s="250">
        <f t="shared" si="34"/>
        <v>25</v>
      </c>
      <c r="CH70" s="237">
        <f t="shared" si="35"/>
        <v>38</v>
      </c>
      <c r="CI70" s="253">
        <f t="shared" si="36"/>
        <v>4.0666935483870965</v>
      </c>
      <c r="CJ70" s="253" cm="1">
        <f t="array" ref="CJ70">$BC70 * IF($AD70&lt;=2,
SUMPRODUCT(INDEX($AL$67:$AN$71,,$AE70), INDEX($AO$67:$AU$71,,$AD70), 1 / ($AV$67:$AV$71*CI70 + (1-$AV$67:$AV$71)*CE70), N($AK$67:$AK$71&gt;$AI70)),
SUMPRODUCT(INDEX($AL$57:$AN$66,,$AE70), INDEX($AO$57:$AU$66,,$AD70), 1 / ($AW$57:$AW$66*CI70 + (1-$AW$57:$AW$66)*CE70), N($AK$57:$AK$66&gt;$AI70))
) / 1000</f>
        <v>0</v>
      </c>
      <c r="CK70" s="250">
        <f t="shared" si="37"/>
        <v>20</v>
      </c>
      <c r="CL70" s="237">
        <f t="shared" si="38"/>
        <v>33</v>
      </c>
      <c r="CM70" s="253">
        <f t="shared" si="39"/>
        <v>4.8487499999999999</v>
      </c>
      <c r="CN70" s="253" cm="1">
        <f t="array" ref="CN70">$BC70 * IF($AD70&lt;=2,
SUMPRODUCT(INDEX($AL$62:$AN$66,,$AE70), INDEX($AO$62:$AU$66,,$AD70), 1 / ($AV$62:$AV$66*CM70 + (1-$AV$62:$AV$66)*CI70), N($AK$62:$AK$66&gt;$AI70)),
SUMPRODUCT(INDEX($AL$47:$AN$56,,$AE70), INDEX($AO$47:$AU$56,,$AD70), 1 / ($AW$47:$AW$56*CM70 + (1-$AW$47:$AW$56)*CI70), N($AK$47:$AK$56&gt;$AI70))
) / 1000</f>
        <v>0</v>
      </c>
      <c r="CO70" s="253" cm="1">
        <f t="array" ref="CO70">$BC70 * IF($AD70&lt;=2,
SUMPRODUCT(INDEX($AL$23:$AN$61,,$AE70), INDEX($AO$23:$AU$61,,$AD70), 1 / ($AV$23:$AV$61*CM70), N($AK$23:$AK$61&gt;$AI70)),
SUMPRODUCT(INDEX($AL$23:$AN$46,,$AE70), INDEX($AO$23:$AU$46,,$AD70), 1 / ($AW$23:$AW$46*CM70), N($AK$23:$AK$46&gt;$AI70))
) / 1000</f>
        <v>0</v>
      </c>
      <c r="CP70" s="237">
        <f t="shared" si="40"/>
        <v>0</v>
      </c>
      <c r="CQ70" s="210"/>
    </row>
    <row r="71" spans="1:95" s="76" customFormat="1" ht="14.25" customHeight="1" x14ac:dyDescent="0.25">
      <c r="A71" s="238" t="b">
        <f t="shared" si="0"/>
        <v>0</v>
      </c>
      <c r="B71" s="239">
        <v>49</v>
      </c>
      <c r="C71" s="258"/>
      <c r="D71" s="258"/>
      <c r="E71" s="240"/>
      <c r="F71" s="241" t="str">
        <f>IF(ISBLANK(E71), "", VLOOKUP(E71, Z!$A$2:$C$4127, 3, FALSE))</f>
        <v/>
      </c>
      <c r="G71" s="242"/>
      <c r="H71" s="242"/>
      <c r="I71" s="243"/>
      <c r="J71" s="244"/>
      <c r="K71" s="259"/>
      <c r="L71" s="260"/>
      <c r="M71" s="247" t="str" cm="1">
        <f t="array" ref="M71">IF($K71&gt;0, INDEX(Clean,1+AG71,$C$1), "")</f>
        <v/>
      </c>
      <c r="N71" s="245"/>
      <c r="O71" s="245"/>
      <c r="P71" s="246"/>
      <c r="Q71" s="248">
        <f t="shared" si="6"/>
        <v>0</v>
      </c>
      <c r="R71" s="247" t="str" cm="1">
        <f t="array" ref="R71">IF($K71&gt;0, INDEX(Clean,1+AH71,$C$1), "")</f>
        <v/>
      </c>
      <c r="S71" s="245"/>
      <c r="T71" s="245"/>
      <c r="U71" s="246"/>
      <c r="V71" s="248">
        <f t="shared" si="7"/>
        <v>0</v>
      </c>
      <c r="W71" s="261"/>
      <c r="X71" s="258"/>
      <c r="Y71" s="240"/>
      <c r="Z71" s="241" t="str">
        <f>IF(ISBLANK(Y71), "", VLOOKUP(Y71, Z!$A$2:$C$4127, 3, FALSE))</f>
        <v/>
      </c>
      <c r="AA71" s="262"/>
      <c r="AB71" s="249">
        <f t="shared" si="8"/>
        <v>0</v>
      </c>
      <c r="AC71" s="210"/>
      <c r="AD71" s="236">
        <f t="shared" ref="AD71" si="179">IF(ISBLANK(H71), 1, IFERROR(MATCH(H71, INDEX(Use,,1), 0), IFERROR(MATCH(H71, INDEX(Use,,2), 0), MATCH(H71, INDEX(Use,,3), 0))))</f>
        <v>1</v>
      </c>
      <c r="AE71" s="236">
        <f t="shared" ref="AE71" si="180">IF(ISBLANK(G71), 1, IFERROR(MATCH(G71, INDEX(Loc,,1), 0), IFERROR(MATCH(G71, INDEX(Loc,,2), 0), MATCH(G71, INDEX(Loc,,3), 0))))</f>
        <v>1</v>
      </c>
      <c r="AF71" s="236">
        <f t="shared" ref="AF71" si="181">_xlfn.IFNA(IF(IFERROR(MATCH(I71, INDEX(Medium,,1), 0), IFERROR(MATCH(I71, INDEX(Medium,,2), 0), MATCH(I71, INDEX(Medium,,3), 0))) = 2, 1, 0), 0)</f>
        <v>0</v>
      </c>
      <c r="AG71" s="236">
        <v>1</v>
      </c>
      <c r="AH71" s="236">
        <v>0</v>
      </c>
      <c r="AI71" s="236">
        <f t="shared" si="4"/>
        <v>-100</v>
      </c>
      <c r="AJ71" s="210"/>
      <c r="AK71" s="236">
        <v>29</v>
      </c>
      <c r="AL71" s="250">
        <v>50</v>
      </c>
      <c r="AM71" s="250">
        <v>50</v>
      </c>
      <c r="AN71" s="250">
        <v>14</v>
      </c>
      <c r="AO71" s="251">
        <f t="shared" si="5"/>
        <v>0.625</v>
      </c>
      <c r="AP71" s="251">
        <f t="shared" si="5"/>
        <v>0.625</v>
      </c>
      <c r="AQ71" s="251" cm="1">
        <f t="array" ref="AQ71">MIN(INDEX(Use,AQ$21,5) + MAX(0, (1-INDEX(Use,AQ$21,5))*($AK71-5)/(35-5)), 1)</f>
        <v>0.87999999999999989</v>
      </c>
      <c r="AR71" s="251" cm="1">
        <f t="array" ref="AR71">MIN(INDEX(Use,AR$21,5) + MAX(0, (1-INDEX(Use,AR$21,5))*($AK71-5)/(35-5)), 1)</f>
        <v>0.92</v>
      </c>
      <c r="AS71" s="251" cm="1">
        <f t="array" ref="AS71">MIN(INDEX(Use,AS$21,5) + MAX(0, (1-INDEX(Use,AS$21,5))*($AK71-5)/(35-5)), 1)</f>
        <v>0.96</v>
      </c>
      <c r="AT71" s="251" cm="1">
        <f t="array" ref="AT71">MIN(INDEX(Use,AT$21,5) + MAX(0, (1-INDEX(Use,AT$21,5))*($AK71-5)/(35-5)), 1)</f>
        <v>0.96</v>
      </c>
      <c r="AU71" s="251" cm="1">
        <f t="array" ref="AU71">MIN(INDEX(Use,AU$21,5) + MAX(0, (1-INDEX(Use,AU$21,5))*($AK71-5)/(35-5)), 1)</f>
        <v>0.96</v>
      </c>
      <c r="AV71" s="251">
        <v>0.2</v>
      </c>
      <c r="AW71" s="251">
        <v>0.6</v>
      </c>
      <c r="AX71" s="212"/>
      <c r="AY71" s="236" cm="1">
        <f t="array" ref="AY71">INDEX(Use, $AD71, 4)</f>
        <v>7</v>
      </c>
      <c r="AZ71" s="236">
        <f t="shared" si="12"/>
        <v>32</v>
      </c>
      <c r="BA71" s="236">
        <f t="shared" si="13"/>
        <v>13</v>
      </c>
      <c r="BB71" s="236">
        <f t="shared" si="14"/>
        <v>0</v>
      </c>
      <c r="BC71" s="252" cm="1">
        <f t="array" ref="BC71">K71/IF($L71&gt;0, INDEX($AO$23:$AU$77, $L71+20, $AD71), 1)</f>
        <v>0</v>
      </c>
      <c r="BD71" s="237">
        <f t="shared" si="15"/>
        <v>0</v>
      </c>
      <c r="BE71" s="236">
        <v>35</v>
      </c>
      <c r="BF71" s="237">
        <f t="shared" si="16"/>
        <v>52.55</v>
      </c>
      <c r="BG71" s="253">
        <f t="shared" si="17"/>
        <v>2.7676728869374316</v>
      </c>
      <c r="BH71" s="253" cm="1">
        <f t="array" ref="BH71">$BC71 * SUMPRODUCT(INDEX($AL$77:$AN$82,,$AE71),INDEX($AO$77:$AU$82,,$AD71), N($AK$77:$AK$82&gt;$AI71)) / BG71 / 1000</f>
        <v>0</v>
      </c>
      <c r="BI71" s="250">
        <f t="shared" si="18"/>
        <v>30</v>
      </c>
      <c r="BJ71" s="237">
        <f t="shared" si="19"/>
        <v>46.033333333333331</v>
      </c>
      <c r="BK71" s="253">
        <f t="shared" si="20"/>
        <v>3.2297395388556791</v>
      </c>
      <c r="BL71" s="253" cm="1">
        <f t="array" ref="BL71">$BC71 * IF($AD71&lt;=2,
SUMPRODUCT(INDEX($AL$72:$AN$76,,$AE71), INDEX($AO$72:$AU$76,,$AD71), 1 / ($AV$72:$AV$76*BK71 + (1-$AV$72:$AV$76)*BG71), N($AK$72:$AK$76&gt;$AI71)),
SUMPRODUCT(INDEX($AL$67:$AN$76,,$AE71), INDEX($AO$67:$AU$76,,$AD71), 1 / ($AW$67:$AW$76*BK71 + (1-$AW$67:$AW$76)*BG71), N($AK$67:$AK$76&gt;$AI71))
) / 1000</f>
        <v>0</v>
      </c>
      <c r="BM71" s="250">
        <f t="shared" si="21"/>
        <v>25</v>
      </c>
      <c r="BN71" s="237">
        <f t="shared" si="22"/>
        <v>39.516666666666666</v>
      </c>
      <c r="BO71" s="253">
        <f t="shared" si="23"/>
        <v>3.877011788826243</v>
      </c>
      <c r="BP71" s="253" cm="1">
        <f t="array" ref="BP71">$BC71 * IF($AD71&lt;=2,
SUMPRODUCT(INDEX($AL$67:$AN$71,,$AE71), INDEX($AO$67:$AU$71,,$AD71), 1 / ($AV$67:$AV$71*BO71 + (1-$AV$67:$AV$71)*BK71), N($AK$67:$AK$71&gt;$AI71)),
SUMPRODUCT(INDEX($AL$57:$AN$66,,$AE71), INDEX($AO$57:$AU$66,,$AD71), 1 / ($AW$57:$AW$66*BO71 + (1-$AW$57:$AW$66)*BK71), N($AK$57:$AK$66&gt;$AI71))
) / 1000</f>
        <v>0</v>
      </c>
      <c r="BQ71" s="250">
        <f t="shared" si="24"/>
        <v>20</v>
      </c>
      <c r="BR71" s="237">
        <f t="shared" si="25"/>
        <v>33</v>
      </c>
      <c r="BS71" s="253">
        <f t="shared" si="26"/>
        <v>4.8487499999999999</v>
      </c>
      <c r="BT71" s="253" cm="1">
        <f t="array" ref="BT71">$BC71 * IF($AD71&lt;=2,
SUMPRODUCT(INDEX($AL$62:$AN$66,,$AE71), INDEX($AO$62:$AU$66,,$AD71), 1 / ($AV$62:$AV$66*BS71 + (1-$AV$62:$AV$66)*BO71), N($AK$62:$AK$66&gt;$AI71)),
SUMPRODUCT(INDEX($AL$47:$AN$56,,$AE71), INDEX($AO$47:$AU$56,,$AD71), 1 / ($AW$47:$AW$56*BS71 + (1-$AW$47:$AW$56)*BO71), N($AK$47:$AK$56&gt;$AI71))
) / 1000</f>
        <v>0</v>
      </c>
      <c r="BU71" s="253" cm="1">
        <f t="array" ref="BU71">$BC71 * IF($AD71&lt;=2,
SUMPRODUCT(INDEX($AL$23:$AN$61,,$AE71), INDEX($AO$23:$AU$61,,$AD71), 1 / ($AV$23:$AV$61*BS71), N($AK$23:$AK$61&gt;$AI71)),
SUMPRODUCT(INDEX($AL$23:$AN$46,,$AE71), INDEX($AO$23:$AU$46,,$AD71), 1 / ($AW$23:$AW$46*BS71), N($AK$23:$AK$46&gt;$AI71))
) / 1000</f>
        <v>0</v>
      </c>
      <c r="BV71" s="237">
        <f t="shared" si="27"/>
        <v>0</v>
      </c>
      <c r="BW71" s="210"/>
      <c r="BX71" s="237">
        <f t="shared" si="28"/>
        <v>0</v>
      </c>
      <c r="BY71" s="236">
        <v>35</v>
      </c>
      <c r="BZ71" s="237">
        <f t="shared" si="29"/>
        <v>48</v>
      </c>
      <c r="CA71" s="253">
        <f t="shared" si="30"/>
        <v>3.0748170731707316</v>
      </c>
      <c r="CB71" s="253" cm="1">
        <f t="array" ref="CB71">$BC71 * SUMPRODUCT(INDEX($AL$77:$AN$82,,$AE71),INDEX($AO$77:$AU$82,,$AD71), N($AK$77:$AK$82&gt;$AI71)) / CA71 / 1000</f>
        <v>0</v>
      </c>
      <c r="CC71" s="250">
        <f t="shared" si="31"/>
        <v>30</v>
      </c>
      <c r="CD71" s="237">
        <f t="shared" si="32"/>
        <v>43</v>
      </c>
      <c r="CE71" s="253">
        <f t="shared" si="33"/>
        <v>3.5018750000000001</v>
      </c>
      <c r="CF71" s="253" cm="1">
        <f t="array" ref="CF71">$BC71 * IF($AD71&lt;=2,
SUMPRODUCT(INDEX($AL$72:$AN$76,,$AE71), INDEX($AO$72:$AU$76,,$AD71), 1 / ($AV$72:$AV$76*CE71 + (1-$AV$72:$AV$76)*CA71), N($AK$72:$AK$76&gt;$AI71)),
SUMPRODUCT(INDEX($AL$67:$AN$76,,$AE71), INDEX($AO$67:$AU$76,,$AD71), 1 / ($AW$67:$AW$76*CE71 + (1-$AW$67:$AW$76)*CA71), N($AK$67:$AK$76&gt;$AI71))
) / 1000</f>
        <v>0</v>
      </c>
      <c r="CG71" s="250">
        <f t="shared" si="34"/>
        <v>25</v>
      </c>
      <c r="CH71" s="237">
        <f t="shared" si="35"/>
        <v>38</v>
      </c>
      <c r="CI71" s="253">
        <f t="shared" si="36"/>
        <v>4.0666935483870965</v>
      </c>
      <c r="CJ71" s="253" cm="1">
        <f t="array" ref="CJ71">$BC71 * IF($AD71&lt;=2,
SUMPRODUCT(INDEX($AL$67:$AN$71,,$AE71), INDEX($AO$67:$AU$71,,$AD71), 1 / ($AV$67:$AV$71*CI71 + (1-$AV$67:$AV$71)*CE71), N($AK$67:$AK$71&gt;$AI71)),
SUMPRODUCT(INDEX($AL$57:$AN$66,,$AE71), INDEX($AO$57:$AU$66,,$AD71), 1 / ($AW$57:$AW$66*CI71 + (1-$AW$57:$AW$66)*CE71), N($AK$57:$AK$66&gt;$AI71))
) / 1000</f>
        <v>0</v>
      </c>
      <c r="CK71" s="250">
        <f t="shared" si="37"/>
        <v>20</v>
      </c>
      <c r="CL71" s="237">
        <f t="shared" si="38"/>
        <v>33</v>
      </c>
      <c r="CM71" s="253">
        <f t="shared" si="39"/>
        <v>4.8487499999999999</v>
      </c>
      <c r="CN71" s="253" cm="1">
        <f t="array" ref="CN71">$BC71 * IF($AD71&lt;=2,
SUMPRODUCT(INDEX($AL$62:$AN$66,,$AE71), INDEX($AO$62:$AU$66,,$AD71), 1 / ($AV$62:$AV$66*CM71 + (1-$AV$62:$AV$66)*CI71), N($AK$62:$AK$66&gt;$AI71)),
SUMPRODUCT(INDEX($AL$47:$AN$56,,$AE71), INDEX($AO$47:$AU$56,,$AD71), 1 / ($AW$47:$AW$56*CM71 + (1-$AW$47:$AW$56)*CI71), N($AK$47:$AK$56&gt;$AI71))
) / 1000</f>
        <v>0</v>
      </c>
      <c r="CO71" s="253" cm="1">
        <f t="array" ref="CO71">$BC71 * IF($AD71&lt;=2,
SUMPRODUCT(INDEX($AL$23:$AN$61,,$AE71), INDEX($AO$23:$AU$61,,$AD71), 1 / ($AV$23:$AV$61*CM71), N($AK$23:$AK$61&gt;$AI71)),
SUMPRODUCT(INDEX($AL$23:$AN$46,,$AE71), INDEX($AO$23:$AU$46,,$AD71), 1 / ($AW$23:$AW$46*CM71), N($AK$23:$AK$46&gt;$AI71))
) / 1000</f>
        <v>0</v>
      </c>
      <c r="CP71" s="237">
        <f t="shared" si="40"/>
        <v>0</v>
      </c>
      <c r="CQ71" s="210"/>
    </row>
    <row r="72" spans="1:95" s="76" customFormat="1" ht="14.25" customHeight="1" x14ac:dyDescent="0.25">
      <c r="A72" s="238" t="b">
        <f t="shared" si="0"/>
        <v>0</v>
      </c>
      <c r="B72" s="239">
        <v>50</v>
      </c>
      <c r="C72" s="258"/>
      <c r="D72" s="258"/>
      <c r="E72" s="240"/>
      <c r="F72" s="241" t="str">
        <f>IF(ISBLANK(E72), "", VLOOKUP(E72, Z!$A$2:$C$4127, 3, FALSE))</f>
        <v/>
      </c>
      <c r="G72" s="242"/>
      <c r="H72" s="242"/>
      <c r="I72" s="243"/>
      <c r="J72" s="244"/>
      <c r="K72" s="259"/>
      <c r="L72" s="260"/>
      <c r="M72" s="247" t="str" cm="1">
        <f t="array" ref="M72">IF($K72&gt;0, INDEX(Clean,1+AG72,$C$1), "")</f>
        <v/>
      </c>
      <c r="N72" s="245"/>
      <c r="O72" s="245"/>
      <c r="P72" s="246"/>
      <c r="Q72" s="248">
        <f t="shared" si="6"/>
        <v>0</v>
      </c>
      <c r="R72" s="247" t="str" cm="1">
        <f t="array" ref="R72">IF($K72&gt;0, INDEX(Clean,1+AH72,$C$1), "")</f>
        <v/>
      </c>
      <c r="S72" s="245"/>
      <c r="T72" s="245"/>
      <c r="U72" s="246"/>
      <c r="V72" s="248">
        <f t="shared" si="7"/>
        <v>0</v>
      </c>
      <c r="W72" s="261"/>
      <c r="X72" s="258"/>
      <c r="Y72" s="240"/>
      <c r="Z72" s="241" t="str">
        <f>IF(ISBLANK(Y72), "", VLOOKUP(Y72, Z!$A$2:$C$4127, 3, FALSE))</f>
        <v/>
      </c>
      <c r="AA72" s="262"/>
      <c r="AB72" s="249">
        <f t="shared" si="8"/>
        <v>0</v>
      </c>
      <c r="AC72" s="210"/>
      <c r="AD72" s="236">
        <f t="shared" ref="AD72" si="182">IF(ISBLANK(H72), 1, IFERROR(MATCH(H72, INDEX(Use,,1), 0), IFERROR(MATCH(H72, INDEX(Use,,2), 0), MATCH(H72, INDEX(Use,,3), 0))))</f>
        <v>1</v>
      </c>
      <c r="AE72" s="236">
        <f t="shared" ref="AE72" si="183">IF(ISBLANK(G72), 1, IFERROR(MATCH(G72, INDEX(Loc,,1), 0), IFERROR(MATCH(G72, INDEX(Loc,,2), 0), MATCH(G72, INDEX(Loc,,3), 0))))</f>
        <v>1</v>
      </c>
      <c r="AF72" s="236">
        <f t="shared" ref="AF72" si="184">_xlfn.IFNA(IF(IFERROR(MATCH(I72, INDEX(Medium,,1), 0), IFERROR(MATCH(I72, INDEX(Medium,,2), 0), MATCH(I72, INDEX(Medium,,3), 0))) = 2, 1, 0), 0)</f>
        <v>0</v>
      </c>
      <c r="AG72" s="236">
        <v>1</v>
      </c>
      <c r="AH72" s="236">
        <v>0</v>
      </c>
      <c r="AI72" s="236">
        <f t="shared" si="4"/>
        <v>-100</v>
      </c>
      <c r="AJ72" s="210"/>
      <c r="AK72" s="236">
        <v>30</v>
      </c>
      <c r="AL72" s="250">
        <v>22</v>
      </c>
      <c r="AM72" s="250">
        <v>23</v>
      </c>
      <c r="AN72" s="250">
        <v>16</v>
      </c>
      <c r="AO72" s="251">
        <f t="shared" si="5"/>
        <v>0.6875</v>
      </c>
      <c r="AP72" s="251">
        <f t="shared" si="5"/>
        <v>0.6875</v>
      </c>
      <c r="AQ72" s="251" cm="1">
        <f t="array" ref="AQ72">MIN(INDEX(Use,AQ$21,5) + MAX(0, (1-INDEX(Use,AQ$21,5))*($AK72-5)/(35-5)), 1)</f>
        <v>0.9</v>
      </c>
      <c r="AR72" s="251" cm="1">
        <f t="array" ref="AR72">MIN(INDEX(Use,AR$21,5) + MAX(0, (1-INDEX(Use,AR$21,5))*($AK72-5)/(35-5)), 1)</f>
        <v>0.93333333333333335</v>
      </c>
      <c r="AS72" s="251" cm="1">
        <f t="array" ref="AS72">MIN(INDEX(Use,AS$21,5) + MAX(0, (1-INDEX(Use,AS$21,5))*($AK72-5)/(35-5)), 1)</f>
        <v>0.96666666666666667</v>
      </c>
      <c r="AT72" s="251" cm="1">
        <f t="array" ref="AT72">MIN(INDEX(Use,AT$21,5) + MAX(0, (1-INDEX(Use,AT$21,5))*($AK72-5)/(35-5)), 1)</f>
        <v>0.96666666666666667</v>
      </c>
      <c r="AU72" s="251" cm="1">
        <f t="array" ref="AU72">MIN(INDEX(Use,AU$21,5) + MAX(0, (1-INDEX(Use,AU$21,5))*($AK72-5)/(35-5)), 1)</f>
        <v>0.96666666666666667</v>
      </c>
      <c r="AV72" s="251">
        <v>1</v>
      </c>
      <c r="AW72" s="251">
        <v>0.5</v>
      </c>
      <c r="AX72" s="212"/>
      <c r="AY72" s="236" cm="1">
        <f t="array" ref="AY72">INDEX(Use, $AD72, 4)</f>
        <v>7</v>
      </c>
      <c r="AZ72" s="236">
        <f t="shared" si="12"/>
        <v>32</v>
      </c>
      <c r="BA72" s="236">
        <f t="shared" si="13"/>
        <v>13</v>
      </c>
      <c r="BB72" s="236">
        <f t="shared" si="14"/>
        <v>0</v>
      </c>
      <c r="BC72" s="252" cm="1">
        <f t="array" ref="BC72">K72/IF($L72&gt;0, INDEX($AO$23:$AU$77, $L72+20, $AD72), 1)</f>
        <v>0</v>
      </c>
      <c r="BD72" s="237">
        <f t="shared" si="15"/>
        <v>0</v>
      </c>
      <c r="BE72" s="236">
        <v>35</v>
      </c>
      <c r="BF72" s="237">
        <f t="shared" si="16"/>
        <v>52.55</v>
      </c>
      <c r="BG72" s="253">
        <f t="shared" si="17"/>
        <v>2.7676728869374316</v>
      </c>
      <c r="BH72" s="253" cm="1">
        <f t="array" ref="BH72">$BC72 * SUMPRODUCT(INDEX($AL$77:$AN$82,,$AE72),INDEX($AO$77:$AU$82,,$AD72), N($AK$77:$AK$82&gt;$AI72)) / BG72 / 1000</f>
        <v>0</v>
      </c>
      <c r="BI72" s="250">
        <f t="shared" si="18"/>
        <v>30</v>
      </c>
      <c r="BJ72" s="237">
        <f t="shared" si="19"/>
        <v>46.033333333333331</v>
      </c>
      <c r="BK72" s="253">
        <f t="shared" si="20"/>
        <v>3.2297395388556791</v>
      </c>
      <c r="BL72" s="253" cm="1">
        <f t="array" ref="BL72">$BC72 * IF($AD72&lt;=2,
SUMPRODUCT(INDEX($AL$72:$AN$76,,$AE72), INDEX($AO$72:$AU$76,,$AD72), 1 / ($AV$72:$AV$76*BK72 + (1-$AV$72:$AV$76)*BG72), N($AK$72:$AK$76&gt;$AI72)),
SUMPRODUCT(INDEX($AL$67:$AN$76,,$AE72), INDEX($AO$67:$AU$76,,$AD72), 1 / ($AW$67:$AW$76*BK72 + (1-$AW$67:$AW$76)*BG72), N($AK$67:$AK$76&gt;$AI72))
) / 1000</f>
        <v>0</v>
      </c>
      <c r="BM72" s="250">
        <f t="shared" si="21"/>
        <v>25</v>
      </c>
      <c r="BN72" s="237">
        <f t="shared" si="22"/>
        <v>39.516666666666666</v>
      </c>
      <c r="BO72" s="253">
        <f t="shared" si="23"/>
        <v>3.877011788826243</v>
      </c>
      <c r="BP72" s="253" cm="1">
        <f t="array" ref="BP72">$BC72 * IF($AD72&lt;=2,
SUMPRODUCT(INDEX($AL$67:$AN$71,,$AE72), INDEX($AO$67:$AU$71,,$AD72), 1 / ($AV$67:$AV$71*BO72 + (1-$AV$67:$AV$71)*BK72), N($AK$67:$AK$71&gt;$AI72)),
SUMPRODUCT(INDEX($AL$57:$AN$66,,$AE72), INDEX($AO$57:$AU$66,,$AD72), 1 / ($AW$57:$AW$66*BO72 + (1-$AW$57:$AW$66)*BK72), N($AK$57:$AK$66&gt;$AI72))
) / 1000</f>
        <v>0</v>
      </c>
      <c r="BQ72" s="250">
        <f t="shared" si="24"/>
        <v>20</v>
      </c>
      <c r="BR72" s="237">
        <f t="shared" si="25"/>
        <v>33</v>
      </c>
      <c r="BS72" s="253">
        <f t="shared" si="26"/>
        <v>4.8487499999999999</v>
      </c>
      <c r="BT72" s="253" cm="1">
        <f t="array" ref="BT72">$BC72 * IF($AD72&lt;=2,
SUMPRODUCT(INDEX($AL$62:$AN$66,,$AE72), INDEX($AO$62:$AU$66,,$AD72), 1 / ($AV$62:$AV$66*BS72 + (1-$AV$62:$AV$66)*BO72), N($AK$62:$AK$66&gt;$AI72)),
SUMPRODUCT(INDEX($AL$47:$AN$56,,$AE72), INDEX($AO$47:$AU$56,,$AD72), 1 / ($AW$47:$AW$56*BS72 + (1-$AW$47:$AW$56)*BO72), N($AK$47:$AK$56&gt;$AI72))
) / 1000</f>
        <v>0</v>
      </c>
      <c r="BU72" s="253" cm="1">
        <f t="array" ref="BU72">$BC72 * IF($AD72&lt;=2,
SUMPRODUCT(INDEX($AL$23:$AN$61,,$AE72), INDEX($AO$23:$AU$61,,$AD72), 1 / ($AV$23:$AV$61*BS72), N($AK$23:$AK$61&gt;$AI72)),
SUMPRODUCT(INDEX($AL$23:$AN$46,,$AE72), INDEX($AO$23:$AU$46,,$AD72), 1 / ($AW$23:$AW$46*BS72), N($AK$23:$AK$46&gt;$AI72))
) / 1000</f>
        <v>0</v>
      </c>
      <c r="BV72" s="237">
        <f t="shared" si="27"/>
        <v>0</v>
      </c>
      <c r="BW72" s="210"/>
      <c r="BX72" s="237">
        <f t="shared" si="28"/>
        <v>0</v>
      </c>
      <c r="BY72" s="236">
        <v>35</v>
      </c>
      <c r="BZ72" s="237">
        <f t="shared" si="29"/>
        <v>48</v>
      </c>
      <c r="CA72" s="253">
        <f t="shared" si="30"/>
        <v>3.0748170731707316</v>
      </c>
      <c r="CB72" s="253" cm="1">
        <f t="array" ref="CB72">$BC72 * SUMPRODUCT(INDEX($AL$77:$AN$82,,$AE72),INDEX($AO$77:$AU$82,,$AD72), N($AK$77:$AK$82&gt;$AI72)) / CA72 / 1000</f>
        <v>0</v>
      </c>
      <c r="CC72" s="250">
        <f t="shared" si="31"/>
        <v>30</v>
      </c>
      <c r="CD72" s="237">
        <f t="shared" si="32"/>
        <v>43</v>
      </c>
      <c r="CE72" s="253">
        <f t="shared" si="33"/>
        <v>3.5018750000000001</v>
      </c>
      <c r="CF72" s="253" cm="1">
        <f t="array" ref="CF72">$BC72 * IF($AD72&lt;=2,
SUMPRODUCT(INDEX($AL$72:$AN$76,,$AE72), INDEX($AO$72:$AU$76,,$AD72), 1 / ($AV$72:$AV$76*CE72 + (1-$AV$72:$AV$76)*CA72), N($AK$72:$AK$76&gt;$AI72)),
SUMPRODUCT(INDEX($AL$67:$AN$76,,$AE72), INDEX($AO$67:$AU$76,,$AD72), 1 / ($AW$67:$AW$76*CE72 + (1-$AW$67:$AW$76)*CA72), N($AK$67:$AK$76&gt;$AI72))
) / 1000</f>
        <v>0</v>
      </c>
      <c r="CG72" s="250">
        <f t="shared" si="34"/>
        <v>25</v>
      </c>
      <c r="CH72" s="237">
        <f t="shared" si="35"/>
        <v>38</v>
      </c>
      <c r="CI72" s="253">
        <f t="shared" si="36"/>
        <v>4.0666935483870965</v>
      </c>
      <c r="CJ72" s="253" cm="1">
        <f t="array" ref="CJ72">$BC72 * IF($AD72&lt;=2,
SUMPRODUCT(INDEX($AL$67:$AN$71,,$AE72), INDEX($AO$67:$AU$71,,$AD72), 1 / ($AV$67:$AV$71*CI72 + (1-$AV$67:$AV$71)*CE72), N($AK$67:$AK$71&gt;$AI72)),
SUMPRODUCT(INDEX($AL$57:$AN$66,,$AE72), INDEX($AO$57:$AU$66,,$AD72), 1 / ($AW$57:$AW$66*CI72 + (1-$AW$57:$AW$66)*CE72), N($AK$57:$AK$66&gt;$AI72))
) / 1000</f>
        <v>0</v>
      </c>
      <c r="CK72" s="250">
        <f t="shared" si="37"/>
        <v>20</v>
      </c>
      <c r="CL72" s="237">
        <f t="shared" si="38"/>
        <v>33</v>
      </c>
      <c r="CM72" s="253">
        <f t="shared" si="39"/>
        <v>4.8487499999999999</v>
      </c>
      <c r="CN72" s="253" cm="1">
        <f t="array" ref="CN72">$BC72 * IF($AD72&lt;=2,
SUMPRODUCT(INDEX($AL$62:$AN$66,,$AE72), INDEX($AO$62:$AU$66,,$AD72), 1 / ($AV$62:$AV$66*CM72 + (1-$AV$62:$AV$66)*CI72), N($AK$62:$AK$66&gt;$AI72)),
SUMPRODUCT(INDEX($AL$47:$AN$56,,$AE72), INDEX($AO$47:$AU$56,,$AD72), 1 / ($AW$47:$AW$56*CM72 + (1-$AW$47:$AW$56)*CI72), N($AK$47:$AK$56&gt;$AI72))
) / 1000</f>
        <v>0</v>
      </c>
      <c r="CO72" s="253" cm="1">
        <f t="array" ref="CO72">$BC72 * IF($AD72&lt;=2,
SUMPRODUCT(INDEX($AL$23:$AN$61,,$AE72), INDEX($AO$23:$AU$61,,$AD72), 1 / ($AV$23:$AV$61*CM72), N($AK$23:$AK$61&gt;$AI72)),
SUMPRODUCT(INDEX($AL$23:$AN$46,,$AE72), INDEX($AO$23:$AU$46,,$AD72), 1 / ($AW$23:$AW$46*CM72), N($AK$23:$AK$46&gt;$AI72))
) / 1000</f>
        <v>0</v>
      </c>
      <c r="CP72" s="237">
        <f t="shared" si="40"/>
        <v>0</v>
      </c>
      <c r="CQ72" s="210"/>
    </row>
    <row r="73" spans="1:95" s="76" customFormat="1" ht="14.25" customHeight="1" x14ac:dyDescent="0.25">
      <c r="A73" s="238" t="b">
        <f t="shared" si="0"/>
        <v>0</v>
      </c>
      <c r="B73" s="239">
        <v>51</v>
      </c>
      <c r="C73" s="258"/>
      <c r="D73" s="258"/>
      <c r="E73" s="240"/>
      <c r="F73" s="241" t="str">
        <f>IF(ISBLANK(E73), "", VLOOKUP(E73, Z!$A$2:$C$4127, 3, FALSE))</f>
        <v/>
      </c>
      <c r="G73" s="242"/>
      <c r="H73" s="242"/>
      <c r="I73" s="243"/>
      <c r="J73" s="244"/>
      <c r="K73" s="259"/>
      <c r="L73" s="260"/>
      <c r="M73" s="247" t="str" cm="1">
        <f t="array" ref="M73">IF($K73&gt;0, INDEX(Clean,1+AG73,$C$1), "")</f>
        <v/>
      </c>
      <c r="N73" s="245"/>
      <c r="O73" s="245"/>
      <c r="P73" s="246"/>
      <c r="Q73" s="248">
        <f t="shared" si="6"/>
        <v>0</v>
      </c>
      <c r="R73" s="247" t="str" cm="1">
        <f t="array" ref="R73">IF($K73&gt;0, INDEX(Clean,1+AH73,$C$1), "")</f>
        <v/>
      </c>
      <c r="S73" s="245"/>
      <c r="T73" s="245"/>
      <c r="U73" s="246"/>
      <c r="V73" s="248">
        <f t="shared" si="7"/>
        <v>0</v>
      </c>
      <c r="W73" s="261"/>
      <c r="X73" s="258"/>
      <c r="Y73" s="240"/>
      <c r="Z73" s="241" t="str">
        <f>IF(ISBLANK(Y73), "", VLOOKUP(Y73, Z!$A$2:$C$4127, 3, FALSE))</f>
        <v/>
      </c>
      <c r="AA73" s="262"/>
      <c r="AB73" s="249">
        <f t="shared" si="8"/>
        <v>0</v>
      </c>
      <c r="AC73" s="210"/>
      <c r="AD73" s="236">
        <f t="shared" ref="AD73" si="185">IF(ISBLANK(H73), 1, IFERROR(MATCH(H73, INDEX(Use,,1), 0), IFERROR(MATCH(H73, INDEX(Use,,2), 0), MATCH(H73, INDEX(Use,,3), 0))))</f>
        <v>1</v>
      </c>
      <c r="AE73" s="236">
        <f t="shared" ref="AE73" si="186">IF(ISBLANK(G73), 1, IFERROR(MATCH(G73, INDEX(Loc,,1), 0), IFERROR(MATCH(G73, INDEX(Loc,,2), 0), MATCH(G73, INDEX(Loc,,3), 0))))</f>
        <v>1</v>
      </c>
      <c r="AF73" s="236">
        <f t="shared" ref="AF73" si="187">_xlfn.IFNA(IF(IFERROR(MATCH(I73, INDEX(Medium,,1), 0), IFERROR(MATCH(I73, INDEX(Medium,,2), 0), MATCH(I73, INDEX(Medium,,3), 0))) = 2, 1, 0), 0)</f>
        <v>0</v>
      </c>
      <c r="AG73" s="236">
        <v>1</v>
      </c>
      <c r="AH73" s="236">
        <v>0</v>
      </c>
      <c r="AI73" s="236">
        <f t="shared" si="4"/>
        <v>-100</v>
      </c>
      <c r="AJ73" s="210"/>
      <c r="AK73" s="236">
        <v>31</v>
      </c>
      <c r="AL73" s="250">
        <v>17</v>
      </c>
      <c r="AM73" s="250">
        <v>19</v>
      </c>
      <c r="AN73" s="250">
        <v>6</v>
      </c>
      <c r="AO73" s="251">
        <f t="shared" si="5"/>
        <v>0.75</v>
      </c>
      <c r="AP73" s="251">
        <f t="shared" si="5"/>
        <v>0.75</v>
      </c>
      <c r="AQ73" s="251" cm="1">
        <f t="array" ref="AQ73">MIN(INDEX(Use,AQ$21,5) + MAX(0, (1-INDEX(Use,AQ$21,5))*($AK73-5)/(35-5)), 1)</f>
        <v>0.92</v>
      </c>
      <c r="AR73" s="251" cm="1">
        <f t="array" ref="AR73">MIN(INDEX(Use,AR$21,5) + MAX(0, (1-INDEX(Use,AR$21,5))*($AK73-5)/(35-5)), 1)</f>
        <v>0.94666666666666666</v>
      </c>
      <c r="AS73" s="251" cm="1">
        <f t="array" ref="AS73">MIN(INDEX(Use,AS$21,5) + MAX(0, (1-INDEX(Use,AS$21,5))*($AK73-5)/(35-5)), 1)</f>
        <v>0.97333333333333338</v>
      </c>
      <c r="AT73" s="251" cm="1">
        <f t="array" ref="AT73">MIN(INDEX(Use,AT$21,5) + MAX(0, (1-INDEX(Use,AT$21,5))*($AK73-5)/(35-5)), 1)</f>
        <v>0.97333333333333338</v>
      </c>
      <c r="AU73" s="251" cm="1">
        <f t="array" ref="AU73">MIN(INDEX(Use,AU$21,5) + MAX(0, (1-INDEX(Use,AU$21,5))*($AK73-5)/(35-5)), 1)</f>
        <v>0.97333333333333338</v>
      </c>
      <c r="AV73" s="251">
        <v>0.8</v>
      </c>
      <c r="AW73" s="251">
        <v>0.4</v>
      </c>
      <c r="AX73" s="212"/>
      <c r="AY73" s="236" cm="1">
        <f t="array" ref="AY73">INDEX(Use, $AD73, 4)</f>
        <v>7</v>
      </c>
      <c r="AZ73" s="236">
        <f t="shared" si="12"/>
        <v>32</v>
      </c>
      <c r="BA73" s="236">
        <f t="shared" si="13"/>
        <v>13</v>
      </c>
      <c r="BB73" s="236">
        <f t="shared" si="14"/>
        <v>0</v>
      </c>
      <c r="BC73" s="252" cm="1">
        <f t="array" ref="BC73">K73/IF($L73&gt;0, INDEX($AO$23:$AU$77, $L73+20, $AD73), 1)</f>
        <v>0</v>
      </c>
      <c r="BD73" s="237">
        <f t="shared" si="15"/>
        <v>0</v>
      </c>
      <c r="BE73" s="236">
        <v>35</v>
      </c>
      <c r="BF73" s="237">
        <f t="shared" si="16"/>
        <v>52.55</v>
      </c>
      <c r="BG73" s="253">
        <f t="shared" si="17"/>
        <v>2.7676728869374316</v>
      </c>
      <c r="BH73" s="253" cm="1">
        <f t="array" ref="BH73">$BC73 * SUMPRODUCT(INDEX($AL$77:$AN$82,,$AE73),INDEX($AO$77:$AU$82,,$AD73), N($AK$77:$AK$82&gt;$AI73)) / BG73 / 1000</f>
        <v>0</v>
      </c>
      <c r="BI73" s="250">
        <f t="shared" si="18"/>
        <v>30</v>
      </c>
      <c r="BJ73" s="237">
        <f t="shared" si="19"/>
        <v>46.033333333333331</v>
      </c>
      <c r="BK73" s="253">
        <f t="shared" si="20"/>
        <v>3.2297395388556791</v>
      </c>
      <c r="BL73" s="253" cm="1">
        <f t="array" ref="BL73">$BC73 * IF($AD73&lt;=2,
SUMPRODUCT(INDEX($AL$72:$AN$76,,$AE73), INDEX($AO$72:$AU$76,,$AD73), 1 / ($AV$72:$AV$76*BK73 + (1-$AV$72:$AV$76)*BG73), N($AK$72:$AK$76&gt;$AI73)),
SUMPRODUCT(INDEX($AL$67:$AN$76,,$AE73), INDEX($AO$67:$AU$76,,$AD73), 1 / ($AW$67:$AW$76*BK73 + (1-$AW$67:$AW$76)*BG73), N($AK$67:$AK$76&gt;$AI73))
) / 1000</f>
        <v>0</v>
      </c>
      <c r="BM73" s="250">
        <f t="shared" si="21"/>
        <v>25</v>
      </c>
      <c r="BN73" s="237">
        <f t="shared" si="22"/>
        <v>39.516666666666666</v>
      </c>
      <c r="BO73" s="253">
        <f t="shared" si="23"/>
        <v>3.877011788826243</v>
      </c>
      <c r="BP73" s="253" cm="1">
        <f t="array" ref="BP73">$BC73 * IF($AD73&lt;=2,
SUMPRODUCT(INDEX($AL$67:$AN$71,,$AE73), INDEX($AO$67:$AU$71,,$AD73), 1 / ($AV$67:$AV$71*BO73 + (1-$AV$67:$AV$71)*BK73), N($AK$67:$AK$71&gt;$AI73)),
SUMPRODUCT(INDEX($AL$57:$AN$66,,$AE73), INDEX($AO$57:$AU$66,,$AD73), 1 / ($AW$57:$AW$66*BO73 + (1-$AW$57:$AW$66)*BK73), N($AK$57:$AK$66&gt;$AI73))
) / 1000</f>
        <v>0</v>
      </c>
      <c r="BQ73" s="250">
        <f t="shared" si="24"/>
        <v>20</v>
      </c>
      <c r="BR73" s="237">
        <f t="shared" si="25"/>
        <v>33</v>
      </c>
      <c r="BS73" s="253">
        <f t="shared" si="26"/>
        <v>4.8487499999999999</v>
      </c>
      <c r="BT73" s="253" cm="1">
        <f t="array" ref="BT73">$BC73 * IF($AD73&lt;=2,
SUMPRODUCT(INDEX($AL$62:$AN$66,,$AE73), INDEX($AO$62:$AU$66,,$AD73), 1 / ($AV$62:$AV$66*BS73 + (1-$AV$62:$AV$66)*BO73), N($AK$62:$AK$66&gt;$AI73)),
SUMPRODUCT(INDEX($AL$47:$AN$56,,$AE73), INDEX($AO$47:$AU$56,,$AD73), 1 / ($AW$47:$AW$56*BS73 + (1-$AW$47:$AW$56)*BO73), N($AK$47:$AK$56&gt;$AI73))
) / 1000</f>
        <v>0</v>
      </c>
      <c r="BU73" s="253" cm="1">
        <f t="array" ref="BU73">$BC73 * IF($AD73&lt;=2,
SUMPRODUCT(INDEX($AL$23:$AN$61,,$AE73), INDEX($AO$23:$AU$61,,$AD73), 1 / ($AV$23:$AV$61*BS73), N($AK$23:$AK$61&gt;$AI73)),
SUMPRODUCT(INDEX($AL$23:$AN$46,,$AE73), INDEX($AO$23:$AU$46,,$AD73), 1 / ($AW$23:$AW$46*BS73), N($AK$23:$AK$46&gt;$AI73))
) / 1000</f>
        <v>0</v>
      </c>
      <c r="BV73" s="237">
        <f t="shared" si="27"/>
        <v>0</v>
      </c>
      <c r="BW73" s="210"/>
      <c r="BX73" s="237">
        <f t="shared" si="28"/>
        <v>0</v>
      </c>
      <c r="BY73" s="236">
        <v>35</v>
      </c>
      <c r="BZ73" s="237">
        <f t="shared" si="29"/>
        <v>48</v>
      </c>
      <c r="CA73" s="253">
        <f t="shared" si="30"/>
        <v>3.0748170731707316</v>
      </c>
      <c r="CB73" s="253" cm="1">
        <f t="array" ref="CB73">$BC73 * SUMPRODUCT(INDEX($AL$77:$AN$82,,$AE73),INDEX($AO$77:$AU$82,,$AD73), N($AK$77:$AK$82&gt;$AI73)) / CA73 / 1000</f>
        <v>0</v>
      </c>
      <c r="CC73" s="250">
        <f t="shared" si="31"/>
        <v>30</v>
      </c>
      <c r="CD73" s="237">
        <f t="shared" si="32"/>
        <v>43</v>
      </c>
      <c r="CE73" s="253">
        <f t="shared" si="33"/>
        <v>3.5018750000000001</v>
      </c>
      <c r="CF73" s="253" cm="1">
        <f t="array" ref="CF73">$BC73 * IF($AD73&lt;=2,
SUMPRODUCT(INDEX($AL$72:$AN$76,,$AE73), INDEX($AO$72:$AU$76,,$AD73), 1 / ($AV$72:$AV$76*CE73 + (1-$AV$72:$AV$76)*CA73), N($AK$72:$AK$76&gt;$AI73)),
SUMPRODUCT(INDEX($AL$67:$AN$76,,$AE73), INDEX($AO$67:$AU$76,,$AD73), 1 / ($AW$67:$AW$76*CE73 + (1-$AW$67:$AW$76)*CA73), N($AK$67:$AK$76&gt;$AI73))
) / 1000</f>
        <v>0</v>
      </c>
      <c r="CG73" s="250">
        <f t="shared" si="34"/>
        <v>25</v>
      </c>
      <c r="CH73" s="237">
        <f t="shared" si="35"/>
        <v>38</v>
      </c>
      <c r="CI73" s="253">
        <f t="shared" si="36"/>
        <v>4.0666935483870965</v>
      </c>
      <c r="CJ73" s="253" cm="1">
        <f t="array" ref="CJ73">$BC73 * IF($AD73&lt;=2,
SUMPRODUCT(INDEX($AL$67:$AN$71,,$AE73), INDEX($AO$67:$AU$71,,$AD73), 1 / ($AV$67:$AV$71*CI73 + (1-$AV$67:$AV$71)*CE73), N($AK$67:$AK$71&gt;$AI73)),
SUMPRODUCT(INDEX($AL$57:$AN$66,,$AE73), INDEX($AO$57:$AU$66,,$AD73), 1 / ($AW$57:$AW$66*CI73 + (1-$AW$57:$AW$66)*CE73), N($AK$57:$AK$66&gt;$AI73))
) / 1000</f>
        <v>0</v>
      </c>
      <c r="CK73" s="250">
        <f t="shared" si="37"/>
        <v>20</v>
      </c>
      <c r="CL73" s="237">
        <f t="shared" si="38"/>
        <v>33</v>
      </c>
      <c r="CM73" s="253">
        <f t="shared" si="39"/>
        <v>4.8487499999999999</v>
      </c>
      <c r="CN73" s="253" cm="1">
        <f t="array" ref="CN73">$BC73 * IF($AD73&lt;=2,
SUMPRODUCT(INDEX($AL$62:$AN$66,,$AE73), INDEX($AO$62:$AU$66,,$AD73), 1 / ($AV$62:$AV$66*CM73 + (1-$AV$62:$AV$66)*CI73), N($AK$62:$AK$66&gt;$AI73)),
SUMPRODUCT(INDEX($AL$47:$AN$56,,$AE73), INDEX($AO$47:$AU$56,,$AD73), 1 / ($AW$47:$AW$56*CM73 + (1-$AW$47:$AW$56)*CI73), N($AK$47:$AK$56&gt;$AI73))
) / 1000</f>
        <v>0</v>
      </c>
      <c r="CO73" s="253" cm="1">
        <f t="array" ref="CO73">$BC73 * IF($AD73&lt;=2,
SUMPRODUCT(INDEX($AL$23:$AN$61,,$AE73), INDEX($AO$23:$AU$61,,$AD73), 1 / ($AV$23:$AV$61*CM73), N($AK$23:$AK$61&gt;$AI73)),
SUMPRODUCT(INDEX($AL$23:$AN$46,,$AE73), INDEX($AO$23:$AU$46,,$AD73), 1 / ($AW$23:$AW$46*CM73), N($AK$23:$AK$46&gt;$AI73))
) / 1000</f>
        <v>0</v>
      </c>
      <c r="CP73" s="237">
        <f t="shared" si="40"/>
        <v>0</v>
      </c>
      <c r="CQ73" s="210"/>
    </row>
    <row r="74" spans="1:95" s="76" customFormat="1" ht="14.25" customHeight="1" x14ac:dyDescent="0.25">
      <c r="A74" s="238" t="b">
        <f t="shared" si="0"/>
        <v>0</v>
      </c>
      <c r="B74" s="239">
        <v>52</v>
      </c>
      <c r="C74" s="258"/>
      <c r="D74" s="258"/>
      <c r="E74" s="240"/>
      <c r="F74" s="241" t="str">
        <f>IF(ISBLANK(E74), "", VLOOKUP(E74, Z!$A$2:$C$4127, 3, FALSE))</f>
        <v/>
      </c>
      <c r="G74" s="242"/>
      <c r="H74" s="242"/>
      <c r="I74" s="243"/>
      <c r="J74" s="244"/>
      <c r="K74" s="259"/>
      <c r="L74" s="260"/>
      <c r="M74" s="247" t="str" cm="1">
        <f t="array" ref="M74">IF($K74&gt;0, INDEX(Clean,1+AG74,$C$1), "")</f>
        <v/>
      </c>
      <c r="N74" s="245"/>
      <c r="O74" s="245"/>
      <c r="P74" s="246"/>
      <c r="Q74" s="248">
        <f t="shared" si="6"/>
        <v>0</v>
      </c>
      <c r="R74" s="247" t="str" cm="1">
        <f t="array" ref="R74">IF($K74&gt;0, INDEX(Clean,1+AH74,$C$1), "")</f>
        <v/>
      </c>
      <c r="S74" s="245"/>
      <c r="T74" s="245"/>
      <c r="U74" s="246"/>
      <c r="V74" s="248">
        <f t="shared" si="7"/>
        <v>0</v>
      </c>
      <c r="W74" s="261"/>
      <c r="X74" s="258"/>
      <c r="Y74" s="240"/>
      <c r="Z74" s="241" t="str">
        <f>IF(ISBLANK(Y74), "", VLOOKUP(Y74, Z!$A$2:$C$4127, 3, FALSE))</f>
        <v/>
      </c>
      <c r="AA74" s="262"/>
      <c r="AB74" s="249">
        <f t="shared" si="8"/>
        <v>0</v>
      </c>
      <c r="AC74" s="210"/>
      <c r="AD74" s="236">
        <f t="shared" ref="AD74" si="188">IF(ISBLANK(H74), 1, IFERROR(MATCH(H74, INDEX(Use,,1), 0), IFERROR(MATCH(H74, INDEX(Use,,2), 0), MATCH(H74, INDEX(Use,,3), 0))))</f>
        <v>1</v>
      </c>
      <c r="AE74" s="236">
        <f t="shared" ref="AE74" si="189">IF(ISBLANK(G74), 1, IFERROR(MATCH(G74, INDEX(Loc,,1), 0), IFERROR(MATCH(G74, INDEX(Loc,,2), 0), MATCH(G74, INDEX(Loc,,3), 0))))</f>
        <v>1</v>
      </c>
      <c r="AF74" s="236">
        <f t="shared" ref="AF74" si="190">_xlfn.IFNA(IF(IFERROR(MATCH(I74, INDEX(Medium,,1), 0), IFERROR(MATCH(I74, INDEX(Medium,,2), 0), MATCH(I74, INDEX(Medium,,3), 0))) = 2, 1, 0), 0)</f>
        <v>0</v>
      </c>
      <c r="AG74" s="236">
        <v>1</v>
      </c>
      <c r="AH74" s="236">
        <v>0</v>
      </c>
      <c r="AI74" s="236">
        <f t="shared" si="4"/>
        <v>-100</v>
      </c>
      <c r="AJ74" s="210"/>
      <c r="AK74" s="236">
        <v>32</v>
      </c>
      <c r="AL74" s="250">
        <v>6</v>
      </c>
      <c r="AM74" s="250">
        <v>10</v>
      </c>
      <c r="AN74" s="250">
        <v>2</v>
      </c>
      <c r="AO74" s="251">
        <f t="shared" si="5"/>
        <v>0.8125</v>
      </c>
      <c r="AP74" s="251">
        <f t="shared" si="5"/>
        <v>0.8125</v>
      </c>
      <c r="AQ74" s="251" cm="1">
        <f t="array" ref="AQ74">MIN(INDEX(Use,AQ$21,5) + MAX(0, (1-INDEX(Use,AQ$21,5))*($AK74-5)/(35-5)), 1)</f>
        <v>0.94</v>
      </c>
      <c r="AR74" s="251" cm="1">
        <f t="array" ref="AR74">MIN(INDEX(Use,AR$21,5) + MAX(0, (1-INDEX(Use,AR$21,5))*($AK74-5)/(35-5)), 1)</f>
        <v>0.96</v>
      </c>
      <c r="AS74" s="251" cm="1">
        <f t="array" ref="AS74">MIN(INDEX(Use,AS$21,5) + MAX(0, (1-INDEX(Use,AS$21,5))*($AK74-5)/(35-5)), 1)</f>
        <v>0.98</v>
      </c>
      <c r="AT74" s="251" cm="1">
        <f t="array" ref="AT74">MIN(INDEX(Use,AT$21,5) + MAX(0, (1-INDEX(Use,AT$21,5))*($AK74-5)/(35-5)), 1)</f>
        <v>0.98</v>
      </c>
      <c r="AU74" s="251" cm="1">
        <f t="array" ref="AU74">MIN(INDEX(Use,AU$21,5) + MAX(0, (1-INDEX(Use,AU$21,5))*($AK74-5)/(35-5)), 1)</f>
        <v>0.98</v>
      </c>
      <c r="AV74" s="251">
        <v>0.6</v>
      </c>
      <c r="AW74" s="251">
        <v>0.3</v>
      </c>
      <c r="AX74" s="212"/>
      <c r="AY74" s="236" cm="1">
        <f t="array" ref="AY74">INDEX(Use, $AD74, 4)</f>
        <v>7</v>
      </c>
      <c r="AZ74" s="236">
        <f t="shared" si="12"/>
        <v>32</v>
      </c>
      <c r="BA74" s="236">
        <f t="shared" si="13"/>
        <v>13</v>
      </c>
      <c r="BB74" s="236">
        <f t="shared" si="14"/>
        <v>0</v>
      </c>
      <c r="BC74" s="252" cm="1">
        <f t="array" ref="BC74">K74/IF($L74&gt;0, INDEX($AO$23:$AU$77, $L74+20, $AD74), 1)</f>
        <v>0</v>
      </c>
      <c r="BD74" s="237">
        <f t="shared" si="15"/>
        <v>0</v>
      </c>
      <c r="BE74" s="236">
        <v>35</v>
      </c>
      <c r="BF74" s="237">
        <f t="shared" si="16"/>
        <v>52.55</v>
      </c>
      <c r="BG74" s="253">
        <f t="shared" si="17"/>
        <v>2.7676728869374316</v>
      </c>
      <c r="BH74" s="253" cm="1">
        <f t="array" ref="BH74">$BC74 * SUMPRODUCT(INDEX($AL$77:$AN$82,,$AE74),INDEX($AO$77:$AU$82,,$AD74), N($AK$77:$AK$82&gt;$AI74)) / BG74 / 1000</f>
        <v>0</v>
      </c>
      <c r="BI74" s="250">
        <f t="shared" si="18"/>
        <v>30</v>
      </c>
      <c r="BJ74" s="237">
        <f t="shared" si="19"/>
        <v>46.033333333333331</v>
      </c>
      <c r="BK74" s="253">
        <f t="shared" si="20"/>
        <v>3.2297395388556791</v>
      </c>
      <c r="BL74" s="253" cm="1">
        <f t="array" ref="BL74">$BC74 * IF($AD74&lt;=2,
SUMPRODUCT(INDEX($AL$72:$AN$76,,$AE74), INDEX($AO$72:$AU$76,,$AD74), 1 / ($AV$72:$AV$76*BK74 + (1-$AV$72:$AV$76)*BG74), N($AK$72:$AK$76&gt;$AI74)),
SUMPRODUCT(INDEX($AL$67:$AN$76,,$AE74), INDEX($AO$67:$AU$76,,$AD74), 1 / ($AW$67:$AW$76*BK74 + (1-$AW$67:$AW$76)*BG74), N($AK$67:$AK$76&gt;$AI74))
) / 1000</f>
        <v>0</v>
      </c>
      <c r="BM74" s="250">
        <f t="shared" si="21"/>
        <v>25</v>
      </c>
      <c r="BN74" s="237">
        <f t="shared" si="22"/>
        <v>39.516666666666666</v>
      </c>
      <c r="BO74" s="253">
        <f t="shared" si="23"/>
        <v>3.877011788826243</v>
      </c>
      <c r="BP74" s="253" cm="1">
        <f t="array" ref="BP74">$BC74 * IF($AD74&lt;=2,
SUMPRODUCT(INDEX($AL$67:$AN$71,,$AE74), INDEX($AO$67:$AU$71,,$AD74), 1 / ($AV$67:$AV$71*BO74 + (1-$AV$67:$AV$71)*BK74), N($AK$67:$AK$71&gt;$AI74)),
SUMPRODUCT(INDEX($AL$57:$AN$66,,$AE74), INDEX($AO$57:$AU$66,,$AD74), 1 / ($AW$57:$AW$66*BO74 + (1-$AW$57:$AW$66)*BK74), N($AK$57:$AK$66&gt;$AI74))
) / 1000</f>
        <v>0</v>
      </c>
      <c r="BQ74" s="250">
        <f t="shared" si="24"/>
        <v>20</v>
      </c>
      <c r="BR74" s="237">
        <f t="shared" si="25"/>
        <v>33</v>
      </c>
      <c r="BS74" s="253">
        <f t="shared" si="26"/>
        <v>4.8487499999999999</v>
      </c>
      <c r="BT74" s="253" cm="1">
        <f t="array" ref="BT74">$BC74 * IF($AD74&lt;=2,
SUMPRODUCT(INDEX($AL$62:$AN$66,,$AE74), INDEX($AO$62:$AU$66,,$AD74), 1 / ($AV$62:$AV$66*BS74 + (1-$AV$62:$AV$66)*BO74), N($AK$62:$AK$66&gt;$AI74)),
SUMPRODUCT(INDEX($AL$47:$AN$56,,$AE74), INDEX($AO$47:$AU$56,,$AD74), 1 / ($AW$47:$AW$56*BS74 + (1-$AW$47:$AW$56)*BO74), N($AK$47:$AK$56&gt;$AI74))
) / 1000</f>
        <v>0</v>
      </c>
      <c r="BU74" s="253" cm="1">
        <f t="array" ref="BU74">$BC74 * IF($AD74&lt;=2,
SUMPRODUCT(INDEX($AL$23:$AN$61,,$AE74), INDEX($AO$23:$AU$61,,$AD74), 1 / ($AV$23:$AV$61*BS74), N($AK$23:$AK$61&gt;$AI74)),
SUMPRODUCT(INDEX($AL$23:$AN$46,,$AE74), INDEX($AO$23:$AU$46,,$AD74), 1 / ($AW$23:$AW$46*BS74), N($AK$23:$AK$46&gt;$AI74))
) / 1000</f>
        <v>0</v>
      </c>
      <c r="BV74" s="237">
        <f t="shared" si="27"/>
        <v>0</v>
      </c>
      <c r="BW74" s="210"/>
      <c r="BX74" s="237">
        <f t="shared" si="28"/>
        <v>0</v>
      </c>
      <c r="BY74" s="236">
        <v>35</v>
      </c>
      <c r="BZ74" s="237">
        <f t="shared" si="29"/>
        <v>48</v>
      </c>
      <c r="CA74" s="253">
        <f t="shared" si="30"/>
        <v>3.0748170731707316</v>
      </c>
      <c r="CB74" s="253" cm="1">
        <f t="array" ref="CB74">$BC74 * SUMPRODUCT(INDEX($AL$77:$AN$82,,$AE74),INDEX($AO$77:$AU$82,,$AD74), N($AK$77:$AK$82&gt;$AI74)) / CA74 / 1000</f>
        <v>0</v>
      </c>
      <c r="CC74" s="250">
        <f t="shared" si="31"/>
        <v>30</v>
      </c>
      <c r="CD74" s="237">
        <f t="shared" si="32"/>
        <v>43</v>
      </c>
      <c r="CE74" s="253">
        <f t="shared" si="33"/>
        <v>3.5018750000000001</v>
      </c>
      <c r="CF74" s="253" cm="1">
        <f t="array" ref="CF74">$BC74 * IF($AD74&lt;=2,
SUMPRODUCT(INDEX($AL$72:$AN$76,,$AE74), INDEX($AO$72:$AU$76,,$AD74), 1 / ($AV$72:$AV$76*CE74 + (1-$AV$72:$AV$76)*CA74), N($AK$72:$AK$76&gt;$AI74)),
SUMPRODUCT(INDEX($AL$67:$AN$76,,$AE74), INDEX($AO$67:$AU$76,,$AD74), 1 / ($AW$67:$AW$76*CE74 + (1-$AW$67:$AW$76)*CA74), N($AK$67:$AK$76&gt;$AI74))
) / 1000</f>
        <v>0</v>
      </c>
      <c r="CG74" s="250">
        <f t="shared" si="34"/>
        <v>25</v>
      </c>
      <c r="CH74" s="237">
        <f t="shared" si="35"/>
        <v>38</v>
      </c>
      <c r="CI74" s="253">
        <f t="shared" si="36"/>
        <v>4.0666935483870965</v>
      </c>
      <c r="CJ74" s="253" cm="1">
        <f t="array" ref="CJ74">$BC74 * IF($AD74&lt;=2,
SUMPRODUCT(INDEX($AL$67:$AN$71,,$AE74), INDEX($AO$67:$AU$71,,$AD74), 1 / ($AV$67:$AV$71*CI74 + (1-$AV$67:$AV$71)*CE74), N($AK$67:$AK$71&gt;$AI74)),
SUMPRODUCT(INDEX($AL$57:$AN$66,,$AE74), INDEX($AO$57:$AU$66,,$AD74), 1 / ($AW$57:$AW$66*CI74 + (1-$AW$57:$AW$66)*CE74), N($AK$57:$AK$66&gt;$AI74))
) / 1000</f>
        <v>0</v>
      </c>
      <c r="CK74" s="250">
        <f t="shared" si="37"/>
        <v>20</v>
      </c>
      <c r="CL74" s="237">
        <f t="shared" si="38"/>
        <v>33</v>
      </c>
      <c r="CM74" s="253">
        <f t="shared" si="39"/>
        <v>4.8487499999999999</v>
      </c>
      <c r="CN74" s="253" cm="1">
        <f t="array" ref="CN74">$BC74 * IF($AD74&lt;=2,
SUMPRODUCT(INDEX($AL$62:$AN$66,,$AE74), INDEX($AO$62:$AU$66,,$AD74), 1 / ($AV$62:$AV$66*CM74 + (1-$AV$62:$AV$66)*CI74), N($AK$62:$AK$66&gt;$AI74)),
SUMPRODUCT(INDEX($AL$47:$AN$56,,$AE74), INDEX($AO$47:$AU$56,,$AD74), 1 / ($AW$47:$AW$56*CM74 + (1-$AW$47:$AW$56)*CI74), N($AK$47:$AK$56&gt;$AI74))
) / 1000</f>
        <v>0</v>
      </c>
      <c r="CO74" s="253" cm="1">
        <f t="array" ref="CO74">$BC74 * IF($AD74&lt;=2,
SUMPRODUCT(INDEX($AL$23:$AN$61,,$AE74), INDEX($AO$23:$AU$61,,$AD74), 1 / ($AV$23:$AV$61*CM74), N($AK$23:$AK$61&gt;$AI74)),
SUMPRODUCT(INDEX($AL$23:$AN$46,,$AE74), INDEX($AO$23:$AU$46,,$AD74), 1 / ($AW$23:$AW$46*CM74), N($AK$23:$AK$46&gt;$AI74))
) / 1000</f>
        <v>0</v>
      </c>
      <c r="CP74" s="237">
        <f t="shared" si="40"/>
        <v>0</v>
      </c>
      <c r="CQ74" s="210"/>
    </row>
    <row r="75" spans="1:95" s="76" customFormat="1" ht="14.25" customHeight="1" x14ac:dyDescent="0.25">
      <c r="A75" s="238" t="b">
        <f t="shared" si="0"/>
        <v>0</v>
      </c>
      <c r="B75" s="239">
        <v>53</v>
      </c>
      <c r="C75" s="258"/>
      <c r="D75" s="258"/>
      <c r="E75" s="240"/>
      <c r="F75" s="241" t="str">
        <f>IF(ISBLANK(E75), "", VLOOKUP(E75, Z!$A$2:$C$4127, 3, FALSE))</f>
        <v/>
      </c>
      <c r="G75" s="242"/>
      <c r="H75" s="242"/>
      <c r="I75" s="243"/>
      <c r="J75" s="244"/>
      <c r="K75" s="259"/>
      <c r="L75" s="260"/>
      <c r="M75" s="247" t="str" cm="1">
        <f t="array" ref="M75">IF($K75&gt;0, INDEX(Clean,1+AG75,$C$1), "")</f>
        <v/>
      </c>
      <c r="N75" s="245"/>
      <c r="O75" s="245"/>
      <c r="P75" s="246"/>
      <c r="Q75" s="248">
        <f t="shared" si="6"/>
        <v>0</v>
      </c>
      <c r="R75" s="247" t="str" cm="1">
        <f t="array" ref="R75">IF($K75&gt;0, INDEX(Clean,1+AH75,$C$1), "")</f>
        <v/>
      </c>
      <c r="S75" s="245"/>
      <c r="T75" s="245"/>
      <c r="U75" s="246"/>
      <c r="V75" s="248">
        <f t="shared" si="7"/>
        <v>0</v>
      </c>
      <c r="W75" s="261"/>
      <c r="X75" s="258"/>
      <c r="Y75" s="240"/>
      <c r="Z75" s="241" t="str">
        <f>IF(ISBLANK(Y75), "", VLOOKUP(Y75, Z!$A$2:$C$4127, 3, FALSE))</f>
        <v/>
      </c>
      <c r="AA75" s="262"/>
      <c r="AB75" s="249">
        <f t="shared" si="8"/>
        <v>0</v>
      </c>
      <c r="AC75" s="210"/>
      <c r="AD75" s="236">
        <f t="shared" ref="AD75" si="191">IF(ISBLANK(H75), 1, IFERROR(MATCH(H75, INDEX(Use,,1), 0), IFERROR(MATCH(H75, INDEX(Use,,2), 0), MATCH(H75, INDEX(Use,,3), 0))))</f>
        <v>1</v>
      </c>
      <c r="AE75" s="236">
        <f t="shared" ref="AE75" si="192">IF(ISBLANK(G75), 1, IFERROR(MATCH(G75, INDEX(Loc,,1), 0), IFERROR(MATCH(G75, INDEX(Loc,,2), 0), MATCH(G75, INDEX(Loc,,3), 0))))</f>
        <v>1</v>
      </c>
      <c r="AF75" s="236">
        <f t="shared" ref="AF75" si="193">_xlfn.IFNA(IF(IFERROR(MATCH(I75, INDEX(Medium,,1), 0), IFERROR(MATCH(I75, INDEX(Medium,,2), 0), MATCH(I75, INDEX(Medium,,3), 0))) = 2, 1, 0), 0)</f>
        <v>0</v>
      </c>
      <c r="AG75" s="236">
        <v>1</v>
      </c>
      <c r="AH75" s="236">
        <v>0</v>
      </c>
      <c r="AI75" s="236">
        <f t="shared" si="4"/>
        <v>-100</v>
      </c>
      <c r="AJ75" s="210"/>
      <c r="AK75" s="236">
        <v>33</v>
      </c>
      <c r="AL75" s="250">
        <v>7</v>
      </c>
      <c r="AM75" s="250">
        <v>13</v>
      </c>
      <c r="AN75" s="250">
        <v>3</v>
      </c>
      <c r="AO75" s="251">
        <f t="shared" si="5"/>
        <v>0.875</v>
      </c>
      <c r="AP75" s="251">
        <f t="shared" si="5"/>
        <v>0.875</v>
      </c>
      <c r="AQ75" s="251" cm="1">
        <f t="array" ref="AQ75">MIN(INDEX(Use,AQ$21,5) + MAX(0, (1-INDEX(Use,AQ$21,5))*($AK75-5)/(35-5)), 1)</f>
        <v>0.96000000000000008</v>
      </c>
      <c r="AR75" s="251" cm="1">
        <f t="array" ref="AR75">MIN(INDEX(Use,AR$21,5) + MAX(0, (1-INDEX(Use,AR$21,5))*($AK75-5)/(35-5)), 1)</f>
        <v>0.97333333333333338</v>
      </c>
      <c r="AS75" s="251" cm="1">
        <f t="array" ref="AS75">MIN(INDEX(Use,AS$21,5) + MAX(0, (1-INDEX(Use,AS$21,5))*($AK75-5)/(35-5)), 1)</f>
        <v>0.98666666666666669</v>
      </c>
      <c r="AT75" s="251" cm="1">
        <f t="array" ref="AT75">MIN(INDEX(Use,AT$21,5) + MAX(0, (1-INDEX(Use,AT$21,5))*($AK75-5)/(35-5)), 1)</f>
        <v>0.98666666666666669</v>
      </c>
      <c r="AU75" s="251" cm="1">
        <f t="array" ref="AU75">MIN(INDEX(Use,AU$21,5) + MAX(0, (1-INDEX(Use,AU$21,5))*($AK75-5)/(35-5)), 1)</f>
        <v>0.98666666666666669</v>
      </c>
      <c r="AV75" s="251">
        <v>0.4</v>
      </c>
      <c r="AW75" s="251">
        <v>0.2</v>
      </c>
      <c r="AX75" s="212"/>
      <c r="AY75" s="236" cm="1">
        <f t="array" ref="AY75">INDEX(Use, $AD75, 4)</f>
        <v>7</v>
      </c>
      <c r="AZ75" s="236">
        <f t="shared" si="12"/>
        <v>32</v>
      </c>
      <c r="BA75" s="236">
        <f t="shared" si="13"/>
        <v>13</v>
      </c>
      <c r="BB75" s="236">
        <f t="shared" si="14"/>
        <v>0</v>
      </c>
      <c r="BC75" s="252" cm="1">
        <f t="array" ref="BC75">K75/IF($L75&gt;0, INDEX($AO$23:$AU$77, $L75+20, $AD75), 1)</f>
        <v>0</v>
      </c>
      <c r="BD75" s="237">
        <f t="shared" si="15"/>
        <v>0</v>
      </c>
      <c r="BE75" s="236">
        <v>35</v>
      </c>
      <c r="BF75" s="237">
        <f t="shared" si="16"/>
        <v>52.55</v>
      </c>
      <c r="BG75" s="253">
        <f t="shared" si="17"/>
        <v>2.7676728869374316</v>
      </c>
      <c r="BH75" s="253" cm="1">
        <f t="array" ref="BH75">$BC75 * SUMPRODUCT(INDEX($AL$77:$AN$82,,$AE75),INDEX($AO$77:$AU$82,,$AD75), N($AK$77:$AK$82&gt;$AI75)) / BG75 / 1000</f>
        <v>0</v>
      </c>
      <c r="BI75" s="250">
        <f t="shared" si="18"/>
        <v>30</v>
      </c>
      <c r="BJ75" s="237">
        <f t="shared" si="19"/>
        <v>46.033333333333331</v>
      </c>
      <c r="BK75" s="253">
        <f t="shared" si="20"/>
        <v>3.2297395388556791</v>
      </c>
      <c r="BL75" s="253" cm="1">
        <f t="array" ref="BL75">$BC75 * IF($AD75&lt;=2,
SUMPRODUCT(INDEX($AL$72:$AN$76,,$AE75), INDEX($AO$72:$AU$76,,$AD75), 1 / ($AV$72:$AV$76*BK75 + (1-$AV$72:$AV$76)*BG75), N($AK$72:$AK$76&gt;$AI75)),
SUMPRODUCT(INDEX($AL$67:$AN$76,,$AE75), INDEX($AO$67:$AU$76,,$AD75), 1 / ($AW$67:$AW$76*BK75 + (1-$AW$67:$AW$76)*BG75), N($AK$67:$AK$76&gt;$AI75))
) / 1000</f>
        <v>0</v>
      </c>
      <c r="BM75" s="250">
        <f t="shared" si="21"/>
        <v>25</v>
      </c>
      <c r="BN75" s="237">
        <f t="shared" si="22"/>
        <v>39.516666666666666</v>
      </c>
      <c r="BO75" s="253">
        <f t="shared" si="23"/>
        <v>3.877011788826243</v>
      </c>
      <c r="BP75" s="253" cm="1">
        <f t="array" ref="BP75">$BC75 * IF($AD75&lt;=2,
SUMPRODUCT(INDEX($AL$67:$AN$71,,$AE75), INDEX($AO$67:$AU$71,,$AD75), 1 / ($AV$67:$AV$71*BO75 + (1-$AV$67:$AV$71)*BK75), N($AK$67:$AK$71&gt;$AI75)),
SUMPRODUCT(INDEX($AL$57:$AN$66,,$AE75), INDEX($AO$57:$AU$66,,$AD75), 1 / ($AW$57:$AW$66*BO75 + (1-$AW$57:$AW$66)*BK75), N($AK$57:$AK$66&gt;$AI75))
) / 1000</f>
        <v>0</v>
      </c>
      <c r="BQ75" s="250">
        <f t="shared" si="24"/>
        <v>20</v>
      </c>
      <c r="BR75" s="237">
        <f t="shared" si="25"/>
        <v>33</v>
      </c>
      <c r="BS75" s="253">
        <f t="shared" si="26"/>
        <v>4.8487499999999999</v>
      </c>
      <c r="BT75" s="253" cm="1">
        <f t="array" ref="BT75">$BC75 * IF($AD75&lt;=2,
SUMPRODUCT(INDEX($AL$62:$AN$66,,$AE75), INDEX($AO$62:$AU$66,,$AD75), 1 / ($AV$62:$AV$66*BS75 + (1-$AV$62:$AV$66)*BO75), N($AK$62:$AK$66&gt;$AI75)),
SUMPRODUCT(INDEX($AL$47:$AN$56,,$AE75), INDEX($AO$47:$AU$56,,$AD75), 1 / ($AW$47:$AW$56*BS75 + (1-$AW$47:$AW$56)*BO75), N($AK$47:$AK$56&gt;$AI75))
) / 1000</f>
        <v>0</v>
      </c>
      <c r="BU75" s="253" cm="1">
        <f t="array" ref="BU75">$BC75 * IF($AD75&lt;=2,
SUMPRODUCT(INDEX($AL$23:$AN$61,,$AE75), INDEX($AO$23:$AU$61,,$AD75), 1 / ($AV$23:$AV$61*BS75), N($AK$23:$AK$61&gt;$AI75)),
SUMPRODUCT(INDEX($AL$23:$AN$46,,$AE75), INDEX($AO$23:$AU$46,,$AD75), 1 / ($AW$23:$AW$46*BS75), N($AK$23:$AK$46&gt;$AI75))
) / 1000</f>
        <v>0</v>
      </c>
      <c r="BV75" s="237">
        <f t="shared" si="27"/>
        <v>0</v>
      </c>
      <c r="BW75" s="210"/>
      <c r="BX75" s="237">
        <f t="shared" si="28"/>
        <v>0</v>
      </c>
      <c r="BY75" s="236">
        <v>35</v>
      </c>
      <c r="BZ75" s="237">
        <f t="shared" si="29"/>
        <v>48</v>
      </c>
      <c r="CA75" s="253">
        <f t="shared" si="30"/>
        <v>3.0748170731707316</v>
      </c>
      <c r="CB75" s="253" cm="1">
        <f t="array" ref="CB75">$BC75 * SUMPRODUCT(INDEX($AL$77:$AN$82,,$AE75),INDEX($AO$77:$AU$82,,$AD75), N($AK$77:$AK$82&gt;$AI75)) / CA75 / 1000</f>
        <v>0</v>
      </c>
      <c r="CC75" s="250">
        <f t="shared" si="31"/>
        <v>30</v>
      </c>
      <c r="CD75" s="237">
        <f t="shared" si="32"/>
        <v>43</v>
      </c>
      <c r="CE75" s="253">
        <f t="shared" si="33"/>
        <v>3.5018750000000001</v>
      </c>
      <c r="CF75" s="253" cm="1">
        <f t="array" ref="CF75">$BC75 * IF($AD75&lt;=2,
SUMPRODUCT(INDEX($AL$72:$AN$76,,$AE75), INDEX($AO$72:$AU$76,,$AD75), 1 / ($AV$72:$AV$76*CE75 + (1-$AV$72:$AV$76)*CA75), N($AK$72:$AK$76&gt;$AI75)),
SUMPRODUCT(INDEX($AL$67:$AN$76,,$AE75), INDEX($AO$67:$AU$76,,$AD75), 1 / ($AW$67:$AW$76*CE75 + (1-$AW$67:$AW$76)*CA75), N($AK$67:$AK$76&gt;$AI75))
) / 1000</f>
        <v>0</v>
      </c>
      <c r="CG75" s="250">
        <f t="shared" si="34"/>
        <v>25</v>
      </c>
      <c r="CH75" s="237">
        <f t="shared" si="35"/>
        <v>38</v>
      </c>
      <c r="CI75" s="253">
        <f t="shared" si="36"/>
        <v>4.0666935483870965</v>
      </c>
      <c r="CJ75" s="253" cm="1">
        <f t="array" ref="CJ75">$BC75 * IF($AD75&lt;=2,
SUMPRODUCT(INDEX($AL$67:$AN$71,,$AE75), INDEX($AO$67:$AU$71,,$AD75), 1 / ($AV$67:$AV$71*CI75 + (1-$AV$67:$AV$71)*CE75), N($AK$67:$AK$71&gt;$AI75)),
SUMPRODUCT(INDEX($AL$57:$AN$66,,$AE75), INDEX($AO$57:$AU$66,,$AD75), 1 / ($AW$57:$AW$66*CI75 + (1-$AW$57:$AW$66)*CE75), N($AK$57:$AK$66&gt;$AI75))
) / 1000</f>
        <v>0</v>
      </c>
      <c r="CK75" s="250">
        <f t="shared" si="37"/>
        <v>20</v>
      </c>
      <c r="CL75" s="237">
        <f t="shared" si="38"/>
        <v>33</v>
      </c>
      <c r="CM75" s="253">
        <f t="shared" si="39"/>
        <v>4.8487499999999999</v>
      </c>
      <c r="CN75" s="253" cm="1">
        <f t="array" ref="CN75">$BC75 * IF($AD75&lt;=2,
SUMPRODUCT(INDEX($AL$62:$AN$66,,$AE75), INDEX($AO$62:$AU$66,,$AD75), 1 / ($AV$62:$AV$66*CM75 + (1-$AV$62:$AV$66)*CI75), N($AK$62:$AK$66&gt;$AI75)),
SUMPRODUCT(INDEX($AL$47:$AN$56,,$AE75), INDEX($AO$47:$AU$56,,$AD75), 1 / ($AW$47:$AW$56*CM75 + (1-$AW$47:$AW$56)*CI75), N($AK$47:$AK$56&gt;$AI75))
) / 1000</f>
        <v>0</v>
      </c>
      <c r="CO75" s="253" cm="1">
        <f t="array" ref="CO75">$BC75 * IF($AD75&lt;=2,
SUMPRODUCT(INDEX($AL$23:$AN$61,,$AE75), INDEX($AO$23:$AU$61,,$AD75), 1 / ($AV$23:$AV$61*CM75), N($AK$23:$AK$61&gt;$AI75)),
SUMPRODUCT(INDEX($AL$23:$AN$46,,$AE75), INDEX($AO$23:$AU$46,,$AD75), 1 / ($AW$23:$AW$46*CM75), N($AK$23:$AK$46&gt;$AI75))
) / 1000</f>
        <v>0</v>
      </c>
      <c r="CP75" s="237">
        <f t="shared" si="40"/>
        <v>0</v>
      </c>
      <c r="CQ75" s="210"/>
    </row>
    <row r="76" spans="1:95" s="76" customFormat="1" ht="14.25" customHeight="1" x14ac:dyDescent="0.25">
      <c r="A76" s="238" t="b">
        <f t="shared" si="0"/>
        <v>0</v>
      </c>
      <c r="B76" s="239">
        <v>54</v>
      </c>
      <c r="C76" s="258"/>
      <c r="D76" s="258"/>
      <c r="E76" s="240"/>
      <c r="F76" s="241" t="str">
        <f>IF(ISBLANK(E76), "", VLOOKUP(E76, Z!$A$2:$C$4127, 3, FALSE))</f>
        <v/>
      </c>
      <c r="G76" s="242"/>
      <c r="H76" s="242"/>
      <c r="I76" s="243"/>
      <c r="J76" s="244"/>
      <c r="K76" s="259"/>
      <c r="L76" s="260"/>
      <c r="M76" s="247" t="str" cm="1">
        <f t="array" ref="M76">IF($K76&gt;0, INDEX(Clean,1+AG76,$C$1), "")</f>
        <v/>
      </c>
      <c r="N76" s="245"/>
      <c r="O76" s="245"/>
      <c r="P76" s="246"/>
      <c r="Q76" s="248">
        <f t="shared" si="6"/>
        <v>0</v>
      </c>
      <c r="R76" s="247" t="str" cm="1">
        <f t="array" ref="R76">IF($K76&gt;0, INDEX(Clean,1+AH76,$C$1), "")</f>
        <v/>
      </c>
      <c r="S76" s="245"/>
      <c r="T76" s="245"/>
      <c r="U76" s="246"/>
      <c r="V76" s="248">
        <f t="shared" si="7"/>
        <v>0</v>
      </c>
      <c r="W76" s="261"/>
      <c r="X76" s="258"/>
      <c r="Y76" s="240"/>
      <c r="Z76" s="241" t="str">
        <f>IF(ISBLANK(Y76), "", VLOOKUP(Y76, Z!$A$2:$C$4127, 3, FALSE))</f>
        <v/>
      </c>
      <c r="AA76" s="262"/>
      <c r="AB76" s="249">
        <f t="shared" si="8"/>
        <v>0</v>
      </c>
      <c r="AC76" s="210"/>
      <c r="AD76" s="236">
        <f t="shared" ref="AD76" si="194">IF(ISBLANK(H76), 1, IFERROR(MATCH(H76, INDEX(Use,,1), 0), IFERROR(MATCH(H76, INDEX(Use,,2), 0), MATCH(H76, INDEX(Use,,3), 0))))</f>
        <v>1</v>
      </c>
      <c r="AE76" s="236">
        <f t="shared" ref="AE76" si="195">IF(ISBLANK(G76), 1, IFERROR(MATCH(G76, INDEX(Loc,,1), 0), IFERROR(MATCH(G76, INDEX(Loc,,2), 0), MATCH(G76, INDEX(Loc,,3), 0))))</f>
        <v>1</v>
      </c>
      <c r="AF76" s="236">
        <f t="shared" ref="AF76" si="196">_xlfn.IFNA(IF(IFERROR(MATCH(I76, INDEX(Medium,,1), 0), IFERROR(MATCH(I76, INDEX(Medium,,2), 0), MATCH(I76, INDEX(Medium,,3), 0))) = 2, 1, 0), 0)</f>
        <v>0</v>
      </c>
      <c r="AG76" s="236">
        <v>1</v>
      </c>
      <c r="AH76" s="236">
        <v>0</v>
      </c>
      <c r="AI76" s="236">
        <f t="shared" si="4"/>
        <v>-100</v>
      </c>
      <c r="AJ76" s="210"/>
      <c r="AK76" s="236">
        <v>34</v>
      </c>
      <c r="AL76" s="250">
        <v>3</v>
      </c>
      <c r="AM76" s="250">
        <v>5</v>
      </c>
      <c r="AN76" s="250">
        <v>0</v>
      </c>
      <c r="AO76" s="251">
        <f t="shared" si="5"/>
        <v>0.9375</v>
      </c>
      <c r="AP76" s="251">
        <f t="shared" si="5"/>
        <v>0.9375</v>
      </c>
      <c r="AQ76" s="251" cm="1">
        <f t="array" ref="AQ76">MIN(INDEX(Use,AQ$21,5) + MAX(0, (1-INDEX(Use,AQ$21,5))*($AK76-5)/(35-5)), 1)</f>
        <v>0.98</v>
      </c>
      <c r="AR76" s="251" cm="1">
        <f t="array" ref="AR76">MIN(INDEX(Use,AR$21,5) + MAX(0, (1-INDEX(Use,AR$21,5))*($AK76-5)/(35-5)), 1)</f>
        <v>0.98666666666666669</v>
      </c>
      <c r="AS76" s="251" cm="1">
        <f t="array" ref="AS76">MIN(INDEX(Use,AS$21,5) + MAX(0, (1-INDEX(Use,AS$21,5))*($AK76-5)/(35-5)), 1)</f>
        <v>0.9933333333333334</v>
      </c>
      <c r="AT76" s="251" cm="1">
        <f t="array" ref="AT76">MIN(INDEX(Use,AT$21,5) + MAX(0, (1-INDEX(Use,AT$21,5))*($AK76-5)/(35-5)), 1)</f>
        <v>0.9933333333333334</v>
      </c>
      <c r="AU76" s="251" cm="1">
        <f t="array" ref="AU76">MIN(INDEX(Use,AU$21,5) + MAX(0, (1-INDEX(Use,AU$21,5))*($AK76-5)/(35-5)), 1)</f>
        <v>0.9933333333333334</v>
      </c>
      <c r="AV76" s="251">
        <v>0.2</v>
      </c>
      <c r="AW76" s="251">
        <v>0.1</v>
      </c>
      <c r="AX76" s="212"/>
      <c r="AY76" s="236" cm="1">
        <f t="array" ref="AY76">INDEX(Use, $AD76, 4)</f>
        <v>7</v>
      </c>
      <c r="AZ76" s="236">
        <f t="shared" si="12"/>
        <v>32</v>
      </c>
      <c r="BA76" s="236">
        <f t="shared" si="13"/>
        <v>13</v>
      </c>
      <c r="BB76" s="236">
        <f t="shared" si="14"/>
        <v>0</v>
      </c>
      <c r="BC76" s="252" cm="1">
        <f t="array" ref="BC76">K76/IF($L76&gt;0, INDEX($AO$23:$AU$77, $L76+20, $AD76), 1)</f>
        <v>0</v>
      </c>
      <c r="BD76" s="237">
        <f t="shared" si="15"/>
        <v>0</v>
      </c>
      <c r="BE76" s="236">
        <v>35</v>
      </c>
      <c r="BF76" s="237">
        <f t="shared" si="16"/>
        <v>52.55</v>
      </c>
      <c r="BG76" s="253">
        <f t="shared" si="17"/>
        <v>2.7676728869374316</v>
      </c>
      <c r="BH76" s="253" cm="1">
        <f t="array" ref="BH76">$BC76 * SUMPRODUCT(INDEX($AL$77:$AN$82,,$AE76),INDEX($AO$77:$AU$82,,$AD76), N($AK$77:$AK$82&gt;$AI76)) / BG76 / 1000</f>
        <v>0</v>
      </c>
      <c r="BI76" s="250">
        <f t="shared" si="18"/>
        <v>30</v>
      </c>
      <c r="BJ76" s="237">
        <f t="shared" si="19"/>
        <v>46.033333333333331</v>
      </c>
      <c r="BK76" s="253">
        <f t="shared" si="20"/>
        <v>3.2297395388556791</v>
      </c>
      <c r="BL76" s="253" cm="1">
        <f t="array" ref="BL76">$BC76 * IF($AD76&lt;=2,
SUMPRODUCT(INDEX($AL$72:$AN$76,,$AE76), INDEX($AO$72:$AU$76,,$AD76), 1 / ($AV$72:$AV$76*BK76 + (1-$AV$72:$AV$76)*BG76), N($AK$72:$AK$76&gt;$AI76)),
SUMPRODUCT(INDEX($AL$67:$AN$76,,$AE76), INDEX($AO$67:$AU$76,,$AD76), 1 / ($AW$67:$AW$76*BK76 + (1-$AW$67:$AW$76)*BG76), N($AK$67:$AK$76&gt;$AI76))
) / 1000</f>
        <v>0</v>
      </c>
      <c r="BM76" s="250">
        <f t="shared" si="21"/>
        <v>25</v>
      </c>
      <c r="BN76" s="237">
        <f t="shared" si="22"/>
        <v>39.516666666666666</v>
      </c>
      <c r="BO76" s="253">
        <f t="shared" si="23"/>
        <v>3.877011788826243</v>
      </c>
      <c r="BP76" s="253" cm="1">
        <f t="array" ref="BP76">$BC76 * IF($AD76&lt;=2,
SUMPRODUCT(INDEX($AL$67:$AN$71,,$AE76), INDEX($AO$67:$AU$71,,$AD76), 1 / ($AV$67:$AV$71*BO76 + (1-$AV$67:$AV$71)*BK76), N($AK$67:$AK$71&gt;$AI76)),
SUMPRODUCT(INDEX($AL$57:$AN$66,,$AE76), INDEX($AO$57:$AU$66,,$AD76), 1 / ($AW$57:$AW$66*BO76 + (1-$AW$57:$AW$66)*BK76), N($AK$57:$AK$66&gt;$AI76))
) / 1000</f>
        <v>0</v>
      </c>
      <c r="BQ76" s="250">
        <f t="shared" si="24"/>
        <v>20</v>
      </c>
      <c r="BR76" s="237">
        <f t="shared" si="25"/>
        <v>33</v>
      </c>
      <c r="BS76" s="253">
        <f t="shared" si="26"/>
        <v>4.8487499999999999</v>
      </c>
      <c r="BT76" s="253" cm="1">
        <f t="array" ref="BT76">$BC76 * IF($AD76&lt;=2,
SUMPRODUCT(INDEX($AL$62:$AN$66,,$AE76), INDEX($AO$62:$AU$66,,$AD76), 1 / ($AV$62:$AV$66*BS76 + (1-$AV$62:$AV$66)*BO76), N($AK$62:$AK$66&gt;$AI76)),
SUMPRODUCT(INDEX($AL$47:$AN$56,,$AE76), INDEX($AO$47:$AU$56,,$AD76), 1 / ($AW$47:$AW$56*BS76 + (1-$AW$47:$AW$56)*BO76), N($AK$47:$AK$56&gt;$AI76))
) / 1000</f>
        <v>0</v>
      </c>
      <c r="BU76" s="253" cm="1">
        <f t="array" ref="BU76">$BC76 * IF($AD76&lt;=2,
SUMPRODUCT(INDEX($AL$23:$AN$61,,$AE76), INDEX($AO$23:$AU$61,,$AD76), 1 / ($AV$23:$AV$61*BS76), N($AK$23:$AK$61&gt;$AI76)),
SUMPRODUCT(INDEX($AL$23:$AN$46,,$AE76), INDEX($AO$23:$AU$46,,$AD76), 1 / ($AW$23:$AW$46*BS76), N($AK$23:$AK$46&gt;$AI76))
) / 1000</f>
        <v>0</v>
      </c>
      <c r="BV76" s="237">
        <f t="shared" si="27"/>
        <v>0</v>
      </c>
      <c r="BW76" s="210"/>
      <c r="BX76" s="237">
        <f t="shared" si="28"/>
        <v>0</v>
      </c>
      <c r="BY76" s="236">
        <v>35</v>
      </c>
      <c r="BZ76" s="237">
        <f t="shared" si="29"/>
        <v>48</v>
      </c>
      <c r="CA76" s="253">
        <f t="shared" si="30"/>
        <v>3.0748170731707316</v>
      </c>
      <c r="CB76" s="253" cm="1">
        <f t="array" ref="CB76">$BC76 * SUMPRODUCT(INDEX($AL$77:$AN$82,,$AE76),INDEX($AO$77:$AU$82,,$AD76), N($AK$77:$AK$82&gt;$AI76)) / CA76 / 1000</f>
        <v>0</v>
      </c>
      <c r="CC76" s="250">
        <f t="shared" si="31"/>
        <v>30</v>
      </c>
      <c r="CD76" s="237">
        <f t="shared" si="32"/>
        <v>43</v>
      </c>
      <c r="CE76" s="253">
        <f t="shared" si="33"/>
        <v>3.5018750000000001</v>
      </c>
      <c r="CF76" s="253" cm="1">
        <f t="array" ref="CF76">$BC76 * IF($AD76&lt;=2,
SUMPRODUCT(INDEX($AL$72:$AN$76,,$AE76), INDEX($AO$72:$AU$76,,$AD76), 1 / ($AV$72:$AV$76*CE76 + (1-$AV$72:$AV$76)*CA76), N($AK$72:$AK$76&gt;$AI76)),
SUMPRODUCT(INDEX($AL$67:$AN$76,,$AE76), INDEX($AO$67:$AU$76,,$AD76), 1 / ($AW$67:$AW$76*CE76 + (1-$AW$67:$AW$76)*CA76), N($AK$67:$AK$76&gt;$AI76))
) / 1000</f>
        <v>0</v>
      </c>
      <c r="CG76" s="250">
        <f t="shared" si="34"/>
        <v>25</v>
      </c>
      <c r="CH76" s="237">
        <f t="shared" si="35"/>
        <v>38</v>
      </c>
      <c r="CI76" s="253">
        <f t="shared" si="36"/>
        <v>4.0666935483870965</v>
      </c>
      <c r="CJ76" s="253" cm="1">
        <f t="array" ref="CJ76">$BC76 * IF($AD76&lt;=2,
SUMPRODUCT(INDEX($AL$67:$AN$71,,$AE76), INDEX($AO$67:$AU$71,,$AD76), 1 / ($AV$67:$AV$71*CI76 + (1-$AV$67:$AV$71)*CE76), N($AK$67:$AK$71&gt;$AI76)),
SUMPRODUCT(INDEX($AL$57:$AN$66,,$AE76), INDEX($AO$57:$AU$66,,$AD76), 1 / ($AW$57:$AW$66*CI76 + (1-$AW$57:$AW$66)*CE76), N($AK$57:$AK$66&gt;$AI76))
) / 1000</f>
        <v>0</v>
      </c>
      <c r="CK76" s="250">
        <f t="shared" si="37"/>
        <v>20</v>
      </c>
      <c r="CL76" s="237">
        <f t="shared" si="38"/>
        <v>33</v>
      </c>
      <c r="CM76" s="253">
        <f t="shared" si="39"/>
        <v>4.8487499999999999</v>
      </c>
      <c r="CN76" s="253" cm="1">
        <f t="array" ref="CN76">$BC76 * IF($AD76&lt;=2,
SUMPRODUCT(INDEX($AL$62:$AN$66,,$AE76), INDEX($AO$62:$AU$66,,$AD76), 1 / ($AV$62:$AV$66*CM76 + (1-$AV$62:$AV$66)*CI76), N($AK$62:$AK$66&gt;$AI76)),
SUMPRODUCT(INDEX($AL$47:$AN$56,,$AE76), INDEX($AO$47:$AU$56,,$AD76), 1 / ($AW$47:$AW$56*CM76 + (1-$AW$47:$AW$56)*CI76), N($AK$47:$AK$56&gt;$AI76))
) / 1000</f>
        <v>0</v>
      </c>
      <c r="CO76" s="253" cm="1">
        <f t="array" ref="CO76">$BC76 * IF($AD76&lt;=2,
SUMPRODUCT(INDEX($AL$23:$AN$61,,$AE76), INDEX($AO$23:$AU$61,,$AD76), 1 / ($AV$23:$AV$61*CM76), N($AK$23:$AK$61&gt;$AI76)),
SUMPRODUCT(INDEX($AL$23:$AN$46,,$AE76), INDEX($AO$23:$AU$46,,$AD76), 1 / ($AW$23:$AW$46*CM76), N($AK$23:$AK$46&gt;$AI76))
) / 1000</f>
        <v>0</v>
      </c>
      <c r="CP76" s="237">
        <f t="shared" si="40"/>
        <v>0</v>
      </c>
      <c r="CQ76" s="210"/>
    </row>
    <row r="77" spans="1:95" s="76" customFormat="1" ht="14.25" customHeight="1" x14ac:dyDescent="0.25">
      <c r="A77" s="238" t="b">
        <f t="shared" si="0"/>
        <v>0</v>
      </c>
      <c r="B77" s="239">
        <v>55</v>
      </c>
      <c r="C77" s="258"/>
      <c r="D77" s="258"/>
      <c r="E77" s="240"/>
      <c r="F77" s="241" t="str">
        <f>IF(ISBLANK(E77), "", VLOOKUP(E77, Z!$A$2:$C$4127, 3, FALSE))</f>
        <v/>
      </c>
      <c r="G77" s="242"/>
      <c r="H77" s="242"/>
      <c r="I77" s="243"/>
      <c r="J77" s="244"/>
      <c r="K77" s="259"/>
      <c r="L77" s="260"/>
      <c r="M77" s="247" t="str" cm="1">
        <f t="array" ref="M77">IF($K77&gt;0, INDEX(Clean,1+AG77,$C$1), "")</f>
        <v/>
      </c>
      <c r="N77" s="245"/>
      <c r="O77" s="245"/>
      <c r="P77" s="246"/>
      <c r="Q77" s="248">
        <f t="shared" si="6"/>
        <v>0</v>
      </c>
      <c r="R77" s="247" t="str" cm="1">
        <f t="array" ref="R77">IF($K77&gt;0, INDEX(Clean,1+AH77,$C$1), "")</f>
        <v/>
      </c>
      <c r="S77" s="245"/>
      <c r="T77" s="245"/>
      <c r="U77" s="246"/>
      <c r="V77" s="248">
        <f t="shared" si="7"/>
        <v>0</v>
      </c>
      <c r="W77" s="261"/>
      <c r="X77" s="258"/>
      <c r="Y77" s="240"/>
      <c r="Z77" s="241" t="str">
        <f>IF(ISBLANK(Y77), "", VLOOKUP(Y77, Z!$A$2:$C$4127, 3, FALSE))</f>
        <v/>
      </c>
      <c r="AA77" s="262"/>
      <c r="AB77" s="249">
        <f t="shared" si="8"/>
        <v>0</v>
      </c>
      <c r="AC77" s="210"/>
      <c r="AD77" s="236">
        <f t="shared" ref="AD77" si="197">IF(ISBLANK(H77), 1, IFERROR(MATCH(H77, INDEX(Use,,1), 0), IFERROR(MATCH(H77, INDEX(Use,,2), 0), MATCH(H77, INDEX(Use,,3), 0))))</f>
        <v>1</v>
      </c>
      <c r="AE77" s="236">
        <f t="shared" ref="AE77" si="198">IF(ISBLANK(G77), 1, IFERROR(MATCH(G77, INDEX(Loc,,1), 0), IFERROR(MATCH(G77, INDEX(Loc,,2), 0), MATCH(G77, INDEX(Loc,,3), 0))))</f>
        <v>1</v>
      </c>
      <c r="AF77" s="236">
        <f t="shared" ref="AF77" si="199">_xlfn.IFNA(IF(IFERROR(MATCH(I77, INDEX(Medium,,1), 0), IFERROR(MATCH(I77, INDEX(Medium,,2), 0), MATCH(I77, INDEX(Medium,,3), 0))) = 2, 1, 0), 0)</f>
        <v>0</v>
      </c>
      <c r="AG77" s="236">
        <v>1</v>
      </c>
      <c r="AH77" s="236">
        <v>0</v>
      </c>
      <c r="AI77" s="236">
        <f t="shared" si="4"/>
        <v>-100</v>
      </c>
      <c r="AJ77" s="210"/>
      <c r="AK77" s="236">
        <v>35</v>
      </c>
      <c r="AL77" s="250">
        <v>0</v>
      </c>
      <c r="AM77" s="250">
        <v>2</v>
      </c>
      <c r="AN77" s="250">
        <v>0</v>
      </c>
      <c r="AO77" s="251">
        <f t="shared" si="5"/>
        <v>1</v>
      </c>
      <c r="AP77" s="251">
        <f t="shared" si="5"/>
        <v>1</v>
      </c>
      <c r="AQ77" s="251" cm="1">
        <f t="array" ref="AQ77">MIN(INDEX(Use,AQ$21,5) + MAX(0, (1-INDEX(Use,AQ$21,5))*($AK77-5)/(35-5)), 1)</f>
        <v>1</v>
      </c>
      <c r="AR77" s="251" cm="1">
        <f t="array" ref="AR77">MIN(INDEX(Use,AR$21,5) + MAX(0, (1-INDEX(Use,AR$21,5))*($AK77-5)/(35-5)), 1)</f>
        <v>1</v>
      </c>
      <c r="AS77" s="251" cm="1">
        <f t="array" ref="AS77">MIN(INDEX(Use,AS$21,5) + MAX(0, (1-INDEX(Use,AS$21,5))*($AK77-5)/(35-5)), 1)</f>
        <v>1</v>
      </c>
      <c r="AT77" s="251" cm="1">
        <f t="array" ref="AT77">MIN(INDEX(Use,AT$21,5) + MAX(0, (1-INDEX(Use,AT$21,5))*($AK77-5)/(35-5)), 1)</f>
        <v>1</v>
      </c>
      <c r="AU77" s="251" cm="1">
        <f t="array" ref="AU77">MIN(INDEX(Use,AU$21,5) + MAX(0, (1-INDEX(Use,AU$21,5))*($AK77-5)/(35-5)), 1)</f>
        <v>1</v>
      </c>
      <c r="AV77" s="251" t="s">
        <v>2</v>
      </c>
      <c r="AW77" s="251" t="s">
        <v>2</v>
      </c>
      <c r="AX77" s="212"/>
      <c r="AY77" s="236" cm="1">
        <f t="array" ref="AY77">INDEX(Use, $AD77, 4)</f>
        <v>7</v>
      </c>
      <c r="AZ77" s="236">
        <f t="shared" si="12"/>
        <v>32</v>
      </c>
      <c r="BA77" s="236">
        <f t="shared" si="13"/>
        <v>13</v>
      </c>
      <c r="BB77" s="236">
        <f t="shared" si="14"/>
        <v>0</v>
      </c>
      <c r="BC77" s="252" cm="1">
        <f t="array" ref="BC77">K77/IF($L77&gt;0, INDEX($AO$23:$AU$77, $L77+20, $AD77), 1)</f>
        <v>0</v>
      </c>
      <c r="BD77" s="237">
        <f t="shared" si="15"/>
        <v>0</v>
      </c>
      <c r="BE77" s="236">
        <v>35</v>
      </c>
      <c r="BF77" s="237">
        <f t="shared" si="16"/>
        <v>52.55</v>
      </c>
      <c r="BG77" s="253">
        <f t="shared" si="17"/>
        <v>2.7676728869374316</v>
      </c>
      <c r="BH77" s="253" cm="1">
        <f t="array" ref="BH77">$BC77 * SUMPRODUCT(INDEX($AL$77:$AN$82,,$AE77),INDEX($AO$77:$AU$82,,$AD77), N($AK$77:$AK$82&gt;$AI77)) / BG77 / 1000</f>
        <v>0</v>
      </c>
      <c r="BI77" s="250">
        <f t="shared" si="18"/>
        <v>30</v>
      </c>
      <c r="BJ77" s="237">
        <f t="shared" si="19"/>
        <v>46.033333333333331</v>
      </c>
      <c r="BK77" s="253">
        <f t="shared" si="20"/>
        <v>3.2297395388556791</v>
      </c>
      <c r="BL77" s="253" cm="1">
        <f t="array" ref="BL77">$BC77 * IF($AD77&lt;=2,
SUMPRODUCT(INDEX($AL$72:$AN$76,,$AE77), INDEX($AO$72:$AU$76,,$AD77), 1 / ($AV$72:$AV$76*BK77 + (1-$AV$72:$AV$76)*BG77), N($AK$72:$AK$76&gt;$AI77)),
SUMPRODUCT(INDEX($AL$67:$AN$76,,$AE77), INDEX($AO$67:$AU$76,,$AD77), 1 / ($AW$67:$AW$76*BK77 + (1-$AW$67:$AW$76)*BG77), N($AK$67:$AK$76&gt;$AI77))
) / 1000</f>
        <v>0</v>
      </c>
      <c r="BM77" s="250">
        <f t="shared" si="21"/>
        <v>25</v>
      </c>
      <c r="BN77" s="237">
        <f t="shared" si="22"/>
        <v>39.516666666666666</v>
      </c>
      <c r="BO77" s="253">
        <f t="shared" si="23"/>
        <v>3.877011788826243</v>
      </c>
      <c r="BP77" s="253" cm="1">
        <f t="array" ref="BP77">$BC77 * IF($AD77&lt;=2,
SUMPRODUCT(INDEX($AL$67:$AN$71,,$AE77), INDEX($AO$67:$AU$71,,$AD77), 1 / ($AV$67:$AV$71*BO77 + (1-$AV$67:$AV$71)*BK77), N($AK$67:$AK$71&gt;$AI77)),
SUMPRODUCT(INDEX($AL$57:$AN$66,,$AE77), INDEX($AO$57:$AU$66,,$AD77), 1 / ($AW$57:$AW$66*BO77 + (1-$AW$57:$AW$66)*BK77), N($AK$57:$AK$66&gt;$AI77))
) / 1000</f>
        <v>0</v>
      </c>
      <c r="BQ77" s="250">
        <f t="shared" si="24"/>
        <v>20</v>
      </c>
      <c r="BR77" s="237">
        <f t="shared" si="25"/>
        <v>33</v>
      </c>
      <c r="BS77" s="253">
        <f t="shared" si="26"/>
        <v>4.8487499999999999</v>
      </c>
      <c r="BT77" s="253" cm="1">
        <f t="array" ref="BT77">$BC77 * IF($AD77&lt;=2,
SUMPRODUCT(INDEX($AL$62:$AN$66,,$AE77), INDEX($AO$62:$AU$66,,$AD77), 1 / ($AV$62:$AV$66*BS77 + (1-$AV$62:$AV$66)*BO77), N($AK$62:$AK$66&gt;$AI77)),
SUMPRODUCT(INDEX($AL$47:$AN$56,,$AE77), INDEX($AO$47:$AU$56,,$AD77), 1 / ($AW$47:$AW$56*BS77 + (1-$AW$47:$AW$56)*BO77), N($AK$47:$AK$56&gt;$AI77))
) / 1000</f>
        <v>0</v>
      </c>
      <c r="BU77" s="253" cm="1">
        <f t="array" ref="BU77">$BC77 * IF($AD77&lt;=2,
SUMPRODUCT(INDEX($AL$23:$AN$61,,$AE77), INDEX($AO$23:$AU$61,,$AD77), 1 / ($AV$23:$AV$61*BS77), N($AK$23:$AK$61&gt;$AI77)),
SUMPRODUCT(INDEX($AL$23:$AN$46,,$AE77), INDEX($AO$23:$AU$46,,$AD77), 1 / ($AW$23:$AW$46*BS77), N($AK$23:$AK$46&gt;$AI77))
) / 1000</f>
        <v>0</v>
      </c>
      <c r="BV77" s="237">
        <f t="shared" si="27"/>
        <v>0</v>
      </c>
      <c r="BW77" s="210"/>
      <c r="BX77" s="237">
        <f t="shared" si="28"/>
        <v>0</v>
      </c>
      <c r="BY77" s="236">
        <v>35</v>
      </c>
      <c r="BZ77" s="237">
        <f t="shared" si="29"/>
        <v>48</v>
      </c>
      <c r="CA77" s="253">
        <f t="shared" si="30"/>
        <v>3.0748170731707316</v>
      </c>
      <c r="CB77" s="253" cm="1">
        <f t="array" ref="CB77">$BC77 * SUMPRODUCT(INDEX($AL$77:$AN$82,,$AE77),INDEX($AO$77:$AU$82,,$AD77), N($AK$77:$AK$82&gt;$AI77)) / CA77 / 1000</f>
        <v>0</v>
      </c>
      <c r="CC77" s="250">
        <f t="shared" si="31"/>
        <v>30</v>
      </c>
      <c r="CD77" s="237">
        <f t="shared" si="32"/>
        <v>43</v>
      </c>
      <c r="CE77" s="253">
        <f t="shared" si="33"/>
        <v>3.5018750000000001</v>
      </c>
      <c r="CF77" s="253" cm="1">
        <f t="array" ref="CF77">$BC77 * IF($AD77&lt;=2,
SUMPRODUCT(INDEX($AL$72:$AN$76,,$AE77), INDEX($AO$72:$AU$76,,$AD77), 1 / ($AV$72:$AV$76*CE77 + (1-$AV$72:$AV$76)*CA77), N($AK$72:$AK$76&gt;$AI77)),
SUMPRODUCT(INDEX($AL$67:$AN$76,,$AE77), INDEX($AO$67:$AU$76,,$AD77), 1 / ($AW$67:$AW$76*CE77 + (1-$AW$67:$AW$76)*CA77), N($AK$67:$AK$76&gt;$AI77))
) / 1000</f>
        <v>0</v>
      </c>
      <c r="CG77" s="250">
        <f t="shared" si="34"/>
        <v>25</v>
      </c>
      <c r="CH77" s="237">
        <f t="shared" si="35"/>
        <v>38</v>
      </c>
      <c r="CI77" s="253">
        <f t="shared" si="36"/>
        <v>4.0666935483870965</v>
      </c>
      <c r="CJ77" s="253" cm="1">
        <f t="array" ref="CJ77">$BC77 * IF($AD77&lt;=2,
SUMPRODUCT(INDEX($AL$67:$AN$71,,$AE77), INDEX($AO$67:$AU$71,,$AD77), 1 / ($AV$67:$AV$71*CI77 + (1-$AV$67:$AV$71)*CE77), N($AK$67:$AK$71&gt;$AI77)),
SUMPRODUCT(INDEX($AL$57:$AN$66,,$AE77), INDEX($AO$57:$AU$66,,$AD77), 1 / ($AW$57:$AW$66*CI77 + (1-$AW$57:$AW$66)*CE77), N($AK$57:$AK$66&gt;$AI77))
) / 1000</f>
        <v>0</v>
      </c>
      <c r="CK77" s="250">
        <f t="shared" si="37"/>
        <v>20</v>
      </c>
      <c r="CL77" s="237">
        <f t="shared" si="38"/>
        <v>33</v>
      </c>
      <c r="CM77" s="253">
        <f t="shared" si="39"/>
        <v>4.8487499999999999</v>
      </c>
      <c r="CN77" s="253" cm="1">
        <f t="array" ref="CN77">$BC77 * IF($AD77&lt;=2,
SUMPRODUCT(INDEX($AL$62:$AN$66,,$AE77), INDEX($AO$62:$AU$66,,$AD77), 1 / ($AV$62:$AV$66*CM77 + (1-$AV$62:$AV$66)*CI77), N($AK$62:$AK$66&gt;$AI77)),
SUMPRODUCT(INDEX($AL$47:$AN$56,,$AE77), INDEX($AO$47:$AU$56,,$AD77), 1 / ($AW$47:$AW$56*CM77 + (1-$AW$47:$AW$56)*CI77), N($AK$47:$AK$56&gt;$AI77))
) / 1000</f>
        <v>0</v>
      </c>
      <c r="CO77" s="253" cm="1">
        <f t="array" ref="CO77">$BC77 * IF($AD77&lt;=2,
SUMPRODUCT(INDEX($AL$23:$AN$61,,$AE77), INDEX($AO$23:$AU$61,,$AD77), 1 / ($AV$23:$AV$61*CM77), N($AK$23:$AK$61&gt;$AI77)),
SUMPRODUCT(INDEX($AL$23:$AN$46,,$AE77), INDEX($AO$23:$AU$46,,$AD77), 1 / ($AW$23:$AW$46*CM77), N($AK$23:$AK$46&gt;$AI77))
) / 1000</f>
        <v>0</v>
      </c>
      <c r="CP77" s="237">
        <f t="shared" si="40"/>
        <v>0</v>
      </c>
      <c r="CQ77" s="210"/>
    </row>
    <row r="78" spans="1:95" s="76" customFormat="1" ht="14.25" customHeight="1" x14ac:dyDescent="0.25">
      <c r="A78" s="238" t="b">
        <f t="shared" si="0"/>
        <v>0</v>
      </c>
      <c r="B78" s="239">
        <v>56</v>
      </c>
      <c r="C78" s="258"/>
      <c r="D78" s="258"/>
      <c r="E78" s="240"/>
      <c r="F78" s="241" t="str">
        <f>IF(ISBLANK(E78), "", VLOOKUP(E78, Z!$A$2:$C$4127, 3, FALSE))</f>
        <v/>
      </c>
      <c r="G78" s="242"/>
      <c r="H78" s="242"/>
      <c r="I78" s="243"/>
      <c r="J78" s="244"/>
      <c r="K78" s="259"/>
      <c r="L78" s="260"/>
      <c r="M78" s="247" t="str" cm="1">
        <f t="array" ref="M78">IF($K78&gt;0, INDEX(Clean,1+AG78,$C$1), "")</f>
        <v/>
      </c>
      <c r="N78" s="245"/>
      <c r="O78" s="245"/>
      <c r="P78" s="246"/>
      <c r="Q78" s="248">
        <f t="shared" si="6"/>
        <v>0</v>
      </c>
      <c r="R78" s="247" t="str" cm="1">
        <f t="array" ref="R78">IF($K78&gt;0, INDEX(Clean,1+AH78,$C$1), "")</f>
        <v/>
      </c>
      <c r="S78" s="245"/>
      <c r="T78" s="245"/>
      <c r="U78" s="246"/>
      <c r="V78" s="248">
        <f t="shared" si="7"/>
        <v>0</v>
      </c>
      <c r="W78" s="261"/>
      <c r="X78" s="258"/>
      <c r="Y78" s="240"/>
      <c r="Z78" s="241" t="str">
        <f>IF(ISBLANK(Y78), "", VLOOKUP(Y78, Z!$A$2:$C$4127, 3, FALSE))</f>
        <v/>
      </c>
      <c r="AA78" s="262"/>
      <c r="AB78" s="249">
        <f t="shared" si="8"/>
        <v>0</v>
      </c>
      <c r="AC78" s="210"/>
      <c r="AD78" s="236">
        <f t="shared" ref="AD78" si="200">IF(ISBLANK(H78), 1, IFERROR(MATCH(H78, INDEX(Use,,1), 0), IFERROR(MATCH(H78, INDEX(Use,,2), 0), MATCH(H78, INDEX(Use,,3), 0))))</f>
        <v>1</v>
      </c>
      <c r="AE78" s="236">
        <f t="shared" ref="AE78" si="201">IF(ISBLANK(G78), 1, IFERROR(MATCH(G78, INDEX(Loc,,1), 0), IFERROR(MATCH(G78, INDEX(Loc,,2), 0), MATCH(G78, INDEX(Loc,,3), 0))))</f>
        <v>1</v>
      </c>
      <c r="AF78" s="236">
        <f t="shared" ref="AF78" si="202">_xlfn.IFNA(IF(IFERROR(MATCH(I78, INDEX(Medium,,1), 0), IFERROR(MATCH(I78, INDEX(Medium,,2), 0), MATCH(I78, INDEX(Medium,,3), 0))) = 2, 1, 0), 0)</f>
        <v>0</v>
      </c>
      <c r="AG78" s="236">
        <v>1</v>
      </c>
      <c r="AH78" s="236">
        <v>0</v>
      </c>
      <c r="AI78" s="236">
        <f t="shared" si="4"/>
        <v>-100</v>
      </c>
      <c r="AJ78" s="210"/>
      <c r="AK78" s="236">
        <v>36</v>
      </c>
      <c r="AL78" s="250">
        <v>0</v>
      </c>
      <c r="AM78" s="250">
        <v>0</v>
      </c>
      <c r="AN78" s="250">
        <v>0</v>
      </c>
      <c r="AO78" s="251">
        <f t="shared" si="5"/>
        <v>1.0625</v>
      </c>
      <c r="AP78" s="251">
        <f t="shared" si="5"/>
        <v>1.0625</v>
      </c>
      <c r="AQ78" s="251" cm="1">
        <f t="array" ref="AQ78">MIN(INDEX(Use,AQ$21,5) + MAX(0, (1-INDEX(Use,AQ$21,5))*($AK78-5)/(35-5)), 1)</f>
        <v>1</v>
      </c>
      <c r="AR78" s="251" cm="1">
        <f t="array" ref="AR78">MIN(INDEX(Use,AR$21,5) + MAX(0, (1-INDEX(Use,AR$21,5))*($AK78-5)/(35-5)), 1)</f>
        <v>1</v>
      </c>
      <c r="AS78" s="251" cm="1">
        <f t="array" ref="AS78">MIN(INDEX(Use,AS$21,5) + MAX(0, (1-INDEX(Use,AS$21,5))*($AK78-5)/(35-5)), 1)</f>
        <v>1</v>
      </c>
      <c r="AT78" s="251" cm="1">
        <f t="array" ref="AT78">MIN(INDEX(Use,AT$21,5) + MAX(0, (1-INDEX(Use,AT$21,5))*($AK78-5)/(35-5)), 1)</f>
        <v>1</v>
      </c>
      <c r="AU78" s="251" cm="1">
        <f t="array" ref="AU78">MIN(INDEX(Use,AU$21,5) + MAX(0, (1-INDEX(Use,AU$21,5))*($AK78-5)/(35-5)), 1)</f>
        <v>1</v>
      </c>
      <c r="AV78" s="251" t="s">
        <v>2</v>
      </c>
      <c r="AW78" s="251" t="s">
        <v>2</v>
      </c>
      <c r="AX78" s="212"/>
      <c r="AY78" s="236" cm="1">
        <f t="array" ref="AY78">INDEX(Use, $AD78, 4)</f>
        <v>7</v>
      </c>
      <c r="AZ78" s="236">
        <f t="shared" si="12"/>
        <v>32</v>
      </c>
      <c r="BA78" s="236">
        <f t="shared" si="13"/>
        <v>13</v>
      </c>
      <c r="BB78" s="236">
        <f t="shared" si="14"/>
        <v>0</v>
      </c>
      <c r="BC78" s="252" cm="1">
        <f t="array" ref="BC78">K78/IF($L78&gt;0, INDEX($AO$23:$AU$77, $L78+20, $AD78), 1)</f>
        <v>0</v>
      </c>
      <c r="BD78" s="237">
        <f t="shared" si="15"/>
        <v>0</v>
      </c>
      <c r="BE78" s="236">
        <v>35</v>
      </c>
      <c r="BF78" s="237">
        <f t="shared" si="16"/>
        <v>52.55</v>
      </c>
      <c r="BG78" s="253">
        <f t="shared" si="17"/>
        <v>2.7676728869374316</v>
      </c>
      <c r="BH78" s="253" cm="1">
        <f t="array" ref="BH78">$BC78 * SUMPRODUCT(INDEX($AL$77:$AN$82,,$AE78),INDEX($AO$77:$AU$82,,$AD78), N($AK$77:$AK$82&gt;$AI78)) / BG78 / 1000</f>
        <v>0</v>
      </c>
      <c r="BI78" s="250">
        <f t="shared" si="18"/>
        <v>30</v>
      </c>
      <c r="BJ78" s="237">
        <f t="shared" si="19"/>
        <v>46.033333333333331</v>
      </c>
      <c r="BK78" s="253">
        <f t="shared" si="20"/>
        <v>3.2297395388556791</v>
      </c>
      <c r="BL78" s="253" cm="1">
        <f t="array" ref="BL78">$BC78 * IF($AD78&lt;=2,
SUMPRODUCT(INDEX($AL$72:$AN$76,,$AE78), INDEX($AO$72:$AU$76,,$AD78), 1 / ($AV$72:$AV$76*BK78 + (1-$AV$72:$AV$76)*BG78), N($AK$72:$AK$76&gt;$AI78)),
SUMPRODUCT(INDEX($AL$67:$AN$76,,$AE78), INDEX($AO$67:$AU$76,,$AD78), 1 / ($AW$67:$AW$76*BK78 + (1-$AW$67:$AW$76)*BG78), N($AK$67:$AK$76&gt;$AI78))
) / 1000</f>
        <v>0</v>
      </c>
      <c r="BM78" s="250">
        <f t="shared" si="21"/>
        <v>25</v>
      </c>
      <c r="BN78" s="237">
        <f t="shared" si="22"/>
        <v>39.516666666666666</v>
      </c>
      <c r="BO78" s="253">
        <f t="shared" si="23"/>
        <v>3.877011788826243</v>
      </c>
      <c r="BP78" s="253" cm="1">
        <f t="array" ref="BP78">$BC78 * IF($AD78&lt;=2,
SUMPRODUCT(INDEX($AL$67:$AN$71,,$AE78), INDEX($AO$67:$AU$71,,$AD78), 1 / ($AV$67:$AV$71*BO78 + (1-$AV$67:$AV$71)*BK78), N($AK$67:$AK$71&gt;$AI78)),
SUMPRODUCT(INDEX($AL$57:$AN$66,,$AE78), INDEX($AO$57:$AU$66,,$AD78), 1 / ($AW$57:$AW$66*BO78 + (1-$AW$57:$AW$66)*BK78), N($AK$57:$AK$66&gt;$AI78))
) / 1000</f>
        <v>0</v>
      </c>
      <c r="BQ78" s="250">
        <f t="shared" si="24"/>
        <v>20</v>
      </c>
      <c r="BR78" s="237">
        <f t="shared" si="25"/>
        <v>33</v>
      </c>
      <c r="BS78" s="253">
        <f t="shared" si="26"/>
        <v>4.8487499999999999</v>
      </c>
      <c r="BT78" s="253" cm="1">
        <f t="array" ref="BT78">$BC78 * IF($AD78&lt;=2,
SUMPRODUCT(INDEX($AL$62:$AN$66,,$AE78), INDEX($AO$62:$AU$66,,$AD78), 1 / ($AV$62:$AV$66*BS78 + (1-$AV$62:$AV$66)*BO78), N($AK$62:$AK$66&gt;$AI78)),
SUMPRODUCT(INDEX($AL$47:$AN$56,,$AE78), INDEX($AO$47:$AU$56,,$AD78), 1 / ($AW$47:$AW$56*BS78 + (1-$AW$47:$AW$56)*BO78), N($AK$47:$AK$56&gt;$AI78))
) / 1000</f>
        <v>0</v>
      </c>
      <c r="BU78" s="253" cm="1">
        <f t="array" ref="BU78">$BC78 * IF($AD78&lt;=2,
SUMPRODUCT(INDEX($AL$23:$AN$61,,$AE78), INDEX($AO$23:$AU$61,,$AD78), 1 / ($AV$23:$AV$61*BS78), N($AK$23:$AK$61&gt;$AI78)),
SUMPRODUCT(INDEX($AL$23:$AN$46,,$AE78), INDEX($AO$23:$AU$46,,$AD78), 1 / ($AW$23:$AW$46*BS78), N($AK$23:$AK$46&gt;$AI78))
) / 1000</f>
        <v>0</v>
      </c>
      <c r="BV78" s="237">
        <f t="shared" si="27"/>
        <v>0</v>
      </c>
      <c r="BW78" s="210"/>
      <c r="BX78" s="237">
        <f t="shared" si="28"/>
        <v>0</v>
      </c>
      <c r="BY78" s="236">
        <v>35</v>
      </c>
      <c r="BZ78" s="237">
        <f t="shared" si="29"/>
        <v>48</v>
      </c>
      <c r="CA78" s="253">
        <f t="shared" si="30"/>
        <v>3.0748170731707316</v>
      </c>
      <c r="CB78" s="253" cm="1">
        <f t="array" ref="CB78">$BC78 * SUMPRODUCT(INDEX($AL$77:$AN$82,,$AE78),INDEX($AO$77:$AU$82,,$AD78), N($AK$77:$AK$82&gt;$AI78)) / CA78 / 1000</f>
        <v>0</v>
      </c>
      <c r="CC78" s="250">
        <f t="shared" si="31"/>
        <v>30</v>
      </c>
      <c r="CD78" s="237">
        <f t="shared" si="32"/>
        <v>43</v>
      </c>
      <c r="CE78" s="253">
        <f t="shared" si="33"/>
        <v>3.5018750000000001</v>
      </c>
      <c r="CF78" s="253" cm="1">
        <f t="array" ref="CF78">$BC78 * IF($AD78&lt;=2,
SUMPRODUCT(INDEX($AL$72:$AN$76,,$AE78), INDEX($AO$72:$AU$76,,$AD78), 1 / ($AV$72:$AV$76*CE78 + (1-$AV$72:$AV$76)*CA78), N($AK$72:$AK$76&gt;$AI78)),
SUMPRODUCT(INDEX($AL$67:$AN$76,,$AE78), INDEX($AO$67:$AU$76,,$AD78), 1 / ($AW$67:$AW$76*CE78 + (1-$AW$67:$AW$76)*CA78), N($AK$67:$AK$76&gt;$AI78))
) / 1000</f>
        <v>0</v>
      </c>
      <c r="CG78" s="250">
        <f t="shared" si="34"/>
        <v>25</v>
      </c>
      <c r="CH78" s="237">
        <f t="shared" si="35"/>
        <v>38</v>
      </c>
      <c r="CI78" s="253">
        <f t="shared" si="36"/>
        <v>4.0666935483870965</v>
      </c>
      <c r="CJ78" s="253" cm="1">
        <f t="array" ref="CJ78">$BC78 * IF($AD78&lt;=2,
SUMPRODUCT(INDEX($AL$67:$AN$71,,$AE78), INDEX($AO$67:$AU$71,,$AD78), 1 / ($AV$67:$AV$71*CI78 + (1-$AV$67:$AV$71)*CE78), N($AK$67:$AK$71&gt;$AI78)),
SUMPRODUCT(INDEX($AL$57:$AN$66,,$AE78), INDEX($AO$57:$AU$66,,$AD78), 1 / ($AW$57:$AW$66*CI78 + (1-$AW$57:$AW$66)*CE78), N($AK$57:$AK$66&gt;$AI78))
) / 1000</f>
        <v>0</v>
      </c>
      <c r="CK78" s="250">
        <f t="shared" si="37"/>
        <v>20</v>
      </c>
      <c r="CL78" s="237">
        <f t="shared" si="38"/>
        <v>33</v>
      </c>
      <c r="CM78" s="253">
        <f t="shared" si="39"/>
        <v>4.8487499999999999</v>
      </c>
      <c r="CN78" s="253" cm="1">
        <f t="array" ref="CN78">$BC78 * IF($AD78&lt;=2,
SUMPRODUCT(INDEX($AL$62:$AN$66,,$AE78), INDEX($AO$62:$AU$66,,$AD78), 1 / ($AV$62:$AV$66*CM78 + (1-$AV$62:$AV$66)*CI78), N($AK$62:$AK$66&gt;$AI78)),
SUMPRODUCT(INDEX($AL$47:$AN$56,,$AE78), INDEX($AO$47:$AU$56,,$AD78), 1 / ($AW$47:$AW$56*CM78 + (1-$AW$47:$AW$56)*CI78), N($AK$47:$AK$56&gt;$AI78))
) / 1000</f>
        <v>0</v>
      </c>
      <c r="CO78" s="253" cm="1">
        <f t="array" ref="CO78">$BC78 * IF($AD78&lt;=2,
SUMPRODUCT(INDEX($AL$23:$AN$61,,$AE78), INDEX($AO$23:$AU$61,,$AD78), 1 / ($AV$23:$AV$61*CM78), N($AK$23:$AK$61&gt;$AI78)),
SUMPRODUCT(INDEX($AL$23:$AN$46,,$AE78), INDEX($AO$23:$AU$46,,$AD78), 1 / ($AW$23:$AW$46*CM78), N($AK$23:$AK$46&gt;$AI78))
) / 1000</f>
        <v>0</v>
      </c>
      <c r="CP78" s="237">
        <f t="shared" si="40"/>
        <v>0</v>
      </c>
      <c r="CQ78" s="210"/>
    </row>
    <row r="79" spans="1:95" s="76" customFormat="1" ht="14.25" customHeight="1" x14ac:dyDescent="0.25">
      <c r="A79" s="238" t="b">
        <f t="shared" si="0"/>
        <v>0</v>
      </c>
      <c r="B79" s="239">
        <v>57</v>
      </c>
      <c r="C79" s="258"/>
      <c r="D79" s="258"/>
      <c r="E79" s="240"/>
      <c r="F79" s="241" t="str">
        <f>IF(ISBLANK(E79), "", VLOOKUP(E79, Z!$A$2:$C$4127, 3, FALSE))</f>
        <v/>
      </c>
      <c r="G79" s="242"/>
      <c r="H79" s="242"/>
      <c r="I79" s="243"/>
      <c r="J79" s="244"/>
      <c r="K79" s="259"/>
      <c r="L79" s="260"/>
      <c r="M79" s="247" t="str" cm="1">
        <f t="array" ref="M79">IF($K79&gt;0, INDEX(Clean,1+AG79,$C$1), "")</f>
        <v/>
      </c>
      <c r="N79" s="245"/>
      <c r="O79" s="245"/>
      <c r="P79" s="246"/>
      <c r="Q79" s="248">
        <f t="shared" si="6"/>
        <v>0</v>
      </c>
      <c r="R79" s="247" t="str" cm="1">
        <f t="array" ref="R79">IF($K79&gt;0, INDEX(Clean,1+AH79,$C$1), "")</f>
        <v/>
      </c>
      <c r="S79" s="245"/>
      <c r="T79" s="245"/>
      <c r="U79" s="246"/>
      <c r="V79" s="248">
        <f t="shared" si="7"/>
        <v>0</v>
      </c>
      <c r="W79" s="261"/>
      <c r="X79" s="258"/>
      <c r="Y79" s="240"/>
      <c r="Z79" s="241" t="str">
        <f>IF(ISBLANK(Y79), "", VLOOKUP(Y79, Z!$A$2:$C$4127, 3, FALSE))</f>
        <v/>
      </c>
      <c r="AA79" s="262"/>
      <c r="AB79" s="249">
        <f t="shared" si="8"/>
        <v>0</v>
      </c>
      <c r="AC79" s="210"/>
      <c r="AD79" s="236">
        <f t="shared" ref="AD79" si="203">IF(ISBLANK(H79), 1, IFERROR(MATCH(H79, INDEX(Use,,1), 0), IFERROR(MATCH(H79, INDEX(Use,,2), 0), MATCH(H79, INDEX(Use,,3), 0))))</f>
        <v>1</v>
      </c>
      <c r="AE79" s="236">
        <f t="shared" ref="AE79" si="204">IF(ISBLANK(G79), 1, IFERROR(MATCH(G79, INDEX(Loc,,1), 0), IFERROR(MATCH(G79, INDEX(Loc,,2), 0), MATCH(G79, INDEX(Loc,,3), 0))))</f>
        <v>1</v>
      </c>
      <c r="AF79" s="236">
        <f t="shared" ref="AF79" si="205">_xlfn.IFNA(IF(IFERROR(MATCH(I79, INDEX(Medium,,1), 0), IFERROR(MATCH(I79, INDEX(Medium,,2), 0), MATCH(I79, INDEX(Medium,,3), 0))) = 2, 1, 0), 0)</f>
        <v>0</v>
      </c>
      <c r="AG79" s="236">
        <v>1</v>
      </c>
      <c r="AH79" s="236">
        <v>0</v>
      </c>
      <c r="AI79" s="236">
        <f t="shared" si="4"/>
        <v>-100</v>
      </c>
      <c r="AJ79" s="210"/>
      <c r="AK79" s="236">
        <v>37</v>
      </c>
      <c r="AL79" s="250">
        <v>0</v>
      </c>
      <c r="AM79" s="250">
        <v>0</v>
      </c>
      <c r="AN79" s="250">
        <v>0</v>
      </c>
      <c r="AO79" s="251">
        <f t="shared" si="5"/>
        <v>1.125</v>
      </c>
      <c r="AP79" s="251">
        <f t="shared" si="5"/>
        <v>1.125</v>
      </c>
      <c r="AQ79" s="251" cm="1">
        <f t="array" ref="AQ79">MIN(INDEX(Use,AQ$21,5) + MAX(0, (1-INDEX(Use,AQ$21,5))*($AK79-5)/(35-5)), 1)</f>
        <v>1</v>
      </c>
      <c r="AR79" s="251" cm="1">
        <f t="array" ref="AR79">MIN(INDEX(Use,AR$21,5) + MAX(0, (1-INDEX(Use,AR$21,5))*($AK79-5)/(35-5)), 1)</f>
        <v>1</v>
      </c>
      <c r="AS79" s="251" cm="1">
        <f t="array" ref="AS79">MIN(INDEX(Use,AS$21,5) + MAX(0, (1-INDEX(Use,AS$21,5))*($AK79-5)/(35-5)), 1)</f>
        <v>1</v>
      </c>
      <c r="AT79" s="251" cm="1">
        <f t="array" ref="AT79">MIN(INDEX(Use,AT$21,5) + MAX(0, (1-INDEX(Use,AT$21,5))*($AK79-5)/(35-5)), 1)</f>
        <v>1</v>
      </c>
      <c r="AU79" s="251" cm="1">
        <f t="array" ref="AU79">MIN(INDEX(Use,AU$21,5) + MAX(0, (1-INDEX(Use,AU$21,5))*($AK79-5)/(35-5)), 1)</f>
        <v>1</v>
      </c>
      <c r="AV79" s="251" t="s">
        <v>2</v>
      </c>
      <c r="AW79" s="251" t="s">
        <v>2</v>
      </c>
      <c r="AX79" s="212"/>
      <c r="AY79" s="236" cm="1">
        <f t="array" ref="AY79">INDEX(Use, $AD79, 4)</f>
        <v>7</v>
      </c>
      <c r="AZ79" s="236">
        <f t="shared" si="12"/>
        <v>32</v>
      </c>
      <c r="BA79" s="236">
        <f t="shared" si="13"/>
        <v>13</v>
      </c>
      <c r="BB79" s="236">
        <f t="shared" si="14"/>
        <v>0</v>
      </c>
      <c r="BC79" s="252" cm="1">
        <f t="array" ref="BC79">K79/IF($L79&gt;0, INDEX($AO$23:$AU$77, $L79+20, $AD79), 1)</f>
        <v>0</v>
      </c>
      <c r="BD79" s="237">
        <f t="shared" si="15"/>
        <v>0</v>
      </c>
      <c r="BE79" s="236">
        <v>35</v>
      </c>
      <c r="BF79" s="237">
        <f t="shared" si="16"/>
        <v>52.55</v>
      </c>
      <c r="BG79" s="253">
        <f t="shared" si="17"/>
        <v>2.7676728869374316</v>
      </c>
      <c r="BH79" s="253" cm="1">
        <f t="array" ref="BH79">$BC79 * SUMPRODUCT(INDEX($AL$77:$AN$82,,$AE79),INDEX($AO$77:$AU$82,,$AD79), N($AK$77:$AK$82&gt;$AI79)) / BG79 / 1000</f>
        <v>0</v>
      </c>
      <c r="BI79" s="250">
        <f t="shared" si="18"/>
        <v>30</v>
      </c>
      <c r="BJ79" s="237">
        <f t="shared" si="19"/>
        <v>46.033333333333331</v>
      </c>
      <c r="BK79" s="253">
        <f t="shared" si="20"/>
        <v>3.2297395388556791</v>
      </c>
      <c r="BL79" s="253" cm="1">
        <f t="array" ref="BL79">$BC79 * IF($AD79&lt;=2,
SUMPRODUCT(INDEX($AL$72:$AN$76,,$AE79), INDEX($AO$72:$AU$76,,$AD79), 1 / ($AV$72:$AV$76*BK79 + (1-$AV$72:$AV$76)*BG79), N($AK$72:$AK$76&gt;$AI79)),
SUMPRODUCT(INDEX($AL$67:$AN$76,,$AE79), INDEX($AO$67:$AU$76,,$AD79), 1 / ($AW$67:$AW$76*BK79 + (1-$AW$67:$AW$76)*BG79), N($AK$67:$AK$76&gt;$AI79))
) / 1000</f>
        <v>0</v>
      </c>
      <c r="BM79" s="250">
        <f t="shared" si="21"/>
        <v>25</v>
      </c>
      <c r="BN79" s="237">
        <f t="shared" si="22"/>
        <v>39.516666666666666</v>
      </c>
      <c r="BO79" s="253">
        <f t="shared" si="23"/>
        <v>3.877011788826243</v>
      </c>
      <c r="BP79" s="253" cm="1">
        <f t="array" ref="BP79">$BC79 * IF($AD79&lt;=2,
SUMPRODUCT(INDEX($AL$67:$AN$71,,$AE79), INDEX($AO$67:$AU$71,,$AD79), 1 / ($AV$67:$AV$71*BO79 + (1-$AV$67:$AV$71)*BK79), N($AK$67:$AK$71&gt;$AI79)),
SUMPRODUCT(INDEX($AL$57:$AN$66,,$AE79), INDEX($AO$57:$AU$66,,$AD79), 1 / ($AW$57:$AW$66*BO79 + (1-$AW$57:$AW$66)*BK79), N($AK$57:$AK$66&gt;$AI79))
) / 1000</f>
        <v>0</v>
      </c>
      <c r="BQ79" s="250">
        <f t="shared" si="24"/>
        <v>20</v>
      </c>
      <c r="BR79" s="237">
        <f t="shared" si="25"/>
        <v>33</v>
      </c>
      <c r="BS79" s="253">
        <f t="shared" si="26"/>
        <v>4.8487499999999999</v>
      </c>
      <c r="BT79" s="253" cm="1">
        <f t="array" ref="BT79">$BC79 * IF($AD79&lt;=2,
SUMPRODUCT(INDEX($AL$62:$AN$66,,$AE79), INDEX($AO$62:$AU$66,,$AD79), 1 / ($AV$62:$AV$66*BS79 + (1-$AV$62:$AV$66)*BO79), N($AK$62:$AK$66&gt;$AI79)),
SUMPRODUCT(INDEX($AL$47:$AN$56,,$AE79), INDEX($AO$47:$AU$56,,$AD79), 1 / ($AW$47:$AW$56*BS79 + (1-$AW$47:$AW$56)*BO79), N($AK$47:$AK$56&gt;$AI79))
) / 1000</f>
        <v>0</v>
      </c>
      <c r="BU79" s="253" cm="1">
        <f t="array" ref="BU79">$BC79 * IF($AD79&lt;=2,
SUMPRODUCT(INDEX($AL$23:$AN$61,,$AE79), INDEX($AO$23:$AU$61,,$AD79), 1 / ($AV$23:$AV$61*BS79), N($AK$23:$AK$61&gt;$AI79)),
SUMPRODUCT(INDEX($AL$23:$AN$46,,$AE79), INDEX($AO$23:$AU$46,,$AD79), 1 / ($AW$23:$AW$46*BS79), N($AK$23:$AK$46&gt;$AI79))
) / 1000</f>
        <v>0</v>
      </c>
      <c r="BV79" s="237">
        <f t="shared" si="27"/>
        <v>0</v>
      </c>
      <c r="BW79" s="210"/>
      <c r="BX79" s="237">
        <f t="shared" si="28"/>
        <v>0</v>
      </c>
      <c r="BY79" s="236">
        <v>35</v>
      </c>
      <c r="BZ79" s="237">
        <f t="shared" si="29"/>
        <v>48</v>
      </c>
      <c r="CA79" s="253">
        <f t="shared" si="30"/>
        <v>3.0748170731707316</v>
      </c>
      <c r="CB79" s="253" cm="1">
        <f t="array" ref="CB79">$BC79 * SUMPRODUCT(INDEX($AL$77:$AN$82,,$AE79),INDEX($AO$77:$AU$82,,$AD79), N($AK$77:$AK$82&gt;$AI79)) / CA79 / 1000</f>
        <v>0</v>
      </c>
      <c r="CC79" s="250">
        <f t="shared" si="31"/>
        <v>30</v>
      </c>
      <c r="CD79" s="237">
        <f t="shared" si="32"/>
        <v>43</v>
      </c>
      <c r="CE79" s="253">
        <f t="shared" si="33"/>
        <v>3.5018750000000001</v>
      </c>
      <c r="CF79" s="253" cm="1">
        <f t="array" ref="CF79">$BC79 * IF($AD79&lt;=2,
SUMPRODUCT(INDEX($AL$72:$AN$76,,$AE79), INDEX($AO$72:$AU$76,,$AD79), 1 / ($AV$72:$AV$76*CE79 + (1-$AV$72:$AV$76)*CA79), N($AK$72:$AK$76&gt;$AI79)),
SUMPRODUCT(INDEX($AL$67:$AN$76,,$AE79), INDEX($AO$67:$AU$76,,$AD79), 1 / ($AW$67:$AW$76*CE79 + (1-$AW$67:$AW$76)*CA79), N($AK$67:$AK$76&gt;$AI79))
) / 1000</f>
        <v>0</v>
      </c>
      <c r="CG79" s="250">
        <f t="shared" si="34"/>
        <v>25</v>
      </c>
      <c r="CH79" s="237">
        <f t="shared" si="35"/>
        <v>38</v>
      </c>
      <c r="CI79" s="253">
        <f t="shared" si="36"/>
        <v>4.0666935483870965</v>
      </c>
      <c r="CJ79" s="253" cm="1">
        <f t="array" ref="CJ79">$BC79 * IF($AD79&lt;=2,
SUMPRODUCT(INDEX($AL$67:$AN$71,,$AE79), INDEX($AO$67:$AU$71,,$AD79), 1 / ($AV$67:$AV$71*CI79 + (1-$AV$67:$AV$71)*CE79), N($AK$67:$AK$71&gt;$AI79)),
SUMPRODUCT(INDEX($AL$57:$AN$66,,$AE79), INDEX($AO$57:$AU$66,,$AD79), 1 / ($AW$57:$AW$66*CI79 + (1-$AW$57:$AW$66)*CE79), N($AK$57:$AK$66&gt;$AI79))
) / 1000</f>
        <v>0</v>
      </c>
      <c r="CK79" s="250">
        <f t="shared" si="37"/>
        <v>20</v>
      </c>
      <c r="CL79" s="237">
        <f t="shared" si="38"/>
        <v>33</v>
      </c>
      <c r="CM79" s="253">
        <f t="shared" si="39"/>
        <v>4.8487499999999999</v>
      </c>
      <c r="CN79" s="253" cm="1">
        <f t="array" ref="CN79">$BC79 * IF($AD79&lt;=2,
SUMPRODUCT(INDEX($AL$62:$AN$66,,$AE79), INDEX($AO$62:$AU$66,,$AD79), 1 / ($AV$62:$AV$66*CM79 + (1-$AV$62:$AV$66)*CI79), N($AK$62:$AK$66&gt;$AI79)),
SUMPRODUCT(INDEX($AL$47:$AN$56,,$AE79), INDEX($AO$47:$AU$56,,$AD79), 1 / ($AW$47:$AW$56*CM79 + (1-$AW$47:$AW$56)*CI79), N($AK$47:$AK$56&gt;$AI79))
) / 1000</f>
        <v>0</v>
      </c>
      <c r="CO79" s="253" cm="1">
        <f t="array" ref="CO79">$BC79 * IF($AD79&lt;=2,
SUMPRODUCT(INDEX($AL$23:$AN$61,,$AE79), INDEX($AO$23:$AU$61,,$AD79), 1 / ($AV$23:$AV$61*CM79), N($AK$23:$AK$61&gt;$AI79)),
SUMPRODUCT(INDEX($AL$23:$AN$46,,$AE79), INDEX($AO$23:$AU$46,,$AD79), 1 / ($AW$23:$AW$46*CM79), N($AK$23:$AK$46&gt;$AI79))
) / 1000</f>
        <v>0</v>
      </c>
      <c r="CP79" s="237">
        <f t="shared" si="40"/>
        <v>0</v>
      </c>
      <c r="CQ79" s="210"/>
    </row>
    <row r="80" spans="1:95" s="76" customFormat="1" ht="14.25" customHeight="1" x14ac:dyDescent="0.25">
      <c r="A80" s="238" t="b">
        <f t="shared" si="0"/>
        <v>0</v>
      </c>
      <c r="B80" s="239">
        <v>58</v>
      </c>
      <c r="C80" s="258"/>
      <c r="D80" s="258"/>
      <c r="E80" s="240"/>
      <c r="F80" s="241" t="str">
        <f>IF(ISBLANK(E80), "", VLOOKUP(E80, Z!$A$2:$C$4127, 3, FALSE))</f>
        <v/>
      </c>
      <c r="G80" s="242"/>
      <c r="H80" s="242"/>
      <c r="I80" s="243"/>
      <c r="J80" s="244"/>
      <c r="K80" s="259"/>
      <c r="L80" s="260"/>
      <c r="M80" s="247" t="str" cm="1">
        <f t="array" ref="M80">IF($K80&gt;0, INDEX(Clean,1+AG80,$C$1), "")</f>
        <v/>
      </c>
      <c r="N80" s="245"/>
      <c r="O80" s="245"/>
      <c r="P80" s="246"/>
      <c r="Q80" s="248">
        <f t="shared" si="6"/>
        <v>0</v>
      </c>
      <c r="R80" s="247" t="str" cm="1">
        <f t="array" ref="R80">IF($K80&gt;0, INDEX(Clean,1+AH80,$C$1), "")</f>
        <v/>
      </c>
      <c r="S80" s="245"/>
      <c r="T80" s="245"/>
      <c r="U80" s="246"/>
      <c r="V80" s="248">
        <f t="shared" si="7"/>
        <v>0</v>
      </c>
      <c r="W80" s="261"/>
      <c r="X80" s="258"/>
      <c r="Y80" s="240"/>
      <c r="Z80" s="241" t="str">
        <f>IF(ISBLANK(Y80), "", VLOOKUP(Y80, Z!$A$2:$C$4127, 3, FALSE))</f>
        <v/>
      </c>
      <c r="AA80" s="262"/>
      <c r="AB80" s="249">
        <f t="shared" si="8"/>
        <v>0</v>
      </c>
      <c r="AC80" s="210"/>
      <c r="AD80" s="236">
        <f t="shared" ref="AD80" si="206">IF(ISBLANK(H80), 1, IFERROR(MATCH(H80, INDEX(Use,,1), 0), IFERROR(MATCH(H80, INDEX(Use,,2), 0), MATCH(H80, INDEX(Use,,3), 0))))</f>
        <v>1</v>
      </c>
      <c r="AE80" s="236">
        <f t="shared" ref="AE80" si="207">IF(ISBLANK(G80), 1, IFERROR(MATCH(G80, INDEX(Loc,,1), 0), IFERROR(MATCH(G80, INDEX(Loc,,2), 0), MATCH(G80, INDEX(Loc,,3), 0))))</f>
        <v>1</v>
      </c>
      <c r="AF80" s="236">
        <f t="shared" ref="AF80" si="208">_xlfn.IFNA(IF(IFERROR(MATCH(I80, INDEX(Medium,,1), 0), IFERROR(MATCH(I80, INDEX(Medium,,2), 0), MATCH(I80, INDEX(Medium,,3), 0))) = 2, 1, 0), 0)</f>
        <v>0</v>
      </c>
      <c r="AG80" s="236">
        <v>1</v>
      </c>
      <c r="AH80" s="236">
        <v>0</v>
      </c>
      <c r="AI80" s="236">
        <f t="shared" si="4"/>
        <v>-100</v>
      </c>
      <c r="AJ80" s="210"/>
      <c r="AK80" s="236">
        <v>38</v>
      </c>
      <c r="AL80" s="250">
        <v>0</v>
      </c>
      <c r="AM80" s="250">
        <v>0</v>
      </c>
      <c r="AN80" s="250">
        <v>0</v>
      </c>
      <c r="AO80" s="251">
        <f t="shared" si="5"/>
        <v>1.1875</v>
      </c>
      <c r="AP80" s="251">
        <f t="shared" si="5"/>
        <v>1.1875</v>
      </c>
      <c r="AQ80" s="251" cm="1">
        <f t="array" ref="AQ80">MIN(INDEX(Use,AQ$21,5) + MAX(0, (1-INDEX(Use,AQ$21,5))*($AK80-5)/(35-5)), 1)</f>
        <v>1</v>
      </c>
      <c r="AR80" s="251" cm="1">
        <f t="array" ref="AR80">MIN(INDEX(Use,AR$21,5) + MAX(0, (1-INDEX(Use,AR$21,5))*($AK80-5)/(35-5)), 1)</f>
        <v>1</v>
      </c>
      <c r="AS80" s="251" cm="1">
        <f t="array" ref="AS80">MIN(INDEX(Use,AS$21,5) + MAX(0, (1-INDEX(Use,AS$21,5))*($AK80-5)/(35-5)), 1)</f>
        <v>1</v>
      </c>
      <c r="AT80" s="251" cm="1">
        <f t="array" ref="AT80">MIN(INDEX(Use,AT$21,5) + MAX(0, (1-INDEX(Use,AT$21,5))*($AK80-5)/(35-5)), 1)</f>
        <v>1</v>
      </c>
      <c r="AU80" s="251" cm="1">
        <f t="array" ref="AU80">MIN(INDEX(Use,AU$21,5) + MAX(0, (1-INDEX(Use,AU$21,5))*($AK80-5)/(35-5)), 1)</f>
        <v>1</v>
      </c>
      <c r="AV80" s="251" t="s">
        <v>2</v>
      </c>
      <c r="AW80" s="251" t="s">
        <v>2</v>
      </c>
      <c r="AX80" s="212"/>
      <c r="AY80" s="236" cm="1">
        <f t="array" ref="AY80">INDEX(Use, $AD80, 4)</f>
        <v>7</v>
      </c>
      <c r="AZ80" s="236">
        <f t="shared" si="12"/>
        <v>32</v>
      </c>
      <c r="BA80" s="236">
        <f t="shared" si="13"/>
        <v>13</v>
      </c>
      <c r="BB80" s="236">
        <f t="shared" si="14"/>
        <v>0</v>
      </c>
      <c r="BC80" s="252" cm="1">
        <f t="array" ref="BC80">K80/IF($L80&gt;0, INDEX($AO$23:$AU$77, $L80+20, $AD80), 1)</f>
        <v>0</v>
      </c>
      <c r="BD80" s="237">
        <f t="shared" si="15"/>
        <v>0</v>
      </c>
      <c r="BE80" s="236">
        <v>35</v>
      </c>
      <c r="BF80" s="237">
        <f t="shared" si="16"/>
        <v>52.55</v>
      </c>
      <c r="BG80" s="253">
        <f t="shared" si="17"/>
        <v>2.7676728869374316</v>
      </c>
      <c r="BH80" s="253" cm="1">
        <f t="array" ref="BH80">$BC80 * SUMPRODUCT(INDEX($AL$77:$AN$82,,$AE80),INDEX($AO$77:$AU$82,,$AD80), N($AK$77:$AK$82&gt;$AI80)) / BG80 / 1000</f>
        <v>0</v>
      </c>
      <c r="BI80" s="250">
        <f t="shared" si="18"/>
        <v>30</v>
      </c>
      <c r="BJ80" s="237">
        <f t="shared" si="19"/>
        <v>46.033333333333331</v>
      </c>
      <c r="BK80" s="253">
        <f t="shared" si="20"/>
        <v>3.2297395388556791</v>
      </c>
      <c r="BL80" s="253" cm="1">
        <f t="array" ref="BL80">$BC80 * IF($AD80&lt;=2,
SUMPRODUCT(INDEX($AL$72:$AN$76,,$AE80), INDEX($AO$72:$AU$76,,$AD80), 1 / ($AV$72:$AV$76*BK80 + (1-$AV$72:$AV$76)*BG80), N($AK$72:$AK$76&gt;$AI80)),
SUMPRODUCT(INDEX($AL$67:$AN$76,,$AE80), INDEX($AO$67:$AU$76,,$AD80), 1 / ($AW$67:$AW$76*BK80 + (1-$AW$67:$AW$76)*BG80), N($AK$67:$AK$76&gt;$AI80))
) / 1000</f>
        <v>0</v>
      </c>
      <c r="BM80" s="250">
        <f t="shared" si="21"/>
        <v>25</v>
      </c>
      <c r="BN80" s="237">
        <f t="shared" si="22"/>
        <v>39.516666666666666</v>
      </c>
      <c r="BO80" s="253">
        <f t="shared" si="23"/>
        <v>3.877011788826243</v>
      </c>
      <c r="BP80" s="253" cm="1">
        <f t="array" ref="BP80">$BC80 * IF($AD80&lt;=2,
SUMPRODUCT(INDEX($AL$67:$AN$71,,$AE80), INDEX($AO$67:$AU$71,,$AD80), 1 / ($AV$67:$AV$71*BO80 + (1-$AV$67:$AV$71)*BK80), N($AK$67:$AK$71&gt;$AI80)),
SUMPRODUCT(INDEX($AL$57:$AN$66,,$AE80), INDEX($AO$57:$AU$66,,$AD80), 1 / ($AW$57:$AW$66*BO80 + (1-$AW$57:$AW$66)*BK80), N($AK$57:$AK$66&gt;$AI80))
) / 1000</f>
        <v>0</v>
      </c>
      <c r="BQ80" s="250">
        <f t="shared" si="24"/>
        <v>20</v>
      </c>
      <c r="BR80" s="237">
        <f t="shared" si="25"/>
        <v>33</v>
      </c>
      <c r="BS80" s="253">
        <f t="shared" si="26"/>
        <v>4.8487499999999999</v>
      </c>
      <c r="BT80" s="253" cm="1">
        <f t="array" ref="BT80">$BC80 * IF($AD80&lt;=2,
SUMPRODUCT(INDEX($AL$62:$AN$66,,$AE80), INDEX($AO$62:$AU$66,,$AD80), 1 / ($AV$62:$AV$66*BS80 + (1-$AV$62:$AV$66)*BO80), N($AK$62:$AK$66&gt;$AI80)),
SUMPRODUCT(INDEX($AL$47:$AN$56,,$AE80), INDEX($AO$47:$AU$56,,$AD80), 1 / ($AW$47:$AW$56*BS80 + (1-$AW$47:$AW$56)*BO80), N($AK$47:$AK$56&gt;$AI80))
) / 1000</f>
        <v>0</v>
      </c>
      <c r="BU80" s="253" cm="1">
        <f t="array" ref="BU80">$BC80 * IF($AD80&lt;=2,
SUMPRODUCT(INDEX($AL$23:$AN$61,,$AE80), INDEX($AO$23:$AU$61,,$AD80), 1 / ($AV$23:$AV$61*BS80), N($AK$23:$AK$61&gt;$AI80)),
SUMPRODUCT(INDEX($AL$23:$AN$46,,$AE80), INDEX($AO$23:$AU$46,,$AD80), 1 / ($AW$23:$AW$46*BS80), N($AK$23:$AK$46&gt;$AI80))
) / 1000</f>
        <v>0</v>
      </c>
      <c r="BV80" s="237">
        <f t="shared" si="27"/>
        <v>0</v>
      </c>
      <c r="BW80" s="210"/>
      <c r="BX80" s="237">
        <f t="shared" si="28"/>
        <v>0</v>
      </c>
      <c r="BY80" s="236">
        <v>35</v>
      </c>
      <c r="BZ80" s="237">
        <f t="shared" si="29"/>
        <v>48</v>
      </c>
      <c r="CA80" s="253">
        <f t="shared" si="30"/>
        <v>3.0748170731707316</v>
      </c>
      <c r="CB80" s="253" cm="1">
        <f t="array" ref="CB80">$BC80 * SUMPRODUCT(INDEX($AL$77:$AN$82,,$AE80),INDEX($AO$77:$AU$82,,$AD80), N($AK$77:$AK$82&gt;$AI80)) / CA80 / 1000</f>
        <v>0</v>
      </c>
      <c r="CC80" s="250">
        <f t="shared" si="31"/>
        <v>30</v>
      </c>
      <c r="CD80" s="237">
        <f t="shared" si="32"/>
        <v>43</v>
      </c>
      <c r="CE80" s="253">
        <f t="shared" si="33"/>
        <v>3.5018750000000001</v>
      </c>
      <c r="CF80" s="253" cm="1">
        <f t="array" ref="CF80">$BC80 * IF($AD80&lt;=2,
SUMPRODUCT(INDEX($AL$72:$AN$76,,$AE80), INDEX($AO$72:$AU$76,,$AD80), 1 / ($AV$72:$AV$76*CE80 + (1-$AV$72:$AV$76)*CA80), N($AK$72:$AK$76&gt;$AI80)),
SUMPRODUCT(INDEX($AL$67:$AN$76,,$AE80), INDEX($AO$67:$AU$76,,$AD80), 1 / ($AW$67:$AW$76*CE80 + (1-$AW$67:$AW$76)*CA80), N($AK$67:$AK$76&gt;$AI80))
) / 1000</f>
        <v>0</v>
      </c>
      <c r="CG80" s="250">
        <f t="shared" si="34"/>
        <v>25</v>
      </c>
      <c r="CH80" s="237">
        <f t="shared" si="35"/>
        <v>38</v>
      </c>
      <c r="CI80" s="253">
        <f t="shared" si="36"/>
        <v>4.0666935483870965</v>
      </c>
      <c r="CJ80" s="253" cm="1">
        <f t="array" ref="CJ80">$BC80 * IF($AD80&lt;=2,
SUMPRODUCT(INDEX($AL$67:$AN$71,,$AE80), INDEX($AO$67:$AU$71,,$AD80), 1 / ($AV$67:$AV$71*CI80 + (1-$AV$67:$AV$71)*CE80), N($AK$67:$AK$71&gt;$AI80)),
SUMPRODUCT(INDEX($AL$57:$AN$66,,$AE80), INDEX($AO$57:$AU$66,,$AD80), 1 / ($AW$57:$AW$66*CI80 + (1-$AW$57:$AW$66)*CE80), N($AK$57:$AK$66&gt;$AI80))
) / 1000</f>
        <v>0</v>
      </c>
      <c r="CK80" s="250">
        <f t="shared" si="37"/>
        <v>20</v>
      </c>
      <c r="CL80" s="237">
        <f t="shared" si="38"/>
        <v>33</v>
      </c>
      <c r="CM80" s="253">
        <f t="shared" si="39"/>
        <v>4.8487499999999999</v>
      </c>
      <c r="CN80" s="253" cm="1">
        <f t="array" ref="CN80">$BC80 * IF($AD80&lt;=2,
SUMPRODUCT(INDEX($AL$62:$AN$66,,$AE80), INDEX($AO$62:$AU$66,,$AD80), 1 / ($AV$62:$AV$66*CM80 + (1-$AV$62:$AV$66)*CI80), N($AK$62:$AK$66&gt;$AI80)),
SUMPRODUCT(INDEX($AL$47:$AN$56,,$AE80), INDEX($AO$47:$AU$56,,$AD80), 1 / ($AW$47:$AW$56*CM80 + (1-$AW$47:$AW$56)*CI80), N($AK$47:$AK$56&gt;$AI80))
) / 1000</f>
        <v>0</v>
      </c>
      <c r="CO80" s="253" cm="1">
        <f t="array" ref="CO80">$BC80 * IF($AD80&lt;=2,
SUMPRODUCT(INDEX($AL$23:$AN$61,,$AE80), INDEX($AO$23:$AU$61,,$AD80), 1 / ($AV$23:$AV$61*CM80), N($AK$23:$AK$61&gt;$AI80)),
SUMPRODUCT(INDEX($AL$23:$AN$46,,$AE80), INDEX($AO$23:$AU$46,,$AD80), 1 / ($AW$23:$AW$46*CM80), N($AK$23:$AK$46&gt;$AI80))
) / 1000</f>
        <v>0</v>
      </c>
      <c r="CP80" s="237">
        <f t="shared" si="40"/>
        <v>0</v>
      </c>
      <c r="CQ80" s="210"/>
    </row>
    <row r="81" spans="1:95" s="76" customFormat="1" ht="14.25" customHeight="1" x14ac:dyDescent="0.25">
      <c r="A81" s="238" t="b">
        <f t="shared" si="0"/>
        <v>0</v>
      </c>
      <c r="B81" s="239">
        <v>59</v>
      </c>
      <c r="C81" s="258"/>
      <c r="D81" s="258"/>
      <c r="E81" s="240"/>
      <c r="F81" s="241" t="str">
        <f>IF(ISBLANK(E81), "", VLOOKUP(E81, Z!$A$2:$C$4127, 3, FALSE))</f>
        <v/>
      </c>
      <c r="G81" s="242"/>
      <c r="H81" s="242"/>
      <c r="I81" s="243"/>
      <c r="J81" s="244"/>
      <c r="K81" s="259"/>
      <c r="L81" s="260"/>
      <c r="M81" s="247" t="str" cm="1">
        <f t="array" ref="M81">IF($K81&gt;0, INDEX(Clean,1+AG81,$C$1), "")</f>
        <v/>
      </c>
      <c r="N81" s="245"/>
      <c r="O81" s="245"/>
      <c r="P81" s="246"/>
      <c r="Q81" s="248">
        <f t="shared" si="6"/>
        <v>0</v>
      </c>
      <c r="R81" s="247" t="str" cm="1">
        <f t="array" ref="R81">IF($K81&gt;0, INDEX(Clean,1+AH81,$C$1), "")</f>
        <v/>
      </c>
      <c r="S81" s="245"/>
      <c r="T81" s="245"/>
      <c r="U81" s="246"/>
      <c r="V81" s="248">
        <f t="shared" si="7"/>
        <v>0</v>
      </c>
      <c r="W81" s="261"/>
      <c r="X81" s="258"/>
      <c r="Y81" s="240"/>
      <c r="Z81" s="241" t="str">
        <f>IF(ISBLANK(Y81), "", VLOOKUP(Y81, Z!$A$2:$C$4127, 3, FALSE))</f>
        <v/>
      </c>
      <c r="AA81" s="262"/>
      <c r="AB81" s="249">
        <f t="shared" si="8"/>
        <v>0</v>
      </c>
      <c r="AC81" s="210"/>
      <c r="AD81" s="236">
        <f t="shared" ref="AD81" si="209">IF(ISBLANK(H81), 1, IFERROR(MATCH(H81, INDEX(Use,,1), 0), IFERROR(MATCH(H81, INDEX(Use,,2), 0), MATCH(H81, INDEX(Use,,3), 0))))</f>
        <v>1</v>
      </c>
      <c r="AE81" s="236">
        <f t="shared" ref="AE81" si="210">IF(ISBLANK(G81), 1, IFERROR(MATCH(G81, INDEX(Loc,,1), 0), IFERROR(MATCH(G81, INDEX(Loc,,2), 0), MATCH(G81, INDEX(Loc,,3), 0))))</f>
        <v>1</v>
      </c>
      <c r="AF81" s="236">
        <f t="shared" ref="AF81" si="211">_xlfn.IFNA(IF(IFERROR(MATCH(I81, INDEX(Medium,,1), 0), IFERROR(MATCH(I81, INDEX(Medium,,2), 0), MATCH(I81, INDEX(Medium,,3), 0))) = 2, 1, 0), 0)</f>
        <v>0</v>
      </c>
      <c r="AG81" s="236">
        <v>1</v>
      </c>
      <c r="AH81" s="236">
        <v>0</v>
      </c>
      <c r="AI81" s="236">
        <f t="shared" si="4"/>
        <v>-100</v>
      </c>
      <c r="AJ81" s="210"/>
      <c r="AK81" s="236">
        <v>39</v>
      </c>
      <c r="AL81" s="250">
        <v>0</v>
      </c>
      <c r="AM81" s="250">
        <v>0</v>
      </c>
      <c r="AN81" s="250">
        <v>0</v>
      </c>
      <c r="AO81" s="251">
        <f t="shared" si="5"/>
        <v>1.25</v>
      </c>
      <c r="AP81" s="251">
        <f t="shared" si="5"/>
        <v>1.25</v>
      </c>
      <c r="AQ81" s="251" cm="1">
        <f t="array" ref="AQ81">MIN(INDEX(Use,AQ$21,5) + MAX(0, (1-INDEX(Use,AQ$21,5))*($AK81-5)/(35-5)), 1)</f>
        <v>1</v>
      </c>
      <c r="AR81" s="251" cm="1">
        <f t="array" ref="AR81">MIN(INDEX(Use,AR$21,5) + MAX(0, (1-INDEX(Use,AR$21,5))*($AK81-5)/(35-5)), 1)</f>
        <v>1</v>
      </c>
      <c r="AS81" s="251" cm="1">
        <f t="array" ref="AS81">MIN(INDEX(Use,AS$21,5) + MAX(0, (1-INDEX(Use,AS$21,5))*($AK81-5)/(35-5)), 1)</f>
        <v>1</v>
      </c>
      <c r="AT81" s="251" cm="1">
        <f t="array" ref="AT81">MIN(INDEX(Use,AT$21,5) + MAX(0, (1-INDEX(Use,AT$21,5))*($AK81-5)/(35-5)), 1)</f>
        <v>1</v>
      </c>
      <c r="AU81" s="251" cm="1">
        <f t="array" ref="AU81">MIN(INDEX(Use,AU$21,5) + MAX(0, (1-INDEX(Use,AU$21,5))*($AK81-5)/(35-5)), 1)</f>
        <v>1</v>
      </c>
      <c r="AV81" s="251" t="s">
        <v>2</v>
      </c>
      <c r="AW81" s="251" t="s">
        <v>2</v>
      </c>
      <c r="AX81" s="212"/>
      <c r="AY81" s="236" cm="1">
        <f t="array" ref="AY81">INDEX(Use, $AD81, 4)</f>
        <v>7</v>
      </c>
      <c r="AZ81" s="236">
        <f t="shared" si="12"/>
        <v>32</v>
      </c>
      <c r="BA81" s="236">
        <f t="shared" si="13"/>
        <v>13</v>
      </c>
      <c r="BB81" s="236">
        <f t="shared" si="14"/>
        <v>0</v>
      </c>
      <c r="BC81" s="252" cm="1">
        <f t="array" ref="BC81">K81/IF($L81&gt;0, INDEX($AO$23:$AU$77, $L81+20, $AD81), 1)</f>
        <v>0</v>
      </c>
      <c r="BD81" s="237">
        <f t="shared" si="15"/>
        <v>0</v>
      </c>
      <c r="BE81" s="236">
        <v>35</v>
      </c>
      <c r="BF81" s="237">
        <f t="shared" si="16"/>
        <v>52.55</v>
      </c>
      <c r="BG81" s="253">
        <f t="shared" si="17"/>
        <v>2.7676728869374316</v>
      </c>
      <c r="BH81" s="253" cm="1">
        <f t="array" ref="BH81">$BC81 * SUMPRODUCT(INDEX($AL$77:$AN$82,,$AE81),INDEX($AO$77:$AU$82,,$AD81), N($AK$77:$AK$82&gt;$AI81)) / BG81 / 1000</f>
        <v>0</v>
      </c>
      <c r="BI81" s="250">
        <f t="shared" si="18"/>
        <v>30</v>
      </c>
      <c r="BJ81" s="237">
        <f t="shared" si="19"/>
        <v>46.033333333333331</v>
      </c>
      <c r="BK81" s="253">
        <f t="shared" si="20"/>
        <v>3.2297395388556791</v>
      </c>
      <c r="BL81" s="253" cm="1">
        <f t="array" ref="BL81">$BC81 * IF($AD81&lt;=2,
SUMPRODUCT(INDEX($AL$72:$AN$76,,$AE81), INDEX($AO$72:$AU$76,,$AD81), 1 / ($AV$72:$AV$76*BK81 + (1-$AV$72:$AV$76)*BG81), N($AK$72:$AK$76&gt;$AI81)),
SUMPRODUCT(INDEX($AL$67:$AN$76,,$AE81), INDEX($AO$67:$AU$76,,$AD81), 1 / ($AW$67:$AW$76*BK81 + (1-$AW$67:$AW$76)*BG81), N($AK$67:$AK$76&gt;$AI81))
) / 1000</f>
        <v>0</v>
      </c>
      <c r="BM81" s="250">
        <f t="shared" si="21"/>
        <v>25</v>
      </c>
      <c r="BN81" s="237">
        <f t="shared" si="22"/>
        <v>39.516666666666666</v>
      </c>
      <c r="BO81" s="253">
        <f t="shared" si="23"/>
        <v>3.877011788826243</v>
      </c>
      <c r="BP81" s="253" cm="1">
        <f t="array" ref="BP81">$BC81 * IF($AD81&lt;=2,
SUMPRODUCT(INDEX($AL$67:$AN$71,,$AE81), INDEX($AO$67:$AU$71,,$AD81), 1 / ($AV$67:$AV$71*BO81 + (1-$AV$67:$AV$71)*BK81), N($AK$67:$AK$71&gt;$AI81)),
SUMPRODUCT(INDEX($AL$57:$AN$66,,$AE81), INDEX($AO$57:$AU$66,,$AD81), 1 / ($AW$57:$AW$66*BO81 + (1-$AW$57:$AW$66)*BK81), N($AK$57:$AK$66&gt;$AI81))
) / 1000</f>
        <v>0</v>
      </c>
      <c r="BQ81" s="250">
        <f t="shared" si="24"/>
        <v>20</v>
      </c>
      <c r="BR81" s="237">
        <f t="shared" si="25"/>
        <v>33</v>
      </c>
      <c r="BS81" s="253">
        <f t="shared" si="26"/>
        <v>4.8487499999999999</v>
      </c>
      <c r="BT81" s="253" cm="1">
        <f t="array" ref="BT81">$BC81 * IF($AD81&lt;=2,
SUMPRODUCT(INDEX($AL$62:$AN$66,,$AE81), INDEX($AO$62:$AU$66,,$AD81), 1 / ($AV$62:$AV$66*BS81 + (1-$AV$62:$AV$66)*BO81), N($AK$62:$AK$66&gt;$AI81)),
SUMPRODUCT(INDEX($AL$47:$AN$56,,$AE81), INDEX($AO$47:$AU$56,,$AD81), 1 / ($AW$47:$AW$56*BS81 + (1-$AW$47:$AW$56)*BO81), N($AK$47:$AK$56&gt;$AI81))
) / 1000</f>
        <v>0</v>
      </c>
      <c r="BU81" s="253" cm="1">
        <f t="array" ref="BU81">$BC81 * IF($AD81&lt;=2,
SUMPRODUCT(INDEX($AL$23:$AN$61,,$AE81), INDEX($AO$23:$AU$61,,$AD81), 1 / ($AV$23:$AV$61*BS81), N($AK$23:$AK$61&gt;$AI81)),
SUMPRODUCT(INDEX($AL$23:$AN$46,,$AE81), INDEX($AO$23:$AU$46,,$AD81), 1 / ($AW$23:$AW$46*BS81), N($AK$23:$AK$46&gt;$AI81))
) / 1000</f>
        <v>0</v>
      </c>
      <c r="BV81" s="237">
        <f t="shared" si="27"/>
        <v>0</v>
      </c>
      <c r="BW81" s="210"/>
      <c r="BX81" s="237">
        <f t="shared" si="28"/>
        <v>0</v>
      </c>
      <c r="BY81" s="236">
        <v>35</v>
      </c>
      <c r="BZ81" s="237">
        <f t="shared" si="29"/>
        <v>48</v>
      </c>
      <c r="CA81" s="253">
        <f t="shared" si="30"/>
        <v>3.0748170731707316</v>
      </c>
      <c r="CB81" s="253" cm="1">
        <f t="array" ref="CB81">$BC81 * SUMPRODUCT(INDEX($AL$77:$AN$82,,$AE81),INDEX($AO$77:$AU$82,,$AD81), N($AK$77:$AK$82&gt;$AI81)) / CA81 / 1000</f>
        <v>0</v>
      </c>
      <c r="CC81" s="250">
        <f t="shared" si="31"/>
        <v>30</v>
      </c>
      <c r="CD81" s="237">
        <f t="shared" si="32"/>
        <v>43</v>
      </c>
      <c r="CE81" s="253">
        <f t="shared" si="33"/>
        <v>3.5018750000000001</v>
      </c>
      <c r="CF81" s="253" cm="1">
        <f t="array" ref="CF81">$BC81 * IF($AD81&lt;=2,
SUMPRODUCT(INDEX($AL$72:$AN$76,,$AE81), INDEX($AO$72:$AU$76,,$AD81), 1 / ($AV$72:$AV$76*CE81 + (1-$AV$72:$AV$76)*CA81), N($AK$72:$AK$76&gt;$AI81)),
SUMPRODUCT(INDEX($AL$67:$AN$76,,$AE81), INDEX($AO$67:$AU$76,,$AD81), 1 / ($AW$67:$AW$76*CE81 + (1-$AW$67:$AW$76)*CA81), N($AK$67:$AK$76&gt;$AI81))
) / 1000</f>
        <v>0</v>
      </c>
      <c r="CG81" s="250">
        <f t="shared" si="34"/>
        <v>25</v>
      </c>
      <c r="CH81" s="237">
        <f t="shared" si="35"/>
        <v>38</v>
      </c>
      <c r="CI81" s="253">
        <f t="shared" si="36"/>
        <v>4.0666935483870965</v>
      </c>
      <c r="CJ81" s="253" cm="1">
        <f t="array" ref="CJ81">$BC81 * IF($AD81&lt;=2,
SUMPRODUCT(INDEX($AL$67:$AN$71,,$AE81), INDEX($AO$67:$AU$71,,$AD81), 1 / ($AV$67:$AV$71*CI81 + (1-$AV$67:$AV$71)*CE81), N($AK$67:$AK$71&gt;$AI81)),
SUMPRODUCT(INDEX($AL$57:$AN$66,,$AE81), INDEX($AO$57:$AU$66,,$AD81), 1 / ($AW$57:$AW$66*CI81 + (1-$AW$57:$AW$66)*CE81), N($AK$57:$AK$66&gt;$AI81))
) / 1000</f>
        <v>0</v>
      </c>
      <c r="CK81" s="250">
        <f t="shared" si="37"/>
        <v>20</v>
      </c>
      <c r="CL81" s="237">
        <f t="shared" si="38"/>
        <v>33</v>
      </c>
      <c r="CM81" s="253">
        <f t="shared" si="39"/>
        <v>4.8487499999999999</v>
      </c>
      <c r="CN81" s="253" cm="1">
        <f t="array" ref="CN81">$BC81 * IF($AD81&lt;=2,
SUMPRODUCT(INDEX($AL$62:$AN$66,,$AE81), INDEX($AO$62:$AU$66,,$AD81), 1 / ($AV$62:$AV$66*CM81 + (1-$AV$62:$AV$66)*CI81), N($AK$62:$AK$66&gt;$AI81)),
SUMPRODUCT(INDEX($AL$47:$AN$56,,$AE81), INDEX($AO$47:$AU$56,,$AD81), 1 / ($AW$47:$AW$56*CM81 + (1-$AW$47:$AW$56)*CI81), N($AK$47:$AK$56&gt;$AI81))
) / 1000</f>
        <v>0</v>
      </c>
      <c r="CO81" s="253" cm="1">
        <f t="array" ref="CO81">$BC81 * IF($AD81&lt;=2,
SUMPRODUCT(INDEX($AL$23:$AN$61,,$AE81), INDEX($AO$23:$AU$61,,$AD81), 1 / ($AV$23:$AV$61*CM81), N($AK$23:$AK$61&gt;$AI81)),
SUMPRODUCT(INDEX($AL$23:$AN$46,,$AE81), INDEX($AO$23:$AU$46,,$AD81), 1 / ($AW$23:$AW$46*CM81), N($AK$23:$AK$46&gt;$AI81))
) / 1000</f>
        <v>0</v>
      </c>
      <c r="CP81" s="237">
        <f t="shared" si="40"/>
        <v>0</v>
      </c>
      <c r="CQ81" s="210"/>
    </row>
    <row r="82" spans="1:95" s="76" customFormat="1" ht="14.25" customHeight="1" x14ac:dyDescent="0.25">
      <c r="A82" s="238" t="b">
        <f t="shared" si="0"/>
        <v>0</v>
      </c>
      <c r="B82" s="239">
        <v>60</v>
      </c>
      <c r="C82" s="258"/>
      <c r="D82" s="258"/>
      <c r="E82" s="240"/>
      <c r="F82" s="241" t="str">
        <f>IF(ISBLANK(E82), "", VLOOKUP(E82, Z!$A$2:$C$4127, 3, FALSE))</f>
        <v/>
      </c>
      <c r="G82" s="242"/>
      <c r="H82" s="242"/>
      <c r="I82" s="243"/>
      <c r="J82" s="244"/>
      <c r="K82" s="259"/>
      <c r="L82" s="260"/>
      <c r="M82" s="247" t="str" cm="1">
        <f t="array" ref="M82">IF($K82&gt;0, INDEX(Clean,1+AG82,$C$1), "")</f>
        <v/>
      </c>
      <c r="N82" s="245"/>
      <c r="O82" s="245"/>
      <c r="P82" s="246"/>
      <c r="Q82" s="248">
        <f t="shared" si="6"/>
        <v>0</v>
      </c>
      <c r="R82" s="247" t="str" cm="1">
        <f t="array" ref="R82">IF($K82&gt;0, INDEX(Clean,1+AH82,$C$1), "")</f>
        <v/>
      </c>
      <c r="S82" s="245"/>
      <c r="T82" s="245"/>
      <c r="U82" s="246"/>
      <c r="V82" s="248">
        <f t="shared" si="7"/>
        <v>0</v>
      </c>
      <c r="W82" s="261"/>
      <c r="X82" s="258"/>
      <c r="Y82" s="240"/>
      <c r="Z82" s="241" t="str">
        <f>IF(ISBLANK(Y82), "", VLOOKUP(Y82, Z!$A$2:$C$4127, 3, FALSE))</f>
        <v/>
      </c>
      <c r="AA82" s="262"/>
      <c r="AB82" s="249">
        <f t="shared" si="8"/>
        <v>0</v>
      </c>
      <c r="AC82" s="210"/>
      <c r="AD82" s="236">
        <f t="shared" ref="AD82" si="212">IF(ISBLANK(H82), 1, IFERROR(MATCH(H82, INDEX(Use,,1), 0), IFERROR(MATCH(H82, INDEX(Use,,2), 0), MATCH(H82, INDEX(Use,,3), 0))))</f>
        <v>1</v>
      </c>
      <c r="AE82" s="236">
        <f t="shared" ref="AE82" si="213">IF(ISBLANK(G82), 1, IFERROR(MATCH(G82, INDEX(Loc,,1), 0), IFERROR(MATCH(G82, INDEX(Loc,,2), 0), MATCH(G82, INDEX(Loc,,3), 0))))</f>
        <v>1</v>
      </c>
      <c r="AF82" s="236">
        <f t="shared" ref="AF82" si="214">_xlfn.IFNA(IF(IFERROR(MATCH(I82, INDEX(Medium,,1), 0), IFERROR(MATCH(I82, INDEX(Medium,,2), 0), MATCH(I82, INDEX(Medium,,3), 0))) = 2, 1, 0), 0)</f>
        <v>0</v>
      </c>
      <c r="AG82" s="236">
        <v>1</v>
      </c>
      <c r="AH82" s="236">
        <v>0</v>
      </c>
      <c r="AI82" s="236">
        <f t="shared" si="4"/>
        <v>-100</v>
      </c>
      <c r="AJ82" s="210"/>
      <c r="AK82" s="236">
        <v>40</v>
      </c>
      <c r="AL82" s="250">
        <v>0</v>
      </c>
      <c r="AM82" s="250">
        <v>0</v>
      </c>
      <c r="AN82" s="250">
        <v>0</v>
      </c>
      <c r="AO82" s="251">
        <f>MAX(0, ($AK82-19)/(35-19))</f>
        <v>1.3125</v>
      </c>
      <c r="AP82" s="251">
        <f>MAX(0, ($AK82-19)/(35-19))</f>
        <v>1.3125</v>
      </c>
      <c r="AQ82" s="251" cm="1">
        <f t="array" ref="AQ82">MIN(INDEX(Use,AQ$21,5) + MAX(0, (1-INDEX(Use,AQ$21,5))*($AK82-5)/(35-5)), 1)</f>
        <v>1</v>
      </c>
      <c r="AR82" s="251" cm="1">
        <f t="array" ref="AR82">MIN(INDEX(Use,AR$21,5) + MAX(0, (1-INDEX(Use,AR$21,5))*($AK82-5)/(35-5)), 1)</f>
        <v>1</v>
      </c>
      <c r="AS82" s="251" cm="1">
        <f t="array" ref="AS82">MIN(INDEX(Use,AS$21,5) + MAX(0, (1-INDEX(Use,AS$21,5))*($AK82-5)/(35-5)), 1)</f>
        <v>1</v>
      </c>
      <c r="AT82" s="251" cm="1">
        <f t="array" ref="AT82">MIN(INDEX(Use,AT$21,5) + MAX(0, (1-INDEX(Use,AT$21,5))*($AK82-5)/(35-5)), 1)</f>
        <v>1</v>
      </c>
      <c r="AU82" s="251" cm="1">
        <f t="array" ref="AU82">MIN(INDEX(Use,AU$21,5) + MAX(0, (1-INDEX(Use,AU$21,5))*($AK82-5)/(35-5)), 1)</f>
        <v>1</v>
      </c>
      <c r="AV82" s="251" t="s">
        <v>2</v>
      </c>
      <c r="AW82" s="251" t="s">
        <v>2</v>
      </c>
      <c r="AX82" s="212"/>
      <c r="AY82" s="236" cm="1">
        <f t="array" ref="AY82">INDEX(Use, $AD82, 4)</f>
        <v>7</v>
      </c>
      <c r="AZ82" s="236">
        <f t="shared" si="12"/>
        <v>32</v>
      </c>
      <c r="BA82" s="236">
        <f t="shared" si="13"/>
        <v>13</v>
      </c>
      <c r="BB82" s="236">
        <f t="shared" si="14"/>
        <v>0</v>
      </c>
      <c r="BC82" s="252" cm="1">
        <f t="array" ref="BC82">K82/IF($L82&gt;0, INDEX($AO$23:$AU$77, $L82+20, $AD82), 1)</f>
        <v>0</v>
      </c>
      <c r="BD82" s="237">
        <f t="shared" si="15"/>
        <v>0</v>
      </c>
      <c r="BE82" s="236">
        <v>35</v>
      </c>
      <c r="BF82" s="237">
        <f t="shared" si="16"/>
        <v>52.55</v>
      </c>
      <c r="BG82" s="253">
        <f t="shared" si="17"/>
        <v>2.7676728869374316</v>
      </c>
      <c r="BH82" s="253" cm="1">
        <f t="array" ref="BH82">$BC82 * SUMPRODUCT(INDEX($AL$77:$AN$82,,$AE82),INDEX($AO$77:$AU$82,,$AD82), N($AK$77:$AK$82&gt;$AI82)) / BG82 / 1000</f>
        <v>0</v>
      </c>
      <c r="BI82" s="250">
        <f t="shared" si="18"/>
        <v>30</v>
      </c>
      <c r="BJ82" s="237">
        <f t="shared" si="19"/>
        <v>46.033333333333331</v>
      </c>
      <c r="BK82" s="253">
        <f t="shared" si="20"/>
        <v>3.2297395388556791</v>
      </c>
      <c r="BL82" s="253" cm="1">
        <f t="array" ref="BL82">$BC82 * IF($AD82&lt;=2,
SUMPRODUCT(INDEX($AL$72:$AN$76,,$AE82), INDEX($AO$72:$AU$76,,$AD82), 1 / ($AV$72:$AV$76*BK82 + (1-$AV$72:$AV$76)*BG82), N($AK$72:$AK$76&gt;$AI82)),
SUMPRODUCT(INDEX($AL$67:$AN$76,,$AE82), INDEX($AO$67:$AU$76,,$AD82), 1 / ($AW$67:$AW$76*BK82 + (1-$AW$67:$AW$76)*BG82), N($AK$67:$AK$76&gt;$AI82))
) / 1000</f>
        <v>0</v>
      </c>
      <c r="BM82" s="250">
        <f t="shared" si="21"/>
        <v>25</v>
      </c>
      <c r="BN82" s="237">
        <f t="shared" si="22"/>
        <v>39.516666666666666</v>
      </c>
      <c r="BO82" s="253">
        <f t="shared" si="23"/>
        <v>3.877011788826243</v>
      </c>
      <c r="BP82" s="253" cm="1">
        <f t="array" ref="BP82">$BC82 * IF($AD82&lt;=2,
SUMPRODUCT(INDEX($AL$67:$AN$71,,$AE82), INDEX($AO$67:$AU$71,,$AD82), 1 / ($AV$67:$AV$71*BO82 + (1-$AV$67:$AV$71)*BK82), N($AK$67:$AK$71&gt;$AI82)),
SUMPRODUCT(INDEX($AL$57:$AN$66,,$AE82), INDEX($AO$57:$AU$66,,$AD82), 1 / ($AW$57:$AW$66*BO82 + (1-$AW$57:$AW$66)*BK82), N($AK$57:$AK$66&gt;$AI82))
) / 1000</f>
        <v>0</v>
      </c>
      <c r="BQ82" s="250">
        <f t="shared" si="24"/>
        <v>20</v>
      </c>
      <c r="BR82" s="237">
        <f t="shared" si="25"/>
        <v>33</v>
      </c>
      <c r="BS82" s="253">
        <f t="shared" si="26"/>
        <v>4.8487499999999999</v>
      </c>
      <c r="BT82" s="253" cm="1">
        <f t="array" ref="BT82">$BC82 * IF($AD82&lt;=2,
SUMPRODUCT(INDEX($AL$62:$AN$66,,$AE82), INDEX($AO$62:$AU$66,,$AD82), 1 / ($AV$62:$AV$66*BS82 + (1-$AV$62:$AV$66)*BO82), N($AK$62:$AK$66&gt;$AI82)),
SUMPRODUCT(INDEX($AL$47:$AN$56,,$AE82), INDEX($AO$47:$AU$56,,$AD82), 1 / ($AW$47:$AW$56*BS82 + (1-$AW$47:$AW$56)*BO82), N($AK$47:$AK$56&gt;$AI82))
) / 1000</f>
        <v>0</v>
      </c>
      <c r="BU82" s="253" cm="1">
        <f t="array" ref="BU82">$BC82 * IF($AD82&lt;=2,
SUMPRODUCT(INDEX($AL$23:$AN$61,,$AE82), INDEX($AO$23:$AU$61,,$AD82), 1 / ($AV$23:$AV$61*BS82), N($AK$23:$AK$61&gt;$AI82)),
SUMPRODUCT(INDEX($AL$23:$AN$46,,$AE82), INDEX($AO$23:$AU$46,,$AD82), 1 / ($AW$23:$AW$46*BS82), N($AK$23:$AK$46&gt;$AI82))
) / 1000</f>
        <v>0</v>
      </c>
      <c r="BV82" s="237">
        <f t="shared" si="27"/>
        <v>0</v>
      </c>
      <c r="BW82" s="210"/>
      <c r="BX82" s="237">
        <f t="shared" si="28"/>
        <v>0</v>
      </c>
      <c r="BY82" s="236">
        <v>35</v>
      </c>
      <c r="BZ82" s="237">
        <f t="shared" si="29"/>
        <v>48</v>
      </c>
      <c r="CA82" s="253">
        <f t="shared" si="30"/>
        <v>3.0748170731707316</v>
      </c>
      <c r="CB82" s="253" cm="1">
        <f t="array" ref="CB82">$BC82 * SUMPRODUCT(INDEX($AL$77:$AN$82,,$AE82),INDEX($AO$77:$AU$82,,$AD82), N($AK$77:$AK$82&gt;$AI82)) / CA82 / 1000</f>
        <v>0</v>
      </c>
      <c r="CC82" s="250">
        <f t="shared" si="31"/>
        <v>30</v>
      </c>
      <c r="CD82" s="237">
        <f t="shared" si="32"/>
        <v>43</v>
      </c>
      <c r="CE82" s="253">
        <f t="shared" si="33"/>
        <v>3.5018750000000001</v>
      </c>
      <c r="CF82" s="253" cm="1">
        <f t="array" ref="CF82">$BC82 * IF($AD82&lt;=2,
SUMPRODUCT(INDEX($AL$72:$AN$76,,$AE82), INDEX($AO$72:$AU$76,,$AD82), 1 / ($AV$72:$AV$76*CE82 + (1-$AV$72:$AV$76)*CA82), N($AK$72:$AK$76&gt;$AI82)),
SUMPRODUCT(INDEX($AL$67:$AN$76,,$AE82), INDEX($AO$67:$AU$76,,$AD82), 1 / ($AW$67:$AW$76*CE82 + (1-$AW$67:$AW$76)*CA82), N($AK$67:$AK$76&gt;$AI82))
) / 1000</f>
        <v>0</v>
      </c>
      <c r="CG82" s="250">
        <f t="shared" si="34"/>
        <v>25</v>
      </c>
      <c r="CH82" s="237">
        <f t="shared" si="35"/>
        <v>38</v>
      </c>
      <c r="CI82" s="253">
        <f t="shared" si="36"/>
        <v>4.0666935483870965</v>
      </c>
      <c r="CJ82" s="253" cm="1">
        <f t="array" ref="CJ82">$BC82 * IF($AD82&lt;=2,
SUMPRODUCT(INDEX($AL$67:$AN$71,,$AE82), INDEX($AO$67:$AU$71,,$AD82), 1 / ($AV$67:$AV$71*CI82 + (1-$AV$67:$AV$71)*CE82), N($AK$67:$AK$71&gt;$AI82)),
SUMPRODUCT(INDEX($AL$57:$AN$66,,$AE82), INDEX($AO$57:$AU$66,,$AD82), 1 / ($AW$57:$AW$66*CI82 + (1-$AW$57:$AW$66)*CE82), N($AK$57:$AK$66&gt;$AI82))
) / 1000</f>
        <v>0</v>
      </c>
      <c r="CK82" s="250">
        <f t="shared" si="37"/>
        <v>20</v>
      </c>
      <c r="CL82" s="237">
        <f t="shared" si="38"/>
        <v>33</v>
      </c>
      <c r="CM82" s="253">
        <f t="shared" si="39"/>
        <v>4.8487499999999999</v>
      </c>
      <c r="CN82" s="253" cm="1">
        <f t="array" ref="CN82">$BC82 * IF($AD82&lt;=2,
SUMPRODUCT(INDEX($AL$62:$AN$66,,$AE82), INDEX($AO$62:$AU$66,,$AD82), 1 / ($AV$62:$AV$66*CM82 + (1-$AV$62:$AV$66)*CI82), N($AK$62:$AK$66&gt;$AI82)),
SUMPRODUCT(INDEX($AL$47:$AN$56,,$AE82), INDEX($AO$47:$AU$56,,$AD82), 1 / ($AW$47:$AW$56*CM82 + (1-$AW$47:$AW$56)*CI82), N($AK$47:$AK$56&gt;$AI82))
) / 1000</f>
        <v>0</v>
      </c>
      <c r="CO82" s="253" cm="1">
        <f t="array" ref="CO82">$BC82 * IF($AD82&lt;=2,
SUMPRODUCT(INDEX($AL$23:$AN$61,,$AE82), INDEX($AO$23:$AU$61,,$AD82), 1 / ($AV$23:$AV$61*CM82), N($AK$23:$AK$61&gt;$AI82)),
SUMPRODUCT(INDEX($AL$23:$AN$46,,$AE82), INDEX($AO$23:$AU$46,,$AD82), 1 / ($AW$23:$AW$46*CM82), N($AK$23:$AK$46&gt;$AI82))
) / 1000</f>
        <v>0</v>
      </c>
      <c r="CP82" s="237">
        <f t="shared" si="40"/>
        <v>0</v>
      </c>
      <c r="CQ82" s="210"/>
    </row>
    <row r="83" spans="1:95" s="76" customFormat="1" ht="14.25" customHeight="1" x14ac:dyDescent="0.25">
      <c r="A83" s="238" t="b">
        <f t="shared" si="0"/>
        <v>0</v>
      </c>
      <c r="B83" s="239">
        <v>61</v>
      </c>
      <c r="C83" s="258"/>
      <c r="D83" s="258"/>
      <c r="E83" s="240"/>
      <c r="F83" s="241" t="str">
        <f>IF(ISBLANK(E83), "", VLOOKUP(E83, Z!$A$2:$C$4127, 3, FALSE))</f>
        <v/>
      </c>
      <c r="G83" s="242"/>
      <c r="H83" s="242"/>
      <c r="I83" s="243"/>
      <c r="J83" s="244"/>
      <c r="K83" s="259"/>
      <c r="L83" s="260"/>
      <c r="M83" s="247" t="str" cm="1">
        <f t="array" ref="M83">IF($K83&gt;0, INDEX(Clean,1+AG83,$C$1), "")</f>
        <v/>
      </c>
      <c r="N83" s="245"/>
      <c r="O83" s="245"/>
      <c r="P83" s="246"/>
      <c r="Q83" s="248">
        <f t="shared" si="6"/>
        <v>0</v>
      </c>
      <c r="R83" s="247" t="str" cm="1">
        <f t="array" ref="R83">IF($K83&gt;0, INDEX(Clean,1+AH83,$C$1), "")</f>
        <v/>
      </c>
      <c r="S83" s="245"/>
      <c r="T83" s="245"/>
      <c r="U83" s="246"/>
      <c r="V83" s="248">
        <f t="shared" si="7"/>
        <v>0</v>
      </c>
      <c r="W83" s="261"/>
      <c r="X83" s="258"/>
      <c r="Y83" s="240"/>
      <c r="Z83" s="241" t="str">
        <f>IF(ISBLANK(Y83), "", VLOOKUP(Y83, Z!$A$2:$C$4127, 3, FALSE))</f>
        <v/>
      </c>
      <c r="AA83" s="262"/>
      <c r="AB83" s="249">
        <f t="shared" si="8"/>
        <v>0</v>
      </c>
      <c r="AC83" s="210"/>
      <c r="AD83" s="236">
        <f t="shared" ref="AD83" si="215">IF(ISBLANK(H83), 1, IFERROR(MATCH(H83, INDEX(Use,,1), 0), IFERROR(MATCH(H83, INDEX(Use,,2), 0), MATCH(H83, INDEX(Use,,3), 0))))</f>
        <v>1</v>
      </c>
      <c r="AE83" s="236">
        <f t="shared" ref="AE83" si="216">IF(ISBLANK(G83), 1, IFERROR(MATCH(G83, INDEX(Loc,,1), 0), IFERROR(MATCH(G83, INDEX(Loc,,2), 0), MATCH(G83, INDEX(Loc,,3), 0))))</f>
        <v>1</v>
      </c>
      <c r="AF83" s="236">
        <f t="shared" ref="AF83" si="217">_xlfn.IFNA(IF(IFERROR(MATCH(I83, INDEX(Medium,,1), 0), IFERROR(MATCH(I83, INDEX(Medium,,2), 0), MATCH(I83, INDEX(Medium,,3), 0))) = 2, 1, 0), 0)</f>
        <v>0</v>
      </c>
      <c r="AG83" s="236">
        <v>1</v>
      </c>
      <c r="AH83" s="236">
        <v>0</v>
      </c>
      <c r="AI83" s="236">
        <f t="shared" si="4"/>
        <v>-100</v>
      </c>
      <c r="AJ83" s="210"/>
      <c r="AK83" s="254"/>
      <c r="AL83" s="254"/>
      <c r="AM83" s="254"/>
      <c r="AN83" s="254"/>
      <c r="AO83" s="255"/>
      <c r="AP83" s="255"/>
      <c r="AQ83" s="255"/>
      <c r="AR83" s="255"/>
      <c r="AS83" s="255"/>
      <c r="AT83" s="255"/>
      <c r="AU83" s="255"/>
      <c r="AV83" s="255"/>
      <c r="AW83" s="255"/>
      <c r="AX83" s="212"/>
      <c r="AY83" s="236" cm="1">
        <f t="array" ref="AY83">INDEX(Use, $AD83, 4)</f>
        <v>7</v>
      </c>
      <c r="AZ83" s="236">
        <f t="shared" si="12"/>
        <v>32</v>
      </c>
      <c r="BA83" s="236">
        <f t="shared" si="13"/>
        <v>13</v>
      </c>
      <c r="BB83" s="236">
        <f t="shared" si="14"/>
        <v>0</v>
      </c>
      <c r="BC83" s="252" cm="1">
        <f t="array" ref="BC83">K83/IF($L83&gt;0, INDEX($AO$23:$AU$77, $L83+20, $AD83), 1)</f>
        <v>0</v>
      </c>
      <c r="BD83" s="237">
        <f t="shared" si="15"/>
        <v>0</v>
      </c>
      <c r="BE83" s="236">
        <v>35</v>
      </c>
      <c r="BF83" s="237">
        <f t="shared" si="16"/>
        <v>52.55</v>
      </c>
      <c r="BG83" s="253">
        <f t="shared" si="17"/>
        <v>2.7676728869374316</v>
      </c>
      <c r="BH83" s="253" cm="1">
        <f t="array" ref="BH83">$BC83 * SUMPRODUCT(INDEX($AL$77:$AN$82,,$AE83),INDEX($AO$77:$AU$82,,$AD83), N($AK$77:$AK$82&gt;$AI83)) / BG83 / 1000</f>
        <v>0</v>
      </c>
      <c r="BI83" s="250">
        <f t="shared" si="18"/>
        <v>30</v>
      </c>
      <c r="BJ83" s="237">
        <f t="shared" si="19"/>
        <v>46.033333333333331</v>
      </c>
      <c r="BK83" s="253">
        <f t="shared" si="20"/>
        <v>3.2297395388556791</v>
      </c>
      <c r="BL83" s="253" cm="1">
        <f t="array" ref="BL83">$BC83 * IF($AD83&lt;=2,
SUMPRODUCT(INDEX($AL$72:$AN$76,,$AE83), INDEX($AO$72:$AU$76,,$AD83), 1 / ($AV$72:$AV$76*BK83 + (1-$AV$72:$AV$76)*BG83), N($AK$72:$AK$76&gt;$AI83)),
SUMPRODUCT(INDEX($AL$67:$AN$76,,$AE83), INDEX($AO$67:$AU$76,,$AD83), 1 / ($AW$67:$AW$76*BK83 + (1-$AW$67:$AW$76)*BG83), N($AK$67:$AK$76&gt;$AI83))
) / 1000</f>
        <v>0</v>
      </c>
      <c r="BM83" s="250">
        <f t="shared" si="21"/>
        <v>25</v>
      </c>
      <c r="BN83" s="237">
        <f t="shared" si="22"/>
        <v>39.516666666666666</v>
      </c>
      <c r="BO83" s="253">
        <f t="shared" si="23"/>
        <v>3.877011788826243</v>
      </c>
      <c r="BP83" s="253" cm="1">
        <f t="array" ref="BP83">$BC83 * IF($AD83&lt;=2,
SUMPRODUCT(INDEX($AL$67:$AN$71,,$AE83), INDEX($AO$67:$AU$71,,$AD83), 1 / ($AV$67:$AV$71*BO83 + (1-$AV$67:$AV$71)*BK83), N($AK$67:$AK$71&gt;$AI83)),
SUMPRODUCT(INDEX($AL$57:$AN$66,,$AE83), INDEX($AO$57:$AU$66,,$AD83), 1 / ($AW$57:$AW$66*BO83 + (1-$AW$57:$AW$66)*BK83), N($AK$57:$AK$66&gt;$AI83))
) / 1000</f>
        <v>0</v>
      </c>
      <c r="BQ83" s="250">
        <f t="shared" si="24"/>
        <v>20</v>
      </c>
      <c r="BR83" s="237">
        <f t="shared" si="25"/>
        <v>33</v>
      </c>
      <c r="BS83" s="253">
        <f t="shared" si="26"/>
        <v>4.8487499999999999</v>
      </c>
      <c r="BT83" s="253" cm="1">
        <f t="array" ref="BT83">$BC83 * IF($AD83&lt;=2,
SUMPRODUCT(INDEX($AL$62:$AN$66,,$AE83), INDEX($AO$62:$AU$66,,$AD83), 1 / ($AV$62:$AV$66*BS83 + (1-$AV$62:$AV$66)*BO83), N($AK$62:$AK$66&gt;$AI83)),
SUMPRODUCT(INDEX($AL$47:$AN$56,,$AE83), INDEX($AO$47:$AU$56,,$AD83), 1 / ($AW$47:$AW$56*BS83 + (1-$AW$47:$AW$56)*BO83), N($AK$47:$AK$56&gt;$AI83))
) / 1000</f>
        <v>0</v>
      </c>
      <c r="BU83" s="253" cm="1">
        <f t="array" ref="BU83">$BC83 * IF($AD83&lt;=2,
SUMPRODUCT(INDEX($AL$23:$AN$61,,$AE83), INDEX($AO$23:$AU$61,,$AD83), 1 / ($AV$23:$AV$61*BS83), N($AK$23:$AK$61&gt;$AI83)),
SUMPRODUCT(INDEX($AL$23:$AN$46,,$AE83), INDEX($AO$23:$AU$46,,$AD83), 1 / ($AW$23:$AW$46*BS83), N($AK$23:$AK$46&gt;$AI83))
) / 1000</f>
        <v>0</v>
      </c>
      <c r="BV83" s="237">
        <f t="shared" si="27"/>
        <v>0</v>
      </c>
      <c r="BW83" s="210"/>
      <c r="BX83" s="237">
        <f t="shared" si="28"/>
        <v>0</v>
      </c>
      <c r="BY83" s="236">
        <v>35</v>
      </c>
      <c r="BZ83" s="237">
        <f t="shared" si="29"/>
        <v>48</v>
      </c>
      <c r="CA83" s="253">
        <f t="shared" si="30"/>
        <v>3.0748170731707316</v>
      </c>
      <c r="CB83" s="253" cm="1">
        <f t="array" ref="CB83">$BC83 * SUMPRODUCT(INDEX($AL$77:$AN$82,,$AE83),INDEX($AO$77:$AU$82,,$AD83), N($AK$77:$AK$82&gt;$AI83)) / CA83 / 1000</f>
        <v>0</v>
      </c>
      <c r="CC83" s="250">
        <f t="shared" si="31"/>
        <v>30</v>
      </c>
      <c r="CD83" s="237">
        <f t="shared" si="32"/>
        <v>43</v>
      </c>
      <c r="CE83" s="253">
        <f t="shared" si="33"/>
        <v>3.5018750000000001</v>
      </c>
      <c r="CF83" s="253" cm="1">
        <f t="array" ref="CF83">$BC83 * IF($AD83&lt;=2,
SUMPRODUCT(INDEX($AL$72:$AN$76,,$AE83), INDEX($AO$72:$AU$76,,$AD83), 1 / ($AV$72:$AV$76*CE83 + (1-$AV$72:$AV$76)*CA83), N($AK$72:$AK$76&gt;$AI83)),
SUMPRODUCT(INDEX($AL$67:$AN$76,,$AE83), INDEX($AO$67:$AU$76,,$AD83), 1 / ($AW$67:$AW$76*CE83 + (1-$AW$67:$AW$76)*CA83), N($AK$67:$AK$76&gt;$AI83))
) / 1000</f>
        <v>0</v>
      </c>
      <c r="CG83" s="250">
        <f t="shared" si="34"/>
        <v>25</v>
      </c>
      <c r="CH83" s="237">
        <f t="shared" si="35"/>
        <v>38</v>
      </c>
      <c r="CI83" s="253">
        <f t="shared" si="36"/>
        <v>4.0666935483870965</v>
      </c>
      <c r="CJ83" s="253" cm="1">
        <f t="array" ref="CJ83">$BC83 * IF($AD83&lt;=2,
SUMPRODUCT(INDEX($AL$67:$AN$71,,$AE83), INDEX($AO$67:$AU$71,,$AD83), 1 / ($AV$67:$AV$71*CI83 + (1-$AV$67:$AV$71)*CE83), N($AK$67:$AK$71&gt;$AI83)),
SUMPRODUCT(INDEX($AL$57:$AN$66,,$AE83), INDEX($AO$57:$AU$66,,$AD83), 1 / ($AW$57:$AW$66*CI83 + (1-$AW$57:$AW$66)*CE83), N($AK$57:$AK$66&gt;$AI83))
) / 1000</f>
        <v>0</v>
      </c>
      <c r="CK83" s="250">
        <f t="shared" si="37"/>
        <v>20</v>
      </c>
      <c r="CL83" s="237">
        <f t="shared" si="38"/>
        <v>33</v>
      </c>
      <c r="CM83" s="253">
        <f t="shared" si="39"/>
        <v>4.8487499999999999</v>
      </c>
      <c r="CN83" s="253" cm="1">
        <f t="array" ref="CN83">$BC83 * IF($AD83&lt;=2,
SUMPRODUCT(INDEX($AL$62:$AN$66,,$AE83), INDEX($AO$62:$AU$66,,$AD83), 1 / ($AV$62:$AV$66*CM83 + (1-$AV$62:$AV$66)*CI83), N($AK$62:$AK$66&gt;$AI83)),
SUMPRODUCT(INDEX($AL$47:$AN$56,,$AE83), INDEX($AO$47:$AU$56,,$AD83), 1 / ($AW$47:$AW$56*CM83 + (1-$AW$47:$AW$56)*CI83), N($AK$47:$AK$56&gt;$AI83))
) / 1000</f>
        <v>0</v>
      </c>
      <c r="CO83" s="253" cm="1">
        <f t="array" ref="CO83">$BC83 * IF($AD83&lt;=2,
SUMPRODUCT(INDEX($AL$23:$AN$61,,$AE83), INDEX($AO$23:$AU$61,,$AD83), 1 / ($AV$23:$AV$61*CM83), N($AK$23:$AK$61&gt;$AI83)),
SUMPRODUCT(INDEX($AL$23:$AN$46,,$AE83), INDEX($AO$23:$AU$46,,$AD83), 1 / ($AW$23:$AW$46*CM83), N($AK$23:$AK$46&gt;$AI83))
) / 1000</f>
        <v>0</v>
      </c>
      <c r="CP83" s="237">
        <f t="shared" si="40"/>
        <v>0</v>
      </c>
      <c r="CQ83" s="210"/>
    </row>
    <row r="84" spans="1:95" s="76" customFormat="1" ht="14.25" customHeight="1" x14ac:dyDescent="0.25">
      <c r="A84" s="238" t="b">
        <f t="shared" si="0"/>
        <v>0</v>
      </c>
      <c r="B84" s="239">
        <v>62</v>
      </c>
      <c r="C84" s="258"/>
      <c r="D84" s="258"/>
      <c r="E84" s="240"/>
      <c r="F84" s="241" t="str">
        <f>IF(ISBLANK(E84), "", VLOOKUP(E84, Z!$A$2:$C$4127, 3, FALSE))</f>
        <v/>
      </c>
      <c r="G84" s="242"/>
      <c r="H84" s="242"/>
      <c r="I84" s="243"/>
      <c r="J84" s="244"/>
      <c r="K84" s="259"/>
      <c r="L84" s="260"/>
      <c r="M84" s="247" t="str" cm="1">
        <f t="array" ref="M84">IF($K84&gt;0, INDEX(Clean,1+AG84,$C$1), "")</f>
        <v/>
      </c>
      <c r="N84" s="245"/>
      <c r="O84" s="245"/>
      <c r="P84" s="246"/>
      <c r="Q84" s="248">
        <f t="shared" si="6"/>
        <v>0</v>
      </c>
      <c r="R84" s="247" t="str" cm="1">
        <f t="array" ref="R84">IF($K84&gt;0, INDEX(Clean,1+AH84,$C$1), "")</f>
        <v/>
      </c>
      <c r="S84" s="245"/>
      <c r="T84" s="245"/>
      <c r="U84" s="246"/>
      <c r="V84" s="248">
        <f t="shared" si="7"/>
        <v>0</v>
      </c>
      <c r="W84" s="261"/>
      <c r="X84" s="258"/>
      <c r="Y84" s="240"/>
      <c r="Z84" s="241" t="str">
        <f>IF(ISBLANK(Y84), "", VLOOKUP(Y84, Z!$A$2:$C$4127, 3, FALSE))</f>
        <v/>
      </c>
      <c r="AA84" s="262"/>
      <c r="AB84" s="249">
        <f t="shared" si="8"/>
        <v>0</v>
      </c>
      <c r="AC84" s="210"/>
      <c r="AD84" s="236">
        <f t="shared" ref="AD84" si="218">IF(ISBLANK(H84), 1, IFERROR(MATCH(H84, INDEX(Use,,1), 0), IFERROR(MATCH(H84, INDEX(Use,,2), 0), MATCH(H84, INDEX(Use,,3), 0))))</f>
        <v>1</v>
      </c>
      <c r="AE84" s="236">
        <f t="shared" ref="AE84" si="219">IF(ISBLANK(G84), 1, IFERROR(MATCH(G84, INDEX(Loc,,1), 0), IFERROR(MATCH(G84, INDEX(Loc,,2), 0), MATCH(G84, INDEX(Loc,,3), 0))))</f>
        <v>1</v>
      </c>
      <c r="AF84" s="236">
        <f t="shared" ref="AF84" si="220">_xlfn.IFNA(IF(IFERROR(MATCH(I84, INDEX(Medium,,1), 0), IFERROR(MATCH(I84, INDEX(Medium,,2), 0), MATCH(I84, INDEX(Medium,,3), 0))) = 2, 1, 0), 0)</f>
        <v>0</v>
      </c>
      <c r="AG84" s="236">
        <v>1</v>
      </c>
      <c r="AH84" s="236">
        <v>0</v>
      </c>
      <c r="AI84" s="236">
        <f t="shared" si="4"/>
        <v>-100</v>
      </c>
      <c r="AJ84" s="210"/>
      <c r="AK84" s="254"/>
      <c r="AL84" s="254"/>
      <c r="AM84" s="254"/>
      <c r="AN84" s="254"/>
      <c r="AO84" s="255"/>
      <c r="AP84" s="255"/>
      <c r="AQ84" s="255"/>
      <c r="AR84" s="255"/>
      <c r="AS84" s="255"/>
      <c r="AT84" s="255"/>
      <c r="AU84" s="255"/>
      <c r="AV84" s="255"/>
      <c r="AW84" s="255"/>
      <c r="AX84" s="212"/>
      <c r="AY84" s="236" cm="1">
        <f t="array" ref="AY84">INDEX(Use, $AD84, 4)</f>
        <v>7</v>
      </c>
      <c r="AZ84" s="236">
        <f t="shared" si="12"/>
        <v>32</v>
      </c>
      <c r="BA84" s="236">
        <f t="shared" si="13"/>
        <v>13</v>
      </c>
      <c r="BB84" s="236">
        <f t="shared" si="14"/>
        <v>0</v>
      </c>
      <c r="BC84" s="252" cm="1">
        <f t="array" ref="BC84">K84/IF($L84&gt;0, INDEX($AO$23:$AU$77, $L84+20, $AD84), 1)</f>
        <v>0</v>
      </c>
      <c r="BD84" s="237">
        <f t="shared" si="15"/>
        <v>0</v>
      </c>
      <c r="BE84" s="236">
        <v>35</v>
      </c>
      <c r="BF84" s="237">
        <f t="shared" si="16"/>
        <v>52.55</v>
      </c>
      <c r="BG84" s="253">
        <f t="shared" si="17"/>
        <v>2.7676728869374316</v>
      </c>
      <c r="BH84" s="253" cm="1">
        <f t="array" ref="BH84">$BC84 * SUMPRODUCT(INDEX($AL$77:$AN$82,,$AE84),INDEX($AO$77:$AU$82,,$AD84), N($AK$77:$AK$82&gt;$AI84)) / BG84 / 1000</f>
        <v>0</v>
      </c>
      <c r="BI84" s="250">
        <f t="shared" si="18"/>
        <v>30</v>
      </c>
      <c r="BJ84" s="237">
        <f t="shared" si="19"/>
        <v>46.033333333333331</v>
      </c>
      <c r="BK84" s="253">
        <f t="shared" si="20"/>
        <v>3.2297395388556791</v>
      </c>
      <c r="BL84" s="253" cm="1">
        <f t="array" ref="BL84">$BC84 * IF($AD84&lt;=2,
SUMPRODUCT(INDEX($AL$72:$AN$76,,$AE84), INDEX($AO$72:$AU$76,,$AD84), 1 / ($AV$72:$AV$76*BK84 + (1-$AV$72:$AV$76)*BG84), N($AK$72:$AK$76&gt;$AI84)),
SUMPRODUCT(INDEX($AL$67:$AN$76,,$AE84), INDEX($AO$67:$AU$76,,$AD84), 1 / ($AW$67:$AW$76*BK84 + (1-$AW$67:$AW$76)*BG84), N($AK$67:$AK$76&gt;$AI84))
) / 1000</f>
        <v>0</v>
      </c>
      <c r="BM84" s="250">
        <f t="shared" si="21"/>
        <v>25</v>
      </c>
      <c r="BN84" s="237">
        <f t="shared" si="22"/>
        <v>39.516666666666666</v>
      </c>
      <c r="BO84" s="253">
        <f t="shared" si="23"/>
        <v>3.877011788826243</v>
      </c>
      <c r="BP84" s="253" cm="1">
        <f t="array" ref="BP84">$BC84 * IF($AD84&lt;=2,
SUMPRODUCT(INDEX($AL$67:$AN$71,,$AE84), INDEX($AO$67:$AU$71,,$AD84), 1 / ($AV$67:$AV$71*BO84 + (1-$AV$67:$AV$71)*BK84), N($AK$67:$AK$71&gt;$AI84)),
SUMPRODUCT(INDEX($AL$57:$AN$66,,$AE84), INDEX($AO$57:$AU$66,,$AD84), 1 / ($AW$57:$AW$66*BO84 + (1-$AW$57:$AW$66)*BK84), N($AK$57:$AK$66&gt;$AI84))
) / 1000</f>
        <v>0</v>
      </c>
      <c r="BQ84" s="250">
        <f t="shared" si="24"/>
        <v>20</v>
      </c>
      <c r="BR84" s="237">
        <f t="shared" si="25"/>
        <v>33</v>
      </c>
      <c r="BS84" s="253">
        <f t="shared" si="26"/>
        <v>4.8487499999999999</v>
      </c>
      <c r="BT84" s="253" cm="1">
        <f t="array" ref="BT84">$BC84 * IF($AD84&lt;=2,
SUMPRODUCT(INDEX($AL$62:$AN$66,,$AE84), INDEX($AO$62:$AU$66,,$AD84), 1 / ($AV$62:$AV$66*BS84 + (1-$AV$62:$AV$66)*BO84), N($AK$62:$AK$66&gt;$AI84)),
SUMPRODUCT(INDEX($AL$47:$AN$56,,$AE84), INDEX($AO$47:$AU$56,,$AD84), 1 / ($AW$47:$AW$56*BS84 + (1-$AW$47:$AW$56)*BO84), N($AK$47:$AK$56&gt;$AI84))
) / 1000</f>
        <v>0</v>
      </c>
      <c r="BU84" s="253" cm="1">
        <f t="array" ref="BU84">$BC84 * IF($AD84&lt;=2,
SUMPRODUCT(INDEX($AL$23:$AN$61,,$AE84), INDEX($AO$23:$AU$61,,$AD84), 1 / ($AV$23:$AV$61*BS84), N($AK$23:$AK$61&gt;$AI84)),
SUMPRODUCT(INDEX($AL$23:$AN$46,,$AE84), INDEX($AO$23:$AU$46,,$AD84), 1 / ($AW$23:$AW$46*BS84), N($AK$23:$AK$46&gt;$AI84))
) / 1000</f>
        <v>0</v>
      </c>
      <c r="BV84" s="237">
        <f t="shared" si="27"/>
        <v>0</v>
      </c>
      <c r="BW84" s="210"/>
      <c r="BX84" s="237">
        <f t="shared" si="28"/>
        <v>0</v>
      </c>
      <c r="BY84" s="236">
        <v>35</v>
      </c>
      <c r="BZ84" s="237">
        <f t="shared" si="29"/>
        <v>48</v>
      </c>
      <c r="CA84" s="253">
        <f t="shared" si="30"/>
        <v>3.0748170731707316</v>
      </c>
      <c r="CB84" s="253" cm="1">
        <f t="array" ref="CB84">$BC84 * SUMPRODUCT(INDEX($AL$77:$AN$82,,$AE84),INDEX($AO$77:$AU$82,,$AD84), N($AK$77:$AK$82&gt;$AI84)) / CA84 / 1000</f>
        <v>0</v>
      </c>
      <c r="CC84" s="250">
        <f t="shared" si="31"/>
        <v>30</v>
      </c>
      <c r="CD84" s="237">
        <f t="shared" si="32"/>
        <v>43</v>
      </c>
      <c r="CE84" s="253">
        <f t="shared" si="33"/>
        <v>3.5018750000000001</v>
      </c>
      <c r="CF84" s="253" cm="1">
        <f t="array" ref="CF84">$BC84 * IF($AD84&lt;=2,
SUMPRODUCT(INDEX($AL$72:$AN$76,,$AE84), INDEX($AO$72:$AU$76,,$AD84), 1 / ($AV$72:$AV$76*CE84 + (1-$AV$72:$AV$76)*CA84), N($AK$72:$AK$76&gt;$AI84)),
SUMPRODUCT(INDEX($AL$67:$AN$76,,$AE84), INDEX($AO$67:$AU$76,,$AD84), 1 / ($AW$67:$AW$76*CE84 + (1-$AW$67:$AW$76)*CA84), N($AK$67:$AK$76&gt;$AI84))
) / 1000</f>
        <v>0</v>
      </c>
      <c r="CG84" s="250">
        <f t="shared" si="34"/>
        <v>25</v>
      </c>
      <c r="CH84" s="237">
        <f t="shared" si="35"/>
        <v>38</v>
      </c>
      <c r="CI84" s="253">
        <f t="shared" si="36"/>
        <v>4.0666935483870965</v>
      </c>
      <c r="CJ84" s="253" cm="1">
        <f t="array" ref="CJ84">$BC84 * IF($AD84&lt;=2,
SUMPRODUCT(INDEX($AL$67:$AN$71,,$AE84), INDEX($AO$67:$AU$71,,$AD84), 1 / ($AV$67:$AV$71*CI84 + (1-$AV$67:$AV$71)*CE84), N($AK$67:$AK$71&gt;$AI84)),
SUMPRODUCT(INDEX($AL$57:$AN$66,,$AE84), INDEX($AO$57:$AU$66,,$AD84), 1 / ($AW$57:$AW$66*CI84 + (1-$AW$57:$AW$66)*CE84), N($AK$57:$AK$66&gt;$AI84))
) / 1000</f>
        <v>0</v>
      </c>
      <c r="CK84" s="250">
        <f t="shared" si="37"/>
        <v>20</v>
      </c>
      <c r="CL84" s="237">
        <f t="shared" si="38"/>
        <v>33</v>
      </c>
      <c r="CM84" s="253">
        <f t="shared" si="39"/>
        <v>4.8487499999999999</v>
      </c>
      <c r="CN84" s="253" cm="1">
        <f t="array" ref="CN84">$BC84 * IF($AD84&lt;=2,
SUMPRODUCT(INDEX($AL$62:$AN$66,,$AE84), INDEX($AO$62:$AU$66,,$AD84), 1 / ($AV$62:$AV$66*CM84 + (1-$AV$62:$AV$66)*CI84), N($AK$62:$AK$66&gt;$AI84)),
SUMPRODUCT(INDEX($AL$47:$AN$56,,$AE84), INDEX($AO$47:$AU$56,,$AD84), 1 / ($AW$47:$AW$56*CM84 + (1-$AW$47:$AW$56)*CI84), N($AK$47:$AK$56&gt;$AI84))
) / 1000</f>
        <v>0</v>
      </c>
      <c r="CO84" s="253" cm="1">
        <f t="array" ref="CO84">$BC84 * IF($AD84&lt;=2,
SUMPRODUCT(INDEX($AL$23:$AN$61,,$AE84), INDEX($AO$23:$AU$61,,$AD84), 1 / ($AV$23:$AV$61*CM84), N($AK$23:$AK$61&gt;$AI84)),
SUMPRODUCT(INDEX($AL$23:$AN$46,,$AE84), INDEX($AO$23:$AU$46,,$AD84), 1 / ($AW$23:$AW$46*CM84), N($AK$23:$AK$46&gt;$AI84))
) / 1000</f>
        <v>0</v>
      </c>
      <c r="CP84" s="237">
        <f t="shared" si="40"/>
        <v>0</v>
      </c>
      <c r="CQ84" s="210"/>
    </row>
    <row r="85" spans="1:95" s="76" customFormat="1" ht="14.25" customHeight="1" x14ac:dyDescent="0.25">
      <c r="A85" s="238" t="b">
        <f t="shared" si="0"/>
        <v>0</v>
      </c>
      <c r="B85" s="239">
        <v>63</v>
      </c>
      <c r="C85" s="258"/>
      <c r="D85" s="258"/>
      <c r="E85" s="240"/>
      <c r="F85" s="241" t="str">
        <f>IF(ISBLANK(E85), "", VLOOKUP(E85, Z!$A$2:$C$4127, 3, FALSE))</f>
        <v/>
      </c>
      <c r="G85" s="242"/>
      <c r="H85" s="242"/>
      <c r="I85" s="243"/>
      <c r="J85" s="244"/>
      <c r="K85" s="259"/>
      <c r="L85" s="260"/>
      <c r="M85" s="247" t="str" cm="1">
        <f t="array" ref="M85">IF($K85&gt;0, INDEX(Clean,1+AG85,$C$1), "")</f>
        <v/>
      </c>
      <c r="N85" s="245"/>
      <c r="O85" s="245"/>
      <c r="P85" s="246"/>
      <c r="Q85" s="248">
        <f t="shared" si="6"/>
        <v>0</v>
      </c>
      <c r="R85" s="247" t="str" cm="1">
        <f t="array" ref="R85">IF($K85&gt;0, INDEX(Clean,1+AH85,$C$1), "")</f>
        <v/>
      </c>
      <c r="S85" s="245"/>
      <c r="T85" s="245"/>
      <c r="U85" s="246"/>
      <c r="V85" s="248">
        <f t="shared" si="7"/>
        <v>0</v>
      </c>
      <c r="W85" s="261"/>
      <c r="X85" s="258"/>
      <c r="Y85" s="240"/>
      <c r="Z85" s="241" t="str">
        <f>IF(ISBLANK(Y85), "", VLOOKUP(Y85, Z!$A$2:$C$4127, 3, FALSE))</f>
        <v/>
      </c>
      <c r="AA85" s="262"/>
      <c r="AB85" s="249">
        <f t="shared" si="8"/>
        <v>0</v>
      </c>
      <c r="AC85" s="210"/>
      <c r="AD85" s="236">
        <f t="shared" ref="AD85" si="221">IF(ISBLANK(H85), 1, IFERROR(MATCH(H85, INDEX(Use,,1), 0), IFERROR(MATCH(H85, INDEX(Use,,2), 0), MATCH(H85, INDEX(Use,,3), 0))))</f>
        <v>1</v>
      </c>
      <c r="AE85" s="236">
        <f t="shared" ref="AE85" si="222">IF(ISBLANK(G85), 1, IFERROR(MATCH(G85, INDEX(Loc,,1), 0), IFERROR(MATCH(G85, INDEX(Loc,,2), 0), MATCH(G85, INDEX(Loc,,3), 0))))</f>
        <v>1</v>
      </c>
      <c r="AF85" s="236">
        <f t="shared" ref="AF85" si="223">_xlfn.IFNA(IF(IFERROR(MATCH(I85, INDEX(Medium,,1), 0), IFERROR(MATCH(I85, INDEX(Medium,,2), 0), MATCH(I85, INDEX(Medium,,3), 0))) = 2, 1, 0), 0)</f>
        <v>0</v>
      </c>
      <c r="AG85" s="236">
        <v>1</v>
      </c>
      <c r="AH85" s="236">
        <v>0</v>
      </c>
      <c r="AI85" s="236">
        <f t="shared" si="4"/>
        <v>-100</v>
      </c>
      <c r="AJ85" s="210"/>
      <c r="AK85" s="254"/>
      <c r="AL85" s="254"/>
      <c r="AM85" s="254"/>
      <c r="AN85" s="254"/>
      <c r="AO85" s="255"/>
      <c r="AP85" s="255"/>
      <c r="AQ85" s="255"/>
      <c r="AR85" s="255"/>
      <c r="AS85" s="255"/>
      <c r="AT85" s="255"/>
      <c r="AU85" s="255"/>
      <c r="AV85" s="255"/>
      <c r="AW85" s="255"/>
      <c r="AX85" s="212"/>
      <c r="AY85" s="236" cm="1">
        <f t="array" ref="AY85">INDEX(Use, $AD85, 4)</f>
        <v>7</v>
      </c>
      <c r="AZ85" s="236">
        <f t="shared" si="12"/>
        <v>32</v>
      </c>
      <c r="BA85" s="236">
        <f t="shared" si="13"/>
        <v>13</v>
      </c>
      <c r="BB85" s="236">
        <f t="shared" si="14"/>
        <v>0</v>
      </c>
      <c r="BC85" s="252" cm="1">
        <f t="array" ref="BC85">K85/IF($L85&gt;0, INDEX($AO$23:$AU$77, $L85+20, $AD85), 1)</f>
        <v>0</v>
      </c>
      <c r="BD85" s="237">
        <f t="shared" si="15"/>
        <v>0</v>
      </c>
      <c r="BE85" s="236">
        <v>35</v>
      </c>
      <c r="BF85" s="237">
        <f t="shared" si="16"/>
        <v>52.55</v>
      </c>
      <c r="BG85" s="253">
        <f t="shared" si="17"/>
        <v>2.7676728869374316</v>
      </c>
      <c r="BH85" s="253" cm="1">
        <f t="array" ref="BH85">$BC85 * SUMPRODUCT(INDEX($AL$77:$AN$82,,$AE85),INDEX($AO$77:$AU$82,,$AD85), N($AK$77:$AK$82&gt;$AI85)) / BG85 / 1000</f>
        <v>0</v>
      </c>
      <c r="BI85" s="250">
        <f t="shared" si="18"/>
        <v>30</v>
      </c>
      <c r="BJ85" s="237">
        <f t="shared" si="19"/>
        <v>46.033333333333331</v>
      </c>
      <c r="BK85" s="253">
        <f t="shared" si="20"/>
        <v>3.2297395388556791</v>
      </c>
      <c r="BL85" s="253" cm="1">
        <f t="array" ref="BL85">$BC85 * IF($AD85&lt;=2,
SUMPRODUCT(INDEX($AL$72:$AN$76,,$AE85), INDEX($AO$72:$AU$76,,$AD85), 1 / ($AV$72:$AV$76*BK85 + (1-$AV$72:$AV$76)*BG85), N($AK$72:$AK$76&gt;$AI85)),
SUMPRODUCT(INDEX($AL$67:$AN$76,,$AE85), INDEX($AO$67:$AU$76,,$AD85), 1 / ($AW$67:$AW$76*BK85 + (1-$AW$67:$AW$76)*BG85), N($AK$67:$AK$76&gt;$AI85))
) / 1000</f>
        <v>0</v>
      </c>
      <c r="BM85" s="250">
        <f t="shared" si="21"/>
        <v>25</v>
      </c>
      <c r="BN85" s="237">
        <f t="shared" si="22"/>
        <v>39.516666666666666</v>
      </c>
      <c r="BO85" s="253">
        <f t="shared" si="23"/>
        <v>3.877011788826243</v>
      </c>
      <c r="BP85" s="253" cm="1">
        <f t="array" ref="BP85">$BC85 * IF($AD85&lt;=2,
SUMPRODUCT(INDEX($AL$67:$AN$71,,$AE85), INDEX($AO$67:$AU$71,,$AD85), 1 / ($AV$67:$AV$71*BO85 + (1-$AV$67:$AV$71)*BK85), N($AK$67:$AK$71&gt;$AI85)),
SUMPRODUCT(INDEX($AL$57:$AN$66,,$AE85), INDEX($AO$57:$AU$66,,$AD85), 1 / ($AW$57:$AW$66*BO85 + (1-$AW$57:$AW$66)*BK85), N($AK$57:$AK$66&gt;$AI85))
) / 1000</f>
        <v>0</v>
      </c>
      <c r="BQ85" s="250">
        <f t="shared" si="24"/>
        <v>20</v>
      </c>
      <c r="BR85" s="237">
        <f t="shared" si="25"/>
        <v>33</v>
      </c>
      <c r="BS85" s="253">
        <f t="shared" si="26"/>
        <v>4.8487499999999999</v>
      </c>
      <c r="BT85" s="253" cm="1">
        <f t="array" ref="BT85">$BC85 * IF($AD85&lt;=2,
SUMPRODUCT(INDEX($AL$62:$AN$66,,$AE85), INDEX($AO$62:$AU$66,,$AD85), 1 / ($AV$62:$AV$66*BS85 + (1-$AV$62:$AV$66)*BO85), N($AK$62:$AK$66&gt;$AI85)),
SUMPRODUCT(INDEX($AL$47:$AN$56,,$AE85), INDEX($AO$47:$AU$56,,$AD85), 1 / ($AW$47:$AW$56*BS85 + (1-$AW$47:$AW$56)*BO85), N($AK$47:$AK$56&gt;$AI85))
) / 1000</f>
        <v>0</v>
      </c>
      <c r="BU85" s="253" cm="1">
        <f t="array" ref="BU85">$BC85 * IF($AD85&lt;=2,
SUMPRODUCT(INDEX($AL$23:$AN$61,,$AE85), INDEX($AO$23:$AU$61,,$AD85), 1 / ($AV$23:$AV$61*BS85), N($AK$23:$AK$61&gt;$AI85)),
SUMPRODUCT(INDEX($AL$23:$AN$46,,$AE85), INDEX($AO$23:$AU$46,,$AD85), 1 / ($AW$23:$AW$46*BS85), N($AK$23:$AK$46&gt;$AI85))
) / 1000</f>
        <v>0</v>
      </c>
      <c r="BV85" s="237">
        <f t="shared" si="27"/>
        <v>0</v>
      </c>
      <c r="BW85" s="210"/>
      <c r="BX85" s="237">
        <f t="shared" si="28"/>
        <v>0</v>
      </c>
      <c r="BY85" s="236">
        <v>35</v>
      </c>
      <c r="BZ85" s="237">
        <f t="shared" si="29"/>
        <v>48</v>
      </c>
      <c r="CA85" s="253">
        <f t="shared" si="30"/>
        <v>3.0748170731707316</v>
      </c>
      <c r="CB85" s="253" cm="1">
        <f t="array" ref="CB85">$BC85 * SUMPRODUCT(INDEX($AL$77:$AN$82,,$AE85),INDEX($AO$77:$AU$82,,$AD85), N($AK$77:$AK$82&gt;$AI85)) / CA85 / 1000</f>
        <v>0</v>
      </c>
      <c r="CC85" s="250">
        <f t="shared" si="31"/>
        <v>30</v>
      </c>
      <c r="CD85" s="237">
        <f t="shared" si="32"/>
        <v>43</v>
      </c>
      <c r="CE85" s="253">
        <f t="shared" si="33"/>
        <v>3.5018750000000001</v>
      </c>
      <c r="CF85" s="253" cm="1">
        <f t="array" ref="CF85">$BC85 * IF($AD85&lt;=2,
SUMPRODUCT(INDEX($AL$72:$AN$76,,$AE85), INDEX($AO$72:$AU$76,,$AD85), 1 / ($AV$72:$AV$76*CE85 + (1-$AV$72:$AV$76)*CA85), N($AK$72:$AK$76&gt;$AI85)),
SUMPRODUCT(INDEX($AL$67:$AN$76,,$AE85), INDEX($AO$67:$AU$76,,$AD85), 1 / ($AW$67:$AW$76*CE85 + (1-$AW$67:$AW$76)*CA85), N($AK$67:$AK$76&gt;$AI85))
) / 1000</f>
        <v>0</v>
      </c>
      <c r="CG85" s="250">
        <f t="shared" si="34"/>
        <v>25</v>
      </c>
      <c r="CH85" s="237">
        <f t="shared" si="35"/>
        <v>38</v>
      </c>
      <c r="CI85" s="253">
        <f t="shared" si="36"/>
        <v>4.0666935483870965</v>
      </c>
      <c r="CJ85" s="253" cm="1">
        <f t="array" ref="CJ85">$BC85 * IF($AD85&lt;=2,
SUMPRODUCT(INDEX($AL$67:$AN$71,,$AE85), INDEX($AO$67:$AU$71,,$AD85), 1 / ($AV$67:$AV$71*CI85 + (1-$AV$67:$AV$71)*CE85), N($AK$67:$AK$71&gt;$AI85)),
SUMPRODUCT(INDEX($AL$57:$AN$66,,$AE85), INDEX($AO$57:$AU$66,,$AD85), 1 / ($AW$57:$AW$66*CI85 + (1-$AW$57:$AW$66)*CE85), N($AK$57:$AK$66&gt;$AI85))
) / 1000</f>
        <v>0</v>
      </c>
      <c r="CK85" s="250">
        <f t="shared" si="37"/>
        <v>20</v>
      </c>
      <c r="CL85" s="237">
        <f t="shared" si="38"/>
        <v>33</v>
      </c>
      <c r="CM85" s="253">
        <f t="shared" si="39"/>
        <v>4.8487499999999999</v>
      </c>
      <c r="CN85" s="253" cm="1">
        <f t="array" ref="CN85">$BC85 * IF($AD85&lt;=2,
SUMPRODUCT(INDEX($AL$62:$AN$66,,$AE85), INDEX($AO$62:$AU$66,,$AD85), 1 / ($AV$62:$AV$66*CM85 + (1-$AV$62:$AV$66)*CI85), N($AK$62:$AK$66&gt;$AI85)),
SUMPRODUCT(INDEX($AL$47:$AN$56,,$AE85), INDEX($AO$47:$AU$56,,$AD85), 1 / ($AW$47:$AW$56*CM85 + (1-$AW$47:$AW$56)*CI85), N($AK$47:$AK$56&gt;$AI85))
) / 1000</f>
        <v>0</v>
      </c>
      <c r="CO85" s="253" cm="1">
        <f t="array" ref="CO85">$BC85 * IF($AD85&lt;=2,
SUMPRODUCT(INDEX($AL$23:$AN$61,,$AE85), INDEX($AO$23:$AU$61,,$AD85), 1 / ($AV$23:$AV$61*CM85), N($AK$23:$AK$61&gt;$AI85)),
SUMPRODUCT(INDEX($AL$23:$AN$46,,$AE85), INDEX($AO$23:$AU$46,,$AD85), 1 / ($AW$23:$AW$46*CM85), N($AK$23:$AK$46&gt;$AI85))
) / 1000</f>
        <v>0</v>
      </c>
      <c r="CP85" s="237">
        <f t="shared" si="40"/>
        <v>0</v>
      </c>
      <c r="CQ85" s="210"/>
    </row>
    <row r="86" spans="1:95" s="76" customFormat="1" ht="14.25" customHeight="1" x14ac:dyDescent="0.25">
      <c r="A86" s="238" t="b">
        <f t="shared" si="0"/>
        <v>0</v>
      </c>
      <c r="B86" s="239">
        <v>64</v>
      </c>
      <c r="C86" s="258"/>
      <c r="D86" s="258"/>
      <c r="E86" s="240"/>
      <c r="F86" s="241" t="str">
        <f>IF(ISBLANK(E86), "", VLOOKUP(E86, Z!$A$2:$C$4127, 3, FALSE))</f>
        <v/>
      </c>
      <c r="G86" s="242"/>
      <c r="H86" s="242"/>
      <c r="I86" s="243"/>
      <c r="J86" s="244"/>
      <c r="K86" s="259"/>
      <c r="L86" s="260"/>
      <c r="M86" s="247" t="str" cm="1">
        <f t="array" ref="M86">IF($K86&gt;0, INDEX(Clean,1+AG86,$C$1), "")</f>
        <v/>
      </c>
      <c r="N86" s="245"/>
      <c r="O86" s="245"/>
      <c r="P86" s="246"/>
      <c r="Q86" s="248">
        <f t="shared" si="6"/>
        <v>0</v>
      </c>
      <c r="R86" s="247" t="str" cm="1">
        <f t="array" ref="R86">IF($K86&gt;0, INDEX(Clean,1+AH86,$C$1), "")</f>
        <v/>
      </c>
      <c r="S86" s="245"/>
      <c r="T86" s="245"/>
      <c r="U86" s="246"/>
      <c r="V86" s="248">
        <f t="shared" si="7"/>
        <v>0</v>
      </c>
      <c r="W86" s="261"/>
      <c r="X86" s="258"/>
      <c r="Y86" s="240"/>
      <c r="Z86" s="241" t="str">
        <f>IF(ISBLANK(Y86), "", VLOOKUP(Y86, Z!$A$2:$C$4127, 3, FALSE))</f>
        <v/>
      </c>
      <c r="AA86" s="262"/>
      <c r="AB86" s="249">
        <f t="shared" si="8"/>
        <v>0</v>
      </c>
      <c r="AC86" s="210"/>
      <c r="AD86" s="236">
        <f t="shared" ref="AD86" si="224">IF(ISBLANK(H86), 1, IFERROR(MATCH(H86, INDEX(Use,,1), 0), IFERROR(MATCH(H86, INDEX(Use,,2), 0), MATCH(H86, INDEX(Use,,3), 0))))</f>
        <v>1</v>
      </c>
      <c r="AE86" s="236">
        <f t="shared" ref="AE86" si="225">IF(ISBLANK(G86), 1, IFERROR(MATCH(G86, INDEX(Loc,,1), 0), IFERROR(MATCH(G86, INDEX(Loc,,2), 0), MATCH(G86, INDEX(Loc,,3), 0))))</f>
        <v>1</v>
      </c>
      <c r="AF86" s="236">
        <f t="shared" ref="AF86" si="226">_xlfn.IFNA(IF(IFERROR(MATCH(I86, INDEX(Medium,,1), 0), IFERROR(MATCH(I86, INDEX(Medium,,2), 0), MATCH(I86, INDEX(Medium,,3), 0))) = 2, 1, 0), 0)</f>
        <v>0</v>
      </c>
      <c r="AG86" s="236">
        <v>1</v>
      </c>
      <c r="AH86" s="236">
        <v>0</v>
      </c>
      <c r="AI86" s="236">
        <f t="shared" si="4"/>
        <v>-100</v>
      </c>
      <c r="AJ86" s="210"/>
      <c r="AK86" s="254"/>
      <c r="AL86" s="254"/>
      <c r="AM86" s="254"/>
      <c r="AN86" s="254"/>
      <c r="AO86" s="255"/>
      <c r="AP86" s="255"/>
      <c r="AQ86" s="255"/>
      <c r="AR86" s="255"/>
      <c r="AS86" s="255"/>
      <c r="AT86" s="255"/>
      <c r="AU86" s="255"/>
      <c r="AV86" s="255"/>
      <c r="AW86" s="255"/>
      <c r="AX86" s="212"/>
      <c r="AY86" s="236" cm="1">
        <f t="array" ref="AY86">INDEX(Use, $AD86, 4)</f>
        <v>7</v>
      </c>
      <c r="AZ86" s="236">
        <f t="shared" si="12"/>
        <v>32</v>
      </c>
      <c r="BA86" s="236">
        <f t="shared" si="13"/>
        <v>13</v>
      </c>
      <c r="BB86" s="236">
        <f t="shared" si="14"/>
        <v>0</v>
      </c>
      <c r="BC86" s="252" cm="1">
        <f t="array" ref="BC86">K86/IF($L86&gt;0, INDEX($AO$23:$AU$77, $L86+20, $AD86), 1)</f>
        <v>0</v>
      </c>
      <c r="BD86" s="237">
        <f t="shared" si="15"/>
        <v>0</v>
      </c>
      <c r="BE86" s="236">
        <v>35</v>
      </c>
      <c r="BF86" s="237">
        <f t="shared" si="16"/>
        <v>52.55</v>
      </c>
      <c r="BG86" s="253">
        <f t="shared" si="17"/>
        <v>2.7676728869374316</v>
      </c>
      <c r="BH86" s="253" cm="1">
        <f t="array" ref="BH86">$BC86 * SUMPRODUCT(INDEX($AL$77:$AN$82,,$AE86),INDEX($AO$77:$AU$82,,$AD86), N($AK$77:$AK$82&gt;$AI86)) / BG86 / 1000</f>
        <v>0</v>
      </c>
      <c r="BI86" s="250">
        <f t="shared" si="18"/>
        <v>30</v>
      </c>
      <c r="BJ86" s="237">
        <f t="shared" si="19"/>
        <v>46.033333333333331</v>
      </c>
      <c r="BK86" s="253">
        <f t="shared" si="20"/>
        <v>3.2297395388556791</v>
      </c>
      <c r="BL86" s="253" cm="1">
        <f t="array" ref="BL86">$BC86 * IF($AD86&lt;=2,
SUMPRODUCT(INDEX($AL$72:$AN$76,,$AE86), INDEX($AO$72:$AU$76,,$AD86), 1 / ($AV$72:$AV$76*BK86 + (1-$AV$72:$AV$76)*BG86), N($AK$72:$AK$76&gt;$AI86)),
SUMPRODUCT(INDEX($AL$67:$AN$76,,$AE86), INDEX($AO$67:$AU$76,,$AD86), 1 / ($AW$67:$AW$76*BK86 + (1-$AW$67:$AW$76)*BG86), N($AK$67:$AK$76&gt;$AI86))
) / 1000</f>
        <v>0</v>
      </c>
      <c r="BM86" s="250">
        <f t="shared" si="21"/>
        <v>25</v>
      </c>
      <c r="BN86" s="237">
        <f t="shared" si="22"/>
        <v>39.516666666666666</v>
      </c>
      <c r="BO86" s="253">
        <f t="shared" si="23"/>
        <v>3.877011788826243</v>
      </c>
      <c r="BP86" s="253" cm="1">
        <f t="array" ref="BP86">$BC86 * IF($AD86&lt;=2,
SUMPRODUCT(INDEX($AL$67:$AN$71,,$AE86), INDEX($AO$67:$AU$71,,$AD86), 1 / ($AV$67:$AV$71*BO86 + (1-$AV$67:$AV$71)*BK86), N($AK$67:$AK$71&gt;$AI86)),
SUMPRODUCT(INDEX($AL$57:$AN$66,,$AE86), INDEX($AO$57:$AU$66,,$AD86), 1 / ($AW$57:$AW$66*BO86 + (1-$AW$57:$AW$66)*BK86), N($AK$57:$AK$66&gt;$AI86))
) / 1000</f>
        <v>0</v>
      </c>
      <c r="BQ86" s="250">
        <f t="shared" si="24"/>
        <v>20</v>
      </c>
      <c r="BR86" s="237">
        <f t="shared" si="25"/>
        <v>33</v>
      </c>
      <c r="BS86" s="253">
        <f t="shared" si="26"/>
        <v>4.8487499999999999</v>
      </c>
      <c r="BT86" s="253" cm="1">
        <f t="array" ref="BT86">$BC86 * IF($AD86&lt;=2,
SUMPRODUCT(INDEX($AL$62:$AN$66,,$AE86), INDEX($AO$62:$AU$66,,$AD86), 1 / ($AV$62:$AV$66*BS86 + (1-$AV$62:$AV$66)*BO86), N($AK$62:$AK$66&gt;$AI86)),
SUMPRODUCT(INDEX($AL$47:$AN$56,,$AE86), INDEX($AO$47:$AU$56,,$AD86), 1 / ($AW$47:$AW$56*BS86 + (1-$AW$47:$AW$56)*BO86), N($AK$47:$AK$56&gt;$AI86))
) / 1000</f>
        <v>0</v>
      </c>
      <c r="BU86" s="253" cm="1">
        <f t="array" ref="BU86">$BC86 * IF($AD86&lt;=2,
SUMPRODUCT(INDEX($AL$23:$AN$61,,$AE86), INDEX($AO$23:$AU$61,,$AD86), 1 / ($AV$23:$AV$61*BS86), N($AK$23:$AK$61&gt;$AI86)),
SUMPRODUCT(INDEX($AL$23:$AN$46,,$AE86), INDEX($AO$23:$AU$46,,$AD86), 1 / ($AW$23:$AW$46*BS86), N($AK$23:$AK$46&gt;$AI86))
) / 1000</f>
        <v>0</v>
      </c>
      <c r="BV86" s="237">
        <f t="shared" si="27"/>
        <v>0</v>
      </c>
      <c r="BW86" s="210"/>
      <c r="BX86" s="237">
        <f t="shared" si="28"/>
        <v>0</v>
      </c>
      <c r="BY86" s="236">
        <v>35</v>
      </c>
      <c r="BZ86" s="237">
        <f t="shared" si="29"/>
        <v>48</v>
      </c>
      <c r="CA86" s="253">
        <f t="shared" si="30"/>
        <v>3.0748170731707316</v>
      </c>
      <c r="CB86" s="253" cm="1">
        <f t="array" ref="CB86">$BC86 * SUMPRODUCT(INDEX($AL$77:$AN$82,,$AE86),INDEX($AO$77:$AU$82,,$AD86), N($AK$77:$AK$82&gt;$AI86)) / CA86 / 1000</f>
        <v>0</v>
      </c>
      <c r="CC86" s="250">
        <f t="shared" si="31"/>
        <v>30</v>
      </c>
      <c r="CD86" s="237">
        <f t="shared" si="32"/>
        <v>43</v>
      </c>
      <c r="CE86" s="253">
        <f t="shared" si="33"/>
        <v>3.5018750000000001</v>
      </c>
      <c r="CF86" s="253" cm="1">
        <f t="array" ref="CF86">$BC86 * IF($AD86&lt;=2,
SUMPRODUCT(INDEX($AL$72:$AN$76,,$AE86), INDEX($AO$72:$AU$76,,$AD86), 1 / ($AV$72:$AV$76*CE86 + (1-$AV$72:$AV$76)*CA86), N($AK$72:$AK$76&gt;$AI86)),
SUMPRODUCT(INDEX($AL$67:$AN$76,,$AE86), INDEX($AO$67:$AU$76,,$AD86), 1 / ($AW$67:$AW$76*CE86 + (1-$AW$67:$AW$76)*CA86), N($AK$67:$AK$76&gt;$AI86))
) / 1000</f>
        <v>0</v>
      </c>
      <c r="CG86" s="250">
        <f t="shared" si="34"/>
        <v>25</v>
      </c>
      <c r="CH86" s="237">
        <f t="shared" si="35"/>
        <v>38</v>
      </c>
      <c r="CI86" s="253">
        <f t="shared" si="36"/>
        <v>4.0666935483870965</v>
      </c>
      <c r="CJ86" s="253" cm="1">
        <f t="array" ref="CJ86">$BC86 * IF($AD86&lt;=2,
SUMPRODUCT(INDEX($AL$67:$AN$71,,$AE86), INDEX($AO$67:$AU$71,,$AD86), 1 / ($AV$67:$AV$71*CI86 + (1-$AV$67:$AV$71)*CE86), N($AK$67:$AK$71&gt;$AI86)),
SUMPRODUCT(INDEX($AL$57:$AN$66,,$AE86), INDEX($AO$57:$AU$66,,$AD86), 1 / ($AW$57:$AW$66*CI86 + (1-$AW$57:$AW$66)*CE86), N($AK$57:$AK$66&gt;$AI86))
) / 1000</f>
        <v>0</v>
      </c>
      <c r="CK86" s="250">
        <f t="shared" si="37"/>
        <v>20</v>
      </c>
      <c r="CL86" s="237">
        <f t="shared" si="38"/>
        <v>33</v>
      </c>
      <c r="CM86" s="253">
        <f t="shared" si="39"/>
        <v>4.8487499999999999</v>
      </c>
      <c r="CN86" s="253" cm="1">
        <f t="array" ref="CN86">$BC86 * IF($AD86&lt;=2,
SUMPRODUCT(INDEX($AL$62:$AN$66,,$AE86), INDEX($AO$62:$AU$66,,$AD86), 1 / ($AV$62:$AV$66*CM86 + (1-$AV$62:$AV$66)*CI86), N($AK$62:$AK$66&gt;$AI86)),
SUMPRODUCT(INDEX($AL$47:$AN$56,,$AE86), INDEX($AO$47:$AU$56,,$AD86), 1 / ($AW$47:$AW$56*CM86 + (1-$AW$47:$AW$56)*CI86), N($AK$47:$AK$56&gt;$AI86))
) / 1000</f>
        <v>0</v>
      </c>
      <c r="CO86" s="253" cm="1">
        <f t="array" ref="CO86">$BC86 * IF($AD86&lt;=2,
SUMPRODUCT(INDEX($AL$23:$AN$61,,$AE86), INDEX($AO$23:$AU$61,,$AD86), 1 / ($AV$23:$AV$61*CM86), N($AK$23:$AK$61&gt;$AI86)),
SUMPRODUCT(INDEX($AL$23:$AN$46,,$AE86), INDEX($AO$23:$AU$46,,$AD86), 1 / ($AW$23:$AW$46*CM86), N($AK$23:$AK$46&gt;$AI86))
) / 1000</f>
        <v>0</v>
      </c>
      <c r="CP86" s="237">
        <f t="shared" si="40"/>
        <v>0</v>
      </c>
      <c r="CQ86" s="210"/>
    </row>
    <row r="87" spans="1:95" s="76" customFormat="1" ht="14.25" customHeight="1" x14ac:dyDescent="0.25">
      <c r="A87" s="238" t="b">
        <f t="shared" ref="A87:A341" si="227">IF(OR(AND($K87&gt;80, $AD87=1), AND($K87&gt;40, $AD87=3), AND($K87&gt;30, $AD87=4),), TRUE, FALSE)</f>
        <v>0</v>
      </c>
      <c r="B87" s="239">
        <v>65</v>
      </c>
      <c r="C87" s="258"/>
      <c r="D87" s="258"/>
      <c r="E87" s="240"/>
      <c r="F87" s="241" t="str">
        <f>IF(ISBLANK(E87), "", VLOOKUP(E87, Z!$A$2:$C$4127, 3, FALSE))</f>
        <v/>
      </c>
      <c r="G87" s="242"/>
      <c r="H87" s="242"/>
      <c r="I87" s="243"/>
      <c r="J87" s="244"/>
      <c r="K87" s="259"/>
      <c r="L87" s="260"/>
      <c r="M87" s="247" t="str" cm="1">
        <f t="array" ref="M87">IF($K87&gt;0, INDEX(Clean,1+AG87,$C$1), "")</f>
        <v/>
      </c>
      <c r="N87" s="245"/>
      <c r="O87" s="245"/>
      <c r="P87" s="246"/>
      <c r="Q87" s="248">
        <f t="shared" si="6"/>
        <v>0</v>
      </c>
      <c r="R87" s="247" t="str" cm="1">
        <f t="array" ref="R87">IF($K87&gt;0, INDEX(Clean,1+AH87,$C$1), "")</f>
        <v/>
      </c>
      <c r="S87" s="245"/>
      <c r="T87" s="245"/>
      <c r="U87" s="246"/>
      <c r="V87" s="248">
        <f t="shared" si="7"/>
        <v>0</v>
      </c>
      <c r="W87" s="261"/>
      <c r="X87" s="258"/>
      <c r="Y87" s="240"/>
      <c r="Z87" s="241" t="str">
        <f>IF(ISBLANK(Y87), "", VLOOKUP(Y87, Z!$A$2:$C$4127, 3, FALSE))</f>
        <v/>
      </c>
      <c r="AA87" s="262"/>
      <c r="AB87" s="249">
        <f t="shared" si="8"/>
        <v>0</v>
      </c>
      <c r="AC87" s="210"/>
      <c r="AD87" s="236">
        <f t="shared" ref="AD87" si="228">IF(ISBLANK(H87), 1, IFERROR(MATCH(H87, INDEX(Use,,1), 0), IFERROR(MATCH(H87, INDEX(Use,,2), 0), MATCH(H87, INDEX(Use,,3), 0))))</f>
        <v>1</v>
      </c>
      <c r="AE87" s="236">
        <f t="shared" ref="AE87" si="229">IF(ISBLANK(G87), 1, IFERROR(MATCH(G87, INDEX(Loc,,1), 0), IFERROR(MATCH(G87, INDEX(Loc,,2), 0), MATCH(G87, INDEX(Loc,,3), 0))))</f>
        <v>1</v>
      </c>
      <c r="AF87" s="236">
        <f t="shared" ref="AF87" si="230">_xlfn.IFNA(IF(IFERROR(MATCH(I87, INDEX(Medium,,1), 0), IFERROR(MATCH(I87, INDEX(Medium,,2), 0), MATCH(I87, INDEX(Medium,,3), 0))) = 2, 1, 0), 0)</f>
        <v>0</v>
      </c>
      <c r="AG87" s="236">
        <v>1</v>
      </c>
      <c r="AH87" s="236">
        <v>0</v>
      </c>
      <c r="AI87" s="236">
        <f t="shared" ref="AI87:AI122" si="231">IF(AND(J87="x", AD87=5), 11, IF(AND(J87="x", AD87=6), 19, -100))</f>
        <v>-100</v>
      </c>
      <c r="AJ87" s="210"/>
      <c r="AK87" s="254"/>
      <c r="AL87" s="254"/>
      <c r="AM87" s="254"/>
      <c r="AN87" s="254"/>
      <c r="AO87" s="255"/>
      <c r="AP87" s="255"/>
      <c r="AQ87" s="255"/>
      <c r="AR87" s="255"/>
      <c r="AS87" s="255"/>
      <c r="AT87" s="255"/>
      <c r="AU87" s="255"/>
      <c r="AV87" s="255"/>
      <c r="AW87" s="255"/>
      <c r="AX87" s="212"/>
      <c r="AY87" s="236" cm="1">
        <f t="array" ref="AY87">INDEX(Use, $AD87, 4)</f>
        <v>7</v>
      </c>
      <c r="AZ87" s="236">
        <f t="shared" si="12"/>
        <v>32</v>
      </c>
      <c r="BA87" s="236">
        <f t="shared" si="13"/>
        <v>13</v>
      </c>
      <c r="BB87" s="236">
        <f t="shared" si="14"/>
        <v>0</v>
      </c>
      <c r="BC87" s="252" cm="1">
        <f t="array" ref="BC87">K87/IF($L87&gt;0, INDEX($AO$23:$AU$77, $L87+20, $AD87), 1)</f>
        <v>0</v>
      </c>
      <c r="BD87" s="237">
        <f t="shared" si="15"/>
        <v>0</v>
      </c>
      <c r="BE87" s="236">
        <v>35</v>
      </c>
      <c r="BF87" s="237">
        <f t="shared" si="16"/>
        <v>52.55</v>
      </c>
      <c r="BG87" s="253">
        <f t="shared" si="17"/>
        <v>2.7676728869374316</v>
      </c>
      <c r="BH87" s="253" cm="1">
        <f t="array" ref="BH87">$BC87 * SUMPRODUCT(INDEX($AL$77:$AN$82,,$AE87),INDEX($AO$77:$AU$82,,$AD87), N($AK$77:$AK$82&gt;$AI87)) / BG87 / 1000</f>
        <v>0</v>
      </c>
      <c r="BI87" s="250">
        <f t="shared" si="18"/>
        <v>30</v>
      </c>
      <c r="BJ87" s="237">
        <f t="shared" si="19"/>
        <v>46.033333333333331</v>
      </c>
      <c r="BK87" s="253">
        <f t="shared" si="20"/>
        <v>3.2297395388556791</v>
      </c>
      <c r="BL87" s="253" cm="1">
        <f t="array" ref="BL87">$BC87 * IF($AD87&lt;=2,
SUMPRODUCT(INDEX($AL$72:$AN$76,,$AE87), INDEX($AO$72:$AU$76,,$AD87), 1 / ($AV$72:$AV$76*BK87 + (1-$AV$72:$AV$76)*BG87), N($AK$72:$AK$76&gt;$AI87)),
SUMPRODUCT(INDEX($AL$67:$AN$76,,$AE87), INDEX($AO$67:$AU$76,,$AD87), 1 / ($AW$67:$AW$76*BK87 + (1-$AW$67:$AW$76)*BG87), N($AK$67:$AK$76&gt;$AI87))
) / 1000</f>
        <v>0</v>
      </c>
      <c r="BM87" s="250">
        <f t="shared" si="21"/>
        <v>25</v>
      </c>
      <c r="BN87" s="237">
        <f t="shared" si="22"/>
        <v>39.516666666666666</v>
      </c>
      <c r="BO87" s="253">
        <f t="shared" si="23"/>
        <v>3.877011788826243</v>
      </c>
      <c r="BP87" s="253" cm="1">
        <f t="array" ref="BP87">$BC87 * IF($AD87&lt;=2,
SUMPRODUCT(INDEX($AL$67:$AN$71,,$AE87), INDEX($AO$67:$AU$71,,$AD87), 1 / ($AV$67:$AV$71*BO87 + (1-$AV$67:$AV$71)*BK87), N($AK$67:$AK$71&gt;$AI87)),
SUMPRODUCT(INDEX($AL$57:$AN$66,,$AE87), INDEX($AO$57:$AU$66,,$AD87), 1 / ($AW$57:$AW$66*BO87 + (1-$AW$57:$AW$66)*BK87), N($AK$57:$AK$66&gt;$AI87))
) / 1000</f>
        <v>0</v>
      </c>
      <c r="BQ87" s="250">
        <f t="shared" si="24"/>
        <v>20</v>
      </c>
      <c r="BR87" s="237">
        <f t="shared" si="25"/>
        <v>33</v>
      </c>
      <c r="BS87" s="253">
        <f t="shared" si="26"/>
        <v>4.8487499999999999</v>
      </c>
      <c r="BT87" s="253" cm="1">
        <f t="array" ref="BT87">$BC87 * IF($AD87&lt;=2,
SUMPRODUCT(INDEX($AL$62:$AN$66,,$AE87), INDEX($AO$62:$AU$66,,$AD87), 1 / ($AV$62:$AV$66*BS87 + (1-$AV$62:$AV$66)*BO87), N($AK$62:$AK$66&gt;$AI87)),
SUMPRODUCT(INDEX($AL$47:$AN$56,,$AE87), INDEX($AO$47:$AU$56,,$AD87), 1 / ($AW$47:$AW$56*BS87 + (1-$AW$47:$AW$56)*BO87), N($AK$47:$AK$56&gt;$AI87))
) / 1000</f>
        <v>0</v>
      </c>
      <c r="BU87" s="253" cm="1">
        <f t="array" ref="BU87">$BC87 * IF($AD87&lt;=2,
SUMPRODUCT(INDEX($AL$23:$AN$61,,$AE87), INDEX($AO$23:$AU$61,,$AD87), 1 / ($AV$23:$AV$61*BS87), N($AK$23:$AK$61&gt;$AI87)),
SUMPRODUCT(INDEX($AL$23:$AN$46,,$AE87), INDEX($AO$23:$AU$46,,$AD87), 1 / ($AW$23:$AW$46*BS87), N($AK$23:$AK$46&gt;$AI87))
) / 1000</f>
        <v>0</v>
      </c>
      <c r="BV87" s="237">
        <f t="shared" si="27"/>
        <v>0</v>
      </c>
      <c r="BW87" s="210"/>
      <c r="BX87" s="237">
        <f t="shared" si="28"/>
        <v>0</v>
      </c>
      <c r="BY87" s="236">
        <v>35</v>
      </c>
      <c r="BZ87" s="237">
        <f t="shared" si="29"/>
        <v>48</v>
      </c>
      <c r="CA87" s="253">
        <f t="shared" si="30"/>
        <v>3.0748170731707316</v>
      </c>
      <c r="CB87" s="253" cm="1">
        <f t="array" ref="CB87">$BC87 * SUMPRODUCT(INDEX($AL$77:$AN$82,,$AE87),INDEX($AO$77:$AU$82,,$AD87), N($AK$77:$AK$82&gt;$AI87)) / CA87 / 1000</f>
        <v>0</v>
      </c>
      <c r="CC87" s="250">
        <f t="shared" si="31"/>
        <v>30</v>
      </c>
      <c r="CD87" s="237">
        <f t="shared" si="32"/>
        <v>43</v>
      </c>
      <c r="CE87" s="253">
        <f t="shared" si="33"/>
        <v>3.5018750000000001</v>
      </c>
      <c r="CF87" s="253" cm="1">
        <f t="array" ref="CF87">$BC87 * IF($AD87&lt;=2,
SUMPRODUCT(INDEX($AL$72:$AN$76,,$AE87), INDEX($AO$72:$AU$76,,$AD87), 1 / ($AV$72:$AV$76*CE87 + (1-$AV$72:$AV$76)*CA87), N($AK$72:$AK$76&gt;$AI87)),
SUMPRODUCT(INDEX($AL$67:$AN$76,,$AE87), INDEX($AO$67:$AU$76,,$AD87), 1 / ($AW$67:$AW$76*CE87 + (1-$AW$67:$AW$76)*CA87), N($AK$67:$AK$76&gt;$AI87))
) / 1000</f>
        <v>0</v>
      </c>
      <c r="CG87" s="250">
        <f t="shared" si="34"/>
        <v>25</v>
      </c>
      <c r="CH87" s="237">
        <f t="shared" si="35"/>
        <v>38</v>
      </c>
      <c r="CI87" s="253">
        <f t="shared" si="36"/>
        <v>4.0666935483870965</v>
      </c>
      <c r="CJ87" s="253" cm="1">
        <f t="array" ref="CJ87">$BC87 * IF($AD87&lt;=2,
SUMPRODUCT(INDEX($AL$67:$AN$71,,$AE87), INDEX($AO$67:$AU$71,,$AD87), 1 / ($AV$67:$AV$71*CI87 + (1-$AV$67:$AV$71)*CE87), N($AK$67:$AK$71&gt;$AI87)),
SUMPRODUCT(INDEX($AL$57:$AN$66,,$AE87), INDEX($AO$57:$AU$66,,$AD87), 1 / ($AW$57:$AW$66*CI87 + (1-$AW$57:$AW$66)*CE87), N($AK$57:$AK$66&gt;$AI87))
) / 1000</f>
        <v>0</v>
      </c>
      <c r="CK87" s="250">
        <f t="shared" si="37"/>
        <v>20</v>
      </c>
      <c r="CL87" s="237">
        <f t="shared" si="38"/>
        <v>33</v>
      </c>
      <c r="CM87" s="253">
        <f t="shared" si="39"/>
        <v>4.8487499999999999</v>
      </c>
      <c r="CN87" s="253" cm="1">
        <f t="array" ref="CN87">$BC87 * IF($AD87&lt;=2,
SUMPRODUCT(INDEX($AL$62:$AN$66,,$AE87), INDEX($AO$62:$AU$66,,$AD87), 1 / ($AV$62:$AV$66*CM87 + (1-$AV$62:$AV$66)*CI87), N($AK$62:$AK$66&gt;$AI87)),
SUMPRODUCT(INDEX($AL$47:$AN$56,,$AE87), INDEX($AO$47:$AU$56,,$AD87), 1 / ($AW$47:$AW$56*CM87 + (1-$AW$47:$AW$56)*CI87), N($AK$47:$AK$56&gt;$AI87))
) / 1000</f>
        <v>0</v>
      </c>
      <c r="CO87" s="253" cm="1">
        <f t="array" ref="CO87">$BC87 * IF($AD87&lt;=2,
SUMPRODUCT(INDEX($AL$23:$AN$61,,$AE87), INDEX($AO$23:$AU$61,,$AD87), 1 / ($AV$23:$AV$61*CM87), N($AK$23:$AK$61&gt;$AI87)),
SUMPRODUCT(INDEX($AL$23:$AN$46,,$AE87), INDEX($AO$23:$AU$46,,$AD87), 1 / ($AW$23:$AW$46*CM87), N($AK$23:$AK$46&gt;$AI87))
) / 1000</f>
        <v>0</v>
      </c>
      <c r="CP87" s="237">
        <f t="shared" si="40"/>
        <v>0</v>
      </c>
      <c r="CQ87" s="210"/>
    </row>
    <row r="88" spans="1:95" s="76" customFormat="1" ht="14.25" customHeight="1" x14ac:dyDescent="0.25">
      <c r="A88" s="238" t="b">
        <f t="shared" si="227"/>
        <v>0</v>
      </c>
      <c r="B88" s="239">
        <v>66</v>
      </c>
      <c r="C88" s="258"/>
      <c r="D88" s="258"/>
      <c r="E88" s="240"/>
      <c r="F88" s="241" t="str">
        <f>IF(ISBLANK(E88), "", VLOOKUP(E88, Z!$A$2:$C$4127, 3, FALSE))</f>
        <v/>
      </c>
      <c r="G88" s="242"/>
      <c r="H88" s="242"/>
      <c r="I88" s="243"/>
      <c r="J88" s="244"/>
      <c r="K88" s="259"/>
      <c r="L88" s="260"/>
      <c r="M88" s="247" t="str" cm="1">
        <f t="array" ref="M88">IF($K88&gt;0, INDEX(Clean,1+AG88,$C$1), "")</f>
        <v/>
      </c>
      <c r="N88" s="245"/>
      <c r="O88" s="245"/>
      <c r="P88" s="246"/>
      <c r="Q88" s="248">
        <f t="shared" ref="Q88:Q122" si="232">BV88*1000</f>
        <v>0</v>
      </c>
      <c r="R88" s="247" t="str" cm="1">
        <f t="array" ref="R88">IF($K88&gt;0, INDEX(Clean,1+AH88,$C$1), "")</f>
        <v/>
      </c>
      <c r="S88" s="245"/>
      <c r="T88" s="245"/>
      <c r="U88" s="246"/>
      <c r="V88" s="248">
        <f t="shared" ref="V88:V122" si="233">CP88*1000</f>
        <v>0</v>
      </c>
      <c r="W88" s="261"/>
      <c r="X88" s="258"/>
      <c r="Y88" s="240"/>
      <c r="Z88" s="241" t="str">
        <f>IF(ISBLANK(Y88), "", VLOOKUP(Y88, Z!$A$2:$C$4127, 3, FALSE))</f>
        <v/>
      </c>
      <c r="AA88" s="262"/>
      <c r="AB88" s="249">
        <f t="shared" ref="AB88:AB151" si="234">0.75*$AJ$22*(Q88-V88)</f>
        <v>0</v>
      </c>
      <c r="AC88" s="210"/>
      <c r="AD88" s="236">
        <f t="shared" ref="AD88" si="235">IF(ISBLANK(H88), 1, IFERROR(MATCH(H88, INDEX(Use,,1), 0), IFERROR(MATCH(H88, INDEX(Use,,2), 0), MATCH(H88, INDEX(Use,,3), 0))))</f>
        <v>1</v>
      </c>
      <c r="AE88" s="236">
        <f t="shared" ref="AE88" si="236">IF(ISBLANK(G88), 1, IFERROR(MATCH(G88, INDEX(Loc,,1), 0), IFERROR(MATCH(G88, INDEX(Loc,,2), 0), MATCH(G88, INDEX(Loc,,3), 0))))</f>
        <v>1</v>
      </c>
      <c r="AF88" s="236">
        <f t="shared" ref="AF88" si="237">_xlfn.IFNA(IF(IFERROR(MATCH(I88, INDEX(Medium,,1), 0), IFERROR(MATCH(I88, INDEX(Medium,,2), 0), MATCH(I88, INDEX(Medium,,3), 0))) = 2, 1, 0), 0)</f>
        <v>0</v>
      </c>
      <c r="AG88" s="236">
        <v>1</v>
      </c>
      <c r="AH88" s="236">
        <v>0</v>
      </c>
      <c r="AI88" s="236">
        <f t="shared" si="231"/>
        <v>-100</v>
      </c>
      <c r="AJ88" s="210"/>
      <c r="AK88" s="254"/>
      <c r="AL88" s="254"/>
      <c r="AM88" s="254"/>
      <c r="AN88" s="254"/>
      <c r="AO88" s="255"/>
      <c r="AP88" s="255"/>
      <c r="AQ88" s="255"/>
      <c r="AR88" s="255"/>
      <c r="AS88" s="255"/>
      <c r="AT88" s="255"/>
      <c r="AU88" s="255"/>
      <c r="AV88" s="255"/>
      <c r="AW88" s="255"/>
      <c r="AX88" s="212"/>
      <c r="AY88" s="236" cm="1">
        <f t="array" ref="AY88">INDEX(Use, $AD88, 4)</f>
        <v>7</v>
      </c>
      <c r="AZ88" s="236">
        <f t="shared" ref="AZ88:AZ122" si="238">MAX(25, AY88+25)</f>
        <v>32</v>
      </c>
      <c r="BA88" s="236">
        <f t="shared" ref="BA88:BA342" si="239">IF($AF88=1, 6, IF($AD88=4, 10, 13))</f>
        <v>13</v>
      </c>
      <c r="BB88" s="236">
        <f t="shared" ref="BB88:BB342" si="240">IF($AF88=1, 9, 0)</f>
        <v>0</v>
      </c>
      <c r="BC88" s="252" cm="1">
        <f t="array" ref="BC88">K88/IF($L88&gt;0, INDEX($AO$23:$AU$77, $L88+20, $AD88), 1)</f>
        <v>0</v>
      </c>
      <c r="BD88" s="237">
        <f t="shared" ref="BD88:BD122" si="241">P88 /  IF(AD88&lt;=2, 0.7 + 0.3 * (O88-20)/(35-20), 0.4 + 0.6 * (O88-5)/(35-5))</f>
        <v>0</v>
      </c>
      <c r="BE88" s="236">
        <v>35</v>
      </c>
      <c r="BF88" s="237">
        <f t="shared" ref="BF88:BF122" si="242">MAX($N88, MAX($AZ88, $BE88 + $BA88 + $BB88 + 0.35*$AG88*$BA88 + BD88))</f>
        <v>52.55</v>
      </c>
      <c r="BG88" s="253">
        <f t="shared" ref="BG88:BG122" si="243">0.45*($AY88+273.15)/(BF88-$AY88)</f>
        <v>2.7676728869374316</v>
      </c>
      <c r="BH88" s="253" cm="1">
        <f t="array" ref="BH88">$BC88 * SUMPRODUCT(INDEX($AL$77:$AN$82,,$AE88),INDEX($AO$77:$AU$82,,$AD88), N($AK$77:$AK$82&gt;$AI88)) / BG88 / 1000</f>
        <v>0</v>
      </c>
      <c r="BI88" s="250">
        <f t="shared" ref="BI88:BI342" si="244">IF($AD88&lt;=2, 30, 25)</f>
        <v>30</v>
      </c>
      <c r="BJ88" s="237">
        <f t="shared" ref="BJ88:BJ122" si="245">MAX($N88, MAX($AZ88, BI88 + $BA88 + $BB88 + IF($AD88&lt;=2, (BI88-20)/(35-20), 0.6+0.4*(BI88-5)/(35-5))*0.35*$AG88*$BA88) + IF($AD88&lt;=2,0.9,0.8)*$BD88)</f>
        <v>46.033333333333331</v>
      </c>
      <c r="BK88" s="253">
        <f t="shared" ref="BK88:BK122" si="246">0.45*($AY88+273.15)/(BJ88-$AY88)</f>
        <v>3.2297395388556791</v>
      </c>
      <c r="BL88" s="253" cm="1">
        <f t="array" ref="BL88">$BC88 * IF($AD88&lt;=2,
SUMPRODUCT(INDEX($AL$72:$AN$76,,$AE88), INDEX($AO$72:$AU$76,,$AD88), 1 / ($AV$72:$AV$76*BK88 + (1-$AV$72:$AV$76)*BG88), N($AK$72:$AK$76&gt;$AI88)),
SUMPRODUCT(INDEX($AL$67:$AN$76,,$AE88), INDEX($AO$67:$AU$76,,$AD88), 1 / ($AW$67:$AW$76*BK88 + (1-$AW$67:$AW$76)*BG88), N($AK$67:$AK$76&gt;$AI88))
) / 1000</f>
        <v>0</v>
      </c>
      <c r="BM88" s="250">
        <f t="shared" ref="BM88:BM342" si="247">IF($AD88&lt;=2, 25, 15)</f>
        <v>25</v>
      </c>
      <c r="BN88" s="237">
        <f t="shared" ref="BN88:BN122" si="248">MAX($N88, MAX($AZ88, BM88 + $BA88 + $BB88 + IF($AD88&lt;=2, (BM88-20)/(35-20), 0.6+0.4*(BM88-5)/(35-5))*0.35*$AG88*$BA88) + IF($AD88&lt;=2,0.8,0.6)*$BD88)</f>
        <v>39.516666666666666</v>
      </c>
      <c r="BO88" s="253">
        <f t="shared" ref="BO88:BO122" si="249">0.45*($AY88+273.15)/(BN88-$AY88)</f>
        <v>3.877011788826243</v>
      </c>
      <c r="BP88" s="253" cm="1">
        <f t="array" ref="BP88">$BC88 * IF($AD88&lt;=2,
SUMPRODUCT(INDEX($AL$67:$AN$71,,$AE88), INDEX($AO$67:$AU$71,,$AD88), 1 / ($AV$67:$AV$71*BO88 + (1-$AV$67:$AV$71)*BK88), N($AK$67:$AK$71&gt;$AI88)),
SUMPRODUCT(INDEX($AL$57:$AN$66,,$AE88), INDEX($AO$57:$AU$66,,$AD88), 1 / ($AW$57:$AW$66*BO88 + (1-$AW$57:$AW$66)*BK88), N($AK$57:$AK$66&gt;$AI88))
) / 1000</f>
        <v>0</v>
      </c>
      <c r="BQ88" s="250">
        <f t="shared" ref="BQ88:BQ342" si="250">IF($AD88&lt;=2, 20, 5)</f>
        <v>20</v>
      </c>
      <c r="BR88" s="237">
        <f t="shared" ref="BR88:BR122" si="251">MAX($N88, MAX($AZ88, BQ88 + $BA88 + $BB88 + IF($AD88&lt;=2, (BQ88-20)/(35-20), 0.6+0.4*(BQ88-5)/(35-5))*0.35*$AG88*$BA88) + IF($AD88&lt;=2,0.7,0.4)*$BD88)</f>
        <v>33</v>
      </c>
      <c r="BS88" s="253">
        <f t="shared" ref="BS88:BS122" si="252">0.45*($AY88+273.15)/(BR88-$AY88)</f>
        <v>4.8487499999999999</v>
      </c>
      <c r="BT88" s="253" cm="1">
        <f t="array" ref="BT88">$BC88 * IF($AD88&lt;=2,
SUMPRODUCT(INDEX($AL$62:$AN$66,,$AE88), INDEX($AO$62:$AU$66,,$AD88), 1 / ($AV$62:$AV$66*BS88 + (1-$AV$62:$AV$66)*BO88), N($AK$62:$AK$66&gt;$AI88)),
SUMPRODUCT(INDEX($AL$47:$AN$56,,$AE88), INDEX($AO$47:$AU$56,,$AD88), 1 / ($AW$47:$AW$56*BS88 + (1-$AW$47:$AW$56)*BO88), N($AK$47:$AK$56&gt;$AI88))
) / 1000</f>
        <v>0</v>
      </c>
      <c r="BU88" s="253" cm="1">
        <f t="array" ref="BU88">$BC88 * IF($AD88&lt;=2,
SUMPRODUCT(INDEX($AL$23:$AN$61,,$AE88), INDEX($AO$23:$AU$61,,$AD88), 1 / ($AV$23:$AV$61*BS88), N($AK$23:$AK$61&gt;$AI88)),
SUMPRODUCT(INDEX($AL$23:$AN$46,,$AE88), INDEX($AO$23:$AU$46,,$AD88), 1 / ($AW$23:$AW$46*BS88), N($AK$23:$AK$46&gt;$AI88))
) / 1000</f>
        <v>0</v>
      </c>
      <c r="BV88" s="237">
        <f t="shared" ref="BV88:BV122" si="253">BH88+BL88+BP88+BT88+BU88</f>
        <v>0</v>
      </c>
      <c r="BW88" s="210"/>
      <c r="BX88" s="237">
        <f t="shared" ref="BX88:BX122" si="254">U88 /  IF(AD88&lt;=2, 0.7 + 0.3 * (T88-20)/(35-20), 0.4 + 0.6 * (T88-5)/(35-5))</f>
        <v>0</v>
      </c>
      <c r="BY88" s="236">
        <v>35</v>
      </c>
      <c r="BZ88" s="237">
        <f t="shared" ref="BZ88:BZ122" si="255">MAX($S88, MAX($AZ88, $BE88 + $BA88 + $BB88 + 0.35*$AH88*$BA88 + BX88))</f>
        <v>48</v>
      </c>
      <c r="CA88" s="253">
        <f t="shared" ref="CA88:CA122" si="256">0.45*($AY88+273.15)/(BZ88-$AY88)</f>
        <v>3.0748170731707316</v>
      </c>
      <c r="CB88" s="253" cm="1">
        <f t="array" ref="CB88">$BC88 * SUMPRODUCT(INDEX($AL$77:$AN$82,,$AE88),INDEX($AO$77:$AU$82,,$AD88), N($AK$77:$AK$82&gt;$AI88)) / CA88 / 1000</f>
        <v>0</v>
      </c>
      <c r="CC88" s="250">
        <f t="shared" ref="CC88:CC342" si="257">IF($AD88&lt;=2, 30, 25)</f>
        <v>30</v>
      </c>
      <c r="CD88" s="237">
        <f t="shared" ref="CD88:CD122" si="258">MAX($S88, MAX($AZ88, CC88 + $BA88 + $BB88 + IF($AD88&lt;=2, (CC88-20)/(35-20), 0.6+0.4*(CC88-5)/(35-5))*0.35*$AH88*$BA88) + IF($AD88&lt;=2,0.9,0.8)*$BX88)</f>
        <v>43</v>
      </c>
      <c r="CE88" s="253">
        <f t="shared" ref="CE88:CE122" si="259">0.45*($AY88+273.15)/(CD88-$AY88)</f>
        <v>3.5018750000000001</v>
      </c>
      <c r="CF88" s="253" cm="1">
        <f t="array" ref="CF88">$BC88 * IF($AD88&lt;=2,
SUMPRODUCT(INDEX($AL$72:$AN$76,,$AE88), INDEX($AO$72:$AU$76,,$AD88), 1 / ($AV$72:$AV$76*CE88 + (1-$AV$72:$AV$76)*CA88), N($AK$72:$AK$76&gt;$AI88)),
SUMPRODUCT(INDEX($AL$67:$AN$76,,$AE88), INDEX($AO$67:$AU$76,,$AD88), 1 / ($AW$67:$AW$76*CE88 + (1-$AW$67:$AW$76)*CA88), N($AK$67:$AK$76&gt;$AI88))
) / 1000</f>
        <v>0</v>
      </c>
      <c r="CG88" s="250">
        <f t="shared" ref="CG88:CG342" si="260">IF($AD88&lt;=2, 25, 15)</f>
        <v>25</v>
      </c>
      <c r="CH88" s="237">
        <f t="shared" ref="CH88:CH122" si="261">MAX($S88, MAX($AZ88, CG88 + $BA88 + $BB88 + IF($AD88&lt;=2, (CG88-20)/(35-20), 0.6+0.4*(CG88-5)/(35-5))*0.35*$AH88*$BA88) + IF($AD88&lt;=2,0.8,0.6)*$BX88)</f>
        <v>38</v>
      </c>
      <c r="CI88" s="253">
        <f t="shared" ref="CI88:CI122" si="262">0.45*($AY88+273.15)/(CH88-$AY88)</f>
        <v>4.0666935483870965</v>
      </c>
      <c r="CJ88" s="253" cm="1">
        <f t="array" ref="CJ88">$BC88 * IF($AD88&lt;=2,
SUMPRODUCT(INDEX($AL$67:$AN$71,,$AE88), INDEX($AO$67:$AU$71,,$AD88), 1 / ($AV$67:$AV$71*CI88 + (1-$AV$67:$AV$71)*CE88), N($AK$67:$AK$71&gt;$AI88)),
SUMPRODUCT(INDEX($AL$57:$AN$66,,$AE88), INDEX($AO$57:$AU$66,,$AD88), 1 / ($AW$57:$AW$66*CI88 + (1-$AW$57:$AW$66)*CE88), N($AK$57:$AK$66&gt;$AI88))
) / 1000</f>
        <v>0</v>
      </c>
      <c r="CK88" s="250">
        <f t="shared" ref="CK88:CK342" si="263">IF($AD88&lt;=2, 20, 5)</f>
        <v>20</v>
      </c>
      <c r="CL88" s="237">
        <f t="shared" ref="CL88:CL122" si="264">MAX($S88, MAX($AZ88, CK88 + $BA88 + $BB88 + IF($AD88&lt;=2, (CK88-20)/(35-20), 0.6+0.4*(CK88-5)/(35-5))*0.35*$AH88*$BA88) + IF($AD88&lt;=2,0.7,0.4)*$BX88)</f>
        <v>33</v>
      </c>
      <c r="CM88" s="253">
        <f t="shared" ref="CM88:CM122" si="265">0.45*($AY88+273.15)/(CL88-$AY88)</f>
        <v>4.8487499999999999</v>
      </c>
      <c r="CN88" s="253" cm="1">
        <f t="array" ref="CN88">$BC88 * IF($AD88&lt;=2,
SUMPRODUCT(INDEX($AL$62:$AN$66,,$AE88), INDEX($AO$62:$AU$66,,$AD88), 1 / ($AV$62:$AV$66*CM88 + (1-$AV$62:$AV$66)*CI88), N($AK$62:$AK$66&gt;$AI88)),
SUMPRODUCT(INDEX($AL$47:$AN$56,,$AE88), INDEX($AO$47:$AU$56,,$AD88), 1 / ($AW$47:$AW$56*CM88 + (1-$AW$47:$AW$56)*CI88), N($AK$47:$AK$56&gt;$AI88))
) / 1000</f>
        <v>0</v>
      </c>
      <c r="CO88" s="253" cm="1">
        <f t="array" ref="CO88">$BC88 * IF($AD88&lt;=2,
SUMPRODUCT(INDEX($AL$23:$AN$61,,$AE88), INDEX($AO$23:$AU$61,,$AD88), 1 / ($AV$23:$AV$61*CM88), N($AK$23:$AK$61&gt;$AI88)),
SUMPRODUCT(INDEX($AL$23:$AN$46,,$AE88), INDEX($AO$23:$AU$46,,$AD88), 1 / ($AW$23:$AW$46*CM88), N($AK$23:$AK$46&gt;$AI88))
) / 1000</f>
        <v>0</v>
      </c>
      <c r="CP88" s="237">
        <f t="shared" ref="CP88:CP122" si="266">CB88+CF88+CJ88+CN88+CO88</f>
        <v>0</v>
      </c>
      <c r="CQ88" s="210"/>
    </row>
    <row r="89" spans="1:95" s="76" customFormat="1" ht="14.25" customHeight="1" x14ac:dyDescent="0.25">
      <c r="A89" s="238" t="b">
        <f t="shared" si="227"/>
        <v>0</v>
      </c>
      <c r="B89" s="239">
        <v>67</v>
      </c>
      <c r="C89" s="258"/>
      <c r="D89" s="258"/>
      <c r="E89" s="240"/>
      <c r="F89" s="241" t="str">
        <f>IF(ISBLANK(E89), "", VLOOKUP(E89, Z!$A$2:$C$4127, 3, FALSE))</f>
        <v/>
      </c>
      <c r="G89" s="242"/>
      <c r="H89" s="242"/>
      <c r="I89" s="243"/>
      <c r="J89" s="244"/>
      <c r="K89" s="259"/>
      <c r="L89" s="260"/>
      <c r="M89" s="247" t="str" cm="1">
        <f t="array" ref="M89">IF($K89&gt;0, INDEX(Clean,1+AG89,$C$1), "")</f>
        <v/>
      </c>
      <c r="N89" s="245"/>
      <c r="O89" s="245"/>
      <c r="P89" s="246"/>
      <c r="Q89" s="248">
        <f t="shared" si="232"/>
        <v>0</v>
      </c>
      <c r="R89" s="247" t="str" cm="1">
        <f t="array" ref="R89">IF($K89&gt;0, INDEX(Clean,1+AH89,$C$1), "")</f>
        <v/>
      </c>
      <c r="S89" s="245"/>
      <c r="T89" s="245"/>
      <c r="U89" s="246"/>
      <c r="V89" s="248">
        <f t="shared" si="233"/>
        <v>0</v>
      </c>
      <c r="W89" s="261"/>
      <c r="X89" s="258"/>
      <c r="Y89" s="240"/>
      <c r="Z89" s="241" t="str">
        <f>IF(ISBLANK(Y89), "", VLOOKUP(Y89, Z!$A$2:$C$4127, 3, FALSE))</f>
        <v/>
      </c>
      <c r="AA89" s="262"/>
      <c r="AB89" s="249">
        <f t="shared" si="234"/>
        <v>0</v>
      </c>
      <c r="AC89" s="210"/>
      <c r="AD89" s="236">
        <f t="shared" ref="AD89" si="267">IF(ISBLANK(H89), 1, IFERROR(MATCH(H89, INDEX(Use,,1), 0), IFERROR(MATCH(H89, INDEX(Use,,2), 0), MATCH(H89, INDEX(Use,,3), 0))))</f>
        <v>1</v>
      </c>
      <c r="AE89" s="236">
        <f t="shared" ref="AE89" si="268">IF(ISBLANK(G89), 1, IFERROR(MATCH(G89, INDEX(Loc,,1), 0), IFERROR(MATCH(G89, INDEX(Loc,,2), 0), MATCH(G89, INDEX(Loc,,3), 0))))</f>
        <v>1</v>
      </c>
      <c r="AF89" s="236">
        <f t="shared" ref="AF89" si="269">_xlfn.IFNA(IF(IFERROR(MATCH(I89, INDEX(Medium,,1), 0), IFERROR(MATCH(I89, INDEX(Medium,,2), 0), MATCH(I89, INDEX(Medium,,3), 0))) = 2, 1, 0), 0)</f>
        <v>0</v>
      </c>
      <c r="AG89" s="236">
        <v>1</v>
      </c>
      <c r="AH89" s="236">
        <v>0</v>
      </c>
      <c r="AI89" s="236">
        <f t="shared" si="231"/>
        <v>-100</v>
      </c>
      <c r="AJ89" s="210"/>
      <c r="AK89" s="254"/>
      <c r="AL89" s="254"/>
      <c r="AM89" s="255"/>
      <c r="AN89" s="255"/>
      <c r="AO89" s="255"/>
      <c r="AP89" s="255"/>
      <c r="AQ89" s="255"/>
      <c r="AR89" s="255"/>
      <c r="AS89" s="255"/>
      <c r="AT89" s="255"/>
      <c r="AU89" s="255"/>
      <c r="AV89" s="255"/>
      <c r="AW89" s="255"/>
      <c r="AX89" s="212"/>
      <c r="AY89" s="236" cm="1">
        <f t="array" ref="AY89">INDEX(Use, $AD89, 4)</f>
        <v>7</v>
      </c>
      <c r="AZ89" s="236">
        <f t="shared" si="238"/>
        <v>32</v>
      </c>
      <c r="BA89" s="236">
        <f t="shared" si="239"/>
        <v>13</v>
      </c>
      <c r="BB89" s="236">
        <f t="shared" si="240"/>
        <v>0</v>
      </c>
      <c r="BC89" s="252" cm="1">
        <f t="array" ref="BC89">K89/IF($L89&gt;0, INDEX($AO$23:$AU$77, $L89+20, $AD89), 1)</f>
        <v>0</v>
      </c>
      <c r="BD89" s="237">
        <f t="shared" si="241"/>
        <v>0</v>
      </c>
      <c r="BE89" s="236">
        <v>35</v>
      </c>
      <c r="BF89" s="237">
        <f t="shared" si="242"/>
        <v>52.55</v>
      </c>
      <c r="BG89" s="253">
        <f t="shared" si="243"/>
        <v>2.7676728869374316</v>
      </c>
      <c r="BH89" s="253" cm="1">
        <f t="array" ref="BH89">$BC89 * SUMPRODUCT(INDEX($AL$77:$AN$82,,$AE89),INDEX($AO$77:$AU$82,,$AD89), N($AK$77:$AK$82&gt;$AI89)) / BG89 / 1000</f>
        <v>0</v>
      </c>
      <c r="BI89" s="250">
        <f t="shared" si="244"/>
        <v>30</v>
      </c>
      <c r="BJ89" s="237">
        <f t="shared" si="245"/>
        <v>46.033333333333331</v>
      </c>
      <c r="BK89" s="253">
        <f t="shared" si="246"/>
        <v>3.2297395388556791</v>
      </c>
      <c r="BL89" s="253" cm="1">
        <f t="array" ref="BL89">$BC89 * IF($AD89&lt;=2,
SUMPRODUCT(INDEX($AL$72:$AN$76,,$AE89), INDEX($AO$72:$AU$76,,$AD89), 1 / ($AV$72:$AV$76*BK89 + (1-$AV$72:$AV$76)*BG89), N($AK$72:$AK$76&gt;$AI89)),
SUMPRODUCT(INDEX($AL$67:$AN$76,,$AE89), INDEX($AO$67:$AU$76,,$AD89), 1 / ($AW$67:$AW$76*BK89 + (1-$AW$67:$AW$76)*BG89), N($AK$67:$AK$76&gt;$AI89))
) / 1000</f>
        <v>0</v>
      </c>
      <c r="BM89" s="250">
        <f t="shared" si="247"/>
        <v>25</v>
      </c>
      <c r="BN89" s="237">
        <f t="shared" si="248"/>
        <v>39.516666666666666</v>
      </c>
      <c r="BO89" s="253">
        <f t="shared" si="249"/>
        <v>3.877011788826243</v>
      </c>
      <c r="BP89" s="253" cm="1">
        <f t="array" ref="BP89">$BC89 * IF($AD89&lt;=2,
SUMPRODUCT(INDEX($AL$67:$AN$71,,$AE89), INDEX($AO$67:$AU$71,,$AD89), 1 / ($AV$67:$AV$71*BO89 + (1-$AV$67:$AV$71)*BK89), N($AK$67:$AK$71&gt;$AI89)),
SUMPRODUCT(INDEX($AL$57:$AN$66,,$AE89), INDEX($AO$57:$AU$66,,$AD89), 1 / ($AW$57:$AW$66*BO89 + (1-$AW$57:$AW$66)*BK89), N($AK$57:$AK$66&gt;$AI89))
) / 1000</f>
        <v>0</v>
      </c>
      <c r="BQ89" s="250">
        <f t="shared" si="250"/>
        <v>20</v>
      </c>
      <c r="BR89" s="237">
        <f t="shared" si="251"/>
        <v>33</v>
      </c>
      <c r="BS89" s="253">
        <f t="shared" si="252"/>
        <v>4.8487499999999999</v>
      </c>
      <c r="BT89" s="253" cm="1">
        <f t="array" ref="BT89">$BC89 * IF($AD89&lt;=2,
SUMPRODUCT(INDEX($AL$62:$AN$66,,$AE89), INDEX($AO$62:$AU$66,,$AD89), 1 / ($AV$62:$AV$66*BS89 + (1-$AV$62:$AV$66)*BO89), N($AK$62:$AK$66&gt;$AI89)),
SUMPRODUCT(INDEX($AL$47:$AN$56,,$AE89), INDEX($AO$47:$AU$56,,$AD89), 1 / ($AW$47:$AW$56*BS89 + (1-$AW$47:$AW$56)*BO89), N($AK$47:$AK$56&gt;$AI89))
) / 1000</f>
        <v>0</v>
      </c>
      <c r="BU89" s="253" cm="1">
        <f t="array" ref="BU89">$BC89 * IF($AD89&lt;=2,
SUMPRODUCT(INDEX($AL$23:$AN$61,,$AE89), INDEX($AO$23:$AU$61,,$AD89), 1 / ($AV$23:$AV$61*BS89), N($AK$23:$AK$61&gt;$AI89)),
SUMPRODUCT(INDEX($AL$23:$AN$46,,$AE89), INDEX($AO$23:$AU$46,,$AD89), 1 / ($AW$23:$AW$46*BS89), N($AK$23:$AK$46&gt;$AI89))
) / 1000</f>
        <v>0</v>
      </c>
      <c r="BV89" s="237">
        <f t="shared" si="253"/>
        <v>0</v>
      </c>
      <c r="BW89" s="210"/>
      <c r="BX89" s="237">
        <f t="shared" si="254"/>
        <v>0</v>
      </c>
      <c r="BY89" s="236">
        <v>35</v>
      </c>
      <c r="BZ89" s="237">
        <f t="shared" si="255"/>
        <v>48</v>
      </c>
      <c r="CA89" s="253">
        <f t="shared" si="256"/>
        <v>3.0748170731707316</v>
      </c>
      <c r="CB89" s="253" cm="1">
        <f t="array" ref="CB89">$BC89 * SUMPRODUCT(INDEX($AL$77:$AN$82,,$AE89),INDEX($AO$77:$AU$82,,$AD89), N($AK$77:$AK$82&gt;$AI89)) / CA89 / 1000</f>
        <v>0</v>
      </c>
      <c r="CC89" s="250">
        <f t="shared" si="257"/>
        <v>30</v>
      </c>
      <c r="CD89" s="237">
        <f t="shared" si="258"/>
        <v>43</v>
      </c>
      <c r="CE89" s="253">
        <f t="shared" si="259"/>
        <v>3.5018750000000001</v>
      </c>
      <c r="CF89" s="253" cm="1">
        <f t="array" ref="CF89">$BC89 * IF($AD89&lt;=2,
SUMPRODUCT(INDEX($AL$72:$AN$76,,$AE89), INDEX($AO$72:$AU$76,,$AD89), 1 / ($AV$72:$AV$76*CE89 + (1-$AV$72:$AV$76)*CA89), N($AK$72:$AK$76&gt;$AI89)),
SUMPRODUCT(INDEX($AL$67:$AN$76,,$AE89), INDEX($AO$67:$AU$76,,$AD89), 1 / ($AW$67:$AW$76*CE89 + (1-$AW$67:$AW$76)*CA89), N($AK$67:$AK$76&gt;$AI89))
) / 1000</f>
        <v>0</v>
      </c>
      <c r="CG89" s="250">
        <f t="shared" si="260"/>
        <v>25</v>
      </c>
      <c r="CH89" s="237">
        <f t="shared" si="261"/>
        <v>38</v>
      </c>
      <c r="CI89" s="253">
        <f t="shared" si="262"/>
        <v>4.0666935483870965</v>
      </c>
      <c r="CJ89" s="253" cm="1">
        <f t="array" ref="CJ89">$BC89 * IF($AD89&lt;=2,
SUMPRODUCT(INDEX($AL$67:$AN$71,,$AE89), INDEX($AO$67:$AU$71,,$AD89), 1 / ($AV$67:$AV$71*CI89 + (1-$AV$67:$AV$71)*CE89), N($AK$67:$AK$71&gt;$AI89)),
SUMPRODUCT(INDEX($AL$57:$AN$66,,$AE89), INDEX($AO$57:$AU$66,,$AD89), 1 / ($AW$57:$AW$66*CI89 + (1-$AW$57:$AW$66)*CE89), N($AK$57:$AK$66&gt;$AI89))
) / 1000</f>
        <v>0</v>
      </c>
      <c r="CK89" s="250">
        <f t="shared" si="263"/>
        <v>20</v>
      </c>
      <c r="CL89" s="237">
        <f t="shared" si="264"/>
        <v>33</v>
      </c>
      <c r="CM89" s="253">
        <f t="shared" si="265"/>
        <v>4.8487499999999999</v>
      </c>
      <c r="CN89" s="253" cm="1">
        <f t="array" ref="CN89">$BC89 * IF($AD89&lt;=2,
SUMPRODUCT(INDEX($AL$62:$AN$66,,$AE89), INDEX($AO$62:$AU$66,,$AD89), 1 / ($AV$62:$AV$66*CM89 + (1-$AV$62:$AV$66)*CI89), N($AK$62:$AK$66&gt;$AI89)),
SUMPRODUCT(INDEX($AL$47:$AN$56,,$AE89), INDEX($AO$47:$AU$56,,$AD89), 1 / ($AW$47:$AW$56*CM89 + (1-$AW$47:$AW$56)*CI89), N($AK$47:$AK$56&gt;$AI89))
) / 1000</f>
        <v>0</v>
      </c>
      <c r="CO89" s="253" cm="1">
        <f t="array" ref="CO89">$BC89 * IF($AD89&lt;=2,
SUMPRODUCT(INDEX($AL$23:$AN$61,,$AE89), INDEX($AO$23:$AU$61,,$AD89), 1 / ($AV$23:$AV$61*CM89), N($AK$23:$AK$61&gt;$AI89)),
SUMPRODUCT(INDEX($AL$23:$AN$46,,$AE89), INDEX($AO$23:$AU$46,,$AD89), 1 / ($AW$23:$AW$46*CM89), N($AK$23:$AK$46&gt;$AI89))
) / 1000</f>
        <v>0</v>
      </c>
      <c r="CP89" s="237">
        <f t="shared" si="266"/>
        <v>0</v>
      </c>
      <c r="CQ89" s="210"/>
    </row>
    <row r="90" spans="1:95" s="76" customFormat="1" ht="14.25" customHeight="1" x14ac:dyDescent="0.25">
      <c r="A90" s="238" t="b">
        <f t="shared" si="227"/>
        <v>0</v>
      </c>
      <c r="B90" s="239">
        <v>68</v>
      </c>
      <c r="C90" s="258"/>
      <c r="D90" s="258"/>
      <c r="E90" s="240"/>
      <c r="F90" s="241" t="str">
        <f>IF(ISBLANK(E90), "", VLOOKUP(E90, Z!$A$2:$C$4127, 3, FALSE))</f>
        <v/>
      </c>
      <c r="G90" s="242"/>
      <c r="H90" s="242"/>
      <c r="I90" s="243"/>
      <c r="J90" s="244"/>
      <c r="K90" s="259"/>
      <c r="L90" s="260"/>
      <c r="M90" s="247" t="str" cm="1">
        <f t="array" ref="M90">IF($K90&gt;0, INDEX(Clean,1+AG90,$C$1), "")</f>
        <v/>
      </c>
      <c r="N90" s="245"/>
      <c r="O90" s="245"/>
      <c r="P90" s="246"/>
      <c r="Q90" s="248">
        <f t="shared" si="232"/>
        <v>0</v>
      </c>
      <c r="R90" s="247" t="str" cm="1">
        <f t="array" ref="R90">IF($K90&gt;0, INDEX(Clean,1+AH90,$C$1), "")</f>
        <v/>
      </c>
      <c r="S90" s="245"/>
      <c r="T90" s="245"/>
      <c r="U90" s="246"/>
      <c r="V90" s="248">
        <f t="shared" si="233"/>
        <v>0</v>
      </c>
      <c r="W90" s="261"/>
      <c r="X90" s="258"/>
      <c r="Y90" s="240"/>
      <c r="Z90" s="241" t="str">
        <f>IF(ISBLANK(Y90), "", VLOOKUP(Y90, Z!$A$2:$C$4127, 3, FALSE))</f>
        <v/>
      </c>
      <c r="AA90" s="262"/>
      <c r="AB90" s="249">
        <f t="shared" si="234"/>
        <v>0</v>
      </c>
      <c r="AC90" s="210"/>
      <c r="AD90" s="236">
        <f t="shared" ref="AD90" si="270">IF(ISBLANK(H90), 1, IFERROR(MATCH(H90, INDEX(Use,,1), 0), IFERROR(MATCH(H90, INDEX(Use,,2), 0), MATCH(H90, INDEX(Use,,3), 0))))</f>
        <v>1</v>
      </c>
      <c r="AE90" s="236">
        <f t="shared" ref="AE90" si="271">IF(ISBLANK(G90), 1, IFERROR(MATCH(G90, INDEX(Loc,,1), 0), IFERROR(MATCH(G90, INDEX(Loc,,2), 0), MATCH(G90, INDEX(Loc,,3), 0))))</f>
        <v>1</v>
      </c>
      <c r="AF90" s="236">
        <f t="shared" ref="AF90" si="272">_xlfn.IFNA(IF(IFERROR(MATCH(I90, INDEX(Medium,,1), 0), IFERROR(MATCH(I90, INDEX(Medium,,2), 0), MATCH(I90, INDEX(Medium,,3), 0))) = 2, 1, 0), 0)</f>
        <v>0</v>
      </c>
      <c r="AG90" s="236">
        <v>1</v>
      </c>
      <c r="AH90" s="236">
        <v>0</v>
      </c>
      <c r="AI90" s="236">
        <f t="shared" si="231"/>
        <v>-100</v>
      </c>
      <c r="AJ90" s="210"/>
      <c r="AK90" s="254"/>
      <c r="AL90" s="254"/>
      <c r="AM90" s="255"/>
      <c r="AN90" s="255"/>
      <c r="AO90" s="255"/>
      <c r="AP90" s="255"/>
      <c r="AQ90" s="255"/>
      <c r="AR90" s="255"/>
      <c r="AS90" s="255"/>
      <c r="AT90" s="255"/>
      <c r="AU90" s="255"/>
      <c r="AV90" s="255"/>
      <c r="AW90" s="255"/>
      <c r="AX90" s="212"/>
      <c r="AY90" s="236" cm="1">
        <f t="array" ref="AY90">INDEX(Use, $AD90, 4)</f>
        <v>7</v>
      </c>
      <c r="AZ90" s="236">
        <f t="shared" si="238"/>
        <v>32</v>
      </c>
      <c r="BA90" s="236">
        <f t="shared" si="239"/>
        <v>13</v>
      </c>
      <c r="BB90" s="236">
        <f t="shared" si="240"/>
        <v>0</v>
      </c>
      <c r="BC90" s="252" cm="1">
        <f t="array" ref="BC90">K90/IF($L90&gt;0, INDEX($AO$23:$AU$77, $L90+20, $AD90), 1)</f>
        <v>0</v>
      </c>
      <c r="BD90" s="237">
        <f t="shared" si="241"/>
        <v>0</v>
      </c>
      <c r="BE90" s="236">
        <v>35</v>
      </c>
      <c r="BF90" s="237">
        <f t="shared" si="242"/>
        <v>52.55</v>
      </c>
      <c r="BG90" s="253">
        <f t="shared" si="243"/>
        <v>2.7676728869374316</v>
      </c>
      <c r="BH90" s="253" cm="1">
        <f t="array" ref="BH90">$BC90 * SUMPRODUCT(INDEX($AL$77:$AN$82,,$AE90),INDEX($AO$77:$AU$82,,$AD90), N($AK$77:$AK$82&gt;$AI90)) / BG90 / 1000</f>
        <v>0</v>
      </c>
      <c r="BI90" s="250">
        <f t="shared" si="244"/>
        <v>30</v>
      </c>
      <c r="BJ90" s="237">
        <f t="shared" si="245"/>
        <v>46.033333333333331</v>
      </c>
      <c r="BK90" s="253">
        <f t="shared" si="246"/>
        <v>3.2297395388556791</v>
      </c>
      <c r="BL90" s="253" cm="1">
        <f t="array" ref="BL90">$BC90 * IF($AD90&lt;=2,
SUMPRODUCT(INDEX($AL$72:$AN$76,,$AE90), INDEX($AO$72:$AU$76,,$AD90), 1 / ($AV$72:$AV$76*BK90 + (1-$AV$72:$AV$76)*BG90), N($AK$72:$AK$76&gt;$AI90)),
SUMPRODUCT(INDEX($AL$67:$AN$76,,$AE90), INDEX($AO$67:$AU$76,,$AD90), 1 / ($AW$67:$AW$76*BK90 + (1-$AW$67:$AW$76)*BG90), N($AK$67:$AK$76&gt;$AI90))
) / 1000</f>
        <v>0</v>
      </c>
      <c r="BM90" s="250">
        <f t="shared" si="247"/>
        <v>25</v>
      </c>
      <c r="BN90" s="237">
        <f t="shared" si="248"/>
        <v>39.516666666666666</v>
      </c>
      <c r="BO90" s="253">
        <f t="shared" si="249"/>
        <v>3.877011788826243</v>
      </c>
      <c r="BP90" s="253" cm="1">
        <f t="array" ref="BP90">$BC90 * IF($AD90&lt;=2,
SUMPRODUCT(INDEX($AL$67:$AN$71,,$AE90), INDEX($AO$67:$AU$71,,$AD90), 1 / ($AV$67:$AV$71*BO90 + (1-$AV$67:$AV$71)*BK90), N($AK$67:$AK$71&gt;$AI90)),
SUMPRODUCT(INDEX($AL$57:$AN$66,,$AE90), INDEX($AO$57:$AU$66,,$AD90), 1 / ($AW$57:$AW$66*BO90 + (1-$AW$57:$AW$66)*BK90), N($AK$57:$AK$66&gt;$AI90))
) / 1000</f>
        <v>0</v>
      </c>
      <c r="BQ90" s="250">
        <f t="shared" si="250"/>
        <v>20</v>
      </c>
      <c r="BR90" s="237">
        <f t="shared" si="251"/>
        <v>33</v>
      </c>
      <c r="BS90" s="253">
        <f t="shared" si="252"/>
        <v>4.8487499999999999</v>
      </c>
      <c r="BT90" s="253" cm="1">
        <f t="array" ref="BT90">$BC90 * IF($AD90&lt;=2,
SUMPRODUCT(INDEX($AL$62:$AN$66,,$AE90), INDEX($AO$62:$AU$66,,$AD90), 1 / ($AV$62:$AV$66*BS90 + (1-$AV$62:$AV$66)*BO90), N($AK$62:$AK$66&gt;$AI90)),
SUMPRODUCT(INDEX($AL$47:$AN$56,,$AE90), INDEX($AO$47:$AU$56,,$AD90), 1 / ($AW$47:$AW$56*BS90 + (1-$AW$47:$AW$56)*BO90), N($AK$47:$AK$56&gt;$AI90))
) / 1000</f>
        <v>0</v>
      </c>
      <c r="BU90" s="253" cm="1">
        <f t="array" ref="BU90">$BC90 * IF($AD90&lt;=2,
SUMPRODUCT(INDEX($AL$23:$AN$61,,$AE90), INDEX($AO$23:$AU$61,,$AD90), 1 / ($AV$23:$AV$61*BS90), N($AK$23:$AK$61&gt;$AI90)),
SUMPRODUCT(INDEX($AL$23:$AN$46,,$AE90), INDEX($AO$23:$AU$46,,$AD90), 1 / ($AW$23:$AW$46*BS90), N($AK$23:$AK$46&gt;$AI90))
) / 1000</f>
        <v>0</v>
      </c>
      <c r="BV90" s="237">
        <f t="shared" si="253"/>
        <v>0</v>
      </c>
      <c r="BW90" s="210"/>
      <c r="BX90" s="237">
        <f t="shared" si="254"/>
        <v>0</v>
      </c>
      <c r="BY90" s="236">
        <v>35</v>
      </c>
      <c r="BZ90" s="237">
        <f t="shared" si="255"/>
        <v>48</v>
      </c>
      <c r="CA90" s="253">
        <f t="shared" si="256"/>
        <v>3.0748170731707316</v>
      </c>
      <c r="CB90" s="253" cm="1">
        <f t="array" ref="CB90">$BC90 * SUMPRODUCT(INDEX($AL$77:$AN$82,,$AE90),INDEX($AO$77:$AU$82,,$AD90), N($AK$77:$AK$82&gt;$AI90)) / CA90 / 1000</f>
        <v>0</v>
      </c>
      <c r="CC90" s="250">
        <f t="shared" si="257"/>
        <v>30</v>
      </c>
      <c r="CD90" s="237">
        <f t="shared" si="258"/>
        <v>43</v>
      </c>
      <c r="CE90" s="253">
        <f t="shared" si="259"/>
        <v>3.5018750000000001</v>
      </c>
      <c r="CF90" s="253" cm="1">
        <f t="array" ref="CF90">$BC90 * IF($AD90&lt;=2,
SUMPRODUCT(INDEX($AL$72:$AN$76,,$AE90), INDEX($AO$72:$AU$76,,$AD90), 1 / ($AV$72:$AV$76*CE90 + (1-$AV$72:$AV$76)*CA90), N($AK$72:$AK$76&gt;$AI90)),
SUMPRODUCT(INDEX($AL$67:$AN$76,,$AE90), INDEX($AO$67:$AU$76,,$AD90), 1 / ($AW$67:$AW$76*CE90 + (1-$AW$67:$AW$76)*CA90), N($AK$67:$AK$76&gt;$AI90))
) / 1000</f>
        <v>0</v>
      </c>
      <c r="CG90" s="250">
        <f t="shared" si="260"/>
        <v>25</v>
      </c>
      <c r="CH90" s="237">
        <f t="shared" si="261"/>
        <v>38</v>
      </c>
      <c r="CI90" s="253">
        <f t="shared" si="262"/>
        <v>4.0666935483870965</v>
      </c>
      <c r="CJ90" s="253" cm="1">
        <f t="array" ref="CJ90">$BC90 * IF($AD90&lt;=2,
SUMPRODUCT(INDEX($AL$67:$AN$71,,$AE90), INDEX($AO$67:$AU$71,,$AD90), 1 / ($AV$67:$AV$71*CI90 + (1-$AV$67:$AV$71)*CE90), N($AK$67:$AK$71&gt;$AI90)),
SUMPRODUCT(INDEX($AL$57:$AN$66,,$AE90), INDEX($AO$57:$AU$66,,$AD90), 1 / ($AW$57:$AW$66*CI90 + (1-$AW$57:$AW$66)*CE90), N($AK$57:$AK$66&gt;$AI90))
) / 1000</f>
        <v>0</v>
      </c>
      <c r="CK90" s="250">
        <f t="shared" si="263"/>
        <v>20</v>
      </c>
      <c r="CL90" s="237">
        <f t="shared" si="264"/>
        <v>33</v>
      </c>
      <c r="CM90" s="253">
        <f t="shared" si="265"/>
        <v>4.8487499999999999</v>
      </c>
      <c r="CN90" s="253" cm="1">
        <f t="array" ref="CN90">$BC90 * IF($AD90&lt;=2,
SUMPRODUCT(INDEX($AL$62:$AN$66,,$AE90), INDEX($AO$62:$AU$66,,$AD90), 1 / ($AV$62:$AV$66*CM90 + (1-$AV$62:$AV$66)*CI90), N($AK$62:$AK$66&gt;$AI90)),
SUMPRODUCT(INDEX($AL$47:$AN$56,,$AE90), INDEX($AO$47:$AU$56,,$AD90), 1 / ($AW$47:$AW$56*CM90 + (1-$AW$47:$AW$56)*CI90), N($AK$47:$AK$56&gt;$AI90))
) / 1000</f>
        <v>0</v>
      </c>
      <c r="CO90" s="253" cm="1">
        <f t="array" ref="CO90">$BC90 * IF($AD90&lt;=2,
SUMPRODUCT(INDEX($AL$23:$AN$61,,$AE90), INDEX($AO$23:$AU$61,,$AD90), 1 / ($AV$23:$AV$61*CM90), N($AK$23:$AK$61&gt;$AI90)),
SUMPRODUCT(INDEX($AL$23:$AN$46,,$AE90), INDEX($AO$23:$AU$46,,$AD90), 1 / ($AW$23:$AW$46*CM90), N($AK$23:$AK$46&gt;$AI90))
) / 1000</f>
        <v>0</v>
      </c>
      <c r="CP90" s="237">
        <f t="shared" si="266"/>
        <v>0</v>
      </c>
      <c r="CQ90" s="210"/>
    </row>
    <row r="91" spans="1:95" s="76" customFormat="1" ht="14.25" customHeight="1" x14ac:dyDescent="0.25">
      <c r="A91" s="238" t="b">
        <f t="shared" si="227"/>
        <v>0</v>
      </c>
      <c r="B91" s="239">
        <v>69</v>
      </c>
      <c r="C91" s="258"/>
      <c r="D91" s="258"/>
      <c r="E91" s="240"/>
      <c r="F91" s="241" t="str">
        <f>IF(ISBLANK(E91), "", VLOOKUP(E91, Z!$A$2:$C$4127, 3, FALSE))</f>
        <v/>
      </c>
      <c r="G91" s="242"/>
      <c r="H91" s="242"/>
      <c r="I91" s="243"/>
      <c r="J91" s="244"/>
      <c r="K91" s="259"/>
      <c r="L91" s="260"/>
      <c r="M91" s="247" t="str" cm="1">
        <f t="array" ref="M91">IF($K91&gt;0, INDEX(Clean,1+AG91,$C$1), "")</f>
        <v/>
      </c>
      <c r="N91" s="245"/>
      <c r="O91" s="245"/>
      <c r="P91" s="246"/>
      <c r="Q91" s="248">
        <f t="shared" si="232"/>
        <v>0</v>
      </c>
      <c r="R91" s="247" t="str" cm="1">
        <f t="array" ref="R91">IF($K91&gt;0, INDEX(Clean,1+AH91,$C$1), "")</f>
        <v/>
      </c>
      <c r="S91" s="245"/>
      <c r="T91" s="245"/>
      <c r="U91" s="246"/>
      <c r="V91" s="248">
        <f t="shared" si="233"/>
        <v>0</v>
      </c>
      <c r="W91" s="261"/>
      <c r="X91" s="258"/>
      <c r="Y91" s="240"/>
      <c r="Z91" s="241" t="str">
        <f>IF(ISBLANK(Y91), "", VLOOKUP(Y91, Z!$A$2:$C$4127, 3, FALSE))</f>
        <v/>
      </c>
      <c r="AA91" s="262"/>
      <c r="AB91" s="249">
        <f t="shared" si="234"/>
        <v>0</v>
      </c>
      <c r="AC91" s="210"/>
      <c r="AD91" s="236">
        <f t="shared" ref="AD91" si="273">IF(ISBLANK(H91), 1, IFERROR(MATCH(H91, INDEX(Use,,1), 0), IFERROR(MATCH(H91, INDEX(Use,,2), 0), MATCH(H91, INDEX(Use,,3), 0))))</f>
        <v>1</v>
      </c>
      <c r="AE91" s="236">
        <f t="shared" ref="AE91" si="274">IF(ISBLANK(G91), 1, IFERROR(MATCH(G91, INDEX(Loc,,1), 0), IFERROR(MATCH(G91, INDEX(Loc,,2), 0), MATCH(G91, INDEX(Loc,,3), 0))))</f>
        <v>1</v>
      </c>
      <c r="AF91" s="236">
        <f t="shared" ref="AF91" si="275">_xlfn.IFNA(IF(IFERROR(MATCH(I91, INDEX(Medium,,1), 0), IFERROR(MATCH(I91, INDEX(Medium,,2), 0), MATCH(I91, INDEX(Medium,,3), 0))) = 2, 1, 0), 0)</f>
        <v>0</v>
      </c>
      <c r="AG91" s="236">
        <v>1</v>
      </c>
      <c r="AH91" s="236">
        <v>0</v>
      </c>
      <c r="AI91" s="236">
        <f t="shared" si="231"/>
        <v>-100</v>
      </c>
      <c r="AJ91" s="210"/>
      <c r="AK91" s="254"/>
      <c r="AL91" s="254"/>
      <c r="AM91" s="255"/>
      <c r="AN91" s="255"/>
      <c r="AO91" s="255"/>
      <c r="AP91" s="255"/>
      <c r="AQ91" s="255"/>
      <c r="AR91" s="255"/>
      <c r="AS91" s="255"/>
      <c r="AT91" s="255"/>
      <c r="AU91" s="255"/>
      <c r="AV91" s="255"/>
      <c r="AW91" s="255"/>
      <c r="AX91" s="212"/>
      <c r="AY91" s="236" cm="1">
        <f t="array" ref="AY91">INDEX(Use, $AD91, 4)</f>
        <v>7</v>
      </c>
      <c r="AZ91" s="236">
        <f t="shared" si="238"/>
        <v>32</v>
      </c>
      <c r="BA91" s="236">
        <f t="shared" si="239"/>
        <v>13</v>
      </c>
      <c r="BB91" s="236">
        <f t="shared" si="240"/>
        <v>0</v>
      </c>
      <c r="BC91" s="252" cm="1">
        <f t="array" ref="BC91">K91/IF($L91&gt;0, INDEX($AO$23:$AU$77, $L91+20, $AD91), 1)</f>
        <v>0</v>
      </c>
      <c r="BD91" s="237">
        <f t="shared" si="241"/>
        <v>0</v>
      </c>
      <c r="BE91" s="236">
        <v>35</v>
      </c>
      <c r="BF91" s="237">
        <f t="shared" si="242"/>
        <v>52.55</v>
      </c>
      <c r="BG91" s="253">
        <f t="shared" si="243"/>
        <v>2.7676728869374316</v>
      </c>
      <c r="BH91" s="253" cm="1">
        <f t="array" ref="BH91">$BC91 * SUMPRODUCT(INDEX($AL$77:$AN$82,,$AE91),INDEX($AO$77:$AU$82,,$AD91), N($AK$77:$AK$82&gt;$AI91)) / BG91 / 1000</f>
        <v>0</v>
      </c>
      <c r="BI91" s="250">
        <f t="shared" si="244"/>
        <v>30</v>
      </c>
      <c r="BJ91" s="237">
        <f t="shared" si="245"/>
        <v>46.033333333333331</v>
      </c>
      <c r="BK91" s="253">
        <f t="shared" si="246"/>
        <v>3.2297395388556791</v>
      </c>
      <c r="BL91" s="253" cm="1">
        <f t="array" ref="BL91">$BC91 * IF($AD91&lt;=2,
SUMPRODUCT(INDEX($AL$72:$AN$76,,$AE91), INDEX($AO$72:$AU$76,,$AD91), 1 / ($AV$72:$AV$76*BK91 + (1-$AV$72:$AV$76)*BG91), N($AK$72:$AK$76&gt;$AI91)),
SUMPRODUCT(INDEX($AL$67:$AN$76,,$AE91), INDEX($AO$67:$AU$76,,$AD91), 1 / ($AW$67:$AW$76*BK91 + (1-$AW$67:$AW$76)*BG91), N($AK$67:$AK$76&gt;$AI91))
) / 1000</f>
        <v>0</v>
      </c>
      <c r="BM91" s="250">
        <f t="shared" si="247"/>
        <v>25</v>
      </c>
      <c r="BN91" s="237">
        <f t="shared" si="248"/>
        <v>39.516666666666666</v>
      </c>
      <c r="BO91" s="253">
        <f t="shared" si="249"/>
        <v>3.877011788826243</v>
      </c>
      <c r="BP91" s="253" cm="1">
        <f t="array" ref="BP91">$BC91 * IF($AD91&lt;=2,
SUMPRODUCT(INDEX($AL$67:$AN$71,,$AE91), INDEX($AO$67:$AU$71,,$AD91), 1 / ($AV$67:$AV$71*BO91 + (1-$AV$67:$AV$71)*BK91), N($AK$67:$AK$71&gt;$AI91)),
SUMPRODUCT(INDEX($AL$57:$AN$66,,$AE91), INDEX($AO$57:$AU$66,,$AD91), 1 / ($AW$57:$AW$66*BO91 + (1-$AW$57:$AW$66)*BK91), N($AK$57:$AK$66&gt;$AI91))
) / 1000</f>
        <v>0</v>
      </c>
      <c r="BQ91" s="250">
        <f t="shared" si="250"/>
        <v>20</v>
      </c>
      <c r="BR91" s="237">
        <f t="shared" si="251"/>
        <v>33</v>
      </c>
      <c r="BS91" s="253">
        <f t="shared" si="252"/>
        <v>4.8487499999999999</v>
      </c>
      <c r="BT91" s="253" cm="1">
        <f t="array" ref="BT91">$BC91 * IF($AD91&lt;=2,
SUMPRODUCT(INDEX($AL$62:$AN$66,,$AE91), INDEX($AO$62:$AU$66,,$AD91), 1 / ($AV$62:$AV$66*BS91 + (1-$AV$62:$AV$66)*BO91), N($AK$62:$AK$66&gt;$AI91)),
SUMPRODUCT(INDEX($AL$47:$AN$56,,$AE91), INDEX($AO$47:$AU$56,,$AD91), 1 / ($AW$47:$AW$56*BS91 + (1-$AW$47:$AW$56)*BO91), N($AK$47:$AK$56&gt;$AI91))
) / 1000</f>
        <v>0</v>
      </c>
      <c r="BU91" s="253" cm="1">
        <f t="array" ref="BU91">$BC91 * IF($AD91&lt;=2,
SUMPRODUCT(INDEX($AL$23:$AN$61,,$AE91), INDEX($AO$23:$AU$61,,$AD91), 1 / ($AV$23:$AV$61*BS91), N($AK$23:$AK$61&gt;$AI91)),
SUMPRODUCT(INDEX($AL$23:$AN$46,,$AE91), INDEX($AO$23:$AU$46,,$AD91), 1 / ($AW$23:$AW$46*BS91), N($AK$23:$AK$46&gt;$AI91))
) / 1000</f>
        <v>0</v>
      </c>
      <c r="BV91" s="237">
        <f t="shared" si="253"/>
        <v>0</v>
      </c>
      <c r="BW91" s="210"/>
      <c r="BX91" s="237">
        <f t="shared" si="254"/>
        <v>0</v>
      </c>
      <c r="BY91" s="236">
        <v>35</v>
      </c>
      <c r="BZ91" s="237">
        <f t="shared" si="255"/>
        <v>48</v>
      </c>
      <c r="CA91" s="253">
        <f t="shared" si="256"/>
        <v>3.0748170731707316</v>
      </c>
      <c r="CB91" s="253" cm="1">
        <f t="array" ref="CB91">$BC91 * SUMPRODUCT(INDEX($AL$77:$AN$82,,$AE91),INDEX($AO$77:$AU$82,,$AD91), N($AK$77:$AK$82&gt;$AI91)) / CA91 / 1000</f>
        <v>0</v>
      </c>
      <c r="CC91" s="250">
        <f t="shared" si="257"/>
        <v>30</v>
      </c>
      <c r="CD91" s="237">
        <f t="shared" si="258"/>
        <v>43</v>
      </c>
      <c r="CE91" s="253">
        <f t="shared" si="259"/>
        <v>3.5018750000000001</v>
      </c>
      <c r="CF91" s="253" cm="1">
        <f t="array" ref="CF91">$BC91 * IF($AD91&lt;=2,
SUMPRODUCT(INDEX($AL$72:$AN$76,,$AE91), INDEX($AO$72:$AU$76,,$AD91), 1 / ($AV$72:$AV$76*CE91 + (1-$AV$72:$AV$76)*CA91), N($AK$72:$AK$76&gt;$AI91)),
SUMPRODUCT(INDEX($AL$67:$AN$76,,$AE91), INDEX($AO$67:$AU$76,,$AD91), 1 / ($AW$67:$AW$76*CE91 + (1-$AW$67:$AW$76)*CA91), N($AK$67:$AK$76&gt;$AI91))
) / 1000</f>
        <v>0</v>
      </c>
      <c r="CG91" s="250">
        <f t="shared" si="260"/>
        <v>25</v>
      </c>
      <c r="CH91" s="237">
        <f t="shared" si="261"/>
        <v>38</v>
      </c>
      <c r="CI91" s="253">
        <f t="shared" si="262"/>
        <v>4.0666935483870965</v>
      </c>
      <c r="CJ91" s="253" cm="1">
        <f t="array" ref="CJ91">$BC91 * IF($AD91&lt;=2,
SUMPRODUCT(INDEX($AL$67:$AN$71,,$AE91), INDEX($AO$67:$AU$71,,$AD91), 1 / ($AV$67:$AV$71*CI91 + (1-$AV$67:$AV$71)*CE91), N($AK$67:$AK$71&gt;$AI91)),
SUMPRODUCT(INDEX($AL$57:$AN$66,,$AE91), INDEX($AO$57:$AU$66,,$AD91), 1 / ($AW$57:$AW$66*CI91 + (1-$AW$57:$AW$66)*CE91), N($AK$57:$AK$66&gt;$AI91))
) / 1000</f>
        <v>0</v>
      </c>
      <c r="CK91" s="250">
        <f t="shared" si="263"/>
        <v>20</v>
      </c>
      <c r="CL91" s="237">
        <f t="shared" si="264"/>
        <v>33</v>
      </c>
      <c r="CM91" s="253">
        <f t="shared" si="265"/>
        <v>4.8487499999999999</v>
      </c>
      <c r="CN91" s="253" cm="1">
        <f t="array" ref="CN91">$BC91 * IF($AD91&lt;=2,
SUMPRODUCT(INDEX($AL$62:$AN$66,,$AE91), INDEX($AO$62:$AU$66,,$AD91), 1 / ($AV$62:$AV$66*CM91 + (1-$AV$62:$AV$66)*CI91), N($AK$62:$AK$66&gt;$AI91)),
SUMPRODUCT(INDEX($AL$47:$AN$56,,$AE91), INDEX($AO$47:$AU$56,,$AD91), 1 / ($AW$47:$AW$56*CM91 + (1-$AW$47:$AW$56)*CI91), N($AK$47:$AK$56&gt;$AI91))
) / 1000</f>
        <v>0</v>
      </c>
      <c r="CO91" s="253" cm="1">
        <f t="array" ref="CO91">$BC91 * IF($AD91&lt;=2,
SUMPRODUCT(INDEX($AL$23:$AN$61,,$AE91), INDEX($AO$23:$AU$61,,$AD91), 1 / ($AV$23:$AV$61*CM91), N($AK$23:$AK$61&gt;$AI91)),
SUMPRODUCT(INDEX($AL$23:$AN$46,,$AE91), INDEX($AO$23:$AU$46,,$AD91), 1 / ($AW$23:$AW$46*CM91), N($AK$23:$AK$46&gt;$AI91))
) / 1000</f>
        <v>0</v>
      </c>
      <c r="CP91" s="237">
        <f t="shared" si="266"/>
        <v>0</v>
      </c>
      <c r="CQ91" s="210"/>
    </row>
    <row r="92" spans="1:95" s="76" customFormat="1" ht="14.25" customHeight="1" x14ac:dyDescent="0.25">
      <c r="A92" s="238" t="b">
        <f t="shared" si="227"/>
        <v>0</v>
      </c>
      <c r="B92" s="239">
        <v>70</v>
      </c>
      <c r="C92" s="258"/>
      <c r="D92" s="258"/>
      <c r="E92" s="240"/>
      <c r="F92" s="241" t="str">
        <f>IF(ISBLANK(E92), "", VLOOKUP(E92, Z!$A$2:$C$4127, 3, FALSE))</f>
        <v/>
      </c>
      <c r="G92" s="242"/>
      <c r="H92" s="242"/>
      <c r="I92" s="243"/>
      <c r="J92" s="244"/>
      <c r="K92" s="259"/>
      <c r="L92" s="260"/>
      <c r="M92" s="247" t="str" cm="1">
        <f t="array" ref="M92">IF($K92&gt;0, INDEX(Clean,1+AG92,$C$1), "")</f>
        <v/>
      </c>
      <c r="N92" s="245"/>
      <c r="O92" s="245"/>
      <c r="P92" s="246"/>
      <c r="Q92" s="248">
        <f t="shared" si="232"/>
        <v>0</v>
      </c>
      <c r="R92" s="247" t="str" cm="1">
        <f t="array" ref="R92">IF($K92&gt;0, INDEX(Clean,1+AH92,$C$1), "")</f>
        <v/>
      </c>
      <c r="S92" s="245"/>
      <c r="T92" s="245"/>
      <c r="U92" s="246"/>
      <c r="V92" s="248">
        <f t="shared" si="233"/>
        <v>0</v>
      </c>
      <c r="W92" s="261"/>
      <c r="X92" s="258"/>
      <c r="Y92" s="240"/>
      <c r="Z92" s="241" t="str">
        <f>IF(ISBLANK(Y92), "", VLOOKUP(Y92, Z!$A$2:$C$4127, 3, FALSE))</f>
        <v/>
      </c>
      <c r="AA92" s="262"/>
      <c r="AB92" s="249">
        <f t="shared" si="234"/>
        <v>0</v>
      </c>
      <c r="AC92" s="210"/>
      <c r="AD92" s="236">
        <f t="shared" ref="AD92" si="276">IF(ISBLANK(H92), 1, IFERROR(MATCH(H92, INDEX(Use,,1), 0), IFERROR(MATCH(H92, INDEX(Use,,2), 0), MATCH(H92, INDEX(Use,,3), 0))))</f>
        <v>1</v>
      </c>
      <c r="AE92" s="236">
        <f t="shared" ref="AE92" si="277">IF(ISBLANK(G92), 1, IFERROR(MATCH(G92, INDEX(Loc,,1), 0), IFERROR(MATCH(G92, INDEX(Loc,,2), 0), MATCH(G92, INDEX(Loc,,3), 0))))</f>
        <v>1</v>
      </c>
      <c r="AF92" s="236">
        <f t="shared" ref="AF92" si="278">_xlfn.IFNA(IF(IFERROR(MATCH(I92, INDEX(Medium,,1), 0), IFERROR(MATCH(I92, INDEX(Medium,,2), 0), MATCH(I92, INDEX(Medium,,3), 0))) = 2, 1, 0), 0)</f>
        <v>0</v>
      </c>
      <c r="AG92" s="236">
        <v>1</v>
      </c>
      <c r="AH92" s="236">
        <v>0</v>
      </c>
      <c r="AI92" s="236">
        <f t="shared" si="231"/>
        <v>-100</v>
      </c>
      <c r="AJ92" s="210"/>
      <c r="AK92" s="254"/>
      <c r="AL92" s="254"/>
      <c r="AM92" s="255"/>
      <c r="AN92" s="255"/>
      <c r="AO92" s="255"/>
      <c r="AP92" s="255"/>
      <c r="AQ92" s="255"/>
      <c r="AR92" s="255"/>
      <c r="AS92" s="255"/>
      <c r="AT92" s="255"/>
      <c r="AU92" s="255"/>
      <c r="AV92" s="255"/>
      <c r="AW92" s="255"/>
      <c r="AX92" s="212"/>
      <c r="AY92" s="236" cm="1">
        <f t="array" ref="AY92">INDEX(Use, $AD92, 4)</f>
        <v>7</v>
      </c>
      <c r="AZ92" s="236">
        <f t="shared" si="238"/>
        <v>32</v>
      </c>
      <c r="BA92" s="236">
        <f t="shared" si="239"/>
        <v>13</v>
      </c>
      <c r="BB92" s="236">
        <f t="shared" si="240"/>
        <v>0</v>
      </c>
      <c r="BC92" s="252" cm="1">
        <f t="array" ref="BC92">K92/IF($L92&gt;0, INDEX($AO$23:$AU$77, $L92+20, $AD92), 1)</f>
        <v>0</v>
      </c>
      <c r="BD92" s="237">
        <f t="shared" si="241"/>
        <v>0</v>
      </c>
      <c r="BE92" s="236">
        <v>35</v>
      </c>
      <c r="BF92" s="237">
        <f t="shared" si="242"/>
        <v>52.55</v>
      </c>
      <c r="BG92" s="253">
        <f t="shared" si="243"/>
        <v>2.7676728869374316</v>
      </c>
      <c r="BH92" s="253" cm="1">
        <f t="array" ref="BH92">$BC92 * SUMPRODUCT(INDEX($AL$77:$AN$82,,$AE92),INDEX($AO$77:$AU$82,,$AD92), N($AK$77:$AK$82&gt;$AI92)) / BG92 / 1000</f>
        <v>0</v>
      </c>
      <c r="BI92" s="250">
        <f t="shared" si="244"/>
        <v>30</v>
      </c>
      <c r="BJ92" s="237">
        <f t="shared" si="245"/>
        <v>46.033333333333331</v>
      </c>
      <c r="BK92" s="253">
        <f t="shared" si="246"/>
        <v>3.2297395388556791</v>
      </c>
      <c r="BL92" s="253" cm="1">
        <f t="array" ref="BL92">$BC92 * IF($AD92&lt;=2,
SUMPRODUCT(INDEX($AL$72:$AN$76,,$AE92), INDEX($AO$72:$AU$76,,$AD92), 1 / ($AV$72:$AV$76*BK92 + (1-$AV$72:$AV$76)*BG92), N($AK$72:$AK$76&gt;$AI92)),
SUMPRODUCT(INDEX($AL$67:$AN$76,,$AE92), INDEX($AO$67:$AU$76,,$AD92), 1 / ($AW$67:$AW$76*BK92 + (1-$AW$67:$AW$76)*BG92), N($AK$67:$AK$76&gt;$AI92))
) / 1000</f>
        <v>0</v>
      </c>
      <c r="BM92" s="250">
        <f t="shared" si="247"/>
        <v>25</v>
      </c>
      <c r="BN92" s="237">
        <f t="shared" si="248"/>
        <v>39.516666666666666</v>
      </c>
      <c r="BO92" s="253">
        <f t="shared" si="249"/>
        <v>3.877011788826243</v>
      </c>
      <c r="BP92" s="253" cm="1">
        <f t="array" ref="BP92">$BC92 * IF($AD92&lt;=2,
SUMPRODUCT(INDEX($AL$67:$AN$71,,$AE92), INDEX($AO$67:$AU$71,,$AD92), 1 / ($AV$67:$AV$71*BO92 + (1-$AV$67:$AV$71)*BK92), N($AK$67:$AK$71&gt;$AI92)),
SUMPRODUCT(INDEX($AL$57:$AN$66,,$AE92), INDEX($AO$57:$AU$66,,$AD92), 1 / ($AW$57:$AW$66*BO92 + (1-$AW$57:$AW$66)*BK92), N($AK$57:$AK$66&gt;$AI92))
) / 1000</f>
        <v>0</v>
      </c>
      <c r="BQ92" s="250">
        <f t="shared" si="250"/>
        <v>20</v>
      </c>
      <c r="BR92" s="237">
        <f t="shared" si="251"/>
        <v>33</v>
      </c>
      <c r="BS92" s="253">
        <f t="shared" si="252"/>
        <v>4.8487499999999999</v>
      </c>
      <c r="BT92" s="253" cm="1">
        <f t="array" ref="BT92">$BC92 * IF($AD92&lt;=2,
SUMPRODUCT(INDEX($AL$62:$AN$66,,$AE92), INDEX($AO$62:$AU$66,,$AD92), 1 / ($AV$62:$AV$66*BS92 + (1-$AV$62:$AV$66)*BO92), N($AK$62:$AK$66&gt;$AI92)),
SUMPRODUCT(INDEX($AL$47:$AN$56,,$AE92), INDEX($AO$47:$AU$56,,$AD92), 1 / ($AW$47:$AW$56*BS92 + (1-$AW$47:$AW$56)*BO92), N($AK$47:$AK$56&gt;$AI92))
) / 1000</f>
        <v>0</v>
      </c>
      <c r="BU92" s="253" cm="1">
        <f t="array" ref="BU92">$BC92 * IF($AD92&lt;=2,
SUMPRODUCT(INDEX($AL$23:$AN$61,,$AE92), INDEX($AO$23:$AU$61,,$AD92), 1 / ($AV$23:$AV$61*BS92), N($AK$23:$AK$61&gt;$AI92)),
SUMPRODUCT(INDEX($AL$23:$AN$46,,$AE92), INDEX($AO$23:$AU$46,,$AD92), 1 / ($AW$23:$AW$46*BS92), N($AK$23:$AK$46&gt;$AI92))
) / 1000</f>
        <v>0</v>
      </c>
      <c r="BV92" s="237">
        <f t="shared" si="253"/>
        <v>0</v>
      </c>
      <c r="BW92" s="210"/>
      <c r="BX92" s="237">
        <f t="shared" si="254"/>
        <v>0</v>
      </c>
      <c r="BY92" s="236">
        <v>35</v>
      </c>
      <c r="BZ92" s="237">
        <f t="shared" si="255"/>
        <v>48</v>
      </c>
      <c r="CA92" s="253">
        <f t="shared" si="256"/>
        <v>3.0748170731707316</v>
      </c>
      <c r="CB92" s="253" cm="1">
        <f t="array" ref="CB92">$BC92 * SUMPRODUCT(INDEX($AL$77:$AN$82,,$AE92),INDEX($AO$77:$AU$82,,$AD92), N($AK$77:$AK$82&gt;$AI92)) / CA92 / 1000</f>
        <v>0</v>
      </c>
      <c r="CC92" s="250">
        <f t="shared" si="257"/>
        <v>30</v>
      </c>
      <c r="CD92" s="237">
        <f t="shared" si="258"/>
        <v>43</v>
      </c>
      <c r="CE92" s="253">
        <f t="shared" si="259"/>
        <v>3.5018750000000001</v>
      </c>
      <c r="CF92" s="253" cm="1">
        <f t="array" ref="CF92">$BC92 * IF($AD92&lt;=2,
SUMPRODUCT(INDEX($AL$72:$AN$76,,$AE92), INDEX($AO$72:$AU$76,,$AD92), 1 / ($AV$72:$AV$76*CE92 + (1-$AV$72:$AV$76)*CA92), N($AK$72:$AK$76&gt;$AI92)),
SUMPRODUCT(INDEX($AL$67:$AN$76,,$AE92), INDEX($AO$67:$AU$76,,$AD92), 1 / ($AW$67:$AW$76*CE92 + (1-$AW$67:$AW$76)*CA92), N($AK$67:$AK$76&gt;$AI92))
) / 1000</f>
        <v>0</v>
      </c>
      <c r="CG92" s="250">
        <f t="shared" si="260"/>
        <v>25</v>
      </c>
      <c r="CH92" s="237">
        <f t="shared" si="261"/>
        <v>38</v>
      </c>
      <c r="CI92" s="253">
        <f t="shared" si="262"/>
        <v>4.0666935483870965</v>
      </c>
      <c r="CJ92" s="253" cm="1">
        <f t="array" ref="CJ92">$BC92 * IF($AD92&lt;=2,
SUMPRODUCT(INDEX($AL$67:$AN$71,,$AE92), INDEX($AO$67:$AU$71,,$AD92), 1 / ($AV$67:$AV$71*CI92 + (1-$AV$67:$AV$71)*CE92), N($AK$67:$AK$71&gt;$AI92)),
SUMPRODUCT(INDEX($AL$57:$AN$66,,$AE92), INDEX($AO$57:$AU$66,,$AD92), 1 / ($AW$57:$AW$66*CI92 + (1-$AW$57:$AW$66)*CE92), N($AK$57:$AK$66&gt;$AI92))
) / 1000</f>
        <v>0</v>
      </c>
      <c r="CK92" s="250">
        <f t="shared" si="263"/>
        <v>20</v>
      </c>
      <c r="CL92" s="237">
        <f t="shared" si="264"/>
        <v>33</v>
      </c>
      <c r="CM92" s="253">
        <f t="shared" si="265"/>
        <v>4.8487499999999999</v>
      </c>
      <c r="CN92" s="253" cm="1">
        <f t="array" ref="CN92">$BC92 * IF($AD92&lt;=2,
SUMPRODUCT(INDEX($AL$62:$AN$66,,$AE92), INDEX($AO$62:$AU$66,,$AD92), 1 / ($AV$62:$AV$66*CM92 + (1-$AV$62:$AV$66)*CI92), N($AK$62:$AK$66&gt;$AI92)),
SUMPRODUCT(INDEX($AL$47:$AN$56,,$AE92), INDEX($AO$47:$AU$56,,$AD92), 1 / ($AW$47:$AW$56*CM92 + (1-$AW$47:$AW$56)*CI92), N($AK$47:$AK$56&gt;$AI92))
) / 1000</f>
        <v>0</v>
      </c>
      <c r="CO92" s="253" cm="1">
        <f t="array" ref="CO92">$BC92 * IF($AD92&lt;=2,
SUMPRODUCT(INDEX($AL$23:$AN$61,,$AE92), INDEX($AO$23:$AU$61,,$AD92), 1 / ($AV$23:$AV$61*CM92), N($AK$23:$AK$61&gt;$AI92)),
SUMPRODUCT(INDEX($AL$23:$AN$46,,$AE92), INDEX($AO$23:$AU$46,,$AD92), 1 / ($AW$23:$AW$46*CM92), N($AK$23:$AK$46&gt;$AI92))
) / 1000</f>
        <v>0</v>
      </c>
      <c r="CP92" s="237">
        <f t="shared" si="266"/>
        <v>0</v>
      </c>
      <c r="CQ92" s="210"/>
    </row>
    <row r="93" spans="1:95" s="76" customFormat="1" ht="14.25" customHeight="1" x14ac:dyDescent="0.25">
      <c r="A93" s="238" t="b">
        <f t="shared" si="227"/>
        <v>0</v>
      </c>
      <c r="B93" s="239">
        <v>71</v>
      </c>
      <c r="C93" s="258"/>
      <c r="D93" s="258"/>
      <c r="E93" s="240"/>
      <c r="F93" s="241" t="str">
        <f>IF(ISBLANK(E93), "", VLOOKUP(E93, Z!$A$2:$C$4127, 3, FALSE))</f>
        <v/>
      </c>
      <c r="G93" s="242"/>
      <c r="H93" s="242"/>
      <c r="I93" s="243"/>
      <c r="J93" s="244"/>
      <c r="K93" s="259"/>
      <c r="L93" s="260"/>
      <c r="M93" s="247" t="str" cm="1">
        <f t="array" ref="M93">IF($K93&gt;0, INDEX(Clean,1+AG93,$C$1), "")</f>
        <v/>
      </c>
      <c r="N93" s="245"/>
      <c r="O93" s="245"/>
      <c r="P93" s="246"/>
      <c r="Q93" s="248">
        <f t="shared" si="232"/>
        <v>0</v>
      </c>
      <c r="R93" s="247" t="str" cm="1">
        <f t="array" ref="R93">IF($K93&gt;0, INDEX(Clean,1+AH93,$C$1), "")</f>
        <v/>
      </c>
      <c r="S93" s="245"/>
      <c r="T93" s="245"/>
      <c r="U93" s="246"/>
      <c r="V93" s="248">
        <f t="shared" si="233"/>
        <v>0</v>
      </c>
      <c r="W93" s="261"/>
      <c r="X93" s="258"/>
      <c r="Y93" s="240"/>
      <c r="Z93" s="241" t="str">
        <f>IF(ISBLANK(Y93), "", VLOOKUP(Y93, Z!$A$2:$C$4127, 3, FALSE))</f>
        <v/>
      </c>
      <c r="AA93" s="262"/>
      <c r="AB93" s="249">
        <f t="shared" si="234"/>
        <v>0</v>
      </c>
      <c r="AC93" s="210"/>
      <c r="AD93" s="236">
        <f t="shared" ref="AD93" si="279">IF(ISBLANK(H93), 1, IFERROR(MATCH(H93, INDEX(Use,,1), 0), IFERROR(MATCH(H93, INDEX(Use,,2), 0), MATCH(H93, INDEX(Use,,3), 0))))</f>
        <v>1</v>
      </c>
      <c r="AE93" s="236">
        <f t="shared" ref="AE93" si="280">IF(ISBLANK(G93), 1, IFERROR(MATCH(G93, INDEX(Loc,,1), 0), IFERROR(MATCH(G93, INDEX(Loc,,2), 0), MATCH(G93, INDEX(Loc,,3), 0))))</f>
        <v>1</v>
      </c>
      <c r="AF93" s="236">
        <f t="shared" ref="AF93" si="281">_xlfn.IFNA(IF(IFERROR(MATCH(I93, INDEX(Medium,,1), 0), IFERROR(MATCH(I93, INDEX(Medium,,2), 0), MATCH(I93, INDEX(Medium,,3), 0))) = 2, 1, 0), 0)</f>
        <v>0</v>
      </c>
      <c r="AG93" s="236">
        <v>1</v>
      </c>
      <c r="AH93" s="236">
        <v>0</v>
      </c>
      <c r="AI93" s="236">
        <f t="shared" si="231"/>
        <v>-100</v>
      </c>
      <c r="AJ93" s="210"/>
      <c r="AK93" s="254"/>
      <c r="AL93" s="254"/>
      <c r="AM93" s="255"/>
      <c r="AN93" s="255"/>
      <c r="AO93" s="255"/>
      <c r="AP93" s="255"/>
      <c r="AQ93" s="255"/>
      <c r="AR93" s="255"/>
      <c r="AS93" s="255"/>
      <c r="AT93" s="255"/>
      <c r="AU93" s="255"/>
      <c r="AV93" s="255"/>
      <c r="AW93" s="255"/>
      <c r="AX93" s="212"/>
      <c r="AY93" s="236" cm="1">
        <f t="array" ref="AY93">INDEX(Use, $AD93, 4)</f>
        <v>7</v>
      </c>
      <c r="AZ93" s="236">
        <f t="shared" si="238"/>
        <v>32</v>
      </c>
      <c r="BA93" s="236">
        <f t="shared" si="239"/>
        <v>13</v>
      </c>
      <c r="BB93" s="236">
        <f t="shared" si="240"/>
        <v>0</v>
      </c>
      <c r="BC93" s="252" cm="1">
        <f t="array" ref="BC93">K93/IF($L93&gt;0, INDEX($AO$23:$AU$77, $L93+20, $AD93), 1)</f>
        <v>0</v>
      </c>
      <c r="BD93" s="237">
        <f t="shared" si="241"/>
        <v>0</v>
      </c>
      <c r="BE93" s="236">
        <v>35</v>
      </c>
      <c r="BF93" s="237">
        <f t="shared" si="242"/>
        <v>52.55</v>
      </c>
      <c r="BG93" s="253">
        <f t="shared" si="243"/>
        <v>2.7676728869374316</v>
      </c>
      <c r="BH93" s="253" cm="1">
        <f t="array" ref="BH93">$BC93 * SUMPRODUCT(INDEX($AL$77:$AN$82,,$AE93),INDEX($AO$77:$AU$82,,$AD93), N($AK$77:$AK$82&gt;$AI93)) / BG93 / 1000</f>
        <v>0</v>
      </c>
      <c r="BI93" s="250">
        <f t="shared" si="244"/>
        <v>30</v>
      </c>
      <c r="BJ93" s="237">
        <f t="shared" si="245"/>
        <v>46.033333333333331</v>
      </c>
      <c r="BK93" s="253">
        <f t="shared" si="246"/>
        <v>3.2297395388556791</v>
      </c>
      <c r="BL93" s="253" cm="1">
        <f t="array" ref="BL93">$BC93 * IF($AD93&lt;=2,
SUMPRODUCT(INDEX($AL$72:$AN$76,,$AE93), INDEX($AO$72:$AU$76,,$AD93), 1 / ($AV$72:$AV$76*BK93 + (1-$AV$72:$AV$76)*BG93), N($AK$72:$AK$76&gt;$AI93)),
SUMPRODUCT(INDEX($AL$67:$AN$76,,$AE93), INDEX($AO$67:$AU$76,,$AD93), 1 / ($AW$67:$AW$76*BK93 + (1-$AW$67:$AW$76)*BG93), N($AK$67:$AK$76&gt;$AI93))
) / 1000</f>
        <v>0</v>
      </c>
      <c r="BM93" s="250">
        <f t="shared" si="247"/>
        <v>25</v>
      </c>
      <c r="BN93" s="237">
        <f t="shared" si="248"/>
        <v>39.516666666666666</v>
      </c>
      <c r="BO93" s="253">
        <f t="shared" si="249"/>
        <v>3.877011788826243</v>
      </c>
      <c r="BP93" s="253" cm="1">
        <f t="array" ref="BP93">$BC93 * IF($AD93&lt;=2,
SUMPRODUCT(INDEX($AL$67:$AN$71,,$AE93), INDEX($AO$67:$AU$71,,$AD93), 1 / ($AV$67:$AV$71*BO93 + (1-$AV$67:$AV$71)*BK93), N($AK$67:$AK$71&gt;$AI93)),
SUMPRODUCT(INDEX($AL$57:$AN$66,,$AE93), INDEX($AO$57:$AU$66,,$AD93), 1 / ($AW$57:$AW$66*BO93 + (1-$AW$57:$AW$66)*BK93), N($AK$57:$AK$66&gt;$AI93))
) / 1000</f>
        <v>0</v>
      </c>
      <c r="BQ93" s="250">
        <f t="shared" si="250"/>
        <v>20</v>
      </c>
      <c r="BR93" s="237">
        <f t="shared" si="251"/>
        <v>33</v>
      </c>
      <c r="BS93" s="253">
        <f t="shared" si="252"/>
        <v>4.8487499999999999</v>
      </c>
      <c r="BT93" s="253" cm="1">
        <f t="array" ref="BT93">$BC93 * IF($AD93&lt;=2,
SUMPRODUCT(INDEX($AL$62:$AN$66,,$AE93), INDEX($AO$62:$AU$66,,$AD93), 1 / ($AV$62:$AV$66*BS93 + (1-$AV$62:$AV$66)*BO93), N($AK$62:$AK$66&gt;$AI93)),
SUMPRODUCT(INDEX($AL$47:$AN$56,,$AE93), INDEX($AO$47:$AU$56,,$AD93), 1 / ($AW$47:$AW$56*BS93 + (1-$AW$47:$AW$56)*BO93), N($AK$47:$AK$56&gt;$AI93))
) / 1000</f>
        <v>0</v>
      </c>
      <c r="BU93" s="253" cm="1">
        <f t="array" ref="BU93">$BC93 * IF($AD93&lt;=2,
SUMPRODUCT(INDEX($AL$23:$AN$61,,$AE93), INDEX($AO$23:$AU$61,,$AD93), 1 / ($AV$23:$AV$61*BS93), N($AK$23:$AK$61&gt;$AI93)),
SUMPRODUCT(INDEX($AL$23:$AN$46,,$AE93), INDEX($AO$23:$AU$46,,$AD93), 1 / ($AW$23:$AW$46*BS93), N($AK$23:$AK$46&gt;$AI93))
) / 1000</f>
        <v>0</v>
      </c>
      <c r="BV93" s="237">
        <f t="shared" si="253"/>
        <v>0</v>
      </c>
      <c r="BW93" s="210"/>
      <c r="BX93" s="237">
        <f t="shared" si="254"/>
        <v>0</v>
      </c>
      <c r="BY93" s="236">
        <v>35</v>
      </c>
      <c r="BZ93" s="237">
        <f t="shared" si="255"/>
        <v>48</v>
      </c>
      <c r="CA93" s="253">
        <f t="shared" si="256"/>
        <v>3.0748170731707316</v>
      </c>
      <c r="CB93" s="253" cm="1">
        <f t="array" ref="CB93">$BC93 * SUMPRODUCT(INDEX($AL$77:$AN$82,,$AE93),INDEX($AO$77:$AU$82,,$AD93), N($AK$77:$AK$82&gt;$AI93)) / CA93 / 1000</f>
        <v>0</v>
      </c>
      <c r="CC93" s="250">
        <f t="shared" si="257"/>
        <v>30</v>
      </c>
      <c r="CD93" s="237">
        <f t="shared" si="258"/>
        <v>43</v>
      </c>
      <c r="CE93" s="253">
        <f t="shared" si="259"/>
        <v>3.5018750000000001</v>
      </c>
      <c r="CF93" s="253" cm="1">
        <f t="array" ref="CF93">$BC93 * IF($AD93&lt;=2,
SUMPRODUCT(INDEX($AL$72:$AN$76,,$AE93), INDEX($AO$72:$AU$76,,$AD93), 1 / ($AV$72:$AV$76*CE93 + (1-$AV$72:$AV$76)*CA93), N($AK$72:$AK$76&gt;$AI93)),
SUMPRODUCT(INDEX($AL$67:$AN$76,,$AE93), INDEX($AO$67:$AU$76,,$AD93), 1 / ($AW$67:$AW$76*CE93 + (1-$AW$67:$AW$76)*CA93), N($AK$67:$AK$76&gt;$AI93))
) / 1000</f>
        <v>0</v>
      </c>
      <c r="CG93" s="250">
        <f t="shared" si="260"/>
        <v>25</v>
      </c>
      <c r="CH93" s="237">
        <f t="shared" si="261"/>
        <v>38</v>
      </c>
      <c r="CI93" s="253">
        <f t="shared" si="262"/>
        <v>4.0666935483870965</v>
      </c>
      <c r="CJ93" s="253" cm="1">
        <f t="array" ref="CJ93">$BC93 * IF($AD93&lt;=2,
SUMPRODUCT(INDEX($AL$67:$AN$71,,$AE93), INDEX($AO$67:$AU$71,,$AD93), 1 / ($AV$67:$AV$71*CI93 + (1-$AV$67:$AV$71)*CE93), N($AK$67:$AK$71&gt;$AI93)),
SUMPRODUCT(INDEX($AL$57:$AN$66,,$AE93), INDEX($AO$57:$AU$66,,$AD93), 1 / ($AW$57:$AW$66*CI93 + (1-$AW$57:$AW$66)*CE93), N($AK$57:$AK$66&gt;$AI93))
) / 1000</f>
        <v>0</v>
      </c>
      <c r="CK93" s="250">
        <f t="shared" si="263"/>
        <v>20</v>
      </c>
      <c r="CL93" s="237">
        <f t="shared" si="264"/>
        <v>33</v>
      </c>
      <c r="CM93" s="253">
        <f t="shared" si="265"/>
        <v>4.8487499999999999</v>
      </c>
      <c r="CN93" s="253" cm="1">
        <f t="array" ref="CN93">$BC93 * IF($AD93&lt;=2,
SUMPRODUCT(INDEX($AL$62:$AN$66,,$AE93), INDEX($AO$62:$AU$66,,$AD93), 1 / ($AV$62:$AV$66*CM93 + (1-$AV$62:$AV$66)*CI93), N($AK$62:$AK$66&gt;$AI93)),
SUMPRODUCT(INDEX($AL$47:$AN$56,,$AE93), INDEX($AO$47:$AU$56,,$AD93), 1 / ($AW$47:$AW$56*CM93 + (1-$AW$47:$AW$56)*CI93), N($AK$47:$AK$56&gt;$AI93))
) / 1000</f>
        <v>0</v>
      </c>
      <c r="CO93" s="253" cm="1">
        <f t="array" ref="CO93">$BC93 * IF($AD93&lt;=2,
SUMPRODUCT(INDEX($AL$23:$AN$61,,$AE93), INDEX($AO$23:$AU$61,,$AD93), 1 / ($AV$23:$AV$61*CM93), N($AK$23:$AK$61&gt;$AI93)),
SUMPRODUCT(INDEX($AL$23:$AN$46,,$AE93), INDEX($AO$23:$AU$46,,$AD93), 1 / ($AW$23:$AW$46*CM93), N($AK$23:$AK$46&gt;$AI93))
) / 1000</f>
        <v>0</v>
      </c>
      <c r="CP93" s="237">
        <f t="shared" si="266"/>
        <v>0</v>
      </c>
      <c r="CQ93" s="210"/>
    </row>
    <row r="94" spans="1:95" s="76" customFormat="1" ht="14.25" customHeight="1" x14ac:dyDescent="0.25">
      <c r="A94" s="238" t="b">
        <f t="shared" si="227"/>
        <v>0</v>
      </c>
      <c r="B94" s="239">
        <v>72</v>
      </c>
      <c r="C94" s="258"/>
      <c r="D94" s="258"/>
      <c r="E94" s="240"/>
      <c r="F94" s="241" t="str">
        <f>IF(ISBLANK(E94), "", VLOOKUP(E94, Z!$A$2:$C$4127, 3, FALSE))</f>
        <v/>
      </c>
      <c r="G94" s="242"/>
      <c r="H94" s="242"/>
      <c r="I94" s="243"/>
      <c r="J94" s="244"/>
      <c r="K94" s="259"/>
      <c r="L94" s="260"/>
      <c r="M94" s="247" t="str" cm="1">
        <f t="array" ref="M94">IF($K94&gt;0, INDEX(Clean,1+AG94,$C$1), "")</f>
        <v/>
      </c>
      <c r="N94" s="245"/>
      <c r="O94" s="245"/>
      <c r="P94" s="246"/>
      <c r="Q94" s="248">
        <f t="shared" si="232"/>
        <v>0</v>
      </c>
      <c r="R94" s="247" t="str" cm="1">
        <f t="array" ref="R94">IF($K94&gt;0, INDEX(Clean,1+AH94,$C$1), "")</f>
        <v/>
      </c>
      <c r="S94" s="245"/>
      <c r="T94" s="245"/>
      <c r="U94" s="246"/>
      <c r="V94" s="248">
        <f t="shared" si="233"/>
        <v>0</v>
      </c>
      <c r="W94" s="261"/>
      <c r="X94" s="258"/>
      <c r="Y94" s="240"/>
      <c r="Z94" s="241" t="str">
        <f>IF(ISBLANK(Y94), "", VLOOKUP(Y94, Z!$A$2:$C$4127, 3, FALSE))</f>
        <v/>
      </c>
      <c r="AA94" s="262"/>
      <c r="AB94" s="249">
        <f t="shared" si="234"/>
        <v>0</v>
      </c>
      <c r="AC94" s="210"/>
      <c r="AD94" s="236">
        <f t="shared" ref="AD94" si="282">IF(ISBLANK(H94), 1, IFERROR(MATCH(H94, INDEX(Use,,1), 0), IFERROR(MATCH(H94, INDEX(Use,,2), 0), MATCH(H94, INDEX(Use,,3), 0))))</f>
        <v>1</v>
      </c>
      <c r="AE94" s="236">
        <f t="shared" ref="AE94" si="283">IF(ISBLANK(G94), 1, IFERROR(MATCH(G94, INDEX(Loc,,1), 0), IFERROR(MATCH(G94, INDEX(Loc,,2), 0), MATCH(G94, INDEX(Loc,,3), 0))))</f>
        <v>1</v>
      </c>
      <c r="AF94" s="236">
        <f t="shared" ref="AF94" si="284">_xlfn.IFNA(IF(IFERROR(MATCH(I94, INDEX(Medium,,1), 0), IFERROR(MATCH(I94, INDEX(Medium,,2), 0), MATCH(I94, INDEX(Medium,,3), 0))) = 2, 1, 0), 0)</f>
        <v>0</v>
      </c>
      <c r="AG94" s="236">
        <v>1</v>
      </c>
      <c r="AH94" s="236">
        <v>0</v>
      </c>
      <c r="AI94" s="236">
        <f t="shared" si="231"/>
        <v>-100</v>
      </c>
      <c r="AJ94" s="210"/>
      <c r="AK94" s="254"/>
      <c r="AL94" s="254"/>
      <c r="AM94" s="255"/>
      <c r="AN94" s="255"/>
      <c r="AO94" s="255"/>
      <c r="AP94" s="255"/>
      <c r="AQ94" s="255"/>
      <c r="AR94" s="255"/>
      <c r="AS94" s="255"/>
      <c r="AT94" s="255"/>
      <c r="AU94" s="255"/>
      <c r="AV94" s="255"/>
      <c r="AW94" s="255"/>
      <c r="AX94" s="212"/>
      <c r="AY94" s="236" cm="1">
        <f t="array" ref="AY94">INDEX(Use, $AD94, 4)</f>
        <v>7</v>
      </c>
      <c r="AZ94" s="236">
        <f t="shared" si="238"/>
        <v>32</v>
      </c>
      <c r="BA94" s="236">
        <f t="shared" si="239"/>
        <v>13</v>
      </c>
      <c r="BB94" s="236">
        <f t="shared" si="240"/>
        <v>0</v>
      </c>
      <c r="BC94" s="252" cm="1">
        <f t="array" ref="BC94">K94/IF($L94&gt;0, INDEX($AO$23:$AU$77, $L94+20, $AD94), 1)</f>
        <v>0</v>
      </c>
      <c r="BD94" s="237">
        <f t="shared" si="241"/>
        <v>0</v>
      </c>
      <c r="BE94" s="236">
        <v>35</v>
      </c>
      <c r="BF94" s="237">
        <f t="shared" si="242"/>
        <v>52.55</v>
      </c>
      <c r="BG94" s="253">
        <f t="shared" si="243"/>
        <v>2.7676728869374316</v>
      </c>
      <c r="BH94" s="253" cm="1">
        <f t="array" ref="BH94">$BC94 * SUMPRODUCT(INDEX($AL$77:$AN$82,,$AE94),INDEX($AO$77:$AU$82,,$AD94), N($AK$77:$AK$82&gt;$AI94)) / BG94 / 1000</f>
        <v>0</v>
      </c>
      <c r="BI94" s="250">
        <f t="shared" si="244"/>
        <v>30</v>
      </c>
      <c r="BJ94" s="237">
        <f t="shared" si="245"/>
        <v>46.033333333333331</v>
      </c>
      <c r="BK94" s="253">
        <f t="shared" si="246"/>
        <v>3.2297395388556791</v>
      </c>
      <c r="BL94" s="253" cm="1">
        <f t="array" ref="BL94">$BC94 * IF($AD94&lt;=2,
SUMPRODUCT(INDEX($AL$72:$AN$76,,$AE94), INDEX($AO$72:$AU$76,,$AD94), 1 / ($AV$72:$AV$76*BK94 + (1-$AV$72:$AV$76)*BG94), N($AK$72:$AK$76&gt;$AI94)),
SUMPRODUCT(INDEX($AL$67:$AN$76,,$AE94), INDEX($AO$67:$AU$76,,$AD94), 1 / ($AW$67:$AW$76*BK94 + (1-$AW$67:$AW$76)*BG94), N($AK$67:$AK$76&gt;$AI94))
) / 1000</f>
        <v>0</v>
      </c>
      <c r="BM94" s="250">
        <f t="shared" si="247"/>
        <v>25</v>
      </c>
      <c r="BN94" s="237">
        <f t="shared" si="248"/>
        <v>39.516666666666666</v>
      </c>
      <c r="BO94" s="253">
        <f t="shared" si="249"/>
        <v>3.877011788826243</v>
      </c>
      <c r="BP94" s="253" cm="1">
        <f t="array" ref="BP94">$BC94 * IF($AD94&lt;=2,
SUMPRODUCT(INDEX($AL$67:$AN$71,,$AE94), INDEX($AO$67:$AU$71,,$AD94), 1 / ($AV$67:$AV$71*BO94 + (1-$AV$67:$AV$71)*BK94), N($AK$67:$AK$71&gt;$AI94)),
SUMPRODUCT(INDEX($AL$57:$AN$66,,$AE94), INDEX($AO$57:$AU$66,,$AD94), 1 / ($AW$57:$AW$66*BO94 + (1-$AW$57:$AW$66)*BK94), N($AK$57:$AK$66&gt;$AI94))
) / 1000</f>
        <v>0</v>
      </c>
      <c r="BQ94" s="250">
        <f t="shared" si="250"/>
        <v>20</v>
      </c>
      <c r="BR94" s="237">
        <f t="shared" si="251"/>
        <v>33</v>
      </c>
      <c r="BS94" s="253">
        <f t="shared" si="252"/>
        <v>4.8487499999999999</v>
      </c>
      <c r="BT94" s="253" cm="1">
        <f t="array" ref="BT94">$BC94 * IF($AD94&lt;=2,
SUMPRODUCT(INDEX($AL$62:$AN$66,,$AE94), INDEX($AO$62:$AU$66,,$AD94), 1 / ($AV$62:$AV$66*BS94 + (1-$AV$62:$AV$66)*BO94), N($AK$62:$AK$66&gt;$AI94)),
SUMPRODUCT(INDEX($AL$47:$AN$56,,$AE94), INDEX($AO$47:$AU$56,,$AD94), 1 / ($AW$47:$AW$56*BS94 + (1-$AW$47:$AW$56)*BO94), N($AK$47:$AK$56&gt;$AI94))
) / 1000</f>
        <v>0</v>
      </c>
      <c r="BU94" s="253" cm="1">
        <f t="array" ref="BU94">$BC94 * IF($AD94&lt;=2,
SUMPRODUCT(INDEX($AL$23:$AN$61,,$AE94), INDEX($AO$23:$AU$61,,$AD94), 1 / ($AV$23:$AV$61*BS94), N($AK$23:$AK$61&gt;$AI94)),
SUMPRODUCT(INDEX($AL$23:$AN$46,,$AE94), INDEX($AO$23:$AU$46,,$AD94), 1 / ($AW$23:$AW$46*BS94), N($AK$23:$AK$46&gt;$AI94))
) / 1000</f>
        <v>0</v>
      </c>
      <c r="BV94" s="237">
        <f t="shared" si="253"/>
        <v>0</v>
      </c>
      <c r="BW94" s="210"/>
      <c r="BX94" s="237">
        <f t="shared" si="254"/>
        <v>0</v>
      </c>
      <c r="BY94" s="236">
        <v>35</v>
      </c>
      <c r="BZ94" s="237">
        <f t="shared" si="255"/>
        <v>48</v>
      </c>
      <c r="CA94" s="253">
        <f t="shared" si="256"/>
        <v>3.0748170731707316</v>
      </c>
      <c r="CB94" s="253" cm="1">
        <f t="array" ref="CB94">$BC94 * SUMPRODUCT(INDEX($AL$77:$AN$82,,$AE94),INDEX($AO$77:$AU$82,,$AD94), N($AK$77:$AK$82&gt;$AI94)) / CA94 / 1000</f>
        <v>0</v>
      </c>
      <c r="CC94" s="250">
        <f t="shared" si="257"/>
        <v>30</v>
      </c>
      <c r="CD94" s="237">
        <f t="shared" si="258"/>
        <v>43</v>
      </c>
      <c r="CE94" s="253">
        <f t="shared" si="259"/>
        <v>3.5018750000000001</v>
      </c>
      <c r="CF94" s="253" cm="1">
        <f t="array" ref="CF94">$BC94 * IF($AD94&lt;=2,
SUMPRODUCT(INDEX($AL$72:$AN$76,,$AE94), INDEX($AO$72:$AU$76,,$AD94), 1 / ($AV$72:$AV$76*CE94 + (1-$AV$72:$AV$76)*CA94), N($AK$72:$AK$76&gt;$AI94)),
SUMPRODUCT(INDEX($AL$67:$AN$76,,$AE94), INDEX($AO$67:$AU$76,,$AD94), 1 / ($AW$67:$AW$76*CE94 + (1-$AW$67:$AW$76)*CA94), N($AK$67:$AK$76&gt;$AI94))
) / 1000</f>
        <v>0</v>
      </c>
      <c r="CG94" s="250">
        <f t="shared" si="260"/>
        <v>25</v>
      </c>
      <c r="CH94" s="237">
        <f t="shared" si="261"/>
        <v>38</v>
      </c>
      <c r="CI94" s="253">
        <f t="shared" si="262"/>
        <v>4.0666935483870965</v>
      </c>
      <c r="CJ94" s="253" cm="1">
        <f t="array" ref="CJ94">$BC94 * IF($AD94&lt;=2,
SUMPRODUCT(INDEX($AL$67:$AN$71,,$AE94), INDEX($AO$67:$AU$71,,$AD94), 1 / ($AV$67:$AV$71*CI94 + (1-$AV$67:$AV$71)*CE94), N($AK$67:$AK$71&gt;$AI94)),
SUMPRODUCT(INDEX($AL$57:$AN$66,,$AE94), INDEX($AO$57:$AU$66,,$AD94), 1 / ($AW$57:$AW$66*CI94 + (1-$AW$57:$AW$66)*CE94), N($AK$57:$AK$66&gt;$AI94))
) / 1000</f>
        <v>0</v>
      </c>
      <c r="CK94" s="250">
        <f t="shared" si="263"/>
        <v>20</v>
      </c>
      <c r="CL94" s="237">
        <f t="shared" si="264"/>
        <v>33</v>
      </c>
      <c r="CM94" s="253">
        <f t="shared" si="265"/>
        <v>4.8487499999999999</v>
      </c>
      <c r="CN94" s="253" cm="1">
        <f t="array" ref="CN94">$BC94 * IF($AD94&lt;=2,
SUMPRODUCT(INDEX($AL$62:$AN$66,,$AE94), INDEX($AO$62:$AU$66,,$AD94), 1 / ($AV$62:$AV$66*CM94 + (1-$AV$62:$AV$66)*CI94), N($AK$62:$AK$66&gt;$AI94)),
SUMPRODUCT(INDEX($AL$47:$AN$56,,$AE94), INDEX($AO$47:$AU$56,,$AD94), 1 / ($AW$47:$AW$56*CM94 + (1-$AW$47:$AW$56)*CI94), N($AK$47:$AK$56&gt;$AI94))
) / 1000</f>
        <v>0</v>
      </c>
      <c r="CO94" s="253" cm="1">
        <f t="array" ref="CO94">$BC94 * IF($AD94&lt;=2,
SUMPRODUCT(INDEX($AL$23:$AN$61,,$AE94), INDEX($AO$23:$AU$61,,$AD94), 1 / ($AV$23:$AV$61*CM94), N($AK$23:$AK$61&gt;$AI94)),
SUMPRODUCT(INDEX($AL$23:$AN$46,,$AE94), INDEX($AO$23:$AU$46,,$AD94), 1 / ($AW$23:$AW$46*CM94), N($AK$23:$AK$46&gt;$AI94))
) / 1000</f>
        <v>0</v>
      </c>
      <c r="CP94" s="237">
        <f t="shared" si="266"/>
        <v>0</v>
      </c>
      <c r="CQ94" s="210"/>
    </row>
    <row r="95" spans="1:95" s="76" customFormat="1" ht="14.25" customHeight="1" x14ac:dyDescent="0.25">
      <c r="A95" s="238" t="b">
        <f t="shared" si="227"/>
        <v>0</v>
      </c>
      <c r="B95" s="239">
        <v>73</v>
      </c>
      <c r="C95" s="258"/>
      <c r="D95" s="258"/>
      <c r="E95" s="240"/>
      <c r="F95" s="241" t="str">
        <f>IF(ISBLANK(E95), "", VLOOKUP(E95, Z!$A$2:$C$4127, 3, FALSE))</f>
        <v/>
      </c>
      <c r="G95" s="242"/>
      <c r="H95" s="242"/>
      <c r="I95" s="243"/>
      <c r="J95" s="244"/>
      <c r="K95" s="259"/>
      <c r="L95" s="260"/>
      <c r="M95" s="247" t="str" cm="1">
        <f t="array" ref="M95">IF($K95&gt;0, INDEX(Clean,1+AG95,$C$1), "")</f>
        <v/>
      </c>
      <c r="N95" s="245"/>
      <c r="O95" s="245"/>
      <c r="P95" s="246"/>
      <c r="Q95" s="248">
        <f t="shared" si="232"/>
        <v>0</v>
      </c>
      <c r="R95" s="247" t="str" cm="1">
        <f t="array" ref="R95">IF($K95&gt;0, INDEX(Clean,1+AH95,$C$1), "")</f>
        <v/>
      </c>
      <c r="S95" s="245"/>
      <c r="T95" s="245"/>
      <c r="U95" s="246"/>
      <c r="V95" s="248">
        <f t="shared" si="233"/>
        <v>0</v>
      </c>
      <c r="W95" s="261"/>
      <c r="X95" s="258"/>
      <c r="Y95" s="240"/>
      <c r="Z95" s="241" t="str">
        <f>IF(ISBLANK(Y95), "", VLOOKUP(Y95, Z!$A$2:$C$4127, 3, FALSE))</f>
        <v/>
      </c>
      <c r="AA95" s="262"/>
      <c r="AB95" s="249">
        <f t="shared" si="234"/>
        <v>0</v>
      </c>
      <c r="AC95" s="210"/>
      <c r="AD95" s="236">
        <f t="shared" ref="AD95" si="285">IF(ISBLANK(H95), 1, IFERROR(MATCH(H95, INDEX(Use,,1), 0), IFERROR(MATCH(H95, INDEX(Use,,2), 0), MATCH(H95, INDEX(Use,,3), 0))))</f>
        <v>1</v>
      </c>
      <c r="AE95" s="236">
        <f t="shared" ref="AE95" si="286">IF(ISBLANK(G95), 1, IFERROR(MATCH(G95, INDEX(Loc,,1), 0), IFERROR(MATCH(G95, INDEX(Loc,,2), 0), MATCH(G95, INDEX(Loc,,3), 0))))</f>
        <v>1</v>
      </c>
      <c r="AF95" s="236">
        <f t="shared" ref="AF95" si="287">_xlfn.IFNA(IF(IFERROR(MATCH(I95, INDEX(Medium,,1), 0), IFERROR(MATCH(I95, INDEX(Medium,,2), 0), MATCH(I95, INDEX(Medium,,3), 0))) = 2, 1, 0), 0)</f>
        <v>0</v>
      </c>
      <c r="AG95" s="236">
        <v>1</v>
      </c>
      <c r="AH95" s="236">
        <v>0</v>
      </c>
      <c r="AI95" s="236">
        <f t="shared" si="231"/>
        <v>-100</v>
      </c>
      <c r="AJ95" s="210"/>
      <c r="AK95" s="254"/>
      <c r="AL95" s="254"/>
      <c r="AM95" s="255"/>
      <c r="AN95" s="255"/>
      <c r="AO95" s="255"/>
      <c r="AP95" s="255"/>
      <c r="AQ95" s="255"/>
      <c r="AR95" s="255"/>
      <c r="AS95" s="255"/>
      <c r="AT95" s="255"/>
      <c r="AU95" s="255"/>
      <c r="AV95" s="255"/>
      <c r="AW95" s="255"/>
      <c r="AX95" s="212"/>
      <c r="AY95" s="236" cm="1">
        <f t="array" ref="AY95">INDEX(Use, $AD95, 4)</f>
        <v>7</v>
      </c>
      <c r="AZ95" s="236">
        <f t="shared" si="238"/>
        <v>32</v>
      </c>
      <c r="BA95" s="236">
        <f t="shared" si="239"/>
        <v>13</v>
      </c>
      <c r="BB95" s="236">
        <f t="shared" si="240"/>
        <v>0</v>
      </c>
      <c r="BC95" s="252" cm="1">
        <f t="array" ref="BC95">K95/IF($L95&gt;0, INDEX($AO$23:$AU$77, $L95+20, $AD95), 1)</f>
        <v>0</v>
      </c>
      <c r="BD95" s="237">
        <f t="shared" si="241"/>
        <v>0</v>
      </c>
      <c r="BE95" s="236">
        <v>35</v>
      </c>
      <c r="BF95" s="237">
        <f t="shared" si="242"/>
        <v>52.55</v>
      </c>
      <c r="BG95" s="253">
        <f t="shared" si="243"/>
        <v>2.7676728869374316</v>
      </c>
      <c r="BH95" s="253" cm="1">
        <f t="array" ref="BH95">$BC95 * SUMPRODUCT(INDEX($AL$77:$AN$82,,$AE95),INDEX($AO$77:$AU$82,,$AD95), N($AK$77:$AK$82&gt;$AI95)) / BG95 / 1000</f>
        <v>0</v>
      </c>
      <c r="BI95" s="250">
        <f t="shared" si="244"/>
        <v>30</v>
      </c>
      <c r="BJ95" s="237">
        <f t="shared" si="245"/>
        <v>46.033333333333331</v>
      </c>
      <c r="BK95" s="253">
        <f t="shared" si="246"/>
        <v>3.2297395388556791</v>
      </c>
      <c r="BL95" s="253" cm="1">
        <f t="array" ref="BL95">$BC95 * IF($AD95&lt;=2,
SUMPRODUCT(INDEX($AL$72:$AN$76,,$AE95), INDEX($AO$72:$AU$76,,$AD95), 1 / ($AV$72:$AV$76*BK95 + (1-$AV$72:$AV$76)*BG95), N($AK$72:$AK$76&gt;$AI95)),
SUMPRODUCT(INDEX($AL$67:$AN$76,,$AE95), INDEX($AO$67:$AU$76,,$AD95), 1 / ($AW$67:$AW$76*BK95 + (1-$AW$67:$AW$76)*BG95), N($AK$67:$AK$76&gt;$AI95))
) / 1000</f>
        <v>0</v>
      </c>
      <c r="BM95" s="250">
        <f t="shared" si="247"/>
        <v>25</v>
      </c>
      <c r="BN95" s="237">
        <f t="shared" si="248"/>
        <v>39.516666666666666</v>
      </c>
      <c r="BO95" s="253">
        <f t="shared" si="249"/>
        <v>3.877011788826243</v>
      </c>
      <c r="BP95" s="253" cm="1">
        <f t="array" ref="BP95">$BC95 * IF($AD95&lt;=2,
SUMPRODUCT(INDEX($AL$67:$AN$71,,$AE95), INDEX($AO$67:$AU$71,,$AD95), 1 / ($AV$67:$AV$71*BO95 + (1-$AV$67:$AV$71)*BK95), N($AK$67:$AK$71&gt;$AI95)),
SUMPRODUCT(INDEX($AL$57:$AN$66,,$AE95), INDEX($AO$57:$AU$66,,$AD95), 1 / ($AW$57:$AW$66*BO95 + (1-$AW$57:$AW$66)*BK95), N($AK$57:$AK$66&gt;$AI95))
) / 1000</f>
        <v>0</v>
      </c>
      <c r="BQ95" s="250">
        <f t="shared" si="250"/>
        <v>20</v>
      </c>
      <c r="BR95" s="237">
        <f t="shared" si="251"/>
        <v>33</v>
      </c>
      <c r="BS95" s="253">
        <f t="shared" si="252"/>
        <v>4.8487499999999999</v>
      </c>
      <c r="BT95" s="253" cm="1">
        <f t="array" ref="BT95">$BC95 * IF($AD95&lt;=2,
SUMPRODUCT(INDEX($AL$62:$AN$66,,$AE95), INDEX($AO$62:$AU$66,,$AD95), 1 / ($AV$62:$AV$66*BS95 + (1-$AV$62:$AV$66)*BO95), N($AK$62:$AK$66&gt;$AI95)),
SUMPRODUCT(INDEX($AL$47:$AN$56,,$AE95), INDEX($AO$47:$AU$56,,$AD95), 1 / ($AW$47:$AW$56*BS95 + (1-$AW$47:$AW$56)*BO95), N($AK$47:$AK$56&gt;$AI95))
) / 1000</f>
        <v>0</v>
      </c>
      <c r="BU95" s="253" cm="1">
        <f t="array" ref="BU95">$BC95 * IF($AD95&lt;=2,
SUMPRODUCT(INDEX($AL$23:$AN$61,,$AE95), INDEX($AO$23:$AU$61,,$AD95), 1 / ($AV$23:$AV$61*BS95), N($AK$23:$AK$61&gt;$AI95)),
SUMPRODUCT(INDEX($AL$23:$AN$46,,$AE95), INDEX($AO$23:$AU$46,,$AD95), 1 / ($AW$23:$AW$46*BS95), N($AK$23:$AK$46&gt;$AI95))
) / 1000</f>
        <v>0</v>
      </c>
      <c r="BV95" s="237">
        <f t="shared" si="253"/>
        <v>0</v>
      </c>
      <c r="BW95" s="210"/>
      <c r="BX95" s="237">
        <f t="shared" si="254"/>
        <v>0</v>
      </c>
      <c r="BY95" s="236">
        <v>35</v>
      </c>
      <c r="BZ95" s="237">
        <f t="shared" si="255"/>
        <v>48</v>
      </c>
      <c r="CA95" s="253">
        <f t="shared" si="256"/>
        <v>3.0748170731707316</v>
      </c>
      <c r="CB95" s="253" cm="1">
        <f t="array" ref="CB95">$BC95 * SUMPRODUCT(INDEX($AL$77:$AN$82,,$AE95),INDEX($AO$77:$AU$82,,$AD95), N($AK$77:$AK$82&gt;$AI95)) / CA95 / 1000</f>
        <v>0</v>
      </c>
      <c r="CC95" s="250">
        <f t="shared" si="257"/>
        <v>30</v>
      </c>
      <c r="CD95" s="237">
        <f t="shared" si="258"/>
        <v>43</v>
      </c>
      <c r="CE95" s="253">
        <f t="shared" si="259"/>
        <v>3.5018750000000001</v>
      </c>
      <c r="CF95" s="253" cm="1">
        <f t="array" ref="CF95">$BC95 * IF($AD95&lt;=2,
SUMPRODUCT(INDEX($AL$72:$AN$76,,$AE95), INDEX($AO$72:$AU$76,,$AD95), 1 / ($AV$72:$AV$76*CE95 + (1-$AV$72:$AV$76)*CA95), N($AK$72:$AK$76&gt;$AI95)),
SUMPRODUCT(INDEX($AL$67:$AN$76,,$AE95), INDEX($AO$67:$AU$76,,$AD95), 1 / ($AW$67:$AW$76*CE95 + (1-$AW$67:$AW$76)*CA95), N($AK$67:$AK$76&gt;$AI95))
) / 1000</f>
        <v>0</v>
      </c>
      <c r="CG95" s="250">
        <f t="shared" si="260"/>
        <v>25</v>
      </c>
      <c r="CH95" s="237">
        <f t="shared" si="261"/>
        <v>38</v>
      </c>
      <c r="CI95" s="253">
        <f t="shared" si="262"/>
        <v>4.0666935483870965</v>
      </c>
      <c r="CJ95" s="253" cm="1">
        <f t="array" ref="CJ95">$BC95 * IF($AD95&lt;=2,
SUMPRODUCT(INDEX($AL$67:$AN$71,,$AE95), INDEX($AO$67:$AU$71,,$AD95), 1 / ($AV$67:$AV$71*CI95 + (1-$AV$67:$AV$71)*CE95), N($AK$67:$AK$71&gt;$AI95)),
SUMPRODUCT(INDEX($AL$57:$AN$66,,$AE95), INDEX($AO$57:$AU$66,,$AD95), 1 / ($AW$57:$AW$66*CI95 + (1-$AW$57:$AW$66)*CE95), N($AK$57:$AK$66&gt;$AI95))
) / 1000</f>
        <v>0</v>
      </c>
      <c r="CK95" s="250">
        <f t="shared" si="263"/>
        <v>20</v>
      </c>
      <c r="CL95" s="237">
        <f t="shared" si="264"/>
        <v>33</v>
      </c>
      <c r="CM95" s="253">
        <f t="shared" si="265"/>
        <v>4.8487499999999999</v>
      </c>
      <c r="CN95" s="253" cm="1">
        <f t="array" ref="CN95">$BC95 * IF($AD95&lt;=2,
SUMPRODUCT(INDEX($AL$62:$AN$66,,$AE95), INDEX($AO$62:$AU$66,,$AD95), 1 / ($AV$62:$AV$66*CM95 + (1-$AV$62:$AV$66)*CI95), N($AK$62:$AK$66&gt;$AI95)),
SUMPRODUCT(INDEX($AL$47:$AN$56,,$AE95), INDEX($AO$47:$AU$56,,$AD95), 1 / ($AW$47:$AW$56*CM95 + (1-$AW$47:$AW$56)*CI95), N($AK$47:$AK$56&gt;$AI95))
) / 1000</f>
        <v>0</v>
      </c>
      <c r="CO95" s="253" cm="1">
        <f t="array" ref="CO95">$BC95 * IF($AD95&lt;=2,
SUMPRODUCT(INDEX($AL$23:$AN$61,,$AE95), INDEX($AO$23:$AU$61,,$AD95), 1 / ($AV$23:$AV$61*CM95), N($AK$23:$AK$61&gt;$AI95)),
SUMPRODUCT(INDEX($AL$23:$AN$46,,$AE95), INDEX($AO$23:$AU$46,,$AD95), 1 / ($AW$23:$AW$46*CM95), N($AK$23:$AK$46&gt;$AI95))
) / 1000</f>
        <v>0</v>
      </c>
      <c r="CP95" s="237">
        <f t="shared" si="266"/>
        <v>0</v>
      </c>
      <c r="CQ95" s="210"/>
    </row>
    <row r="96" spans="1:95" s="76" customFormat="1" ht="14.25" customHeight="1" x14ac:dyDescent="0.25">
      <c r="A96" s="238" t="b">
        <f t="shared" si="227"/>
        <v>0</v>
      </c>
      <c r="B96" s="239">
        <v>74</v>
      </c>
      <c r="C96" s="258"/>
      <c r="D96" s="258"/>
      <c r="E96" s="240"/>
      <c r="F96" s="241" t="str">
        <f>IF(ISBLANK(E96), "", VLOOKUP(E96, Z!$A$2:$C$4127, 3, FALSE))</f>
        <v/>
      </c>
      <c r="G96" s="242"/>
      <c r="H96" s="242"/>
      <c r="I96" s="243"/>
      <c r="J96" s="244"/>
      <c r="K96" s="259"/>
      <c r="L96" s="260"/>
      <c r="M96" s="247" t="str" cm="1">
        <f t="array" ref="M96">IF($K96&gt;0, INDEX(Clean,1+AG96,$C$1), "")</f>
        <v/>
      </c>
      <c r="N96" s="245"/>
      <c r="O96" s="245"/>
      <c r="P96" s="246"/>
      <c r="Q96" s="248">
        <f t="shared" si="232"/>
        <v>0</v>
      </c>
      <c r="R96" s="247" t="str" cm="1">
        <f t="array" ref="R96">IF($K96&gt;0, INDEX(Clean,1+AH96,$C$1), "")</f>
        <v/>
      </c>
      <c r="S96" s="245"/>
      <c r="T96" s="245"/>
      <c r="U96" s="246"/>
      <c r="V96" s="248">
        <f t="shared" si="233"/>
        <v>0</v>
      </c>
      <c r="W96" s="261"/>
      <c r="X96" s="258"/>
      <c r="Y96" s="240"/>
      <c r="Z96" s="241" t="str">
        <f>IF(ISBLANK(Y96), "", VLOOKUP(Y96, Z!$A$2:$C$4127, 3, FALSE))</f>
        <v/>
      </c>
      <c r="AA96" s="262"/>
      <c r="AB96" s="249">
        <f t="shared" si="234"/>
        <v>0</v>
      </c>
      <c r="AC96" s="210"/>
      <c r="AD96" s="236">
        <f t="shared" ref="AD96" si="288">IF(ISBLANK(H96), 1, IFERROR(MATCH(H96, INDEX(Use,,1), 0), IFERROR(MATCH(H96, INDEX(Use,,2), 0), MATCH(H96, INDEX(Use,,3), 0))))</f>
        <v>1</v>
      </c>
      <c r="AE96" s="236">
        <f t="shared" ref="AE96" si="289">IF(ISBLANK(G96), 1, IFERROR(MATCH(G96, INDEX(Loc,,1), 0), IFERROR(MATCH(G96, INDEX(Loc,,2), 0), MATCH(G96, INDEX(Loc,,3), 0))))</f>
        <v>1</v>
      </c>
      <c r="AF96" s="236">
        <f t="shared" ref="AF96" si="290">_xlfn.IFNA(IF(IFERROR(MATCH(I96, INDEX(Medium,,1), 0), IFERROR(MATCH(I96, INDEX(Medium,,2), 0), MATCH(I96, INDEX(Medium,,3), 0))) = 2, 1, 0), 0)</f>
        <v>0</v>
      </c>
      <c r="AG96" s="236">
        <v>1</v>
      </c>
      <c r="AH96" s="236">
        <v>0</v>
      </c>
      <c r="AI96" s="236">
        <f t="shared" si="231"/>
        <v>-100</v>
      </c>
      <c r="AJ96" s="210"/>
      <c r="AK96" s="254"/>
      <c r="AL96" s="254"/>
      <c r="AM96" s="255"/>
      <c r="AN96" s="255"/>
      <c r="AO96" s="255"/>
      <c r="AP96" s="255"/>
      <c r="AQ96" s="255"/>
      <c r="AR96" s="255"/>
      <c r="AS96" s="255"/>
      <c r="AT96" s="255"/>
      <c r="AU96" s="255"/>
      <c r="AV96" s="255"/>
      <c r="AW96" s="255"/>
      <c r="AX96" s="212"/>
      <c r="AY96" s="236" cm="1">
        <f t="array" ref="AY96">INDEX(Use, $AD96, 4)</f>
        <v>7</v>
      </c>
      <c r="AZ96" s="236">
        <f t="shared" si="238"/>
        <v>32</v>
      </c>
      <c r="BA96" s="236">
        <f t="shared" si="239"/>
        <v>13</v>
      </c>
      <c r="BB96" s="236">
        <f t="shared" si="240"/>
        <v>0</v>
      </c>
      <c r="BC96" s="252" cm="1">
        <f t="array" ref="BC96">K96/IF($L96&gt;0, INDEX($AO$23:$AU$77, $L96+20, $AD96), 1)</f>
        <v>0</v>
      </c>
      <c r="BD96" s="237">
        <f t="shared" si="241"/>
        <v>0</v>
      </c>
      <c r="BE96" s="236">
        <v>35</v>
      </c>
      <c r="BF96" s="237">
        <f t="shared" si="242"/>
        <v>52.55</v>
      </c>
      <c r="BG96" s="253">
        <f t="shared" si="243"/>
        <v>2.7676728869374316</v>
      </c>
      <c r="BH96" s="253" cm="1">
        <f t="array" ref="BH96">$BC96 * SUMPRODUCT(INDEX($AL$77:$AN$82,,$AE96),INDEX($AO$77:$AU$82,,$AD96), N($AK$77:$AK$82&gt;$AI96)) / BG96 / 1000</f>
        <v>0</v>
      </c>
      <c r="BI96" s="250">
        <f t="shared" si="244"/>
        <v>30</v>
      </c>
      <c r="BJ96" s="237">
        <f t="shared" si="245"/>
        <v>46.033333333333331</v>
      </c>
      <c r="BK96" s="253">
        <f t="shared" si="246"/>
        <v>3.2297395388556791</v>
      </c>
      <c r="BL96" s="253" cm="1">
        <f t="array" ref="BL96">$BC96 * IF($AD96&lt;=2,
SUMPRODUCT(INDEX($AL$72:$AN$76,,$AE96), INDEX($AO$72:$AU$76,,$AD96), 1 / ($AV$72:$AV$76*BK96 + (1-$AV$72:$AV$76)*BG96), N($AK$72:$AK$76&gt;$AI96)),
SUMPRODUCT(INDEX($AL$67:$AN$76,,$AE96), INDEX($AO$67:$AU$76,,$AD96), 1 / ($AW$67:$AW$76*BK96 + (1-$AW$67:$AW$76)*BG96), N($AK$67:$AK$76&gt;$AI96))
) / 1000</f>
        <v>0</v>
      </c>
      <c r="BM96" s="250">
        <f t="shared" si="247"/>
        <v>25</v>
      </c>
      <c r="BN96" s="237">
        <f t="shared" si="248"/>
        <v>39.516666666666666</v>
      </c>
      <c r="BO96" s="253">
        <f t="shared" si="249"/>
        <v>3.877011788826243</v>
      </c>
      <c r="BP96" s="253" cm="1">
        <f t="array" ref="BP96">$BC96 * IF($AD96&lt;=2,
SUMPRODUCT(INDEX($AL$67:$AN$71,,$AE96), INDEX($AO$67:$AU$71,,$AD96), 1 / ($AV$67:$AV$71*BO96 + (1-$AV$67:$AV$71)*BK96), N($AK$67:$AK$71&gt;$AI96)),
SUMPRODUCT(INDEX($AL$57:$AN$66,,$AE96), INDEX($AO$57:$AU$66,,$AD96), 1 / ($AW$57:$AW$66*BO96 + (1-$AW$57:$AW$66)*BK96), N($AK$57:$AK$66&gt;$AI96))
) / 1000</f>
        <v>0</v>
      </c>
      <c r="BQ96" s="250">
        <f t="shared" si="250"/>
        <v>20</v>
      </c>
      <c r="BR96" s="237">
        <f t="shared" si="251"/>
        <v>33</v>
      </c>
      <c r="BS96" s="253">
        <f t="shared" si="252"/>
        <v>4.8487499999999999</v>
      </c>
      <c r="BT96" s="253" cm="1">
        <f t="array" ref="BT96">$BC96 * IF($AD96&lt;=2,
SUMPRODUCT(INDEX($AL$62:$AN$66,,$AE96), INDEX($AO$62:$AU$66,,$AD96), 1 / ($AV$62:$AV$66*BS96 + (1-$AV$62:$AV$66)*BO96), N($AK$62:$AK$66&gt;$AI96)),
SUMPRODUCT(INDEX($AL$47:$AN$56,,$AE96), INDEX($AO$47:$AU$56,,$AD96), 1 / ($AW$47:$AW$56*BS96 + (1-$AW$47:$AW$56)*BO96), N($AK$47:$AK$56&gt;$AI96))
) / 1000</f>
        <v>0</v>
      </c>
      <c r="BU96" s="253" cm="1">
        <f t="array" ref="BU96">$BC96 * IF($AD96&lt;=2,
SUMPRODUCT(INDEX($AL$23:$AN$61,,$AE96), INDEX($AO$23:$AU$61,,$AD96), 1 / ($AV$23:$AV$61*BS96), N($AK$23:$AK$61&gt;$AI96)),
SUMPRODUCT(INDEX($AL$23:$AN$46,,$AE96), INDEX($AO$23:$AU$46,,$AD96), 1 / ($AW$23:$AW$46*BS96), N($AK$23:$AK$46&gt;$AI96))
) / 1000</f>
        <v>0</v>
      </c>
      <c r="BV96" s="237">
        <f t="shared" si="253"/>
        <v>0</v>
      </c>
      <c r="BW96" s="210"/>
      <c r="BX96" s="237">
        <f t="shared" si="254"/>
        <v>0</v>
      </c>
      <c r="BY96" s="236">
        <v>35</v>
      </c>
      <c r="BZ96" s="237">
        <f t="shared" si="255"/>
        <v>48</v>
      </c>
      <c r="CA96" s="253">
        <f t="shared" si="256"/>
        <v>3.0748170731707316</v>
      </c>
      <c r="CB96" s="253" cm="1">
        <f t="array" ref="CB96">$BC96 * SUMPRODUCT(INDEX($AL$77:$AN$82,,$AE96),INDEX($AO$77:$AU$82,,$AD96), N($AK$77:$AK$82&gt;$AI96)) / CA96 / 1000</f>
        <v>0</v>
      </c>
      <c r="CC96" s="250">
        <f t="shared" si="257"/>
        <v>30</v>
      </c>
      <c r="CD96" s="237">
        <f t="shared" si="258"/>
        <v>43</v>
      </c>
      <c r="CE96" s="253">
        <f t="shared" si="259"/>
        <v>3.5018750000000001</v>
      </c>
      <c r="CF96" s="253" cm="1">
        <f t="array" ref="CF96">$BC96 * IF($AD96&lt;=2,
SUMPRODUCT(INDEX($AL$72:$AN$76,,$AE96), INDEX($AO$72:$AU$76,,$AD96), 1 / ($AV$72:$AV$76*CE96 + (1-$AV$72:$AV$76)*CA96), N($AK$72:$AK$76&gt;$AI96)),
SUMPRODUCT(INDEX($AL$67:$AN$76,,$AE96), INDEX($AO$67:$AU$76,,$AD96), 1 / ($AW$67:$AW$76*CE96 + (1-$AW$67:$AW$76)*CA96), N($AK$67:$AK$76&gt;$AI96))
) / 1000</f>
        <v>0</v>
      </c>
      <c r="CG96" s="250">
        <f t="shared" si="260"/>
        <v>25</v>
      </c>
      <c r="CH96" s="237">
        <f t="shared" si="261"/>
        <v>38</v>
      </c>
      <c r="CI96" s="253">
        <f t="shared" si="262"/>
        <v>4.0666935483870965</v>
      </c>
      <c r="CJ96" s="253" cm="1">
        <f t="array" ref="CJ96">$BC96 * IF($AD96&lt;=2,
SUMPRODUCT(INDEX($AL$67:$AN$71,,$AE96), INDEX($AO$67:$AU$71,,$AD96), 1 / ($AV$67:$AV$71*CI96 + (1-$AV$67:$AV$71)*CE96), N($AK$67:$AK$71&gt;$AI96)),
SUMPRODUCT(INDEX($AL$57:$AN$66,,$AE96), INDEX($AO$57:$AU$66,,$AD96), 1 / ($AW$57:$AW$66*CI96 + (1-$AW$57:$AW$66)*CE96), N($AK$57:$AK$66&gt;$AI96))
) / 1000</f>
        <v>0</v>
      </c>
      <c r="CK96" s="250">
        <f t="shared" si="263"/>
        <v>20</v>
      </c>
      <c r="CL96" s="237">
        <f t="shared" si="264"/>
        <v>33</v>
      </c>
      <c r="CM96" s="253">
        <f t="shared" si="265"/>
        <v>4.8487499999999999</v>
      </c>
      <c r="CN96" s="253" cm="1">
        <f t="array" ref="CN96">$BC96 * IF($AD96&lt;=2,
SUMPRODUCT(INDEX($AL$62:$AN$66,,$AE96), INDEX($AO$62:$AU$66,,$AD96), 1 / ($AV$62:$AV$66*CM96 + (1-$AV$62:$AV$66)*CI96), N($AK$62:$AK$66&gt;$AI96)),
SUMPRODUCT(INDEX($AL$47:$AN$56,,$AE96), INDEX($AO$47:$AU$56,,$AD96), 1 / ($AW$47:$AW$56*CM96 + (1-$AW$47:$AW$56)*CI96), N($AK$47:$AK$56&gt;$AI96))
) / 1000</f>
        <v>0</v>
      </c>
      <c r="CO96" s="253" cm="1">
        <f t="array" ref="CO96">$BC96 * IF($AD96&lt;=2,
SUMPRODUCT(INDEX($AL$23:$AN$61,,$AE96), INDEX($AO$23:$AU$61,,$AD96), 1 / ($AV$23:$AV$61*CM96), N($AK$23:$AK$61&gt;$AI96)),
SUMPRODUCT(INDEX($AL$23:$AN$46,,$AE96), INDEX($AO$23:$AU$46,,$AD96), 1 / ($AW$23:$AW$46*CM96), N($AK$23:$AK$46&gt;$AI96))
) / 1000</f>
        <v>0</v>
      </c>
      <c r="CP96" s="237">
        <f t="shared" si="266"/>
        <v>0</v>
      </c>
      <c r="CQ96" s="210"/>
    </row>
    <row r="97" spans="1:95" s="76" customFormat="1" ht="14.25" customHeight="1" x14ac:dyDescent="0.25">
      <c r="A97" s="238" t="b">
        <f t="shared" si="227"/>
        <v>0</v>
      </c>
      <c r="B97" s="239">
        <v>75</v>
      </c>
      <c r="C97" s="258"/>
      <c r="D97" s="258"/>
      <c r="E97" s="240"/>
      <c r="F97" s="241" t="str">
        <f>IF(ISBLANK(E97), "", VLOOKUP(E97, Z!$A$2:$C$4127, 3, FALSE))</f>
        <v/>
      </c>
      <c r="G97" s="242"/>
      <c r="H97" s="242"/>
      <c r="I97" s="243"/>
      <c r="J97" s="244"/>
      <c r="K97" s="259"/>
      <c r="L97" s="260"/>
      <c r="M97" s="247" t="str" cm="1">
        <f t="array" ref="M97">IF($K97&gt;0, INDEX(Clean,1+AG97,$C$1), "")</f>
        <v/>
      </c>
      <c r="N97" s="245"/>
      <c r="O97" s="245"/>
      <c r="P97" s="246"/>
      <c r="Q97" s="248">
        <f t="shared" si="232"/>
        <v>0</v>
      </c>
      <c r="R97" s="247" t="str" cm="1">
        <f t="array" ref="R97">IF($K97&gt;0, INDEX(Clean,1+AH97,$C$1), "")</f>
        <v/>
      </c>
      <c r="S97" s="245"/>
      <c r="T97" s="245"/>
      <c r="U97" s="246"/>
      <c r="V97" s="248">
        <f t="shared" si="233"/>
        <v>0</v>
      </c>
      <c r="W97" s="261"/>
      <c r="X97" s="258"/>
      <c r="Y97" s="240"/>
      <c r="Z97" s="241" t="str">
        <f>IF(ISBLANK(Y97), "", VLOOKUP(Y97, Z!$A$2:$C$4127, 3, FALSE))</f>
        <v/>
      </c>
      <c r="AA97" s="262"/>
      <c r="AB97" s="249">
        <f t="shared" si="234"/>
        <v>0</v>
      </c>
      <c r="AC97" s="210"/>
      <c r="AD97" s="236">
        <f t="shared" ref="AD97" si="291">IF(ISBLANK(H97), 1, IFERROR(MATCH(H97, INDEX(Use,,1), 0), IFERROR(MATCH(H97, INDEX(Use,,2), 0), MATCH(H97, INDEX(Use,,3), 0))))</f>
        <v>1</v>
      </c>
      <c r="AE97" s="236">
        <f t="shared" ref="AE97" si="292">IF(ISBLANK(G97), 1, IFERROR(MATCH(G97, INDEX(Loc,,1), 0), IFERROR(MATCH(G97, INDEX(Loc,,2), 0), MATCH(G97, INDEX(Loc,,3), 0))))</f>
        <v>1</v>
      </c>
      <c r="AF97" s="236">
        <f t="shared" ref="AF97" si="293">_xlfn.IFNA(IF(IFERROR(MATCH(I97, INDEX(Medium,,1), 0), IFERROR(MATCH(I97, INDEX(Medium,,2), 0), MATCH(I97, INDEX(Medium,,3), 0))) = 2, 1, 0), 0)</f>
        <v>0</v>
      </c>
      <c r="AG97" s="236">
        <v>1</v>
      </c>
      <c r="AH97" s="236">
        <v>0</v>
      </c>
      <c r="AI97" s="236">
        <f t="shared" si="231"/>
        <v>-100</v>
      </c>
      <c r="AJ97" s="210"/>
      <c r="AK97" s="254"/>
      <c r="AL97" s="254"/>
      <c r="AM97" s="255"/>
      <c r="AN97" s="255"/>
      <c r="AO97" s="255"/>
      <c r="AP97" s="255"/>
      <c r="AQ97" s="255"/>
      <c r="AR97" s="255"/>
      <c r="AS97" s="255"/>
      <c r="AT97" s="255"/>
      <c r="AU97" s="255"/>
      <c r="AV97" s="255"/>
      <c r="AW97" s="255"/>
      <c r="AX97" s="212"/>
      <c r="AY97" s="236" cm="1">
        <f t="array" ref="AY97">INDEX(Use, $AD97, 4)</f>
        <v>7</v>
      </c>
      <c r="AZ97" s="236">
        <f t="shared" si="238"/>
        <v>32</v>
      </c>
      <c r="BA97" s="236">
        <f t="shared" si="239"/>
        <v>13</v>
      </c>
      <c r="BB97" s="236">
        <f t="shared" si="240"/>
        <v>0</v>
      </c>
      <c r="BC97" s="252" cm="1">
        <f t="array" ref="BC97">K97/IF($L97&gt;0, INDEX($AO$23:$AU$77, $L97+20, $AD97), 1)</f>
        <v>0</v>
      </c>
      <c r="BD97" s="237">
        <f t="shared" si="241"/>
        <v>0</v>
      </c>
      <c r="BE97" s="236">
        <v>35</v>
      </c>
      <c r="BF97" s="237">
        <f t="shared" si="242"/>
        <v>52.55</v>
      </c>
      <c r="BG97" s="253">
        <f t="shared" si="243"/>
        <v>2.7676728869374316</v>
      </c>
      <c r="BH97" s="253" cm="1">
        <f t="array" ref="BH97">$BC97 * SUMPRODUCT(INDEX($AL$77:$AN$82,,$AE97),INDEX($AO$77:$AU$82,,$AD97), N($AK$77:$AK$82&gt;$AI97)) / BG97 / 1000</f>
        <v>0</v>
      </c>
      <c r="BI97" s="250">
        <f t="shared" si="244"/>
        <v>30</v>
      </c>
      <c r="BJ97" s="237">
        <f t="shared" si="245"/>
        <v>46.033333333333331</v>
      </c>
      <c r="BK97" s="253">
        <f t="shared" si="246"/>
        <v>3.2297395388556791</v>
      </c>
      <c r="BL97" s="253" cm="1">
        <f t="array" ref="BL97">$BC97 * IF($AD97&lt;=2,
SUMPRODUCT(INDEX($AL$72:$AN$76,,$AE97), INDEX($AO$72:$AU$76,,$AD97), 1 / ($AV$72:$AV$76*BK97 + (1-$AV$72:$AV$76)*BG97), N($AK$72:$AK$76&gt;$AI97)),
SUMPRODUCT(INDEX($AL$67:$AN$76,,$AE97), INDEX($AO$67:$AU$76,,$AD97), 1 / ($AW$67:$AW$76*BK97 + (1-$AW$67:$AW$76)*BG97), N($AK$67:$AK$76&gt;$AI97))
) / 1000</f>
        <v>0</v>
      </c>
      <c r="BM97" s="250">
        <f t="shared" si="247"/>
        <v>25</v>
      </c>
      <c r="BN97" s="237">
        <f t="shared" si="248"/>
        <v>39.516666666666666</v>
      </c>
      <c r="BO97" s="253">
        <f t="shared" si="249"/>
        <v>3.877011788826243</v>
      </c>
      <c r="BP97" s="253" cm="1">
        <f t="array" ref="BP97">$BC97 * IF($AD97&lt;=2,
SUMPRODUCT(INDEX($AL$67:$AN$71,,$AE97), INDEX($AO$67:$AU$71,,$AD97), 1 / ($AV$67:$AV$71*BO97 + (1-$AV$67:$AV$71)*BK97), N($AK$67:$AK$71&gt;$AI97)),
SUMPRODUCT(INDEX($AL$57:$AN$66,,$AE97), INDEX($AO$57:$AU$66,,$AD97), 1 / ($AW$57:$AW$66*BO97 + (1-$AW$57:$AW$66)*BK97), N($AK$57:$AK$66&gt;$AI97))
) / 1000</f>
        <v>0</v>
      </c>
      <c r="BQ97" s="250">
        <f t="shared" si="250"/>
        <v>20</v>
      </c>
      <c r="BR97" s="237">
        <f t="shared" si="251"/>
        <v>33</v>
      </c>
      <c r="BS97" s="253">
        <f t="shared" si="252"/>
        <v>4.8487499999999999</v>
      </c>
      <c r="BT97" s="253" cm="1">
        <f t="array" ref="BT97">$BC97 * IF($AD97&lt;=2,
SUMPRODUCT(INDEX($AL$62:$AN$66,,$AE97), INDEX($AO$62:$AU$66,,$AD97), 1 / ($AV$62:$AV$66*BS97 + (1-$AV$62:$AV$66)*BO97), N($AK$62:$AK$66&gt;$AI97)),
SUMPRODUCT(INDEX($AL$47:$AN$56,,$AE97), INDEX($AO$47:$AU$56,,$AD97), 1 / ($AW$47:$AW$56*BS97 + (1-$AW$47:$AW$56)*BO97), N($AK$47:$AK$56&gt;$AI97))
) / 1000</f>
        <v>0</v>
      </c>
      <c r="BU97" s="253" cm="1">
        <f t="array" ref="BU97">$BC97 * IF($AD97&lt;=2,
SUMPRODUCT(INDEX($AL$23:$AN$61,,$AE97), INDEX($AO$23:$AU$61,,$AD97), 1 / ($AV$23:$AV$61*BS97), N($AK$23:$AK$61&gt;$AI97)),
SUMPRODUCT(INDEX($AL$23:$AN$46,,$AE97), INDEX($AO$23:$AU$46,,$AD97), 1 / ($AW$23:$AW$46*BS97), N($AK$23:$AK$46&gt;$AI97))
) / 1000</f>
        <v>0</v>
      </c>
      <c r="BV97" s="237">
        <f t="shared" si="253"/>
        <v>0</v>
      </c>
      <c r="BW97" s="210"/>
      <c r="BX97" s="237">
        <f t="shared" si="254"/>
        <v>0</v>
      </c>
      <c r="BY97" s="236">
        <v>35</v>
      </c>
      <c r="BZ97" s="237">
        <f t="shared" si="255"/>
        <v>48</v>
      </c>
      <c r="CA97" s="253">
        <f t="shared" si="256"/>
        <v>3.0748170731707316</v>
      </c>
      <c r="CB97" s="253" cm="1">
        <f t="array" ref="CB97">$BC97 * SUMPRODUCT(INDEX($AL$77:$AN$82,,$AE97),INDEX($AO$77:$AU$82,,$AD97), N($AK$77:$AK$82&gt;$AI97)) / CA97 / 1000</f>
        <v>0</v>
      </c>
      <c r="CC97" s="250">
        <f t="shared" si="257"/>
        <v>30</v>
      </c>
      <c r="CD97" s="237">
        <f t="shared" si="258"/>
        <v>43</v>
      </c>
      <c r="CE97" s="253">
        <f t="shared" si="259"/>
        <v>3.5018750000000001</v>
      </c>
      <c r="CF97" s="253" cm="1">
        <f t="array" ref="CF97">$BC97 * IF($AD97&lt;=2,
SUMPRODUCT(INDEX($AL$72:$AN$76,,$AE97), INDEX($AO$72:$AU$76,,$AD97), 1 / ($AV$72:$AV$76*CE97 + (1-$AV$72:$AV$76)*CA97), N($AK$72:$AK$76&gt;$AI97)),
SUMPRODUCT(INDEX($AL$67:$AN$76,,$AE97), INDEX($AO$67:$AU$76,,$AD97), 1 / ($AW$67:$AW$76*CE97 + (1-$AW$67:$AW$76)*CA97), N($AK$67:$AK$76&gt;$AI97))
) / 1000</f>
        <v>0</v>
      </c>
      <c r="CG97" s="250">
        <f t="shared" si="260"/>
        <v>25</v>
      </c>
      <c r="CH97" s="237">
        <f t="shared" si="261"/>
        <v>38</v>
      </c>
      <c r="CI97" s="253">
        <f t="shared" si="262"/>
        <v>4.0666935483870965</v>
      </c>
      <c r="CJ97" s="253" cm="1">
        <f t="array" ref="CJ97">$BC97 * IF($AD97&lt;=2,
SUMPRODUCT(INDEX($AL$67:$AN$71,,$AE97), INDEX($AO$67:$AU$71,,$AD97), 1 / ($AV$67:$AV$71*CI97 + (1-$AV$67:$AV$71)*CE97), N($AK$67:$AK$71&gt;$AI97)),
SUMPRODUCT(INDEX($AL$57:$AN$66,,$AE97), INDEX($AO$57:$AU$66,,$AD97), 1 / ($AW$57:$AW$66*CI97 + (1-$AW$57:$AW$66)*CE97), N($AK$57:$AK$66&gt;$AI97))
) / 1000</f>
        <v>0</v>
      </c>
      <c r="CK97" s="250">
        <f t="shared" si="263"/>
        <v>20</v>
      </c>
      <c r="CL97" s="237">
        <f t="shared" si="264"/>
        <v>33</v>
      </c>
      <c r="CM97" s="253">
        <f t="shared" si="265"/>
        <v>4.8487499999999999</v>
      </c>
      <c r="CN97" s="253" cm="1">
        <f t="array" ref="CN97">$BC97 * IF($AD97&lt;=2,
SUMPRODUCT(INDEX($AL$62:$AN$66,,$AE97), INDEX($AO$62:$AU$66,,$AD97), 1 / ($AV$62:$AV$66*CM97 + (1-$AV$62:$AV$66)*CI97), N($AK$62:$AK$66&gt;$AI97)),
SUMPRODUCT(INDEX($AL$47:$AN$56,,$AE97), INDEX($AO$47:$AU$56,,$AD97), 1 / ($AW$47:$AW$56*CM97 + (1-$AW$47:$AW$56)*CI97), N($AK$47:$AK$56&gt;$AI97))
) / 1000</f>
        <v>0</v>
      </c>
      <c r="CO97" s="253" cm="1">
        <f t="array" ref="CO97">$BC97 * IF($AD97&lt;=2,
SUMPRODUCT(INDEX($AL$23:$AN$61,,$AE97), INDEX($AO$23:$AU$61,,$AD97), 1 / ($AV$23:$AV$61*CM97), N($AK$23:$AK$61&gt;$AI97)),
SUMPRODUCT(INDEX($AL$23:$AN$46,,$AE97), INDEX($AO$23:$AU$46,,$AD97), 1 / ($AW$23:$AW$46*CM97), N($AK$23:$AK$46&gt;$AI97))
) / 1000</f>
        <v>0</v>
      </c>
      <c r="CP97" s="237">
        <f t="shared" si="266"/>
        <v>0</v>
      </c>
      <c r="CQ97" s="210"/>
    </row>
    <row r="98" spans="1:95" s="76" customFormat="1" ht="14.25" customHeight="1" x14ac:dyDescent="0.25">
      <c r="A98" s="238" t="b">
        <f t="shared" si="227"/>
        <v>0</v>
      </c>
      <c r="B98" s="239">
        <v>76</v>
      </c>
      <c r="C98" s="258"/>
      <c r="D98" s="258"/>
      <c r="E98" s="240"/>
      <c r="F98" s="241" t="str">
        <f>IF(ISBLANK(E98), "", VLOOKUP(E98, Z!$A$2:$C$4127, 3, FALSE))</f>
        <v/>
      </c>
      <c r="G98" s="242"/>
      <c r="H98" s="242"/>
      <c r="I98" s="243"/>
      <c r="J98" s="244"/>
      <c r="K98" s="259"/>
      <c r="L98" s="260"/>
      <c r="M98" s="247" t="str" cm="1">
        <f t="array" ref="M98">IF($K98&gt;0, INDEX(Clean,1+AG98,$C$1), "")</f>
        <v/>
      </c>
      <c r="N98" s="245"/>
      <c r="O98" s="245"/>
      <c r="P98" s="246"/>
      <c r="Q98" s="248">
        <f t="shared" si="232"/>
        <v>0</v>
      </c>
      <c r="R98" s="247" t="str" cm="1">
        <f t="array" ref="R98">IF($K98&gt;0, INDEX(Clean,1+AH98,$C$1), "")</f>
        <v/>
      </c>
      <c r="S98" s="245"/>
      <c r="T98" s="245"/>
      <c r="U98" s="246"/>
      <c r="V98" s="248">
        <f t="shared" si="233"/>
        <v>0</v>
      </c>
      <c r="W98" s="261"/>
      <c r="X98" s="258"/>
      <c r="Y98" s="240"/>
      <c r="Z98" s="241" t="str">
        <f>IF(ISBLANK(Y98), "", VLOOKUP(Y98, Z!$A$2:$C$4127, 3, FALSE))</f>
        <v/>
      </c>
      <c r="AA98" s="262"/>
      <c r="AB98" s="249">
        <f t="shared" si="234"/>
        <v>0</v>
      </c>
      <c r="AC98" s="210"/>
      <c r="AD98" s="236">
        <f t="shared" ref="AD98" si="294">IF(ISBLANK(H98), 1, IFERROR(MATCH(H98, INDEX(Use,,1), 0), IFERROR(MATCH(H98, INDEX(Use,,2), 0), MATCH(H98, INDEX(Use,,3), 0))))</f>
        <v>1</v>
      </c>
      <c r="AE98" s="236">
        <f t="shared" ref="AE98" si="295">IF(ISBLANK(G98), 1, IFERROR(MATCH(G98, INDEX(Loc,,1), 0), IFERROR(MATCH(G98, INDEX(Loc,,2), 0), MATCH(G98, INDEX(Loc,,3), 0))))</f>
        <v>1</v>
      </c>
      <c r="AF98" s="236">
        <f t="shared" ref="AF98" si="296">_xlfn.IFNA(IF(IFERROR(MATCH(I98, INDEX(Medium,,1), 0), IFERROR(MATCH(I98, INDEX(Medium,,2), 0), MATCH(I98, INDEX(Medium,,3), 0))) = 2, 1, 0), 0)</f>
        <v>0</v>
      </c>
      <c r="AG98" s="236">
        <v>1</v>
      </c>
      <c r="AH98" s="236">
        <v>0</v>
      </c>
      <c r="AI98" s="236">
        <f t="shared" si="231"/>
        <v>-100</v>
      </c>
      <c r="AJ98" s="210"/>
      <c r="AK98" s="254"/>
      <c r="AL98" s="254"/>
      <c r="AM98" s="255"/>
      <c r="AN98" s="255"/>
      <c r="AO98" s="255"/>
      <c r="AP98" s="255"/>
      <c r="AQ98" s="255"/>
      <c r="AR98" s="255"/>
      <c r="AS98" s="255"/>
      <c r="AT98" s="255"/>
      <c r="AU98" s="255"/>
      <c r="AV98" s="255"/>
      <c r="AW98" s="255"/>
      <c r="AX98" s="212"/>
      <c r="AY98" s="236" cm="1">
        <f t="array" ref="AY98">INDEX(Use, $AD98, 4)</f>
        <v>7</v>
      </c>
      <c r="AZ98" s="236">
        <f t="shared" si="238"/>
        <v>32</v>
      </c>
      <c r="BA98" s="236">
        <f t="shared" si="239"/>
        <v>13</v>
      </c>
      <c r="BB98" s="236">
        <f t="shared" si="240"/>
        <v>0</v>
      </c>
      <c r="BC98" s="252" cm="1">
        <f t="array" ref="BC98">K98/IF($L98&gt;0, INDEX($AO$23:$AU$77, $L98+20, $AD98), 1)</f>
        <v>0</v>
      </c>
      <c r="BD98" s="237">
        <f t="shared" si="241"/>
        <v>0</v>
      </c>
      <c r="BE98" s="236">
        <v>35</v>
      </c>
      <c r="BF98" s="237">
        <f t="shared" si="242"/>
        <v>52.55</v>
      </c>
      <c r="BG98" s="253">
        <f t="shared" si="243"/>
        <v>2.7676728869374316</v>
      </c>
      <c r="BH98" s="253" cm="1">
        <f t="array" ref="BH98">$BC98 * SUMPRODUCT(INDEX($AL$77:$AN$82,,$AE98),INDEX($AO$77:$AU$82,,$AD98), N($AK$77:$AK$82&gt;$AI98)) / BG98 / 1000</f>
        <v>0</v>
      </c>
      <c r="BI98" s="250">
        <f t="shared" si="244"/>
        <v>30</v>
      </c>
      <c r="BJ98" s="237">
        <f t="shared" si="245"/>
        <v>46.033333333333331</v>
      </c>
      <c r="BK98" s="253">
        <f t="shared" si="246"/>
        <v>3.2297395388556791</v>
      </c>
      <c r="BL98" s="253" cm="1">
        <f t="array" ref="BL98">$BC98 * IF($AD98&lt;=2,
SUMPRODUCT(INDEX($AL$72:$AN$76,,$AE98), INDEX($AO$72:$AU$76,,$AD98), 1 / ($AV$72:$AV$76*BK98 + (1-$AV$72:$AV$76)*BG98), N($AK$72:$AK$76&gt;$AI98)),
SUMPRODUCT(INDEX($AL$67:$AN$76,,$AE98), INDEX($AO$67:$AU$76,,$AD98), 1 / ($AW$67:$AW$76*BK98 + (1-$AW$67:$AW$76)*BG98), N($AK$67:$AK$76&gt;$AI98))
) / 1000</f>
        <v>0</v>
      </c>
      <c r="BM98" s="250">
        <f t="shared" si="247"/>
        <v>25</v>
      </c>
      <c r="BN98" s="237">
        <f t="shared" si="248"/>
        <v>39.516666666666666</v>
      </c>
      <c r="BO98" s="253">
        <f t="shared" si="249"/>
        <v>3.877011788826243</v>
      </c>
      <c r="BP98" s="253" cm="1">
        <f t="array" ref="BP98">$BC98 * IF($AD98&lt;=2,
SUMPRODUCT(INDEX($AL$67:$AN$71,,$AE98), INDEX($AO$67:$AU$71,,$AD98), 1 / ($AV$67:$AV$71*BO98 + (1-$AV$67:$AV$71)*BK98), N($AK$67:$AK$71&gt;$AI98)),
SUMPRODUCT(INDEX($AL$57:$AN$66,,$AE98), INDEX($AO$57:$AU$66,,$AD98), 1 / ($AW$57:$AW$66*BO98 + (1-$AW$57:$AW$66)*BK98), N($AK$57:$AK$66&gt;$AI98))
) / 1000</f>
        <v>0</v>
      </c>
      <c r="BQ98" s="250">
        <f t="shared" si="250"/>
        <v>20</v>
      </c>
      <c r="BR98" s="237">
        <f t="shared" si="251"/>
        <v>33</v>
      </c>
      <c r="BS98" s="253">
        <f t="shared" si="252"/>
        <v>4.8487499999999999</v>
      </c>
      <c r="BT98" s="253" cm="1">
        <f t="array" ref="BT98">$BC98 * IF($AD98&lt;=2,
SUMPRODUCT(INDEX($AL$62:$AN$66,,$AE98), INDEX($AO$62:$AU$66,,$AD98), 1 / ($AV$62:$AV$66*BS98 + (1-$AV$62:$AV$66)*BO98), N($AK$62:$AK$66&gt;$AI98)),
SUMPRODUCT(INDEX($AL$47:$AN$56,,$AE98), INDEX($AO$47:$AU$56,,$AD98), 1 / ($AW$47:$AW$56*BS98 + (1-$AW$47:$AW$56)*BO98), N($AK$47:$AK$56&gt;$AI98))
) / 1000</f>
        <v>0</v>
      </c>
      <c r="BU98" s="253" cm="1">
        <f t="array" ref="BU98">$BC98 * IF($AD98&lt;=2,
SUMPRODUCT(INDEX($AL$23:$AN$61,,$AE98), INDEX($AO$23:$AU$61,,$AD98), 1 / ($AV$23:$AV$61*BS98), N($AK$23:$AK$61&gt;$AI98)),
SUMPRODUCT(INDEX($AL$23:$AN$46,,$AE98), INDEX($AO$23:$AU$46,,$AD98), 1 / ($AW$23:$AW$46*BS98), N($AK$23:$AK$46&gt;$AI98))
) / 1000</f>
        <v>0</v>
      </c>
      <c r="BV98" s="237">
        <f t="shared" si="253"/>
        <v>0</v>
      </c>
      <c r="BW98" s="210"/>
      <c r="BX98" s="237">
        <f t="shared" si="254"/>
        <v>0</v>
      </c>
      <c r="BY98" s="236">
        <v>35</v>
      </c>
      <c r="BZ98" s="237">
        <f t="shared" si="255"/>
        <v>48</v>
      </c>
      <c r="CA98" s="253">
        <f t="shared" si="256"/>
        <v>3.0748170731707316</v>
      </c>
      <c r="CB98" s="253" cm="1">
        <f t="array" ref="CB98">$BC98 * SUMPRODUCT(INDEX($AL$77:$AN$82,,$AE98),INDEX($AO$77:$AU$82,,$AD98), N($AK$77:$AK$82&gt;$AI98)) / CA98 / 1000</f>
        <v>0</v>
      </c>
      <c r="CC98" s="250">
        <f t="shared" si="257"/>
        <v>30</v>
      </c>
      <c r="CD98" s="237">
        <f t="shared" si="258"/>
        <v>43</v>
      </c>
      <c r="CE98" s="253">
        <f t="shared" si="259"/>
        <v>3.5018750000000001</v>
      </c>
      <c r="CF98" s="253" cm="1">
        <f t="array" ref="CF98">$BC98 * IF($AD98&lt;=2,
SUMPRODUCT(INDEX($AL$72:$AN$76,,$AE98), INDEX($AO$72:$AU$76,,$AD98), 1 / ($AV$72:$AV$76*CE98 + (1-$AV$72:$AV$76)*CA98), N($AK$72:$AK$76&gt;$AI98)),
SUMPRODUCT(INDEX($AL$67:$AN$76,,$AE98), INDEX($AO$67:$AU$76,,$AD98), 1 / ($AW$67:$AW$76*CE98 + (1-$AW$67:$AW$76)*CA98), N($AK$67:$AK$76&gt;$AI98))
) / 1000</f>
        <v>0</v>
      </c>
      <c r="CG98" s="250">
        <f t="shared" si="260"/>
        <v>25</v>
      </c>
      <c r="CH98" s="237">
        <f t="shared" si="261"/>
        <v>38</v>
      </c>
      <c r="CI98" s="253">
        <f t="shared" si="262"/>
        <v>4.0666935483870965</v>
      </c>
      <c r="CJ98" s="253" cm="1">
        <f t="array" ref="CJ98">$BC98 * IF($AD98&lt;=2,
SUMPRODUCT(INDEX($AL$67:$AN$71,,$AE98), INDEX($AO$67:$AU$71,,$AD98), 1 / ($AV$67:$AV$71*CI98 + (1-$AV$67:$AV$71)*CE98), N($AK$67:$AK$71&gt;$AI98)),
SUMPRODUCT(INDEX($AL$57:$AN$66,,$AE98), INDEX($AO$57:$AU$66,,$AD98), 1 / ($AW$57:$AW$66*CI98 + (1-$AW$57:$AW$66)*CE98), N($AK$57:$AK$66&gt;$AI98))
) / 1000</f>
        <v>0</v>
      </c>
      <c r="CK98" s="250">
        <f t="shared" si="263"/>
        <v>20</v>
      </c>
      <c r="CL98" s="237">
        <f t="shared" si="264"/>
        <v>33</v>
      </c>
      <c r="CM98" s="253">
        <f t="shared" si="265"/>
        <v>4.8487499999999999</v>
      </c>
      <c r="CN98" s="253" cm="1">
        <f t="array" ref="CN98">$BC98 * IF($AD98&lt;=2,
SUMPRODUCT(INDEX($AL$62:$AN$66,,$AE98), INDEX($AO$62:$AU$66,,$AD98), 1 / ($AV$62:$AV$66*CM98 + (1-$AV$62:$AV$66)*CI98), N($AK$62:$AK$66&gt;$AI98)),
SUMPRODUCT(INDEX($AL$47:$AN$56,,$AE98), INDEX($AO$47:$AU$56,,$AD98), 1 / ($AW$47:$AW$56*CM98 + (1-$AW$47:$AW$56)*CI98), N($AK$47:$AK$56&gt;$AI98))
) / 1000</f>
        <v>0</v>
      </c>
      <c r="CO98" s="253" cm="1">
        <f t="array" ref="CO98">$BC98 * IF($AD98&lt;=2,
SUMPRODUCT(INDEX($AL$23:$AN$61,,$AE98), INDEX($AO$23:$AU$61,,$AD98), 1 / ($AV$23:$AV$61*CM98), N($AK$23:$AK$61&gt;$AI98)),
SUMPRODUCT(INDEX($AL$23:$AN$46,,$AE98), INDEX($AO$23:$AU$46,,$AD98), 1 / ($AW$23:$AW$46*CM98), N($AK$23:$AK$46&gt;$AI98))
) / 1000</f>
        <v>0</v>
      </c>
      <c r="CP98" s="237">
        <f t="shared" si="266"/>
        <v>0</v>
      </c>
      <c r="CQ98" s="210"/>
    </row>
    <row r="99" spans="1:95" s="76" customFormat="1" ht="14.25" customHeight="1" x14ac:dyDescent="0.25">
      <c r="A99" s="238" t="b">
        <f t="shared" si="227"/>
        <v>0</v>
      </c>
      <c r="B99" s="239">
        <v>77</v>
      </c>
      <c r="C99" s="258"/>
      <c r="D99" s="258"/>
      <c r="E99" s="240"/>
      <c r="F99" s="241" t="str">
        <f>IF(ISBLANK(E99), "", VLOOKUP(E99, Z!$A$2:$C$4127, 3, FALSE))</f>
        <v/>
      </c>
      <c r="G99" s="242"/>
      <c r="H99" s="242"/>
      <c r="I99" s="243"/>
      <c r="J99" s="244"/>
      <c r="K99" s="259"/>
      <c r="L99" s="260"/>
      <c r="M99" s="247" t="str" cm="1">
        <f t="array" ref="M99">IF($K99&gt;0, INDEX(Clean,1+AG99,$C$1), "")</f>
        <v/>
      </c>
      <c r="N99" s="245"/>
      <c r="O99" s="245"/>
      <c r="P99" s="246"/>
      <c r="Q99" s="248">
        <f t="shared" si="232"/>
        <v>0</v>
      </c>
      <c r="R99" s="247" t="str" cm="1">
        <f t="array" ref="R99">IF($K99&gt;0, INDEX(Clean,1+AH99,$C$1), "")</f>
        <v/>
      </c>
      <c r="S99" s="245"/>
      <c r="T99" s="245"/>
      <c r="U99" s="246"/>
      <c r="V99" s="248">
        <f t="shared" si="233"/>
        <v>0</v>
      </c>
      <c r="W99" s="261"/>
      <c r="X99" s="258"/>
      <c r="Y99" s="240"/>
      <c r="Z99" s="241" t="str">
        <f>IF(ISBLANK(Y99), "", VLOOKUP(Y99, Z!$A$2:$C$4127, 3, FALSE))</f>
        <v/>
      </c>
      <c r="AA99" s="262"/>
      <c r="AB99" s="249">
        <f t="shared" si="234"/>
        <v>0</v>
      </c>
      <c r="AC99" s="210"/>
      <c r="AD99" s="236">
        <f t="shared" ref="AD99" si="297">IF(ISBLANK(H99), 1, IFERROR(MATCH(H99, INDEX(Use,,1), 0), IFERROR(MATCH(H99, INDEX(Use,,2), 0), MATCH(H99, INDEX(Use,,3), 0))))</f>
        <v>1</v>
      </c>
      <c r="AE99" s="236">
        <f t="shared" ref="AE99" si="298">IF(ISBLANK(G99), 1, IFERROR(MATCH(G99, INDEX(Loc,,1), 0), IFERROR(MATCH(G99, INDEX(Loc,,2), 0), MATCH(G99, INDEX(Loc,,3), 0))))</f>
        <v>1</v>
      </c>
      <c r="AF99" s="236">
        <f t="shared" ref="AF99" si="299">_xlfn.IFNA(IF(IFERROR(MATCH(I99, INDEX(Medium,,1), 0), IFERROR(MATCH(I99, INDEX(Medium,,2), 0), MATCH(I99, INDEX(Medium,,3), 0))) = 2, 1, 0), 0)</f>
        <v>0</v>
      </c>
      <c r="AG99" s="236">
        <v>1</v>
      </c>
      <c r="AH99" s="236">
        <v>0</v>
      </c>
      <c r="AI99" s="236">
        <f t="shared" si="231"/>
        <v>-100</v>
      </c>
      <c r="AJ99" s="210"/>
      <c r="AK99" s="254"/>
      <c r="AL99" s="254"/>
      <c r="AM99" s="255"/>
      <c r="AN99" s="255"/>
      <c r="AO99" s="255"/>
      <c r="AP99" s="255"/>
      <c r="AQ99" s="255"/>
      <c r="AR99" s="255"/>
      <c r="AS99" s="255"/>
      <c r="AT99" s="255"/>
      <c r="AU99" s="255"/>
      <c r="AV99" s="255"/>
      <c r="AW99" s="255"/>
      <c r="AX99" s="212"/>
      <c r="AY99" s="236" cm="1">
        <f t="array" ref="AY99">INDEX(Use, $AD99, 4)</f>
        <v>7</v>
      </c>
      <c r="AZ99" s="236">
        <f t="shared" si="238"/>
        <v>32</v>
      </c>
      <c r="BA99" s="236">
        <f t="shared" si="239"/>
        <v>13</v>
      </c>
      <c r="BB99" s="236">
        <f t="shared" si="240"/>
        <v>0</v>
      </c>
      <c r="BC99" s="252" cm="1">
        <f t="array" ref="BC99">K99/IF($L99&gt;0, INDEX($AO$23:$AU$77, $L99+20, $AD99), 1)</f>
        <v>0</v>
      </c>
      <c r="BD99" s="237">
        <f t="shared" si="241"/>
        <v>0</v>
      </c>
      <c r="BE99" s="236">
        <v>35</v>
      </c>
      <c r="BF99" s="237">
        <f t="shared" si="242"/>
        <v>52.55</v>
      </c>
      <c r="BG99" s="253">
        <f t="shared" si="243"/>
        <v>2.7676728869374316</v>
      </c>
      <c r="BH99" s="253" cm="1">
        <f t="array" ref="BH99">$BC99 * SUMPRODUCT(INDEX($AL$77:$AN$82,,$AE99),INDEX($AO$77:$AU$82,,$AD99), N($AK$77:$AK$82&gt;$AI99)) / BG99 / 1000</f>
        <v>0</v>
      </c>
      <c r="BI99" s="250">
        <f t="shared" si="244"/>
        <v>30</v>
      </c>
      <c r="BJ99" s="237">
        <f t="shared" si="245"/>
        <v>46.033333333333331</v>
      </c>
      <c r="BK99" s="253">
        <f t="shared" si="246"/>
        <v>3.2297395388556791</v>
      </c>
      <c r="BL99" s="253" cm="1">
        <f t="array" ref="BL99">$BC99 * IF($AD99&lt;=2,
SUMPRODUCT(INDEX($AL$72:$AN$76,,$AE99), INDEX($AO$72:$AU$76,,$AD99), 1 / ($AV$72:$AV$76*BK99 + (1-$AV$72:$AV$76)*BG99), N($AK$72:$AK$76&gt;$AI99)),
SUMPRODUCT(INDEX($AL$67:$AN$76,,$AE99), INDEX($AO$67:$AU$76,,$AD99), 1 / ($AW$67:$AW$76*BK99 + (1-$AW$67:$AW$76)*BG99), N($AK$67:$AK$76&gt;$AI99))
) / 1000</f>
        <v>0</v>
      </c>
      <c r="BM99" s="250">
        <f t="shared" si="247"/>
        <v>25</v>
      </c>
      <c r="BN99" s="237">
        <f t="shared" si="248"/>
        <v>39.516666666666666</v>
      </c>
      <c r="BO99" s="253">
        <f t="shared" si="249"/>
        <v>3.877011788826243</v>
      </c>
      <c r="BP99" s="253" cm="1">
        <f t="array" ref="BP99">$BC99 * IF($AD99&lt;=2,
SUMPRODUCT(INDEX($AL$67:$AN$71,,$AE99), INDEX($AO$67:$AU$71,,$AD99), 1 / ($AV$67:$AV$71*BO99 + (1-$AV$67:$AV$71)*BK99), N($AK$67:$AK$71&gt;$AI99)),
SUMPRODUCT(INDEX($AL$57:$AN$66,,$AE99), INDEX($AO$57:$AU$66,,$AD99), 1 / ($AW$57:$AW$66*BO99 + (1-$AW$57:$AW$66)*BK99), N($AK$57:$AK$66&gt;$AI99))
) / 1000</f>
        <v>0</v>
      </c>
      <c r="BQ99" s="250">
        <f t="shared" si="250"/>
        <v>20</v>
      </c>
      <c r="BR99" s="237">
        <f t="shared" si="251"/>
        <v>33</v>
      </c>
      <c r="BS99" s="253">
        <f t="shared" si="252"/>
        <v>4.8487499999999999</v>
      </c>
      <c r="BT99" s="253" cm="1">
        <f t="array" ref="BT99">$BC99 * IF($AD99&lt;=2,
SUMPRODUCT(INDEX($AL$62:$AN$66,,$AE99), INDEX($AO$62:$AU$66,,$AD99), 1 / ($AV$62:$AV$66*BS99 + (1-$AV$62:$AV$66)*BO99), N($AK$62:$AK$66&gt;$AI99)),
SUMPRODUCT(INDEX($AL$47:$AN$56,,$AE99), INDEX($AO$47:$AU$56,,$AD99), 1 / ($AW$47:$AW$56*BS99 + (1-$AW$47:$AW$56)*BO99), N($AK$47:$AK$56&gt;$AI99))
) / 1000</f>
        <v>0</v>
      </c>
      <c r="BU99" s="253" cm="1">
        <f t="array" ref="BU99">$BC99 * IF($AD99&lt;=2,
SUMPRODUCT(INDEX($AL$23:$AN$61,,$AE99), INDEX($AO$23:$AU$61,,$AD99), 1 / ($AV$23:$AV$61*BS99), N($AK$23:$AK$61&gt;$AI99)),
SUMPRODUCT(INDEX($AL$23:$AN$46,,$AE99), INDEX($AO$23:$AU$46,,$AD99), 1 / ($AW$23:$AW$46*BS99), N($AK$23:$AK$46&gt;$AI99))
) / 1000</f>
        <v>0</v>
      </c>
      <c r="BV99" s="237">
        <f t="shared" si="253"/>
        <v>0</v>
      </c>
      <c r="BW99" s="210"/>
      <c r="BX99" s="237">
        <f t="shared" si="254"/>
        <v>0</v>
      </c>
      <c r="BY99" s="236">
        <v>35</v>
      </c>
      <c r="BZ99" s="237">
        <f t="shared" si="255"/>
        <v>48</v>
      </c>
      <c r="CA99" s="253">
        <f t="shared" si="256"/>
        <v>3.0748170731707316</v>
      </c>
      <c r="CB99" s="253" cm="1">
        <f t="array" ref="CB99">$BC99 * SUMPRODUCT(INDEX($AL$77:$AN$82,,$AE99),INDEX($AO$77:$AU$82,,$AD99), N($AK$77:$AK$82&gt;$AI99)) / CA99 / 1000</f>
        <v>0</v>
      </c>
      <c r="CC99" s="250">
        <f t="shared" si="257"/>
        <v>30</v>
      </c>
      <c r="CD99" s="237">
        <f t="shared" si="258"/>
        <v>43</v>
      </c>
      <c r="CE99" s="253">
        <f t="shared" si="259"/>
        <v>3.5018750000000001</v>
      </c>
      <c r="CF99" s="253" cm="1">
        <f t="array" ref="CF99">$BC99 * IF($AD99&lt;=2,
SUMPRODUCT(INDEX($AL$72:$AN$76,,$AE99), INDEX($AO$72:$AU$76,,$AD99), 1 / ($AV$72:$AV$76*CE99 + (1-$AV$72:$AV$76)*CA99), N($AK$72:$AK$76&gt;$AI99)),
SUMPRODUCT(INDEX($AL$67:$AN$76,,$AE99), INDEX($AO$67:$AU$76,,$AD99), 1 / ($AW$67:$AW$76*CE99 + (1-$AW$67:$AW$76)*CA99), N($AK$67:$AK$76&gt;$AI99))
) / 1000</f>
        <v>0</v>
      </c>
      <c r="CG99" s="250">
        <f t="shared" si="260"/>
        <v>25</v>
      </c>
      <c r="CH99" s="237">
        <f t="shared" si="261"/>
        <v>38</v>
      </c>
      <c r="CI99" s="253">
        <f t="shared" si="262"/>
        <v>4.0666935483870965</v>
      </c>
      <c r="CJ99" s="253" cm="1">
        <f t="array" ref="CJ99">$BC99 * IF($AD99&lt;=2,
SUMPRODUCT(INDEX($AL$67:$AN$71,,$AE99), INDEX($AO$67:$AU$71,,$AD99), 1 / ($AV$67:$AV$71*CI99 + (1-$AV$67:$AV$71)*CE99), N($AK$67:$AK$71&gt;$AI99)),
SUMPRODUCT(INDEX($AL$57:$AN$66,,$AE99), INDEX($AO$57:$AU$66,,$AD99), 1 / ($AW$57:$AW$66*CI99 + (1-$AW$57:$AW$66)*CE99), N($AK$57:$AK$66&gt;$AI99))
) / 1000</f>
        <v>0</v>
      </c>
      <c r="CK99" s="250">
        <f t="shared" si="263"/>
        <v>20</v>
      </c>
      <c r="CL99" s="237">
        <f t="shared" si="264"/>
        <v>33</v>
      </c>
      <c r="CM99" s="253">
        <f t="shared" si="265"/>
        <v>4.8487499999999999</v>
      </c>
      <c r="CN99" s="253" cm="1">
        <f t="array" ref="CN99">$BC99 * IF($AD99&lt;=2,
SUMPRODUCT(INDEX($AL$62:$AN$66,,$AE99), INDEX($AO$62:$AU$66,,$AD99), 1 / ($AV$62:$AV$66*CM99 + (1-$AV$62:$AV$66)*CI99), N($AK$62:$AK$66&gt;$AI99)),
SUMPRODUCT(INDEX($AL$47:$AN$56,,$AE99), INDEX($AO$47:$AU$56,,$AD99), 1 / ($AW$47:$AW$56*CM99 + (1-$AW$47:$AW$56)*CI99), N($AK$47:$AK$56&gt;$AI99))
) / 1000</f>
        <v>0</v>
      </c>
      <c r="CO99" s="253" cm="1">
        <f t="array" ref="CO99">$BC99 * IF($AD99&lt;=2,
SUMPRODUCT(INDEX($AL$23:$AN$61,,$AE99), INDEX($AO$23:$AU$61,,$AD99), 1 / ($AV$23:$AV$61*CM99), N($AK$23:$AK$61&gt;$AI99)),
SUMPRODUCT(INDEX($AL$23:$AN$46,,$AE99), INDEX($AO$23:$AU$46,,$AD99), 1 / ($AW$23:$AW$46*CM99), N($AK$23:$AK$46&gt;$AI99))
) / 1000</f>
        <v>0</v>
      </c>
      <c r="CP99" s="237">
        <f t="shared" si="266"/>
        <v>0</v>
      </c>
      <c r="CQ99" s="210"/>
    </row>
    <row r="100" spans="1:95" s="76" customFormat="1" ht="14.25" customHeight="1" x14ac:dyDescent="0.25">
      <c r="A100" s="238" t="b">
        <f t="shared" si="227"/>
        <v>0</v>
      </c>
      <c r="B100" s="239">
        <v>78</v>
      </c>
      <c r="C100" s="258"/>
      <c r="D100" s="258"/>
      <c r="E100" s="240"/>
      <c r="F100" s="241" t="str">
        <f>IF(ISBLANK(E100), "", VLOOKUP(E100, Z!$A$2:$C$4127, 3, FALSE))</f>
        <v/>
      </c>
      <c r="G100" s="242"/>
      <c r="H100" s="242"/>
      <c r="I100" s="243"/>
      <c r="J100" s="244"/>
      <c r="K100" s="259"/>
      <c r="L100" s="260"/>
      <c r="M100" s="247" t="str" cm="1">
        <f t="array" ref="M100">IF($K100&gt;0, INDEX(Clean,1+AG100,$C$1), "")</f>
        <v/>
      </c>
      <c r="N100" s="245"/>
      <c r="O100" s="245"/>
      <c r="P100" s="246"/>
      <c r="Q100" s="248">
        <f t="shared" si="232"/>
        <v>0</v>
      </c>
      <c r="R100" s="247" t="str" cm="1">
        <f t="array" ref="R100">IF($K100&gt;0, INDEX(Clean,1+AH100,$C$1), "")</f>
        <v/>
      </c>
      <c r="S100" s="245"/>
      <c r="T100" s="245"/>
      <c r="U100" s="246"/>
      <c r="V100" s="248">
        <f t="shared" si="233"/>
        <v>0</v>
      </c>
      <c r="W100" s="261"/>
      <c r="X100" s="258"/>
      <c r="Y100" s="240"/>
      <c r="Z100" s="241" t="str">
        <f>IF(ISBLANK(Y100), "", VLOOKUP(Y100, Z!$A$2:$C$4127, 3, FALSE))</f>
        <v/>
      </c>
      <c r="AA100" s="262"/>
      <c r="AB100" s="249">
        <f t="shared" si="234"/>
        <v>0</v>
      </c>
      <c r="AC100" s="210"/>
      <c r="AD100" s="236">
        <f t="shared" ref="AD100" si="300">IF(ISBLANK(H100), 1, IFERROR(MATCH(H100, INDEX(Use,,1), 0), IFERROR(MATCH(H100, INDEX(Use,,2), 0), MATCH(H100, INDEX(Use,,3), 0))))</f>
        <v>1</v>
      </c>
      <c r="AE100" s="236">
        <f t="shared" ref="AE100" si="301">IF(ISBLANK(G100), 1, IFERROR(MATCH(G100, INDEX(Loc,,1), 0), IFERROR(MATCH(G100, INDEX(Loc,,2), 0), MATCH(G100, INDEX(Loc,,3), 0))))</f>
        <v>1</v>
      </c>
      <c r="AF100" s="236">
        <f t="shared" ref="AF100" si="302">_xlfn.IFNA(IF(IFERROR(MATCH(I100, INDEX(Medium,,1), 0), IFERROR(MATCH(I100, INDEX(Medium,,2), 0), MATCH(I100, INDEX(Medium,,3), 0))) = 2, 1, 0), 0)</f>
        <v>0</v>
      </c>
      <c r="AG100" s="236">
        <v>1</v>
      </c>
      <c r="AH100" s="236">
        <v>0</v>
      </c>
      <c r="AI100" s="236">
        <f t="shared" si="231"/>
        <v>-100</v>
      </c>
      <c r="AJ100" s="210"/>
      <c r="AK100" s="254"/>
      <c r="AL100" s="254"/>
      <c r="AM100" s="255"/>
      <c r="AN100" s="255"/>
      <c r="AO100" s="255"/>
      <c r="AP100" s="255"/>
      <c r="AQ100" s="255"/>
      <c r="AR100" s="255"/>
      <c r="AS100" s="255"/>
      <c r="AT100" s="255"/>
      <c r="AU100" s="255"/>
      <c r="AV100" s="255"/>
      <c r="AW100" s="255"/>
      <c r="AX100" s="212"/>
      <c r="AY100" s="236" cm="1">
        <f t="array" ref="AY100">INDEX(Use, $AD100, 4)</f>
        <v>7</v>
      </c>
      <c r="AZ100" s="236">
        <f t="shared" si="238"/>
        <v>32</v>
      </c>
      <c r="BA100" s="236">
        <f t="shared" si="239"/>
        <v>13</v>
      </c>
      <c r="BB100" s="236">
        <f t="shared" si="240"/>
        <v>0</v>
      </c>
      <c r="BC100" s="252" cm="1">
        <f t="array" ref="BC100">K100/IF($L100&gt;0, INDEX($AO$23:$AU$77, $L100+20, $AD100), 1)</f>
        <v>0</v>
      </c>
      <c r="BD100" s="237">
        <f t="shared" si="241"/>
        <v>0</v>
      </c>
      <c r="BE100" s="236">
        <v>35</v>
      </c>
      <c r="BF100" s="237">
        <f t="shared" si="242"/>
        <v>52.55</v>
      </c>
      <c r="BG100" s="253">
        <f t="shared" si="243"/>
        <v>2.7676728869374316</v>
      </c>
      <c r="BH100" s="253" cm="1">
        <f t="array" ref="BH100">$BC100 * SUMPRODUCT(INDEX($AL$77:$AN$82,,$AE100),INDEX($AO$77:$AU$82,,$AD100), N($AK$77:$AK$82&gt;$AI100)) / BG100 / 1000</f>
        <v>0</v>
      </c>
      <c r="BI100" s="250">
        <f t="shared" si="244"/>
        <v>30</v>
      </c>
      <c r="BJ100" s="237">
        <f t="shared" si="245"/>
        <v>46.033333333333331</v>
      </c>
      <c r="BK100" s="253">
        <f t="shared" si="246"/>
        <v>3.2297395388556791</v>
      </c>
      <c r="BL100" s="253" cm="1">
        <f t="array" ref="BL100">$BC100 * IF($AD100&lt;=2,
SUMPRODUCT(INDEX($AL$72:$AN$76,,$AE100), INDEX($AO$72:$AU$76,,$AD100), 1 / ($AV$72:$AV$76*BK100 + (1-$AV$72:$AV$76)*BG100), N($AK$72:$AK$76&gt;$AI100)),
SUMPRODUCT(INDEX($AL$67:$AN$76,,$AE100), INDEX($AO$67:$AU$76,,$AD100), 1 / ($AW$67:$AW$76*BK100 + (1-$AW$67:$AW$76)*BG100), N($AK$67:$AK$76&gt;$AI100))
) / 1000</f>
        <v>0</v>
      </c>
      <c r="BM100" s="250">
        <f t="shared" si="247"/>
        <v>25</v>
      </c>
      <c r="BN100" s="237">
        <f t="shared" si="248"/>
        <v>39.516666666666666</v>
      </c>
      <c r="BO100" s="253">
        <f t="shared" si="249"/>
        <v>3.877011788826243</v>
      </c>
      <c r="BP100" s="253" cm="1">
        <f t="array" ref="BP100">$BC100 * IF($AD100&lt;=2,
SUMPRODUCT(INDEX($AL$67:$AN$71,,$AE100), INDEX($AO$67:$AU$71,,$AD100), 1 / ($AV$67:$AV$71*BO100 + (1-$AV$67:$AV$71)*BK100), N($AK$67:$AK$71&gt;$AI100)),
SUMPRODUCT(INDEX($AL$57:$AN$66,,$AE100), INDEX($AO$57:$AU$66,,$AD100), 1 / ($AW$57:$AW$66*BO100 + (1-$AW$57:$AW$66)*BK100), N($AK$57:$AK$66&gt;$AI100))
) / 1000</f>
        <v>0</v>
      </c>
      <c r="BQ100" s="250">
        <f t="shared" si="250"/>
        <v>20</v>
      </c>
      <c r="BR100" s="237">
        <f t="shared" si="251"/>
        <v>33</v>
      </c>
      <c r="BS100" s="253">
        <f t="shared" si="252"/>
        <v>4.8487499999999999</v>
      </c>
      <c r="BT100" s="253" cm="1">
        <f t="array" ref="BT100">$BC100 * IF($AD100&lt;=2,
SUMPRODUCT(INDEX($AL$62:$AN$66,,$AE100), INDEX($AO$62:$AU$66,,$AD100), 1 / ($AV$62:$AV$66*BS100 + (1-$AV$62:$AV$66)*BO100), N($AK$62:$AK$66&gt;$AI100)),
SUMPRODUCT(INDEX($AL$47:$AN$56,,$AE100), INDEX($AO$47:$AU$56,,$AD100), 1 / ($AW$47:$AW$56*BS100 + (1-$AW$47:$AW$56)*BO100), N($AK$47:$AK$56&gt;$AI100))
) / 1000</f>
        <v>0</v>
      </c>
      <c r="BU100" s="253" cm="1">
        <f t="array" ref="BU100">$BC100 * IF($AD100&lt;=2,
SUMPRODUCT(INDEX($AL$23:$AN$61,,$AE100), INDEX($AO$23:$AU$61,,$AD100), 1 / ($AV$23:$AV$61*BS100), N($AK$23:$AK$61&gt;$AI100)),
SUMPRODUCT(INDEX($AL$23:$AN$46,,$AE100), INDEX($AO$23:$AU$46,,$AD100), 1 / ($AW$23:$AW$46*BS100), N($AK$23:$AK$46&gt;$AI100))
) / 1000</f>
        <v>0</v>
      </c>
      <c r="BV100" s="237">
        <f t="shared" si="253"/>
        <v>0</v>
      </c>
      <c r="BW100" s="210"/>
      <c r="BX100" s="237">
        <f t="shared" si="254"/>
        <v>0</v>
      </c>
      <c r="BY100" s="236">
        <v>35</v>
      </c>
      <c r="BZ100" s="237">
        <f t="shared" si="255"/>
        <v>48</v>
      </c>
      <c r="CA100" s="253">
        <f t="shared" si="256"/>
        <v>3.0748170731707316</v>
      </c>
      <c r="CB100" s="253" cm="1">
        <f t="array" ref="CB100">$BC100 * SUMPRODUCT(INDEX($AL$77:$AN$82,,$AE100),INDEX($AO$77:$AU$82,,$AD100), N($AK$77:$AK$82&gt;$AI100)) / CA100 / 1000</f>
        <v>0</v>
      </c>
      <c r="CC100" s="250">
        <f t="shared" si="257"/>
        <v>30</v>
      </c>
      <c r="CD100" s="237">
        <f t="shared" si="258"/>
        <v>43</v>
      </c>
      <c r="CE100" s="253">
        <f t="shared" si="259"/>
        <v>3.5018750000000001</v>
      </c>
      <c r="CF100" s="253" cm="1">
        <f t="array" ref="CF100">$BC100 * IF($AD100&lt;=2,
SUMPRODUCT(INDEX($AL$72:$AN$76,,$AE100), INDEX($AO$72:$AU$76,,$AD100), 1 / ($AV$72:$AV$76*CE100 + (1-$AV$72:$AV$76)*CA100), N($AK$72:$AK$76&gt;$AI100)),
SUMPRODUCT(INDEX($AL$67:$AN$76,,$AE100), INDEX($AO$67:$AU$76,,$AD100), 1 / ($AW$67:$AW$76*CE100 + (1-$AW$67:$AW$76)*CA100), N($AK$67:$AK$76&gt;$AI100))
) / 1000</f>
        <v>0</v>
      </c>
      <c r="CG100" s="250">
        <f t="shared" si="260"/>
        <v>25</v>
      </c>
      <c r="CH100" s="237">
        <f t="shared" si="261"/>
        <v>38</v>
      </c>
      <c r="CI100" s="253">
        <f t="shared" si="262"/>
        <v>4.0666935483870965</v>
      </c>
      <c r="CJ100" s="253" cm="1">
        <f t="array" ref="CJ100">$BC100 * IF($AD100&lt;=2,
SUMPRODUCT(INDEX($AL$67:$AN$71,,$AE100), INDEX($AO$67:$AU$71,,$AD100), 1 / ($AV$67:$AV$71*CI100 + (1-$AV$67:$AV$71)*CE100), N($AK$67:$AK$71&gt;$AI100)),
SUMPRODUCT(INDEX($AL$57:$AN$66,,$AE100), INDEX($AO$57:$AU$66,,$AD100), 1 / ($AW$57:$AW$66*CI100 + (1-$AW$57:$AW$66)*CE100), N($AK$57:$AK$66&gt;$AI100))
) / 1000</f>
        <v>0</v>
      </c>
      <c r="CK100" s="250">
        <f t="shared" si="263"/>
        <v>20</v>
      </c>
      <c r="CL100" s="237">
        <f t="shared" si="264"/>
        <v>33</v>
      </c>
      <c r="CM100" s="253">
        <f t="shared" si="265"/>
        <v>4.8487499999999999</v>
      </c>
      <c r="CN100" s="253" cm="1">
        <f t="array" ref="CN100">$BC100 * IF($AD100&lt;=2,
SUMPRODUCT(INDEX($AL$62:$AN$66,,$AE100), INDEX($AO$62:$AU$66,,$AD100), 1 / ($AV$62:$AV$66*CM100 + (1-$AV$62:$AV$66)*CI100), N($AK$62:$AK$66&gt;$AI100)),
SUMPRODUCT(INDEX($AL$47:$AN$56,,$AE100), INDEX($AO$47:$AU$56,,$AD100), 1 / ($AW$47:$AW$56*CM100 + (1-$AW$47:$AW$56)*CI100), N($AK$47:$AK$56&gt;$AI100))
) / 1000</f>
        <v>0</v>
      </c>
      <c r="CO100" s="253" cm="1">
        <f t="array" ref="CO100">$BC100 * IF($AD100&lt;=2,
SUMPRODUCT(INDEX($AL$23:$AN$61,,$AE100), INDEX($AO$23:$AU$61,,$AD100), 1 / ($AV$23:$AV$61*CM100), N($AK$23:$AK$61&gt;$AI100)),
SUMPRODUCT(INDEX($AL$23:$AN$46,,$AE100), INDEX($AO$23:$AU$46,,$AD100), 1 / ($AW$23:$AW$46*CM100), N($AK$23:$AK$46&gt;$AI100))
) / 1000</f>
        <v>0</v>
      </c>
      <c r="CP100" s="237">
        <f t="shared" si="266"/>
        <v>0</v>
      </c>
      <c r="CQ100" s="210"/>
    </row>
    <row r="101" spans="1:95" s="76" customFormat="1" ht="14.25" customHeight="1" x14ac:dyDescent="0.25">
      <c r="A101" s="238" t="b">
        <f t="shared" si="227"/>
        <v>0</v>
      </c>
      <c r="B101" s="239">
        <v>79</v>
      </c>
      <c r="C101" s="258"/>
      <c r="D101" s="258"/>
      <c r="E101" s="240"/>
      <c r="F101" s="241" t="str">
        <f>IF(ISBLANK(E101), "", VLOOKUP(E101, Z!$A$2:$C$4127, 3, FALSE))</f>
        <v/>
      </c>
      <c r="G101" s="242"/>
      <c r="H101" s="242"/>
      <c r="I101" s="243"/>
      <c r="J101" s="244"/>
      <c r="K101" s="259"/>
      <c r="L101" s="260"/>
      <c r="M101" s="247" t="str" cm="1">
        <f t="array" ref="M101">IF($K101&gt;0, INDEX(Clean,1+AG101,$C$1), "")</f>
        <v/>
      </c>
      <c r="N101" s="245"/>
      <c r="O101" s="245"/>
      <c r="P101" s="246"/>
      <c r="Q101" s="248">
        <f t="shared" si="232"/>
        <v>0</v>
      </c>
      <c r="R101" s="247" t="str" cm="1">
        <f t="array" ref="R101">IF($K101&gt;0, INDEX(Clean,1+AH101,$C$1), "")</f>
        <v/>
      </c>
      <c r="S101" s="245"/>
      <c r="T101" s="245"/>
      <c r="U101" s="246"/>
      <c r="V101" s="248">
        <f t="shared" si="233"/>
        <v>0</v>
      </c>
      <c r="W101" s="261"/>
      <c r="X101" s="258"/>
      <c r="Y101" s="240"/>
      <c r="Z101" s="241" t="str">
        <f>IF(ISBLANK(Y101), "", VLOOKUP(Y101, Z!$A$2:$C$4127, 3, FALSE))</f>
        <v/>
      </c>
      <c r="AA101" s="262"/>
      <c r="AB101" s="249">
        <f t="shared" si="234"/>
        <v>0</v>
      </c>
      <c r="AC101" s="210"/>
      <c r="AD101" s="236">
        <f t="shared" ref="AD101" si="303">IF(ISBLANK(H101), 1, IFERROR(MATCH(H101, INDEX(Use,,1), 0), IFERROR(MATCH(H101, INDEX(Use,,2), 0), MATCH(H101, INDEX(Use,,3), 0))))</f>
        <v>1</v>
      </c>
      <c r="AE101" s="236">
        <f t="shared" ref="AE101" si="304">IF(ISBLANK(G101), 1, IFERROR(MATCH(G101, INDEX(Loc,,1), 0), IFERROR(MATCH(G101, INDEX(Loc,,2), 0), MATCH(G101, INDEX(Loc,,3), 0))))</f>
        <v>1</v>
      </c>
      <c r="AF101" s="236">
        <f t="shared" ref="AF101" si="305">_xlfn.IFNA(IF(IFERROR(MATCH(I101, INDEX(Medium,,1), 0), IFERROR(MATCH(I101, INDEX(Medium,,2), 0), MATCH(I101, INDEX(Medium,,3), 0))) = 2, 1, 0), 0)</f>
        <v>0</v>
      </c>
      <c r="AG101" s="236">
        <v>1</v>
      </c>
      <c r="AH101" s="236">
        <v>0</v>
      </c>
      <c r="AI101" s="236">
        <f t="shared" si="231"/>
        <v>-100</v>
      </c>
      <c r="AJ101" s="210"/>
      <c r="AK101" s="254"/>
      <c r="AL101" s="254"/>
      <c r="AM101" s="255"/>
      <c r="AN101" s="255"/>
      <c r="AO101" s="255"/>
      <c r="AP101" s="255"/>
      <c r="AQ101" s="255"/>
      <c r="AR101" s="255"/>
      <c r="AS101" s="255"/>
      <c r="AT101" s="255"/>
      <c r="AU101" s="255"/>
      <c r="AV101" s="255"/>
      <c r="AW101" s="255"/>
      <c r="AX101" s="212"/>
      <c r="AY101" s="236" cm="1">
        <f t="array" ref="AY101">INDEX(Use, $AD101, 4)</f>
        <v>7</v>
      </c>
      <c r="AZ101" s="236">
        <f t="shared" si="238"/>
        <v>32</v>
      </c>
      <c r="BA101" s="236">
        <f t="shared" si="239"/>
        <v>13</v>
      </c>
      <c r="BB101" s="236">
        <f t="shared" si="240"/>
        <v>0</v>
      </c>
      <c r="BC101" s="252" cm="1">
        <f t="array" ref="BC101">K101/IF($L101&gt;0, INDEX($AO$23:$AU$77, $L101+20, $AD101), 1)</f>
        <v>0</v>
      </c>
      <c r="BD101" s="237">
        <f t="shared" si="241"/>
        <v>0</v>
      </c>
      <c r="BE101" s="236">
        <v>35</v>
      </c>
      <c r="BF101" s="237">
        <f t="shared" si="242"/>
        <v>52.55</v>
      </c>
      <c r="BG101" s="253">
        <f t="shared" si="243"/>
        <v>2.7676728869374316</v>
      </c>
      <c r="BH101" s="253" cm="1">
        <f t="array" ref="BH101">$BC101 * SUMPRODUCT(INDEX($AL$77:$AN$82,,$AE101),INDEX($AO$77:$AU$82,,$AD101), N($AK$77:$AK$82&gt;$AI101)) / BG101 / 1000</f>
        <v>0</v>
      </c>
      <c r="BI101" s="250">
        <f t="shared" si="244"/>
        <v>30</v>
      </c>
      <c r="BJ101" s="237">
        <f t="shared" si="245"/>
        <v>46.033333333333331</v>
      </c>
      <c r="BK101" s="253">
        <f t="shared" si="246"/>
        <v>3.2297395388556791</v>
      </c>
      <c r="BL101" s="253" cm="1">
        <f t="array" ref="BL101">$BC101 * IF($AD101&lt;=2,
SUMPRODUCT(INDEX($AL$72:$AN$76,,$AE101), INDEX($AO$72:$AU$76,,$AD101), 1 / ($AV$72:$AV$76*BK101 + (1-$AV$72:$AV$76)*BG101), N($AK$72:$AK$76&gt;$AI101)),
SUMPRODUCT(INDEX($AL$67:$AN$76,,$AE101), INDEX($AO$67:$AU$76,,$AD101), 1 / ($AW$67:$AW$76*BK101 + (1-$AW$67:$AW$76)*BG101), N($AK$67:$AK$76&gt;$AI101))
) / 1000</f>
        <v>0</v>
      </c>
      <c r="BM101" s="250">
        <f t="shared" si="247"/>
        <v>25</v>
      </c>
      <c r="BN101" s="237">
        <f t="shared" si="248"/>
        <v>39.516666666666666</v>
      </c>
      <c r="BO101" s="253">
        <f t="shared" si="249"/>
        <v>3.877011788826243</v>
      </c>
      <c r="BP101" s="253" cm="1">
        <f t="array" ref="BP101">$BC101 * IF($AD101&lt;=2,
SUMPRODUCT(INDEX($AL$67:$AN$71,,$AE101), INDEX($AO$67:$AU$71,,$AD101), 1 / ($AV$67:$AV$71*BO101 + (1-$AV$67:$AV$71)*BK101), N($AK$67:$AK$71&gt;$AI101)),
SUMPRODUCT(INDEX($AL$57:$AN$66,,$AE101), INDEX($AO$57:$AU$66,,$AD101), 1 / ($AW$57:$AW$66*BO101 + (1-$AW$57:$AW$66)*BK101), N($AK$57:$AK$66&gt;$AI101))
) / 1000</f>
        <v>0</v>
      </c>
      <c r="BQ101" s="250">
        <f t="shared" si="250"/>
        <v>20</v>
      </c>
      <c r="BR101" s="237">
        <f t="shared" si="251"/>
        <v>33</v>
      </c>
      <c r="BS101" s="253">
        <f t="shared" si="252"/>
        <v>4.8487499999999999</v>
      </c>
      <c r="BT101" s="253" cm="1">
        <f t="array" ref="BT101">$BC101 * IF($AD101&lt;=2,
SUMPRODUCT(INDEX($AL$62:$AN$66,,$AE101), INDEX($AO$62:$AU$66,,$AD101), 1 / ($AV$62:$AV$66*BS101 + (1-$AV$62:$AV$66)*BO101), N($AK$62:$AK$66&gt;$AI101)),
SUMPRODUCT(INDEX($AL$47:$AN$56,,$AE101), INDEX($AO$47:$AU$56,,$AD101), 1 / ($AW$47:$AW$56*BS101 + (1-$AW$47:$AW$56)*BO101), N($AK$47:$AK$56&gt;$AI101))
) / 1000</f>
        <v>0</v>
      </c>
      <c r="BU101" s="253" cm="1">
        <f t="array" ref="BU101">$BC101 * IF($AD101&lt;=2,
SUMPRODUCT(INDEX($AL$23:$AN$61,,$AE101), INDEX($AO$23:$AU$61,,$AD101), 1 / ($AV$23:$AV$61*BS101), N($AK$23:$AK$61&gt;$AI101)),
SUMPRODUCT(INDEX($AL$23:$AN$46,,$AE101), INDEX($AO$23:$AU$46,,$AD101), 1 / ($AW$23:$AW$46*BS101), N($AK$23:$AK$46&gt;$AI101))
) / 1000</f>
        <v>0</v>
      </c>
      <c r="BV101" s="237">
        <f t="shared" si="253"/>
        <v>0</v>
      </c>
      <c r="BW101" s="210"/>
      <c r="BX101" s="237">
        <f t="shared" si="254"/>
        <v>0</v>
      </c>
      <c r="BY101" s="236">
        <v>35</v>
      </c>
      <c r="BZ101" s="237">
        <f t="shared" si="255"/>
        <v>48</v>
      </c>
      <c r="CA101" s="253">
        <f t="shared" si="256"/>
        <v>3.0748170731707316</v>
      </c>
      <c r="CB101" s="253" cm="1">
        <f t="array" ref="CB101">$BC101 * SUMPRODUCT(INDEX($AL$77:$AN$82,,$AE101),INDEX($AO$77:$AU$82,,$AD101), N($AK$77:$AK$82&gt;$AI101)) / CA101 / 1000</f>
        <v>0</v>
      </c>
      <c r="CC101" s="250">
        <f t="shared" si="257"/>
        <v>30</v>
      </c>
      <c r="CD101" s="237">
        <f t="shared" si="258"/>
        <v>43</v>
      </c>
      <c r="CE101" s="253">
        <f t="shared" si="259"/>
        <v>3.5018750000000001</v>
      </c>
      <c r="CF101" s="253" cm="1">
        <f t="array" ref="CF101">$BC101 * IF($AD101&lt;=2,
SUMPRODUCT(INDEX($AL$72:$AN$76,,$AE101), INDEX($AO$72:$AU$76,,$AD101), 1 / ($AV$72:$AV$76*CE101 + (1-$AV$72:$AV$76)*CA101), N($AK$72:$AK$76&gt;$AI101)),
SUMPRODUCT(INDEX($AL$67:$AN$76,,$AE101), INDEX($AO$67:$AU$76,,$AD101), 1 / ($AW$67:$AW$76*CE101 + (1-$AW$67:$AW$76)*CA101), N($AK$67:$AK$76&gt;$AI101))
) / 1000</f>
        <v>0</v>
      </c>
      <c r="CG101" s="250">
        <f t="shared" si="260"/>
        <v>25</v>
      </c>
      <c r="CH101" s="237">
        <f t="shared" si="261"/>
        <v>38</v>
      </c>
      <c r="CI101" s="253">
        <f t="shared" si="262"/>
        <v>4.0666935483870965</v>
      </c>
      <c r="CJ101" s="253" cm="1">
        <f t="array" ref="CJ101">$BC101 * IF($AD101&lt;=2,
SUMPRODUCT(INDEX($AL$67:$AN$71,,$AE101), INDEX($AO$67:$AU$71,,$AD101), 1 / ($AV$67:$AV$71*CI101 + (1-$AV$67:$AV$71)*CE101), N($AK$67:$AK$71&gt;$AI101)),
SUMPRODUCT(INDEX($AL$57:$AN$66,,$AE101), INDEX($AO$57:$AU$66,,$AD101), 1 / ($AW$57:$AW$66*CI101 + (1-$AW$57:$AW$66)*CE101), N($AK$57:$AK$66&gt;$AI101))
) / 1000</f>
        <v>0</v>
      </c>
      <c r="CK101" s="250">
        <f t="shared" si="263"/>
        <v>20</v>
      </c>
      <c r="CL101" s="237">
        <f t="shared" si="264"/>
        <v>33</v>
      </c>
      <c r="CM101" s="253">
        <f t="shared" si="265"/>
        <v>4.8487499999999999</v>
      </c>
      <c r="CN101" s="253" cm="1">
        <f t="array" ref="CN101">$BC101 * IF($AD101&lt;=2,
SUMPRODUCT(INDEX($AL$62:$AN$66,,$AE101), INDEX($AO$62:$AU$66,,$AD101), 1 / ($AV$62:$AV$66*CM101 + (1-$AV$62:$AV$66)*CI101), N($AK$62:$AK$66&gt;$AI101)),
SUMPRODUCT(INDEX($AL$47:$AN$56,,$AE101), INDEX($AO$47:$AU$56,,$AD101), 1 / ($AW$47:$AW$56*CM101 + (1-$AW$47:$AW$56)*CI101), N($AK$47:$AK$56&gt;$AI101))
) / 1000</f>
        <v>0</v>
      </c>
      <c r="CO101" s="253" cm="1">
        <f t="array" ref="CO101">$BC101 * IF($AD101&lt;=2,
SUMPRODUCT(INDEX($AL$23:$AN$61,,$AE101), INDEX($AO$23:$AU$61,,$AD101), 1 / ($AV$23:$AV$61*CM101), N($AK$23:$AK$61&gt;$AI101)),
SUMPRODUCT(INDEX($AL$23:$AN$46,,$AE101), INDEX($AO$23:$AU$46,,$AD101), 1 / ($AW$23:$AW$46*CM101), N($AK$23:$AK$46&gt;$AI101))
) / 1000</f>
        <v>0</v>
      </c>
      <c r="CP101" s="237">
        <f t="shared" si="266"/>
        <v>0</v>
      </c>
      <c r="CQ101" s="210"/>
    </row>
    <row r="102" spans="1:95" s="76" customFormat="1" ht="14.25" customHeight="1" x14ac:dyDescent="0.25">
      <c r="A102" s="238" t="b">
        <f t="shared" si="227"/>
        <v>0</v>
      </c>
      <c r="B102" s="239">
        <v>80</v>
      </c>
      <c r="C102" s="258"/>
      <c r="D102" s="258"/>
      <c r="E102" s="240"/>
      <c r="F102" s="241" t="str">
        <f>IF(ISBLANK(E102), "", VLOOKUP(E102, Z!$A$2:$C$4127, 3, FALSE))</f>
        <v/>
      </c>
      <c r="G102" s="242"/>
      <c r="H102" s="242"/>
      <c r="I102" s="243"/>
      <c r="J102" s="244"/>
      <c r="K102" s="259"/>
      <c r="L102" s="260"/>
      <c r="M102" s="247" t="str" cm="1">
        <f t="array" ref="M102">IF($K102&gt;0, INDEX(Clean,1+AG102,$C$1), "")</f>
        <v/>
      </c>
      <c r="N102" s="245"/>
      <c r="O102" s="245"/>
      <c r="P102" s="246"/>
      <c r="Q102" s="248">
        <f t="shared" si="232"/>
        <v>0</v>
      </c>
      <c r="R102" s="247" t="str" cm="1">
        <f t="array" ref="R102">IF($K102&gt;0, INDEX(Clean,1+AH102,$C$1), "")</f>
        <v/>
      </c>
      <c r="S102" s="245"/>
      <c r="T102" s="245"/>
      <c r="U102" s="246"/>
      <c r="V102" s="248">
        <f t="shared" si="233"/>
        <v>0</v>
      </c>
      <c r="W102" s="261"/>
      <c r="X102" s="258"/>
      <c r="Y102" s="240"/>
      <c r="Z102" s="241" t="str">
        <f>IF(ISBLANK(Y102), "", VLOOKUP(Y102, Z!$A$2:$C$4127, 3, FALSE))</f>
        <v/>
      </c>
      <c r="AA102" s="262"/>
      <c r="AB102" s="249">
        <f t="shared" si="234"/>
        <v>0</v>
      </c>
      <c r="AC102" s="210"/>
      <c r="AD102" s="236">
        <f t="shared" ref="AD102" si="306">IF(ISBLANK(H102), 1, IFERROR(MATCH(H102, INDEX(Use,,1), 0), IFERROR(MATCH(H102, INDEX(Use,,2), 0), MATCH(H102, INDEX(Use,,3), 0))))</f>
        <v>1</v>
      </c>
      <c r="AE102" s="236">
        <f t="shared" ref="AE102" si="307">IF(ISBLANK(G102), 1, IFERROR(MATCH(G102, INDEX(Loc,,1), 0), IFERROR(MATCH(G102, INDEX(Loc,,2), 0), MATCH(G102, INDEX(Loc,,3), 0))))</f>
        <v>1</v>
      </c>
      <c r="AF102" s="236">
        <f t="shared" ref="AF102" si="308">_xlfn.IFNA(IF(IFERROR(MATCH(I102, INDEX(Medium,,1), 0), IFERROR(MATCH(I102, INDEX(Medium,,2), 0), MATCH(I102, INDEX(Medium,,3), 0))) = 2, 1, 0), 0)</f>
        <v>0</v>
      </c>
      <c r="AG102" s="236">
        <v>1</v>
      </c>
      <c r="AH102" s="236">
        <v>0</v>
      </c>
      <c r="AI102" s="236">
        <f t="shared" si="231"/>
        <v>-100</v>
      </c>
      <c r="AJ102" s="210"/>
      <c r="AK102" s="254"/>
      <c r="AL102" s="254"/>
      <c r="AM102" s="255"/>
      <c r="AN102" s="255"/>
      <c r="AO102" s="255"/>
      <c r="AP102" s="255"/>
      <c r="AQ102" s="255"/>
      <c r="AR102" s="255"/>
      <c r="AS102" s="255"/>
      <c r="AT102" s="255"/>
      <c r="AU102" s="255"/>
      <c r="AV102" s="255"/>
      <c r="AW102" s="255"/>
      <c r="AX102" s="212"/>
      <c r="AY102" s="236" cm="1">
        <f t="array" ref="AY102">INDEX(Use, $AD102, 4)</f>
        <v>7</v>
      </c>
      <c r="AZ102" s="236">
        <f t="shared" si="238"/>
        <v>32</v>
      </c>
      <c r="BA102" s="236">
        <f t="shared" si="239"/>
        <v>13</v>
      </c>
      <c r="BB102" s="236">
        <f t="shared" si="240"/>
        <v>0</v>
      </c>
      <c r="BC102" s="252" cm="1">
        <f t="array" ref="BC102">K102/IF($L102&gt;0, INDEX($AO$23:$AU$77, $L102+20, $AD102), 1)</f>
        <v>0</v>
      </c>
      <c r="BD102" s="237">
        <f t="shared" si="241"/>
        <v>0</v>
      </c>
      <c r="BE102" s="236">
        <v>35</v>
      </c>
      <c r="BF102" s="237">
        <f t="shared" si="242"/>
        <v>52.55</v>
      </c>
      <c r="BG102" s="253">
        <f t="shared" si="243"/>
        <v>2.7676728869374316</v>
      </c>
      <c r="BH102" s="253" cm="1">
        <f t="array" ref="BH102">$BC102 * SUMPRODUCT(INDEX($AL$77:$AN$82,,$AE102),INDEX($AO$77:$AU$82,,$AD102), N($AK$77:$AK$82&gt;$AI102)) / BG102 / 1000</f>
        <v>0</v>
      </c>
      <c r="BI102" s="250">
        <f t="shared" si="244"/>
        <v>30</v>
      </c>
      <c r="BJ102" s="237">
        <f t="shared" si="245"/>
        <v>46.033333333333331</v>
      </c>
      <c r="BK102" s="253">
        <f t="shared" si="246"/>
        <v>3.2297395388556791</v>
      </c>
      <c r="BL102" s="253" cm="1">
        <f t="array" ref="BL102">$BC102 * IF($AD102&lt;=2,
SUMPRODUCT(INDEX($AL$72:$AN$76,,$AE102), INDEX($AO$72:$AU$76,,$AD102), 1 / ($AV$72:$AV$76*BK102 + (1-$AV$72:$AV$76)*BG102), N($AK$72:$AK$76&gt;$AI102)),
SUMPRODUCT(INDEX($AL$67:$AN$76,,$AE102), INDEX($AO$67:$AU$76,,$AD102), 1 / ($AW$67:$AW$76*BK102 + (1-$AW$67:$AW$76)*BG102), N($AK$67:$AK$76&gt;$AI102))
) / 1000</f>
        <v>0</v>
      </c>
      <c r="BM102" s="250">
        <f t="shared" si="247"/>
        <v>25</v>
      </c>
      <c r="BN102" s="237">
        <f t="shared" si="248"/>
        <v>39.516666666666666</v>
      </c>
      <c r="BO102" s="253">
        <f t="shared" si="249"/>
        <v>3.877011788826243</v>
      </c>
      <c r="BP102" s="253" cm="1">
        <f t="array" ref="BP102">$BC102 * IF($AD102&lt;=2,
SUMPRODUCT(INDEX($AL$67:$AN$71,,$AE102), INDEX($AO$67:$AU$71,,$AD102), 1 / ($AV$67:$AV$71*BO102 + (1-$AV$67:$AV$71)*BK102), N($AK$67:$AK$71&gt;$AI102)),
SUMPRODUCT(INDEX($AL$57:$AN$66,,$AE102), INDEX($AO$57:$AU$66,,$AD102), 1 / ($AW$57:$AW$66*BO102 + (1-$AW$57:$AW$66)*BK102), N($AK$57:$AK$66&gt;$AI102))
) / 1000</f>
        <v>0</v>
      </c>
      <c r="BQ102" s="250">
        <f t="shared" si="250"/>
        <v>20</v>
      </c>
      <c r="BR102" s="237">
        <f t="shared" si="251"/>
        <v>33</v>
      </c>
      <c r="BS102" s="253">
        <f t="shared" si="252"/>
        <v>4.8487499999999999</v>
      </c>
      <c r="BT102" s="253" cm="1">
        <f t="array" ref="BT102">$BC102 * IF($AD102&lt;=2,
SUMPRODUCT(INDEX($AL$62:$AN$66,,$AE102), INDEX($AO$62:$AU$66,,$AD102), 1 / ($AV$62:$AV$66*BS102 + (1-$AV$62:$AV$66)*BO102), N($AK$62:$AK$66&gt;$AI102)),
SUMPRODUCT(INDEX($AL$47:$AN$56,,$AE102), INDEX($AO$47:$AU$56,,$AD102), 1 / ($AW$47:$AW$56*BS102 + (1-$AW$47:$AW$56)*BO102), N($AK$47:$AK$56&gt;$AI102))
) / 1000</f>
        <v>0</v>
      </c>
      <c r="BU102" s="253" cm="1">
        <f t="array" ref="BU102">$BC102 * IF($AD102&lt;=2,
SUMPRODUCT(INDEX($AL$23:$AN$61,,$AE102), INDEX($AO$23:$AU$61,,$AD102), 1 / ($AV$23:$AV$61*BS102), N($AK$23:$AK$61&gt;$AI102)),
SUMPRODUCT(INDEX($AL$23:$AN$46,,$AE102), INDEX($AO$23:$AU$46,,$AD102), 1 / ($AW$23:$AW$46*BS102), N($AK$23:$AK$46&gt;$AI102))
) / 1000</f>
        <v>0</v>
      </c>
      <c r="BV102" s="237">
        <f t="shared" si="253"/>
        <v>0</v>
      </c>
      <c r="BW102" s="210"/>
      <c r="BX102" s="237">
        <f t="shared" si="254"/>
        <v>0</v>
      </c>
      <c r="BY102" s="236">
        <v>35</v>
      </c>
      <c r="BZ102" s="237">
        <f t="shared" si="255"/>
        <v>48</v>
      </c>
      <c r="CA102" s="253">
        <f t="shared" si="256"/>
        <v>3.0748170731707316</v>
      </c>
      <c r="CB102" s="253" cm="1">
        <f t="array" ref="CB102">$BC102 * SUMPRODUCT(INDEX($AL$77:$AN$82,,$AE102),INDEX($AO$77:$AU$82,,$AD102), N($AK$77:$AK$82&gt;$AI102)) / CA102 / 1000</f>
        <v>0</v>
      </c>
      <c r="CC102" s="250">
        <f t="shared" si="257"/>
        <v>30</v>
      </c>
      <c r="CD102" s="237">
        <f t="shared" si="258"/>
        <v>43</v>
      </c>
      <c r="CE102" s="253">
        <f t="shared" si="259"/>
        <v>3.5018750000000001</v>
      </c>
      <c r="CF102" s="253" cm="1">
        <f t="array" ref="CF102">$BC102 * IF($AD102&lt;=2,
SUMPRODUCT(INDEX($AL$72:$AN$76,,$AE102), INDEX($AO$72:$AU$76,,$AD102), 1 / ($AV$72:$AV$76*CE102 + (1-$AV$72:$AV$76)*CA102), N($AK$72:$AK$76&gt;$AI102)),
SUMPRODUCT(INDEX($AL$67:$AN$76,,$AE102), INDEX($AO$67:$AU$76,,$AD102), 1 / ($AW$67:$AW$76*CE102 + (1-$AW$67:$AW$76)*CA102), N($AK$67:$AK$76&gt;$AI102))
) / 1000</f>
        <v>0</v>
      </c>
      <c r="CG102" s="250">
        <f t="shared" si="260"/>
        <v>25</v>
      </c>
      <c r="CH102" s="237">
        <f t="shared" si="261"/>
        <v>38</v>
      </c>
      <c r="CI102" s="253">
        <f t="shared" si="262"/>
        <v>4.0666935483870965</v>
      </c>
      <c r="CJ102" s="253" cm="1">
        <f t="array" ref="CJ102">$BC102 * IF($AD102&lt;=2,
SUMPRODUCT(INDEX($AL$67:$AN$71,,$AE102), INDEX($AO$67:$AU$71,,$AD102), 1 / ($AV$67:$AV$71*CI102 + (1-$AV$67:$AV$71)*CE102), N($AK$67:$AK$71&gt;$AI102)),
SUMPRODUCT(INDEX($AL$57:$AN$66,,$AE102), INDEX($AO$57:$AU$66,,$AD102), 1 / ($AW$57:$AW$66*CI102 + (1-$AW$57:$AW$66)*CE102), N($AK$57:$AK$66&gt;$AI102))
) / 1000</f>
        <v>0</v>
      </c>
      <c r="CK102" s="250">
        <f t="shared" si="263"/>
        <v>20</v>
      </c>
      <c r="CL102" s="237">
        <f t="shared" si="264"/>
        <v>33</v>
      </c>
      <c r="CM102" s="253">
        <f t="shared" si="265"/>
        <v>4.8487499999999999</v>
      </c>
      <c r="CN102" s="253" cm="1">
        <f t="array" ref="CN102">$BC102 * IF($AD102&lt;=2,
SUMPRODUCT(INDEX($AL$62:$AN$66,,$AE102), INDEX($AO$62:$AU$66,,$AD102), 1 / ($AV$62:$AV$66*CM102 + (1-$AV$62:$AV$66)*CI102), N($AK$62:$AK$66&gt;$AI102)),
SUMPRODUCT(INDEX($AL$47:$AN$56,,$AE102), INDEX($AO$47:$AU$56,,$AD102), 1 / ($AW$47:$AW$56*CM102 + (1-$AW$47:$AW$56)*CI102), N($AK$47:$AK$56&gt;$AI102))
) / 1000</f>
        <v>0</v>
      </c>
      <c r="CO102" s="253" cm="1">
        <f t="array" ref="CO102">$BC102 * IF($AD102&lt;=2,
SUMPRODUCT(INDEX($AL$23:$AN$61,,$AE102), INDEX($AO$23:$AU$61,,$AD102), 1 / ($AV$23:$AV$61*CM102), N($AK$23:$AK$61&gt;$AI102)),
SUMPRODUCT(INDEX($AL$23:$AN$46,,$AE102), INDEX($AO$23:$AU$46,,$AD102), 1 / ($AW$23:$AW$46*CM102), N($AK$23:$AK$46&gt;$AI102))
) / 1000</f>
        <v>0</v>
      </c>
      <c r="CP102" s="237">
        <f t="shared" si="266"/>
        <v>0</v>
      </c>
      <c r="CQ102" s="210"/>
    </row>
    <row r="103" spans="1:95" s="76" customFormat="1" ht="14.25" customHeight="1" x14ac:dyDescent="0.2">
      <c r="A103" s="238" t="b">
        <f t="shared" si="227"/>
        <v>0</v>
      </c>
      <c r="B103" s="239">
        <v>81</v>
      </c>
      <c r="C103" s="258"/>
      <c r="D103" s="258"/>
      <c r="E103" s="240"/>
      <c r="F103" s="241" t="str">
        <f>IF(ISBLANK(E103), "", VLOOKUP(E103, Z!$A$2:$C$4127, 3, FALSE))</f>
        <v/>
      </c>
      <c r="G103" s="242"/>
      <c r="H103" s="242"/>
      <c r="I103" s="243"/>
      <c r="J103" s="244"/>
      <c r="K103" s="259"/>
      <c r="L103" s="260"/>
      <c r="M103" s="247" t="str" cm="1">
        <f t="array" ref="M103">IF($K103&gt;0, INDEX(Clean,1+AG103,$C$1), "")</f>
        <v/>
      </c>
      <c r="N103" s="245"/>
      <c r="O103" s="245"/>
      <c r="P103" s="246"/>
      <c r="Q103" s="248">
        <f t="shared" si="232"/>
        <v>0</v>
      </c>
      <c r="R103" s="247" t="str" cm="1">
        <f t="array" ref="R103">IF($K103&gt;0, INDEX(Clean,1+AH103,$C$1), "")</f>
        <v/>
      </c>
      <c r="S103" s="245"/>
      <c r="T103" s="245"/>
      <c r="U103" s="246"/>
      <c r="V103" s="248">
        <f t="shared" si="233"/>
        <v>0</v>
      </c>
      <c r="W103" s="261"/>
      <c r="X103" s="258"/>
      <c r="Y103" s="240"/>
      <c r="Z103" s="241" t="str">
        <f>IF(ISBLANK(Y103), "", VLOOKUP(Y103, Z!$A$2:$C$4127, 3, FALSE))</f>
        <v/>
      </c>
      <c r="AA103" s="262"/>
      <c r="AB103" s="249">
        <f t="shared" si="234"/>
        <v>0</v>
      </c>
      <c r="AC103" s="210"/>
      <c r="AD103" s="236">
        <f t="shared" ref="AD103" si="309">IF(ISBLANK(H103), 1, IFERROR(MATCH(H103, INDEX(Use,,1), 0), IFERROR(MATCH(H103, INDEX(Use,,2), 0), MATCH(H103, INDEX(Use,,3), 0))))</f>
        <v>1</v>
      </c>
      <c r="AE103" s="236">
        <f t="shared" ref="AE103" si="310">IF(ISBLANK(G103), 1, IFERROR(MATCH(G103, INDEX(Loc,,1), 0), IFERROR(MATCH(G103, INDEX(Loc,,2), 0), MATCH(G103, INDEX(Loc,,3), 0))))</f>
        <v>1</v>
      </c>
      <c r="AF103" s="236">
        <f t="shared" ref="AF103" si="311">_xlfn.IFNA(IF(IFERROR(MATCH(I103, INDEX(Medium,,1), 0), IFERROR(MATCH(I103, INDEX(Medium,,2), 0), MATCH(I103, INDEX(Medium,,3), 0))) = 2, 1, 0), 0)</f>
        <v>0</v>
      </c>
      <c r="AG103" s="236">
        <v>1</v>
      </c>
      <c r="AH103" s="236">
        <v>0</v>
      </c>
      <c r="AI103" s="236">
        <f t="shared" si="231"/>
        <v>-100</v>
      </c>
      <c r="AJ103" s="210"/>
      <c r="AK103" s="254"/>
      <c r="AL103" s="254"/>
      <c r="AM103" s="255"/>
      <c r="AN103" s="255"/>
      <c r="AO103" s="255"/>
      <c r="AP103" s="255"/>
      <c r="AQ103" s="255"/>
      <c r="AR103" s="255"/>
      <c r="AS103" s="255"/>
      <c r="AT103" s="255"/>
      <c r="AU103" s="255"/>
      <c r="AV103" s="255"/>
      <c r="AW103" s="255"/>
      <c r="AX103" s="210"/>
      <c r="AY103" s="236" cm="1">
        <f t="array" ref="AY103">INDEX(Use, $AD103, 4)</f>
        <v>7</v>
      </c>
      <c r="AZ103" s="236">
        <f t="shared" si="238"/>
        <v>32</v>
      </c>
      <c r="BA103" s="236">
        <f t="shared" si="239"/>
        <v>13</v>
      </c>
      <c r="BB103" s="236">
        <f t="shared" si="240"/>
        <v>0</v>
      </c>
      <c r="BC103" s="252" cm="1">
        <f t="array" ref="BC103">K103/IF($L103&gt;0, INDEX($AO$23:$AU$77, $L103+20, $AD103), 1)</f>
        <v>0</v>
      </c>
      <c r="BD103" s="237">
        <f t="shared" si="241"/>
        <v>0</v>
      </c>
      <c r="BE103" s="236">
        <v>35</v>
      </c>
      <c r="BF103" s="237">
        <f t="shared" si="242"/>
        <v>52.55</v>
      </c>
      <c r="BG103" s="253">
        <f t="shared" si="243"/>
        <v>2.7676728869374316</v>
      </c>
      <c r="BH103" s="253" cm="1">
        <f t="array" ref="BH103">$BC103 * SUMPRODUCT(INDEX($AL$77:$AN$82,,$AE103),INDEX($AO$77:$AU$82,,$AD103), N($AK$77:$AK$82&gt;$AI103)) / BG103 / 1000</f>
        <v>0</v>
      </c>
      <c r="BI103" s="250">
        <f t="shared" si="244"/>
        <v>30</v>
      </c>
      <c r="BJ103" s="237">
        <f t="shared" si="245"/>
        <v>46.033333333333331</v>
      </c>
      <c r="BK103" s="253">
        <f t="shared" si="246"/>
        <v>3.2297395388556791</v>
      </c>
      <c r="BL103" s="253" cm="1">
        <f t="array" ref="BL103">$BC103 * IF($AD103&lt;=2,
SUMPRODUCT(INDEX($AL$72:$AN$76,,$AE103), INDEX($AO$72:$AU$76,,$AD103), 1 / ($AV$72:$AV$76*BK103 + (1-$AV$72:$AV$76)*BG103), N($AK$72:$AK$76&gt;$AI103)),
SUMPRODUCT(INDEX($AL$67:$AN$76,,$AE103), INDEX($AO$67:$AU$76,,$AD103), 1 / ($AW$67:$AW$76*BK103 + (1-$AW$67:$AW$76)*BG103), N($AK$67:$AK$76&gt;$AI103))
) / 1000</f>
        <v>0</v>
      </c>
      <c r="BM103" s="250">
        <f t="shared" si="247"/>
        <v>25</v>
      </c>
      <c r="BN103" s="237">
        <f t="shared" si="248"/>
        <v>39.516666666666666</v>
      </c>
      <c r="BO103" s="253">
        <f t="shared" si="249"/>
        <v>3.877011788826243</v>
      </c>
      <c r="BP103" s="253" cm="1">
        <f t="array" ref="BP103">$BC103 * IF($AD103&lt;=2,
SUMPRODUCT(INDEX($AL$67:$AN$71,,$AE103), INDEX($AO$67:$AU$71,,$AD103), 1 / ($AV$67:$AV$71*BO103 + (1-$AV$67:$AV$71)*BK103), N($AK$67:$AK$71&gt;$AI103)),
SUMPRODUCT(INDEX($AL$57:$AN$66,,$AE103), INDEX($AO$57:$AU$66,,$AD103), 1 / ($AW$57:$AW$66*BO103 + (1-$AW$57:$AW$66)*BK103), N($AK$57:$AK$66&gt;$AI103))
) / 1000</f>
        <v>0</v>
      </c>
      <c r="BQ103" s="250">
        <f t="shared" si="250"/>
        <v>20</v>
      </c>
      <c r="BR103" s="237">
        <f t="shared" si="251"/>
        <v>33</v>
      </c>
      <c r="BS103" s="253">
        <f t="shared" si="252"/>
        <v>4.8487499999999999</v>
      </c>
      <c r="BT103" s="253" cm="1">
        <f t="array" ref="BT103">$BC103 * IF($AD103&lt;=2,
SUMPRODUCT(INDEX($AL$62:$AN$66,,$AE103), INDEX($AO$62:$AU$66,,$AD103), 1 / ($AV$62:$AV$66*BS103 + (1-$AV$62:$AV$66)*BO103), N($AK$62:$AK$66&gt;$AI103)),
SUMPRODUCT(INDEX($AL$47:$AN$56,,$AE103), INDEX($AO$47:$AU$56,,$AD103), 1 / ($AW$47:$AW$56*BS103 + (1-$AW$47:$AW$56)*BO103), N($AK$47:$AK$56&gt;$AI103))
) / 1000</f>
        <v>0</v>
      </c>
      <c r="BU103" s="253" cm="1">
        <f t="array" ref="BU103">$BC103 * IF($AD103&lt;=2,
SUMPRODUCT(INDEX($AL$23:$AN$61,,$AE103), INDEX($AO$23:$AU$61,,$AD103), 1 / ($AV$23:$AV$61*BS103), N($AK$23:$AK$61&gt;$AI103)),
SUMPRODUCT(INDEX($AL$23:$AN$46,,$AE103), INDEX($AO$23:$AU$46,,$AD103), 1 / ($AW$23:$AW$46*BS103), N($AK$23:$AK$46&gt;$AI103))
) / 1000</f>
        <v>0</v>
      </c>
      <c r="BV103" s="237">
        <f t="shared" si="253"/>
        <v>0</v>
      </c>
      <c r="BW103" s="210"/>
      <c r="BX103" s="237">
        <f t="shared" si="254"/>
        <v>0</v>
      </c>
      <c r="BY103" s="236">
        <v>35</v>
      </c>
      <c r="BZ103" s="237">
        <f t="shared" si="255"/>
        <v>48</v>
      </c>
      <c r="CA103" s="253">
        <f t="shared" si="256"/>
        <v>3.0748170731707316</v>
      </c>
      <c r="CB103" s="253" cm="1">
        <f t="array" ref="CB103">$BC103 * SUMPRODUCT(INDEX($AL$77:$AN$82,,$AE103),INDEX($AO$77:$AU$82,,$AD103), N($AK$77:$AK$82&gt;$AI103)) / CA103 / 1000</f>
        <v>0</v>
      </c>
      <c r="CC103" s="250">
        <f t="shared" si="257"/>
        <v>30</v>
      </c>
      <c r="CD103" s="237">
        <f t="shared" si="258"/>
        <v>43</v>
      </c>
      <c r="CE103" s="253">
        <f t="shared" si="259"/>
        <v>3.5018750000000001</v>
      </c>
      <c r="CF103" s="253" cm="1">
        <f t="array" ref="CF103">$BC103 * IF($AD103&lt;=2,
SUMPRODUCT(INDEX($AL$72:$AN$76,,$AE103), INDEX($AO$72:$AU$76,,$AD103), 1 / ($AV$72:$AV$76*CE103 + (1-$AV$72:$AV$76)*CA103), N($AK$72:$AK$76&gt;$AI103)),
SUMPRODUCT(INDEX($AL$67:$AN$76,,$AE103), INDEX($AO$67:$AU$76,,$AD103), 1 / ($AW$67:$AW$76*CE103 + (1-$AW$67:$AW$76)*CA103), N($AK$67:$AK$76&gt;$AI103))
) / 1000</f>
        <v>0</v>
      </c>
      <c r="CG103" s="250">
        <f t="shared" si="260"/>
        <v>25</v>
      </c>
      <c r="CH103" s="237">
        <f t="shared" si="261"/>
        <v>38</v>
      </c>
      <c r="CI103" s="253">
        <f t="shared" si="262"/>
        <v>4.0666935483870965</v>
      </c>
      <c r="CJ103" s="253" cm="1">
        <f t="array" ref="CJ103">$BC103 * IF($AD103&lt;=2,
SUMPRODUCT(INDEX($AL$67:$AN$71,,$AE103), INDEX($AO$67:$AU$71,,$AD103), 1 / ($AV$67:$AV$71*CI103 + (1-$AV$67:$AV$71)*CE103), N($AK$67:$AK$71&gt;$AI103)),
SUMPRODUCT(INDEX($AL$57:$AN$66,,$AE103), INDEX($AO$57:$AU$66,,$AD103), 1 / ($AW$57:$AW$66*CI103 + (1-$AW$57:$AW$66)*CE103), N($AK$57:$AK$66&gt;$AI103))
) / 1000</f>
        <v>0</v>
      </c>
      <c r="CK103" s="250">
        <f t="shared" si="263"/>
        <v>20</v>
      </c>
      <c r="CL103" s="237">
        <f t="shared" si="264"/>
        <v>33</v>
      </c>
      <c r="CM103" s="253">
        <f t="shared" si="265"/>
        <v>4.8487499999999999</v>
      </c>
      <c r="CN103" s="253" cm="1">
        <f t="array" ref="CN103">$BC103 * IF($AD103&lt;=2,
SUMPRODUCT(INDEX($AL$62:$AN$66,,$AE103), INDEX($AO$62:$AU$66,,$AD103), 1 / ($AV$62:$AV$66*CM103 + (1-$AV$62:$AV$66)*CI103), N($AK$62:$AK$66&gt;$AI103)),
SUMPRODUCT(INDEX($AL$47:$AN$56,,$AE103), INDEX($AO$47:$AU$56,,$AD103), 1 / ($AW$47:$AW$56*CM103 + (1-$AW$47:$AW$56)*CI103), N($AK$47:$AK$56&gt;$AI103))
) / 1000</f>
        <v>0</v>
      </c>
      <c r="CO103" s="253" cm="1">
        <f t="array" ref="CO103">$BC103 * IF($AD103&lt;=2,
SUMPRODUCT(INDEX($AL$23:$AN$61,,$AE103), INDEX($AO$23:$AU$61,,$AD103), 1 / ($AV$23:$AV$61*CM103), N($AK$23:$AK$61&gt;$AI103)),
SUMPRODUCT(INDEX($AL$23:$AN$46,,$AE103), INDEX($AO$23:$AU$46,,$AD103), 1 / ($AW$23:$AW$46*CM103), N($AK$23:$AK$46&gt;$AI103))
) / 1000</f>
        <v>0</v>
      </c>
      <c r="CP103" s="237">
        <f t="shared" si="266"/>
        <v>0</v>
      </c>
      <c r="CQ103" s="210"/>
    </row>
    <row r="104" spans="1:95" s="76" customFormat="1" ht="14.25" customHeight="1" x14ac:dyDescent="0.2">
      <c r="A104" s="238" t="b">
        <f t="shared" si="227"/>
        <v>0</v>
      </c>
      <c r="B104" s="239">
        <v>82</v>
      </c>
      <c r="C104" s="258"/>
      <c r="D104" s="258"/>
      <c r="E104" s="240"/>
      <c r="F104" s="241" t="str">
        <f>IF(ISBLANK(E104), "", VLOOKUP(E104, Z!$A$2:$C$4127, 3, FALSE))</f>
        <v/>
      </c>
      <c r="G104" s="242"/>
      <c r="H104" s="242"/>
      <c r="I104" s="243"/>
      <c r="J104" s="244"/>
      <c r="K104" s="259"/>
      <c r="L104" s="260"/>
      <c r="M104" s="247" t="str" cm="1">
        <f t="array" ref="M104">IF($K104&gt;0, INDEX(Clean,1+AG104,$C$1), "")</f>
        <v/>
      </c>
      <c r="N104" s="245"/>
      <c r="O104" s="245"/>
      <c r="P104" s="246"/>
      <c r="Q104" s="248">
        <f t="shared" si="232"/>
        <v>0</v>
      </c>
      <c r="R104" s="247" t="str" cm="1">
        <f t="array" ref="R104">IF($K104&gt;0, INDEX(Clean,1+AH104,$C$1), "")</f>
        <v/>
      </c>
      <c r="S104" s="245"/>
      <c r="T104" s="245"/>
      <c r="U104" s="246"/>
      <c r="V104" s="248">
        <f t="shared" si="233"/>
        <v>0</v>
      </c>
      <c r="W104" s="261"/>
      <c r="X104" s="258"/>
      <c r="Y104" s="240"/>
      <c r="Z104" s="241" t="str">
        <f>IF(ISBLANK(Y104), "", VLOOKUP(Y104, Z!$A$2:$C$4127, 3, FALSE))</f>
        <v/>
      </c>
      <c r="AA104" s="262"/>
      <c r="AB104" s="249">
        <f t="shared" si="234"/>
        <v>0</v>
      </c>
      <c r="AC104" s="210"/>
      <c r="AD104" s="236">
        <f t="shared" ref="AD104" si="312">IF(ISBLANK(H104), 1, IFERROR(MATCH(H104, INDEX(Use,,1), 0), IFERROR(MATCH(H104, INDEX(Use,,2), 0), MATCH(H104, INDEX(Use,,3), 0))))</f>
        <v>1</v>
      </c>
      <c r="AE104" s="236">
        <f t="shared" ref="AE104" si="313">IF(ISBLANK(G104), 1, IFERROR(MATCH(G104, INDEX(Loc,,1), 0), IFERROR(MATCH(G104, INDEX(Loc,,2), 0), MATCH(G104, INDEX(Loc,,3), 0))))</f>
        <v>1</v>
      </c>
      <c r="AF104" s="236">
        <f t="shared" ref="AF104" si="314">_xlfn.IFNA(IF(IFERROR(MATCH(I104, INDEX(Medium,,1), 0), IFERROR(MATCH(I104, INDEX(Medium,,2), 0), MATCH(I104, INDEX(Medium,,3), 0))) = 2, 1, 0), 0)</f>
        <v>0</v>
      </c>
      <c r="AG104" s="236">
        <v>1</v>
      </c>
      <c r="AH104" s="236">
        <v>0</v>
      </c>
      <c r="AI104" s="236">
        <f t="shared" si="231"/>
        <v>-100</v>
      </c>
      <c r="AJ104" s="210"/>
      <c r="AK104" s="254"/>
      <c r="AL104" s="254"/>
      <c r="AM104" s="255"/>
      <c r="AN104" s="255"/>
      <c r="AO104" s="255"/>
      <c r="AP104" s="255"/>
      <c r="AQ104" s="255"/>
      <c r="AR104" s="255"/>
      <c r="AS104" s="255"/>
      <c r="AT104" s="255"/>
      <c r="AU104" s="255"/>
      <c r="AV104" s="255"/>
      <c r="AW104" s="255"/>
      <c r="AX104" s="210"/>
      <c r="AY104" s="236" cm="1">
        <f t="array" ref="AY104">INDEX(Use, $AD104, 4)</f>
        <v>7</v>
      </c>
      <c r="AZ104" s="236">
        <f t="shared" si="238"/>
        <v>32</v>
      </c>
      <c r="BA104" s="236">
        <f t="shared" si="239"/>
        <v>13</v>
      </c>
      <c r="BB104" s="236">
        <f t="shared" si="240"/>
        <v>0</v>
      </c>
      <c r="BC104" s="252" cm="1">
        <f t="array" ref="BC104">K104/IF($L104&gt;0, INDEX($AO$23:$AU$77, $L104+20, $AD104), 1)</f>
        <v>0</v>
      </c>
      <c r="BD104" s="237">
        <f t="shared" si="241"/>
        <v>0</v>
      </c>
      <c r="BE104" s="236">
        <v>35</v>
      </c>
      <c r="BF104" s="237">
        <f t="shared" si="242"/>
        <v>52.55</v>
      </c>
      <c r="BG104" s="253">
        <f t="shared" si="243"/>
        <v>2.7676728869374316</v>
      </c>
      <c r="BH104" s="253" cm="1">
        <f t="array" ref="BH104">$BC104 * SUMPRODUCT(INDEX($AL$77:$AN$82,,$AE104),INDEX($AO$77:$AU$82,,$AD104), N($AK$77:$AK$82&gt;$AI104)) / BG104 / 1000</f>
        <v>0</v>
      </c>
      <c r="BI104" s="250">
        <f t="shared" si="244"/>
        <v>30</v>
      </c>
      <c r="BJ104" s="237">
        <f t="shared" si="245"/>
        <v>46.033333333333331</v>
      </c>
      <c r="BK104" s="253">
        <f t="shared" si="246"/>
        <v>3.2297395388556791</v>
      </c>
      <c r="BL104" s="253" cm="1">
        <f t="array" ref="BL104">$BC104 * IF($AD104&lt;=2,
SUMPRODUCT(INDEX($AL$72:$AN$76,,$AE104), INDEX($AO$72:$AU$76,,$AD104), 1 / ($AV$72:$AV$76*BK104 + (1-$AV$72:$AV$76)*BG104), N($AK$72:$AK$76&gt;$AI104)),
SUMPRODUCT(INDEX($AL$67:$AN$76,,$AE104), INDEX($AO$67:$AU$76,,$AD104), 1 / ($AW$67:$AW$76*BK104 + (1-$AW$67:$AW$76)*BG104), N($AK$67:$AK$76&gt;$AI104))
) / 1000</f>
        <v>0</v>
      </c>
      <c r="BM104" s="250">
        <f t="shared" si="247"/>
        <v>25</v>
      </c>
      <c r="BN104" s="237">
        <f t="shared" si="248"/>
        <v>39.516666666666666</v>
      </c>
      <c r="BO104" s="253">
        <f t="shared" si="249"/>
        <v>3.877011788826243</v>
      </c>
      <c r="BP104" s="253" cm="1">
        <f t="array" ref="BP104">$BC104 * IF($AD104&lt;=2,
SUMPRODUCT(INDEX($AL$67:$AN$71,,$AE104), INDEX($AO$67:$AU$71,,$AD104), 1 / ($AV$67:$AV$71*BO104 + (1-$AV$67:$AV$71)*BK104), N($AK$67:$AK$71&gt;$AI104)),
SUMPRODUCT(INDEX($AL$57:$AN$66,,$AE104), INDEX($AO$57:$AU$66,,$AD104), 1 / ($AW$57:$AW$66*BO104 + (1-$AW$57:$AW$66)*BK104), N($AK$57:$AK$66&gt;$AI104))
) / 1000</f>
        <v>0</v>
      </c>
      <c r="BQ104" s="250">
        <f t="shared" si="250"/>
        <v>20</v>
      </c>
      <c r="BR104" s="237">
        <f t="shared" si="251"/>
        <v>33</v>
      </c>
      <c r="BS104" s="253">
        <f t="shared" si="252"/>
        <v>4.8487499999999999</v>
      </c>
      <c r="BT104" s="253" cm="1">
        <f t="array" ref="BT104">$BC104 * IF($AD104&lt;=2,
SUMPRODUCT(INDEX($AL$62:$AN$66,,$AE104), INDEX($AO$62:$AU$66,,$AD104), 1 / ($AV$62:$AV$66*BS104 + (1-$AV$62:$AV$66)*BO104), N($AK$62:$AK$66&gt;$AI104)),
SUMPRODUCT(INDEX($AL$47:$AN$56,,$AE104), INDEX($AO$47:$AU$56,,$AD104), 1 / ($AW$47:$AW$56*BS104 + (1-$AW$47:$AW$56)*BO104), N($AK$47:$AK$56&gt;$AI104))
) / 1000</f>
        <v>0</v>
      </c>
      <c r="BU104" s="253" cm="1">
        <f t="array" ref="BU104">$BC104 * IF($AD104&lt;=2,
SUMPRODUCT(INDEX($AL$23:$AN$61,,$AE104), INDEX($AO$23:$AU$61,,$AD104), 1 / ($AV$23:$AV$61*BS104), N($AK$23:$AK$61&gt;$AI104)),
SUMPRODUCT(INDEX($AL$23:$AN$46,,$AE104), INDEX($AO$23:$AU$46,,$AD104), 1 / ($AW$23:$AW$46*BS104), N($AK$23:$AK$46&gt;$AI104))
) / 1000</f>
        <v>0</v>
      </c>
      <c r="BV104" s="237">
        <f t="shared" si="253"/>
        <v>0</v>
      </c>
      <c r="BW104" s="210"/>
      <c r="BX104" s="237">
        <f t="shared" si="254"/>
        <v>0</v>
      </c>
      <c r="BY104" s="236">
        <v>35</v>
      </c>
      <c r="BZ104" s="237">
        <f t="shared" si="255"/>
        <v>48</v>
      </c>
      <c r="CA104" s="253">
        <f t="shared" si="256"/>
        <v>3.0748170731707316</v>
      </c>
      <c r="CB104" s="253" cm="1">
        <f t="array" ref="CB104">$BC104 * SUMPRODUCT(INDEX($AL$77:$AN$82,,$AE104),INDEX($AO$77:$AU$82,,$AD104), N($AK$77:$AK$82&gt;$AI104)) / CA104 / 1000</f>
        <v>0</v>
      </c>
      <c r="CC104" s="250">
        <f t="shared" si="257"/>
        <v>30</v>
      </c>
      <c r="CD104" s="237">
        <f t="shared" si="258"/>
        <v>43</v>
      </c>
      <c r="CE104" s="253">
        <f t="shared" si="259"/>
        <v>3.5018750000000001</v>
      </c>
      <c r="CF104" s="253" cm="1">
        <f t="array" ref="CF104">$BC104 * IF($AD104&lt;=2,
SUMPRODUCT(INDEX($AL$72:$AN$76,,$AE104), INDEX($AO$72:$AU$76,,$AD104), 1 / ($AV$72:$AV$76*CE104 + (1-$AV$72:$AV$76)*CA104), N($AK$72:$AK$76&gt;$AI104)),
SUMPRODUCT(INDEX($AL$67:$AN$76,,$AE104), INDEX($AO$67:$AU$76,,$AD104), 1 / ($AW$67:$AW$76*CE104 + (1-$AW$67:$AW$76)*CA104), N($AK$67:$AK$76&gt;$AI104))
) / 1000</f>
        <v>0</v>
      </c>
      <c r="CG104" s="250">
        <f t="shared" si="260"/>
        <v>25</v>
      </c>
      <c r="CH104" s="237">
        <f t="shared" si="261"/>
        <v>38</v>
      </c>
      <c r="CI104" s="253">
        <f t="shared" si="262"/>
        <v>4.0666935483870965</v>
      </c>
      <c r="CJ104" s="253" cm="1">
        <f t="array" ref="CJ104">$BC104 * IF($AD104&lt;=2,
SUMPRODUCT(INDEX($AL$67:$AN$71,,$AE104), INDEX($AO$67:$AU$71,,$AD104), 1 / ($AV$67:$AV$71*CI104 + (1-$AV$67:$AV$71)*CE104), N($AK$67:$AK$71&gt;$AI104)),
SUMPRODUCT(INDEX($AL$57:$AN$66,,$AE104), INDEX($AO$57:$AU$66,,$AD104), 1 / ($AW$57:$AW$66*CI104 + (1-$AW$57:$AW$66)*CE104), N($AK$57:$AK$66&gt;$AI104))
) / 1000</f>
        <v>0</v>
      </c>
      <c r="CK104" s="250">
        <f t="shared" si="263"/>
        <v>20</v>
      </c>
      <c r="CL104" s="237">
        <f t="shared" si="264"/>
        <v>33</v>
      </c>
      <c r="CM104" s="253">
        <f t="shared" si="265"/>
        <v>4.8487499999999999</v>
      </c>
      <c r="CN104" s="253" cm="1">
        <f t="array" ref="CN104">$BC104 * IF($AD104&lt;=2,
SUMPRODUCT(INDEX($AL$62:$AN$66,,$AE104), INDEX($AO$62:$AU$66,,$AD104), 1 / ($AV$62:$AV$66*CM104 + (1-$AV$62:$AV$66)*CI104), N($AK$62:$AK$66&gt;$AI104)),
SUMPRODUCT(INDEX($AL$47:$AN$56,,$AE104), INDEX($AO$47:$AU$56,,$AD104), 1 / ($AW$47:$AW$56*CM104 + (1-$AW$47:$AW$56)*CI104), N($AK$47:$AK$56&gt;$AI104))
) / 1000</f>
        <v>0</v>
      </c>
      <c r="CO104" s="253" cm="1">
        <f t="array" ref="CO104">$BC104 * IF($AD104&lt;=2,
SUMPRODUCT(INDEX($AL$23:$AN$61,,$AE104), INDEX($AO$23:$AU$61,,$AD104), 1 / ($AV$23:$AV$61*CM104), N($AK$23:$AK$61&gt;$AI104)),
SUMPRODUCT(INDEX($AL$23:$AN$46,,$AE104), INDEX($AO$23:$AU$46,,$AD104), 1 / ($AW$23:$AW$46*CM104), N($AK$23:$AK$46&gt;$AI104))
) / 1000</f>
        <v>0</v>
      </c>
      <c r="CP104" s="237">
        <f t="shared" si="266"/>
        <v>0</v>
      </c>
      <c r="CQ104" s="210"/>
    </row>
    <row r="105" spans="1:95" s="76" customFormat="1" ht="14.25" customHeight="1" x14ac:dyDescent="0.2">
      <c r="A105" s="238" t="b">
        <f t="shared" si="227"/>
        <v>0</v>
      </c>
      <c r="B105" s="239">
        <v>83</v>
      </c>
      <c r="C105" s="258"/>
      <c r="D105" s="258"/>
      <c r="E105" s="240"/>
      <c r="F105" s="241" t="str">
        <f>IF(ISBLANK(E105), "", VLOOKUP(E105, Z!$A$2:$C$4127, 3, FALSE))</f>
        <v/>
      </c>
      <c r="G105" s="242"/>
      <c r="H105" s="242"/>
      <c r="I105" s="243"/>
      <c r="J105" s="244"/>
      <c r="K105" s="259"/>
      <c r="L105" s="260"/>
      <c r="M105" s="247" t="str" cm="1">
        <f t="array" ref="M105">IF($K105&gt;0, INDEX(Clean,1+AG105,$C$1), "")</f>
        <v/>
      </c>
      <c r="N105" s="245"/>
      <c r="O105" s="245"/>
      <c r="P105" s="246"/>
      <c r="Q105" s="248">
        <f t="shared" si="232"/>
        <v>0</v>
      </c>
      <c r="R105" s="247" t="str" cm="1">
        <f t="array" ref="R105">IF($K105&gt;0, INDEX(Clean,1+AH105,$C$1), "")</f>
        <v/>
      </c>
      <c r="S105" s="245"/>
      <c r="T105" s="245"/>
      <c r="U105" s="246"/>
      <c r="V105" s="248">
        <f t="shared" si="233"/>
        <v>0</v>
      </c>
      <c r="W105" s="261"/>
      <c r="X105" s="258"/>
      <c r="Y105" s="240"/>
      <c r="Z105" s="241" t="str">
        <f>IF(ISBLANK(Y105), "", VLOOKUP(Y105, Z!$A$2:$C$4127, 3, FALSE))</f>
        <v/>
      </c>
      <c r="AA105" s="262"/>
      <c r="AB105" s="249">
        <f t="shared" si="234"/>
        <v>0</v>
      </c>
      <c r="AC105" s="210"/>
      <c r="AD105" s="236">
        <f t="shared" ref="AD105" si="315">IF(ISBLANK(H105), 1, IFERROR(MATCH(H105, INDEX(Use,,1), 0), IFERROR(MATCH(H105, INDEX(Use,,2), 0), MATCH(H105, INDEX(Use,,3), 0))))</f>
        <v>1</v>
      </c>
      <c r="AE105" s="236">
        <f t="shared" ref="AE105" si="316">IF(ISBLANK(G105), 1, IFERROR(MATCH(G105, INDEX(Loc,,1), 0), IFERROR(MATCH(G105, INDEX(Loc,,2), 0), MATCH(G105, INDEX(Loc,,3), 0))))</f>
        <v>1</v>
      </c>
      <c r="AF105" s="236">
        <f t="shared" ref="AF105" si="317">_xlfn.IFNA(IF(IFERROR(MATCH(I105, INDEX(Medium,,1), 0), IFERROR(MATCH(I105, INDEX(Medium,,2), 0), MATCH(I105, INDEX(Medium,,3), 0))) = 2, 1, 0), 0)</f>
        <v>0</v>
      </c>
      <c r="AG105" s="236">
        <v>1</v>
      </c>
      <c r="AH105" s="236">
        <v>0</v>
      </c>
      <c r="AI105" s="236">
        <f t="shared" si="231"/>
        <v>-100</v>
      </c>
      <c r="AJ105" s="210"/>
      <c r="AK105" s="254"/>
      <c r="AL105" s="254"/>
      <c r="AM105" s="255"/>
      <c r="AN105" s="255"/>
      <c r="AO105" s="255"/>
      <c r="AP105" s="255"/>
      <c r="AQ105" s="255"/>
      <c r="AR105" s="255"/>
      <c r="AS105" s="255"/>
      <c r="AT105" s="255"/>
      <c r="AU105" s="255"/>
      <c r="AV105" s="255"/>
      <c r="AW105" s="255"/>
      <c r="AX105" s="210"/>
      <c r="AY105" s="236" cm="1">
        <f t="array" ref="AY105">INDEX(Use, $AD105, 4)</f>
        <v>7</v>
      </c>
      <c r="AZ105" s="236">
        <f t="shared" si="238"/>
        <v>32</v>
      </c>
      <c r="BA105" s="236">
        <f t="shared" si="239"/>
        <v>13</v>
      </c>
      <c r="BB105" s="236">
        <f t="shared" si="240"/>
        <v>0</v>
      </c>
      <c r="BC105" s="252" cm="1">
        <f t="array" ref="BC105">K105/IF($L105&gt;0, INDEX($AO$23:$AU$77, $L105+20, $AD105), 1)</f>
        <v>0</v>
      </c>
      <c r="BD105" s="237">
        <f t="shared" si="241"/>
        <v>0</v>
      </c>
      <c r="BE105" s="236">
        <v>35</v>
      </c>
      <c r="BF105" s="237">
        <f t="shared" si="242"/>
        <v>52.55</v>
      </c>
      <c r="BG105" s="253">
        <f t="shared" si="243"/>
        <v>2.7676728869374316</v>
      </c>
      <c r="BH105" s="253" cm="1">
        <f t="array" ref="BH105">$BC105 * SUMPRODUCT(INDEX($AL$77:$AN$82,,$AE105),INDEX($AO$77:$AU$82,,$AD105), N($AK$77:$AK$82&gt;$AI105)) / BG105 / 1000</f>
        <v>0</v>
      </c>
      <c r="BI105" s="250">
        <f t="shared" si="244"/>
        <v>30</v>
      </c>
      <c r="BJ105" s="237">
        <f t="shared" si="245"/>
        <v>46.033333333333331</v>
      </c>
      <c r="BK105" s="253">
        <f t="shared" si="246"/>
        <v>3.2297395388556791</v>
      </c>
      <c r="BL105" s="253" cm="1">
        <f t="array" ref="BL105">$BC105 * IF($AD105&lt;=2,
SUMPRODUCT(INDEX($AL$72:$AN$76,,$AE105), INDEX($AO$72:$AU$76,,$AD105), 1 / ($AV$72:$AV$76*BK105 + (1-$AV$72:$AV$76)*BG105), N($AK$72:$AK$76&gt;$AI105)),
SUMPRODUCT(INDEX($AL$67:$AN$76,,$AE105), INDEX($AO$67:$AU$76,,$AD105), 1 / ($AW$67:$AW$76*BK105 + (1-$AW$67:$AW$76)*BG105), N($AK$67:$AK$76&gt;$AI105))
) / 1000</f>
        <v>0</v>
      </c>
      <c r="BM105" s="250">
        <f t="shared" si="247"/>
        <v>25</v>
      </c>
      <c r="BN105" s="237">
        <f t="shared" si="248"/>
        <v>39.516666666666666</v>
      </c>
      <c r="BO105" s="253">
        <f t="shared" si="249"/>
        <v>3.877011788826243</v>
      </c>
      <c r="BP105" s="253" cm="1">
        <f t="array" ref="BP105">$BC105 * IF($AD105&lt;=2,
SUMPRODUCT(INDEX($AL$67:$AN$71,,$AE105), INDEX($AO$67:$AU$71,,$AD105), 1 / ($AV$67:$AV$71*BO105 + (1-$AV$67:$AV$71)*BK105), N($AK$67:$AK$71&gt;$AI105)),
SUMPRODUCT(INDEX($AL$57:$AN$66,,$AE105), INDEX($AO$57:$AU$66,,$AD105), 1 / ($AW$57:$AW$66*BO105 + (1-$AW$57:$AW$66)*BK105), N($AK$57:$AK$66&gt;$AI105))
) / 1000</f>
        <v>0</v>
      </c>
      <c r="BQ105" s="250">
        <f t="shared" si="250"/>
        <v>20</v>
      </c>
      <c r="BR105" s="237">
        <f t="shared" si="251"/>
        <v>33</v>
      </c>
      <c r="BS105" s="253">
        <f t="shared" si="252"/>
        <v>4.8487499999999999</v>
      </c>
      <c r="BT105" s="253" cm="1">
        <f t="array" ref="BT105">$BC105 * IF($AD105&lt;=2,
SUMPRODUCT(INDEX($AL$62:$AN$66,,$AE105), INDEX($AO$62:$AU$66,,$AD105), 1 / ($AV$62:$AV$66*BS105 + (1-$AV$62:$AV$66)*BO105), N($AK$62:$AK$66&gt;$AI105)),
SUMPRODUCT(INDEX($AL$47:$AN$56,,$AE105), INDEX($AO$47:$AU$56,,$AD105), 1 / ($AW$47:$AW$56*BS105 + (1-$AW$47:$AW$56)*BO105), N($AK$47:$AK$56&gt;$AI105))
) / 1000</f>
        <v>0</v>
      </c>
      <c r="BU105" s="253" cm="1">
        <f t="array" ref="BU105">$BC105 * IF($AD105&lt;=2,
SUMPRODUCT(INDEX($AL$23:$AN$61,,$AE105), INDEX($AO$23:$AU$61,,$AD105), 1 / ($AV$23:$AV$61*BS105), N($AK$23:$AK$61&gt;$AI105)),
SUMPRODUCT(INDEX($AL$23:$AN$46,,$AE105), INDEX($AO$23:$AU$46,,$AD105), 1 / ($AW$23:$AW$46*BS105), N($AK$23:$AK$46&gt;$AI105))
) / 1000</f>
        <v>0</v>
      </c>
      <c r="BV105" s="237">
        <f t="shared" si="253"/>
        <v>0</v>
      </c>
      <c r="BW105" s="210"/>
      <c r="BX105" s="237">
        <f t="shared" si="254"/>
        <v>0</v>
      </c>
      <c r="BY105" s="236">
        <v>35</v>
      </c>
      <c r="BZ105" s="237">
        <f t="shared" si="255"/>
        <v>48</v>
      </c>
      <c r="CA105" s="253">
        <f t="shared" si="256"/>
        <v>3.0748170731707316</v>
      </c>
      <c r="CB105" s="253" cm="1">
        <f t="array" ref="CB105">$BC105 * SUMPRODUCT(INDEX($AL$77:$AN$82,,$AE105),INDEX($AO$77:$AU$82,,$AD105), N($AK$77:$AK$82&gt;$AI105)) / CA105 / 1000</f>
        <v>0</v>
      </c>
      <c r="CC105" s="250">
        <f t="shared" si="257"/>
        <v>30</v>
      </c>
      <c r="CD105" s="237">
        <f t="shared" si="258"/>
        <v>43</v>
      </c>
      <c r="CE105" s="253">
        <f t="shared" si="259"/>
        <v>3.5018750000000001</v>
      </c>
      <c r="CF105" s="253" cm="1">
        <f t="array" ref="CF105">$BC105 * IF($AD105&lt;=2,
SUMPRODUCT(INDEX($AL$72:$AN$76,,$AE105), INDEX($AO$72:$AU$76,,$AD105), 1 / ($AV$72:$AV$76*CE105 + (1-$AV$72:$AV$76)*CA105), N($AK$72:$AK$76&gt;$AI105)),
SUMPRODUCT(INDEX($AL$67:$AN$76,,$AE105), INDEX($AO$67:$AU$76,,$AD105), 1 / ($AW$67:$AW$76*CE105 + (1-$AW$67:$AW$76)*CA105), N($AK$67:$AK$76&gt;$AI105))
) / 1000</f>
        <v>0</v>
      </c>
      <c r="CG105" s="250">
        <f t="shared" si="260"/>
        <v>25</v>
      </c>
      <c r="CH105" s="237">
        <f t="shared" si="261"/>
        <v>38</v>
      </c>
      <c r="CI105" s="253">
        <f t="shared" si="262"/>
        <v>4.0666935483870965</v>
      </c>
      <c r="CJ105" s="253" cm="1">
        <f t="array" ref="CJ105">$BC105 * IF($AD105&lt;=2,
SUMPRODUCT(INDEX($AL$67:$AN$71,,$AE105), INDEX($AO$67:$AU$71,,$AD105), 1 / ($AV$67:$AV$71*CI105 + (1-$AV$67:$AV$71)*CE105), N($AK$67:$AK$71&gt;$AI105)),
SUMPRODUCT(INDEX($AL$57:$AN$66,,$AE105), INDEX($AO$57:$AU$66,,$AD105), 1 / ($AW$57:$AW$66*CI105 + (1-$AW$57:$AW$66)*CE105), N($AK$57:$AK$66&gt;$AI105))
) / 1000</f>
        <v>0</v>
      </c>
      <c r="CK105" s="250">
        <f t="shared" si="263"/>
        <v>20</v>
      </c>
      <c r="CL105" s="237">
        <f t="shared" si="264"/>
        <v>33</v>
      </c>
      <c r="CM105" s="253">
        <f t="shared" si="265"/>
        <v>4.8487499999999999</v>
      </c>
      <c r="CN105" s="253" cm="1">
        <f t="array" ref="CN105">$BC105 * IF($AD105&lt;=2,
SUMPRODUCT(INDEX($AL$62:$AN$66,,$AE105), INDEX($AO$62:$AU$66,,$AD105), 1 / ($AV$62:$AV$66*CM105 + (1-$AV$62:$AV$66)*CI105), N($AK$62:$AK$66&gt;$AI105)),
SUMPRODUCT(INDEX($AL$47:$AN$56,,$AE105), INDEX($AO$47:$AU$56,,$AD105), 1 / ($AW$47:$AW$56*CM105 + (1-$AW$47:$AW$56)*CI105), N($AK$47:$AK$56&gt;$AI105))
) / 1000</f>
        <v>0</v>
      </c>
      <c r="CO105" s="253" cm="1">
        <f t="array" ref="CO105">$BC105 * IF($AD105&lt;=2,
SUMPRODUCT(INDEX($AL$23:$AN$61,,$AE105), INDEX($AO$23:$AU$61,,$AD105), 1 / ($AV$23:$AV$61*CM105), N($AK$23:$AK$61&gt;$AI105)),
SUMPRODUCT(INDEX($AL$23:$AN$46,,$AE105), INDEX($AO$23:$AU$46,,$AD105), 1 / ($AW$23:$AW$46*CM105), N($AK$23:$AK$46&gt;$AI105))
) / 1000</f>
        <v>0</v>
      </c>
      <c r="CP105" s="237">
        <f t="shared" si="266"/>
        <v>0</v>
      </c>
      <c r="CQ105" s="210"/>
    </row>
    <row r="106" spans="1:95" s="76" customFormat="1" ht="14.25" customHeight="1" x14ac:dyDescent="0.2">
      <c r="A106" s="238" t="b">
        <f t="shared" si="227"/>
        <v>0</v>
      </c>
      <c r="B106" s="239">
        <v>84</v>
      </c>
      <c r="C106" s="258"/>
      <c r="D106" s="258"/>
      <c r="E106" s="240"/>
      <c r="F106" s="241" t="str">
        <f>IF(ISBLANK(E106), "", VLOOKUP(E106, Z!$A$2:$C$4127, 3, FALSE))</f>
        <v/>
      </c>
      <c r="G106" s="242"/>
      <c r="H106" s="242"/>
      <c r="I106" s="243"/>
      <c r="J106" s="244"/>
      <c r="K106" s="259"/>
      <c r="L106" s="260"/>
      <c r="M106" s="247" t="str" cm="1">
        <f t="array" ref="M106">IF($K106&gt;0, INDEX(Clean,1+AG106,$C$1), "")</f>
        <v/>
      </c>
      <c r="N106" s="245"/>
      <c r="O106" s="245"/>
      <c r="P106" s="246"/>
      <c r="Q106" s="248">
        <f t="shared" si="232"/>
        <v>0</v>
      </c>
      <c r="R106" s="247" t="str" cm="1">
        <f t="array" ref="R106">IF($K106&gt;0, INDEX(Clean,1+AH106,$C$1), "")</f>
        <v/>
      </c>
      <c r="S106" s="245"/>
      <c r="T106" s="245"/>
      <c r="U106" s="246"/>
      <c r="V106" s="248">
        <f t="shared" si="233"/>
        <v>0</v>
      </c>
      <c r="W106" s="261"/>
      <c r="X106" s="258"/>
      <c r="Y106" s="240"/>
      <c r="Z106" s="241" t="str">
        <f>IF(ISBLANK(Y106), "", VLOOKUP(Y106, Z!$A$2:$C$4127, 3, FALSE))</f>
        <v/>
      </c>
      <c r="AA106" s="262"/>
      <c r="AB106" s="249">
        <f t="shared" si="234"/>
        <v>0</v>
      </c>
      <c r="AC106" s="210"/>
      <c r="AD106" s="236">
        <f t="shared" ref="AD106" si="318">IF(ISBLANK(H106), 1, IFERROR(MATCH(H106, INDEX(Use,,1), 0), IFERROR(MATCH(H106, INDEX(Use,,2), 0), MATCH(H106, INDEX(Use,,3), 0))))</f>
        <v>1</v>
      </c>
      <c r="AE106" s="236">
        <f t="shared" ref="AE106" si="319">IF(ISBLANK(G106), 1, IFERROR(MATCH(G106, INDEX(Loc,,1), 0), IFERROR(MATCH(G106, INDEX(Loc,,2), 0), MATCH(G106, INDEX(Loc,,3), 0))))</f>
        <v>1</v>
      </c>
      <c r="AF106" s="236">
        <f t="shared" ref="AF106" si="320">_xlfn.IFNA(IF(IFERROR(MATCH(I106, INDEX(Medium,,1), 0), IFERROR(MATCH(I106, INDEX(Medium,,2), 0), MATCH(I106, INDEX(Medium,,3), 0))) = 2, 1, 0), 0)</f>
        <v>0</v>
      </c>
      <c r="AG106" s="236">
        <v>1</v>
      </c>
      <c r="AH106" s="236">
        <v>0</v>
      </c>
      <c r="AI106" s="236">
        <f t="shared" si="231"/>
        <v>-100</v>
      </c>
      <c r="AJ106" s="210"/>
      <c r="AK106" s="254"/>
      <c r="AL106" s="254"/>
      <c r="AM106" s="255"/>
      <c r="AN106" s="255"/>
      <c r="AO106" s="255"/>
      <c r="AP106" s="255"/>
      <c r="AQ106" s="255"/>
      <c r="AR106" s="255"/>
      <c r="AS106" s="255"/>
      <c r="AT106" s="255"/>
      <c r="AU106" s="255"/>
      <c r="AV106" s="255"/>
      <c r="AW106" s="255"/>
      <c r="AX106" s="210"/>
      <c r="AY106" s="236" cm="1">
        <f t="array" ref="AY106">INDEX(Use, $AD106, 4)</f>
        <v>7</v>
      </c>
      <c r="AZ106" s="236">
        <f t="shared" si="238"/>
        <v>32</v>
      </c>
      <c r="BA106" s="236">
        <f t="shared" si="239"/>
        <v>13</v>
      </c>
      <c r="BB106" s="236">
        <f t="shared" si="240"/>
        <v>0</v>
      </c>
      <c r="BC106" s="252" cm="1">
        <f t="array" ref="BC106">K106/IF($L106&gt;0, INDEX($AO$23:$AU$77, $L106+20, $AD106), 1)</f>
        <v>0</v>
      </c>
      <c r="BD106" s="237">
        <f t="shared" si="241"/>
        <v>0</v>
      </c>
      <c r="BE106" s="236">
        <v>35</v>
      </c>
      <c r="BF106" s="237">
        <f t="shared" si="242"/>
        <v>52.55</v>
      </c>
      <c r="BG106" s="253">
        <f t="shared" si="243"/>
        <v>2.7676728869374316</v>
      </c>
      <c r="BH106" s="253" cm="1">
        <f t="array" ref="BH106">$BC106 * SUMPRODUCT(INDEX($AL$77:$AN$82,,$AE106),INDEX($AO$77:$AU$82,,$AD106), N($AK$77:$AK$82&gt;$AI106)) / BG106 / 1000</f>
        <v>0</v>
      </c>
      <c r="BI106" s="250">
        <f t="shared" si="244"/>
        <v>30</v>
      </c>
      <c r="BJ106" s="237">
        <f t="shared" si="245"/>
        <v>46.033333333333331</v>
      </c>
      <c r="BK106" s="253">
        <f t="shared" si="246"/>
        <v>3.2297395388556791</v>
      </c>
      <c r="BL106" s="253" cm="1">
        <f t="array" ref="BL106">$BC106 * IF($AD106&lt;=2,
SUMPRODUCT(INDEX($AL$72:$AN$76,,$AE106), INDEX($AO$72:$AU$76,,$AD106), 1 / ($AV$72:$AV$76*BK106 + (1-$AV$72:$AV$76)*BG106), N($AK$72:$AK$76&gt;$AI106)),
SUMPRODUCT(INDEX($AL$67:$AN$76,,$AE106), INDEX($AO$67:$AU$76,,$AD106), 1 / ($AW$67:$AW$76*BK106 + (1-$AW$67:$AW$76)*BG106), N($AK$67:$AK$76&gt;$AI106))
) / 1000</f>
        <v>0</v>
      </c>
      <c r="BM106" s="250">
        <f t="shared" si="247"/>
        <v>25</v>
      </c>
      <c r="BN106" s="237">
        <f t="shared" si="248"/>
        <v>39.516666666666666</v>
      </c>
      <c r="BO106" s="253">
        <f t="shared" si="249"/>
        <v>3.877011788826243</v>
      </c>
      <c r="BP106" s="253" cm="1">
        <f t="array" ref="BP106">$BC106 * IF($AD106&lt;=2,
SUMPRODUCT(INDEX($AL$67:$AN$71,,$AE106), INDEX($AO$67:$AU$71,,$AD106), 1 / ($AV$67:$AV$71*BO106 + (1-$AV$67:$AV$71)*BK106), N($AK$67:$AK$71&gt;$AI106)),
SUMPRODUCT(INDEX($AL$57:$AN$66,,$AE106), INDEX($AO$57:$AU$66,,$AD106), 1 / ($AW$57:$AW$66*BO106 + (1-$AW$57:$AW$66)*BK106), N($AK$57:$AK$66&gt;$AI106))
) / 1000</f>
        <v>0</v>
      </c>
      <c r="BQ106" s="250">
        <f t="shared" si="250"/>
        <v>20</v>
      </c>
      <c r="BR106" s="237">
        <f t="shared" si="251"/>
        <v>33</v>
      </c>
      <c r="BS106" s="253">
        <f t="shared" si="252"/>
        <v>4.8487499999999999</v>
      </c>
      <c r="BT106" s="253" cm="1">
        <f t="array" ref="BT106">$BC106 * IF($AD106&lt;=2,
SUMPRODUCT(INDEX($AL$62:$AN$66,,$AE106), INDEX($AO$62:$AU$66,,$AD106), 1 / ($AV$62:$AV$66*BS106 + (1-$AV$62:$AV$66)*BO106), N($AK$62:$AK$66&gt;$AI106)),
SUMPRODUCT(INDEX($AL$47:$AN$56,,$AE106), INDEX($AO$47:$AU$56,,$AD106), 1 / ($AW$47:$AW$56*BS106 + (1-$AW$47:$AW$56)*BO106), N($AK$47:$AK$56&gt;$AI106))
) / 1000</f>
        <v>0</v>
      </c>
      <c r="BU106" s="253" cm="1">
        <f t="array" ref="BU106">$BC106 * IF($AD106&lt;=2,
SUMPRODUCT(INDEX($AL$23:$AN$61,,$AE106), INDEX($AO$23:$AU$61,,$AD106), 1 / ($AV$23:$AV$61*BS106), N($AK$23:$AK$61&gt;$AI106)),
SUMPRODUCT(INDEX($AL$23:$AN$46,,$AE106), INDEX($AO$23:$AU$46,,$AD106), 1 / ($AW$23:$AW$46*BS106), N($AK$23:$AK$46&gt;$AI106))
) / 1000</f>
        <v>0</v>
      </c>
      <c r="BV106" s="237">
        <f t="shared" si="253"/>
        <v>0</v>
      </c>
      <c r="BW106" s="210"/>
      <c r="BX106" s="237">
        <f t="shared" si="254"/>
        <v>0</v>
      </c>
      <c r="BY106" s="236">
        <v>35</v>
      </c>
      <c r="BZ106" s="237">
        <f t="shared" si="255"/>
        <v>48</v>
      </c>
      <c r="CA106" s="253">
        <f t="shared" si="256"/>
        <v>3.0748170731707316</v>
      </c>
      <c r="CB106" s="253" cm="1">
        <f t="array" ref="CB106">$BC106 * SUMPRODUCT(INDEX($AL$77:$AN$82,,$AE106),INDEX($AO$77:$AU$82,,$AD106), N($AK$77:$AK$82&gt;$AI106)) / CA106 / 1000</f>
        <v>0</v>
      </c>
      <c r="CC106" s="250">
        <f t="shared" si="257"/>
        <v>30</v>
      </c>
      <c r="CD106" s="237">
        <f t="shared" si="258"/>
        <v>43</v>
      </c>
      <c r="CE106" s="253">
        <f t="shared" si="259"/>
        <v>3.5018750000000001</v>
      </c>
      <c r="CF106" s="253" cm="1">
        <f t="array" ref="CF106">$BC106 * IF($AD106&lt;=2,
SUMPRODUCT(INDEX($AL$72:$AN$76,,$AE106), INDEX($AO$72:$AU$76,,$AD106), 1 / ($AV$72:$AV$76*CE106 + (1-$AV$72:$AV$76)*CA106), N($AK$72:$AK$76&gt;$AI106)),
SUMPRODUCT(INDEX($AL$67:$AN$76,,$AE106), INDEX($AO$67:$AU$76,,$AD106), 1 / ($AW$67:$AW$76*CE106 + (1-$AW$67:$AW$76)*CA106), N($AK$67:$AK$76&gt;$AI106))
) / 1000</f>
        <v>0</v>
      </c>
      <c r="CG106" s="250">
        <f t="shared" si="260"/>
        <v>25</v>
      </c>
      <c r="CH106" s="237">
        <f t="shared" si="261"/>
        <v>38</v>
      </c>
      <c r="CI106" s="253">
        <f t="shared" si="262"/>
        <v>4.0666935483870965</v>
      </c>
      <c r="CJ106" s="253" cm="1">
        <f t="array" ref="CJ106">$BC106 * IF($AD106&lt;=2,
SUMPRODUCT(INDEX($AL$67:$AN$71,,$AE106), INDEX($AO$67:$AU$71,,$AD106), 1 / ($AV$67:$AV$71*CI106 + (1-$AV$67:$AV$71)*CE106), N($AK$67:$AK$71&gt;$AI106)),
SUMPRODUCT(INDEX($AL$57:$AN$66,,$AE106), INDEX($AO$57:$AU$66,,$AD106), 1 / ($AW$57:$AW$66*CI106 + (1-$AW$57:$AW$66)*CE106), N($AK$57:$AK$66&gt;$AI106))
) / 1000</f>
        <v>0</v>
      </c>
      <c r="CK106" s="250">
        <f t="shared" si="263"/>
        <v>20</v>
      </c>
      <c r="CL106" s="237">
        <f t="shared" si="264"/>
        <v>33</v>
      </c>
      <c r="CM106" s="253">
        <f t="shared" si="265"/>
        <v>4.8487499999999999</v>
      </c>
      <c r="CN106" s="253" cm="1">
        <f t="array" ref="CN106">$BC106 * IF($AD106&lt;=2,
SUMPRODUCT(INDEX($AL$62:$AN$66,,$AE106), INDEX($AO$62:$AU$66,,$AD106), 1 / ($AV$62:$AV$66*CM106 + (1-$AV$62:$AV$66)*CI106), N($AK$62:$AK$66&gt;$AI106)),
SUMPRODUCT(INDEX($AL$47:$AN$56,,$AE106), INDEX($AO$47:$AU$56,,$AD106), 1 / ($AW$47:$AW$56*CM106 + (1-$AW$47:$AW$56)*CI106), N($AK$47:$AK$56&gt;$AI106))
) / 1000</f>
        <v>0</v>
      </c>
      <c r="CO106" s="253" cm="1">
        <f t="array" ref="CO106">$BC106 * IF($AD106&lt;=2,
SUMPRODUCT(INDEX($AL$23:$AN$61,,$AE106), INDEX($AO$23:$AU$61,,$AD106), 1 / ($AV$23:$AV$61*CM106), N($AK$23:$AK$61&gt;$AI106)),
SUMPRODUCT(INDEX($AL$23:$AN$46,,$AE106), INDEX($AO$23:$AU$46,,$AD106), 1 / ($AW$23:$AW$46*CM106), N($AK$23:$AK$46&gt;$AI106))
) / 1000</f>
        <v>0</v>
      </c>
      <c r="CP106" s="237">
        <f t="shared" si="266"/>
        <v>0</v>
      </c>
      <c r="CQ106" s="210"/>
    </row>
    <row r="107" spans="1:95" s="76" customFormat="1" ht="14.25" customHeight="1" x14ac:dyDescent="0.2">
      <c r="A107" s="238" t="b">
        <f t="shared" si="227"/>
        <v>0</v>
      </c>
      <c r="B107" s="239">
        <v>85</v>
      </c>
      <c r="C107" s="258"/>
      <c r="D107" s="258"/>
      <c r="E107" s="240"/>
      <c r="F107" s="241" t="str">
        <f>IF(ISBLANK(E107), "", VLOOKUP(E107, Z!$A$2:$C$4127, 3, FALSE))</f>
        <v/>
      </c>
      <c r="G107" s="242"/>
      <c r="H107" s="242"/>
      <c r="I107" s="243"/>
      <c r="J107" s="244"/>
      <c r="K107" s="259"/>
      <c r="L107" s="260"/>
      <c r="M107" s="247" t="str" cm="1">
        <f t="array" ref="M107">IF($K107&gt;0, INDEX(Clean,1+AG107,$C$1), "")</f>
        <v/>
      </c>
      <c r="N107" s="245"/>
      <c r="O107" s="245"/>
      <c r="P107" s="246"/>
      <c r="Q107" s="248">
        <f t="shared" si="232"/>
        <v>0</v>
      </c>
      <c r="R107" s="247" t="str" cm="1">
        <f t="array" ref="R107">IF($K107&gt;0, INDEX(Clean,1+AH107,$C$1), "")</f>
        <v/>
      </c>
      <c r="S107" s="245"/>
      <c r="T107" s="245"/>
      <c r="U107" s="246"/>
      <c r="V107" s="248">
        <f t="shared" si="233"/>
        <v>0</v>
      </c>
      <c r="W107" s="261"/>
      <c r="X107" s="258"/>
      <c r="Y107" s="240"/>
      <c r="Z107" s="241" t="str">
        <f>IF(ISBLANK(Y107), "", VLOOKUP(Y107, Z!$A$2:$C$4127, 3, FALSE))</f>
        <v/>
      </c>
      <c r="AA107" s="262"/>
      <c r="AB107" s="249">
        <f t="shared" si="234"/>
        <v>0</v>
      </c>
      <c r="AC107" s="210"/>
      <c r="AD107" s="236">
        <f t="shared" ref="AD107" si="321">IF(ISBLANK(H107), 1, IFERROR(MATCH(H107, INDEX(Use,,1), 0), IFERROR(MATCH(H107, INDEX(Use,,2), 0), MATCH(H107, INDEX(Use,,3), 0))))</f>
        <v>1</v>
      </c>
      <c r="AE107" s="236">
        <f t="shared" ref="AE107" si="322">IF(ISBLANK(G107), 1, IFERROR(MATCH(G107, INDEX(Loc,,1), 0), IFERROR(MATCH(G107, INDEX(Loc,,2), 0), MATCH(G107, INDEX(Loc,,3), 0))))</f>
        <v>1</v>
      </c>
      <c r="AF107" s="236">
        <f t="shared" ref="AF107" si="323">_xlfn.IFNA(IF(IFERROR(MATCH(I107, INDEX(Medium,,1), 0), IFERROR(MATCH(I107, INDEX(Medium,,2), 0), MATCH(I107, INDEX(Medium,,3), 0))) = 2, 1, 0), 0)</f>
        <v>0</v>
      </c>
      <c r="AG107" s="236">
        <v>1</v>
      </c>
      <c r="AH107" s="236">
        <v>0</v>
      </c>
      <c r="AI107" s="236">
        <f t="shared" si="231"/>
        <v>-100</v>
      </c>
      <c r="AJ107" s="210"/>
      <c r="AK107" s="254"/>
      <c r="AL107" s="254"/>
      <c r="AM107" s="255"/>
      <c r="AN107" s="255"/>
      <c r="AO107" s="255"/>
      <c r="AP107" s="255"/>
      <c r="AQ107" s="255"/>
      <c r="AR107" s="255"/>
      <c r="AS107" s="255"/>
      <c r="AT107" s="255"/>
      <c r="AU107" s="255"/>
      <c r="AV107" s="255"/>
      <c r="AW107" s="255"/>
      <c r="AX107" s="210"/>
      <c r="AY107" s="236" cm="1">
        <f t="array" ref="AY107">INDEX(Use, $AD107, 4)</f>
        <v>7</v>
      </c>
      <c r="AZ107" s="236">
        <f t="shared" si="238"/>
        <v>32</v>
      </c>
      <c r="BA107" s="236">
        <f t="shared" si="239"/>
        <v>13</v>
      </c>
      <c r="BB107" s="236">
        <f t="shared" si="240"/>
        <v>0</v>
      </c>
      <c r="BC107" s="252" cm="1">
        <f t="array" ref="BC107">K107/IF($L107&gt;0, INDEX($AO$23:$AU$77, $L107+20, $AD107), 1)</f>
        <v>0</v>
      </c>
      <c r="BD107" s="237">
        <f t="shared" si="241"/>
        <v>0</v>
      </c>
      <c r="BE107" s="236">
        <v>35</v>
      </c>
      <c r="BF107" s="237">
        <f t="shared" si="242"/>
        <v>52.55</v>
      </c>
      <c r="BG107" s="253">
        <f t="shared" si="243"/>
        <v>2.7676728869374316</v>
      </c>
      <c r="BH107" s="253" cm="1">
        <f t="array" ref="BH107">$BC107 * SUMPRODUCT(INDEX($AL$77:$AN$82,,$AE107),INDEX($AO$77:$AU$82,,$AD107), N($AK$77:$AK$82&gt;$AI107)) / BG107 / 1000</f>
        <v>0</v>
      </c>
      <c r="BI107" s="250">
        <f t="shared" si="244"/>
        <v>30</v>
      </c>
      <c r="BJ107" s="237">
        <f t="shared" si="245"/>
        <v>46.033333333333331</v>
      </c>
      <c r="BK107" s="253">
        <f t="shared" si="246"/>
        <v>3.2297395388556791</v>
      </c>
      <c r="BL107" s="253" cm="1">
        <f t="array" ref="BL107">$BC107 * IF($AD107&lt;=2,
SUMPRODUCT(INDEX($AL$72:$AN$76,,$AE107), INDEX($AO$72:$AU$76,,$AD107), 1 / ($AV$72:$AV$76*BK107 + (1-$AV$72:$AV$76)*BG107), N($AK$72:$AK$76&gt;$AI107)),
SUMPRODUCT(INDEX($AL$67:$AN$76,,$AE107), INDEX($AO$67:$AU$76,,$AD107), 1 / ($AW$67:$AW$76*BK107 + (1-$AW$67:$AW$76)*BG107), N($AK$67:$AK$76&gt;$AI107))
) / 1000</f>
        <v>0</v>
      </c>
      <c r="BM107" s="250">
        <f t="shared" si="247"/>
        <v>25</v>
      </c>
      <c r="BN107" s="237">
        <f t="shared" si="248"/>
        <v>39.516666666666666</v>
      </c>
      <c r="BO107" s="253">
        <f t="shared" si="249"/>
        <v>3.877011788826243</v>
      </c>
      <c r="BP107" s="253" cm="1">
        <f t="array" ref="BP107">$BC107 * IF($AD107&lt;=2,
SUMPRODUCT(INDEX($AL$67:$AN$71,,$AE107), INDEX($AO$67:$AU$71,,$AD107), 1 / ($AV$67:$AV$71*BO107 + (1-$AV$67:$AV$71)*BK107), N($AK$67:$AK$71&gt;$AI107)),
SUMPRODUCT(INDEX($AL$57:$AN$66,,$AE107), INDEX($AO$57:$AU$66,,$AD107), 1 / ($AW$57:$AW$66*BO107 + (1-$AW$57:$AW$66)*BK107), N($AK$57:$AK$66&gt;$AI107))
) / 1000</f>
        <v>0</v>
      </c>
      <c r="BQ107" s="250">
        <f t="shared" si="250"/>
        <v>20</v>
      </c>
      <c r="BR107" s="237">
        <f t="shared" si="251"/>
        <v>33</v>
      </c>
      <c r="BS107" s="253">
        <f t="shared" si="252"/>
        <v>4.8487499999999999</v>
      </c>
      <c r="BT107" s="253" cm="1">
        <f t="array" ref="BT107">$BC107 * IF($AD107&lt;=2,
SUMPRODUCT(INDEX($AL$62:$AN$66,,$AE107), INDEX($AO$62:$AU$66,,$AD107), 1 / ($AV$62:$AV$66*BS107 + (1-$AV$62:$AV$66)*BO107), N($AK$62:$AK$66&gt;$AI107)),
SUMPRODUCT(INDEX($AL$47:$AN$56,,$AE107), INDEX($AO$47:$AU$56,,$AD107), 1 / ($AW$47:$AW$56*BS107 + (1-$AW$47:$AW$56)*BO107), N($AK$47:$AK$56&gt;$AI107))
) / 1000</f>
        <v>0</v>
      </c>
      <c r="BU107" s="253" cm="1">
        <f t="array" ref="BU107">$BC107 * IF($AD107&lt;=2,
SUMPRODUCT(INDEX($AL$23:$AN$61,,$AE107), INDEX($AO$23:$AU$61,,$AD107), 1 / ($AV$23:$AV$61*BS107), N($AK$23:$AK$61&gt;$AI107)),
SUMPRODUCT(INDEX($AL$23:$AN$46,,$AE107), INDEX($AO$23:$AU$46,,$AD107), 1 / ($AW$23:$AW$46*BS107), N($AK$23:$AK$46&gt;$AI107))
) / 1000</f>
        <v>0</v>
      </c>
      <c r="BV107" s="237">
        <f t="shared" si="253"/>
        <v>0</v>
      </c>
      <c r="BW107" s="210"/>
      <c r="BX107" s="237">
        <f t="shared" si="254"/>
        <v>0</v>
      </c>
      <c r="BY107" s="236">
        <v>35</v>
      </c>
      <c r="BZ107" s="237">
        <f t="shared" si="255"/>
        <v>48</v>
      </c>
      <c r="CA107" s="253">
        <f t="shared" si="256"/>
        <v>3.0748170731707316</v>
      </c>
      <c r="CB107" s="253" cm="1">
        <f t="array" ref="CB107">$BC107 * SUMPRODUCT(INDEX($AL$77:$AN$82,,$AE107),INDEX($AO$77:$AU$82,,$AD107), N($AK$77:$AK$82&gt;$AI107)) / CA107 / 1000</f>
        <v>0</v>
      </c>
      <c r="CC107" s="250">
        <f t="shared" si="257"/>
        <v>30</v>
      </c>
      <c r="CD107" s="237">
        <f t="shared" si="258"/>
        <v>43</v>
      </c>
      <c r="CE107" s="253">
        <f t="shared" si="259"/>
        <v>3.5018750000000001</v>
      </c>
      <c r="CF107" s="253" cm="1">
        <f t="array" ref="CF107">$BC107 * IF($AD107&lt;=2,
SUMPRODUCT(INDEX($AL$72:$AN$76,,$AE107), INDEX($AO$72:$AU$76,,$AD107), 1 / ($AV$72:$AV$76*CE107 + (1-$AV$72:$AV$76)*CA107), N($AK$72:$AK$76&gt;$AI107)),
SUMPRODUCT(INDEX($AL$67:$AN$76,,$AE107), INDEX($AO$67:$AU$76,,$AD107), 1 / ($AW$67:$AW$76*CE107 + (1-$AW$67:$AW$76)*CA107), N($AK$67:$AK$76&gt;$AI107))
) / 1000</f>
        <v>0</v>
      </c>
      <c r="CG107" s="250">
        <f t="shared" si="260"/>
        <v>25</v>
      </c>
      <c r="CH107" s="237">
        <f t="shared" si="261"/>
        <v>38</v>
      </c>
      <c r="CI107" s="253">
        <f t="shared" si="262"/>
        <v>4.0666935483870965</v>
      </c>
      <c r="CJ107" s="253" cm="1">
        <f t="array" ref="CJ107">$BC107 * IF($AD107&lt;=2,
SUMPRODUCT(INDEX($AL$67:$AN$71,,$AE107), INDEX($AO$67:$AU$71,,$AD107), 1 / ($AV$67:$AV$71*CI107 + (1-$AV$67:$AV$71)*CE107), N($AK$67:$AK$71&gt;$AI107)),
SUMPRODUCT(INDEX($AL$57:$AN$66,,$AE107), INDEX($AO$57:$AU$66,,$AD107), 1 / ($AW$57:$AW$66*CI107 + (1-$AW$57:$AW$66)*CE107), N($AK$57:$AK$66&gt;$AI107))
) / 1000</f>
        <v>0</v>
      </c>
      <c r="CK107" s="250">
        <f t="shared" si="263"/>
        <v>20</v>
      </c>
      <c r="CL107" s="237">
        <f t="shared" si="264"/>
        <v>33</v>
      </c>
      <c r="CM107" s="253">
        <f t="shared" si="265"/>
        <v>4.8487499999999999</v>
      </c>
      <c r="CN107" s="253" cm="1">
        <f t="array" ref="CN107">$BC107 * IF($AD107&lt;=2,
SUMPRODUCT(INDEX($AL$62:$AN$66,,$AE107), INDEX($AO$62:$AU$66,,$AD107), 1 / ($AV$62:$AV$66*CM107 + (1-$AV$62:$AV$66)*CI107), N($AK$62:$AK$66&gt;$AI107)),
SUMPRODUCT(INDEX($AL$47:$AN$56,,$AE107), INDEX($AO$47:$AU$56,,$AD107), 1 / ($AW$47:$AW$56*CM107 + (1-$AW$47:$AW$56)*CI107), N($AK$47:$AK$56&gt;$AI107))
) / 1000</f>
        <v>0</v>
      </c>
      <c r="CO107" s="253" cm="1">
        <f t="array" ref="CO107">$BC107 * IF($AD107&lt;=2,
SUMPRODUCT(INDEX($AL$23:$AN$61,,$AE107), INDEX($AO$23:$AU$61,,$AD107), 1 / ($AV$23:$AV$61*CM107), N($AK$23:$AK$61&gt;$AI107)),
SUMPRODUCT(INDEX($AL$23:$AN$46,,$AE107), INDEX($AO$23:$AU$46,,$AD107), 1 / ($AW$23:$AW$46*CM107), N($AK$23:$AK$46&gt;$AI107))
) / 1000</f>
        <v>0</v>
      </c>
      <c r="CP107" s="237">
        <f t="shared" si="266"/>
        <v>0</v>
      </c>
      <c r="CQ107" s="210"/>
    </row>
    <row r="108" spans="1:95" s="76" customFormat="1" ht="14.25" customHeight="1" x14ac:dyDescent="0.2">
      <c r="A108" s="238" t="b">
        <f t="shared" si="227"/>
        <v>0</v>
      </c>
      <c r="B108" s="239">
        <v>86</v>
      </c>
      <c r="C108" s="258"/>
      <c r="D108" s="258"/>
      <c r="E108" s="240"/>
      <c r="F108" s="241" t="str">
        <f>IF(ISBLANK(E108), "", VLOOKUP(E108, Z!$A$2:$C$4127, 3, FALSE))</f>
        <v/>
      </c>
      <c r="G108" s="242"/>
      <c r="H108" s="242"/>
      <c r="I108" s="243"/>
      <c r="J108" s="244"/>
      <c r="K108" s="259"/>
      <c r="L108" s="260"/>
      <c r="M108" s="247" t="str" cm="1">
        <f t="array" ref="M108">IF($K108&gt;0, INDEX(Clean,1+AG108,$C$1), "")</f>
        <v/>
      </c>
      <c r="N108" s="245"/>
      <c r="O108" s="245"/>
      <c r="P108" s="246"/>
      <c r="Q108" s="248">
        <f t="shared" si="232"/>
        <v>0</v>
      </c>
      <c r="R108" s="247" t="str" cm="1">
        <f t="array" ref="R108">IF($K108&gt;0, INDEX(Clean,1+AH108,$C$1), "")</f>
        <v/>
      </c>
      <c r="S108" s="245"/>
      <c r="T108" s="245"/>
      <c r="U108" s="246"/>
      <c r="V108" s="248">
        <f t="shared" si="233"/>
        <v>0</v>
      </c>
      <c r="W108" s="261"/>
      <c r="X108" s="258"/>
      <c r="Y108" s="240"/>
      <c r="Z108" s="241" t="str">
        <f>IF(ISBLANK(Y108), "", VLOOKUP(Y108, Z!$A$2:$C$4127, 3, FALSE))</f>
        <v/>
      </c>
      <c r="AA108" s="262"/>
      <c r="AB108" s="249">
        <f t="shared" si="234"/>
        <v>0</v>
      </c>
      <c r="AC108" s="210"/>
      <c r="AD108" s="236">
        <f t="shared" ref="AD108" si="324">IF(ISBLANK(H108), 1, IFERROR(MATCH(H108, INDEX(Use,,1), 0), IFERROR(MATCH(H108, INDEX(Use,,2), 0), MATCH(H108, INDEX(Use,,3), 0))))</f>
        <v>1</v>
      </c>
      <c r="AE108" s="236">
        <f t="shared" ref="AE108" si="325">IF(ISBLANK(G108), 1, IFERROR(MATCH(G108, INDEX(Loc,,1), 0), IFERROR(MATCH(G108, INDEX(Loc,,2), 0), MATCH(G108, INDEX(Loc,,3), 0))))</f>
        <v>1</v>
      </c>
      <c r="AF108" s="236">
        <f t="shared" ref="AF108" si="326">_xlfn.IFNA(IF(IFERROR(MATCH(I108, INDEX(Medium,,1), 0), IFERROR(MATCH(I108, INDEX(Medium,,2), 0), MATCH(I108, INDEX(Medium,,3), 0))) = 2, 1, 0), 0)</f>
        <v>0</v>
      </c>
      <c r="AG108" s="236">
        <v>1</v>
      </c>
      <c r="AH108" s="236">
        <v>0</v>
      </c>
      <c r="AI108" s="236">
        <f t="shared" si="231"/>
        <v>-100</v>
      </c>
      <c r="AJ108" s="210"/>
      <c r="AK108" s="254"/>
      <c r="AL108" s="254"/>
      <c r="AM108" s="255"/>
      <c r="AN108" s="255"/>
      <c r="AO108" s="255"/>
      <c r="AP108" s="255"/>
      <c r="AQ108" s="255"/>
      <c r="AR108" s="255"/>
      <c r="AS108" s="255"/>
      <c r="AT108" s="255"/>
      <c r="AU108" s="255"/>
      <c r="AV108" s="255"/>
      <c r="AW108" s="255"/>
      <c r="AX108" s="210"/>
      <c r="AY108" s="236" cm="1">
        <f t="array" ref="AY108">INDEX(Use, $AD108, 4)</f>
        <v>7</v>
      </c>
      <c r="AZ108" s="236">
        <f t="shared" si="238"/>
        <v>32</v>
      </c>
      <c r="BA108" s="236">
        <f t="shared" si="239"/>
        <v>13</v>
      </c>
      <c r="BB108" s="236">
        <f t="shared" si="240"/>
        <v>0</v>
      </c>
      <c r="BC108" s="252" cm="1">
        <f t="array" ref="BC108">K108/IF($L108&gt;0, INDEX($AO$23:$AU$77, $L108+20, $AD108), 1)</f>
        <v>0</v>
      </c>
      <c r="BD108" s="237">
        <f t="shared" si="241"/>
        <v>0</v>
      </c>
      <c r="BE108" s="236">
        <v>35</v>
      </c>
      <c r="BF108" s="237">
        <f t="shared" si="242"/>
        <v>52.55</v>
      </c>
      <c r="BG108" s="253">
        <f t="shared" si="243"/>
        <v>2.7676728869374316</v>
      </c>
      <c r="BH108" s="253" cm="1">
        <f t="array" ref="BH108">$BC108 * SUMPRODUCT(INDEX($AL$77:$AN$82,,$AE108),INDEX($AO$77:$AU$82,,$AD108), N($AK$77:$AK$82&gt;$AI108)) / BG108 / 1000</f>
        <v>0</v>
      </c>
      <c r="BI108" s="250">
        <f t="shared" si="244"/>
        <v>30</v>
      </c>
      <c r="BJ108" s="237">
        <f t="shared" si="245"/>
        <v>46.033333333333331</v>
      </c>
      <c r="BK108" s="253">
        <f t="shared" si="246"/>
        <v>3.2297395388556791</v>
      </c>
      <c r="BL108" s="253" cm="1">
        <f t="array" ref="BL108">$BC108 * IF($AD108&lt;=2,
SUMPRODUCT(INDEX($AL$72:$AN$76,,$AE108), INDEX($AO$72:$AU$76,,$AD108), 1 / ($AV$72:$AV$76*BK108 + (1-$AV$72:$AV$76)*BG108), N($AK$72:$AK$76&gt;$AI108)),
SUMPRODUCT(INDEX($AL$67:$AN$76,,$AE108), INDEX($AO$67:$AU$76,,$AD108), 1 / ($AW$67:$AW$76*BK108 + (1-$AW$67:$AW$76)*BG108), N($AK$67:$AK$76&gt;$AI108))
) / 1000</f>
        <v>0</v>
      </c>
      <c r="BM108" s="250">
        <f t="shared" si="247"/>
        <v>25</v>
      </c>
      <c r="BN108" s="237">
        <f t="shared" si="248"/>
        <v>39.516666666666666</v>
      </c>
      <c r="BO108" s="253">
        <f t="shared" si="249"/>
        <v>3.877011788826243</v>
      </c>
      <c r="BP108" s="253" cm="1">
        <f t="array" ref="BP108">$BC108 * IF($AD108&lt;=2,
SUMPRODUCT(INDEX($AL$67:$AN$71,,$AE108), INDEX($AO$67:$AU$71,,$AD108), 1 / ($AV$67:$AV$71*BO108 + (1-$AV$67:$AV$71)*BK108), N($AK$67:$AK$71&gt;$AI108)),
SUMPRODUCT(INDEX($AL$57:$AN$66,,$AE108), INDEX($AO$57:$AU$66,,$AD108), 1 / ($AW$57:$AW$66*BO108 + (1-$AW$57:$AW$66)*BK108), N($AK$57:$AK$66&gt;$AI108))
) / 1000</f>
        <v>0</v>
      </c>
      <c r="BQ108" s="250">
        <f t="shared" si="250"/>
        <v>20</v>
      </c>
      <c r="BR108" s="237">
        <f t="shared" si="251"/>
        <v>33</v>
      </c>
      <c r="BS108" s="253">
        <f t="shared" si="252"/>
        <v>4.8487499999999999</v>
      </c>
      <c r="BT108" s="253" cm="1">
        <f t="array" ref="BT108">$BC108 * IF($AD108&lt;=2,
SUMPRODUCT(INDEX($AL$62:$AN$66,,$AE108), INDEX($AO$62:$AU$66,,$AD108), 1 / ($AV$62:$AV$66*BS108 + (1-$AV$62:$AV$66)*BO108), N($AK$62:$AK$66&gt;$AI108)),
SUMPRODUCT(INDEX($AL$47:$AN$56,,$AE108), INDEX($AO$47:$AU$56,,$AD108), 1 / ($AW$47:$AW$56*BS108 + (1-$AW$47:$AW$56)*BO108), N($AK$47:$AK$56&gt;$AI108))
) / 1000</f>
        <v>0</v>
      </c>
      <c r="BU108" s="253" cm="1">
        <f t="array" ref="BU108">$BC108 * IF($AD108&lt;=2,
SUMPRODUCT(INDEX($AL$23:$AN$61,,$AE108), INDEX($AO$23:$AU$61,,$AD108), 1 / ($AV$23:$AV$61*BS108), N($AK$23:$AK$61&gt;$AI108)),
SUMPRODUCT(INDEX($AL$23:$AN$46,,$AE108), INDEX($AO$23:$AU$46,,$AD108), 1 / ($AW$23:$AW$46*BS108), N($AK$23:$AK$46&gt;$AI108))
) / 1000</f>
        <v>0</v>
      </c>
      <c r="BV108" s="237">
        <f t="shared" si="253"/>
        <v>0</v>
      </c>
      <c r="BW108" s="210"/>
      <c r="BX108" s="237">
        <f t="shared" si="254"/>
        <v>0</v>
      </c>
      <c r="BY108" s="236">
        <v>35</v>
      </c>
      <c r="BZ108" s="237">
        <f t="shared" si="255"/>
        <v>48</v>
      </c>
      <c r="CA108" s="253">
        <f t="shared" si="256"/>
        <v>3.0748170731707316</v>
      </c>
      <c r="CB108" s="253" cm="1">
        <f t="array" ref="CB108">$BC108 * SUMPRODUCT(INDEX($AL$77:$AN$82,,$AE108),INDEX($AO$77:$AU$82,,$AD108), N($AK$77:$AK$82&gt;$AI108)) / CA108 / 1000</f>
        <v>0</v>
      </c>
      <c r="CC108" s="250">
        <f t="shared" si="257"/>
        <v>30</v>
      </c>
      <c r="CD108" s="237">
        <f t="shared" si="258"/>
        <v>43</v>
      </c>
      <c r="CE108" s="253">
        <f t="shared" si="259"/>
        <v>3.5018750000000001</v>
      </c>
      <c r="CF108" s="253" cm="1">
        <f t="array" ref="CF108">$BC108 * IF($AD108&lt;=2,
SUMPRODUCT(INDEX($AL$72:$AN$76,,$AE108), INDEX($AO$72:$AU$76,,$AD108), 1 / ($AV$72:$AV$76*CE108 + (1-$AV$72:$AV$76)*CA108), N($AK$72:$AK$76&gt;$AI108)),
SUMPRODUCT(INDEX($AL$67:$AN$76,,$AE108), INDEX($AO$67:$AU$76,,$AD108), 1 / ($AW$67:$AW$76*CE108 + (1-$AW$67:$AW$76)*CA108), N($AK$67:$AK$76&gt;$AI108))
) / 1000</f>
        <v>0</v>
      </c>
      <c r="CG108" s="250">
        <f t="shared" si="260"/>
        <v>25</v>
      </c>
      <c r="CH108" s="237">
        <f t="shared" si="261"/>
        <v>38</v>
      </c>
      <c r="CI108" s="253">
        <f t="shared" si="262"/>
        <v>4.0666935483870965</v>
      </c>
      <c r="CJ108" s="253" cm="1">
        <f t="array" ref="CJ108">$BC108 * IF($AD108&lt;=2,
SUMPRODUCT(INDEX($AL$67:$AN$71,,$AE108), INDEX($AO$67:$AU$71,,$AD108), 1 / ($AV$67:$AV$71*CI108 + (1-$AV$67:$AV$71)*CE108), N($AK$67:$AK$71&gt;$AI108)),
SUMPRODUCT(INDEX($AL$57:$AN$66,,$AE108), INDEX($AO$57:$AU$66,,$AD108), 1 / ($AW$57:$AW$66*CI108 + (1-$AW$57:$AW$66)*CE108), N($AK$57:$AK$66&gt;$AI108))
) / 1000</f>
        <v>0</v>
      </c>
      <c r="CK108" s="250">
        <f t="shared" si="263"/>
        <v>20</v>
      </c>
      <c r="CL108" s="237">
        <f t="shared" si="264"/>
        <v>33</v>
      </c>
      <c r="CM108" s="253">
        <f t="shared" si="265"/>
        <v>4.8487499999999999</v>
      </c>
      <c r="CN108" s="253" cm="1">
        <f t="array" ref="CN108">$BC108 * IF($AD108&lt;=2,
SUMPRODUCT(INDEX($AL$62:$AN$66,,$AE108), INDEX($AO$62:$AU$66,,$AD108), 1 / ($AV$62:$AV$66*CM108 + (1-$AV$62:$AV$66)*CI108), N($AK$62:$AK$66&gt;$AI108)),
SUMPRODUCT(INDEX($AL$47:$AN$56,,$AE108), INDEX($AO$47:$AU$56,,$AD108), 1 / ($AW$47:$AW$56*CM108 + (1-$AW$47:$AW$56)*CI108), N($AK$47:$AK$56&gt;$AI108))
) / 1000</f>
        <v>0</v>
      </c>
      <c r="CO108" s="253" cm="1">
        <f t="array" ref="CO108">$BC108 * IF($AD108&lt;=2,
SUMPRODUCT(INDEX($AL$23:$AN$61,,$AE108), INDEX($AO$23:$AU$61,,$AD108), 1 / ($AV$23:$AV$61*CM108), N($AK$23:$AK$61&gt;$AI108)),
SUMPRODUCT(INDEX($AL$23:$AN$46,,$AE108), INDEX($AO$23:$AU$46,,$AD108), 1 / ($AW$23:$AW$46*CM108), N($AK$23:$AK$46&gt;$AI108))
) / 1000</f>
        <v>0</v>
      </c>
      <c r="CP108" s="237">
        <f t="shared" si="266"/>
        <v>0</v>
      </c>
      <c r="CQ108" s="210"/>
    </row>
    <row r="109" spans="1:95" s="76" customFormat="1" ht="14.25" customHeight="1" x14ac:dyDescent="0.2">
      <c r="A109" s="238" t="b">
        <f t="shared" si="227"/>
        <v>0</v>
      </c>
      <c r="B109" s="239">
        <v>87</v>
      </c>
      <c r="C109" s="258"/>
      <c r="D109" s="258"/>
      <c r="E109" s="240"/>
      <c r="F109" s="241" t="str">
        <f>IF(ISBLANK(E109), "", VLOOKUP(E109, Z!$A$2:$C$4127, 3, FALSE))</f>
        <v/>
      </c>
      <c r="G109" s="242"/>
      <c r="H109" s="242"/>
      <c r="I109" s="243"/>
      <c r="J109" s="244"/>
      <c r="K109" s="259"/>
      <c r="L109" s="260"/>
      <c r="M109" s="247" t="str" cm="1">
        <f t="array" ref="M109">IF($K109&gt;0, INDEX(Clean,1+AG109,$C$1), "")</f>
        <v/>
      </c>
      <c r="N109" s="245"/>
      <c r="O109" s="245"/>
      <c r="P109" s="246"/>
      <c r="Q109" s="248">
        <f t="shared" si="232"/>
        <v>0</v>
      </c>
      <c r="R109" s="247" t="str" cm="1">
        <f t="array" ref="R109">IF($K109&gt;0, INDEX(Clean,1+AH109,$C$1), "")</f>
        <v/>
      </c>
      <c r="S109" s="245"/>
      <c r="T109" s="245"/>
      <c r="U109" s="246"/>
      <c r="V109" s="248">
        <f t="shared" si="233"/>
        <v>0</v>
      </c>
      <c r="W109" s="261"/>
      <c r="X109" s="258"/>
      <c r="Y109" s="240"/>
      <c r="Z109" s="241" t="str">
        <f>IF(ISBLANK(Y109), "", VLOOKUP(Y109, Z!$A$2:$C$4127, 3, FALSE))</f>
        <v/>
      </c>
      <c r="AA109" s="262"/>
      <c r="AB109" s="249">
        <f t="shared" si="234"/>
        <v>0</v>
      </c>
      <c r="AC109" s="210"/>
      <c r="AD109" s="236">
        <f t="shared" ref="AD109" si="327">IF(ISBLANK(H109), 1, IFERROR(MATCH(H109, INDEX(Use,,1), 0), IFERROR(MATCH(H109, INDEX(Use,,2), 0), MATCH(H109, INDEX(Use,,3), 0))))</f>
        <v>1</v>
      </c>
      <c r="AE109" s="236">
        <f t="shared" ref="AE109" si="328">IF(ISBLANK(G109), 1, IFERROR(MATCH(G109, INDEX(Loc,,1), 0), IFERROR(MATCH(G109, INDEX(Loc,,2), 0), MATCH(G109, INDEX(Loc,,3), 0))))</f>
        <v>1</v>
      </c>
      <c r="AF109" s="236">
        <f t="shared" ref="AF109" si="329">_xlfn.IFNA(IF(IFERROR(MATCH(I109, INDEX(Medium,,1), 0), IFERROR(MATCH(I109, INDEX(Medium,,2), 0), MATCH(I109, INDEX(Medium,,3), 0))) = 2, 1, 0), 0)</f>
        <v>0</v>
      </c>
      <c r="AG109" s="236">
        <v>1</v>
      </c>
      <c r="AH109" s="236">
        <v>0</v>
      </c>
      <c r="AI109" s="236">
        <f t="shared" si="231"/>
        <v>-100</v>
      </c>
      <c r="AJ109" s="210"/>
      <c r="AK109" s="254"/>
      <c r="AL109" s="254"/>
      <c r="AM109" s="255"/>
      <c r="AN109" s="255"/>
      <c r="AO109" s="255"/>
      <c r="AP109" s="255"/>
      <c r="AQ109" s="255"/>
      <c r="AR109" s="255"/>
      <c r="AS109" s="255"/>
      <c r="AT109" s="255"/>
      <c r="AU109" s="255"/>
      <c r="AV109" s="255"/>
      <c r="AW109" s="255"/>
      <c r="AX109" s="210"/>
      <c r="AY109" s="236" cm="1">
        <f t="array" ref="AY109">INDEX(Use, $AD109, 4)</f>
        <v>7</v>
      </c>
      <c r="AZ109" s="236">
        <f t="shared" si="238"/>
        <v>32</v>
      </c>
      <c r="BA109" s="236">
        <f t="shared" si="239"/>
        <v>13</v>
      </c>
      <c r="BB109" s="236">
        <f t="shared" si="240"/>
        <v>0</v>
      </c>
      <c r="BC109" s="252" cm="1">
        <f t="array" ref="BC109">K109/IF($L109&gt;0, INDEX($AO$23:$AU$77, $L109+20, $AD109), 1)</f>
        <v>0</v>
      </c>
      <c r="BD109" s="237">
        <f t="shared" si="241"/>
        <v>0</v>
      </c>
      <c r="BE109" s="236">
        <v>35</v>
      </c>
      <c r="BF109" s="237">
        <f t="shared" si="242"/>
        <v>52.55</v>
      </c>
      <c r="BG109" s="253">
        <f t="shared" si="243"/>
        <v>2.7676728869374316</v>
      </c>
      <c r="BH109" s="253" cm="1">
        <f t="array" ref="BH109">$BC109 * SUMPRODUCT(INDEX($AL$77:$AN$82,,$AE109),INDEX($AO$77:$AU$82,,$AD109), N($AK$77:$AK$82&gt;$AI109)) / BG109 / 1000</f>
        <v>0</v>
      </c>
      <c r="BI109" s="250">
        <f t="shared" si="244"/>
        <v>30</v>
      </c>
      <c r="BJ109" s="237">
        <f t="shared" si="245"/>
        <v>46.033333333333331</v>
      </c>
      <c r="BK109" s="253">
        <f t="shared" si="246"/>
        <v>3.2297395388556791</v>
      </c>
      <c r="BL109" s="253" cm="1">
        <f t="array" ref="BL109">$BC109 * IF($AD109&lt;=2,
SUMPRODUCT(INDEX($AL$72:$AN$76,,$AE109), INDEX($AO$72:$AU$76,,$AD109), 1 / ($AV$72:$AV$76*BK109 + (1-$AV$72:$AV$76)*BG109), N($AK$72:$AK$76&gt;$AI109)),
SUMPRODUCT(INDEX($AL$67:$AN$76,,$AE109), INDEX($AO$67:$AU$76,,$AD109), 1 / ($AW$67:$AW$76*BK109 + (1-$AW$67:$AW$76)*BG109), N($AK$67:$AK$76&gt;$AI109))
) / 1000</f>
        <v>0</v>
      </c>
      <c r="BM109" s="250">
        <f t="shared" si="247"/>
        <v>25</v>
      </c>
      <c r="BN109" s="237">
        <f t="shared" si="248"/>
        <v>39.516666666666666</v>
      </c>
      <c r="BO109" s="253">
        <f t="shared" si="249"/>
        <v>3.877011788826243</v>
      </c>
      <c r="BP109" s="253" cm="1">
        <f t="array" ref="BP109">$BC109 * IF($AD109&lt;=2,
SUMPRODUCT(INDEX($AL$67:$AN$71,,$AE109), INDEX($AO$67:$AU$71,,$AD109), 1 / ($AV$67:$AV$71*BO109 + (1-$AV$67:$AV$71)*BK109), N($AK$67:$AK$71&gt;$AI109)),
SUMPRODUCT(INDEX($AL$57:$AN$66,,$AE109), INDEX($AO$57:$AU$66,,$AD109), 1 / ($AW$57:$AW$66*BO109 + (1-$AW$57:$AW$66)*BK109), N($AK$57:$AK$66&gt;$AI109))
) / 1000</f>
        <v>0</v>
      </c>
      <c r="BQ109" s="250">
        <f t="shared" si="250"/>
        <v>20</v>
      </c>
      <c r="BR109" s="237">
        <f t="shared" si="251"/>
        <v>33</v>
      </c>
      <c r="BS109" s="253">
        <f t="shared" si="252"/>
        <v>4.8487499999999999</v>
      </c>
      <c r="BT109" s="253" cm="1">
        <f t="array" ref="BT109">$BC109 * IF($AD109&lt;=2,
SUMPRODUCT(INDEX($AL$62:$AN$66,,$AE109), INDEX($AO$62:$AU$66,,$AD109), 1 / ($AV$62:$AV$66*BS109 + (1-$AV$62:$AV$66)*BO109), N($AK$62:$AK$66&gt;$AI109)),
SUMPRODUCT(INDEX($AL$47:$AN$56,,$AE109), INDEX($AO$47:$AU$56,,$AD109), 1 / ($AW$47:$AW$56*BS109 + (1-$AW$47:$AW$56)*BO109), N($AK$47:$AK$56&gt;$AI109))
) / 1000</f>
        <v>0</v>
      </c>
      <c r="BU109" s="253" cm="1">
        <f t="array" ref="BU109">$BC109 * IF($AD109&lt;=2,
SUMPRODUCT(INDEX($AL$23:$AN$61,,$AE109), INDEX($AO$23:$AU$61,,$AD109), 1 / ($AV$23:$AV$61*BS109), N($AK$23:$AK$61&gt;$AI109)),
SUMPRODUCT(INDEX($AL$23:$AN$46,,$AE109), INDEX($AO$23:$AU$46,,$AD109), 1 / ($AW$23:$AW$46*BS109), N($AK$23:$AK$46&gt;$AI109))
) / 1000</f>
        <v>0</v>
      </c>
      <c r="BV109" s="237">
        <f t="shared" si="253"/>
        <v>0</v>
      </c>
      <c r="BW109" s="210"/>
      <c r="BX109" s="237">
        <f t="shared" si="254"/>
        <v>0</v>
      </c>
      <c r="BY109" s="236">
        <v>35</v>
      </c>
      <c r="BZ109" s="237">
        <f t="shared" si="255"/>
        <v>48</v>
      </c>
      <c r="CA109" s="253">
        <f t="shared" si="256"/>
        <v>3.0748170731707316</v>
      </c>
      <c r="CB109" s="253" cm="1">
        <f t="array" ref="CB109">$BC109 * SUMPRODUCT(INDEX($AL$77:$AN$82,,$AE109),INDEX($AO$77:$AU$82,,$AD109), N($AK$77:$AK$82&gt;$AI109)) / CA109 / 1000</f>
        <v>0</v>
      </c>
      <c r="CC109" s="250">
        <f t="shared" si="257"/>
        <v>30</v>
      </c>
      <c r="CD109" s="237">
        <f t="shared" si="258"/>
        <v>43</v>
      </c>
      <c r="CE109" s="253">
        <f t="shared" si="259"/>
        <v>3.5018750000000001</v>
      </c>
      <c r="CF109" s="253" cm="1">
        <f t="array" ref="CF109">$BC109 * IF($AD109&lt;=2,
SUMPRODUCT(INDEX($AL$72:$AN$76,,$AE109), INDEX($AO$72:$AU$76,,$AD109), 1 / ($AV$72:$AV$76*CE109 + (1-$AV$72:$AV$76)*CA109), N($AK$72:$AK$76&gt;$AI109)),
SUMPRODUCT(INDEX($AL$67:$AN$76,,$AE109), INDEX($AO$67:$AU$76,,$AD109), 1 / ($AW$67:$AW$76*CE109 + (1-$AW$67:$AW$76)*CA109), N($AK$67:$AK$76&gt;$AI109))
) / 1000</f>
        <v>0</v>
      </c>
      <c r="CG109" s="250">
        <f t="shared" si="260"/>
        <v>25</v>
      </c>
      <c r="CH109" s="237">
        <f t="shared" si="261"/>
        <v>38</v>
      </c>
      <c r="CI109" s="253">
        <f t="shared" si="262"/>
        <v>4.0666935483870965</v>
      </c>
      <c r="CJ109" s="253" cm="1">
        <f t="array" ref="CJ109">$BC109 * IF($AD109&lt;=2,
SUMPRODUCT(INDEX($AL$67:$AN$71,,$AE109), INDEX($AO$67:$AU$71,,$AD109), 1 / ($AV$67:$AV$71*CI109 + (1-$AV$67:$AV$71)*CE109), N($AK$67:$AK$71&gt;$AI109)),
SUMPRODUCT(INDEX($AL$57:$AN$66,,$AE109), INDEX($AO$57:$AU$66,,$AD109), 1 / ($AW$57:$AW$66*CI109 + (1-$AW$57:$AW$66)*CE109), N($AK$57:$AK$66&gt;$AI109))
) / 1000</f>
        <v>0</v>
      </c>
      <c r="CK109" s="250">
        <f t="shared" si="263"/>
        <v>20</v>
      </c>
      <c r="CL109" s="237">
        <f t="shared" si="264"/>
        <v>33</v>
      </c>
      <c r="CM109" s="253">
        <f t="shared" si="265"/>
        <v>4.8487499999999999</v>
      </c>
      <c r="CN109" s="253" cm="1">
        <f t="array" ref="CN109">$BC109 * IF($AD109&lt;=2,
SUMPRODUCT(INDEX($AL$62:$AN$66,,$AE109), INDEX($AO$62:$AU$66,,$AD109), 1 / ($AV$62:$AV$66*CM109 + (1-$AV$62:$AV$66)*CI109), N($AK$62:$AK$66&gt;$AI109)),
SUMPRODUCT(INDEX($AL$47:$AN$56,,$AE109), INDEX($AO$47:$AU$56,,$AD109), 1 / ($AW$47:$AW$56*CM109 + (1-$AW$47:$AW$56)*CI109), N($AK$47:$AK$56&gt;$AI109))
) / 1000</f>
        <v>0</v>
      </c>
      <c r="CO109" s="253" cm="1">
        <f t="array" ref="CO109">$BC109 * IF($AD109&lt;=2,
SUMPRODUCT(INDEX($AL$23:$AN$61,,$AE109), INDEX($AO$23:$AU$61,,$AD109), 1 / ($AV$23:$AV$61*CM109), N($AK$23:$AK$61&gt;$AI109)),
SUMPRODUCT(INDEX($AL$23:$AN$46,,$AE109), INDEX($AO$23:$AU$46,,$AD109), 1 / ($AW$23:$AW$46*CM109), N($AK$23:$AK$46&gt;$AI109))
) / 1000</f>
        <v>0</v>
      </c>
      <c r="CP109" s="237">
        <f t="shared" si="266"/>
        <v>0</v>
      </c>
      <c r="CQ109" s="210"/>
    </row>
    <row r="110" spans="1:95" s="76" customFormat="1" ht="14.25" customHeight="1" x14ac:dyDescent="0.2">
      <c r="A110" s="238" t="b">
        <f t="shared" si="227"/>
        <v>0</v>
      </c>
      <c r="B110" s="239">
        <v>88</v>
      </c>
      <c r="C110" s="258"/>
      <c r="D110" s="258"/>
      <c r="E110" s="240"/>
      <c r="F110" s="241" t="str">
        <f>IF(ISBLANK(E110), "", VLOOKUP(E110, Z!$A$2:$C$4127, 3, FALSE))</f>
        <v/>
      </c>
      <c r="G110" s="242"/>
      <c r="H110" s="242"/>
      <c r="I110" s="243"/>
      <c r="J110" s="244"/>
      <c r="K110" s="259"/>
      <c r="L110" s="260"/>
      <c r="M110" s="247" t="str" cm="1">
        <f t="array" ref="M110">IF($K110&gt;0, INDEX(Clean,1+AG110,$C$1), "")</f>
        <v/>
      </c>
      <c r="N110" s="245"/>
      <c r="O110" s="245"/>
      <c r="P110" s="246"/>
      <c r="Q110" s="248">
        <f t="shared" si="232"/>
        <v>0</v>
      </c>
      <c r="R110" s="247" t="str" cm="1">
        <f t="array" ref="R110">IF($K110&gt;0, INDEX(Clean,1+AH110,$C$1), "")</f>
        <v/>
      </c>
      <c r="S110" s="245"/>
      <c r="T110" s="245"/>
      <c r="U110" s="246"/>
      <c r="V110" s="248">
        <f t="shared" si="233"/>
        <v>0</v>
      </c>
      <c r="W110" s="261"/>
      <c r="X110" s="258"/>
      <c r="Y110" s="240"/>
      <c r="Z110" s="241" t="str">
        <f>IF(ISBLANK(Y110), "", VLOOKUP(Y110, Z!$A$2:$C$4127, 3, FALSE))</f>
        <v/>
      </c>
      <c r="AA110" s="262"/>
      <c r="AB110" s="249">
        <f t="shared" si="234"/>
        <v>0</v>
      </c>
      <c r="AC110" s="210"/>
      <c r="AD110" s="236">
        <f t="shared" ref="AD110" si="330">IF(ISBLANK(H110), 1, IFERROR(MATCH(H110, INDEX(Use,,1), 0), IFERROR(MATCH(H110, INDEX(Use,,2), 0), MATCH(H110, INDEX(Use,,3), 0))))</f>
        <v>1</v>
      </c>
      <c r="AE110" s="236">
        <f t="shared" ref="AE110" si="331">IF(ISBLANK(G110), 1, IFERROR(MATCH(G110, INDEX(Loc,,1), 0), IFERROR(MATCH(G110, INDEX(Loc,,2), 0), MATCH(G110, INDEX(Loc,,3), 0))))</f>
        <v>1</v>
      </c>
      <c r="AF110" s="236">
        <f t="shared" ref="AF110" si="332">_xlfn.IFNA(IF(IFERROR(MATCH(I110, INDEX(Medium,,1), 0), IFERROR(MATCH(I110, INDEX(Medium,,2), 0), MATCH(I110, INDEX(Medium,,3), 0))) = 2, 1, 0), 0)</f>
        <v>0</v>
      </c>
      <c r="AG110" s="236">
        <v>1</v>
      </c>
      <c r="AH110" s="236">
        <v>0</v>
      </c>
      <c r="AI110" s="236">
        <f t="shared" si="231"/>
        <v>-100</v>
      </c>
      <c r="AJ110" s="210"/>
      <c r="AK110" s="254"/>
      <c r="AL110" s="254"/>
      <c r="AM110" s="255"/>
      <c r="AN110" s="255"/>
      <c r="AO110" s="255"/>
      <c r="AP110" s="255"/>
      <c r="AQ110" s="255"/>
      <c r="AR110" s="255"/>
      <c r="AS110" s="255"/>
      <c r="AT110" s="255"/>
      <c r="AU110" s="255"/>
      <c r="AV110" s="255"/>
      <c r="AW110" s="255"/>
      <c r="AX110" s="210"/>
      <c r="AY110" s="236" cm="1">
        <f t="array" ref="AY110">INDEX(Use, $AD110, 4)</f>
        <v>7</v>
      </c>
      <c r="AZ110" s="236">
        <f t="shared" si="238"/>
        <v>32</v>
      </c>
      <c r="BA110" s="236">
        <f t="shared" si="239"/>
        <v>13</v>
      </c>
      <c r="BB110" s="236">
        <f t="shared" si="240"/>
        <v>0</v>
      </c>
      <c r="BC110" s="252" cm="1">
        <f t="array" ref="BC110">K110/IF($L110&gt;0, INDEX($AO$23:$AU$77, $L110+20, $AD110), 1)</f>
        <v>0</v>
      </c>
      <c r="BD110" s="237">
        <f t="shared" si="241"/>
        <v>0</v>
      </c>
      <c r="BE110" s="236">
        <v>35</v>
      </c>
      <c r="BF110" s="237">
        <f t="shared" si="242"/>
        <v>52.55</v>
      </c>
      <c r="BG110" s="253">
        <f t="shared" si="243"/>
        <v>2.7676728869374316</v>
      </c>
      <c r="BH110" s="253" cm="1">
        <f t="array" ref="BH110">$BC110 * SUMPRODUCT(INDEX($AL$77:$AN$82,,$AE110),INDEX($AO$77:$AU$82,,$AD110), N($AK$77:$AK$82&gt;$AI110)) / BG110 / 1000</f>
        <v>0</v>
      </c>
      <c r="BI110" s="250">
        <f t="shared" si="244"/>
        <v>30</v>
      </c>
      <c r="BJ110" s="237">
        <f t="shared" si="245"/>
        <v>46.033333333333331</v>
      </c>
      <c r="BK110" s="253">
        <f t="shared" si="246"/>
        <v>3.2297395388556791</v>
      </c>
      <c r="BL110" s="253" cm="1">
        <f t="array" ref="BL110">$BC110 * IF($AD110&lt;=2,
SUMPRODUCT(INDEX($AL$72:$AN$76,,$AE110), INDEX($AO$72:$AU$76,,$AD110), 1 / ($AV$72:$AV$76*BK110 + (1-$AV$72:$AV$76)*BG110), N($AK$72:$AK$76&gt;$AI110)),
SUMPRODUCT(INDEX($AL$67:$AN$76,,$AE110), INDEX($AO$67:$AU$76,,$AD110), 1 / ($AW$67:$AW$76*BK110 + (1-$AW$67:$AW$76)*BG110), N($AK$67:$AK$76&gt;$AI110))
) / 1000</f>
        <v>0</v>
      </c>
      <c r="BM110" s="250">
        <f t="shared" si="247"/>
        <v>25</v>
      </c>
      <c r="BN110" s="237">
        <f t="shared" si="248"/>
        <v>39.516666666666666</v>
      </c>
      <c r="BO110" s="253">
        <f t="shared" si="249"/>
        <v>3.877011788826243</v>
      </c>
      <c r="BP110" s="253" cm="1">
        <f t="array" ref="BP110">$BC110 * IF($AD110&lt;=2,
SUMPRODUCT(INDEX($AL$67:$AN$71,,$AE110), INDEX($AO$67:$AU$71,,$AD110), 1 / ($AV$67:$AV$71*BO110 + (1-$AV$67:$AV$71)*BK110), N($AK$67:$AK$71&gt;$AI110)),
SUMPRODUCT(INDEX($AL$57:$AN$66,,$AE110), INDEX($AO$57:$AU$66,,$AD110), 1 / ($AW$57:$AW$66*BO110 + (1-$AW$57:$AW$66)*BK110), N($AK$57:$AK$66&gt;$AI110))
) / 1000</f>
        <v>0</v>
      </c>
      <c r="BQ110" s="250">
        <f t="shared" si="250"/>
        <v>20</v>
      </c>
      <c r="BR110" s="237">
        <f t="shared" si="251"/>
        <v>33</v>
      </c>
      <c r="BS110" s="253">
        <f t="shared" si="252"/>
        <v>4.8487499999999999</v>
      </c>
      <c r="BT110" s="253" cm="1">
        <f t="array" ref="BT110">$BC110 * IF($AD110&lt;=2,
SUMPRODUCT(INDEX($AL$62:$AN$66,,$AE110), INDEX($AO$62:$AU$66,,$AD110), 1 / ($AV$62:$AV$66*BS110 + (1-$AV$62:$AV$66)*BO110), N($AK$62:$AK$66&gt;$AI110)),
SUMPRODUCT(INDEX($AL$47:$AN$56,,$AE110), INDEX($AO$47:$AU$56,,$AD110), 1 / ($AW$47:$AW$56*BS110 + (1-$AW$47:$AW$56)*BO110), N($AK$47:$AK$56&gt;$AI110))
) / 1000</f>
        <v>0</v>
      </c>
      <c r="BU110" s="253" cm="1">
        <f t="array" ref="BU110">$BC110 * IF($AD110&lt;=2,
SUMPRODUCT(INDEX($AL$23:$AN$61,,$AE110), INDEX($AO$23:$AU$61,,$AD110), 1 / ($AV$23:$AV$61*BS110), N($AK$23:$AK$61&gt;$AI110)),
SUMPRODUCT(INDEX($AL$23:$AN$46,,$AE110), INDEX($AO$23:$AU$46,,$AD110), 1 / ($AW$23:$AW$46*BS110), N($AK$23:$AK$46&gt;$AI110))
) / 1000</f>
        <v>0</v>
      </c>
      <c r="BV110" s="237">
        <f t="shared" si="253"/>
        <v>0</v>
      </c>
      <c r="BW110" s="210"/>
      <c r="BX110" s="237">
        <f t="shared" si="254"/>
        <v>0</v>
      </c>
      <c r="BY110" s="236">
        <v>35</v>
      </c>
      <c r="BZ110" s="237">
        <f t="shared" si="255"/>
        <v>48</v>
      </c>
      <c r="CA110" s="253">
        <f t="shared" si="256"/>
        <v>3.0748170731707316</v>
      </c>
      <c r="CB110" s="253" cm="1">
        <f t="array" ref="CB110">$BC110 * SUMPRODUCT(INDEX($AL$77:$AN$82,,$AE110),INDEX($AO$77:$AU$82,,$AD110), N($AK$77:$AK$82&gt;$AI110)) / CA110 / 1000</f>
        <v>0</v>
      </c>
      <c r="CC110" s="250">
        <f t="shared" si="257"/>
        <v>30</v>
      </c>
      <c r="CD110" s="237">
        <f t="shared" si="258"/>
        <v>43</v>
      </c>
      <c r="CE110" s="253">
        <f t="shared" si="259"/>
        <v>3.5018750000000001</v>
      </c>
      <c r="CF110" s="253" cm="1">
        <f t="array" ref="CF110">$BC110 * IF($AD110&lt;=2,
SUMPRODUCT(INDEX($AL$72:$AN$76,,$AE110), INDEX($AO$72:$AU$76,,$AD110), 1 / ($AV$72:$AV$76*CE110 + (1-$AV$72:$AV$76)*CA110), N($AK$72:$AK$76&gt;$AI110)),
SUMPRODUCT(INDEX($AL$67:$AN$76,,$AE110), INDEX($AO$67:$AU$76,,$AD110), 1 / ($AW$67:$AW$76*CE110 + (1-$AW$67:$AW$76)*CA110), N($AK$67:$AK$76&gt;$AI110))
) / 1000</f>
        <v>0</v>
      </c>
      <c r="CG110" s="250">
        <f t="shared" si="260"/>
        <v>25</v>
      </c>
      <c r="CH110" s="237">
        <f t="shared" si="261"/>
        <v>38</v>
      </c>
      <c r="CI110" s="253">
        <f t="shared" si="262"/>
        <v>4.0666935483870965</v>
      </c>
      <c r="CJ110" s="253" cm="1">
        <f t="array" ref="CJ110">$BC110 * IF($AD110&lt;=2,
SUMPRODUCT(INDEX($AL$67:$AN$71,,$AE110), INDEX($AO$67:$AU$71,,$AD110), 1 / ($AV$67:$AV$71*CI110 + (1-$AV$67:$AV$71)*CE110), N($AK$67:$AK$71&gt;$AI110)),
SUMPRODUCT(INDEX($AL$57:$AN$66,,$AE110), INDEX($AO$57:$AU$66,,$AD110), 1 / ($AW$57:$AW$66*CI110 + (1-$AW$57:$AW$66)*CE110), N($AK$57:$AK$66&gt;$AI110))
) / 1000</f>
        <v>0</v>
      </c>
      <c r="CK110" s="250">
        <f t="shared" si="263"/>
        <v>20</v>
      </c>
      <c r="CL110" s="237">
        <f t="shared" si="264"/>
        <v>33</v>
      </c>
      <c r="CM110" s="253">
        <f t="shared" si="265"/>
        <v>4.8487499999999999</v>
      </c>
      <c r="CN110" s="253" cm="1">
        <f t="array" ref="CN110">$BC110 * IF($AD110&lt;=2,
SUMPRODUCT(INDEX($AL$62:$AN$66,,$AE110), INDEX($AO$62:$AU$66,,$AD110), 1 / ($AV$62:$AV$66*CM110 + (1-$AV$62:$AV$66)*CI110), N($AK$62:$AK$66&gt;$AI110)),
SUMPRODUCT(INDEX($AL$47:$AN$56,,$AE110), INDEX($AO$47:$AU$56,,$AD110), 1 / ($AW$47:$AW$56*CM110 + (1-$AW$47:$AW$56)*CI110), N($AK$47:$AK$56&gt;$AI110))
) / 1000</f>
        <v>0</v>
      </c>
      <c r="CO110" s="253" cm="1">
        <f t="array" ref="CO110">$BC110 * IF($AD110&lt;=2,
SUMPRODUCT(INDEX($AL$23:$AN$61,,$AE110), INDEX($AO$23:$AU$61,,$AD110), 1 / ($AV$23:$AV$61*CM110), N($AK$23:$AK$61&gt;$AI110)),
SUMPRODUCT(INDEX($AL$23:$AN$46,,$AE110), INDEX($AO$23:$AU$46,,$AD110), 1 / ($AW$23:$AW$46*CM110), N($AK$23:$AK$46&gt;$AI110))
) / 1000</f>
        <v>0</v>
      </c>
      <c r="CP110" s="237">
        <f t="shared" si="266"/>
        <v>0</v>
      </c>
      <c r="CQ110" s="210"/>
    </row>
    <row r="111" spans="1:95" s="76" customFormat="1" ht="14.25" customHeight="1" x14ac:dyDescent="0.2">
      <c r="A111" s="238" t="b">
        <f t="shared" si="227"/>
        <v>0</v>
      </c>
      <c r="B111" s="239">
        <v>89</v>
      </c>
      <c r="C111" s="258"/>
      <c r="D111" s="258"/>
      <c r="E111" s="240"/>
      <c r="F111" s="241" t="str">
        <f>IF(ISBLANK(E111), "", VLOOKUP(E111, Z!$A$2:$C$4127, 3, FALSE))</f>
        <v/>
      </c>
      <c r="G111" s="242"/>
      <c r="H111" s="242"/>
      <c r="I111" s="243"/>
      <c r="J111" s="244"/>
      <c r="K111" s="259"/>
      <c r="L111" s="260"/>
      <c r="M111" s="247" t="str" cm="1">
        <f t="array" ref="M111">IF($K111&gt;0, INDEX(Clean,1+AG111,$C$1), "")</f>
        <v/>
      </c>
      <c r="N111" s="245"/>
      <c r="O111" s="245"/>
      <c r="P111" s="246"/>
      <c r="Q111" s="248">
        <f t="shared" si="232"/>
        <v>0</v>
      </c>
      <c r="R111" s="247" t="str" cm="1">
        <f t="array" ref="R111">IF($K111&gt;0, INDEX(Clean,1+AH111,$C$1), "")</f>
        <v/>
      </c>
      <c r="S111" s="245"/>
      <c r="T111" s="245"/>
      <c r="U111" s="246"/>
      <c r="V111" s="248">
        <f t="shared" si="233"/>
        <v>0</v>
      </c>
      <c r="W111" s="261"/>
      <c r="X111" s="258"/>
      <c r="Y111" s="240"/>
      <c r="Z111" s="241" t="str">
        <f>IF(ISBLANK(Y111), "", VLOOKUP(Y111, Z!$A$2:$C$4127, 3, FALSE))</f>
        <v/>
      </c>
      <c r="AA111" s="262"/>
      <c r="AB111" s="249">
        <f t="shared" si="234"/>
        <v>0</v>
      </c>
      <c r="AC111" s="210"/>
      <c r="AD111" s="236">
        <f t="shared" ref="AD111" si="333">IF(ISBLANK(H111), 1, IFERROR(MATCH(H111, INDEX(Use,,1), 0), IFERROR(MATCH(H111, INDEX(Use,,2), 0), MATCH(H111, INDEX(Use,,3), 0))))</f>
        <v>1</v>
      </c>
      <c r="AE111" s="236">
        <f t="shared" ref="AE111" si="334">IF(ISBLANK(G111), 1, IFERROR(MATCH(G111, INDEX(Loc,,1), 0), IFERROR(MATCH(G111, INDEX(Loc,,2), 0), MATCH(G111, INDEX(Loc,,3), 0))))</f>
        <v>1</v>
      </c>
      <c r="AF111" s="236">
        <f t="shared" ref="AF111" si="335">_xlfn.IFNA(IF(IFERROR(MATCH(I111, INDEX(Medium,,1), 0), IFERROR(MATCH(I111, INDEX(Medium,,2), 0), MATCH(I111, INDEX(Medium,,3), 0))) = 2, 1, 0), 0)</f>
        <v>0</v>
      </c>
      <c r="AG111" s="236">
        <v>1</v>
      </c>
      <c r="AH111" s="236">
        <v>0</v>
      </c>
      <c r="AI111" s="236">
        <f t="shared" si="231"/>
        <v>-100</v>
      </c>
      <c r="AJ111" s="210"/>
      <c r="AK111" s="254"/>
      <c r="AL111" s="254"/>
      <c r="AM111" s="255"/>
      <c r="AN111" s="255"/>
      <c r="AO111" s="255"/>
      <c r="AP111" s="255"/>
      <c r="AQ111" s="255"/>
      <c r="AR111" s="255"/>
      <c r="AS111" s="255"/>
      <c r="AT111" s="255"/>
      <c r="AU111" s="255"/>
      <c r="AV111" s="255"/>
      <c r="AW111" s="255"/>
      <c r="AX111" s="210"/>
      <c r="AY111" s="236" cm="1">
        <f t="array" ref="AY111">INDEX(Use, $AD111, 4)</f>
        <v>7</v>
      </c>
      <c r="AZ111" s="236">
        <f t="shared" si="238"/>
        <v>32</v>
      </c>
      <c r="BA111" s="236">
        <f t="shared" si="239"/>
        <v>13</v>
      </c>
      <c r="BB111" s="236">
        <f t="shared" si="240"/>
        <v>0</v>
      </c>
      <c r="BC111" s="252" cm="1">
        <f t="array" ref="BC111">K111/IF($L111&gt;0, INDEX($AO$23:$AU$77, $L111+20, $AD111), 1)</f>
        <v>0</v>
      </c>
      <c r="BD111" s="237">
        <f t="shared" si="241"/>
        <v>0</v>
      </c>
      <c r="BE111" s="236">
        <v>35</v>
      </c>
      <c r="BF111" s="237">
        <f t="shared" si="242"/>
        <v>52.55</v>
      </c>
      <c r="BG111" s="253">
        <f t="shared" si="243"/>
        <v>2.7676728869374316</v>
      </c>
      <c r="BH111" s="253" cm="1">
        <f t="array" ref="BH111">$BC111 * SUMPRODUCT(INDEX($AL$77:$AN$82,,$AE111),INDEX($AO$77:$AU$82,,$AD111), N($AK$77:$AK$82&gt;$AI111)) / BG111 / 1000</f>
        <v>0</v>
      </c>
      <c r="BI111" s="250">
        <f t="shared" si="244"/>
        <v>30</v>
      </c>
      <c r="BJ111" s="237">
        <f t="shared" si="245"/>
        <v>46.033333333333331</v>
      </c>
      <c r="BK111" s="253">
        <f t="shared" si="246"/>
        <v>3.2297395388556791</v>
      </c>
      <c r="BL111" s="253" cm="1">
        <f t="array" ref="BL111">$BC111 * IF($AD111&lt;=2,
SUMPRODUCT(INDEX($AL$72:$AN$76,,$AE111), INDEX($AO$72:$AU$76,,$AD111), 1 / ($AV$72:$AV$76*BK111 + (1-$AV$72:$AV$76)*BG111), N($AK$72:$AK$76&gt;$AI111)),
SUMPRODUCT(INDEX($AL$67:$AN$76,,$AE111), INDEX($AO$67:$AU$76,,$AD111), 1 / ($AW$67:$AW$76*BK111 + (1-$AW$67:$AW$76)*BG111), N($AK$67:$AK$76&gt;$AI111))
) / 1000</f>
        <v>0</v>
      </c>
      <c r="BM111" s="250">
        <f t="shared" si="247"/>
        <v>25</v>
      </c>
      <c r="BN111" s="237">
        <f t="shared" si="248"/>
        <v>39.516666666666666</v>
      </c>
      <c r="BO111" s="253">
        <f t="shared" si="249"/>
        <v>3.877011788826243</v>
      </c>
      <c r="BP111" s="253" cm="1">
        <f t="array" ref="BP111">$BC111 * IF($AD111&lt;=2,
SUMPRODUCT(INDEX($AL$67:$AN$71,,$AE111), INDEX($AO$67:$AU$71,,$AD111), 1 / ($AV$67:$AV$71*BO111 + (1-$AV$67:$AV$71)*BK111), N($AK$67:$AK$71&gt;$AI111)),
SUMPRODUCT(INDEX($AL$57:$AN$66,,$AE111), INDEX($AO$57:$AU$66,,$AD111), 1 / ($AW$57:$AW$66*BO111 + (1-$AW$57:$AW$66)*BK111), N($AK$57:$AK$66&gt;$AI111))
) / 1000</f>
        <v>0</v>
      </c>
      <c r="BQ111" s="250">
        <f t="shared" si="250"/>
        <v>20</v>
      </c>
      <c r="BR111" s="237">
        <f t="shared" si="251"/>
        <v>33</v>
      </c>
      <c r="BS111" s="253">
        <f t="shared" si="252"/>
        <v>4.8487499999999999</v>
      </c>
      <c r="BT111" s="253" cm="1">
        <f t="array" ref="BT111">$BC111 * IF($AD111&lt;=2,
SUMPRODUCT(INDEX($AL$62:$AN$66,,$AE111), INDEX($AO$62:$AU$66,,$AD111), 1 / ($AV$62:$AV$66*BS111 + (1-$AV$62:$AV$66)*BO111), N($AK$62:$AK$66&gt;$AI111)),
SUMPRODUCT(INDEX($AL$47:$AN$56,,$AE111), INDEX($AO$47:$AU$56,,$AD111), 1 / ($AW$47:$AW$56*BS111 + (1-$AW$47:$AW$56)*BO111), N($AK$47:$AK$56&gt;$AI111))
) / 1000</f>
        <v>0</v>
      </c>
      <c r="BU111" s="253" cm="1">
        <f t="array" ref="BU111">$BC111 * IF($AD111&lt;=2,
SUMPRODUCT(INDEX($AL$23:$AN$61,,$AE111), INDEX($AO$23:$AU$61,,$AD111), 1 / ($AV$23:$AV$61*BS111), N($AK$23:$AK$61&gt;$AI111)),
SUMPRODUCT(INDEX($AL$23:$AN$46,,$AE111), INDEX($AO$23:$AU$46,,$AD111), 1 / ($AW$23:$AW$46*BS111), N($AK$23:$AK$46&gt;$AI111))
) / 1000</f>
        <v>0</v>
      </c>
      <c r="BV111" s="237">
        <f t="shared" si="253"/>
        <v>0</v>
      </c>
      <c r="BW111" s="210"/>
      <c r="BX111" s="237">
        <f t="shared" si="254"/>
        <v>0</v>
      </c>
      <c r="BY111" s="236">
        <v>35</v>
      </c>
      <c r="BZ111" s="237">
        <f t="shared" si="255"/>
        <v>48</v>
      </c>
      <c r="CA111" s="253">
        <f t="shared" si="256"/>
        <v>3.0748170731707316</v>
      </c>
      <c r="CB111" s="253" cm="1">
        <f t="array" ref="CB111">$BC111 * SUMPRODUCT(INDEX($AL$77:$AN$82,,$AE111),INDEX($AO$77:$AU$82,,$AD111), N($AK$77:$AK$82&gt;$AI111)) / CA111 / 1000</f>
        <v>0</v>
      </c>
      <c r="CC111" s="250">
        <f t="shared" si="257"/>
        <v>30</v>
      </c>
      <c r="CD111" s="237">
        <f t="shared" si="258"/>
        <v>43</v>
      </c>
      <c r="CE111" s="253">
        <f t="shared" si="259"/>
        <v>3.5018750000000001</v>
      </c>
      <c r="CF111" s="253" cm="1">
        <f t="array" ref="CF111">$BC111 * IF($AD111&lt;=2,
SUMPRODUCT(INDEX($AL$72:$AN$76,,$AE111), INDEX($AO$72:$AU$76,,$AD111), 1 / ($AV$72:$AV$76*CE111 + (1-$AV$72:$AV$76)*CA111), N($AK$72:$AK$76&gt;$AI111)),
SUMPRODUCT(INDEX($AL$67:$AN$76,,$AE111), INDEX($AO$67:$AU$76,,$AD111), 1 / ($AW$67:$AW$76*CE111 + (1-$AW$67:$AW$76)*CA111), N($AK$67:$AK$76&gt;$AI111))
) / 1000</f>
        <v>0</v>
      </c>
      <c r="CG111" s="250">
        <f t="shared" si="260"/>
        <v>25</v>
      </c>
      <c r="CH111" s="237">
        <f t="shared" si="261"/>
        <v>38</v>
      </c>
      <c r="CI111" s="253">
        <f t="shared" si="262"/>
        <v>4.0666935483870965</v>
      </c>
      <c r="CJ111" s="253" cm="1">
        <f t="array" ref="CJ111">$BC111 * IF($AD111&lt;=2,
SUMPRODUCT(INDEX($AL$67:$AN$71,,$AE111), INDEX($AO$67:$AU$71,,$AD111), 1 / ($AV$67:$AV$71*CI111 + (1-$AV$67:$AV$71)*CE111), N($AK$67:$AK$71&gt;$AI111)),
SUMPRODUCT(INDEX($AL$57:$AN$66,,$AE111), INDEX($AO$57:$AU$66,,$AD111), 1 / ($AW$57:$AW$66*CI111 + (1-$AW$57:$AW$66)*CE111), N($AK$57:$AK$66&gt;$AI111))
) / 1000</f>
        <v>0</v>
      </c>
      <c r="CK111" s="250">
        <f t="shared" si="263"/>
        <v>20</v>
      </c>
      <c r="CL111" s="237">
        <f t="shared" si="264"/>
        <v>33</v>
      </c>
      <c r="CM111" s="253">
        <f t="shared" si="265"/>
        <v>4.8487499999999999</v>
      </c>
      <c r="CN111" s="253" cm="1">
        <f t="array" ref="CN111">$BC111 * IF($AD111&lt;=2,
SUMPRODUCT(INDEX($AL$62:$AN$66,,$AE111), INDEX($AO$62:$AU$66,,$AD111), 1 / ($AV$62:$AV$66*CM111 + (1-$AV$62:$AV$66)*CI111), N($AK$62:$AK$66&gt;$AI111)),
SUMPRODUCT(INDEX($AL$47:$AN$56,,$AE111), INDEX($AO$47:$AU$56,,$AD111), 1 / ($AW$47:$AW$56*CM111 + (1-$AW$47:$AW$56)*CI111), N($AK$47:$AK$56&gt;$AI111))
) / 1000</f>
        <v>0</v>
      </c>
      <c r="CO111" s="253" cm="1">
        <f t="array" ref="CO111">$BC111 * IF($AD111&lt;=2,
SUMPRODUCT(INDEX($AL$23:$AN$61,,$AE111), INDEX($AO$23:$AU$61,,$AD111), 1 / ($AV$23:$AV$61*CM111), N($AK$23:$AK$61&gt;$AI111)),
SUMPRODUCT(INDEX($AL$23:$AN$46,,$AE111), INDEX($AO$23:$AU$46,,$AD111), 1 / ($AW$23:$AW$46*CM111), N($AK$23:$AK$46&gt;$AI111))
) / 1000</f>
        <v>0</v>
      </c>
      <c r="CP111" s="237">
        <f t="shared" si="266"/>
        <v>0</v>
      </c>
      <c r="CQ111" s="210"/>
    </row>
    <row r="112" spans="1:95" s="76" customFormat="1" ht="14.25" customHeight="1" x14ac:dyDescent="0.2">
      <c r="A112" s="238" t="b">
        <f t="shared" si="227"/>
        <v>0</v>
      </c>
      <c r="B112" s="239">
        <v>90</v>
      </c>
      <c r="C112" s="258"/>
      <c r="D112" s="258"/>
      <c r="E112" s="240"/>
      <c r="F112" s="241" t="str">
        <f>IF(ISBLANK(E112), "", VLOOKUP(E112, Z!$A$2:$C$4127, 3, FALSE))</f>
        <v/>
      </c>
      <c r="G112" s="242"/>
      <c r="H112" s="242"/>
      <c r="I112" s="243"/>
      <c r="J112" s="244"/>
      <c r="K112" s="259"/>
      <c r="L112" s="260"/>
      <c r="M112" s="247" t="str" cm="1">
        <f t="array" ref="M112">IF($K112&gt;0, INDEX(Clean,1+AG112,$C$1), "")</f>
        <v/>
      </c>
      <c r="N112" s="245"/>
      <c r="O112" s="245"/>
      <c r="P112" s="246"/>
      <c r="Q112" s="248">
        <f t="shared" si="232"/>
        <v>0</v>
      </c>
      <c r="R112" s="247" t="str" cm="1">
        <f t="array" ref="R112">IF($K112&gt;0, INDEX(Clean,1+AH112,$C$1), "")</f>
        <v/>
      </c>
      <c r="S112" s="245"/>
      <c r="T112" s="245"/>
      <c r="U112" s="246"/>
      <c r="V112" s="248">
        <f t="shared" si="233"/>
        <v>0</v>
      </c>
      <c r="W112" s="261"/>
      <c r="X112" s="258"/>
      <c r="Y112" s="240"/>
      <c r="Z112" s="241" t="str">
        <f>IF(ISBLANK(Y112), "", VLOOKUP(Y112, Z!$A$2:$C$4127, 3, FALSE))</f>
        <v/>
      </c>
      <c r="AA112" s="262"/>
      <c r="AB112" s="249">
        <f t="shared" si="234"/>
        <v>0</v>
      </c>
      <c r="AC112" s="210"/>
      <c r="AD112" s="236">
        <f t="shared" ref="AD112" si="336">IF(ISBLANK(H112), 1, IFERROR(MATCH(H112, INDEX(Use,,1), 0), IFERROR(MATCH(H112, INDEX(Use,,2), 0), MATCH(H112, INDEX(Use,,3), 0))))</f>
        <v>1</v>
      </c>
      <c r="AE112" s="236">
        <f t="shared" ref="AE112" si="337">IF(ISBLANK(G112), 1, IFERROR(MATCH(G112, INDEX(Loc,,1), 0), IFERROR(MATCH(G112, INDEX(Loc,,2), 0), MATCH(G112, INDEX(Loc,,3), 0))))</f>
        <v>1</v>
      </c>
      <c r="AF112" s="236">
        <f t="shared" ref="AF112" si="338">_xlfn.IFNA(IF(IFERROR(MATCH(I112, INDEX(Medium,,1), 0), IFERROR(MATCH(I112, INDEX(Medium,,2), 0), MATCH(I112, INDEX(Medium,,3), 0))) = 2, 1, 0), 0)</f>
        <v>0</v>
      </c>
      <c r="AG112" s="236">
        <v>1</v>
      </c>
      <c r="AH112" s="236">
        <v>0</v>
      </c>
      <c r="AI112" s="236">
        <f t="shared" si="231"/>
        <v>-100</v>
      </c>
      <c r="AJ112" s="210"/>
      <c r="AK112" s="254"/>
      <c r="AL112" s="254"/>
      <c r="AM112" s="255"/>
      <c r="AN112" s="255"/>
      <c r="AO112" s="255"/>
      <c r="AP112" s="255"/>
      <c r="AQ112" s="255"/>
      <c r="AR112" s="255"/>
      <c r="AS112" s="255"/>
      <c r="AT112" s="255"/>
      <c r="AU112" s="255"/>
      <c r="AV112" s="255"/>
      <c r="AW112" s="255"/>
      <c r="AX112" s="210"/>
      <c r="AY112" s="236" cm="1">
        <f t="array" ref="AY112">INDEX(Use, $AD112, 4)</f>
        <v>7</v>
      </c>
      <c r="AZ112" s="236">
        <f t="shared" si="238"/>
        <v>32</v>
      </c>
      <c r="BA112" s="236">
        <f t="shared" si="239"/>
        <v>13</v>
      </c>
      <c r="BB112" s="236">
        <f t="shared" si="240"/>
        <v>0</v>
      </c>
      <c r="BC112" s="252" cm="1">
        <f t="array" ref="BC112">K112/IF($L112&gt;0, INDEX($AO$23:$AU$77, $L112+20, $AD112), 1)</f>
        <v>0</v>
      </c>
      <c r="BD112" s="237">
        <f t="shared" si="241"/>
        <v>0</v>
      </c>
      <c r="BE112" s="236">
        <v>35</v>
      </c>
      <c r="BF112" s="237">
        <f t="shared" si="242"/>
        <v>52.55</v>
      </c>
      <c r="BG112" s="253">
        <f t="shared" si="243"/>
        <v>2.7676728869374316</v>
      </c>
      <c r="BH112" s="253" cm="1">
        <f t="array" ref="BH112">$BC112 * SUMPRODUCT(INDEX($AL$77:$AN$82,,$AE112),INDEX($AO$77:$AU$82,,$AD112), N($AK$77:$AK$82&gt;$AI112)) / BG112 / 1000</f>
        <v>0</v>
      </c>
      <c r="BI112" s="250">
        <f t="shared" si="244"/>
        <v>30</v>
      </c>
      <c r="BJ112" s="237">
        <f t="shared" si="245"/>
        <v>46.033333333333331</v>
      </c>
      <c r="BK112" s="253">
        <f t="shared" si="246"/>
        <v>3.2297395388556791</v>
      </c>
      <c r="BL112" s="253" cm="1">
        <f t="array" ref="BL112">$BC112 * IF($AD112&lt;=2,
SUMPRODUCT(INDEX($AL$72:$AN$76,,$AE112), INDEX($AO$72:$AU$76,,$AD112), 1 / ($AV$72:$AV$76*BK112 + (1-$AV$72:$AV$76)*BG112), N($AK$72:$AK$76&gt;$AI112)),
SUMPRODUCT(INDEX($AL$67:$AN$76,,$AE112), INDEX($AO$67:$AU$76,,$AD112), 1 / ($AW$67:$AW$76*BK112 + (1-$AW$67:$AW$76)*BG112), N($AK$67:$AK$76&gt;$AI112))
) / 1000</f>
        <v>0</v>
      </c>
      <c r="BM112" s="250">
        <f t="shared" si="247"/>
        <v>25</v>
      </c>
      <c r="BN112" s="237">
        <f t="shared" si="248"/>
        <v>39.516666666666666</v>
      </c>
      <c r="BO112" s="253">
        <f t="shared" si="249"/>
        <v>3.877011788826243</v>
      </c>
      <c r="BP112" s="253" cm="1">
        <f t="array" ref="BP112">$BC112 * IF($AD112&lt;=2,
SUMPRODUCT(INDEX($AL$67:$AN$71,,$AE112), INDEX($AO$67:$AU$71,,$AD112), 1 / ($AV$67:$AV$71*BO112 + (1-$AV$67:$AV$71)*BK112), N($AK$67:$AK$71&gt;$AI112)),
SUMPRODUCT(INDEX($AL$57:$AN$66,,$AE112), INDEX($AO$57:$AU$66,,$AD112), 1 / ($AW$57:$AW$66*BO112 + (1-$AW$57:$AW$66)*BK112), N($AK$57:$AK$66&gt;$AI112))
) / 1000</f>
        <v>0</v>
      </c>
      <c r="BQ112" s="250">
        <f t="shared" si="250"/>
        <v>20</v>
      </c>
      <c r="BR112" s="237">
        <f t="shared" si="251"/>
        <v>33</v>
      </c>
      <c r="BS112" s="253">
        <f t="shared" si="252"/>
        <v>4.8487499999999999</v>
      </c>
      <c r="BT112" s="253" cm="1">
        <f t="array" ref="BT112">$BC112 * IF($AD112&lt;=2,
SUMPRODUCT(INDEX($AL$62:$AN$66,,$AE112), INDEX($AO$62:$AU$66,,$AD112), 1 / ($AV$62:$AV$66*BS112 + (1-$AV$62:$AV$66)*BO112), N($AK$62:$AK$66&gt;$AI112)),
SUMPRODUCT(INDEX($AL$47:$AN$56,,$AE112), INDEX($AO$47:$AU$56,,$AD112), 1 / ($AW$47:$AW$56*BS112 + (1-$AW$47:$AW$56)*BO112), N($AK$47:$AK$56&gt;$AI112))
) / 1000</f>
        <v>0</v>
      </c>
      <c r="BU112" s="253" cm="1">
        <f t="array" ref="BU112">$BC112 * IF($AD112&lt;=2,
SUMPRODUCT(INDEX($AL$23:$AN$61,,$AE112), INDEX($AO$23:$AU$61,,$AD112), 1 / ($AV$23:$AV$61*BS112), N($AK$23:$AK$61&gt;$AI112)),
SUMPRODUCT(INDEX($AL$23:$AN$46,,$AE112), INDEX($AO$23:$AU$46,,$AD112), 1 / ($AW$23:$AW$46*BS112), N($AK$23:$AK$46&gt;$AI112))
) / 1000</f>
        <v>0</v>
      </c>
      <c r="BV112" s="237">
        <f t="shared" si="253"/>
        <v>0</v>
      </c>
      <c r="BW112" s="210"/>
      <c r="BX112" s="237">
        <f t="shared" si="254"/>
        <v>0</v>
      </c>
      <c r="BY112" s="236">
        <v>35</v>
      </c>
      <c r="BZ112" s="237">
        <f t="shared" si="255"/>
        <v>48</v>
      </c>
      <c r="CA112" s="253">
        <f t="shared" si="256"/>
        <v>3.0748170731707316</v>
      </c>
      <c r="CB112" s="253" cm="1">
        <f t="array" ref="CB112">$BC112 * SUMPRODUCT(INDEX($AL$77:$AN$82,,$AE112),INDEX($AO$77:$AU$82,,$AD112), N($AK$77:$AK$82&gt;$AI112)) / CA112 / 1000</f>
        <v>0</v>
      </c>
      <c r="CC112" s="250">
        <f t="shared" si="257"/>
        <v>30</v>
      </c>
      <c r="CD112" s="237">
        <f t="shared" si="258"/>
        <v>43</v>
      </c>
      <c r="CE112" s="253">
        <f t="shared" si="259"/>
        <v>3.5018750000000001</v>
      </c>
      <c r="CF112" s="253" cm="1">
        <f t="array" ref="CF112">$BC112 * IF($AD112&lt;=2,
SUMPRODUCT(INDEX($AL$72:$AN$76,,$AE112), INDEX($AO$72:$AU$76,,$AD112), 1 / ($AV$72:$AV$76*CE112 + (1-$AV$72:$AV$76)*CA112), N($AK$72:$AK$76&gt;$AI112)),
SUMPRODUCT(INDEX($AL$67:$AN$76,,$AE112), INDEX($AO$67:$AU$76,,$AD112), 1 / ($AW$67:$AW$76*CE112 + (1-$AW$67:$AW$76)*CA112), N($AK$67:$AK$76&gt;$AI112))
) / 1000</f>
        <v>0</v>
      </c>
      <c r="CG112" s="250">
        <f t="shared" si="260"/>
        <v>25</v>
      </c>
      <c r="CH112" s="237">
        <f t="shared" si="261"/>
        <v>38</v>
      </c>
      <c r="CI112" s="253">
        <f t="shared" si="262"/>
        <v>4.0666935483870965</v>
      </c>
      <c r="CJ112" s="253" cm="1">
        <f t="array" ref="CJ112">$BC112 * IF($AD112&lt;=2,
SUMPRODUCT(INDEX($AL$67:$AN$71,,$AE112), INDEX($AO$67:$AU$71,,$AD112), 1 / ($AV$67:$AV$71*CI112 + (1-$AV$67:$AV$71)*CE112), N($AK$67:$AK$71&gt;$AI112)),
SUMPRODUCT(INDEX($AL$57:$AN$66,,$AE112), INDEX($AO$57:$AU$66,,$AD112), 1 / ($AW$57:$AW$66*CI112 + (1-$AW$57:$AW$66)*CE112), N($AK$57:$AK$66&gt;$AI112))
) / 1000</f>
        <v>0</v>
      </c>
      <c r="CK112" s="250">
        <f t="shared" si="263"/>
        <v>20</v>
      </c>
      <c r="CL112" s="237">
        <f t="shared" si="264"/>
        <v>33</v>
      </c>
      <c r="CM112" s="253">
        <f t="shared" si="265"/>
        <v>4.8487499999999999</v>
      </c>
      <c r="CN112" s="253" cm="1">
        <f t="array" ref="CN112">$BC112 * IF($AD112&lt;=2,
SUMPRODUCT(INDEX($AL$62:$AN$66,,$AE112), INDEX($AO$62:$AU$66,,$AD112), 1 / ($AV$62:$AV$66*CM112 + (1-$AV$62:$AV$66)*CI112), N($AK$62:$AK$66&gt;$AI112)),
SUMPRODUCT(INDEX($AL$47:$AN$56,,$AE112), INDEX($AO$47:$AU$56,,$AD112), 1 / ($AW$47:$AW$56*CM112 + (1-$AW$47:$AW$56)*CI112), N($AK$47:$AK$56&gt;$AI112))
) / 1000</f>
        <v>0</v>
      </c>
      <c r="CO112" s="253" cm="1">
        <f t="array" ref="CO112">$BC112 * IF($AD112&lt;=2,
SUMPRODUCT(INDEX($AL$23:$AN$61,,$AE112), INDEX($AO$23:$AU$61,,$AD112), 1 / ($AV$23:$AV$61*CM112), N($AK$23:$AK$61&gt;$AI112)),
SUMPRODUCT(INDEX($AL$23:$AN$46,,$AE112), INDEX($AO$23:$AU$46,,$AD112), 1 / ($AW$23:$AW$46*CM112), N($AK$23:$AK$46&gt;$AI112))
) / 1000</f>
        <v>0</v>
      </c>
      <c r="CP112" s="237">
        <f t="shared" si="266"/>
        <v>0</v>
      </c>
      <c r="CQ112" s="210"/>
    </row>
    <row r="113" spans="1:95" s="76" customFormat="1" ht="14.25" customHeight="1" x14ac:dyDescent="0.2">
      <c r="A113" s="238" t="b">
        <f t="shared" si="227"/>
        <v>0</v>
      </c>
      <c r="B113" s="239">
        <v>91</v>
      </c>
      <c r="C113" s="258"/>
      <c r="D113" s="258"/>
      <c r="E113" s="240"/>
      <c r="F113" s="241" t="str">
        <f>IF(ISBLANK(E113), "", VLOOKUP(E113, Z!$A$2:$C$4127, 3, FALSE))</f>
        <v/>
      </c>
      <c r="G113" s="242"/>
      <c r="H113" s="242"/>
      <c r="I113" s="243"/>
      <c r="J113" s="244"/>
      <c r="K113" s="259"/>
      <c r="L113" s="260"/>
      <c r="M113" s="247" t="str" cm="1">
        <f t="array" ref="M113">IF($K113&gt;0, INDEX(Clean,1+AG113,$C$1), "")</f>
        <v/>
      </c>
      <c r="N113" s="245"/>
      <c r="O113" s="245"/>
      <c r="P113" s="246"/>
      <c r="Q113" s="248">
        <f t="shared" si="232"/>
        <v>0</v>
      </c>
      <c r="R113" s="247" t="str" cm="1">
        <f t="array" ref="R113">IF($K113&gt;0, INDEX(Clean,1+AH113,$C$1), "")</f>
        <v/>
      </c>
      <c r="S113" s="245"/>
      <c r="T113" s="245"/>
      <c r="U113" s="246"/>
      <c r="V113" s="248">
        <f t="shared" si="233"/>
        <v>0</v>
      </c>
      <c r="W113" s="261"/>
      <c r="X113" s="258"/>
      <c r="Y113" s="240"/>
      <c r="Z113" s="241" t="str">
        <f>IF(ISBLANK(Y113), "", VLOOKUP(Y113, Z!$A$2:$C$4127, 3, FALSE))</f>
        <v/>
      </c>
      <c r="AA113" s="262"/>
      <c r="AB113" s="249">
        <f t="shared" si="234"/>
        <v>0</v>
      </c>
      <c r="AC113" s="210"/>
      <c r="AD113" s="236">
        <f t="shared" ref="AD113" si="339">IF(ISBLANK(H113), 1, IFERROR(MATCH(H113, INDEX(Use,,1), 0), IFERROR(MATCH(H113, INDEX(Use,,2), 0), MATCH(H113, INDEX(Use,,3), 0))))</f>
        <v>1</v>
      </c>
      <c r="AE113" s="236">
        <f t="shared" ref="AE113" si="340">IF(ISBLANK(G113), 1, IFERROR(MATCH(G113, INDEX(Loc,,1), 0), IFERROR(MATCH(G113, INDEX(Loc,,2), 0), MATCH(G113, INDEX(Loc,,3), 0))))</f>
        <v>1</v>
      </c>
      <c r="AF113" s="236">
        <f t="shared" ref="AF113" si="341">_xlfn.IFNA(IF(IFERROR(MATCH(I113, INDEX(Medium,,1), 0), IFERROR(MATCH(I113, INDEX(Medium,,2), 0), MATCH(I113, INDEX(Medium,,3), 0))) = 2, 1, 0), 0)</f>
        <v>0</v>
      </c>
      <c r="AG113" s="236">
        <v>1</v>
      </c>
      <c r="AH113" s="236">
        <v>0</v>
      </c>
      <c r="AI113" s="236">
        <f t="shared" si="231"/>
        <v>-100</v>
      </c>
      <c r="AJ113" s="210"/>
      <c r="AK113" s="254"/>
      <c r="AL113" s="254"/>
      <c r="AM113" s="255"/>
      <c r="AN113" s="255"/>
      <c r="AO113" s="255"/>
      <c r="AP113" s="255"/>
      <c r="AQ113" s="255"/>
      <c r="AR113" s="255"/>
      <c r="AS113" s="255"/>
      <c r="AT113" s="255"/>
      <c r="AU113" s="255"/>
      <c r="AV113" s="255"/>
      <c r="AW113" s="255"/>
      <c r="AX113" s="210"/>
      <c r="AY113" s="236" cm="1">
        <f t="array" ref="AY113">INDEX(Use, $AD113, 4)</f>
        <v>7</v>
      </c>
      <c r="AZ113" s="236">
        <f t="shared" si="238"/>
        <v>32</v>
      </c>
      <c r="BA113" s="236">
        <f t="shared" si="239"/>
        <v>13</v>
      </c>
      <c r="BB113" s="236">
        <f t="shared" si="240"/>
        <v>0</v>
      </c>
      <c r="BC113" s="252" cm="1">
        <f t="array" ref="BC113">K113/IF($L113&gt;0, INDEX($AO$23:$AU$77, $L113+20, $AD113), 1)</f>
        <v>0</v>
      </c>
      <c r="BD113" s="237">
        <f t="shared" si="241"/>
        <v>0</v>
      </c>
      <c r="BE113" s="236">
        <v>35</v>
      </c>
      <c r="BF113" s="237">
        <f t="shared" si="242"/>
        <v>52.55</v>
      </c>
      <c r="BG113" s="253">
        <f t="shared" si="243"/>
        <v>2.7676728869374316</v>
      </c>
      <c r="BH113" s="253" cm="1">
        <f t="array" ref="BH113">$BC113 * SUMPRODUCT(INDEX($AL$77:$AN$82,,$AE113),INDEX($AO$77:$AU$82,,$AD113), N($AK$77:$AK$82&gt;$AI113)) / BG113 / 1000</f>
        <v>0</v>
      </c>
      <c r="BI113" s="250">
        <f t="shared" si="244"/>
        <v>30</v>
      </c>
      <c r="BJ113" s="237">
        <f t="shared" si="245"/>
        <v>46.033333333333331</v>
      </c>
      <c r="BK113" s="253">
        <f t="shared" si="246"/>
        <v>3.2297395388556791</v>
      </c>
      <c r="BL113" s="253" cm="1">
        <f t="array" ref="BL113">$BC113 * IF($AD113&lt;=2,
SUMPRODUCT(INDEX($AL$72:$AN$76,,$AE113), INDEX($AO$72:$AU$76,,$AD113), 1 / ($AV$72:$AV$76*BK113 + (1-$AV$72:$AV$76)*BG113), N($AK$72:$AK$76&gt;$AI113)),
SUMPRODUCT(INDEX($AL$67:$AN$76,,$AE113), INDEX($AO$67:$AU$76,,$AD113), 1 / ($AW$67:$AW$76*BK113 + (1-$AW$67:$AW$76)*BG113), N($AK$67:$AK$76&gt;$AI113))
) / 1000</f>
        <v>0</v>
      </c>
      <c r="BM113" s="250">
        <f t="shared" si="247"/>
        <v>25</v>
      </c>
      <c r="BN113" s="237">
        <f t="shared" si="248"/>
        <v>39.516666666666666</v>
      </c>
      <c r="BO113" s="253">
        <f t="shared" si="249"/>
        <v>3.877011788826243</v>
      </c>
      <c r="BP113" s="253" cm="1">
        <f t="array" ref="BP113">$BC113 * IF($AD113&lt;=2,
SUMPRODUCT(INDEX($AL$67:$AN$71,,$AE113), INDEX($AO$67:$AU$71,,$AD113), 1 / ($AV$67:$AV$71*BO113 + (1-$AV$67:$AV$71)*BK113), N($AK$67:$AK$71&gt;$AI113)),
SUMPRODUCT(INDEX($AL$57:$AN$66,,$AE113), INDEX($AO$57:$AU$66,,$AD113), 1 / ($AW$57:$AW$66*BO113 + (1-$AW$57:$AW$66)*BK113), N($AK$57:$AK$66&gt;$AI113))
) / 1000</f>
        <v>0</v>
      </c>
      <c r="BQ113" s="250">
        <f t="shared" si="250"/>
        <v>20</v>
      </c>
      <c r="BR113" s="237">
        <f t="shared" si="251"/>
        <v>33</v>
      </c>
      <c r="BS113" s="253">
        <f t="shared" si="252"/>
        <v>4.8487499999999999</v>
      </c>
      <c r="BT113" s="253" cm="1">
        <f t="array" ref="BT113">$BC113 * IF($AD113&lt;=2,
SUMPRODUCT(INDEX($AL$62:$AN$66,,$AE113), INDEX($AO$62:$AU$66,,$AD113), 1 / ($AV$62:$AV$66*BS113 + (1-$AV$62:$AV$66)*BO113), N($AK$62:$AK$66&gt;$AI113)),
SUMPRODUCT(INDEX($AL$47:$AN$56,,$AE113), INDEX($AO$47:$AU$56,,$AD113), 1 / ($AW$47:$AW$56*BS113 + (1-$AW$47:$AW$56)*BO113), N($AK$47:$AK$56&gt;$AI113))
) / 1000</f>
        <v>0</v>
      </c>
      <c r="BU113" s="253" cm="1">
        <f t="array" ref="BU113">$BC113 * IF($AD113&lt;=2,
SUMPRODUCT(INDEX($AL$23:$AN$61,,$AE113), INDEX($AO$23:$AU$61,,$AD113), 1 / ($AV$23:$AV$61*BS113), N($AK$23:$AK$61&gt;$AI113)),
SUMPRODUCT(INDEX($AL$23:$AN$46,,$AE113), INDEX($AO$23:$AU$46,,$AD113), 1 / ($AW$23:$AW$46*BS113), N($AK$23:$AK$46&gt;$AI113))
) / 1000</f>
        <v>0</v>
      </c>
      <c r="BV113" s="237">
        <f t="shared" si="253"/>
        <v>0</v>
      </c>
      <c r="BW113" s="210"/>
      <c r="BX113" s="237">
        <f t="shared" si="254"/>
        <v>0</v>
      </c>
      <c r="BY113" s="236">
        <v>35</v>
      </c>
      <c r="BZ113" s="237">
        <f t="shared" si="255"/>
        <v>48</v>
      </c>
      <c r="CA113" s="253">
        <f t="shared" si="256"/>
        <v>3.0748170731707316</v>
      </c>
      <c r="CB113" s="253" cm="1">
        <f t="array" ref="CB113">$BC113 * SUMPRODUCT(INDEX($AL$77:$AN$82,,$AE113),INDEX($AO$77:$AU$82,,$AD113), N($AK$77:$AK$82&gt;$AI113)) / CA113 / 1000</f>
        <v>0</v>
      </c>
      <c r="CC113" s="250">
        <f t="shared" si="257"/>
        <v>30</v>
      </c>
      <c r="CD113" s="237">
        <f t="shared" si="258"/>
        <v>43</v>
      </c>
      <c r="CE113" s="253">
        <f t="shared" si="259"/>
        <v>3.5018750000000001</v>
      </c>
      <c r="CF113" s="253" cm="1">
        <f t="array" ref="CF113">$BC113 * IF($AD113&lt;=2,
SUMPRODUCT(INDEX($AL$72:$AN$76,,$AE113), INDEX($AO$72:$AU$76,,$AD113), 1 / ($AV$72:$AV$76*CE113 + (1-$AV$72:$AV$76)*CA113), N($AK$72:$AK$76&gt;$AI113)),
SUMPRODUCT(INDEX($AL$67:$AN$76,,$AE113), INDEX($AO$67:$AU$76,,$AD113), 1 / ($AW$67:$AW$76*CE113 + (1-$AW$67:$AW$76)*CA113), N($AK$67:$AK$76&gt;$AI113))
) / 1000</f>
        <v>0</v>
      </c>
      <c r="CG113" s="250">
        <f t="shared" si="260"/>
        <v>25</v>
      </c>
      <c r="CH113" s="237">
        <f t="shared" si="261"/>
        <v>38</v>
      </c>
      <c r="CI113" s="253">
        <f t="shared" si="262"/>
        <v>4.0666935483870965</v>
      </c>
      <c r="CJ113" s="253" cm="1">
        <f t="array" ref="CJ113">$BC113 * IF($AD113&lt;=2,
SUMPRODUCT(INDEX($AL$67:$AN$71,,$AE113), INDEX($AO$67:$AU$71,,$AD113), 1 / ($AV$67:$AV$71*CI113 + (1-$AV$67:$AV$71)*CE113), N($AK$67:$AK$71&gt;$AI113)),
SUMPRODUCT(INDEX($AL$57:$AN$66,,$AE113), INDEX($AO$57:$AU$66,,$AD113), 1 / ($AW$57:$AW$66*CI113 + (1-$AW$57:$AW$66)*CE113), N($AK$57:$AK$66&gt;$AI113))
) / 1000</f>
        <v>0</v>
      </c>
      <c r="CK113" s="250">
        <f t="shared" si="263"/>
        <v>20</v>
      </c>
      <c r="CL113" s="237">
        <f t="shared" si="264"/>
        <v>33</v>
      </c>
      <c r="CM113" s="253">
        <f t="shared" si="265"/>
        <v>4.8487499999999999</v>
      </c>
      <c r="CN113" s="253" cm="1">
        <f t="array" ref="CN113">$BC113 * IF($AD113&lt;=2,
SUMPRODUCT(INDEX($AL$62:$AN$66,,$AE113), INDEX($AO$62:$AU$66,,$AD113), 1 / ($AV$62:$AV$66*CM113 + (1-$AV$62:$AV$66)*CI113), N($AK$62:$AK$66&gt;$AI113)),
SUMPRODUCT(INDEX($AL$47:$AN$56,,$AE113), INDEX($AO$47:$AU$56,,$AD113), 1 / ($AW$47:$AW$56*CM113 + (1-$AW$47:$AW$56)*CI113), N($AK$47:$AK$56&gt;$AI113))
) / 1000</f>
        <v>0</v>
      </c>
      <c r="CO113" s="253" cm="1">
        <f t="array" ref="CO113">$BC113 * IF($AD113&lt;=2,
SUMPRODUCT(INDEX($AL$23:$AN$61,,$AE113), INDEX($AO$23:$AU$61,,$AD113), 1 / ($AV$23:$AV$61*CM113), N($AK$23:$AK$61&gt;$AI113)),
SUMPRODUCT(INDEX($AL$23:$AN$46,,$AE113), INDEX($AO$23:$AU$46,,$AD113), 1 / ($AW$23:$AW$46*CM113), N($AK$23:$AK$46&gt;$AI113))
) / 1000</f>
        <v>0</v>
      </c>
      <c r="CP113" s="237">
        <f t="shared" si="266"/>
        <v>0</v>
      </c>
      <c r="CQ113" s="210"/>
    </row>
    <row r="114" spans="1:95" s="76" customFormat="1" ht="14.25" customHeight="1" x14ac:dyDescent="0.2">
      <c r="A114" s="238" t="b">
        <f t="shared" si="227"/>
        <v>0</v>
      </c>
      <c r="B114" s="239">
        <v>92</v>
      </c>
      <c r="C114" s="258"/>
      <c r="D114" s="258"/>
      <c r="E114" s="240"/>
      <c r="F114" s="241" t="str">
        <f>IF(ISBLANK(E114), "", VLOOKUP(E114, Z!$A$2:$C$4127, 3, FALSE))</f>
        <v/>
      </c>
      <c r="G114" s="242"/>
      <c r="H114" s="242"/>
      <c r="I114" s="243"/>
      <c r="J114" s="244"/>
      <c r="K114" s="259"/>
      <c r="L114" s="260"/>
      <c r="M114" s="247" t="str" cm="1">
        <f t="array" ref="M114">IF($K114&gt;0, INDEX(Clean,1+AG114,$C$1), "")</f>
        <v/>
      </c>
      <c r="N114" s="245"/>
      <c r="O114" s="245"/>
      <c r="P114" s="246"/>
      <c r="Q114" s="248">
        <f t="shared" si="232"/>
        <v>0</v>
      </c>
      <c r="R114" s="247" t="str" cm="1">
        <f t="array" ref="R114">IF($K114&gt;0, INDEX(Clean,1+AH114,$C$1), "")</f>
        <v/>
      </c>
      <c r="S114" s="245"/>
      <c r="T114" s="245"/>
      <c r="U114" s="246"/>
      <c r="V114" s="248">
        <f t="shared" si="233"/>
        <v>0</v>
      </c>
      <c r="W114" s="261"/>
      <c r="X114" s="258"/>
      <c r="Y114" s="240"/>
      <c r="Z114" s="241" t="str">
        <f>IF(ISBLANK(Y114), "", VLOOKUP(Y114, Z!$A$2:$C$4127, 3, FALSE))</f>
        <v/>
      </c>
      <c r="AA114" s="262"/>
      <c r="AB114" s="249">
        <f t="shared" si="234"/>
        <v>0</v>
      </c>
      <c r="AC114" s="210"/>
      <c r="AD114" s="236">
        <f t="shared" ref="AD114" si="342">IF(ISBLANK(H114), 1, IFERROR(MATCH(H114, INDEX(Use,,1), 0), IFERROR(MATCH(H114, INDEX(Use,,2), 0), MATCH(H114, INDEX(Use,,3), 0))))</f>
        <v>1</v>
      </c>
      <c r="AE114" s="236">
        <f t="shared" ref="AE114" si="343">IF(ISBLANK(G114), 1, IFERROR(MATCH(G114, INDEX(Loc,,1), 0), IFERROR(MATCH(G114, INDEX(Loc,,2), 0), MATCH(G114, INDEX(Loc,,3), 0))))</f>
        <v>1</v>
      </c>
      <c r="AF114" s="236">
        <f t="shared" ref="AF114" si="344">_xlfn.IFNA(IF(IFERROR(MATCH(I114, INDEX(Medium,,1), 0), IFERROR(MATCH(I114, INDEX(Medium,,2), 0), MATCH(I114, INDEX(Medium,,3), 0))) = 2, 1, 0), 0)</f>
        <v>0</v>
      </c>
      <c r="AG114" s="236">
        <v>1</v>
      </c>
      <c r="AH114" s="236">
        <v>0</v>
      </c>
      <c r="AI114" s="236">
        <f t="shared" si="231"/>
        <v>-100</v>
      </c>
      <c r="AJ114" s="210"/>
      <c r="AK114" s="254"/>
      <c r="AL114" s="254"/>
      <c r="AM114" s="255"/>
      <c r="AN114" s="255"/>
      <c r="AO114" s="255"/>
      <c r="AP114" s="255"/>
      <c r="AQ114" s="255"/>
      <c r="AR114" s="255"/>
      <c r="AS114" s="255"/>
      <c r="AT114" s="255"/>
      <c r="AU114" s="255"/>
      <c r="AV114" s="255"/>
      <c r="AW114" s="255"/>
      <c r="AX114" s="210"/>
      <c r="AY114" s="236" cm="1">
        <f t="array" ref="AY114">INDEX(Use, $AD114, 4)</f>
        <v>7</v>
      </c>
      <c r="AZ114" s="236">
        <f t="shared" si="238"/>
        <v>32</v>
      </c>
      <c r="BA114" s="236">
        <f t="shared" si="239"/>
        <v>13</v>
      </c>
      <c r="BB114" s="236">
        <f t="shared" si="240"/>
        <v>0</v>
      </c>
      <c r="BC114" s="252" cm="1">
        <f t="array" ref="BC114">K114/IF($L114&gt;0, INDEX($AO$23:$AU$77, $L114+20, $AD114), 1)</f>
        <v>0</v>
      </c>
      <c r="BD114" s="237">
        <f t="shared" si="241"/>
        <v>0</v>
      </c>
      <c r="BE114" s="236">
        <v>35</v>
      </c>
      <c r="BF114" s="237">
        <f t="shared" si="242"/>
        <v>52.55</v>
      </c>
      <c r="BG114" s="253">
        <f t="shared" si="243"/>
        <v>2.7676728869374316</v>
      </c>
      <c r="BH114" s="253" cm="1">
        <f t="array" ref="BH114">$BC114 * SUMPRODUCT(INDEX($AL$77:$AN$82,,$AE114),INDEX($AO$77:$AU$82,,$AD114), N($AK$77:$AK$82&gt;$AI114)) / BG114 / 1000</f>
        <v>0</v>
      </c>
      <c r="BI114" s="250">
        <f t="shared" si="244"/>
        <v>30</v>
      </c>
      <c r="BJ114" s="237">
        <f t="shared" si="245"/>
        <v>46.033333333333331</v>
      </c>
      <c r="BK114" s="253">
        <f t="shared" si="246"/>
        <v>3.2297395388556791</v>
      </c>
      <c r="BL114" s="253" cm="1">
        <f t="array" ref="BL114">$BC114 * IF($AD114&lt;=2,
SUMPRODUCT(INDEX($AL$72:$AN$76,,$AE114), INDEX($AO$72:$AU$76,,$AD114), 1 / ($AV$72:$AV$76*BK114 + (1-$AV$72:$AV$76)*BG114), N($AK$72:$AK$76&gt;$AI114)),
SUMPRODUCT(INDEX($AL$67:$AN$76,,$AE114), INDEX($AO$67:$AU$76,,$AD114), 1 / ($AW$67:$AW$76*BK114 + (1-$AW$67:$AW$76)*BG114), N($AK$67:$AK$76&gt;$AI114))
) / 1000</f>
        <v>0</v>
      </c>
      <c r="BM114" s="250">
        <f t="shared" si="247"/>
        <v>25</v>
      </c>
      <c r="BN114" s="237">
        <f t="shared" si="248"/>
        <v>39.516666666666666</v>
      </c>
      <c r="BO114" s="253">
        <f t="shared" si="249"/>
        <v>3.877011788826243</v>
      </c>
      <c r="BP114" s="253" cm="1">
        <f t="array" ref="BP114">$BC114 * IF($AD114&lt;=2,
SUMPRODUCT(INDEX($AL$67:$AN$71,,$AE114), INDEX($AO$67:$AU$71,,$AD114), 1 / ($AV$67:$AV$71*BO114 + (1-$AV$67:$AV$71)*BK114), N($AK$67:$AK$71&gt;$AI114)),
SUMPRODUCT(INDEX($AL$57:$AN$66,,$AE114), INDEX($AO$57:$AU$66,,$AD114), 1 / ($AW$57:$AW$66*BO114 + (1-$AW$57:$AW$66)*BK114), N($AK$57:$AK$66&gt;$AI114))
) / 1000</f>
        <v>0</v>
      </c>
      <c r="BQ114" s="250">
        <f t="shared" si="250"/>
        <v>20</v>
      </c>
      <c r="BR114" s="237">
        <f t="shared" si="251"/>
        <v>33</v>
      </c>
      <c r="BS114" s="253">
        <f t="shared" si="252"/>
        <v>4.8487499999999999</v>
      </c>
      <c r="BT114" s="253" cm="1">
        <f t="array" ref="BT114">$BC114 * IF($AD114&lt;=2,
SUMPRODUCT(INDEX($AL$62:$AN$66,,$AE114), INDEX($AO$62:$AU$66,,$AD114), 1 / ($AV$62:$AV$66*BS114 + (1-$AV$62:$AV$66)*BO114), N($AK$62:$AK$66&gt;$AI114)),
SUMPRODUCT(INDEX($AL$47:$AN$56,,$AE114), INDEX($AO$47:$AU$56,,$AD114), 1 / ($AW$47:$AW$56*BS114 + (1-$AW$47:$AW$56)*BO114), N($AK$47:$AK$56&gt;$AI114))
) / 1000</f>
        <v>0</v>
      </c>
      <c r="BU114" s="253" cm="1">
        <f t="array" ref="BU114">$BC114 * IF($AD114&lt;=2,
SUMPRODUCT(INDEX($AL$23:$AN$61,,$AE114), INDEX($AO$23:$AU$61,,$AD114), 1 / ($AV$23:$AV$61*BS114), N($AK$23:$AK$61&gt;$AI114)),
SUMPRODUCT(INDEX($AL$23:$AN$46,,$AE114), INDEX($AO$23:$AU$46,,$AD114), 1 / ($AW$23:$AW$46*BS114), N($AK$23:$AK$46&gt;$AI114))
) / 1000</f>
        <v>0</v>
      </c>
      <c r="BV114" s="237">
        <f t="shared" si="253"/>
        <v>0</v>
      </c>
      <c r="BW114" s="210"/>
      <c r="BX114" s="237">
        <f t="shared" si="254"/>
        <v>0</v>
      </c>
      <c r="BY114" s="236">
        <v>35</v>
      </c>
      <c r="BZ114" s="237">
        <f t="shared" si="255"/>
        <v>48</v>
      </c>
      <c r="CA114" s="253">
        <f t="shared" si="256"/>
        <v>3.0748170731707316</v>
      </c>
      <c r="CB114" s="253" cm="1">
        <f t="array" ref="CB114">$BC114 * SUMPRODUCT(INDEX($AL$77:$AN$82,,$AE114),INDEX($AO$77:$AU$82,,$AD114), N($AK$77:$AK$82&gt;$AI114)) / CA114 / 1000</f>
        <v>0</v>
      </c>
      <c r="CC114" s="250">
        <f t="shared" si="257"/>
        <v>30</v>
      </c>
      <c r="CD114" s="237">
        <f t="shared" si="258"/>
        <v>43</v>
      </c>
      <c r="CE114" s="253">
        <f t="shared" si="259"/>
        <v>3.5018750000000001</v>
      </c>
      <c r="CF114" s="253" cm="1">
        <f t="array" ref="CF114">$BC114 * IF($AD114&lt;=2,
SUMPRODUCT(INDEX($AL$72:$AN$76,,$AE114), INDEX($AO$72:$AU$76,,$AD114), 1 / ($AV$72:$AV$76*CE114 + (1-$AV$72:$AV$76)*CA114), N($AK$72:$AK$76&gt;$AI114)),
SUMPRODUCT(INDEX($AL$67:$AN$76,,$AE114), INDEX($AO$67:$AU$76,,$AD114), 1 / ($AW$67:$AW$76*CE114 + (1-$AW$67:$AW$76)*CA114), N($AK$67:$AK$76&gt;$AI114))
) / 1000</f>
        <v>0</v>
      </c>
      <c r="CG114" s="250">
        <f t="shared" si="260"/>
        <v>25</v>
      </c>
      <c r="CH114" s="237">
        <f t="shared" si="261"/>
        <v>38</v>
      </c>
      <c r="CI114" s="253">
        <f t="shared" si="262"/>
        <v>4.0666935483870965</v>
      </c>
      <c r="CJ114" s="253" cm="1">
        <f t="array" ref="CJ114">$BC114 * IF($AD114&lt;=2,
SUMPRODUCT(INDEX($AL$67:$AN$71,,$AE114), INDEX($AO$67:$AU$71,,$AD114), 1 / ($AV$67:$AV$71*CI114 + (1-$AV$67:$AV$71)*CE114), N($AK$67:$AK$71&gt;$AI114)),
SUMPRODUCT(INDEX($AL$57:$AN$66,,$AE114), INDEX($AO$57:$AU$66,,$AD114), 1 / ($AW$57:$AW$66*CI114 + (1-$AW$57:$AW$66)*CE114), N($AK$57:$AK$66&gt;$AI114))
) / 1000</f>
        <v>0</v>
      </c>
      <c r="CK114" s="250">
        <f t="shared" si="263"/>
        <v>20</v>
      </c>
      <c r="CL114" s="237">
        <f t="shared" si="264"/>
        <v>33</v>
      </c>
      <c r="CM114" s="253">
        <f t="shared" si="265"/>
        <v>4.8487499999999999</v>
      </c>
      <c r="CN114" s="253" cm="1">
        <f t="array" ref="CN114">$BC114 * IF($AD114&lt;=2,
SUMPRODUCT(INDEX($AL$62:$AN$66,,$AE114), INDEX($AO$62:$AU$66,,$AD114), 1 / ($AV$62:$AV$66*CM114 + (1-$AV$62:$AV$66)*CI114), N($AK$62:$AK$66&gt;$AI114)),
SUMPRODUCT(INDEX($AL$47:$AN$56,,$AE114), INDEX($AO$47:$AU$56,,$AD114), 1 / ($AW$47:$AW$56*CM114 + (1-$AW$47:$AW$56)*CI114), N($AK$47:$AK$56&gt;$AI114))
) / 1000</f>
        <v>0</v>
      </c>
      <c r="CO114" s="253" cm="1">
        <f t="array" ref="CO114">$BC114 * IF($AD114&lt;=2,
SUMPRODUCT(INDEX($AL$23:$AN$61,,$AE114), INDEX($AO$23:$AU$61,,$AD114), 1 / ($AV$23:$AV$61*CM114), N($AK$23:$AK$61&gt;$AI114)),
SUMPRODUCT(INDEX($AL$23:$AN$46,,$AE114), INDEX($AO$23:$AU$46,,$AD114), 1 / ($AW$23:$AW$46*CM114), N($AK$23:$AK$46&gt;$AI114))
) / 1000</f>
        <v>0</v>
      </c>
      <c r="CP114" s="237">
        <f t="shared" si="266"/>
        <v>0</v>
      </c>
      <c r="CQ114" s="210"/>
    </row>
    <row r="115" spans="1:95" s="76" customFormat="1" ht="14.25" customHeight="1" x14ac:dyDescent="0.2">
      <c r="A115" s="238" t="b">
        <f t="shared" si="227"/>
        <v>0</v>
      </c>
      <c r="B115" s="239">
        <v>93</v>
      </c>
      <c r="C115" s="258"/>
      <c r="D115" s="258"/>
      <c r="E115" s="240"/>
      <c r="F115" s="241" t="str">
        <f>IF(ISBLANK(E115), "", VLOOKUP(E115, Z!$A$2:$C$4127, 3, FALSE))</f>
        <v/>
      </c>
      <c r="G115" s="242"/>
      <c r="H115" s="242"/>
      <c r="I115" s="243"/>
      <c r="J115" s="244"/>
      <c r="K115" s="259"/>
      <c r="L115" s="260"/>
      <c r="M115" s="247" t="str" cm="1">
        <f t="array" ref="M115">IF($K115&gt;0, INDEX(Clean,1+AG115,$C$1), "")</f>
        <v/>
      </c>
      <c r="N115" s="245"/>
      <c r="O115" s="245"/>
      <c r="P115" s="246"/>
      <c r="Q115" s="248">
        <f t="shared" si="232"/>
        <v>0</v>
      </c>
      <c r="R115" s="247" t="str" cm="1">
        <f t="array" ref="R115">IF($K115&gt;0, INDEX(Clean,1+AH115,$C$1), "")</f>
        <v/>
      </c>
      <c r="S115" s="245"/>
      <c r="T115" s="245"/>
      <c r="U115" s="246"/>
      <c r="V115" s="248">
        <f t="shared" si="233"/>
        <v>0</v>
      </c>
      <c r="W115" s="261"/>
      <c r="X115" s="258"/>
      <c r="Y115" s="240"/>
      <c r="Z115" s="241" t="str">
        <f>IF(ISBLANK(Y115), "", VLOOKUP(Y115, Z!$A$2:$C$4127, 3, FALSE))</f>
        <v/>
      </c>
      <c r="AA115" s="262"/>
      <c r="AB115" s="249">
        <f t="shared" si="234"/>
        <v>0</v>
      </c>
      <c r="AC115" s="210"/>
      <c r="AD115" s="236">
        <f t="shared" ref="AD115" si="345">IF(ISBLANK(H115), 1, IFERROR(MATCH(H115, INDEX(Use,,1), 0), IFERROR(MATCH(H115, INDEX(Use,,2), 0), MATCH(H115, INDEX(Use,,3), 0))))</f>
        <v>1</v>
      </c>
      <c r="AE115" s="236">
        <f t="shared" ref="AE115" si="346">IF(ISBLANK(G115), 1, IFERROR(MATCH(G115, INDEX(Loc,,1), 0), IFERROR(MATCH(G115, INDEX(Loc,,2), 0), MATCH(G115, INDEX(Loc,,3), 0))))</f>
        <v>1</v>
      </c>
      <c r="AF115" s="236">
        <f t="shared" ref="AF115" si="347">_xlfn.IFNA(IF(IFERROR(MATCH(I115, INDEX(Medium,,1), 0), IFERROR(MATCH(I115, INDEX(Medium,,2), 0), MATCH(I115, INDEX(Medium,,3), 0))) = 2, 1, 0), 0)</f>
        <v>0</v>
      </c>
      <c r="AG115" s="236">
        <v>1</v>
      </c>
      <c r="AH115" s="236">
        <v>0</v>
      </c>
      <c r="AI115" s="236">
        <f t="shared" si="231"/>
        <v>-100</v>
      </c>
      <c r="AJ115" s="210"/>
      <c r="AK115" s="254"/>
      <c r="AL115" s="254"/>
      <c r="AM115" s="255"/>
      <c r="AN115" s="255"/>
      <c r="AO115" s="255"/>
      <c r="AP115" s="255"/>
      <c r="AQ115" s="255"/>
      <c r="AR115" s="255"/>
      <c r="AS115" s="255"/>
      <c r="AT115" s="255"/>
      <c r="AU115" s="255"/>
      <c r="AV115" s="255"/>
      <c r="AW115" s="255"/>
      <c r="AX115" s="210"/>
      <c r="AY115" s="236" cm="1">
        <f t="array" ref="AY115">INDEX(Use, $AD115, 4)</f>
        <v>7</v>
      </c>
      <c r="AZ115" s="236">
        <f t="shared" si="238"/>
        <v>32</v>
      </c>
      <c r="BA115" s="236">
        <f t="shared" si="239"/>
        <v>13</v>
      </c>
      <c r="BB115" s="236">
        <f t="shared" si="240"/>
        <v>0</v>
      </c>
      <c r="BC115" s="252" cm="1">
        <f t="array" ref="BC115">K115/IF($L115&gt;0, INDEX($AO$23:$AU$77, $L115+20, $AD115), 1)</f>
        <v>0</v>
      </c>
      <c r="BD115" s="237">
        <f t="shared" si="241"/>
        <v>0</v>
      </c>
      <c r="BE115" s="236">
        <v>35</v>
      </c>
      <c r="BF115" s="237">
        <f t="shared" si="242"/>
        <v>52.55</v>
      </c>
      <c r="BG115" s="253">
        <f t="shared" si="243"/>
        <v>2.7676728869374316</v>
      </c>
      <c r="BH115" s="253" cm="1">
        <f t="array" ref="BH115">$BC115 * SUMPRODUCT(INDEX($AL$77:$AN$82,,$AE115),INDEX($AO$77:$AU$82,,$AD115), N($AK$77:$AK$82&gt;$AI115)) / BG115 / 1000</f>
        <v>0</v>
      </c>
      <c r="BI115" s="250">
        <f t="shared" si="244"/>
        <v>30</v>
      </c>
      <c r="BJ115" s="237">
        <f t="shared" si="245"/>
        <v>46.033333333333331</v>
      </c>
      <c r="BK115" s="253">
        <f t="shared" si="246"/>
        <v>3.2297395388556791</v>
      </c>
      <c r="BL115" s="253" cm="1">
        <f t="array" ref="BL115">$BC115 * IF($AD115&lt;=2,
SUMPRODUCT(INDEX($AL$72:$AN$76,,$AE115), INDEX($AO$72:$AU$76,,$AD115), 1 / ($AV$72:$AV$76*BK115 + (1-$AV$72:$AV$76)*BG115), N($AK$72:$AK$76&gt;$AI115)),
SUMPRODUCT(INDEX($AL$67:$AN$76,,$AE115), INDEX($AO$67:$AU$76,,$AD115), 1 / ($AW$67:$AW$76*BK115 + (1-$AW$67:$AW$76)*BG115), N($AK$67:$AK$76&gt;$AI115))
) / 1000</f>
        <v>0</v>
      </c>
      <c r="BM115" s="250">
        <f t="shared" si="247"/>
        <v>25</v>
      </c>
      <c r="BN115" s="237">
        <f t="shared" si="248"/>
        <v>39.516666666666666</v>
      </c>
      <c r="BO115" s="253">
        <f t="shared" si="249"/>
        <v>3.877011788826243</v>
      </c>
      <c r="BP115" s="253" cm="1">
        <f t="array" ref="BP115">$BC115 * IF($AD115&lt;=2,
SUMPRODUCT(INDEX($AL$67:$AN$71,,$AE115), INDEX($AO$67:$AU$71,,$AD115), 1 / ($AV$67:$AV$71*BO115 + (1-$AV$67:$AV$71)*BK115), N($AK$67:$AK$71&gt;$AI115)),
SUMPRODUCT(INDEX($AL$57:$AN$66,,$AE115), INDEX($AO$57:$AU$66,,$AD115), 1 / ($AW$57:$AW$66*BO115 + (1-$AW$57:$AW$66)*BK115), N($AK$57:$AK$66&gt;$AI115))
) / 1000</f>
        <v>0</v>
      </c>
      <c r="BQ115" s="250">
        <f t="shared" si="250"/>
        <v>20</v>
      </c>
      <c r="BR115" s="237">
        <f t="shared" si="251"/>
        <v>33</v>
      </c>
      <c r="BS115" s="253">
        <f t="shared" si="252"/>
        <v>4.8487499999999999</v>
      </c>
      <c r="BT115" s="253" cm="1">
        <f t="array" ref="BT115">$BC115 * IF($AD115&lt;=2,
SUMPRODUCT(INDEX($AL$62:$AN$66,,$AE115), INDEX($AO$62:$AU$66,,$AD115), 1 / ($AV$62:$AV$66*BS115 + (1-$AV$62:$AV$66)*BO115), N($AK$62:$AK$66&gt;$AI115)),
SUMPRODUCT(INDEX($AL$47:$AN$56,,$AE115), INDEX($AO$47:$AU$56,,$AD115), 1 / ($AW$47:$AW$56*BS115 + (1-$AW$47:$AW$56)*BO115), N($AK$47:$AK$56&gt;$AI115))
) / 1000</f>
        <v>0</v>
      </c>
      <c r="BU115" s="253" cm="1">
        <f t="array" ref="BU115">$BC115 * IF($AD115&lt;=2,
SUMPRODUCT(INDEX($AL$23:$AN$61,,$AE115), INDEX($AO$23:$AU$61,,$AD115), 1 / ($AV$23:$AV$61*BS115), N($AK$23:$AK$61&gt;$AI115)),
SUMPRODUCT(INDEX($AL$23:$AN$46,,$AE115), INDEX($AO$23:$AU$46,,$AD115), 1 / ($AW$23:$AW$46*BS115), N($AK$23:$AK$46&gt;$AI115))
) / 1000</f>
        <v>0</v>
      </c>
      <c r="BV115" s="237">
        <f t="shared" si="253"/>
        <v>0</v>
      </c>
      <c r="BW115" s="210"/>
      <c r="BX115" s="237">
        <f t="shared" si="254"/>
        <v>0</v>
      </c>
      <c r="BY115" s="236">
        <v>35</v>
      </c>
      <c r="BZ115" s="237">
        <f t="shared" si="255"/>
        <v>48</v>
      </c>
      <c r="CA115" s="253">
        <f t="shared" si="256"/>
        <v>3.0748170731707316</v>
      </c>
      <c r="CB115" s="253" cm="1">
        <f t="array" ref="CB115">$BC115 * SUMPRODUCT(INDEX($AL$77:$AN$82,,$AE115),INDEX($AO$77:$AU$82,,$AD115), N($AK$77:$AK$82&gt;$AI115)) / CA115 / 1000</f>
        <v>0</v>
      </c>
      <c r="CC115" s="250">
        <f t="shared" si="257"/>
        <v>30</v>
      </c>
      <c r="CD115" s="237">
        <f t="shared" si="258"/>
        <v>43</v>
      </c>
      <c r="CE115" s="253">
        <f t="shared" si="259"/>
        <v>3.5018750000000001</v>
      </c>
      <c r="CF115" s="253" cm="1">
        <f t="array" ref="CF115">$BC115 * IF($AD115&lt;=2,
SUMPRODUCT(INDEX($AL$72:$AN$76,,$AE115), INDEX($AO$72:$AU$76,,$AD115), 1 / ($AV$72:$AV$76*CE115 + (1-$AV$72:$AV$76)*CA115), N($AK$72:$AK$76&gt;$AI115)),
SUMPRODUCT(INDEX($AL$67:$AN$76,,$AE115), INDEX($AO$67:$AU$76,,$AD115), 1 / ($AW$67:$AW$76*CE115 + (1-$AW$67:$AW$76)*CA115), N($AK$67:$AK$76&gt;$AI115))
) / 1000</f>
        <v>0</v>
      </c>
      <c r="CG115" s="250">
        <f t="shared" si="260"/>
        <v>25</v>
      </c>
      <c r="CH115" s="237">
        <f t="shared" si="261"/>
        <v>38</v>
      </c>
      <c r="CI115" s="253">
        <f t="shared" si="262"/>
        <v>4.0666935483870965</v>
      </c>
      <c r="CJ115" s="253" cm="1">
        <f t="array" ref="CJ115">$BC115 * IF($AD115&lt;=2,
SUMPRODUCT(INDEX($AL$67:$AN$71,,$AE115), INDEX($AO$67:$AU$71,,$AD115), 1 / ($AV$67:$AV$71*CI115 + (1-$AV$67:$AV$71)*CE115), N($AK$67:$AK$71&gt;$AI115)),
SUMPRODUCT(INDEX($AL$57:$AN$66,,$AE115), INDEX($AO$57:$AU$66,,$AD115), 1 / ($AW$57:$AW$66*CI115 + (1-$AW$57:$AW$66)*CE115), N($AK$57:$AK$66&gt;$AI115))
) / 1000</f>
        <v>0</v>
      </c>
      <c r="CK115" s="250">
        <f t="shared" si="263"/>
        <v>20</v>
      </c>
      <c r="CL115" s="237">
        <f t="shared" si="264"/>
        <v>33</v>
      </c>
      <c r="CM115" s="253">
        <f t="shared" si="265"/>
        <v>4.8487499999999999</v>
      </c>
      <c r="CN115" s="253" cm="1">
        <f t="array" ref="CN115">$BC115 * IF($AD115&lt;=2,
SUMPRODUCT(INDEX($AL$62:$AN$66,,$AE115), INDEX($AO$62:$AU$66,,$AD115), 1 / ($AV$62:$AV$66*CM115 + (1-$AV$62:$AV$66)*CI115), N($AK$62:$AK$66&gt;$AI115)),
SUMPRODUCT(INDEX($AL$47:$AN$56,,$AE115), INDEX($AO$47:$AU$56,,$AD115), 1 / ($AW$47:$AW$56*CM115 + (1-$AW$47:$AW$56)*CI115), N($AK$47:$AK$56&gt;$AI115))
) / 1000</f>
        <v>0</v>
      </c>
      <c r="CO115" s="253" cm="1">
        <f t="array" ref="CO115">$BC115 * IF($AD115&lt;=2,
SUMPRODUCT(INDEX($AL$23:$AN$61,,$AE115), INDEX($AO$23:$AU$61,,$AD115), 1 / ($AV$23:$AV$61*CM115), N($AK$23:$AK$61&gt;$AI115)),
SUMPRODUCT(INDEX($AL$23:$AN$46,,$AE115), INDEX($AO$23:$AU$46,,$AD115), 1 / ($AW$23:$AW$46*CM115), N($AK$23:$AK$46&gt;$AI115))
) / 1000</f>
        <v>0</v>
      </c>
      <c r="CP115" s="237">
        <f t="shared" si="266"/>
        <v>0</v>
      </c>
      <c r="CQ115" s="210"/>
    </row>
    <row r="116" spans="1:95" s="76" customFormat="1" ht="14.25" customHeight="1" x14ac:dyDescent="0.2">
      <c r="A116" s="238" t="b">
        <f t="shared" si="227"/>
        <v>0</v>
      </c>
      <c r="B116" s="239">
        <v>94</v>
      </c>
      <c r="C116" s="258"/>
      <c r="D116" s="258"/>
      <c r="E116" s="240"/>
      <c r="F116" s="241" t="str">
        <f>IF(ISBLANK(E116), "", VLOOKUP(E116, Z!$A$2:$C$4127, 3, FALSE))</f>
        <v/>
      </c>
      <c r="G116" s="242"/>
      <c r="H116" s="242"/>
      <c r="I116" s="243"/>
      <c r="J116" s="244"/>
      <c r="K116" s="259"/>
      <c r="L116" s="260"/>
      <c r="M116" s="247" t="str" cm="1">
        <f t="array" ref="M116">IF($K116&gt;0, INDEX(Clean,1+AG116,$C$1), "")</f>
        <v/>
      </c>
      <c r="N116" s="245"/>
      <c r="O116" s="245"/>
      <c r="P116" s="246"/>
      <c r="Q116" s="248">
        <f t="shared" si="232"/>
        <v>0</v>
      </c>
      <c r="R116" s="247" t="str" cm="1">
        <f t="array" ref="R116">IF($K116&gt;0, INDEX(Clean,1+AH116,$C$1), "")</f>
        <v/>
      </c>
      <c r="S116" s="245"/>
      <c r="T116" s="245"/>
      <c r="U116" s="246"/>
      <c r="V116" s="248">
        <f t="shared" si="233"/>
        <v>0</v>
      </c>
      <c r="W116" s="261"/>
      <c r="X116" s="258"/>
      <c r="Y116" s="240"/>
      <c r="Z116" s="241" t="str">
        <f>IF(ISBLANK(Y116), "", VLOOKUP(Y116, Z!$A$2:$C$4127, 3, FALSE))</f>
        <v/>
      </c>
      <c r="AA116" s="262"/>
      <c r="AB116" s="249">
        <f t="shared" si="234"/>
        <v>0</v>
      </c>
      <c r="AC116" s="210"/>
      <c r="AD116" s="236">
        <f t="shared" ref="AD116" si="348">IF(ISBLANK(H116), 1, IFERROR(MATCH(H116, INDEX(Use,,1), 0), IFERROR(MATCH(H116, INDEX(Use,,2), 0), MATCH(H116, INDEX(Use,,3), 0))))</f>
        <v>1</v>
      </c>
      <c r="AE116" s="236">
        <f t="shared" ref="AE116" si="349">IF(ISBLANK(G116), 1, IFERROR(MATCH(G116, INDEX(Loc,,1), 0), IFERROR(MATCH(G116, INDEX(Loc,,2), 0), MATCH(G116, INDEX(Loc,,3), 0))))</f>
        <v>1</v>
      </c>
      <c r="AF116" s="236">
        <f t="shared" ref="AF116" si="350">_xlfn.IFNA(IF(IFERROR(MATCH(I116, INDEX(Medium,,1), 0), IFERROR(MATCH(I116, INDEX(Medium,,2), 0), MATCH(I116, INDEX(Medium,,3), 0))) = 2, 1, 0), 0)</f>
        <v>0</v>
      </c>
      <c r="AG116" s="236">
        <v>1</v>
      </c>
      <c r="AH116" s="236">
        <v>0</v>
      </c>
      <c r="AI116" s="236">
        <f t="shared" si="231"/>
        <v>-100</v>
      </c>
      <c r="AJ116" s="210"/>
      <c r="AK116" s="254"/>
      <c r="AL116" s="254"/>
      <c r="AM116" s="255"/>
      <c r="AN116" s="255"/>
      <c r="AO116" s="255"/>
      <c r="AP116" s="255"/>
      <c r="AQ116" s="255"/>
      <c r="AR116" s="255"/>
      <c r="AS116" s="255"/>
      <c r="AT116" s="255"/>
      <c r="AU116" s="255"/>
      <c r="AV116" s="255"/>
      <c r="AW116" s="255"/>
      <c r="AX116" s="210"/>
      <c r="AY116" s="236" cm="1">
        <f t="array" ref="AY116">INDEX(Use, $AD116, 4)</f>
        <v>7</v>
      </c>
      <c r="AZ116" s="236">
        <f t="shared" si="238"/>
        <v>32</v>
      </c>
      <c r="BA116" s="236">
        <f t="shared" si="239"/>
        <v>13</v>
      </c>
      <c r="BB116" s="236">
        <f t="shared" si="240"/>
        <v>0</v>
      </c>
      <c r="BC116" s="252" cm="1">
        <f t="array" ref="BC116">K116/IF($L116&gt;0, INDEX($AO$23:$AU$77, $L116+20, $AD116), 1)</f>
        <v>0</v>
      </c>
      <c r="BD116" s="237">
        <f t="shared" si="241"/>
        <v>0</v>
      </c>
      <c r="BE116" s="236">
        <v>35</v>
      </c>
      <c r="BF116" s="237">
        <f t="shared" si="242"/>
        <v>52.55</v>
      </c>
      <c r="BG116" s="253">
        <f t="shared" si="243"/>
        <v>2.7676728869374316</v>
      </c>
      <c r="BH116" s="253" cm="1">
        <f t="array" ref="BH116">$BC116 * SUMPRODUCT(INDEX($AL$77:$AN$82,,$AE116),INDEX($AO$77:$AU$82,,$AD116), N($AK$77:$AK$82&gt;$AI116)) / BG116 / 1000</f>
        <v>0</v>
      </c>
      <c r="BI116" s="250">
        <f t="shared" si="244"/>
        <v>30</v>
      </c>
      <c r="BJ116" s="237">
        <f t="shared" si="245"/>
        <v>46.033333333333331</v>
      </c>
      <c r="BK116" s="253">
        <f t="shared" si="246"/>
        <v>3.2297395388556791</v>
      </c>
      <c r="BL116" s="253" cm="1">
        <f t="array" ref="BL116">$BC116 * IF($AD116&lt;=2,
SUMPRODUCT(INDEX($AL$72:$AN$76,,$AE116), INDEX($AO$72:$AU$76,,$AD116), 1 / ($AV$72:$AV$76*BK116 + (1-$AV$72:$AV$76)*BG116), N($AK$72:$AK$76&gt;$AI116)),
SUMPRODUCT(INDEX($AL$67:$AN$76,,$AE116), INDEX($AO$67:$AU$76,,$AD116), 1 / ($AW$67:$AW$76*BK116 + (1-$AW$67:$AW$76)*BG116), N($AK$67:$AK$76&gt;$AI116))
) / 1000</f>
        <v>0</v>
      </c>
      <c r="BM116" s="250">
        <f t="shared" si="247"/>
        <v>25</v>
      </c>
      <c r="BN116" s="237">
        <f t="shared" si="248"/>
        <v>39.516666666666666</v>
      </c>
      <c r="BO116" s="253">
        <f t="shared" si="249"/>
        <v>3.877011788826243</v>
      </c>
      <c r="BP116" s="253" cm="1">
        <f t="array" ref="BP116">$BC116 * IF($AD116&lt;=2,
SUMPRODUCT(INDEX($AL$67:$AN$71,,$AE116), INDEX($AO$67:$AU$71,,$AD116), 1 / ($AV$67:$AV$71*BO116 + (1-$AV$67:$AV$71)*BK116), N($AK$67:$AK$71&gt;$AI116)),
SUMPRODUCT(INDEX($AL$57:$AN$66,,$AE116), INDEX($AO$57:$AU$66,,$AD116), 1 / ($AW$57:$AW$66*BO116 + (1-$AW$57:$AW$66)*BK116), N($AK$57:$AK$66&gt;$AI116))
) / 1000</f>
        <v>0</v>
      </c>
      <c r="BQ116" s="250">
        <f t="shared" si="250"/>
        <v>20</v>
      </c>
      <c r="BR116" s="237">
        <f t="shared" si="251"/>
        <v>33</v>
      </c>
      <c r="BS116" s="253">
        <f t="shared" si="252"/>
        <v>4.8487499999999999</v>
      </c>
      <c r="BT116" s="253" cm="1">
        <f t="array" ref="BT116">$BC116 * IF($AD116&lt;=2,
SUMPRODUCT(INDEX($AL$62:$AN$66,,$AE116), INDEX($AO$62:$AU$66,,$AD116), 1 / ($AV$62:$AV$66*BS116 + (1-$AV$62:$AV$66)*BO116), N($AK$62:$AK$66&gt;$AI116)),
SUMPRODUCT(INDEX($AL$47:$AN$56,,$AE116), INDEX($AO$47:$AU$56,,$AD116), 1 / ($AW$47:$AW$56*BS116 + (1-$AW$47:$AW$56)*BO116), N($AK$47:$AK$56&gt;$AI116))
) / 1000</f>
        <v>0</v>
      </c>
      <c r="BU116" s="253" cm="1">
        <f t="array" ref="BU116">$BC116 * IF($AD116&lt;=2,
SUMPRODUCT(INDEX($AL$23:$AN$61,,$AE116), INDEX($AO$23:$AU$61,,$AD116), 1 / ($AV$23:$AV$61*BS116), N($AK$23:$AK$61&gt;$AI116)),
SUMPRODUCT(INDEX($AL$23:$AN$46,,$AE116), INDEX($AO$23:$AU$46,,$AD116), 1 / ($AW$23:$AW$46*BS116), N($AK$23:$AK$46&gt;$AI116))
) / 1000</f>
        <v>0</v>
      </c>
      <c r="BV116" s="237">
        <f t="shared" si="253"/>
        <v>0</v>
      </c>
      <c r="BW116" s="210"/>
      <c r="BX116" s="237">
        <f t="shared" si="254"/>
        <v>0</v>
      </c>
      <c r="BY116" s="236">
        <v>35</v>
      </c>
      <c r="BZ116" s="237">
        <f t="shared" si="255"/>
        <v>48</v>
      </c>
      <c r="CA116" s="253">
        <f t="shared" si="256"/>
        <v>3.0748170731707316</v>
      </c>
      <c r="CB116" s="253" cm="1">
        <f t="array" ref="CB116">$BC116 * SUMPRODUCT(INDEX($AL$77:$AN$82,,$AE116),INDEX($AO$77:$AU$82,,$AD116), N($AK$77:$AK$82&gt;$AI116)) / CA116 / 1000</f>
        <v>0</v>
      </c>
      <c r="CC116" s="250">
        <f t="shared" si="257"/>
        <v>30</v>
      </c>
      <c r="CD116" s="237">
        <f t="shared" si="258"/>
        <v>43</v>
      </c>
      <c r="CE116" s="253">
        <f t="shared" si="259"/>
        <v>3.5018750000000001</v>
      </c>
      <c r="CF116" s="253" cm="1">
        <f t="array" ref="CF116">$BC116 * IF($AD116&lt;=2,
SUMPRODUCT(INDEX($AL$72:$AN$76,,$AE116), INDEX($AO$72:$AU$76,,$AD116), 1 / ($AV$72:$AV$76*CE116 + (1-$AV$72:$AV$76)*CA116), N($AK$72:$AK$76&gt;$AI116)),
SUMPRODUCT(INDEX($AL$67:$AN$76,,$AE116), INDEX($AO$67:$AU$76,,$AD116), 1 / ($AW$67:$AW$76*CE116 + (1-$AW$67:$AW$76)*CA116), N($AK$67:$AK$76&gt;$AI116))
) / 1000</f>
        <v>0</v>
      </c>
      <c r="CG116" s="250">
        <f t="shared" si="260"/>
        <v>25</v>
      </c>
      <c r="CH116" s="237">
        <f t="shared" si="261"/>
        <v>38</v>
      </c>
      <c r="CI116" s="253">
        <f t="shared" si="262"/>
        <v>4.0666935483870965</v>
      </c>
      <c r="CJ116" s="253" cm="1">
        <f t="array" ref="CJ116">$BC116 * IF($AD116&lt;=2,
SUMPRODUCT(INDEX($AL$67:$AN$71,,$AE116), INDEX($AO$67:$AU$71,,$AD116), 1 / ($AV$67:$AV$71*CI116 + (1-$AV$67:$AV$71)*CE116), N($AK$67:$AK$71&gt;$AI116)),
SUMPRODUCT(INDEX($AL$57:$AN$66,,$AE116), INDEX($AO$57:$AU$66,,$AD116), 1 / ($AW$57:$AW$66*CI116 + (1-$AW$57:$AW$66)*CE116), N($AK$57:$AK$66&gt;$AI116))
) / 1000</f>
        <v>0</v>
      </c>
      <c r="CK116" s="250">
        <f t="shared" si="263"/>
        <v>20</v>
      </c>
      <c r="CL116" s="237">
        <f t="shared" si="264"/>
        <v>33</v>
      </c>
      <c r="CM116" s="253">
        <f t="shared" si="265"/>
        <v>4.8487499999999999</v>
      </c>
      <c r="CN116" s="253" cm="1">
        <f t="array" ref="CN116">$BC116 * IF($AD116&lt;=2,
SUMPRODUCT(INDEX($AL$62:$AN$66,,$AE116), INDEX($AO$62:$AU$66,,$AD116), 1 / ($AV$62:$AV$66*CM116 + (1-$AV$62:$AV$66)*CI116), N($AK$62:$AK$66&gt;$AI116)),
SUMPRODUCT(INDEX($AL$47:$AN$56,,$AE116), INDEX($AO$47:$AU$56,,$AD116), 1 / ($AW$47:$AW$56*CM116 + (1-$AW$47:$AW$56)*CI116), N($AK$47:$AK$56&gt;$AI116))
) / 1000</f>
        <v>0</v>
      </c>
      <c r="CO116" s="253" cm="1">
        <f t="array" ref="CO116">$BC116 * IF($AD116&lt;=2,
SUMPRODUCT(INDEX($AL$23:$AN$61,,$AE116), INDEX($AO$23:$AU$61,,$AD116), 1 / ($AV$23:$AV$61*CM116), N($AK$23:$AK$61&gt;$AI116)),
SUMPRODUCT(INDEX($AL$23:$AN$46,,$AE116), INDEX($AO$23:$AU$46,,$AD116), 1 / ($AW$23:$AW$46*CM116), N($AK$23:$AK$46&gt;$AI116))
) / 1000</f>
        <v>0</v>
      </c>
      <c r="CP116" s="237">
        <f t="shared" si="266"/>
        <v>0</v>
      </c>
      <c r="CQ116" s="210"/>
    </row>
    <row r="117" spans="1:95" s="76" customFormat="1" ht="14.25" customHeight="1" x14ac:dyDescent="0.2">
      <c r="A117" s="238" t="b">
        <f t="shared" si="227"/>
        <v>0</v>
      </c>
      <c r="B117" s="239">
        <v>95</v>
      </c>
      <c r="C117" s="258"/>
      <c r="D117" s="258"/>
      <c r="E117" s="240"/>
      <c r="F117" s="241" t="str">
        <f>IF(ISBLANK(E117), "", VLOOKUP(E117, Z!$A$2:$C$4127, 3, FALSE))</f>
        <v/>
      </c>
      <c r="G117" s="242"/>
      <c r="H117" s="242"/>
      <c r="I117" s="243"/>
      <c r="J117" s="244"/>
      <c r="K117" s="259"/>
      <c r="L117" s="260"/>
      <c r="M117" s="247" t="str" cm="1">
        <f t="array" ref="M117">IF($K117&gt;0, INDEX(Clean,1+AG117,$C$1), "")</f>
        <v/>
      </c>
      <c r="N117" s="245"/>
      <c r="O117" s="245"/>
      <c r="P117" s="246"/>
      <c r="Q117" s="248">
        <f t="shared" si="232"/>
        <v>0</v>
      </c>
      <c r="R117" s="247" t="str" cm="1">
        <f t="array" ref="R117">IF($K117&gt;0, INDEX(Clean,1+AH117,$C$1), "")</f>
        <v/>
      </c>
      <c r="S117" s="245"/>
      <c r="T117" s="245"/>
      <c r="U117" s="246"/>
      <c r="V117" s="248">
        <f t="shared" si="233"/>
        <v>0</v>
      </c>
      <c r="W117" s="261"/>
      <c r="X117" s="258"/>
      <c r="Y117" s="240"/>
      <c r="Z117" s="241" t="str">
        <f>IF(ISBLANK(Y117), "", VLOOKUP(Y117, Z!$A$2:$C$4127, 3, FALSE))</f>
        <v/>
      </c>
      <c r="AA117" s="262"/>
      <c r="AB117" s="249">
        <f t="shared" si="234"/>
        <v>0</v>
      </c>
      <c r="AC117" s="210"/>
      <c r="AD117" s="236">
        <f t="shared" ref="AD117" si="351">IF(ISBLANK(H117), 1, IFERROR(MATCH(H117, INDEX(Use,,1), 0), IFERROR(MATCH(H117, INDEX(Use,,2), 0), MATCH(H117, INDEX(Use,,3), 0))))</f>
        <v>1</v>
      </c>
      <c r="AE117" s="236">
        <f t="shared" ref="AE117" si="352">IF(ISBLANK(G117), 1, IFERROR(MATCH(G117, INDEX(Loc,,1), 0), IFERROR(MATCH(G117, INDEX(Loc,,2), 0), MATCH(G117, INDEX(Loc,,3), 0))))</f>
        <v>1</v>
      </c>
      <c r="AF117" s="236">
        <f t="shared" ref="AF117" si="353">_xlfn.IFNA(IF(IFERROR(MATCH(I117, INDEX(Medium,,1), 0), IFERROR(MATCH(I117, INDEX(Medium,,2), 0), MATCH(I117, INDEX(Medium,,3), 0))) = 2, 1, 0), 0)</f>
        <v>0</v>
      </c>
      <c r="AG117" s="236">
        <v>1</v>
      </c>
      <c r="AH117" s="236">
        <v>0</v>
      </c>
      <c r="AI117" s="236">
        <f t="shared" si="231"/>
        <v>-100</v>
      </c>
      <c r="AJ117" s="210"/>
      <c r="AK117" s="254"/>
      <c r="AL117" s="254"/>
      <c r="AM117" s="255"/>
      <c r="AN117" s="255"/>
      <c r="AO117" s="255"/>
      <c r="AP117" s="255"/>
      <c r="AQ117" s="255"/>
      <c r="AR117" s="255"/>
      <c r="AS117" s="255"/>
      <c r="AT117" s="255"/>
      <c r="AU117" s="255"/>
      <c r="AV117" s="255"/>
      <c r="AW117" s="255"/>
      <c r="AX117" s="210"/>
      <c r="AY117" s="236" cm="1">
        <f t="array" ref="AY117">INDEX(Use, $AD117, 4)</f>
        <v>7</v>
      </c>
      <c r="AZ117" s="236">
        <f t="shared" si="238"/>
        <v>32</v>
      </c>
      <c r="BA117" s="236">
        <f t="shared" si="239"/>
        <v>13</v>
      </c>
      <c r="BB117" s="236">
        <f t="shared" si="240"/>
        <v>0</v>
      </c>
      <c r="BC117" s="252" cm="1">
        <f t="array" ref="BC117">K117/IF($L117&gt;0, INDEX($AO$23:$AU$77, $L117+20, $AD117), 1)</f>
        <v>0</v>
      </c>
      <c r="BD117" s="237">
        <f t="shared" si="241"/>
        <v>0</v>
      </c>
      <c r="BE117" s="236">
        <v>35</v>
      </c>
      <c r="BF117" s="237">
        <f t="shared" si="242"/>
        <v>52.55</v>
      </c>
      <c r="BG117" s="253">
        <f t="shared" si="243"/>
        <v>2.7676728869374316</v>
      </c>
      <c r="BH117" s="253" cm="1">
        <f t="array" ref="BH117">$BC117 * SUMPRODUCT(INDEX($AL$77:$AN$82,,$AE117),INDEX($AO$77:$AU$82,,$AD117), N($AK$77:$AK$82&gt;$AI117)) / BG117 / 1000</f>
        <v>0</v>
      </c>
      <c r="BI117" s="250">
        <f t="shared" si="244"/>
        <v>30</v>
      </c>
      <c r="BJ117" s="237">
        <f t="shared" si="245"/>
        <v>46.033333333333331</v>
      </c>
      <c r="BK117" s="253">
        <f t="shared" si="246"/>
        <v>3.2297395388556791</v>
      </c>
      <c r="BL117" s="253" cm="1">
        <f t="array" ref="BL117">$BC117 * IF($AD117&lt;=2,
SUMPRODUCT(INDEX($AL$72:$AN$76,,$AE117), INDEX($AO$72:$AU$76,,$AD117), 1 / ($AV$72:$AV$76*BK117 + (1-$AV$72:$AV$76)*BG117), N($AK$72:$AK$76&gt;$AI117)),
SUMPRODUCT(INDEX($AL$67:$AN$76,,$AE117), INDEX($AO$67:$AU$76,,$AD117), 1 / ($AW$67:$AW$76*BK117 + (1-$AW$67:$AW$76)*BG117), N($AK$67:$AK$76&gt;$AI117))
) / 1000</f>
        <v>0</v>
      </c>
      <c r="BM117" s="250">
        <f t="shared" si="247"/>
        <v>25</v>
      </c>
      <c r="BN117" s="237">
        <f t="shared" si="248"/>
        <v>39.516666666666666</v>
      </c>
      <c r="BO117" s="253">
        <f t="shared" si="249"/>
        <v>3.877011788826243</v>
      </c>
      <c r="BP117" s="253" cm="1">
        <f t="array" ref="BP117">$BC117 * IF($AD117&lt;=2,
SUMPRODUCT(INDEX($AL$67:$AN$71,,$AE117), INDEX($AO$67:$AU$71,,$AD117), 1 / ($AV$67:$AV$71*BO117 + (1-$AV$67:$AV$71)*BK117), N($AK$67:$AK$71&gt;$AI117)),
SUMPRODUCT(INDEX($AL$57:$AN$66,,$AE117), INDEX($AO$57:$AU$66,,$AD117), 1 / ($AW$57:$AW$66*BO117 + (1-$AW$57:$AW$66)*BK117), N($AK$57:$AK$66&gt;$AI117))
) / 1000</f>
        <v>0</v>
      </c>
      <c r="BQ117" s="250">
        <f t="shared" si="250"/>
        <v>20</v>
      </c>
      <c r="BR117" s="237">
        <f t="shared" si="251"/>
        <v>33</v>
      </c>
      <c r="BS117" s="253">
        <f t="shared" si="252"/>
        <v>4.8487499999999999</v>
      </c>
      <c r="BT117" s="253" cm="1">
        <f t="array" ref="BT117">$BC117 * IF($AD117&lt;=2,
SUMPRODUCT(INDEX($AL$62:$AN$66,,$AE117), INDEX($AO$62:$AU$66,,$AD117), 1 / ($AV$62:$AV$66*BS117 + (1-$AV$62:$AV$66)*BO117), N($AK$62:$AK$66&gt;$AI117)),
SUMPRODUCT(INDEX($AL$47:$AN$56,,$AE117), INDEX($AO$47:$AU$56,,$AD117), 1 / ($AW$47:$AW$56*BS117 + (1-$AW$47:$AW$56)*BO117), N($AK$47:$AK$56&gt;$AI117))
) / 1000</f>
        <v>0</v>
      </c>
      <c r="BU117" s="253" cm="1">
        <f t="array" ref="BU117">$BC117 * IF($AD117&lt;=2,
SUMPRODUCT(INDEX($AL$23:$AN$61,,$AE117), INDEX($AO$23:$AU$61,,$AD117), 1 / ($AV$23:$AV$61*BS117), N($AK$23:$AK$61&gt;$AI117)),
SUMPRODUCT(INDEX($AL$23:$AN$46,,$AE117), INDEX($AO$23:$AU$46,,$AD117), 1 / ($AW$23:$AW$46*BS117), N($AK$23:$AK$46&gt;$AI117))
) / 1000</f>
        <v>0</v>
      </c>
      <c r="BV117" s="237">
        <f t="shared" si="253"/>
        <v>0</v>
      </c>
      <c r="BW117" s="210"/>
      <c r="BX117" s="237">
        <f t="shared" si="254"/>
        <v>0</v>
      </c>
      <c r="BY117" s="236">
        <v>35</v>
      </c>
      <c r="BZ117" s="237">
        <f t="shared" si="255"/>
        <v>48</v>
      </c>
      <c r="CA117" s="253">
        <f t="shared" si="256"/>
        <v>3.0748170731707316</v>
      </c>
      <c r="CB117" s="253" cm="1">
        <f t="array" ref="CB117">$BC117 * SUMPRODUCT(INDEX($AL$77:$AN$82,,$AE117),INDEX($AO$77:$AU$82,,$AD117), N($AK$77:$AK$82&gt;$AI117)) / CA117 / 1000</f>
        <v>0</v>
      </c>
      <c r="CC117" s="250">
        <f t="shared" si="257"/>
        <v>30</v>
      </c>
      <c r="CD117" s="237">
        <f t="shared" si="258"/>
        <v>43</v>
      </c>
      <c r="CE117" s="253">
        <f t="shared" si="259"/>
        <v>3.5018750000000001</v>
      </c>
      <c r="CF117" s="253" cm="1">
        <f t="array" ref="CF117">$BC117 * IF($AD117&lt;=2,
SUMPRODUCT(INDEX($AL$72:$AN$76,,$AE117), INDEX($AO$72:$AU$76,,$AD117), 1 / ($AV$72:$AV$76*CE117 + (1-$AV$72:$AV$76)*CA117), N($AK$72:$AK$76&gt;$AI117)),
SUMPRODUCT(INDEX($AL$67:$AN$76,,$AE117), INDEX($AO$67:$AU$76,,$AD117), 1 / ($AW$67:$AW$76*CE117 + (1-$AW$67:$AW$76)*CA117), N($AK$67:$AK$76&gt;$AI117))
) / 1000</f>
        <v>0</v>
      </c>
      <c r="CG117" s="250">
        <f t="shared" si="260"/>
        <v>25</v>
      </c>
      <c r="CH117" s="237">
        <f t="shared" si="261"/>
        <v>38</v>
      </c>
      <c r="CI117" s="253">
        <f t="shared" si="262"/>
        <v>4.0666935483870965</v>
      </c>
      <c r="CJ117" s="253" cm="1">
        <f t="array" ref="CJ117">$BC117 * IF($AD117&lt;=2,
SUMPRODUCT(INDEX($AL$67:$AN$71,,$AE117), INDEX($AO$67:$AU$71,,$AD117), 1 / ($AV$67:$AV$71*CI117 + (1-$AV$67:$AV$71)*CE117), N($AK$67:$AK$71&gt;$AI117)),
SUMPRODUCT(INDEX($AL$57:$AN$66,,$AE117), INDEX($AO$57:$AU$66,,$AD117), 1 / ($AW$57:$AW$66*CI117 + (1-$AW$57:$AW$66)*CE117), N($AK$57:$AK$66&gt;$AI117))
) / 1000</f>
        <v>0</v>
      </c>
      <c r="CK117" s="250">
        <f t="shared" si="263"/>
        <v>20</v>
      </c>
      <c r="CL117" s="237">
        <f t="shared" si="264"/>
        <v>33</v>
      </c>
      <c r="CM117" s="253">
        <f t="shared" si="265"/>
        <v>4.8487499999999999</v>
      </c>
      <c r="CN117" s="253" cm="1">
        <f t="array" ref="CN117">$BC117 * IF($AD117&lt;=2,
SUMPRODUCT(INDEX($AL$62:$AN$66,,$AE117), INDEX($AO$62:$AU$66,,$AD117), 1 / ($AV$62:$AV$66*CM117 + (1-$AV$62:$AV$66)*CI117), N($AK$62:$AK$66&gt;$AI117)),
SUMPRODUCT(INDEX($AL$47:$AN$56,,$AE117), INDEX($AO$47:$AU$56,,$AD117), 1 / ($AW$47:$AW$56*CM117 + (1-$AW$47:$AW$56)*CI117), N($AK$47:$AK$56&gt;$AI117))
) / 1000</f>
        <v>0</v>
      </c>
      <c r="CO117" s="253" cm="1">
        <f t="array" ref="CO117">$BC117 * IF($AD117&lt;=2,
SUMPRODUCT(INDEX($AL$23:$AN$61,,$AE117), INDEX($AO$23:$AU$61,,$AD117), 1 / ($AV$23:$AV$61*CM117), N($AK$23:$AK$61&gt;$AI117)),
SUMPRODUCT(INDEX($AL$23:$AN$46,,$AE117), INDEX($AO$23:$AU$46,,$AD117), 1 / ($AW$23:$AW$46*CM117), N($AK$23:$AK$46&gt;$AI117))
) / 1000</f>
        <v>0</v>
      </c>
      <c r="CP117" s="237">
        <f t="shared" si="266"/>
        <v>0</v>
      </c>
      <c r="CQ117" s="210"/>
    </row>
    <row r="118" spans="1:95" s="76" customFormat="1" ht="14.25" customHeight="1" x14ac:dyDescent="0.2">
      <c r="A118" s="238" t="b">
        <f t="shared" si="227"/>
        <v>0</v>
      </c>
      <c r="B118" s="239">
        <v>96</v>
      </c>
      <c r="C118" s="258"/>
      <c r="D118" s="258"/>
      <c r="E118" s="240"/>
      <c r="F118" s="241" t="str">
        <f>IF(ISBLANK(E118), "", VLOOKUP(E118, Z!$A$2:$C$4127, 3, FALSE))</f>
        <v/>
      </c>
      <c r="G118" s="242"/>
      <c r="H118" s="242"/>
      <c r="I118" s="243"/>
      <c r="J118" s="244"/>
      <c r="K118" s="259"/>
      <c r="L118" s="260"/>
      <c r="M118" s="247" t="str" cm="1">
        <f t="array" ref="M118">IF($K118&gt;0, INDEX(Clean,1+AG118,$C$1), "")</f>
        <v/>
      </c>
      <c r="N118" s="245"/>
      <c r="O118" s="245"/>
      <c r="P118" s="246"/>
      <c r="Q118" s="248">
        <f t="shared" si="232"/>
        <v>0</v>
      </c>
      <c r="R118" s="247" t="str" cm="1">
        <f t="array" ref="R118">IF($K118&gt;0, INDEX(Clean,1+AH118,$C$1), "")</f>
        <v/>
      </c>
      <c r="S118" s="245"/>
      <c r="T118" s="245"/>
      <c r="U118" s="246"/>
      <c r="V118" s="248">
        <f t="shared" si="233"/>
        <v>0</v>
      </c>
      <c r="W118" s="261"/>
      <c r="X118" s="258"/>
      <c r="Y118" s="240"/>
      <c r="Z118" s="241" t="str">
        <f>IF(ISBLANK(Y118), "", VLOOKUP(Y118, Z!$A$2:$C$4127, 3, FALSE))</f>
        <v/>
      </c>
      <c r="AA118" s="262"/>
      <c r="AB118" s="249">
        <f t="shared" si="234"/>
        <v>0</v>
      </c>
      <c r="AC118" s="210"/>
      <c r="AD118" s="236">
        <f t="shared" ref="AD118" si="354">IF(ISBLANK(H118), 1, IFERROR(MATCH(H118, INDEX(Use,,1), 0), IFERROR(MATCH(H118, INDEX(Use,,2), 0), MATCH(H118, INDEX(Use,,3), 0))))</f>
        <v>1</v>
      </c>
      <c r="AE118" s="236">
        <f t="shared" ref="AE118" si="355">IF(ISBLANK(G118), 1, IFERROR(MATCH(G118, INDEX(Loc,,1), 0), IFERROR(MATCH(G118, INDEX(Loc,,2), 0), MATCH(G118, INDEX(Loc,,3), 0))))</f>
        <v>1</v>
      </c>
      <c r="AF118" s="236">
        <f t="shared" ref="AF118" si="356">_xlfn.IFNA(IF(IFERROR(MATCH(I118, INDEX(Medium,,1), 0), IFERROR(MATCH(I118, INDEX(Medium,,2), 0), MATCH(I118, INDEX(Medium,,3), 0))) = 2, 1, 0), 0)</f>
        <v>0</v>
      </c>
      <c r="AG118" s="236">
        <v>1</v>
      </c>
      <c r="AH118" s="236">
        <v>0</v>
      </c>
      <c r="AI118" s="236">
        <f t="shared" si="231"/>
        <v>-100</v>
      </c>
      <c r="AJ118" s="210"/>
      <c r="AK118" s="254"/>
      <c r="AL118" s="254"/>
      <c r="AM118" s="255"/>
      <c r="AN118" s="255"/>
      <c r="AO118" s="255"/>
      <c r="AP118" s="255"/>
      <c r="AQ118" s="255"/>
      <c r="AR118" s="255"/>
      <c r="AS118" s="255"/>
      <c r="AT118" s="255"/>
      <c r="AU118" s="255"/>
      <c r="AV118" s="255"/>
      <c r="AW118" s="255"/>
      <c r="AX118" s="210"/>
      <c r="AY118" s="236" cm="1">
        <f t="array" ref="AY118">INDEX(Use, $AD118, 4)</f>
        <v>7</v>
      </c>
      <c r="AZ118" s="236">
        <f t="shared" si="238"/>
        <v>32</v>
      </c>
      <c r="BA118" s="236">
        <f t="shared" si="239"/>
        <v>13</v>
      </c>
      <c r="BB118" s="236">
        <f t="shared" si="240"/>
        <v>0</v>
      </c>
      <c r="BC118" s="252" cm="1">
        <f t="array" ref="BC118">K118/IF($L118&gt;0, INDEX($AO$23:$AU$77, $L118+20, $AD118), 1)</f>
        <v>0</v>
      </c>
      <c r="BD118" s="237">
        <f t="shared" si="241"/>
        <v>0</v>
      </c>
      <c r="BE118" s="236">
        <v>35</v>
      </c>
      <c r="BF118" s="237">
        <f t="shared" si="242"/>
        <v>52.55</v>
      </c>
      <c r="BG118" s="253">
        <f t="shared" si="243"/>
        <v>2.7676728869374316</v>
      </c>
      <c r="BH118" s="253" cm="1">
        <f t="array" ref="BH118">$BC118 * SUMPRODUCT(INDEX($AL$77:$AN$82,,$AE118),INDEX($AO$77:$AU$82,,$AD118), N($AK$77:$AK$82&gt;$AI118)) / BG118 / 1000</f>
        <v>0</v>
      </c>
      <c r="BI118" s="250">
        <f t="shared" si="244"/>
        <v>30</v>
      </c>
      <c r="BJ118" s="237">
        <f t="shared" si="245"/>
        <v>46.033333333333331</v>
      </c>
      <c r="BK118" s="253">
        <f t="shared" si="246"/>
        <v>3.2297395388556791</v>
      </c>
      <c r="BL118" s="253" cm="1">
        <f t="array" ref="BL118">$BC118 * IF($AD118&lt;=2,
SUMPRODUCT(INDEX($AL$72:$AN$76,,$AE118), INDEX($AO$72:$AU$76,,$AD118), 1 / ($AV$72:$AV$76*BK118 + (1-$AV$72:$AV$76)*BG118), N($AK$72:$AK$76&gt;$AI118)),
SUMPRODUCT(INDEX($AL$67:$AN$76,,$AE118), INDEX($AO$67:$AU$76,,$AD118), 1 / ($AW$67:$AW$76*BK118 + (1-$AW$67:$AW$76)*BG118), N($AK$67:$AK$76&gt;$AI118))
) / 1000</f>
        <v>0</v>
      </c>
      <c r="BM118" s="250">
        <f t="shared" si="247"/>
        <v>25</v>
      </c>
      <c r="BN118" s="237">
        <f t="shared" si="248"/>
        <v>39.516666666666666</v>
      </c>
      <c r="BO118" s="253">
        <f t="shared" si="249"/>
        <v>3.877011788826243</v>
      </c>
      <c r="BP118" s="253" cm="1">
        <f t="array" ref="BP118">$BC118 * IF($AD118&lt;=2,
SUMPRODUCT(INDEX($AL$67:$AN$71,,$AE118), INDEX($AO$67:$AU$71,,$AD118), 1 / ($AV$67:$AV$71*BO118 + (1-$AV$67:$AV$71)*BK118), N($AK$67:$AK$71&gt;$AI118)),
SUMPRODUCT(INDEX($AL$57:$AN$66,,$AE118), INDEX($AO$57:$AU$66,,$AD118), 1 / ($AW$57:$AW$66*BO118 + (1-$AW$57:$AW$66)*BK118), N($AK$57:$AK$66&gt;$AI118))
) / 1000</f>
        <v>0</v>
      </c>
      <c r="BQ118" s="250">
        <f t="shared" si="250"/>
        <v>20</v>
      </c>
      <c r="BR118" s="237">
        <f t="shared" si="251"/>
        <v>33</v>
      </c>
      <c r="BS118" s="253">
        <f t="shared" si="252"/>
        <v>4.8487499999999999</v>
      </c>
      <c r="BT118" s="253" cm="1">
        <f t="array" ref="BT118">$BC118 * IF($AD118&lt;=2,
SUMPRODUCT(INDEX($AL$62:$AN$66,,$AE118), INDEX($AO$62:$AU$66,,$AD118), 1 / ($AV$62:$AV$66*BS118 + (1-$AV$62:$AV$66)*BO118), N($AK$62:$AK$66&gt;$AI118)),
SUMPRODUCT(INDEX($AL$47:$AN$56,,$AE118), INDEX($AO$47:$AU$56,,$AD118), 1 / ($AW$47:$AW$56*BS118 + (1-$AW$47:$AW$56)*BO118), N($AK$47:$AK$56&gt;$AI118))
) / 1000</f>
        <v>0</v>
      </c>
      <c r="BU118" s="253" cm="1">
        <f t="array" ref="BU118">$BC118 * IF($AD118&lt;=2,
SUMPRODUCT(INDEX($AL$23:$AN$61,,$AE118), INDEX($AO$23:$AU$61,,$AD118), 1 / ($AV$23:$AV$61*BS118), N($AK$23:$AK$61&gt;$AI118)),
SUMPRODUCT(INDEX($AL$23:$AN$46,,$AE118), INDEX($AO$23:$AU$46,,$AD118), 1 / ($AW$23:$AW$46*BS118), N($AK$23:$AK$46&gt;$AI118))
) / 1000</f>
        <v>0</v>
      </c>
      <c r="BV118" s="237">
        <f t="shared" si="253"/>
        <v>0</v>
      </c>
      <c r="BW118" s="210"/>
      <c r="BX118" s="237">
        <f t="shared" si="254"/>
        <v>0</v>
      </c>
      <c r="BY118" s="236">
        <v>35</v>
      </c>
      <c r="BZ118" s="237">
        <f t="shared" si="255"/>
        <v>48</v>
      </c>
      <c r="CA118" s="253">
        <f t="shared" si="256"/>
        <v>3.0748170731707316</v>
      </c>
      <c r="CB118" s="253" cm="1">
        <f t="array" ref="CB118">$BC118 * SUMPRODUCT(INDEX($AL$77:$AN$82,,$AE118),INDEX($AO$77:$AU$82,,$AD118), N($AK$77:$AK$82&gt;$AI118)) / CA118 / 1000</f>
        <v>0</v>
      </c>
      <c r="CC118" s="250">
        <f t="shared" si="257"/>
        <v>30</v>
      </c>
      <c r="CD118" s="237">
        <f t="shared" si="258"/>
        <v>43</v>
      </c>
      <c r="CE118" s="253">
        <f t="shared" si="259"/>
        <v>3.5018750000000001</v>
      </c>
      <c r="CF118" s="253" cm="1">
        <f t="array" ref="CF118">$BC118 * IF($AD118&lt;=2,
SUMPRODUCT(INDEX($AL$72:$AN$76,,$AE118), INDEX($AO$72:$AU$76,,$AD118), 1 / ($AV$72:$AV$76*CE118 + (1-$AV$72:$AV$76)*CA118), N($AK$72:$AK$76&gt;$AI118)),
SUMPRODUCT(INDEX($AL$67:$AN$76,,$AE118), INDEX($AO$67:$AU$76,,$AD118), 1 / ($AW$67:$AW$76*CE118 + (1-$AW$67:$AW$76)*CA118), N($AK$67:$AK$76&gt;$AI118))
) / 1000</f>
        <v>0</v>
      </c>
      <c r="CG118" s="250">
        <f t="shared" si="260"/>
        <v>25</v>
      </c>
      <c r="CH118" s="237">
        <f t="shared" si="261"/>
        <v>38</v>
      </c>
      <c r="CI118" s="253">
        <f t="shared" si="262"/>
        <v>4.0666935483870965</v>
      </c>
      <c r="CJ118" s="253" cm="1">
        <f t="array" ref="CJ118">$BC118 * IF($AD118&lt;=2,
SUMPRODUCT(INDEX($AL$67:$AN$71,,$AE118), INDEX($AO$67:$AU$71,,$AD118), 1 / ($AV$67:$AV$71*CI118 + (1-$AV$67:$AV$71)*CE118), N($AK$67:$AK$71&gt;$AI118)),
SUMPRODUCT(INDEX($AL$57:$AN$66,,$AE118), INDEX($AO$57:$AU$66,,$AD118), 1 / ($AW$57:$AW$66*CI118 + (1-$AW$57:$AW$66)*CE118), N($AK$57:$AK$66&gt;$AI118))
) / 1000</f>
        <v>0</v>
      </c>
      <c r="CK118" s="250">
        <f t="shared" si="263"/>
        <v>20</v>
      </c>
      <c r="CL118" s="237">
        <f t="shared" si="264"/>
        <v>33</v>
      </c>
      <c r="CM118" s="253">
        <f t="shared" si="265"/>
        <v>4.8487499999999999</v>
      </c>
      <c r="CN118" s="253" cm="1">
        <f t="array" ref="CN118">$BC118 * IF($AD118&lt;=2,
SUMPRODUCT(INDEX($AL$62:$AN$66,,$AE118), INDEX($AO$62:$AU$66,,$AD118), 1 / ($AV$62:$AV$66*CM118 + (1-$AV$62:$AV$66)*CI118), N($AK$62:$AK$66&gt;$AI118)),
SUMPRODUCT(INDEX($AL$47:$AN$56,,$AE118), INDEX($AO$47:$AU$56,,$AD118), 1 / ($AW$47:$AW$56*CM118 + (1-$AW$47:$AW$56)*CI118), N($AK$47:$AK$56&gt;$AI118))
) / 1000</f>
        <v>0</v>
      </c>
      <c r="CO118" s="253" cm="1">
        <f t="array" ref="CO118">$BC118 * IF($AD118&lt;=2,
SUMPRODUCT(INDEX($AL$23:$AN$61,,$AE118), INDEX($AO$23:$AU$61,,$AD118), 1 / ($AV$23:$AV$61*CM118), N($AK$23:$AK$61&gt;$AI118)),
SUMPRODUCT(INDEX($AL$23:$AN$46,,$AE118), INDEX($AO$23:$AU$46,,$AD118), 1 / ($AW$23:$AW$46*CM118), N($AK$23:$AK$46&gt;$AI118))
) / 1000</f>
        <v>0</v>
      </c>
      <c r="CP118" s="237">
        <f t="shared" si="266"/>
        <v>0</v>
      </c>
      <c r="CQ118" s="210"/>
    </row>
    <row r="119" spans="1:95" s="76" customFormat="1" ht="14.25" customHeight="1" x14ac:dyDescent="0.2">
      <c r="A119" s="238" t="b">
        <f t="shared" si="227"/>
        <v>0</v>
      </c>
      <c r="B119" s="239">
        <v>97</v>
      </c>
      <c r="C119" s="258"/>
      <c r="D119" s="258"/>
      <c r="E119" s="240"/>
      <c r="F119" s="241" t="str">
        <f>IF(ISBLANK(E119), "", VLOOKUP(E119, Z!$A$2:$C$4127, 3, FALSE))</f>
        <v/>
      </c>
      <c r="G119" s="242"/>
      <c r="H119" s="242"/>
      <c r="I119" s="243"/>
      <c r="J119" s="244"/>
      <c r="K119" s="259"/>
      <c r="L119" s="260"/>
      <c r="M119" s="247" t="str" cm="1">
        <f t="array" ref="M119">IF($K119&gt;0, INDEX(Clean,1+AG119,$C$1), "")</f>
        <v/>
      </c>
      <c r="N119" s="245"/>
      <c r="O119" s="245"/>
      <c r="P119" s="246"/>
      <c r="Q119" s="248">
        <f t="shared" si="232"/>
        <v>0</v>
      </c>
      <c r="R119" s="247" t="str" cm="1">
        <f t="array" ref="R119">IF($K119&gt;0, INDEX(Clean,1+AH119,$C$1), "")</f>
        <v/>
      </c>
      <c r="S119" s="245"/>
      <c r="T119" s="245"/>
      <c r="U119" s="246"/>
      <c r="V119" s="248">
        <f t="shared" si="233"/>
        <v>0</v>
      </c>
      <c r="W119" s="261"/>
      <c r="X119" s="258"/>
      <c r="Y119" s="240"/>
      <c r="Z119" s="241" t="str">
        <f>IF(ISBLANK(Y119), "", VLOOKUP(Y119, Z!$A$2:$C$4127, 3, FALSE))</f>
        <v/>
      </c>
      <c r="AA119" s="262"/>
      <c r="AB119" s="249">
        <f t="shared" si="234"/>
        <v>0</v>
      </c>
      <c r="AC119" s="210"/>
      <c r="AD119" s="236">
        <f t="shared" ref="AD119" si="357">IF(ISBLANK(H119), 1, IFERROR(MATCH(H119, INDEX(Use,,1), 0), IFERROR(MATCH(H119, INDEX(Use,,2), 0), MATCH(H119, INDEX(Use,,3), 0))))</f>
        <v>1</v>
      </c>
      <c r="AE119" s="236">
        <f t="shared" ref="AE119" si="358">IF(ISBLANK(G119), 1, IFERROR(MATCH(G119, INDEX(Loc,,1), 0), IFERROR(MATCH(G119, INDEX(Loc,,2), 0), MATCH(G119, INDEX(Loc,,3), 0))))</f>
        <v>1</v>
      </c>
      <c r="AF119" s="236">
        <f t="shared" ref="AF119" si="359">_xlfn.IFNA(IF(IFERROR(MATCH(I119, INDEX(Medium,,1), 0), IFERROR(MATCH(I119, INDEX(Medium,,2), 0), MATCH(I119, INDEX(Medium,,3), 0))) = 2, 1, 0), 0)</f>
        <v>0</v>
      </c>
      <c r="AG119" s="236">
        <v>1</v>
      </c>
      <c r="AH119" s="236">
        <v>0</v>
      </c>
      <c r="AI119" s="236">
        <f t="shared" si="231"/>
        <v>-100</v>
      </c>
      <c r="AJ119" s="210"/>
      <c r="AK119" s="254"/>
      <c r="AL119" s="254"/>
      <c r="AM119" s="255"/>
      <c r="AN119" s="255"/>
      <c r="AO119" s="255"/>
      <c r="AP119" s="255"/>
      <c r="AQ119" s="255"/>
      <c r="AR119" s="255"/>
      <c r="AS119" s="255"/>
      <c r="AT119" s="255"/>
      <c r="AU119" s="255"/>
      <c r="AV119" s="255"/>
      <c r="AW119" s="255"/>
      <c r="AX119" s="210"/>
      <c r="AY119" s="236" cm="1">
        <f t="array" ref="AY119">INDEX(Use, $AD119, 4)</f>
        <v>7</v>
      </c>
      <c r="AZ119" s="236">
        <f t="shared" si="238"/>
        <v>32</v>
      </c>
      <c r="BA119" s="236">
        <f t="shared" si="239"/>
        <v>13</v>
      </c>
      <c r="BB119" s="236">
        <f t="shared" si="240"/>
        <v>0</v>
      </c>
      <c r="BC119" s="252" cm="1">
        <f t="array" ref="BC119">K119/IF($L119&gt;0, INDEX($AO$23:$AU$77, $L119+20, $AD119), 1)</f>
        <v>0</v>
      </c>
      <c r="BD119" s="237">
        <f t="shared" si="241"/>
        <v>0</v>
      </c>
      <c r="BE119" s="236">
        <v>35</v>
      </c>
      <c r="BF119" s="237">
        <f t="shared" si="242"/>
        <v>52.55</v>
      </c>
      <c r="BG119" s="253">
        <f t="shared" si="243"/>
        <v>2.7676728869374316</v>
      </c>
      <c r="BH119" s="253" cm="1">
        <f t="array" ref="BH119">$BC119 * SUMPRODUCT(INDEX($AL$77:$AN$82,,$AE119),INDEX($AO$77:$AU$82,,$AD119), N($AK$77:$AK$82&gt;$AI119)) / BG119 / 1000</f>
        <v>0</v>
      </c>
      <c r="BI119" s="250">
        <f t="shared" si="244"/>
        <v>30</v>
      </c>
      <c r="BJ119" s="237">
        <f t="shared" si="245"/>
        <v>46.033333333333331</v>
      </c>
      <c r="BK119" s="253">
        <f t="shared" si="246"/>
        <v>3.2297395388556791</v>
      </c>
      <c r="BL119" s="253" cm="1">
        <f t="array" ref="BL119">$BC119 * IF($AD119&lt;=2,
SUMPRODUCT(INDEX($AL$72:$AN$76,,$AE119), INDEX($AO$72:$AU$76,,$AD119), 1 / ($AV$72:$AV$76*BK119 + (1-$AV$72:$AV$76)*BG119), N($AK$72:$AK$76&gt;$AI119)),
SUMPRODUCT(INDEX($AL$67:$AN$76,,$AE119), INDEX($AO$67:$AU$76,,$AD119), 1 / ($AW$67:$AW$76*BK119 + (1-$AW$67:$AW$76)*BG119), N($AK$67:$AK$76&gt;$AI119))
) / 1000</f>
        <v>0</v>
      </c>
      <c r="BM119" s="250">
        <f t="shared" si="247"/>
        <v>25</v>
      </c>
      <c r="BN119" s="237">
        <f t="shared" si="248"/>
        <v>39.516666666666666</v>
      </c>
      <c r="BO119" s="253">
        <f t="shared" si="249"/>
        <v>3.877011788826243</v>
      </c>
      <c r="BP119" s="253" cm="1">
        <f t="array" ref="BP119">$BC119 * IF($AD119&lt;=2,
SUMPRODUCT(INDEX($AL$67:$AN$71,,$AE119), INDEX($AO$67:$AU$71,,$AD119), 1 / ($AV$67:$AV$71*BO119 + (1-$AV$67:$AV$71)*BK119), N($AK$67:$AK$71&gt;$AI119)),
SUMPRODUCT(INDEX($AL$57:$AN$66,,$AE119), INDEX($AO$57:$AU$66,,$AD119), 1 / ($AW$57:$AW$66*BO119 + (1-$AW$57:$AW$66)*BK119), N($AK$57:$AK$66&gt;$AI119))
) / 1000</f>
        <v>0</v>
      </c>
      <c r="BQ119" s="250">
        <f t="shared" si="250"/>
        <v>20</v>
      </c>
      <c r="BR119" s="237">
        <f t="shared" si="251"/>
        <v>33</v>
      </c>
      <c r="BS119" s="253">
        <f t="shared" si="252"/>
        <v>4.8487499999999999</v>
      </c>
      <c r="BT119" s="253" cm="1">
        <f t="array" ref="BT119">$BC119 * IF($AD119&lt;=2,
SUMPRODUCT(INDEX($AL$62:$AN$66,,$AE119), INDEX($AO$62:$AU$66,,$AD119), 1 / ($AV$62:$AV$66*BS119 + (1-$AV$62:$AV$66)*BO119), N($AK$62:$AK$66&gt;$AI119)),
SUMPRODUCT(INDEX($AL$47:$AN$56,,$AE119), INDEX($AO$47:$AU$56,,$AD119), 1 / ($AW$47:$AW$56*BS119 + (1-$AW$47:$AW$56)*BO119), N($AK$47:$AK$56&gt;$AI119))
) / 1000</f>
        <v>0</v>
      </c>
      <c r="BU119" s="253" cm="1">
        <f t="array" ref="BU119">$BC119 * IF($AD119&lt;=2,
SUMPRODUCT(INDEX($AL$23:$AN$61,,$AE119), INDEX($AO$23:$AU$61,,$AD119), 1 / ($AV$23:$AV$61*BS119), N($AK$23:$AK$61&gt;$AI119)),
SUMPRODUCT(INDEX($AL$23:$AN$46,,$AE119), INDEX($AO$23:$AU$46,,$AD119), 1 / ($AW$23:$AW$46*BS119), N($AK$23:$AK$46&gt;$AI119))
) / 1000</f>
        <v>0</v>
      </c>
      <c r="BV119" s="237">
        <f t="shared" si="253"/>
        <v>0</v>
      </c>
      <c r="BW119" s="210"/>
      <c r="BX119" s="237">
        <f t="shared" si="254"/>
        <v>0</v>
      </c>
      <c r="BY119" s="236">
        <v>35</v>
      </c>
      <c r="BZ119" s="237">
        <f t="shared" si="255"/>
        <v>48</v>
      </c>
      <c r="CA119" s="253">
        <f t="shared" si="256"/>
        <v>3.0748170731707316</v>
      </c>
      <c r="CB119" s="253" cm="1">
        <f t="array" ref="CB119">$BC119 * SUMPRODUCT(INDEX($AL$77:$AN$82,,$AE119),INDEX($AO$77:$AU$82,,$AD119), N($AK$77:$AK$82&gt;$AI119)) / CA119 / 1000</f>
        <v>0</v>
      </c>
      <c r="CC119" s="250">
        <f t="shared" si="257"/>
        <v>30</v>
      </c>
      <c r="CD119" s="237">
        <f t="shared" si="258"/>
        <v>43</v>
      </c>
      <c r="CE119" s="253">
        <f t="shared" si="259"/>
        <v>3.5018750000000001</v>
      </c>
      <c r="CF119" s="253" cm="1">
        <f t="array" ref="CF119">$BC119 * IF($AD119&lt;=2,
SUMPRODUCT(INDEX($AL$72:$AN$76,,$AE119), INDEX($AO$72:$AU$76,,$AD119), 1 / ($AV$72:$AV$76*CE119 + (1-$AV$72:$AV$76)*CA119), N($AK$72:$AK$76&gt;$AI119)),
SUMPRODUCT(INDEX($AL$67:$AN$76,,$AE119), INDEX($AO$67:$AU$76,,$AD119), 1 / ($AW$67:$AW$76*CE119 + (1-$AW$67:$AW$76)*CA119), N($AK$67:$AK$76&gt;$AI119))
) / 1000</f>
        <v>0</v>
      </c>
      <c r="CG119" s="250">
        <f t="shared" si="260"/>
        <v>25</v>
      </c>
      <c r="CH119" s="237">
        <f t="shared" si="261"/>
        <v>38</v>
      </c>
      <c r="CI119" s="253">
        <f t="shared" si="262"/>
        <v>4.0666935483870965</v>
      </c>
      <c r="CJ119" s="253" cm="1">
        <f t="array" ref="CJ119">$BC119 * IF($AD119&lt;=2,
SUMPRODUCT(INDEX($AL$67:$AN$71,,$AE119), INDEX($AO$67:$AU$71,,$AD119), 1 / ($AV$67:$AV$71*CI119 + (1-$AV$67:$AV$71)*CE119), N($AK$67:$AK$71&gt;$AI119)),
SUMPRODUCT(INDEX($AL$57:$AN$66,,$AE119), INDEX($AO$57:$AU$66,,$AD119), 1 / ($AW$57:$AW$66*CI119 + (1-$AW$57:$AW$66)*CE119), N($AK$57:$AK$66&gt;$AI119))
) / 1000</f>
        <v>0</v>
      </c>
      <c r="CK119" s="250">
        <f t="shared" si="263"/>
        <v>20</v>
      </c>
      <c r="CL119" s="237">
        <f t="shared" si="264"/>
        <v>33</v>
      </c>
      <c r="CM119" s="253">
        <f t="shared" si="265"/>
        <v>4.8487499999999999</v>
      </c>
      <c r="CN119" s="253" cm="1">
        <f t="array" ref="CN119">$BC119 * IF($AD119&lt;=2,
SUMPRODUCT(INDEX($AL$62:$AN$66,,$AE119), INDEX($AO$62:$AU$66,,$AD119), 1 / ($AV$62:$AV$66*CM119 + (1-$AV$62:$AV$66)*CI119), N($AK$62:$AK$66&gt;$AI119)),
SUMPRODUCT(INDEX($AL$47:$AN$56,,$AE119), INDEX($AO$47:$AU$56,,$AD119), 1 / ($AW$47:$AW$56*CM119 + (1-$AW$47:$AW$56)*CI119), N($AK$47:$AK$56&gt;$AI119))
) / 1000</f>
        <v>0</v>
      </c>
      <c r="CO119" s="253" cm="1">
        <f t="array" ref="CO119">$BC119 * IF($AD119&lt;=2,
SUMPRODUCT(INDEX($AL$23:$AN$61,,$AE119), INDEX($AO$23:$AU$61,,$AD119), 1 / ($AV$23:$AV$61*CM119), N($AK$23:$AK$61&gt;$AI119)),
SUMPRODUCT(INDEX($AL$23:$AN$46,,$AE119), INDEX($AO$23:$AU$46,,$AD119), 1 / ($AW$23:$AW$46*CM119), N($AK$23:$AK$46&gt;$AI119))
) / 1000</f>
        <v>0</v>
      </c>
      <c r="CP119" s="237">
        <f t="shared" si="266"/>
        <v>0</v>
      </c>
      <c r="CQ119" s="210"/>
    </row>
    <row r="120" spans="1:95" s="76" customFormat="1" ht="14.25" customHeight="1" x14ac:dyDescent="0.2">
      <c r="A120" s="238" t="b">
        <f t="shared" si="227"/>
        <v>0</v>
      </c>
      <c r="B120" s="239">
        <v>98</v>
      </c>
      <c r="C120" s="258"/>
      <c r="D120" s="258"/>
      <c r="E120" s="240"/>
      <c r="F120" s="241" t="str">
        <f>IF(ISBLANK(E120), "", VLOOKUP(E120, Z!$A$2:$C$4127, 3, FALSE))</f>
        <v/>
      </c>
      <c r="G120" s="242"/>
      <c r="H120" s="242"/>
      <c r="I120" s="243"/>
      <c r="J120" s="244"/>
      <c r="K120" s="259"/>
      <c r="L120" s="260"/>
      <c r="M120" s="247" t="str" cm="1">
        <f t="array" ref="M120">IF($K120&gt;0, INDEX(Clean,1+AG120,$C$1), "")</f>
        <v/>
      </c>
      <c r="N120" s="245"/>
      <c r="O120" s="245"/>
      <c r="P120" s="246"/>
      <c r="Q120" s="248">
        <f t="shared" si="232"/>
        <v>0</v>
      </c>
      <c r="R120" s="247" t="str" cm="1">
        <f t="array" ref="R120">IF($K120&gt;0, INDEX(Clean,1+AH120,$C$1), "")</f>
        <v/>
      </c>
      <c r="S120" s="245"/>
      <c r="T120" s="245"/>
      <c r="U120" s="246"/>
      <c r="V120" s="248">
        <f t="shared" si="233"/>
        <v>0</v>
      </c>
      <c r="W120" s="261"/>
      <c r="X120" s="258"/>
      <c r="Y120" s="240"/>
      <c r="Z120" s="241" t="str">
        <f>IF(ISBLANK(Y120), "", VLOOKUP(Y120, Z!$A$2:$C$4127, 3, FALSE))</f>
        <v/>
      </c>
      <c r="AA120" s="262"/>
      <c r="AB120" s="249">
        <f t="shared" si="234"/>
        <v>0</v>
      </c>
      <c r="AC120" s="210"/>
      <c r="AD120" s="236">
        <f t="shared" ref="AD120" si="360">IF(ISBLANK(H120), 1, IFERROR(MATCH(H120, INDEX(Use,,1), 0), IFERROR(MATCH(H120, INDEX(Use,,2), 0), MATCH(H120, INDEX(Use,,3), 0))))</f>
        <v>1</v>
      </c>
      <c r="AE120" s="236">
        <f t="shared" ref="AE120" si="361">IF(ISBLANK(G120), 1, IFERROR(MATCH(G120, INDEX(Loc,,1), 0), IFERROR(MATCH(G120, INDEX(Loc,,2), 0), MATCH(G120, INDEX(Loc,,3), 0))))</f>
        <v>1</v>
      </c>
      <c r="AF120" s="236">
        <f t="shared" ref="AF120" si="362">_xlfn.IFNA(IF(IFERROR(MATCH(I120, INDEX(Medium,,1), 0), IFERROR(MATCH(I120, INDEX(Medium,,2), 0), MATCH(I120, INDEX(Medium,,3), 0))) = 2, 1, 0), 0)</f>
        <v>0</v>
      </c>
      <c r="AG120" s="236">
        <v>1</v>
      </c>
      <c r="AH120" s="236">
        <v>0</v>
      </c>
      <c r="AI120" s="236">
        <f t="shared" si="231"/>
        <v>-100</v>
      </c>
      <c r="AJ120" s="210"/>
      <c r="AK120" s="254"/>
      <c r="AL120" s="254"/>
      <c r="AM120" s="255"/>
      <c r="AN120" s="255"/>
      <c r="AO120" s="255"/>
      <c r="AP120" s="255"/>
      <c r="AQ120" s="255"/>
      <c r="AR120" s="255"/>
      <c r="AS120" s="255"/>
      <c r="AT120" s="255"/>
      <c r="AU120" s="255"/>
      <c r="AV120" s="255"/>
      <c r="AW120" s="255"/>
      <c r="AX120" s="210"/>
      <c r="AY120" s="236" cm="1">
        <f t="array" ref="AY120">INDEX(Use, $AD120, 4)</f>
        <v>7</v>
      </c>
      <c r="AZ120" s="236">
        <f t="shared" si="238"/>
        <v>32</v>
      </c>
      <c r="BA120" s="236">
        <f t="shared" si="239"/>
        <v>13</v>
      </c>
      <c r="BB120" s="236">
        <f t="shared" si="240"/>
        <v>0</v>
      </c>
      <c r="BC120" s="252" cm="1">
        <f t="array" ref="BC120">K120/IF($L120&gt;0, INDEX($AO$23:$AU$77, $L120+20, $AD120), 1)</f>
        <v>0</v>
      </c>
      <c r="BD120" s="237">
        <f t="shared" si="241"/>
        <v>0</v>
      </c>
      <c r="BE120" s="236">
        <v>35</v>
      </c>
      <c r="BF120" s="237">
        <f t="shared" si="242"/>
        <v>52.55</v>
      </c>
      <c r="BG120" s="253">
        <f t="shared" si="243"/>
        <v>2.7676728869374316</v>
      </c>
      <c r="BH120" s="253" cm="1">
        <f t="array" ref="BH120">$BC120 * SUMPRODUCT(INDEX($AL$77:$AN$82,,$AE120),INDEX($AO$77:$AU$82,,$AD120), N($AK$77:$AK$82&gt;$AI120)) / BG120 / 1000</f>
        <v>0</v>
      </c>
      <c r="BI120" s="250">
        <f t="shared" si="244"/>
        <v>30</v>
      </c>
      <c r="BJ120" s="237">
        <f t="shared" si="245"/>
        <v>46.033333333333331</v>
      </c>
      <c r="BK120" s="253">
        <f t="shared" si="246"/>
        <v>3.2297395388556791</v>
      </c>
      <c r="BL120" s="253" cm="1">
        <f t="array" ref="BL120">$BC120 * IF($AD120&lt;=2,
SUMPRODUCT(INDEX($AL$72:$AN$76,,$AE120), INDEX($AO$72:$AU$76,,$AD120), 1 / ($AV$72:$AV$76*BK120 + (1-$AV$72:$AV$76)*BG120), N($AK$72:$AK$76&gt;$AI120)),
SUMPRODUCT(INDEX($AL$67:$AN$76,,$AE120), INDEX($AO$67:$AU$76,,$AD120), 1 / ($AW$67:$AW$76*BK120 + (1-$AW$67:$AW$76)*BG120), N($AK$67:$AK$76&gt;$AI120))
) / 1000</f>
        <v>0</v>
      </c>
      <c r="BM120" s="250">
        <f t="shared" si="247"/>
        <v>25</v>
      </c>
      <c r="BN120" s="237">
        <f t="shared" si="248"/>
        <v>39.516666666666666</v>
      </c>
      <c r="BO120" s="253">
        <f t="shared" si="249"/>
        <v>3.877011788826243</v>
      </c>
      <c r="BP120" s="253" cm="1">
        <f t="array" ref="BP120">$BC120 * IF($AD120&lt;=2,
SUMPRODUCT(INDEX($AL$67:$AN$71,,$AE120), INDEX($AO$67:$AU$71,,$AD120), 1 / ($AV$67:$AV$71*BO120 + (1-$AV$67:$AV$71)*BK120), N($AK$67:$AK$71&gt;$AI120)),
SUMPRODUCT(INDEX($AL$57:$AN$66,,$AE120), INDEX($AO$57:$AU$66,,$AD120), 1 / ($AW$57:$AW$66*BO120 + (1-$AW$57:$AW$66)*BK120), N($AK$57:$AK$66&gt;$AI120))
) / 1000</f>
        <v>0</v>
      </c>
      <c r="BQ120" s="250">
        <f t="shared" si="250"/>
        <v>20</v>
      </c>
      <c r="BR120" s="237">
        <f t="shared" si="251"/>
        <v>33</v>
      </c>
      <c r="BS120" s="253">
        <f t="shared" si="252"/>
        <v>4.8487499999999999</v>
      </c>
      <c r="BT120" s="253" cm="1">
        <f t="array" ref="BT120">$BC120 * IF($AD120&lt;=2,
SUMPRODUCT(INDEX($AL$62:$AN$66,,$AE120), INDEX($AO$62:$AU$66,,$AD120), 1 / ($AV$62:$AV$66*BS120 + (1-$AV$62:$AV$66)*BO120), N($AK$62:$AK$66&gt;$AI120)),
SUMPRODUCT(INDEX($AL$47:$AN$56,,$AE120), INDEX($AO$47:$AU$56,,$AD120), 1 / ($AW$47:$AW$56*BS120 + (1-$AW$47:$AW$56)*BO120), N($AK$47:$AK$56&gt;$AI120))
) / 1000</f>
        <v>0</v>
      </c>
      <c r="BU120" s="253" cm="1">
        <f t="array" ref="BU120">$BC120 * IF($AD120&lt;=2,
SUMPRODUCT(INDEX($AL$23:$AN$61,,$AE120), INDEX($AO$23:$AU$61,,$AD120), 1 / ($AV$23:$AV$61*BS120), N($AK$23:$AK$61&gt;$AI120)),
SUMPRODUCT(INDEX($AL$23:$AN$46,,$AE120), INDEX($AO$23:$AU$46,,$AD120), 1 / ($AW$23:$AW$46*BS120), N($AK$23:$AK$46&gt;$AI120))
) / 1000</f>
        <v>0</v>
      </c>
      <c r="BV120" s="237">
        <f t="shared" si="253"/>
        <v>0</v>
      </c>
      <c r="BW120" s="210"/>
      <c r="BX120" s="237">
        <f t="shared" si="254"/>
        <v>0</v>
      </c>
      <c r="BY120" s="236">
        <v>35</v>
      </c>
      <c r="BZ120" s="237">
        <f t="shared" si="255"/>
        <v>48</v>
      </c>
      <c r="CA120" s="253">
        <f t="shared" si="256"/>
        <v>3.0748170731707316</v>
      </c>
      <c r="CB120" s="253" cm="1">
        <f t="array" ref="CB120">$BC120 * SUMPRODUCT(INDEX($AL$77:$AN$82,,$AE120),INDEX($AO$77:$AU$82,,$AD120), N($AK$77:$AK$82&gt;$AI120)) / CA120 / 1000</f>
        <v>0</v>
      </c>
      <c r="CC120" s="250">
        <f t="shared" si="257"/>
        <v>30</v>
      </c>
      <c r="CD120" s="237">
        <f t="shared" si="258"/>
        <v>43</v>
      </c>
      <c r="CE120" s="253">
        <f t="shared" si="259"/>
        <v>3.5018750000000001</v>
      </c>
      <c r="CF120" s="253" cm="1">
        <f t="array" ref="CF120">$BC120 * IF($AD120&lt;=2,
SUMPRODUCT(INDEX($AL$72:$AN$76,,$AE120), INDEX($AO$72:$AU$76,,$AD120), 1 / ($AV$72:$AV$76*CE120 + (1-$AV$72:$AV$76)*CA120), N($AK$72:$AK$76&gt;$AI120)),
SUMPRODUCT(INDEX($AL$67:$AN$76,,$AE120), INDEX($AO$67:$AU$76,,$AD120), 1 / ($AW$67:$AW$76*CE120 + (1-$AW$67:$AW$76)*CA120), N($AK$67:$AK$76&gt;$AI120))
) / 1000</f>
        <v>0</v>
      </c>
      <c r="CG120" s="250">
        <f t="shared" si="260"/>
        <v>25</v>
      </c>
      <c r="CH120" s="237">
        <f t="shared" si="261"/>
        <v>38</v>
      </c>
      <c r="CI120" s="253">
        <f t="shared" si="262"/>
        <v>4.0666935483870965</v>
      </c>
      <c r="CJ120" s="253" cm="1">
        <f t="array" ref="CJ120">$BC120 * IF($AD120&lt;=2,
SUMPRODUCT(INDEX($AL$67:$AN$71,,$AE120), INDEX($AO$67:$AU$71,,$AD120), 1 / ($AV$67:$AV$71*CI120 + (1-$AV$67:$AV$71)*CE120), N($AK$67:$AK$71&gt;$AI120)),
SUMPRODUCT(INDEX($AL$57:$AN$66,,$AE120), INDEX($AO$57:$AU$66,,$AD120), 1 / ($AW$57:$AW$66*CI120 + (1-$AW$57:$AW$66)*CE120), N($AK$57:$AK$66&gt;$AI120))
) / 1000</f>
        <v>0</v>
      </c>
      <c r="CK120" s="250">
        <f t="shared" si="263"/>
        <v>20</v>
      </c>
      <c r="CL120" s="237">
        <f t="shared" si="264"/>
        <v>33</v>
      </c>
      <c r="CM120" s="253">
        <f t="shared" si="265"/>
        <v>4.8487499999999999</v>
      </c>
      <c r="CN120" s="253" cm="1">
        <f t="array" ref="CN120">$BC120 * IF($AD120&lt;=2,
SUMPRODUCT(INDEX($AL$62:$AN$66,,$AE120), INDEX($AO$62:$AU$66,,$AD120), 1 / ($AV$62:$AV$66*CM120 + (1-$AV$62:$AV$66)*CI120), N($AK$62:$AK$66&gt;$AI120)),
SUMPRODUCT(INDEX($AL$47:$AN$56,,$AE120), INDEX($AO$47:$AU$56,,$AD120), 1 / ($AW$47:$AW$56*CM120 + (1-$AW$47:$AW$56)*CI120), N($AK$47:$AK$56&gt;$AI120))
) / 1000</f>
        <v>0</v>
      </c>
      <c r="CO120" s="253" cm="1">
        <f t="array" ref="CO120">$BC120 * IF($AD120&lt;=2,
SUMPRODUCT(INDEX($AL$23:$AN$61,,$AE120), INDEX($AO$23:$AU$61,,$AD120), 1 / ($AV$23:$AV$61*CM120), N($AK$23:$AK$61&gt;$AI120)),
SUMPRODUCT(INDEX($AL$23:$AN$46,,$AE120), INDEX($AO$23:$AU$46,,$AD120), 1 / ($AW$23:$AW$46*CM120), N($AK$23:$AK$46&gt;$AI120))
) / 1000</f>
        <v>0</v>
      </c>
      <c r="CP120" s="237">
        <f t="shared" si="266"/>
        <v>0</v>
      </c>
      <c r="CQ120" s="210"/>
    </row>
    <row r="121" spans="1:95" s="76" customFormat="1" ht="14.25" customHeight="1" x14ac:dyDescent="0.2">
      <c r="A121" s="238" t="b">
        <f t="shared" si="227"/>
        <v>0</v>
      </c>
      <c r="B121" s="239">
        <v>99</v>
      </c>
      <c r="C121" s="258"/>
      <c r="D121" s="258"/>
      <c r="E121" s="240"/>
      <c r="F121" s="241" t="str">
        <f>IF(ISBLANK(E121), "", VLOOKUP(E121, Z!$A$2:$C$4127, 3, FALSE))</f>
        <v/>
      </c>
      <c r="G121" s="242"/>
      <c r="H121" s="242"/>
      <c r="I121" s="243"/>
      <c r="J121" s="244"/>
      <c r="K121" s="259"/>
      <c r="L121" s="260"/>
      <c r="M121" s="247" t="str" cm="1">
        <f t="array" ref="M121">IF($K121&gt;0, INDEX(Clean,1+AG121,$C$1), "")</f>
        <v/>
      </c>
      <c r="N121" s="245"/>
      <c r="O121" s="245"/>
      <c r="P121" s="246"/>
      <c r="Q121" s="248">
        <f t="shared" si="232"/>
        <v>0</v>
      </c>
      <c r="R121" s="247" t="str" cm="1">
        <f t="array" ref="R121">IF($K121&gt;0, INDEX(Clean,1+AH121,$C$1), "")</f>
        <v/>
      </c>
      <c r="S121" s="245"/>
      <c r="T121" s="245"/>
      <c r="U121" s="246"/>
      <c r="V121" s="248">
        <f t="shared" si="233"/>
        <v>0</v>
      </c>
      <c r="W121" s="261"/>
      <c r="X121" s="258"/>
      <c r="Y121" s="240"/>
      <c r="Z121" s="241" t="str">
        <f>IF(ISBLANK(Y121), "", VLOOKUP(Y121, Z!$A$2:$C$4127, 3, FALSE))</f>
        <v/>
      </c>
      <c r="AA121" s="262"/>
      <c r="AB121" s="249">
        <f t="shared" si="234"/>
        <v>0</v>
      </c>
      <c r="AC121" s="210"/>
      <c r="AD121" s="236">
        <f t="shared" ref="AD121" si="363">IF(ISBLANK(H121), 1, IFERROR(MATCH(H121, INDEX(Use,,1), 0), IFERROR(MATCH(H121, INDEX(Use,,2), 0), MATCH(H121, INDEX(Use,,3), 0))))</f>
        <v>1</v>
      </c>
      <c r="AE121" s="236">
        <f t="shared" ref="AE121" si="364">IF(ISBLANK(G121), 1, IFERROR(MATCH(G121, INDEX(Loc,,1), 0), IFERROR(MATCH(G121, INDEX(Loc,,2), 0), MATCH(G121, INDEX(Loc,,3), 0))))</f>
        <v>1</v>
      </c>
      <c r="AF121" s="236">
        <f t="shared" ref="AF121" si="365">_xlfn.IFNA(IF(IFERROR(MATCH(I121, INDEX(Medium,,1), 0), IFERROR(MATCH(I121, INDEX(Medium,,2), 0), MATCH(I121, INDEX(Medium,,3), 0))) = 2, 1, 0), 0)</f>
        <v>0</v>
      </c>
      <c r="AG121" s="236">
        <v>1</v>
      </c>
      <c r="AH121" s="236">
        <v>0</v>
      </c>
      <c r="AI121" s="236">
        <f t="shared" si="231"/>
        <v>-100</v>
      </c>
      <c r="AJ121" s="210"/>
      <c r="AK121" s="254"/>
      <c r="AL121" s="254"/>
      <c r="AM121" s="255"/>
      <c r="AN121" s="255"/>
      <c r="AO121" s="255"/>
      <c r="AP121" s="255"/>
      <c r="AQ121" s="255"/>
      <c r="AR121" s="255"/>
      <c r="AS121" s="255"/>
      <c r="AT121" s="255"/>
      <c r="AU121" s="255"/>
      <c r="AV121" s="255"/>
      <c r="AW121" s="255"/>
      <c r="AX121" s="210"/>
      <c r="AY121" s="236" cm="1">
        <f t="array" ref="AY121">INDEX(Use, $AD121, 4)</f>
        <v>7</v>
      </c>
      <c r="AZ121" s="236">
        <f t="shared" si="238"/>
        <v>32</v>
      </c>
      <c r="BA121" s="236">
        <f t="shared" si="239"/>
        <v>13</v>
      </c>
      <c r="BB121" s="236">
        <f t="shared" si="240"/>
        <v>0</v>
      </c>
      <c r="BC121" s="252" cm="1">
        <f t="array" ref="BC121">K121/IF($L121&gt;0, INDEX($AO$23:$AU$77, $L121+20, $AD121), 1)</f>
        <v>0</v>
      </c>
      <c r="BD121" s="237">
        <f t="shared" si="241"/>
        <v>0</v>
      </c>
      <c r="BE121" s="236">
        <v>35</v>
      </c>
      <c r="BF121" s="237">
        <f t="shared" si="242"/>
        <v>52.55</v>
      </c>
      <c r="BG121" s="253">
        <f t="shared" si="243"/>
        <v>2.7676728869374316</v>
      </c>
      <c r="BH121" s="253" cm="1">
        <f t="array" ref="BH121">$BC121 * SUMPRODUCT(INDEX($AL$77:$AN$82,,$AE121),INDEX($AO$77:$AU$82,,$AD121), N($AK$77:$AK$82&gt;$AI121)) / BG121 / 1000</f>
        <v>0</v>
      </c>
      <c r="BI121" s="250">
        <f t="shared" si="244"/>
        <v>30</v>
      </c>
      <c r="BJ121" s="237">
        <f t="shared" si="245"/>
        <v>46.033333333333331</v>
      </c>
      <c r="BK121" s="253">
        <f t="shared" si="246"/>
        <v>3.2297395388556791</v>
      </c>
      <c r="BL121" s="253" cm="1">
        <f t="array" ref="BL121">$BC121 * IF($AD121&lt;=2,
SUMPRODUCT(INDEX($AL$72:$AN$76,,$AE121), INDEX($AO$72:$AU$76,,$AD121), 1 / ($AV$72:$AV$76*BK121 + (1-$AV$72:$AV$76)*BG121), N($AK$72:$AK$76&gt;$AI121)),
SUMPRODUCT(INDEX($AL$67:$AN$76,,$AE121), INDEX($AO$67:$AU$76,,$AD121), 1 / ($AW$67:$AW$76*BK121 + (1-$AW$67:$AW$76)*BG121), N($AK$67:$AK$76&gt;$AI121))
) / 1000</f>
        <v>0</v>
      </c>
      <c r="BM121" s="250">
        <f t="shared" si="247"/>
        <v>25</v>
      </c>
      <c r="BN121" s="237">
        <f t="shared" si="248"/>
        <v>39.516666666666666</v>
      </c>
      <c r="BO121" s="253">
        <f t="shared" si="249"/>
        <v>3.877011788826243</v>
      </c>
      <c r="BP121" s="253" cm="1">
        <f t="array" ref="BP121">$BC121 * IF($AD121&lt;=2,
SUMPRODUCT(INDEX($AL$67:$AN$71,,$AE121), INDEX($AO$67:$AU$71,,$AD121), 1 / ($AV$67:$AV$71*BO121 + (1-$AV$67:$AV$71)*BK121), N($AK$67:$AK$71&gt;$AI121)),
SUMPRODUCT(INDEX($AL$57:$AN$66,,$AE121), INDEX($AO$57:$AU$66,,$AD121), 1 / ($AW$57:$AW$66*BO121 + (1-$AW$57:$AW$66)*BK121), N($AK$57:$AK$66&gt;$AI121))
) / 1000</f>
        <v>0</v>
      </c>
      <c r="BQ121" s="250">
        <f t="shared" si="250"/>
        <v>20</v>
      </c>
      <c r="BR121" s="237">
        <f t="shared" si="251"/>
        <v>33</v>
      </c>
      <c r="BS121" s="253">
        <f t="shared" si="252"/>
        <v>4.8487499999999999</v>
      </c>
      <c r="BT121" s="253" cm="1">
        <f t="array" ref="BT121">$BC121 * IF($AD121&lt;=2,
SUMPRODUCT(INDEX($AL$62:$AN$66,,$AE121), INDEX($AO$62:$AU$66,,$AD121), 1 / ($AV$62:$AV$66*BS121 + (1-$AV$62:$AV$66)*BO121), N($AK$62:$AK$66&gt;$AI121)),
SUMPRODUCT(INDEX($AL$47:$AN$56,,$AE121), INDEX($AO$47:$AU$56,,$AD121), 1 / ($AW$47:$AW$56*BS121 + (1-$AW$47:$AW$56)*BO121), N($AK$47:$AK$56&gt;$AI121))
) / 1000</f>
        <v>0</v>
      </c>
      <c r="BU121" s="253" cm="1">
        <f t="array" ref="BU121">$BC121 * IF($AD121&lt;=2,
SUMPRODUCT(INDEX($AL$23:$AN$61,,$AE121), INDEX($AO$23:$AU$61,,$AD121), 1 / ($AV$23:$AV$61*BS121), N($AK$23:$AK$61&gt;$AI121)),
SUMPRODUCT(INDEX($AL$23:$AN$46,,$AE121), INDEX($AO$23:$AU$46,,$AD121), 1 / ($AW$23:$AW$46*BS121), N($AK$23:$AK$46&gt;$AI121))
) / 1000</f>
        <v>0</v>
      </c>
      <c r="BV121" s="237">
        <f t="shared" si="253"/>
        <v>0</v>
      </c>
      <c r="BW121" s="210"/>
      <c r="BX121" s="237">
        <f t="shared" si="254"/>
        <v>0</v>
      </c>
      <c r="BY121" s="236">
        <v>35</v>
      </c>
      <c r="BZ121" s="237">
        <f t="shared" si="255"/>
        <v>48</v>
      </c>
      <c r="CA121" s="253">
        <f t="shared" si="256"/>
        <v>3.0748170731707316</v>
      </c>
      <c r="CB121" s="253" cm="1">
        <f t="array" ref="CB121">$BC121 * SUMPRODUCT(INDEX($AL$77:$AN$82,,$AE121),INDEX($AO$77:$AU$82,,$AD121), N($AK$77:$AK$82&gt;$AI121)) / CA121 / 1000</f>
        <v>0</v>
      </c>
      <c r="CC121" s="250">
        <f t="shared" si="257"/>
        <v>30</v>
      </c>
      <c r="CD121" s="237">
        <f t="shared" si="258"/>
        <v>43</v>
      </c>
      <c r="CE121" s="253">
        <f t="shared" si="259"/>
        <v>3.5018750000000001</v>
      </c>
      <c r="CF121" s="253" cm="1">
        <f t="array" ref="CF121">$BC121 * IF($AD121&lt;=2,
SUMPRODUCT(INDEX($AL$72:$AN$76,,$AE121), INDEX($AO$72:$AU$76,,$AD121), 1 / ($AV$72:$AV$76*CE121 + (1-$AV$72:$AV$76)*CA121), N($AK$72:$AK$76&gt;$AI121)),
SUMPRODUCT(INDEX($AL$67:$AN$76,,$AE121), INDEX($AO$67:$AU$76,,$AD121), 1 / ($AW$67:$AW$76*CE121 + (1-$AW$67:$AW$76)*CA121), N($AK$67:$AK$76&gt;$AI121))
) / 1000</f>
        <v>0</v>
      </c>
      <c r="CG121" s="250">
        <f t="shared" si="260"/>
        <v>25</v>
      </c>
      <c r="CH121" s="237">
        <f t="shared" si="261"/>
        <v>38</v>
      </c>
      <c r="CI121" s="253">
        <f t="shared" si="262"/>
        <v>4.0666935483870965</v>
      </c>
      <c r="CJ121" s="253" cm="1">
        <f t="array" ref="CJ121">$BC121 * IF($AD121&lt;=2,
SUMPRODUCT(INDEX($AL$67:$AN$71,,$AE121), INDEX($AO$67:$AU$71,,$AD121), 1 / ($AV$67:$AV$71*CI121 + (1-$AV$67:$AV$71)*CE121), N($AK$67:$AK$71&gt;$AI121)),
SUMPRODUCT(INDEX($AL$57:$AN$66,,$AE121), INDEX($AO$57:$AU$66,,$AD121), 1 / ($AW$57:$AW$66*CI121 + (1-$AW$57:$AW$66)*CE121), N($AK$57:$AK$66&gt;$AI121))
) / 1000</f>
        <v>0</v>
      </c>
      <c r="CK121" s="250">
        <f t="shared" si="263"/>
        <v>20</v>
      </c>
      <c r="CL121" s="237">
        <f t="shared" si="264"/>
        <v>33</v>
      </c>
      <c r="CM121" s="253">
        <f t="shared" si="265"/>
        <v>4.8487499999999999</v>
      </c>
      <c r="CN121" s="253" cm="1">
        <f t="array" ref="CN121">$BC121 * IF($AD121&lt;=2,
SUMPRODUCT(INDEX($AL$62:$AN$66,,$AE121), INDEX($AO$62:$AU$66,,$AD121), 1 / ($AV$62:$AV$66*CM121 + (1-$AV$62:$AV$66)*CI121), N($AK$62:$AK$66&gt;$AI121)),
SUMPRODUCT(INDEX($AL$47:$AN$56,,$AE121), INDEX($AO$47:$AU$56,,$AD121), 1 / ($AW$47:$AW$56*CM121 + (1-$AW$47:$AW$56)*CI121), N($AK$47:$AK$56&gt;$AI121))
) / 1000</f>
        <v>0</v>
      </c>
      <c r="CO121" s="253" cm="1">
        <f t="array" ref="CO121">$BC121 * IF($AD121&lt;=2,
SUMPRODUCT(INDEX($AL$23:$AN$61,,$AE121), INDEX($AO$23:$AU$61,,$AD121), 1 / ($AV$23:$AV$61*CM121), N($AK$23:$AK$61&gt;$AI121)),
SUMPRODUCT(INDEX($AL$23:$AN$46,,$AE121), INDEX($AO$23:$AU$46,,$AD121), 1 / ($AW$23:$AW$46*CM121), N($AK$23:$AK$46&gt;$AI121))
) / 1000</f>
        <v>0</v>
      </c>
      <c r="CP121" s="237">
        <f t="shared" si="266"/>
        <v>0</v>
      </c>
      <c r="CQ121" s="210"/>
    </row>
    <row r="122" spans="1:95" s="76" customFormat="1" ht="14.25" customHeight="1" x14ac:dyDescent="0.2">
      <c r="A122" s="238" t="b">
        <f t="shared" si="227"/>
        <v>0</v>
      </c>
      <c r="B122" s="239">
        <v>100</v>
      </c>
      <c r="C122" s="258"/>
      <c r="D122" s="258"/>
      <c r="E122" s="240"/>
      <c r="F122" s="241" t="str">
        <f>IF(ISBLANK(E122), "", VLOOKUP(E122, Z!$A$2:$C$4127, 3, FALSE))</f>
        <v/>
      </c>
      <c r="G122" s="242"/>
      <c r="H122" s="242"/>
      <c r="I122" s="243"/>
      <c r="J122" s="244"/>
      <c r="K122" s="259"/>
      <c r="L122" s="260"/>
      <c r="M122" s="247" t="str" cm="1">
        <f t="array" ref="M122">IF($K122&gt;0, INDEX(Clean,1+AG122,$C$1), "")</f>
        <v/>
      </c>
      <c r="N122" s="245"/>
      <c r="O122" s="245"/>
      <c r="P122" s="246"/>
      <c r="Q122" s="248">
        <f t="shared" si="232"/>
        <v>0</v>
      </c>
      <c r="R122" s="247" t="str" cm="1">
        <f t="array" ref="R122">IF($K122&gt;0, INDEX(Clean,1+AH122,$C$1), "")</f>
        <v/>
      </c>
      <c r="S122" s="245"/>
      <c r="T122" s="245"/>
      <c r="U122" s="246"/>
      <c r="V122" s="248">
        <f t="shared" si="233"/>
        <v>0</v>
      </c>
      <c r="W122" s="261"/>
      <c r="X122" s="258"/>
      <c r="Y122" s="240"/>
      <c r="Z122" s="241" t="str">
        <f>IF(ISBLANK(Y122), "", VLOOKUP(Y122, Z!$A$2:$C$4127, 3, FALSE))</f>
        <v/>
      </c>
      <c r="AA122" s="262"/>
      <c r="AB122" s="249">
        <f t="shared" si="234"/>
        <v>0</v>
      </c>
      <c r="AC122" s="210"/>
      <c r="AD122" s="236">
        <f t="shared" ref="AD122:AD123" si="366">IF(ISBLANK(H122), 1, IFERROR(MATCH(H122, INDEX(Use,,1), 0), IFERROR(MATCH(H122, INDEX(Use,,2), 0), MATCH(H122, INDEX(Use,,3), 0))))</f>
        <v>1</v>
      </c>
      <c r="AE122" s="236">
        <f t="shared" ref="AE122:AE123" si="367">IF(ISBLANK(G122), 1, IFERROR(MATCH(G122, INDEX(Loc,,1), 0), IFERROR(MATCH(G122, INDEX(Loc,,2), 0), MATCH(G122, INDEX(Loc,,3), 0))))</f>
        <v>1</v>
      </c>
      <c r="AF122" s="236">
        <f t="shared" ref="AF122:AF123" si="368">_xlfn.IFNA(IF(IFERROR(MATCH(I122, INDEX(Medium,,1), 0), IFERROR(MATCH(I122, INDEX(Medium,,2), 0), MATCH(I122, INDEX(Medium,,3), 0))) = 2, 1, 0), 0)</f>
        <v>0</v>
      </c>
      <c r="AG122" s="236">
        <v>1</v>
      </c>
      <c r="AH122" s="236">
        <v>0</v>
      </c>
      <c r="AI122" s="236">
        <f t="shared" si="231"/>
        <v>-100</v>
      </c>
      <c r="AJ122" s="210"/>
      <c r="AK122" s="254"/>
      <c r="AL122" s="254"/>
      <c r="AM122" s="255"/>
      <c r="AN122" s="255"/>
      <c r="AO122" s="255"/>
      <c r="AP122" s="255"/>
      <c r="AQ122" s="255"/>
      <c r="AR122" s="255"/>
      <c r="AS122" s="255"/>
      <c r="AT122" s="255"/>
      <c r="AU122" s="255"/>
      <c r="AV122" s="255"/>
      <c r="AW122" s="255"/>
      <c r="AX122" s="210"/>
      <c r="AY122" s="236" cm="1">
        <f t="array" ref="AY122">INDEX(Use, $AD122, 4)</f>
        <v>7</v>
      </c>
      <c r="AZ122" s="236">
        <f t="shared" si="238"/>
        <v>32</v>
      </c>
      <c r="BA122" s="236">
        <f t="shared" si="239"/>
        <v>13</v>
      </c>
      <c r="BB122" s="236">
        <f t="shared" si="240"/>
        <v>0</v>
      </c>
      <c r="BC122" s="252" cm="1">
        <f t="array" ref="BC122">K122/IF($L122&gt;0, INDEX($AO$23:$AU$77, $L122+20, $AD122), 1)</f>
        <v>0</v>
      </c>
      <c r="BD122" s="237">
        <f t="shared" si="241"/>
        <v>0</v>
      </c>
      <c r="BE122" s="236">
        <v>35</v>
      </c>
      <c r="BF122" s="237">
        <f t="shared" si="242"/>
        <v>52.55</v>
      </c>
      <c r="BG122" s="253">
        <f t="shared" si="243"/>
        <v>2.7676728869374316</v>
      </c>
      <c r="BH122" s="253" cm="1">
        <f t="array" ref="BH122">$BC122 * SUMPRODUCT(INDEX($AL$77:$AN$82,,$AE122),INDEX($AO$77:$AU$82,,$AD122), N($AK$77:$AK$82&gt;$AI122)) / BG122 / 1000</f>
        <v>0</v>
      </c>
      <c r="BI122" s="250">
        <f t="shared" si="244"/>
        <v>30</v>
      </c>
      <c r="BJ122" s="237">
        <f t="shared" si="245"/>
        <v>46.033333333333331</v>
      </c>
      <c r="BK122" s="253">
        <f t="shared" si="246"/>
        <v>3.2297395388556791</v>
      </c>
      <c r="BL122" s="253" cm="1">
        <f t="array" ref="BL122">$BC122 * IF($AD122&lt;=2,
SUMPRODUCT(INDEX($AL$72:$AN$76,,$AE122), INDEX($AO$72:$AU$76,,$AD122), 1 / ($AV$72:$AV$76*BK122 + (1-$AV$72:$AV$76)*BG122), N($AK$72:$AK$76&gt;$AI122)),
SUMPRODUCT(INDEX($AL$67:$AN$76,,$AE122), INDEX($AO$67:$AU$76,,$AD122), 1 / ($AW$67:$AW$76*BK122 + (1-$AW$67:$AW$76)*BG122), N($AK$67:$AK$76&gt;$AI122))
) / 1000</f>
        <v>0</v>
      </c>
      <c r="BM122" s="250">
        <f t="shared" si="247"/>
        <v>25</v>
      </c>
      <c r="BN122" s="237">
        <f t="shared" si="248"/>
        <v>39.516666666666666</v>
      </c>
      <c r="BO122" s="253">
        <f t="shared" si="249"/>
        <v>3.877011788826243</v>
      </c>
      <c r="BP122" s="253" cm="1">
        <f t="array" ref="BP122">$BC122 * IF($AD122&lt;=2,
SUMPRODUCT(INDEX($AL$67:$AN$71,,$AE122), INDEX($AO$67:$AU$71,,$AD122), 1 / ($AV$67:$AV$71*BO122 + (1-$AV$67:$AV$71)*BK122), N($AK$67:$AK$71&gt;$AI122)),
SUMPRODUCT(INDEX($AL$57:$AN$66,,$AE122), INDEX($AO$57:$AU$66,,$AD122), 1 / ($AW$57:$AW$66*BO122 + (1-$AW$57:$AW$66)*BK122), N($AK$57:$AK$66&gt;$AI122))
) / 1000</f>
        <v>0</v>
      </c>
      <c r="BQ122" s="250">
        <f t="shared" si="250"/>
        <v>20</v>
      </c>
      <c r="BR122" s="237">
        <f t="shared" si="251"/>
        <v>33</v>
      </c>
      <c r="BS122" s="253">
        <f t="shared" si="252"/>
        <v>4.8487499999999999</v>
      </c>
      <c r="BT122" s="253" cm="1">
        <f t="array" ref="BT122">$BC122 * IF($AD122&lt;=2,
SUMPRODUCT(INDEX($AL$62:$AN$66,,$AE122), INDEX($AO$62:$AU$66,,$AD122), 1 / ($AV$62:$AV$66*BS122 + (1-$AV$62:$AV$66)*BO122), N($AK$62:$AK$66&gt;$AI122)),
SUMPRODUCT(INDEX($AL$47:$AN$56,,$AE122), INDEX($AO$47:$AU$56,,$AD122), 1 / ($AW$47:$AW$56*BS122 + (1-$AW$47:$AW$56)*BO122), N($AK$47:$AK$56&gt;$AI122))
) / 1000</f>
        <v>0</v>
      </c>
      <c r="BU122" s="253" cm="1">
        <f t="array" ref="BU122">$BC122 * IF($AD122&lt;=2,
SUMPRODUCT(INDEX($AL$23:$AN$61,,$AE122), INDEX($AO$23:$AU$61,,$AD122), 1 / ($AV$23:$AV$61*BS122), N($AK$23:$AK$61&gt;$AI122)),
SUMPRODUCT(INDEX($AL$23:$AN$46,,$AE122), INDEX($AO$23:$AU$46,,$AD122), 1 / ($AW$23:$AW$46*BS122), N($AK$23:$AK$46&gt;$AI122))
) / 1000</f>
        <v>0</v>
      </c>
      <c r="BV122" s="237">
        <f t="shared" si="253"/>
        <v>0</v>
      </c>
      <c r="BW122" s="210"/>
      <c r="BX122" s="237">
        <f t="shared" si="254"/>
        <v>0</v>
      </c>
      <c r="BY122" s="236">
        <v>35</v>
      </c>
      <c r="BZ122" s="237">
        <f t="shared" si="255"/>
        <v>48</v>
      </c>
      <c r="CA122" s="253">
        <f t="shared" si="256"/>
        <v>3.0748170731707316</v>
      </c>
      <c r="CB122" s="253" cm="1">
        <f t="array" ref="CB122">$BC122 * SUMPRODUCT(INDEX($AL$77:$AN$82,,$AE122),INDEX($AO$77:$AU$82,,$AD122), N($AK$77:$AK$82&gt;$AI122)) / CA122 / 1000</f>
        <v>0</v>
      </c>
      <c r="CC122" s="250">
        <f t="shared" si="257"/>
        <v>30</v>
      </c>
      <c r="CD122" s="237">
        <f t="shared" si="258"/>
        <v>43</v>
      </c>
      <c r="CE122" s="253">
        <f t="shared" si="259"/>
        <v>3.5018750000000001</v>
      </c>
      <c r="CF122" s="253" cm="1">
        <f t="array" ref="CF122">$BC122 * IF($AD122&lt;=2,
SUMPRODUCT(INDEX($AL$72:$AN$76,,$AE122), INDEX($AO$72:$AU$76,,$AD122), 1 / ($AV$72:$AV$76*CE122 + (1-$AV$72:$AV$76)*CA122), N($AK$72:$AK$76&gt;$AI122)),
SUMPRODUCT(INDEX($AL$67:$AN$76,,$AE122), INDEX($AO$67:$AU$76,,$AD122), 1 / ($AW$67:$AW$76*CE122 + (1-$AW$67:$AW$76)*CA122), N($AK$67:$AK$76&gt;$AI122))
) / 1000</f>
        <v>0</v>
      </c>
      <c r="CG122" s="250">
        <f t="shared" si="260"/>
        <v>25</v>
      </c>
      <c r="CH122" s="237">
        <f t="shared" si="261"/>
        <v>38</v>
      </c>
      <c r="CI122" s="253">
        <f t="shared" si="262"/>
        <v>4.0666935483870965</v>
      </c>
      <c r="CJ122" s="253" cm="1">
        <f t="array" ref="CJ122">$BC122 * IF($AD122&lt;=2,
SUMPRODUCT(INDEX($AL$67:$AN$71,,$AE122), INDEX($AO$67:$AU$71,,$AD122), 1 / ($AV$67:$AV$71*CI122 + (1-$AV$67:$AV$71)*CE122), N($AK$67:$AK$71&gt;$AI122)),
SUMPRODUCT(INDEX($AL$57:$AN$66,,$AE122), INDEX($AO$57:$AU$66,,$AD122), 1 / ($AW$57:$AW$66*CI122 + (1-$AW$57:$AW$66)*CE122), N($AK$57:$AK$66&gt;$AI122))
) / 1000</f>
        <v>0</v>
      </c>
      <c r="CK122" s="250">
        <f t="shared" si="263"/>
        <v>20</v>
      </c>
      <c r="CL122" s="237">
        <f t="shared" si="264"/>
        <v>33</v>
      </c>
      <c r="CM122" s="253">
        <f t="shared" si="265"/>
        <v>4.8487499999999999</v>
      </c>
      <c r="CN122" s="253" cm="1">
        <f t="array" ref="CN122">$BC122 * IF($AD122&lt;=2,
SUMPRODUCT(INDEX($AL$62:$AN$66,,$AE122), INDEX($AO$62:$AU$66,,$AD122), 1 / ($AV$62:$AV$66*CM122 + (1-$AV$62:$AV$66)*CI122), N($AK$62:$AK$66&gt;$AI122)),
SUMPRODUCT(INDEX($AL$47:$AN$56,,$AE122), INDEX($AO$47:$AU$56,,$AD122), 1 / ($AW$47:$AW$56*CM122 + (1-$AW$47:$AW$56)*CI122), N($AK$47:$AK$56&gt;$AI122))
) / 1000</f>
        <v>0</v>
      </c>
      <c r="CO122" s="253" cm="1">
        <f t="array" ref="CO122">$BC122 * IF($AD122&lt;=2,
SUMPRODUCT(INDEX($AL$23:$AN$61,,$AE122), INDEX($AO$23:$AU$61,,$AD122), 1 / ($AV$23:$AV$61*CM122), N($AK$23:$AK$61&gt;$AI122)),
SUMPRODUCT(INDEX($AL$23:$AN$46,,$AE122), INDEX($AO$23:$AU$46,,$AD122), 1 / ($AW$23:$AW$46*CM122), N($AK$23:$AK$46&gt;$AI122))
) / 1000</f>
        <v>0</v>
      </c>
      <c r="CP122" s="237">
        <f t="shared" si="266"/>
        <v>0</v>
      </c>
      <c r="CQ122" s="210"/>
    </row>
    <row r="123" spans="1:95" s="76" customFormat="1" ht="14.25" customHeight="1" x14ac:dyDescent="0.2">
      <c r="A123" s="238" t="b">
        <f t="shared" si="227"/>
        <v>0</v>
      </c>
      <c r="B123" s="239">
        <v>101</v>
      </c>
      <c r="C123" s="258"/>
      <c r="D123" s="258"/>
      <c r="E123" s="240"/>
      <c r="F123" s="241" t="str">
        <f>IF(ISBLANK(E123), "", VLOOKUP(E123, Z!$A$2:$C$4127, 3, FALSE))</f>
        <v/>
      </c>
      <c r="G123" s="242"/>
      <c r="H123" s="242"/>
      <c r="I123" s="243"/>
      <c r="J123" s="244"/>
      <c r="K123" s="259"/>
      <c r="L123" s="260"/>
      <c r="M123" s="247" t="str" cm="1">
        <f t="array" ref="M123">IF($K123&gt;0, INDEX(Clean,1+AG123,$C$1), "")</f>
        <v/>
      </c>
      <c r="N123" s="245"/>
      <c r="O123" s="245"/>
      <c r="P123" s="246"/>
      <c r="Q123" s="248">
        <f t="shared" ref="Q123:Q186" si="369">BV123*1000</f>
        <v>0</v>
      </c>
      <c r="R123" s="247" t="str" cm="1">
        <f t="array" ref="R123">IF($K123&gt;0, INDEX(Clean,1+AH123,$C$1), "")</f>
        <v/>
      </c>
      <c r="S123" s="245"/>
      <c r="T123" s="245"/>
      <c r="U123" s="246"/>
      <c r="V123" s="248">
        <f t="shared" ref="V123:V186" si="370">CP123*1000</f>
        <v>0</v>
      </c>
      <c r="W123" s="261"/>
      <c r="X123" s="258"/>
      <c r="Y123" s="240"/>
      <c r="Z123" s="241" t="str">
        <f>IF(ISBLANK(Y123), "", VLOOKUP(Y123, Z!$A$2:$C$4127, 3, FALSE))</f>
        <v/>
      </c>
      <c r="AA123" s="262"/>
      <c r="AB123" s="249">
        <f t="shared" si="234"/>
        <v>0</v>
      </c>
      <c r="AC123" s="210"/>
      <c r="AD123" s="236">
        <f t="shared" si="366"/>
        <v>1</v>
      </c>
      <c r="AE123" s="236">
        <f t="shared" si="367"/>
        <v>1</v>
      </c>
      <c r="AF123" s="236">
        <f t="shared" si="368"/>
        <v>0</v>
      </c>
      <c r="AG123" s="236">
        <v>1</v>
      </c>
      <c r="AH123" s="236">
        <v>0</v>
      </c>
      <c r="AI123" s="236">
        <f t="shared" ref="AI123:AI186" si="371">IF(AND(J123="x", AD123=5), 11, IF(AND(J123="x", AD123=6), 19, -100))</f>
        <v>-100</v>
      </c>
      <c r="AJ123" s="210"/>
      <c r="AK123" s="254"/>
      <c r="AL123" s="254"/>
      <c r="AM123" s="255"/>
      <c r="AN123" s="255"/>
      <c r="AO123" s="255"/>
      <c r="AP123" s="255"/>
      <c r="AQ123" s="255"/>
      <c r="AR123" s="255"/>
      <c r="AS123" s="255"/>
      <c r="AT123" s="255"/>
      <c r="AU123" s="255"/>
      <c r="AV123" s="255"/>
      <c r="AW123" s="255"/>
      <c r="AX123" s="210"/>
      <c r="AY123" s="236" cm="1">
        <f t="array" ref="AY123">INDEX(Use, $AD123, 4)</f>
        <v>7</v>
      </c>
      <c r="AZ123" s="236">
        <f t="shared" ref="AZ123:AZ186" si="372">MAX(25, AY123+25)</f>
        <v>32</v>
      </c>
      <c r="BA123" s="236">
        <f t="shared" si="239"/>
        <v>13</v>
      </c>
      <c r="BB123" s="236">
        <f t="shared" si="240"/>
        <v>0</v>
      </c>
      <c r="BC123" s="252" cm="1">
        <f t="array" ref="BC123">K123/IF($L123&gt;0, INDEX($AO$23:$AU$77, $L123+20, $AD123), 1)</f>
        <v>0</v>
      </c>
      <c r="BD123" s="237">
        <f t="shared" ref="BD123:BD186" si="373">P123 /  IF(AD123&lt;=2, 0.7 + 0.3 * (O123-20)/(35-20), 0.4 + 0.6 * (O123-5)/(35-5))</f>
        <v>0</v>
      </c>
      <c r="BE123" s="236">
        <v>35</v>
      </c>
      <c r="BF123" s="237">
        <f t="shared" ref="BF123:BF186" si="374">MAX($N123, MAX($AZ123, $BE123 + $BA123 + $BB123 + 0.35*$AG123*$BA123 + BD123))</f>
        <v>52.55</v>
      </c>
      <c r="BG123" s="253">
        <f t="shared" ref="BG123:BG186" si="375">0.45*($AY123+273.15)/(BF123-$AY123)</f>
        <v>2.7676728869374316</v>
      </c>
      <c r="BH123" s="253" cm="1">
        <f t="array" ref="BH123">$BC123 * SUMPRODUCT(INDEX($AL$77:$AN$82,,$AE123),INDEX($AO$77:$AU$82,,$AD123), N($AK$77:$AK$82&gt;$AI123)) / BG123 / 1000</f>
        <v>0</v>
      </c>
      <c r="BI123" s="250">
        <f t="shared" si="244"/>
        <v>30</v>
      </c>
      <c r="BJ123" s="237">
        <f t="shared" ref="BJ123:BJ186" si="376">MAX($N123, MAX($AZ123, BI123 + $BA123 + $BB123 + IF($AD123&lt;=2, (BI123-20)/(35-20), 0.6+0.4*(BI123-5)/(35-5))*0.35*$AG123*$BA123) + IF($AD123&lt;=2,0.9,0.8)*$BD123)</f>
        <v>46.033333333333331</v>
      </c>
      <c r="BK123" s="253">
        <f t="shared" ref="BK123:BK186" si="377">0.45*($AY123+273.15)/(BJ123-$AY123)</f>
        <v>3.2297395388556791</v>
      </c>
      <c r="BL123" s="253" cm="1">
        <f t="array" ref="BL123">$BC123 * IF($AD123&lt;=2,
SUMPRODUCT(INDEX($AL$72:$AN$76,,$AE123), INDEX($AO$72:$AU$76,,$AD123), 1 / ($AV$72:$AV$76*BK123 + (1-$AV$72:$AV$76)*BG123), N($AK$72:$AK$76&gt;$AI123)),
SUMPRODUCT(INDEX($AL$67:$AN$76,,$AE123), INDEX($AO$67:$AU$76,,$AD123), 1 / ($AW$67:$AW$76*BK123 + (1-$AW$67:$AW$76)*BG123), N($AK$67:$AK$76&gt;$AI123))
) / 1000</f>
        <v>0</v>
      </c>
      <c r="BM123" s="250">
        <f t="shared" si="247"/>
        <v>25</v>
      </c>
      <c r="BN123" s="237">
        <f t="shared" ref="BN123:BN186" si="378">MAX($N123, MAX($AZ123, BM123 + $BA123 + $BB123 + IF($AD123&lt;=2, (BM123-20)/(35-20), 0.6+0.4*(BM123-5)/(35-5))*0.35*$AG123*$BA123) + IF($AD123&lt;=2,0.8,0.6)*$BD123)</f>
        <v>39.516666666666666</v>
      </c>
      <c r="BO123" s="253">
        <f t="shared" ref="BO123:BO186" si="379">0.45*($AY123+273.15)/(BN123-$AY123)</f>
        <v>3.877011788826243</v>
      </c>
      <c r="BP123" s="253" cm="1">
        <f t="array" ref="BP123">$BC123 * IF($AD123&lt;=2,
SUMPRODUCT(INDEX($AL$67:$AN$71,,$AE123), INDEX($AO$67:$AU$71,,$AD123), 1 / ($AV$67:$AV$71*BO123 + (1-$AV$67:$AV$71)*BK123), N($AK$67:$AK$71&gt;$AI123)),
SUMPRODUCT(INDEX($AL$57:$AN$66,,$AE123), INDEX($AO$57:$AU$66,,$AD123), 1 / ($AW$57:$AW$66*BO123 + (1-$AW$57:$AW$66)*BK123), N($AK$57:$AK$66&gt;$AI123))
) / 1000</f>
        <v>0</v>
      </c>
      <c r="BQ123" s="250">
        <f t="shared" si="250"/>
        <v>20</v>
      </c>
      <c r="BR123" s="237">
        <f t="shared" ref="BR123:BR186" si="380">MAX($N123, MAX($AZ123, BQ123 + $BA123 + $BB123 + IF($AD123&lt;=2, (BQ123-20)/(35-20), 0.6+0.4*(BQ123-5)/(35-5))*0.35*$AG123*$BA123) + IF($AD123&lt;=2,0.7,0.4)*$BD123)</f>
        <v>33</v>
      </c>
      <c r="BS123" s="253">
        <f t="shared" ref="BS123:BS186" si="381">0.45*($AY123+273.15)/(BR123-$AY123)</f>
        <v>4.8487499999999999</v>
      </c>
      <c r="BT123" s="253" cm="1">
        <f t="array" ref="BT123">$BC123 * IF($AD123&lt;=2,
SUMPRODUCT(INDEX($AL$62:$AN$66,,$AE123), INDEX($AO$62:$AU$66,,$AD123), 1 / ($AV$62:$AV$66*BS123 + (1-$AV$62:$AV$66)*BO123), N($AK$62:$AK$66&gt;$AI123)),
SUMPRODUCT(INDEX($AL$47:$AN$56,,$AE123), INDEX($AO$47:$AU$56,,$AD123), 1 / ($AW$47:$AW$56*BS123 + (1-$AW$47:$AW$56)*BO123), N($AK$47:$AK$56&gt;$AI123))
) / 1000</f>
        <v>0</v>
      </c>
      <c r="BU123" s="253" cm="1">
        <f t="array" ref="BU123">$BC123 * IF($AD123&lt;=2,
SUMPRODUCT(INDEX($AL$23:$AN$61,,$AE123), INDEX($AO$23:$AU$61,,$AD123), 1 / ($AV$23:$AV$61*BS123), N($AK$23:$AK$61&gt;$AI123)),
SUMPRODUCT(INDEX($AL$23:$AN$46,,$AE123), INDEX($AO$23:$AU$46,,$AD123), 1 / ($AW$23:$AW$46*BS123), N($AK$23:$AK$46&gt;$AI123))
) / 1000</f>
        <v>0</v>
      </c>
      <c r="BV123" s="237">
        <f t="shared" ref="BV123:BV186" si="382">BH123+BL123+BP123+BT123+BU123</f>
        <v>0</v>
      </c>
      <c r="BW123" s="210"/>
      <c r="BX123" s="237">
        <f t="shared" ref="BX123:BX186" si="383">U123 /  IF(AD123&lt;=2, 0.7 + 0.3 * (T123-20)/(35-20), 0.4 + 0.6 * (T123-5)/(35-5))</f>
        <v>0</v>
      </c>
      <c r="BY123" s="236">
        <v>35</v>
      </c>
      <c r="BZ123" s="237">
        <f t="shared" ref="BZ123:BZ186" si="384">MAX($S123, MAX($AZ123, $BE123 + $BA123 + $BB123 + 0.35*$AH123*$BA123 + BX123))</f>
        <v>48</v>
      </c>
      <c r="CA123" s="253">
        <f t="shared" ref="CA123:CA186" si="385">0.45*($AY123+273.15)/(BZ123-$AY123)</f>
        <v>3.0748170731707316</v>
      </c>
      <c r="CB123" s="253" cm="1">
        <f t="array" ref="CB123">$BC123 * SUMPRODUCT(INDEX($AL$77:$AN$82,,$AE123),INDEX($AO$77:$AU$82,,$AD123), N($AK$77:$AK$82&gt;$AI123)) / CA123 / 1000</f>
        <v>0</v>
      </c>
      <c r="CC123" s="250">
        <f t="shared" si="257"/>
        <v>30</v>
      </c>
      <c r="CD123" s="237">
        <f t="shared" ref="CD123:CD186" si="386">MAX($S123, MAX($AZ123, CC123 + $BA123 + $BB123 + IF($AD123&lt;=2, (CC123-20)/(35-20), 0.6+0.4*(CC123-5)/(35-5))*0.35*$AH123*$BA123) + IF($AD123&lt;=2,0.9,0.8)*$BX123)</f>
        <v>43</v>
      </c>
      <c r="CE123" s="253">
        <f t="shared" ref="CE123:CE186" si="387">0.45*($AY123+273.15)/(CD123-$AY123)</f>
        <v>3.5018750000000001</v>
      </c>
      <c r="CF123" s="253" cm="1">
        <f t="array" ref="CF123">$BC123 * IF($AD123&lt;=2,
SUMPRODUCT(INDEX($AL$72:$AN$76,,$AE123), INDEX($AO$72:$AU$76,,$AD123), 1 / ($AV$72:$AV$76*CE123 + (1-$AV$72:$AV$76)*CA123), N($AK$72:$AK$76&gt;$AI123)),
SUMPRODUCT(INDEX($AL$67:$AN$76,,$AE123), INDEX($AO$67:$AU$76,,$AD123), 1 / ($AW$67:$AW$76*CE123 + (1-$AW$67:$AW$76)*CA123), N($AK$67:$AK$76&gt;$AI123))
) / 1000</f>
        <v>0</v>
      </c>
      <c r="CG123" s="250">
        <f t="shared" si="260"/>
        <v>25</v>
      </c>
      <c r="CH123" s="237">
        <f t="shared" ref="CH123:CH186" si="388">MAX($S123, MAX($AZ123, CG123 + $BA123 + $BB123 + IF($AD123&lt;=2, (CG123-20)/(35-20), 0.6+0.4*(CG123-5)/(35-5))*0.35*$AH123*$BA123) + IF($AD123&lt;=2,0.8,0.6)*$BX123)</f>
        <v>38</v>
      </c>
      <c r="CI123" s="253">
        <f t="shared" ref="CI123:CI186" si="389">0.45*($AY123+273.15)/(CH123-$AY123)</f>
        <v>4.0666935483870965</v>
      </c>
      <c r="CJ123" s="253" cm="1">
        <f t="array" ref="CJ123">$BC123 * IF($AD123&lt;=2,
SUMPRODUCT(INDEX($AL$67:$AN$71,,$AE123), INDEX($AO$67:$AU$71,,$AD123), 1 / ($AV$67:$AV$71*CI123 + (1-$AV$67:$AV$71)*CE123), N($AK$67:$AK$71&gt;$AI123)),
SUMPRODUCT(INDEX($AL$57:$AN$66,,$AE123), INDEX($AO$57:$AU$66,,$AD123), 1 / ($AW$57:$AW$66*CI123 + (1-$AW$57:$AW$66)*CE123), N($AK$57:$AK$66&gt;$AI123))
) / 1000</f>
        <v>0</v>
      </c>
      <c r="CK123" s="250">
        <f t="shared" si="263"/>
        <v>20</v>
      </c>
      <c r="CL123" s="237">
        <f t="shared" ref="CL123:CL186" si="390">MAX($S123, MAX($AZ123, CK123 + $BA123 + $BB123 + IF($AD123&lt;=2, (CK123-20)/(35-20), 0.6+0.4*(CK123-5)/(35-5))*0.35*$AH123*$BA123) + IF($AD123&lt;=2,0.7,0.4)*$BX123)</f>
        <v>33</v>
      </c>
      <c r="CM123" s="253">
        <f t="shared" ref="CM123:CM186" si="391">0.45*($AY123+273.15)/(CL123-$AY123)</f>
        <v>4.8487499999999999</v>
      </c>
      <c r="CN123" s="253" cm="1">
        <f t="array" ref="CN123">$BC123 * IF($AD123&lt;=2,
SUMPRODUCT(INDEX($AL$62:$AN$66,,$AE123), INDEX($AO$62:$AU$66,,$AD123), 1 / ($AV$62:$AV$66*CM123 + (1-$AV$62:$AV$66)*CI123), N($AK$62:$AK$66&gt;$AI123)),
SUMPRODUCT(INDEX($AL$47:$AN$56,,$AE123), INDEX($AO$47:$AU$56,,$AD123), 1 / ($AW$47:$AW$56*CM123 + (1-$AW$47:$AW$56)*CI123), N($AK$47:$AK$56&gt;$AI123))
) / 1000</f>
        <v>0</v>
      </c>
      <c r="CO123" s="253" cm="1">
        <f t="array" ref="CO123">$BC123 * IF($AD123&lt;=2,
SUMPRODUCT(INDEX($AL$23:$AN$61,,$AE123), INDEX($AO$23:$AU$61,,$AD123), 1 / ($AV$23:$AV$61*CM123), N($AK$23:$AK$61&gt;$AI123)),
SUMPRODUCT(INDEX($AL$23:$AN$46,,$AE123), INDEX($AO$23:$AU$46,,$AD123), 1 / ($AW$23:$AW$46*CM123), N($AK$23:$AK$46&gt;$AI123))
) / 1000</f>
        <v>0</v>
      </c>
      <c r="CP123" s="237">
        <f t="shared" ref="CP123:CP186" si="392">CB123+CF123+CJ123+CN123+CO123</f>
        <v>0</v>
      </c>
      <c r="CQ123" s="210"/>
    </row>
    <row r="124" spans="1:95" s="76" customFormat="1" ht="14.25" customHeight="1" x14ac:dyDescent="0.2">
      <c r="A124" s="238" t="b">
        <f t="shared" si="227"/>
        <v>0</v>
      </c>
      <c r="B124" s="239">
        <v>102</v>
      </c>
      <c r="C124" s="258"/>
      <c r="D124" s="258"/>
      <c r="E124" s="240"/>
      <c r="F124" s="241" t="str">
        <f>IF(ISBLANK(E124), "", VLOOKUP(E124, Z!$A$2:$C$4127, 3, FALSE))</f>
        <v/>
      </c>
      <c r="G124" s="242"/>
      <c r="H124" s="242"/>
      <c r="I124" s="243"/>
      <c r="J124" s="244"/>
      <c r="K124" s="259"/>
      <c r="L124" s="260"/>
      <c r="M124" s="247" t="str" cm="1">
        <f t="array" ref="M124">IF($K124&gt;0, INDEX(Clean,1+AG124,$C$1), "")</f>
        <v/>
      </c>
      <c r="N124" s="245"/>
      <c r="O124" s="245"/>
      <c r="P124" s="246"/>
      <c r="Q124" s="248">
        <f t="shared" si="369"/>
        <v>0</v>
      </c>
      <c r="R124" s="247" t="str" cm="1">
        <f t="array" ref="R124">IF($K124&gt;0, INDEX(Clean,1+AH124,$C$1), "")</f>
        <v/>
      </c>
      <c r="S124" s="245"/>
      <c r="T124" s="245"/>
      <c r="U124" s="246"/>
      <c r="V124" s="248">
        <f t="shared" si="370"/>
        <v>0</v>
      </c>
      <c r="W124" s="261"/>
      <c r="X124" s="258"/>
      <c r="Y124" s="240"/>
      <c r="Z124" s="241" t="str">
        <f>IF(ISBLANK(Y124), "", VLOOKUP(Y124, Z!$A$2:$C$4127, 3, FALSE))</f>
        <v/>
      </c>
      <c r="AA124" s="262"/>
      <c r="AB124" s="249">
        <f t="shared" si="234"/>
        <v>0</v>
      </c>
      <c r="AC124" s="210"/>
      <c r="AD124" s="236">
        <f t="shared" ref="AD124:AD187" si="393">IF(ISBLANK(H124), 1, IFERROR(MATCH(H124, INDEX(Use,,1), 0), IFERROR(MATCH(H124, INDEX(Use,,2), 0), MATCH(H124, INDEX(Use,,3), 0))))</f>
        <v>1</v>
      </c>
      <c r="AE124" s="236">
        <f t="shared" ref="AE124:AE187" si="394">IF(ISBLANK(G124), 1, IFERROR(MATCH(G124, INDEX(Loc,,1), 0), IFERROR(MATCH(G124, INDEX(Loc,,2), 0), MATCH(G124, INDEX(Loc,,3), 0))))</f>
        <v>1</v>
      </c>
      <c r="AF124" s="236">
        <f t="shared" ref="AF124:AF187" si="395">_xlfn.IFNA(IF(IFERROR(MATCH(I124, INDEX(Medium,,1), 0), IFERROR(MATCH(I124, INDEX(Medium,,2), 0), MATCH(I124, INDEX(Medium,,3), 0))) = 2, 1, 0), 0)</f>
        <v>0</v>
      </c>
      <c r="AG124" s="236">
        <v>1</v>
      </c>
      <c r="AH124" s="236">
        <v>0</v>
      </c>
      <c r="AI124" s="236">
        <f t="shared" si="371"/>
        <v>-100</v>
      </c>
      <c r="AJ124" s="210"/>
      <c r="AK124" s="254"/>
      <c r="AL124" s="254"/>
      <c r="AM124" s="255"/>
      <c r="AN124" s="255"/>
      <c r="AO124" s="255"/>
      <c r="AP124" s="255"/>
      <c r="AQ124" s="255"/>
      <c r="AR124" s="255"/>
      <c r="AS124" s="255"/>
      <c r="AT124" s="255"/>
      <c r="AU124" s="255"/>
      <c r="AV124" s="255"/>
      <c r="AW124" s="255"/>
      <c r="AX124" s="210"/>
      <c r="AY124" s="236" cm="1">
        <f t="array" ref="AY124">INDEX(Use, $AD124, 4)</f>
        <v>7</v>
      </c>
      <c r="AZ124" s="236">
        <f t="shared" si="372"/>
        <v>32</v>
      </c>
      <c r="BA124" s="236">
        <f t="shared" si="239"/>
        <v>13</v>
      </c>
      <c r="BB124" s="236">
        <f t="shared" si="240"/>
        <v>0</v>
      </c>
      <c r="BC124" s="252" cm="1">
        <f t="array" ref="BC124">K124/IF($L124&gt;0, INDEX($AO$23:$AU$77, $L124+20, $AD124), 1)</f>
        <v>0</v>
      </c>
      <c r="BD124" s="237">
        <f t="shared" si="373"/>
        <v>0</v>
      </c>
      <c r="BE124" s="236">
        <v>35</v>
      </c>
      <c r="BF124" s="237">
        <f t="shared" si="374"/>
        <v>52.55</v>
      </c>
      <c r="BG124" s="253">
        <f t="shared" si="375"/>
        <v>2.7676728869374316</v>
      </c>
      <c r="BH124" s="253" cm="1">
        <f t="array" ref="BH124">$BC124 * SUMPRODUCT(INDEX($AL$77:$AN$82,,$AE124),INDEX($AO$77:$AU$82,,$AD124), N($AK$77:$AK$82&gt;$AI124)) / BG124 / 1000</f>
        <v>0</v>
      </c>
      <c r="BI124" s="250">
        <f t="shared" si="244"/>
        <v>30</v>
      </c>
      <c r="BJ124" s="237">
        <f t="shared" si="376"/>
        <v>46.033333333333331</v>
      </c>
      <c r="BK124" s="253">
        <f t="shared" si="377"/>
        <v>3.2297395388556791</v>
      </c>
      <c r="BL124" s="253" cm="1">
        <f t="array" ref="BL124">$BC124 * IF($AD124&lt;=2,
SUMPRODUCT(INDEX($AL$72:$AN$76,,$AE124), INDEX($AO$72:$AU$76,,$AD124), 1 / ($AV$72:$AV$76*BK124 + (1-$AV$72:$AV$76)*BG124), N($AK$72:$AK$76&gt;$AI124)),
SUMPRODUCT(INDEX($AL$67:$AN$76,,$AE124), INDEX($AO$67:$AU$76,,$AD124), 1 / ($AW$67:$AW$76*BK124 + (1-$AW$67:$AW$76)*BG124), N($AK$67:$AK$76&gt;$AI124))
) / 1000</f>
        <v>0</v>
      </c>
      <c r="BM124" s="250">
        <f t="shared" si="247"/>
        <v>25</v>
      </c>
      <c r="BN124" s="237">
        <f t="shared" si="378"/>
        <v>39.516666666666666</v>
      </c>
      <c r="BO124" s="253">
        <f t="shared" si="379"/>
        <v>3.877011788826243</v>
      </c>
      <c r="BP124" s="253" cm="1">
        <f t="array" ref="BP124">$BC124 * IF($AD124&lt;=2,
SUMPRODUCT(INDEX($AL$67:$AN$71,,$AE124), INDEX($AO$67:$AU$71,,$AD124), 1 / ($AV$67:$AV$71*BO124 + (1-$AV$67:$AV$71)*BK124), N($AK$67:$AK$71&gt;$AI124)),
SUMPRODUCT(INDEX($AL$57:$AN$66,,$AE124), INDEX($AO$57:$AU$66,,$AD124), 1 / ($AW$57:$AW$66*BO124 + (1-$AW$57:$AW$66)*BK124), N($AK$57:$AK$66&gt;$AI124))
) / 1000</f>
        <v>0</v>
      </c>
      <c r="BQ124" s="250">
        <f t="shared" si="250"/>
        <v>20</v>
      </c>
      <c r="BR124" s="237">
        <f t="shared" si="380"/>
        <v>33</v>
      </c>
      <c r="BS124" s="253">
        <f t="shared" si="381"/>
        <v>4.8487499999999999</v>
      </c>
      <c r="BT124" s="253" cm="1">
        <f t="array" ref="BT124">$BC124 * IF($AD124&lt;=2,
SUMPRODUCT(INDEX($AL$62:$AN$66,,$AE124), INDEX($AO$62:$AU$66,,$AD124), 1 / ($AV$62:$AV$66*BS124 + (1-$AV$62:$AV$66)*BO124), N($AK$62:$AK$66&gt;$AI124)),
SUMPRODUCT(INDEX($AL$47:$AN$56,,$AE124), INDEX($AO$47:$AU$56,,$AD124), 1 / ($AW$47:$AW$56*BS124 + (1-$AW$47:$AW$56)*BO124), N($AK$47:$AK$56&gt;$AI124))
) / 1000</f>
        <v>0</v>
      </c>
      <c r="BU124" s="253" cm="1">
        <f t="array" ref="BU124">$BC124 * IF($AD124&lt;=2,
SUMPRODUCT(INDEX($AL$23:$AN$61,,$AE124), INDEX($AO$23:$AU$61,,$AD124), 1 / ($AV$23:$AV$61*BS124), N($AK$23:$AK$61&gt;$AI124)),
SUMPRODUCT(INDEX($AL$23:$AN$46,,$AE124), INDEX($AO$23:$AU$46,,$AD124), 1 / ($AW$23:$AW$46*BS124), N($AK$23:$AK$46&gt;$AI124))
) / 1000</f>
        <v>0</v>
      </c>
      <c r="BV124" s="237">
        <f t="shared" si="382"/>
        <v>0</v>
      </c>
      <c r="BW124" s="210"/>
      <c r="BX124" s="237">
        <f t="shared" si="383"/>
        <v>0</v>
      </c>
      <c r="BY124" s="236">
        <v>35</v>
      </c>
      <c r="BZ124" s="237">
        <f t="shared" si="384"/>
        <v>48</v>
      </c>
      <c r="CA124" s="253">
        <f t="shared" si="385"/>
        <v>3.0748170731707316</v>
      </c>
      <c r="CB124" s="253" cm="1">
        <f t="array" ref="CB124">$BC124 * SUMPRODUCT(INDEX($AL$77:$AN$82,,$AE124),INDEX($AO$77:$AU$82,,$AD124), N($AK$77:$AK$82&gt;$AI124)) / CA124 / 1000</f>
        <v>0</v>
      </c>
      <c r="CC124" s="250">
        <f t="shared" si="257"/>
        <v>30</v>
      </c>
      <c r="CD124" s="237">
        <f t="shared" si="386"/>
        <v>43</v>
      </c>
      <c r="CE124" s="253">
        <f t="shared" si="387"/>
        <v>3.5018750000000001</v>
      </c>
      <c r="CF124" s="253" cm="1">
        <f t="array" ref="CF124">$BC124 * IF($AD124&lt;=2,
SUMPRODUCT(INDEX($AL$72:$AN$76,,$AE124), INDEX($AO$72:$AU$76,,$AD124), 1 / ($AV$72:$AV$76*CE124 + (1-$AV$72:$AV$76)*CA124), N($AK$72:$AK$76&gt;$AI124)),
SUMPRODUCT(INDEX($AL$67:$AN$76,,$AE124), INDEX($AO$67:$AU$76,,$AD124), 1 / ($AW$67:$AW$76*CE124 + (1-$AW$67:$AW$76)*CA124), N($AK$67:$AK$76&gt;$AI124))
) / 1000</f>
        <v>0</v>
      </c>
      <c r="CG124" s="250">
        <f t="shared" si="260"/>
        <v>25</v>
      </c>
      <c r="CH124" s="237">
        <f t="shared" si="388"/>
        <v>38</v>
      </c>
      <c r="CI124" s="253">
        <f t="shared" si="389"/>
        <v>4.0666935483870965</v>
      </c>
      <c r="CJ124" s="253" cm="1">
        <f t="array" ref="CJ124">$BC124 * IF($AD124&lt;=2,
SUMPRODUCT(INDEX($AL$67:$AN$71,,$AE124), INDEX($AO$67:$AU$71,,$AD124), 1 / ($AV$67:$AV$71*CI124 + (1-$AV$67:$AV$71)*CE124), N($AK$67:$AK$71&gt;$AI124)),
SUMPRODUCT(INDEX($AL$57:$AN$66,,$AE124), INDEX($AO$57:$AU$66,,$AD124), 1 / ($AW$57:$AW$66*CI124 + (1-$AW$57:$AW$66)*CE124), N($AK$57:$AK$66&gt;$AI124))
) / 1000</f>
        <v>0</v>
      </c>
      <c r="CK124" s="250">
        <f t="shared" si="263"/>
        <v>20</v>
      </c>
      <c r="CL124" s="237">
        <f t="shared" si="390"/>
        <v>33</v>
      </c>
      <c r="CM124" s="253">
        <f t="shared" si="391"/>
        <v>4.8487499999999999</v>
      </c>
      <c r="CN124" s="253" cm="1">
        <f t="array" ref="CN124">$BC124 * IF($AD124&lt;=2,
SUMPRODUCT(INDEX($AL$62:$AN$66,,$AE124), INDEX($AO$62:$AU$66,,$AD124), 1 / ($AV$62:$AV$66*CM124 + (1-$AV$62:$AV$66)*CI124), N($AK$62:$AK$66&gt;$AI124)),
SUMPRODUCT(INDEX($AL$47:$AN$56,,$AE124), INDEX($AO$47:$AU$56,,$AD124), 1 / ($AW$47:$AW$56*CM124 + (1-$AW$47:$AW$56)*CI124), N($AK$47:$AK$56&gt;$AI124))
) / 1000</f>
        <v>0</v>
      </c>
      <c r="CO124" s="253" cm="1">
        <f t="array" ref="CO124">$BC124 * IF($AD124&lt;=2,
SUMPRODUCT(INDEX($AL$23:$AN$61,,$AE124), INDEX($AO$23:$AU$61,,$AD124), 1 / ($AV$23:$AV$61*CM124), N($AK$23:$AK$61&gt;$AI124)),
SUMPRODUCT(INDEX($AL$23:$AN$46,,$AE124), INDEX($AO$23:$AU$46,,$AD124), 1 / ($AW$23:$AW$46*CM124), N($AK$23:$AK$46&gt;$AI124))
) / 1000</f>
        <v>0</v>
      </c>
      <c r="CP124" s="237">
        <f t="shared" si="392"/>
        <v>0</v>
      </c>
      <c r="CQ124" s="210"/>
    </row>
    <row r="125" spans="1:95" s="76" customFormat="1" ht="14.25" customHeight="1" x14ac:dyDescent="0.2">
      <c r="A125" s="238" t="b">
        <f t="shared" si="227"/>
        <v>0</v>
      </c>
      <c r="B125" s="239">
        <v>103</v>
      </c>
      <c r="C125" s="258"/>
      <c r="D125" s="258"/>
      <c r="E125" s="240"/>
      <c r="F125" s="241" t="str">
        <f>IF(ISBLANK(E125), "", VLOOKUP(E125, Z!$A$2:$C$4127, 3, FALSE))</f>
        <v/>
      </c>
      <c r="G125" s="242"/>
      <c r="H125" s="242"/>
      <c r="I125" s="243"/>
      <c r="J125" s="244"/>
      <c r="K125" s="259"/>
      <c r="L125" s="260"/>
      <c r="M125" s="247" t="str" cm="1">
        <f t="array" ref="M125">IF($K125&gt;0, INDEX(Clean,1+AG125,$C$1), "")</f>
        <v/>
      </c>
      <c r="N125" s="245"/>
      <c r="O125" s="245"/>
      <c r="P125" s="246"/>
      <c r="Q125" s="248">
        <f t="shared" si="369"/>
        <v>0</v>
      </c>
      <c r="R125" s="247" t="str" cm="1">
        <f t="array" ref="R125">IF($K125&gt;0, INDEX(Clean,1+AH125,$C$1), "")</f>
        <v/>
      </c>
      <c r="S125" s="245"/>
      <c r="T125" s="245"/>
      <c r="U125" s="246"/>
      <c r="V125" s="248">
        <f t="shared" si="370"/>
        <v>0</v>
      </c>
      <c r="W125" s="261"/>
      <c r="X125" s="258"/>
      <c r="Y125" s="240"/>
      <c r="Z125" s="241" t="str">
        <f>IF(ISBLANK(Y125), "", VLOOKUP(Y125, Z!$A$2:$C$4127, 3, FALSE))</f>
        <v/>
      </c>
      <c r="AA125" s="262"/>
      <c r="AB125" s="249">
        <f t="shared" si="234"/>
        <v>0</v>
      </c>
      <c r="AC125" s="210"/>
      <c r="AD125" s="236">
        <f t="shared" si="393"/>
        <v>1</v>
      </c>
      <c r="AE125" s="236">
        <f t="shared" si="394"/>
        <v>1</v>
      </c>
      <c r="AF125" s="236">
        <f t="shared" si="395"/>
        <v>0</v>
      </c>
      <c r="AG125" s="236">
        <v>1</v>
      </c>
      <c r="AH125" s="236">
        <v>0</v>
      </c>
      <c r="AI125" s="236">
        <f t="shared" si="371"/>
        <v>-100</v>
      </c>
      <c r="AJ125" s="210"/>
      <c r="AK125" s="254"/>
      <c r="AL125" s="254"/>
      <c r="AM125" s="255"/>
      <c r="AN125" s="255"/>
      <c r="AO125" s="255"/>
      <c r="AP125" s="255"/>
      <c r="AQ125" s="255"/>
      <c r="AR125" s="255"/>
      <c r="AS125" s="255"/>
      <c r="AT125" s="255"/>
      <c r="AU125" s="255"/>
      <c r="AV125" s="255"/>
      <c r="AW125" s="255"/>
      <c r="AX125" s="210"/>
      <c r="AY125" s="236" cm="1">
        <f t="array" ref="AY125">INDEX(Use, $AD125, 4)</f>
        <v>7</v>
      </c>
      <c r="AZ125" s="236">
        <f t="shared" si="372"/>
        <v>32</v>
      </c>
      <c r="BA125" s="236">
        <f t="shared" si="239"/>
        <v>13</v>
      </c>
      <c r="BB125" s="236">
        <f t="shared" si="240"/>
        <v>0</v>
      </c>
      <c r="BC125" s="252" cm="1">
        <f t="array" ref="BC125">K125/IF($L125&gt;0, INDEX($AO$23:$AU$77, $L125+20, $AD125), 1)</f>
        <v>0</v>
      </c>
      <c r="BD125" s="237">
        <f t="shared" si="373"/>
        <v>0</v>
      </c>
      <c r="BE125" s="236">
        <v>35</v>
      </c>
      <c r="BF125" s="237">
        <f t="shared" si="374"/>
        <v>52.55</v>
      </c>
      <c r="BG125" s="253">
        <f t="shared" si="375"/>
        <v>2.7676728869374316</v>
      </c>
      <c r="BH125" s="253" cm="1">
        <f t="array" ref="BH125">$BC125 * SUMPRODUCT(INDEX($AL$77:$AN$82,,$AE125),INDEX($AO$77:$AU$82,,$AD125), N($AK$77:$AK$82&gt;$AI125)) / BG125 / 1000</f>
        <v>0</v>
      </c>
      <c r="BI125" s="250">
        <f t="shared" si="244"/>
        <v>30</v>
      </c>
      <c r="BJ125" s="237">
        <f t="shared" si="376"/>
        <v>46.033333333333331</v>
      </c>
      <c r="BK125" s="253">
        <f t="shared" si="377"/>
        <v>3.2297395388556791</v>
      </c>
      <c r="BL125" s="253" cm="1">
        <f t="array" ref="BL125">$BC125 * IF($AD125&lt;=2,
SUMPRODUCT(INDEX($AL$72:$AN$76,,$AE125), INDEX($AO$72:$AU$76,,$AD125), 1 / ($AV$72:$AV$76*BK125 + (1-$AV$72:$AV$76)*BG125), N($AK$72:$AK$76&gt;$AI125)),
SUMPRODUCT(INDEX($AL$67:$AN$76,,$AE125), INDEX($AO$67:$AU$76,,$AD125), 1 / ($AW$67:$AW$76*BK125 + (1-$AW$67:$AW$76)*BG125), N($AK$67:$AK$76&gt;$AI125))
) / 1000</f>
        <v>0</v>
      </c>
      <c r="BM125" s="250">
        <f t="shared" si="247"/>
        <v>25</v>
      </c>
      <c r="BN125" s="237">
        <f t="shared" si="378"/>
        <v>39.516666666666666</v>
      </c>
      <c r="BO125" s="253">
        <f t="shared" si="379"/>
        <v>3.877011788826243</v>
      </c>
      <c r="BP125" s="253" cm="1">
        <f t="array" ref="BP125">$BC125 * IF($AD125&lt;=2,
SUMPRODUCT(INDEX($AL$67:$AN$71,,$AE125), INDEX($AO$67:$AU$71,,$AD125), 1 / ($AV$67:$AV$71*BO125 + (1-$AV$67:$AV$71)*BK125), N($AK$67:$AK$71&gt;$AI125)),
SUMPRODUCT(INDEX($AL$57:$AN$66,,$AE125), INDEX($AO$57:$AU$66,,$AD125), 1 / ($AW$57:$AW$66*BO125 + (1-$AW$57:$AW$66)*BK125), N($AK$57:$AK$66&gt;$AI125))
) / 1000</f>
        <v>0</v>
      </c>
      <c r="BQ125" s="250">
        <f t="shared" si="250"/>
        <v>20</v>
      </c>
      <c r="BR125" s="237">
        <f t="shared" si="380"/>
        <v>33</v>
      </c>
      <c r="BS125" s="253">
        <f t="shared" si="381"/>
        <v>4.8487499999999999</v>
      </c>
      <c r="BT125" s="253" cm="1">
        <f t="array" ref="BT125">$BC125 * IF($AD125&lt;=2,
SUMPRODUCT(INDEX($AL$62:$AN$66,,$AE125), INDEX($AO$62:$AU$66,,$AD125), 1 / ($AV$62:$AV$66*BS125 + (1-$AV$62:$AV$66)*BO125), N($AK$62:$AK$66&gt;$AI125)),
SUMPRODUCT(INDEX($AL$47:$AN$56,,$AE125), INDEX($AO$47:$AU$56,,$AD125), 1 / ($AW$47:$AW$56*BS125 + (1-$AW$47:$AW$56)*BO125), N($AK$47:$AK$56&gt;$AI125))
) / 1000</f>
        <v>0</v>
      </c>
      <c r="BU125" s="253" cm="1">
        <f t="array" ref="BU125">$BC125 * IF($AD125&lt;=2,
SUMPRODUCT(INDEX($AL$23:$AN$61,,$AE125), INDEX($AO$23:$AU$61,,$AD125), 1 / ($AV$23:$AV$61*BS125), N($AK$23:$AK$61&gt;$AI125)),
SUMPRODUCT(INDEX($AL$23:$AN$46,,$AE125), INDEX($AO$23:$AU$46,,$AD125), 1 / ($AW$23:$AW$46*BS125), N($AK$23:$AK$46&gt;$AI125))
) / 1000</f>
        <v>0</v>
      </c>
      <c r="BV125" s="237">
        <f t="shared" si="382"/>
        <v>0</v>
      </c>
      <c r="BW125" s="210"/>
      <c r="BX125" s="237">
        <f t="shared" si="383"/>
        <v>0</v>
      </c>
      <c r="BY125" s="236">
        <v>35</v>
      </c>
      <c r="BZ125" s="237">
        <f t="shared" si="384"/>
        <v>48</v>
      </c>
      <c r="CA125" s="253">
        <f t="shared" si="385"/>
        <v>3.0748170731707316</v>
      </c>
      <c r="CB125" s="253" cm="1">
        <f t="array" ref="CB125">$BC125 * SUMPRODUCT(INDEX($AL$77:$AN$82,,$AE125),INDEX($AO$77:$AU$82,,$AD125), N($AK$77:$AK$82&gt;$AI125)) / CA125 / 1000</f>
        <v>0</v>
      </c>
      <c r="CC125" s="250">
        <f t="shared" si="257"/>
        <v>30</v>
      </c>
      <c r="CD125" s="237">
        <f t="shared" si="386"/>
        <v>43</v>
      </c>
      <c r="CE125" s="253">
        <f t="shared" si="387"/>
        <v>3.5018750000000001</v>
      </c>
      <c r="CF125" s="253" cm="1">
        <f t="array" ref="CF125">$BC125 * IF($AD125&lt;=2,
SUMPRODUCT(INDEX($AL$72:$AN$76,,$AE125), INDEX($AO$72:$AU$76,,$AD125), 1 / ($AV$72:$AV$76*CE125 + (1-$AV$72:$AV$76)*CA125), N($AK$72:$AK$76&gt;$AI125)),
SUMPRODUCT(INDEX($AL$67:$AN$76,,$AE125), INDEX($AO$67:$AU$76,,$AD125), 1 / ($AW$67:$AW$76*CE125 + (1-$AW$67:$AW$76)*CA125), N($AK$67:$AK$76&gt;$AI125))
) / 1000</f>
        <v>0</v>
      </c>
      <c r="CG125" s="250">
        <f t="shared" si="260"/>
        <v>25</v>
      </c>
      <c r="CH125" s="237">
        <f t="shared" si="388"/>
        <v>38</v>
      </c>
      <c r="CI125" s="253">
        <f t="shared" si="389"/>
        <v>4.0666935483870965</v>
      </c>
      <c r="CJ125" s="253" cm="1">
        <f t="array" ref="CJ125">$BC125 * IF($AD125&lt;=2,
SUMPRODUCT(INDEX($AL$67:$AN$71,,$AE125), INDEX($AO$67:$AU$71,,$AD125), 1 / ($AV$67:$AV$71*CI125 + (1-$AV$67:$AV$71)*CE125), N($AK$67:$AK$71&gt;$AI125)),
SUMPRODUCT(INDEX($AL$57:$AN$66,,$AE125), INDEX($AO$57:$AU$66,,$AD125), 1 / ($AW$57:$AW$66*CI125 + (1-$AW$57:$AW$66)*CE125), N($AK$57:$AK$66&gt;$AI125))
) / 1000</f>
        <v>0</v>
      </c>
      <c r="CK125" s="250">
        <f t="shared" si="263"/>
        <v>20</v>
      </c>
      <c r="CL125" s="237">
        <f t="shared" si="390"/>
        <v>33</v>
      </c>
      <c r="CM125" s="253">
        <f t="shared" si="391"/>
        <v>4.8487499999999999</v>
      </c>
      <c r="CN125" s="253" cm="1">
        <f t="array" ref="CN125">$BC125 * IF($AD125&lt;=2,
SUMPRODUCT(INDEX($AL$62:$AN$66,,$AE125), INDEX($AO$62:$AU$66,,$AD125), 1 / ($AV$62:$AV$66*CM125 + (1-$AV$62:$AV$66)*CI125), N($AK$62:$AK$66&gt;$AI125)),
SUMPRODUCT(INDEX($AL$47:$AN$56,,$AE125), INDEX($AO$47:$AU$56,,$AD125), 1 / ($AW$47:$AW$56*CM125 + (1-$AW$47:$AW$56)*CI125), N($AK$47:$AK$56&gt;$AI125))
) / 1000</f>
        <v>0</v>
      </c>
      <c r="CO125" s="253" cm="1">
        <f t="array" ref="CO125">$BC125 * IF($AD125&lt;=2,
SUMPRODUCT(INDEX($AL$23:$AN$61,,$AE125), INDEX($AO$23:$AU$61,,$AD125), 1 / ($AV$23:$AV$61*CM125), N($AK$23:$AK$61&gt;$AI125)),
SUMPRODUCT(INDEX($AL$23:$AN$46,,$AE125), INDEX($AO$23:$AU$46,,$AD125), 1 / ($AW$23:$AW$46*CM125), N($AK$23:$AK$46&gt;$AI125))
) / 1000</f>
        <v>0</v>
      </c>
      <c r="CP125" s="237">
        <f t="shared" si="392"/>
        <v>0</v>
      </c>
      <c r="CQ125" s="210"/>
    </row>
    <row r="126" spans="1:95" s="76" customFormat="1" ht="14.25" customHeight="1" x14ac:dyDescent="0.2">
      <c r="A126" s="238" t="b">
        <f t="shared" si="227"/>
        <v>0</v>
      </c>
      <c r="B126" s="239">
        <v>104</v>
      </c>
      <c r="C126" s="258"/>
      <c r="D126" s="258"/>
      <c r="E126" s="240"/>
      <c r="F126" s="241" t="str">
        <f>IF(ISBLANK(E126), "", VLOOKUP(E126, Z!$A$2:$C$4127, 3, FALSE))</f>
        <v/>
      </c>
      <c r="G126" s="242"/>
      <c r="H126" s="242"/>
      <c r="I126" s="243"/>
      <c r="J126" s="244"/>
      <c r="K126" s="259"/>
      <c r="L126" s="260"/>
      <c r="M126" s="247" t="str" cm="1">
        <f t="array" ref="M126">IF($K126&gt;0, INDEX(Clean,1+AG126,$C$1), "")</f>
        <v/>
      </c>
      <c r="N126" s="245"/>
      <c r="O126" s="245"/>
      <c r="P126" s="246"/>
      <c r="Q126" s="248">
        <f t="shared" si="369"/>
        <v>0</v>
      </c>
      <c r="R126" s="247" t="str" cm="1">
        <f t="array" ref="R126">IF($K126&gt;0, INDEX(Clean,1+AH126,$C$1), "")</f>
        <v/>
      </c>
      <c r="S126" s="245"/>
      <c r="T126" s="245"/>
      <c r="U126" s="246"/>
      <c r="V126" s="248">
        <f t="shared" si="370"/>
        <v>0</v>
      </c>
      <c r="W126" s="261"/>
      <c r="X126" s="258"/>
      <c r="Y126" s="240"/>
      <c r="Z126" s="241" t="str">
        <f>IF(ISBLANK(Y126), "", VLOOKUP(Y126, Z!$A$2:$C$4127, 3, FALSE))</f>
        <v/>
      </c>
      <c r="AA126" s="262"/>
      <c r="AB126" s="249">
        <f t="shared" si="234"/>
        <v>0</v>
      </c>
      <c r="AC126" s="210"/>
      <c r="AD126" s="236">
        <f t="shared" si="393"/>
        <v>1</v>
      </c>
      <c r="AE126" s="236">
        <f t="shared" si="394"/>
        <v>1</v>
      </c>
      <c r="AF126" s="236">
        <f t="shared" si="395"/>
        <v>0</v>
      </c>
      <c r="AG126" s="236">
        <v>1</v>
      </c>
      <c r="AH126" s="236">
        <v>0</v>
      </c>
      <c r="AI126" s="236">
        <f t="shared" si="371"/>
        <v>-100</v>
      </c>
      <c r="AJ126" s="210"/>
      <c r="AK126" s="254"/>
      <c r="AL126" s="254"/>
      <c r="AM126" s="255"/>
      <c r="AN126" s="255"/>
      <c r="AO126" s="255"/>
      <c r="AP126" s="255"/>
      <c r="AQ126" s="255"/>
      <c r="AR126" s="255"/>
      <c r="AS126" s="255"/>
      <c r="AT126" s="255"/>
      <c r="AU126" s="255"/>
      <c r="AV126" s="255"/>
      <c r="AW126" s="255"/>
      <c r="AX126" s="210"/>
      <c r="AY126" s="236" cm="1">
        <f t="array" ref="AY126">INDEX(Use, $AD126, 4)</f>
        <v>7</v>
      </c>
      <c r="AZ126" s="236">
        <f t="shared" si="372"/>
        <v>32</v>
      </c>
      <c r="BA126" s="236">
        <f t="shared" si="239"/>
        <v>13</v>
      </c>
      <c r="BB126" s="236">
        <f t="shared" si="240"/>
        <v>0</v>
      </c>
      <c r="BC126" s="252" cm="1">
        <f t="array" ref="BC126">K126/IF($L126&gt;0, INDEX($AO$23:$AU$77, $L126+20, $AD126), 1)</f>
        <v>0</v>
      </c>
      <c r="BD126" s="237">
        <f t="shared" si="373"/>
        <v>0</v>
      </c>
      <c r="BE126" s="236">
        <v>35</v>
      </c>
      <c r="BF126" s="237">
        <f t="shared" si="374"/>
        <v>52.55</v>
      </c>
      <c r="BG126" s="253">
        <f t="shared" si="375"/>
        <v>2.7676728869374316</v>
      </c>
      <c r="BH126" s="253" cm="1">
        <f t="array" ref="BH126">$BC126 * SUMPRODUCT(INDEX($AL$77:$AN$82,,$AE126),INDEX($AO$77:$AU$82,,$AD126), N($AK$77:$AK$82&gt;$AI126)) / BG126 / 1000</f>
        <v>0</v>
      </c>
      <c r="BI126" s="250">
        <f t="shared" si="244"/>
        <v>30</v>
      </c>
      <c r="BJ126" s="237">
        <f t="shared" si="376"/>
        <v>46.033333333333331</v>
      </c>
      <c r="BK126" s="253">
        <f t="shared" si="377"/>
        <v>3.2297395388556791</v>
      </c>
      <c r="BL126" s="253" cm="1">
        <f t="array" ref="BL126">$BC126 * IF($AD126&lt;=2,
SUMPRODUCT(INDEX($AL$72:$AN$76,,$AE126), INDEX($AO$72:$AU$76,,$AD126), 1 / ($AV$72:$AV$76*BK126 + (1-$AV$72:$AV$76)*BG126), N($AK$72:$AK$76&gt;$AI126)),
SUMPRODUCT(INDEX($AL$67:$AN$76,,$AE126), INDEX($AO$67:$AU$76,,$AD126), 1 / ($AW$67:$AW$76*BK126 + (1-$AW$67:$AW$76)*BG126), N($AK$67:$AK$76&gt;$AI126))
) / 1000</f>
        <v>0</v>
      </c>
      <c r="BM126" s="250">
        <f t="shared" si="247"/>
        <v>25</v>
      </c>
      <c r="BN126" s="237">
        <f t="shared" si="378"/>
        <v>39.516666666666666</v>
      </c>
      <c r="BO126" s="253">
        <f t="shared" si="379"/>
        <v>3.877011788826243</v>
      </c>
      <c r="BP126" s="253" cm="1">
        <f t="array" ref="BP126">$BC126 * IF($AD126&lt;=2,
SUMPRODUCT(INDEX($AL$67:$AN$71,,$AE126), INDEX($AO$67:$AU$71,,$AD126), 1 / ($AV$67:$AV$71*BO126 + (1-$AV$67:$AV$71)*BK126), N($AK$67:$AK$71&gt;$AI126)),
SUMPRODUCT(INDEX($AL$57:$AN$66,,$AE126), INDEX($AO$57:$AU$66,,$AD126), 1 / ($AW$57:$AW$66*BO126 + (1-$AW$57:$AW$66)*BK126), N($AK$57:$AK$66&gt;$AI126))
) / 1000</f>
        <v>0</v>
      </c>
      <c r="BQ126" s="250">
        <f t="shared" si="250"/>
        <v>20</v>
      </c>
      <c r="BR126" s="237">
        <f t="shared" si="380"/>
        <v>33</v>
      </c>
      <c r="BS126" s="253">
        <f t="shared" si="381"/>
        <v>4.8487499999999999</v>
      </c>
      <c r="BT126" s="253" cm="1">
        <f t="array" ref="BT126">$BC126 * IF($AD126&lt;=2,
SUMPRODUCT(INDEX($AL$62:$AN$66,,$AE126), INDEX($AO$62:$AU$66,,$AD126), 1 / ($AV$62:$AV$66*BS126 + (1-$AV$62:$AV$66)*BO126), N($AK$62:$AK$66&gt;$AI126)),
SUMPRODUCT(INDEX($AL$47:$AN$56,,$AE126), INDEX($AO$47:$AU$56,,$AD126), 1 / ($AW$47:$AW$56*BS126 + (1-$AW$47:$AW$56)*BO126), N($AK$47:$AK$56&gt;$AI126))
) / 1000</f>
        <v>0</v>
      </c>
      <c r="BU126" s="253" cm="1">
        <f t="array" ref="BU126">$BC126 * IF($AD126&lt;=2,
SUMPRODUCT(INDEX($AL$23:$AN$61,,$AE126), INDEX($AO$23:$AU$61,,$AD126), 1 / ($AV$23:$AV$61*BS126), N($AK$23:$AK$61&gt;$AI126)),
SUMPRODUCT(INDEX($AL$23:$AN$46,,$AE126), INDEX($AO$23:$AU$46,,$AD126), 1 / ($AW$23:$AW$46*BS126), N($AK$23:$AK$46&gt;$AI126))
) / 1000</f>
        <v>0</v>
      </c>
      <c r="BV126" s="237">
        <f t="shared" si="382"/>
        <v>0</v>
      </c>
      <c r="BW126" s="210"/>
      <c r="BX126" s="237">
        <f t="shared" si="383"/>
        <v>0</v>
      </c>
      <c r="BY126" s="236">
        <v>35</v>
      </c>
      <c r="BZ126" s="237">
        <f t="shared" si="384"/>
        <v>48</v>
      </c>
      <c r="CA126" s="253">
        <f t="shared" si="385"/>
        <v>3.0748170731707316</v>
      </c>
      <c r="CB126" s="253" cm="1">
        <f t="array" ref="CB126">$BC126 * SUMPRODUCT(INDEX($AL$77:$AN$82,,$AE126),INDEX($AO$77:$AU$82,,$AD126), N($AK$77:$AK$82&gt;$AI126)) / CA126 / 1000</f>
        <v>0</v>
      </c>
      <c r="CC126" s="250">
        <f t="shared" si="257"/>
        <v>30</v>
      </c>
      <c r="CD126" s="237">
        <f t="shared" si="386"/>
        <v>43</v>
      </c>
      <c r="CE126" s="253">
        <f t="shared" si="387"/>
        <v>3.5018750000000001</v>
      </c>
      <c r="CF126" s="253" cm="1">
        <f t="array" ref="CF126">$BC126 * IF($AD126&lt;=2,
SUMPRODUCT(INDEX($AL$72:$AN$76,,$AE126), INDEX($AO$72:$AU$76,,$AD126), 1 / ($AV$72:$AV$76*CE126 + (1-$AV$72:$AV$76)*CA126), N($AK$72:$AK$76&gt;$AI126)),
SUMPRODUCT(INDEX($AL$67:$AN$76,,$AE126), INDEX($AO$67:$AU$76,,$AD126), 1 / ($AW$67:$AW$76*CE126 + (1-$AW$67:$AW$76)*CA126), N($AK$67:$AK$76&gt;$AI126))
) / 1000</f>
        <v>0</v>
      </c>
      <c r="CG126" s="250">
        <f t="shared" si="260"/>
        <v>25</v>
      </c>
      <c r="CH126" s="237">
        <f t="shared" si="388"/>
        <v>38</v>
      </c>
      <c r="CI126" s="253">
        <f t="shared" si="389"/>
        <v>4.0666935483870965</v>
      </c>
      <c r="CJ126" s="253" cm="1">
        <f t="array" ref="CJ126">$BC126 * IF($AD126&lt;=2,
SUMPRODUCT(INDEX($AL$67:$AN$71,,$AE126), INDEX($AO$67:$AU$71,,$AD126), 1 / ($AV$67:$AV$71*CI126 + (1-$AV$67:$AV$71)*CE126), N($AK$67:$AK$71&gt;$AI126)),
SUMPRODUCT(INDEX($AL$57:$AN$66,,$AE126), INDEX($AO$57:$AU$66,,$AD126), 1 / ($AW$57:$AW$66*CI126 + (1-$AW$57:$AW$66)*CE126), N($AK$57:$AK$66&gt;$AI126))
) / 1000</f>
        <v>0</v>
      </c>
      <c r="CK126" s="250">
        <f t="shared" si="263"/>
        <v>20</v>
      </c>
      <c r="CL126" s="237">
        <f t="shared" si="390"/>
        <v>33</v>
      </c>
      <c r="CM126" s="253">
        <f t="shared" si="391"/>
        <v>4.8487499999999999</v>
      </c>
      <c r="CN126" s="253" cm="1">
        <f t="array" ref="CN126">$BC126 * IF($AD126&lt;=2,
SUMPRODUCT(INDEX($AL$62:$AN$66,,$AE126), INDEX($AO$62:$AU$66,,$AD126), 1 / ($AV$62:$AV$66*CM126 + (1-$AV$62:$AV$66)*CI126), N($AK$62:$AK$66&gt;$AI126)),
SUMPRODUCT(INDEX($AL$47:$AN$56,,$AE126), INDEX($AO$47:$AU$56,,$AD126), 1 / ($AW$47:$AW$56*CM126 + (1-$AW$47:$AW$56)*CI126), N($AK$47:$AK$56&gt;$AI126))
) / 1000</f>
        <v>0</v>
      </c>
      <c r="CO126" s="253" cm="1">
        <f t="array" ref="CO126">$BC126 * IF($AD126&lt;=2,
SUMPRODUCT(INDEX($AL$23:$AN$61,,$AE126), INDEX($AO$23:$AU$61,,$AD126), 1 / ($AV$23:$AV$61*CM126), N($AK$23:$AK$61&gt;$AI126)),
SUMPRODUCT(INDEX($AL$23:$AN$46,,$AE126), INDEX($AO$23:$AU$46,,$AD126), 1 / ($AW$23:$AW$46*CM126), N($AK$23:$AK$46&gt;$AI126))
) / 1000</f>
        <v>0</v>
      </c>
      <c r="CP126" s="237">
        <f t="shared" si="392"/>
        <v>0</v>
      </c>
      <c r="CQ126" s="210"/>
    </row>
    <row r="127" spans="1:95" s="76" customFormat="1" ht="14.25" customHeight="1" x14ac:dyDescent="0.2">
      <c r="A127" s="238" t="b">
        <f t="shared" si="227"/>
        <v>0</v>
      </c>
      <c r="B127" s="239">
        <v>105</v>
      </c>
      <c r="C127" s="258"/>
      <c r="D127" s="258"/>
      <c r="E127" s="240"/>
      <c r="F127" s="241" t="str">
        <f>IF(ISBLANK(E127), "", VLOOKUP(E127, Z!$A$2:$C$4127, 3, FALSE))</f>
        <v/>
      </c>
      <c r="G127" s="242"/>
      <c r="H127" s="242"/>
      <c r="I127" s="243"/>
      <c r="J127" s="244"/>
      <c r="K127" s="259"/>
      <c r="L127" s="260"/>
      <c r="M127" s="247" t="str" cm="1">
        <f t="array" ref="M127">IF($K127&gt;0, INDEX(Clean,1+AG127,$C$1), "")</f>
        <v/>
      </c>
      <c r="N127" s="245"/>
      <c r="O127" s="245"/>
      <c r="P127" s="246"/>
      <c r="Q127" s="248">
        <f t="shared" si="369"/>
        <v>0</v>
      </c>
      <c r="R127" s="247" t="str" cm="1">
        <f t="array" ref="R127">IF($K127&gt;0, INDEX(Clean,1+AH127,$C$1), "")</f>
        <v/>
      </c>
      <c r="S127" s="245"/>
      <c r="T127" s="245"/>
      <c r="U127" s="246"/>
      <c r="V127" s="248">
        <f t="shared" si="370"/>
        <v>0</v>
      </c>
      <c r="W127" s="261"/>
      <c r="X127" s="258"/>
      <c r="Y127" s="240"/>
      <c r="Z127" s="241" t="str">
        <f>IF(ISBLANK(Y127), "", VLOOKUP(Y127, Z!$A$2:$C$4127, 3, FALSE))</f>
        <v/>
      </c>
      <c r="AA127" s="262"/>
      <c r="AB127" s="249">
        <f t="shared" si="234"/>
        <v>0</v>
      </c>
      <c r="AC127" s="210"/>
      <c r="AD127" s="236">
        <f t="shared" si="393"/>
        <v>1</v>
      </c>
      <c r="AE127" s="236">
        <f t="shared" si="394"/>
        <v>1</v>
      </c>
      <c r="AF127" s="236">
        <f t="shared" si="395"/>
        <v>0</v>
      </c>
      <c r="AG127" s="236">
        <v>1</v>
      </c>
      <c r="AH127" s="236">
        <v>0</v>
      </c>
      <c r="AI127" s="236">
        <f t="shared" si="371"/>
        <v>-100</v>
      </c>
      <c r="AJ127" s="210"/>
      <c r="AK127" s="254"/>
      <c r="AL127" s="254"/>
      <c r="AM127" s="255"/>
      <c r="AN127" s="255"/>
      <c r="AO127" s="255"/>
      <c r="AP127" s="255"/>
      <c r="AQ127" s="255"/>
      <c r="AR127" s="255"/>
      <c r="AS127" s="255"/>
      <c r="AT127" s="255"/>
      <c r="AU127" s="255"/>
      <c r="AV127" s="255"/>
      <c r="AW127" s="255"/>
      <c r="AX127" s="210"/>
      <c r="AY127" s="236" cm="1">
        <f t="array" ref="AY127">INDEX(Use, $AD127, 4)</f>
        <v>7</v>
      </c>
      <c r="AZ127" s="236">
        <f t="shared" si="372"/>
        <v>32</v>
      </c>
      <c r="BA127" s="236">
        <f t="shared" si="239"/>
        <v>13</v>
      </c>
      <c r="BB127" s="236">
        <f t="shared" si="240"/>
        <v>0</v>
      </c>
      <c r="BC127" s="252" cm="1">
        <f t="array" ref="BC127">K127/IF($L127&gt;0, INDEX($AO$23:$AU$77, $L127+20, $AD127), 1)</f>
        <v>0</v>
      </c>
      <c r="BD127" s="237">
        <f t="shared" si="373"/>
        <v>0</v>
      </c>
      <c r="BE127" s="236">
        <v>35</v>
      </c>
      <c r="BF127" s="237">
        <f t="shared" si="374"/>
        <v>52.55</v>
      </c>
      <c r="BG127" s="253">
        <f t="shared" si="375"/>
        <v>2.7676728869374316</v>
      </c>
      <c r="BH127" s="253" cm="1">
        <f t="array" ref="BH127">$BC127 * SUMPRODUCT(INDEX($AL$77:$AN$82,,$AE127),INDEX($AO$77:$AU$82,,$AD127), N($AK$77:$AK$82&gt;$AI127)) / BG127 / 1000</f>
        <v>0</v>
      </c>
      <c r="BI127" s="250">
        <f t="shared" si="244"/>
        <v>30</v>
      </c>
      <c r="BJ127" s="237">
        <f t="shared" si="376"/>
        <v>46.033333333333331</v>
      </c>
      <c r="BK127" s="253">
        <f t="shared" si="377"/>
        <v>3.2297395388556791</v>
      </c>
      <c r="BL127" s="253" cm="1">
        <f t="array" ref="BL127">$BC127 * IF($AD127&lt;=2,
SUMPRODUCT(INDEX($AL$72:$AN$76,,$AE127), INDEX($AO$72:$AU$76,,$AD127), 1 / ($AV$72:$AV$76*BK127 + (1-$AV$72:$AV$76)*BG127), N($AK$72:$AK$76&gt;$AI127)),
SUMPRODUCT(INDEX($AL$67:$AN$76,,$AE127), INDEX($AO$67:$AU$76,,$AD127), 1 / ($AW$67:$AW$76*BK127 + (1-$AW$67:$AW$76)*BG127), N($AK$67:$AK$76&gt;$AI127))
) / 1000</f>
        <v>0</v>
      </c>
      <c r="BM127" s="250">
        <f t="shared" si="247"/>
        <v>25</v>
      </c>
      <c r="BN127" s="237">
        <f t="shared" si="378"/>
        <v>39.516666666666666</v>
      </c>
      <c r="BO127" s="253">
        <f t="shared" si="379"/>
        <v>3.877011788826243</v>
      </c>
      <c r="BP127" s="253" cm="1">
        <f t="array" ref="BP127">$BC127 * IF($AD127&lt;=2,
SUMPRODUCT(INDEX($AL$67:$AN$71,,$AE127), INDEX($AO$67:$AU$71,,$AD127), 1 / ($AV$67:$AV$71*BO127 + (1-$AV$67:$AV$71)*BK127), N($AK$67:$AK$71&gt;$AI127)),
SUMPRODUCT(INDEX($AL$57:$AN$66,,$AE127), INDEX($AO$57:$AU$66,,$AD127), 1 / ($AW$57:$AW$66*BO127 + (1-$AW$57:$AW$66)*BK127), N($AK$57:$AK$66&gt;$AI127))
) / 1000</f>
        <v>0</v>
      </c>
      <c r="BQ127" s="250">
        <f t="shared" si="250"/>
        <v>20</v>
      </c>
      <c r="BR127" s="237">
        <f t="shared" si="380"/>
        <v>33</v>
      </c>
      <c r="BS127" s="253">
        <f t="shared" si="381"/>
        <v>4.8487499999999999</v>
      </c>
      <c r="BT127" s="253" cm="1">
        <f t="array" ref="BT127">$BC127 * IF($AD127&lt;=2,
SUMPRODUCT(INDEX($AL$62:$AN$66,,$AE127), INDEX($AO$62:$AU$66,,$AD127), 1 / ($AV$62:$AV$66*BS127 + (1-$AV$62:$AV$66)*BO127), N($AK$62:$AK$66&gt;$AI127)),
SUMPRODUCT(INDEX($AL$47:$AN$56,,$AE127), INDEX($AO$47:$AU$56,,$AD127), 1 / ($AW$47:$AW$56*BS127 + (1-$AW$47:$AW$56)*BO127), N($AK$47:$AK$56&gt;$AI127))
) / 1000</f>
        <v>0</v>
      </c>
      <c r="BU127" s="253" cm="1">
        <f t="array" ref="BU127">$BC127 * IF($AD127&lt;=2,
SUMPRODUCT(INDEX($AL$23:$AN$61,,$AE127), INDEX($AO$23:$AU$61,,$AD127), 1 / ($AV$23:$AV$61*BS127), N($AK$23:$AK$61&gt;$AI127)),
SUMPRODUCT(INDEX($AL$23:$AN$46,,$AE127), INDEX($AO$23:$AU$46,,$AD127), 1 / ($AW$23:$AW$46*BS127), N($AK$23:$AK$46&gt;$AI127))
) / 1000</f>
        <v>0</v>
      </c>
      <c r="BV127" s="237">
        <f t="shared" si="382"/>
        <v>0</v>
      </c>
      <c r="BW127" s="210"/>
      <c r="BX127" s="237">
        <f t="shared" si="383"/>
        <v>0</v>
      </c>
      <c r="BY127" s="236">
        <v>35</v>
      </c>
      <c r="BZ127" s="237">
        <f t="shared" si="384"/>
        <v>48</v>
      </c>
      <c r="CA127" s="253">
        <f t="shared" si="385"/>
        <v>3.0748170731707316</v>
      </c>
      <c r="CB127" s="253" cm="1">
        <f t="array" ref="CB127">$BC127 * SUMPRODUCT(INDEX($AL$77:$AN$82,,$AE127),INDEX($AO$77:$AU$82,,$AD127), N($AK$77:$AK$82&gt;$AI127)) / CA127 / 1000</f>
        <v>0</v>
      </c>
      <c r="CC127" s="250">
        <f t="shared" si="257"/>
        <v>30</v>
      </c>
      <c r="CD127" s="237">
        <f t="shared" si="386"/>
        <v>43</v>
      </c>
      <c r="CE127" s="253">
        <f t="shared" si="387"/>
        <v>3.5018750000000001</v>
      </c>
      <c r="CF127" s="253" cm="1">
        <f t="array" ref="CF127">$BC127 * IF($AD127&lt;=2,
SUMPRODUCT(INDEX($AL$72:$AN$76,,$AE127), INDEX($AO$72:$AU$76,,$AD127), 1 / ($AV$72:$AV$76*CE127 + (1-$AV$72:$AV$76)*CA127), N($AK$72:$AK$76&gt;$AI127)),
SUMPRODUCT(INDEX($AL$67:$AN$76,,$AE127), INDEX($AO$67:$AU$76,,$AD127), 1 / ($AW$67:$AW$76*CE127 + (1-$AW$67:$AW$76)*CA127), N($AK$67:$AK$76&gt;$AI127))
) / 1000</f>
        <v>0</v>
      </c>
      <c r="CG127" s="250">
        <f t="shared" si="260"/>
        <v>25</v>
      </c>
      <c r="CH127" s="237">
        <f t="shared" si="388"/>
        <v>38</v>
      </c>
      <c r="CI127" s="253">
        <f t="shared" si="389"/>
        <v>4.0666935483870965</v>
      </c>
      <c r="CJ127" s="253" cm="1">
        <f t="array" ref="CJ127">$BC127 * IF($AD127&lt;=2,
SUMPRODUCT(INDEX($AL$67:$AN$71,,$AE127), INDEX($AO$67:$AU$71,,$AD127), 1 / ($AV$67:$AV$71*CI127 + (1-$AV$67:$AV$71)*CE127), N($AK$67:$AK$71&gt;$AI127)),
SUMPRODUCT(INDEX($AL$57:$AN$66,,$AE127), INDEX($AO$57:$AU$66,,$AD127), 1 / ($AW$57:$AW$66*CI127 + (1-$AW$57:$AW$66)*CE127), N($AK$57:$AK$66&gt;$AI127))
) / 1000</f>
        <v>0</v>
      </c>
      <c r="CK127" s="250">
        <f t="shared" si="263"/>
        <v>20</v>
      </c>
      <c r="CL127" s="237">
        <f t="shared" si="390"/>
        <v>33</v>
      </c>
      <c r="CM127" s="253">
        <f t="shared" si="391"/>
        <v>4.8487499999999999</v>
      </c>
      <c r="CN127" s="253" cm="1">
        <f t="array" ref="CN127">$BC127 * IF($AD127&lt;=2,
SUMPRODUCT(INDEX($AL$62:$AN$66,,$AE127), INDEX($AO$62:$AU$66,,$AD127), 1 / ($AV$62:$AV$66*CM127 + (1-$AV$62:$AV$66)*CI127), N($AK$62:$AK$66&gt;$AI127)),
SUMPRODUCT(INDEX($AL$47:$AN$56,,$AE127), INDEX($AO$47:$AU$56,,$AD127), 1 / ($AW$47:$AW$56*CM127 + (1-$AW$47:$AW$56)*CI127), N($AK$47:$AK$56&gt;$AI127))
) / 1000</f>
        <v>0</v>
      </c>
      <c r="CO127" s="253" cm="1">
        <f t="array" ref="CO127">$BC127 * IF($AD127&lt;=2,
SUMPRODUCT(INDEX($AL$23:$AN$61,,$AE127), INDEX($AO$23:$AU$61,,$AD127), 1 / ($AV$23:$AV$61*CM127), N($AK$23:$AK$61&gt;$AI127)),
SUMPRODUCT(INDEX($AL$23:$AN$46,,$AE127), INDEX($AO$23:$AU$46,,$AD127), 1 / ($AW$23:$AW$46*CM127), N($AK$23:$AK$46&gt;$AI127))
) / 1000</f>
        <v>0</v>
      </c>
      <c r="CP127" s="237">
        <f t="shared" si="392"/>
        <v>0</v>
      </c>
      <c r="CQ127" s="210"/>
    </row>
    <row r="128" spans="1:95" s="76" customFormat="1" ht="14.25" customHeight="1" x14ac:dyDescent="0.2">
      <c r="A128" s="238" t="b">
        <f t="shared" si="227"/>
        <v>0</v>
      </c>
      <c r="B128" s="239">
        <v>106</v>
      </c>
      <c r="C128" s="258"/>
      <c r="D128" s="258"/>
      <c r="E128" s="240"/>
      <c r="F128" s="241" t="str">
        <f>IF(ISBLANK(E128), "", VLOOKUP(E128, Z!$A$2:$C$4127, 3, FALSE))</f>
        <v/>
      </c>
      <c r="G128" s="242"/>
      <c r="H128" s="242"/>
      <c r="I128" s="243"/>
      <c r="J128" s="244"/>
      <c r="K128" s="259"/>
      <c r="L128" s="260"/>
      <c r="M128" s="247" t="str" cm="1">
        <f t="array" ref="M128">IF($K128&gt;0, INDEX(Clean,1+AG128,$C$1), "")</f>
        <v/>
      </c>
      <c r="N128" s="245"/>
      <c r="O128" s="245"/>
      <c r="P128" s="246"/>
      <c r="Q128" s="248">
        <f t="shared" si="369"/>
        <v>0</v>
      </c>
      <c r="R128" s="247" t="str" cm="1">
        <f t="array" ref="R128">IF($K128&gt;0, INDEX(Clean,1+AH128,$C$1), "")</f>
        <v/>
      </c>
      <c r="S128" s="245"/>
      <c r="T128" s="245"/>
      <c r="U128" s="246"/>
      <c r="V128" s="248">
        <f t="shared" si="370"/>
        <v>0</v>
      </c>
      <c r="W128" s="261"/>
      <c r="X128" s="258"/>
      <c r="Y128" s="240"/>
      <c r="Z128" s="241" t="str">
        <f>IF(ISBLANK(Y128), "", VLOOKUP(Y128, Z!$A$2:$C$4127, 3, FALSE))</f>
        <v/>
      </c>
      <c r="AA128" s="262"/>
      <c r="AB128" s="249">
        <f t="shared" si="234"/>
        <v>0</v>
      </c>
      <c r="AC128" s="210"/>
      <c r="AD128" s="236">
        <f t="shared" si="393"/>
        <v>1</v>
      </c>
      <c r="AE128" s="236">
        <f t="shared" si="394"/>
        <v>1</v>
      </c>
      <c r="AF128" s="236">
        <f t="shared" si="395"/>
        <v>0</v>
      </c>
      <c r="AG128" s="236">
        <v>1</v>
      </c>
      <c r="AH128" s="236">
        <v>0</v>
      </c>
      <c r="AI128" s="236">
        <f t="shared" si="371"/>
        <v>-100</v>
      </c>
      <c r="AJ128" s="210"/>
      <c r="AK128" s="254"/>
      <c r="AL128" s="254"/>
      <c r="AM128" s="255"/>
      <c r="AN128" s="255"/>
      <c r="AO128" s="255"/>
      <c r="AP128" s="255"/>
      <c r="AQ128" s="255"/>
      <c r="AR128" s="255"/>
      <c r="AS128" s="255"/>
      <c r="AT128" s="255"/>
      <c r="AU128" s="255"/>
      <c r="AV128" s="255"/>
      <c r="AW128" s="255"/>
      <c r="AX128" s="210"/>
      <c r="AY128" s="236" cm="1">
        <f t="array" ref="AY128">INDEX(Use, $AD128, 4)</f>
        <v>7</v>
      </c>
      <c r="AZ128" s="236">
        <f t="shared" si="372"/>
        <v>32</v>
      </c>
      <c r="BA128" s="236">
        <f t="shared" si="239"/>
        <v>13</v>
      </c>
      <c r="BB128" s="236">
        <f t="shared" si="240"/>
        <v>0</v>
      </c>
      <c r="BC128" s="252" cm="1">
        <f t="array" ref="BC128">K128/IF($L128&gt;0, INDEX($AO$23:$AU$77, $L128+20, $AD128), 1)</f>
        <v>0</v>
      </c>
      <c r="BD128" s="237">
        <f t="shared" si="373"/>
        <v>0</v>
      </c>
      <c r="BE128" s="236">
        <v>35</v>
      </c>
      <c r="BF128" s="237">
        <f t="shared" si="374"/>
        <v>52.55</v>
      </c>
      <c r="BG128" s="253">
        <f t="shared" si="375"/>
        <v>2.7676728869374316</v>
      </c>
      <c r="BH128" s="253" cm="1">
        <f t="array" ref="BH128">$BC128 * SUMPRODUCT(INDEX($AL$77:$AN$82,,$AE128),INDEX($AO$77:$AU$82,,$AD128), N($AK$77:$AK$82&gt;$AI128)) / BG128 / 1000</f>
        <v>0</v>
      </c>
      <c r="BI128" s="250">
        <f t="shared" si="244"/>
        <v>30</v>
      </c>
      <c r="BJ128" s="237">
        <f t="shared" si="376"/>
        <v>46.033333333333331</v>
      </c>
      <c r="BK128" s="253">
        <f t="shared" si="377"/>
        <v>3.2297395388556791</v>
      </c>
      <c r="BL128" s="253" cm="1">
        <f t="array" ref="BL128">$BC128 * IF($AD128&lt;=2,
SUMPRODUCT(INDEX($AL$72:$AN$76,,$AE128), INDEX($AO$72:$AU$76,,$AD128), 1 / ($AV$72:$AV$76*BK128 + (1-$AV$72:$AV$76)*BG128), N($AK$72:$AK$76&gt;$AI128)),
SUMPRODUCT(INDEX($AL$67:$AN$76,,$AE128), INDEX($AO$67:$AU$76,,$AD128), 1 / ($AW$67:$AW$76*BK128 + (1-$AW$67:$AW$76)*BG128), N($AK$67:$AK$76&gt;$AI128))
) / 1000</f>
        <v>0</v>
      </c>
      <c r="BM128" s="250">
        <f t="shared" si="247"/>
        <v>25</v>
      </c>
      <c r="BN128" s="237">
        <f t="shared" si="378"/>
        <v>39.516666666666666</v>
      </c>
      <c r="BO128" s="253">
        <f t="shared" si="379"/>
        <v>3.877011788826243</v>
      </c>
      <c r="BP128" s="253" cm="1">
        <f t="array" ref="BP128">$BC128 * IF($AD128&lt;=2,
SUMPRODUCT(INDEX($AL$67:$AN$71,,$AE128), INDEX($AO$67:$AU$71,,$AD128), 1 / ($AV$67:$AV$71*BO128 + (1-$AV$67:$AV$71)*BK128), N($AK$67:$AK$71&gt;$AI128)),
SUMPRODUCT(INDEX($AL$57:$AN$66,,$AE128), INDEX($AO$57:$AU$66,,$AD128), 1 / ($AW$57:$AW$66*BO128 + (1-$AW$57:$AW$66)*BK128), N($AK$57:$AK$66&gt;$AI128))
) / 1000</f>
        <v>0</v>
      </c>
      <c r="BQ128" s="250">
        <f t="shared" si="250"/>
        <v>20</v>
      </c>
      <c r="BR128" s="237">
        <f t="shared" si="380"/>
        <v>33</v>
      </c>
      <c r="BS128" s="253">
        <f t="shared" si="381"/>
        <v>4.8487499999999999</v>
      </c>
      <c r="BT128" s="253" cm="1">
        <f t="array" ref="BT128">$BC128 * IF($AD128&lt;=2,
SUMPRODUCT(INDEX($AL$62:$AN$66,,$AE128), INDEX($AO$62:$AU$66,,$AD128), 1 / ($AV$62:$AV$66*BS128 + (1-$AV$62:$AV$66)*BO128), N($AK$62:$AK$66&gt;$AI128)),
SUMPRODUCT(INDEX($AL$47:$AN$56,,$AE128), INDEX($AO$47:$AU$56,,$AD128), 1 / ($AW$47:$AW$56*BS128 + (1-$AW$47:$AW$56)*BO128), N($AK$47:$AK$56&gt;$AI128))
) / 1000</f>
        <v>0</v>
      </c>
      <c r="BU128" s="253" cm="1">
        <f t="array" ref="BU128">$BC128 * IF($AD128&lt;=2,
SUMPRODUCT(INDEX($AL$23:$AN$61,,$AE128), INDEX($AO$23:$AU$61,,$AD128), 1 / ($AV$23:$AV$61*BS128), N($AK$23:$AK$61&gt;$AI128)),
SUMPRODUCT(INDEX($AL$23:$AN$46,,$AE128), INDEX($AO$23:$AU$46,,$AD128), 1 / ($AW$23:$AW$46*BS128), N($AK$23:$AK$46&gt;$AI128))
) / 1000</f>
        <v>0</v>
      </c>
      <c r="BV128" s="237">
        <f t="shared" si="382"/>
        <v>0</v>
      </c>
      <c r="BW128" s="210"/>
      <c r="BX128" s="237">
        <f t="shared" si="383"/>
        <v>0</v>
      </c>
      <c r="BY128" s="236">
        <v>35</v>
      </c>
      <c r="BZ128" s="237">
        <f t="shared" si="384"/>
        <v>48</v>
      </c>
      <c r="CA128" s="253">
        <f t="shared" si="385"/>
        <v>3.0748170731707316</v>
      </c>
      <c r="CB128" s="253" cm="1">
        <f t="array" ref="CB128">$BC128 * SUMPRODUCT(INDEX($AL$77:$AN$82,,$AE128),INDEX($AO$77:$AU$82,,$AD128), N($AK$77:$AK$82&gt;$AI128)) / CA128 / 1000</f>
        <v>0</v>
      </c>
      <c r="CC128" s="250">
        <f t="shared" si="257"/>
        <v>30</v>
      </c>
      <c r="CD128" s="237">
        <f t="shared" si="386"/>
        <v>43</v>
      </c>
      <c r="CE128" s="253">
        <f t="shared" si="387"/>
        <v>3.5018750000000001</v>
      </c>
      <c r="CF128" s="253" cm="1">
        <f t="array" ref="CF128">$BC128 * IF($AD128&lt;=2,
SUMPRODUCT(INDEX($AL$72:$AN$76,,$AE128), INDEX($AO$72:$AU$76,,$AD128), 1 / ($AV$72:$AV$76*CE128 + (1-$AV$72:$AV$76)*CA128), N($AK$72:$AK$76&gt;$AI128)),
SUMPRODUCT(INDEX($AL$67:$AN$76,,$AE128), INDEX($AO$67:$AU$76,,$AD128), 1 / ($AW$67:$AW$76*CE128 + (1-$AW$67:$AW$76)*CA128), N($AK$67:$AK$76&gt;$AI128))
) / 1000</f>
        <v>0</v>
      </c>
      <c r="CG128" s="250">
        <f t="shared" si="260"/>
        <v>25</v>
      </c>
      <c r="CH128" s="237">
        <f t="shared" si="388"/>
        <v>38</v>
      </c>
      <c r="CI128" s="253">
        <f t="shared" si="389"/>
        <v>4.0666935483870965</v>
      </c>
      <c r="CJ128" s="253" cm="1">
        <f t="array" ref="CJ128">$BC128 * IF($AD128&lt;=2,
SUMPRODUCT(INDEX($AL$67:$AN$71,,$AE128), INDEX($AO$67:$AU$71,,$AD128), 1 / ($AV$67:$AV$71*CI128 + (1-$AV$67:$AV$71)*CE128), N($AK$67:$AK$71&gt;$AI128)),
SUMPRODUCT(INDEX($AL$57:$AN$66,,$AE128), INDEX($AO$57:$AU$66,,$AD128), 1 / ($AW$57:$AW$66*CI128 + (1-$AW$57:$AW$66)*CE128), N($AK$57:$AK$66&gt;$AI128))
) / 1000</f>
        <v>0</v>
      </c>
      <c r="CK128" s="250">
        <f t="shared" si="263"/>
        <v>20</v>
      </c>
      <c r="CL128" s="237">
        <f t="shared" si="390"/>
        <v>33</v>
      </c>
      <c r="CM128" s="253">
        <f t="shared" si="391"/>
        <v>4.8487499999999999</v>
      </c>
      <c r="CN128" s="253" cm="1">
        <f t="array" ref="CN128">$BC128 * IF($AD128&lt;=2,
SUMPRODUCT(INDEX($AL$62:$AN$66,,$AE128), INDEX($AO$62:$AU$66,,$AD128), 1 / ($AV$62:$AV$66*CM128 + (1-$AV$62:$AV$66)*CI128), N($AK$62:$AK$66&gt;$AI128)),
SUMPRODUCT(INDEX($AL$47:$AN$56,,$AE128), INDEX($AO$47:$AU$56,,$AD128), 1 / ($AW$47:$AW$56*CM128 + (1-$AW$47:$AW$56)*CI128), N($AK$47:$AK$56&gt;$AI128))
) / 1000</f>
        <v>0</v>
      </c>
      <c r="CO128" s="253" cm="1">
        <f t="array" ref="CO128">$BC128 * IF($AD128&lt;=2,
SUMPRODUCT(INDEX($AL$23:$AN$61,,$AE128), INDEX($AO$23:$AU$61,,$AD128), 1 / ($AV$23:$AV$61*CM128), N($AK$23:$AK$61&gt;$AI128)),
SUMPRODUCT(INDEX($AL$23:$AN$46,,$AE128), INDEX($AO$23:$AU$46,,$AD128), 1 / ($AW$23:$AW$46*CM128), N($AK$23:$AK$46&gt;$AI128))
) / 1000</f>
        <v>0</v>
      </c>
      <c r="CP128" s="237">
        <f t="shared" si="392"/>
        <v>0</v>
      </c>
      <c r="CQ128" s="210"/>
    </row>
    <row r="129" spans="1:95" s="76" customFormat="1" ht="14.25" customHeight="1" x14ac:dyDescent="0.2">
      <c r="A129" s="238" t="b">
        <f t="shared" si="227"/>
        <v>0</v>
      </c>
      <c r="B129" s="239">
        <v>107</v>
      </c>
      <c r="C129" s="258"/>
      <c r="D129" s="258"/>
      <c r="E129" s="240"/>
      <c r="F129" s="241" t="str">
        <f>IF(ISBLANK(E129), "", VLOOKUP(E129, Z!$A$2:$C$4127, 3, FALSE))</f>
        <v/>
      </c>
      <c r="G129" s="242"/>
      <c r="H129" s="242"/>
      <c r="I129" s="243"/>
      <c r="J129" s="244"/>
      <c r="K129" s="259"/>
      <c r="L129" s="260"/>
      <c r="M129" s="247" t="str" cm="1">
        <f t="array" ref="M129">IF($K129&gt;0, INDEX(Clean,1+AG129,$C$1), "")</f>
        <v/>
      </c>
      <c r="N129" s="245"/>
      <c r="O129" s="245"/>
      <c r="P129" s="246"/>
      <c r="Q129" s="248">
        <f t="shared" si="369"/>
        <v>0</v>
      </c>
      <c r="R129" s="247" t="str" cm="1">
        <f t="array" ref="R129">IF($K129&gt;0, INDEX(Clean,1+AH129,$C$1), "")</f>
        <v/>
      </c>
      <c r="S129" s="245"/>
      <c r="T129" s="245"/>
      <c r="U129" s="246"/>
      <c r="V129" s="248">
        <f t="shared" si="370"/>
        <v>0</v>
      </c>
      <c r="W129" s="261"/>
      <c r="X129" s="258"/>
      <c r="Y129" s="240"/>
      <c r="Z129" s="241" t="str">
        <f>IF(ISBLANK(Y129), "", VLOOKUP(Y129, Z!$A$2:$C$4127, 3, FALSE))</f>
        <v/>
      </c>
      <c r="AA129" s="262"/>
      <c r="AB129" s="249">
        <f t="shared" si="234"/>
        <v>0</v>
      </c>
      <c r="AC129" s="210"/>
      <c r="AD129" s="236">
        <f t="shared" si="393"/>
        <v>1</v>
      </c>
      <c r="AE129" s="236">
        <f t="shared" si="394"/>
        <v>1</v>
      </c>
      <c r="AF129" s="236">
        <f t="shared" si="395"/>
        <v>0</v>
      </c>
      <c r="AG129" s="236">
        <v>1</v>
      </c>
      <c r="AH129" s="236">
        <v>0</v>
      </c>
      <c r="AI129" s="236">
        <f t="shared" si="371"/>
        <v>-100</v>
      </c>
      <c r="AJ129" s="210"/>
      <c r="AK129" s="254"/>
      <c r="AL129" s="254"/>
      <c r="AM129" s="255"/>
      <c r="AN129" s="255"/>
      <c r="AO129" s="255"/>
      <c r="AP129" s="255"/>
      <c r="AQ129" s="255"/>
      <c r="AR129" s="255"/>
      <c r="AS129" s="255"/>
      <c r="AT129" s="255"/>
      <c r="AU129" s="255"/>
      <c r="AV129" s="255"/>
      <c r="AW129" s="255"/>
      <c r="AX129" s="210"/>
      <c r="AY129" s="236" cm="1">
        <f t="array" ref="AY129">INDEX(Use, $AD129, 4)</f>
        <v>7</v>
      </c>
      <c r="AZ129" s="236">
        <f t="shared" si="372"/>
        <v>32</v>
      </c>
      <c r="BA129" s="236">
        <f t="shared" si="239"/>
        <v>13</v>
      </c>
      <c r="BB129" s="236">
        <f t="shared" si="240"/>
        <v>0</v>
      </c>
      <c r="BC129" s="252" cm="1">
        <f t="array" ref="BC129">K129/IF($L129&gt;0, INDEX($AO$23:$AU$77, $L129+20, $AD129), 1)</f>
        <v>0</v>
      </c>
      <c r="BD129" s="237">
        <f t="shared" si="373"/>
        <v>0</v>
      </c>
      <c r="BE129" s="236">
        <v>35</v>
      </c>
      <c r="BF129" s="237">
        <f t="shared" si="374"/>
        <v>52.55</v>
      </c>
      <c r="BG129" s="253">
        <f t="shared" si="375"/>
        <v>2.7676728869374316</v>
      </c>
      <c r="BH129" s="253" cm="1">
        <f t="array" ref="BH129">$BC129 * SUMPRODUCT(INDEX($AL$77:$AN$82,,$AE129),INDEX($AO$77:$AU$82,,$AD129), N($AK$77:$AK$82&gt;$AI129)) / BG129 / 1000</f>
        <v>0</v>
      </c>
      <c r="BI129" s="250">
        <f t="shared" si="244"/>
        <v>30</v>
      </c>
      <c r="BJ129" s="237">
        <f t="shared" si="376"/>
        <v>46.033333333333331</v>
      </c>
      <c r="BK129" s="253">
        <f t="shared" si="377"/>
        <v>3.2297395388556791</v>
      </c>
      <c r="BL129" s="253" cm="1">
        <f t="array" ref="BL129">$BC129 * IF($AD129&lt;=2,
SUMPRODUCT(INDEX($AL$72:$AN$76,,$AE129), INDEX($AO$72:$AU$76,,$AD129), 1 / ($AV$72:$AV$76*BK129 + (1-$AV$72:$AV$76)*BG129), N($AK$72:$AK$76&gt;$AI129)),
SUMPRODUCT(INDEX($AL$67:$AN$76,,$AE129), INDEX($AO$67:$AU$76,,$AD129), 1 / ($AW$67:$AW$76*BK129 + (1-$AW$67:$AW$76)*BG129), N($AK$67:$AK$76&gt;$AI129))
) / 1000</f>
        <v>0</v>
      </c>
      <c r="BM129" s="250">
        <f t="shared" si="247"/>
        <v>25</v>
      </c>
      <c r="BN129" s="237">
        <f t="shared" si="378"/>
        <v>39.516666666666666</v>
      </c>
      <c r="BO129" s="253">
        <f t="shared" si="379"/>
        <v>3.877011788826243</v>
      </c>
      <c r="BP129" s="253" cm="1">
        <f t="array" ref="BP129">$BC129 * IF($AD129&lt;=2,
SUMPRODUCT(INDEX($AL$67:$AN$71,,$AE129), INDEX($AO$67:$AU$71,,$AD129), 1 / ($AV$67:$AV$71*BO129 + (1-$AV$67:$AV$71)*BK129), N($AK$67:$AK$71&gt;$AI129)),
SUMPRODUCT(INDEX($AL$57:$AN$66,,$AE129), INDEX($AO$57:$AU$66,,$AD129), 1 / ($AW$57:$AW$66*BO129 + (1-$AW$57:$AW$66)*BK129), N($AK$57:$AK$66&gt;$AI129))
) / 1000</f>
        <v>0</v>
      </c>
      <c r="BQ129" s="250">
        <f t="shared" si="250"/>
        <v>20</v>
      </c>
      <c r="BR129" s="237">
        <f t="shared" si="380"/>
        <v>33</v>
      </c>
      <c r="BS129" s="253">
        <f t="shared" si="381"/>
        <v>4.8487499999999999</v>
      </c>
      <c r="BT129" s="253" cm="1">
        <f t="array" ref="BT129">$BC129 * IF($AD129&lt;=2,
SUMPRODUCT(INDEX($AL$62:$AN$66,,$AE129), INDEX($AO$62:$AU$66,,$AD129), 1 / ($AV$62:$AV$66*BS129 + (1-$AV$62:$AV$66)*BO129), N($AK$62:$AK$66&gt;$AI129)),
SUMPRODUCT(INDEX($AL$47:$AN$56,,$AE129), INDEX($AO$47:$AU$56,,$AD129), 1 / ($AW$47:$AW$56*BS129 + (1-$AW$47:$AW$56)*BO129), N($AK$47:$AK$56&gt;$AI129))
) / 1000</f>
        <v>0</v>
      </c>
      <c r="BU129" s="253" cm="1">
        <f t="array" ref="BU129">$BC129 * IF($AD129&lt;=2,
SUMPRODUCT(INDEX($AL$23:$AN$61,,$AE129), INDEX($AO$23:$AU$61,,$AD129), 1 / ($AV$23:$AV$61*BS129), N($AK$23:$AK$61&gt;$AI129)),
SUMPRODUCT(INDEX($AL$23:$AN$46,,$AE129), INDEX($AO$23:$AU$46,,$AD129), 1 / ($AW$23:$AW$46*BS129), N($AK$23:$AK$46&gt;$AI129))
) / 1000</f>
        <v>0</v>
      </c>
      <c r="BV129" s="237">
        <f t="shared" si="382"/>
        <v>0</v>
      </c>
      <c r="BW129" s="210"/>
      <c r="BX129" s="237">
        <f t="shared" si="383"/>
        <v>0</v>
      </c>
      <c r="BY129" s="236">
        <v>35</v>
      </c>
      <c r="BZ129" s="237">
        <f t="shared" si="384"/>
        <v>48</v>
      </c>
      <c r="CA129" s="253">
        <f t="shared" si="385"/>
        <v>3.0748170731707316</v>
      </c>
      <c r="CB129" s="253" cm="1">
        <f t="array" ref="CB129">$BC129 * SUMPRODUCT(INDEX($AL$77:$AN$82,,$AE129),INDEX($AO$77:$AU$82,,$AD129), N($AK$77:$AK$82&gt;$AI129)) / CA129 / 1000</f>
        <v>0</v>
      </c>
      <c r="CC129" s="250">
        <f t="shared" si="257"/>
        <v>30</v>
      </c>
      <c r="CD129" s="237">
        <f t="shared" si="386"/>
        <v>43</v>
      </c>
      <c r="CE129" s="253">
        <f t="shared" si="387"/>
        <v>3.5018750000000001</v>
      </c>
      <c r="CF129" s="253" cm="1">
        <f t="array" ref="CF129">$BC129 * IF($AD129&lt;=2,
SUMPRODUCT(INDEX($AL$72:$AN$76,,$AE129), INDEX($AO$72:$AU$76,,$AD129), 1 / ($AV$72:$AV$76*CE129 + (1-$AV$72:$AV$76)*CA129), N($AK$72:$AK$76&gt;$AI129)),
SUMPRODUCT(INDEX($AL$67:$AN$76,,$AE129), INDEX($AO$67:$AU$76,,$AD129), 1 / ($AW$67:$AW$76*CE129 + (1-$AW$67:$AW$76)*CA129), N($AK$67:$AK$76&gt;$AI129))
) / 1000</f>
        <v>0</v>
      </c>
      <c r="CG129" s="250">
        <f t="shared" si="260"/>
        <v>25</v>
      </c>
      <c r="CH129" s="237">
        <f t="shared" si="388"/>
        <v>38</v>
      </c>
      <c r="CI129" s="253">
        <f t="shared" si="389"/>
        <v>4.0666935483870965</v>
      </c>
      <c r="CJ129" s="253" cm="1">
        <f t="array" ref="CJ129">$BC129 * IF($AD129&lt;=2,
SUMPRODUCT(INDEX($AL$67:$AN$71,,$AE129), INDEX($AO$67:$AU$71,,$AD129), 1 / ($AV$67:$AV$71*CI129 + (1-$AV$67:$AV$71)*CE129), N($AK$67:$AK$71&gt;$AI129)),
SUMPRODUCT(INDEX($AL$57:$AN$66,,$AE129), INDEX($AO$57:$AU$66,,$AD129), 1 / ($AW$57:$AW$66*CI129 + (1-$AW$57:$AW$66)*CE129), N($AK$57:$AK$66&gt;$AI129))
) / 1000</f>
        <v>0</v>
      </c>
      <c r="CK129" s="250">
        <f t="shared" si="263"/>
        <v>20</v>
      </c>
      <c r="CL129" s="237">
        <f t="shared" si="390"/>
        <v>33</v>
      </c>
      <c r="CM129" s="253">
        <f t="shared" si="391"/>
        <v>4.8487499999999999</v>
      </c>
      <c r="CN129" s="253" cm="1">
        <f t="array" ref="CN129">$BC129 * IF($AD129&lt;=2,
SUMPRODUCT(INDEX($AL$62:$AN$66,,$AE129), INDEX($AO$62:$AU$66,,$AD129), 1 / ($AV$62:$AV$66*CM129 + (1-$AV$62:$AV$66)*CI129), N($AK$62:$AK$66&gt;$AI129)),
SUMPRODUCT(INDEX($AL$47:$AN$56,,$AE129), INDEX($AO$47:$AU$56,,$AD129), 1 / ($AW$47:$AW$56*CM129 + (1-$AW$47:$AW$56)*CI129), N($AK$47:$AK$56&gt;$AI129))
) / 1000</f>
        <v>0</v>
      </c>
      <c r="CO129" s="253" cm="1">
        <f t="array" ref="CO129">$BC129 * IF($AD129&lt;=2,
SUMPRODUCT(INDEX($AL$23:$AN$61,,$AE129), INDEX($AO$23:$AU$61,,$AD129), 1 / ($AV$23:$AV$61*CM129), N($AK$23:$AK$61&gt;$AI129)),
SUMPRODUCT(INDEX($AL$23:$AN$46,,$AE129), INDEX($AO$23:$AU$46,,$AD129), 1 / ($AW$23:$AW$46*CM129), N($AK$23:$AK$46&gt;$AI129))
) / 1000</f>
        <v>0</v>
      </c>
      <c r="CP129" s="237">
        <f t="shared" si="392"/>
        <v>0</v>
      </c>
      <c r="CQ129" s="210"/>
    </row>
    <row r="130" spans="1:95" s="76" customFormat="1" ht="14.25" customHeight="1" x14ac:dyDescent="0.2">
      <c r="A130" s="238" t="b">
        <f t="shared" si="227"/>
        <v>0</v>
      </c>
      <c r="B130" s="239">
        <v>108</v>
      </c>
      <c r="C130" s="258"/>
      <c r="D130" s="258"/>
      <c r="E130" s="240"/>
      <c r="F130" s="241" t="str">
        <f>IF(ISBLANK(E130), "", VLOOKUP(E130, Z!$A$2:$C$4127, 3, FALSE))</f>
        <v/>
      </c>
      <c r="G130" s="242"/>
      <c r="H130" s="242"/>
      <c r="I130" s="243"/>
      <c r="J130" s="244"/>
      <c r="K130" s="259"/>
      <c r="L130" s="260"/>
      <c r="M130" s="247" t="str" cm="1">
        <f t="array" ref="M130">IF($K130&gt;0, INDEX(Clean,1+AG130,$C$1), "")</f>
        <v/>
      </c>
      <c r="N130" s="245"/>
      <c r="O130" s="245"/>
      <c r="P130" s="246"/>
      <c r="Q130" s="248">
        <f t="shared" si="369"/>
        <v>0</v>
      </c>
      <c r="R130" s="247" t="str" cm="1">
        <f t="array" ref="R130">IF($K130&gt;0, INDEX(Clean,1+AH130,$C$1), "")</f>
        <v/>
      </c>
      <c r="S130" s="245"/>
      <c r="T130" s="245"/>
      <c r="U130" s="246"/>
      <c r="V130" s="248">
        <f t="shared" si="370"/>
        <v>0</v>
      </c>
      <c r="W130" s="261"/>
      <c r="X130" s="258"/>
      <c r="Y130" s="240"/>
      <c r="Z130" s="241" t="str">
        <f>IF(ISBLANK(Y130), "", VLOOKUP(Y130, Z!$A$2:$C$4127, 3, FALSE))</f>
        <v/>
      </c>
      <c r="AA130" s="262"/>
      <c r="AB130" s="249">
        <f t="shared" si="234"/>
        <v>0</v>
      </c>
      <c r="AC130" s="210"/>
      <c r="AD130" s="236">
        <f t="shared" si="393"/>
        <v>1</v>
      </c>
      <c r="AE130" s="236">
        <f t="shared" si="394"/>
        <v>1</v>
      </c>
      <c r="AF130" s="236">
        <f t="shared" si="395"/>
        <v>0</v>
      </c>
      <c r="AG130" s="236">
        <v>1</v>
      </c>
      <c r="AH130" s="236">
        <v>0</v>
      </c>
      <c r="AI130" s="236">
        <f t="shared" si="371"/>
        <v>-100</v>
      </c>
      <c r="AJ130" s="210"/>
      <c r="AK130" s="254"/>
      <c r="AL130" s="254"/>
      <c r="AM130" s="255"/>
      <c r="AN130" s="255"/>
      <c r="AO130" s="255"/>
      <c r="AP130" s="255"/>
      <c r="AQ130" s="255"/>
      <c r="AR130" s="255"/>
      <c r="AS130" s="255"/>
      <c r="AT130" s="255"/>
      <c r="AU130" s="255"/>
      <c r="AV130" s="255"/>
      <c r="AW130" s="255"/>
      <c r="AX130" s="210"/>
      <c r="AY130" s="236" cm="1">
        <f t="array" ref="AY130">INDEX(Use, $AD130, 4)</f>
        <v>7</v>
      </c>
      <c r="AZ130" s="236">
        <f t="shared" si="372"/>
        <v>32</v>
      </c>
      <c r="BA130" s="236">
        <f t="shared" si="239"/>
        <v>13</v>
      </c>
      <c r="BB130" s="236">
        <f t="shared" si="240"/>
        <v>0</v>
      </c>
      <c r="BC130" s="252" cm="1">
        <f t="array" ref="BC130">K130/IF($L130&gt;0, INDEX($AO$23:$AU$77, $L130+20, $AD130), 1)</f>
        <v>0</v>
      </c>
      <c r="BD130" s="237">
        <f t="shared" si="373"/>
        <v>0</v>
      </c>
      <c r="BE130" s="236">
        <v>35</v>
      </c>
      <c r="BF130" s="237">
        <f t="shared" si="374"/>
        <v>52.55</v>
      </c>
      <c r="BG130" s="253">
        <f t="shared" si="375"/>
        <v>2.7676728869374316</v>
      </c>
      <c r="BH130" s="253" cm="1">
        <f t="array" ref="BH130">$BC130 * SUMPRODUCT(INDEX($AL$77:$AN$82,,$AE130),INDEX($AO$77:$AU$82,,$AD130), N($AK$77:$AK$82&gt;$AI130)) / BG130 / 1000</f>
        <v>0</v>
      </c>
      <c r="BI130" s="250">
        <f t="shared" si="244"/>
        <v>30</v>
      </c>
      <c r="BJ130" s="237">
        <f t="shared" si="376"/>
        <v>46.033333333333331</v>
      </c>
      <c r="BK130" s="253">
        <f t="shared" si="377"/>
        <v>3.2297395388556791</v>
      </c>
      <c r="BL130" s="253" cm="1">
        <f t="array" ref="BL130">$BC130 * IF($AD130&lt;=2,
SUMPRODUCT(INDEX($AL$72:$AN$76,,$AE130), INDEX($AO$72:$AU$76,,$AD130), 1 / ($AV$72:$AV$76*BK130 + (1-$AV$72:$AV$76)*BG130), N($AK$72:$AK$76&gt;$AI130)),
SUMPRODUCT(INDEX($AL$67:$AN$76,,$AE130), INDEX($AO$67:$AU$76,,$AD130), 1 / ($AW$67:$AW$76*BK130 + (1-$AW$67:$AW$76)*BG130), N($AK$67:$AK$76&gt;$AI130))
) / 1000</f>
        <v>0</v>
      </c>
      <c r="BM130" s="250">
        <f t="shared" si="247"/>
        <v>25</v>
      </c>
      <c r="BN130" s="237">
        <f t="shared" si="378"/>
        <v>39.516666666666666</v>
      </c>
      <c r="BO130" s="253">
        <f t="shared" si="379"/>
        <v>3.877011788826243</v>
      </c>
      <c r="BP130" s="253" cm="1">
        <f t="array" ref="BP130">$BC130 * IF($AD130&lt;=2,
SUMPRODUCT(INDEX($AL$67:$AN$71,,$AE130), INDEX($AO$67:$AU$71,,$AD130), 1 / ($AV$67:$AV$71*BO130 + (1-$AV$67:$AV$71)*BK130), N($AK$67:$AK$71&gt;$AI130)),
SUMPRODUCT(INDEX($AL$57:$AN$66,,$AE130), INDEX($AO$57:$AU$66,,$AD130), 1 / ($AW$57:$AW$66*BO130 + (1-$AW$57:$AW$66)*BK130), N($AK$57:$AK$66&gt;$AI130))
) / 1000</f>
        <v>0</v>
      </c>
      <c r="BQ130" s="250">
        <f t="shared" si="250"/>
        <v>20</v>
      </c>
      <c r="BR130" s="237">
        <f t="shared" si="380"/>
        <v>33</v>
      </c>
      <c r="BS130" s="253">
        <f t="shared" si="381"/>
        <v>4.8487499999999999</v>
      </c>
      <c r="BT130" s="253" cm="1">
        <f t="array" ref="BT130">$BC130 * IF($AD130&lt;=2,
SUMPRODUCT(INDEX($AL$62:$AN$66,,$AE130), INDEX($AO$62:$AU$66,,$AD130), 1 / ($AV$62:$AV$66*BS130 + (1-$AV$62:$AV$66)*BO130), N($AK$62:$AK$66&gt;$AI130)),
SUMPRODUCT(INDEX($AL$47:$AN$56,,$AE130), INDEX($AO$47:$AU$56,,$AD130), 1 / ($AW$47:$AW$56*BS130 + (1-$AW$47:$AW$56)*BO130), N($AK$47:$AK$56&gt;$AI130))
) / 1000</f>
        <v>0</v>
      </c>
      <c r="BU130" s="253" cm="1">
        <f t="array" ref="BU130">$BC130 * IF($AD130&lt;=2,
SUMPRODUCT(INDEX($AL$23:$AN$61,,$AE130), INDEX($AO$23:$AU$61,,$AD130), 1 / ($AV$23:$AV$61*BS130), N($AK$23:$AK$61&gt;$AI130)),
SUMPRODUCT(INDEX($AL$23:$AN$46,,$AE130), INDEX($AO$23:$AU$46,,$AD130), 1 / ($AW$23:$AW$46*BS130), N($AK$23:$AK$46&gt;$AI130))
) / 1000</f>
        <v>0</v>
      </c>
      <c r="BV130" s="237">
        <f t="shared" si="382"/>
        <v>0</v>
      </c>
      <c r="BW130" s="210"/>
      <c r="BX130" s="237">
        <f t="shared" si="383"/>
        <v>0</v>
      </c>
      <c r="BY130" s="236">
        <v>35</v>
      </c>
      <c r="BZ130" s="237">
        <f t="shared" si="384"/>
        <v>48</v>
      </c>
      <c r="CA130" s="253">
        <f t="shared" si="385"/>
        <v>3.0748170731707316</v>
      </c>
      <c r="CB130" s="253" cm="1">
        <f t="array" ref="CB130">$BC130 * SUMPRODUCT(INDEX($AL$77:$AN$82,,$AE130),INDEX($AO$77:$AU$82,,$AD130), N($AK$77:$AK$82&gt;$AI130)) / CA130 / 1000</f>
        <v>0</v>
      </c>
      <c r="CC130" s="250">
        <f t="shared" si="257"/>
        <v>30</v>
      </c>
      <c r="CD130" s="237">
        <f t="shared" si="386"/>
        <v>43</v>
      </c>
      <c r="CE130" s="253">
        <f t="shared" si="387"/>
        <v>3.5018750000000001</v>
      </c>
      <c r="CF130" s="253" cm="1">
        <f t="array" ref="CF130">$BC130 * IF($AD130&lt;=2,
SUMPRODUCT(INDEX($AL$72:$AN$76,,$AE130), INDEX($AO$72:$AU$76,,$AD130), 1 / ($AV$72:$AV$76*CE130 + (1-$AV$72:$AV$76)*CA130), N($AK$72:$AK$76&gt;$AI130)),
SUMPRODUCT(INDEX($AL$67:$AN$76,,$AE130), INDEX($AO$67:$AU$76,,$AD130), 1 / ($AW$67:$AW$76*CE130 + (1-$AW$67:$AW$76)*CA130), N($AK$67:$AK$76&gt;$AI130))
) / 1000</f>
        <v>0</v>
      </c>
      <c r="CG130" s="250">
        <f t="shared" si="260"/>
        <v>25</v>
      </c>
      <c r="CH130" s="237">
        <f t="shared" si="388"/>
        <v>38</v>
      </c>
      <c r="CI130" s="253">
        <f t="shared" si="389"/>
        <v>4.0666935483870965</v>
      </c>
      <c r="CJ130" s="253" cm="1">
        <f t="array" ref="CJ130">$BC130 * IF($AD130&lt;=2,
SUMPRODUCT(INDEX($AL$67:$AN$71,,$AE130), INDEX($AO$67:$AU$71,,$AD130), 1 / ($AV$67:$AV$71*CI130 + (1-$AV$67:$AV$71)*CE130), N($AK$67:$AK$71&gt;$AI130)),
SUMPRODUCT(INDEX($AL$57:$AN$66,,$AE130), INDEX($AO$57:$AU$66,,$AD130), 1 / ($AW$57:$AW$66*CI130 + (1-$AW$57:$AW$66)*CE130), N($AK$57:$AK$66&gt;$AI130))
) / 1000</f>
        <v>0</v>
      </c>
      <c r="CK130" s="250">
        <f t="shared" si="263"/>
        <v>20</v>
      </c>
      <c r="CL130" s="237">
        <f t="shared" si="390"/>
        <v>33</v>
      </c>
      <c r="CM130" s="253">
        <f t="shared" si="391"/>
        <v>4.8487499999999999</v>
      </c>
      <c r="CN130" s="253" cm="1">
        <f t="array" ref="CN130">$BC130 * IF($AD130&lt;=2,
SUMPRODUCT(INDEX($AL$62:$AN$66,,$AE130), INDEX($AO$62:$AU$66,,$AD130), 1 / ($AV$62:$AV$66*CM130 + (1-$AV$62:$AV$66)*CI130), N($AK$62:$AK$66&gt;$AI130)),
SUMPRODUCT(INDEX($AL$47:$AN$56,,$AE130), INDEX($AO$47:$AU$56,,$AD130), 1 / ($AW$47:$AW$56*CM130 + (1-$AW$47:$AW$56)*CI130), N($AK$47:$AK$56&gt;$AI130))
) / 1000</f>
        <v>0</v>
      </c>
      <c r="CO130" s="253" cm="1">
        <f t="array" ref="CO130">$BC130 * IF($AD130&lt;=2,
SUMPRODUCT(INDEX($AL$23:$AN$61,,$AE130), INDEX($AO$23:$AU$61,,$AD130), 1 / ($AV$23:$AV$61*CM130), N($AK$23:$AK$61&gt;$AI130)),
SUMPRODUCT(INDEX($AL$23:$AN$46,,$AE130), INDEX($AO$23:$AU$46,,$AD130), 1 / ($AW$23:$AW$46*CM130), N($AK$23:$AK$46&gt;$AI130))
) / 1000</f>
        <v>0</v>
      </c>
      <c r="CP130" s="237">
        <f t="shared" si="392"/>
        <v>0</v>
      </c>
      <c r="CQ130" s="210"/>
    </row>
    <row r="131" spans="1:95" s="76" customFormat="1" ht="14.25" customHeight="1" x14ac:dyDescent="0.2">
      <c r="A131" s="238" t="b">
        <f t="shared" si="227"/>
        <v>0</v>
      </c>
      <c r="B131" s="239">
        <v>109</v>
      </c>
      <c r="C131" s="258"/>
      <c r="D131" s="258"/>
      <c r="E131" s="240"/>
      <c r="F131" s="241" t="str">
        <f>IF(ISBLANK(E131), "", VLOOKUP(E131, Z!$A$2:$C$4127, 3, FALSE))</f>
        <v/>
      </c>
      <c r="G131" s="242"/>
      <c r="H131" s="242"/>
      <c r="I131" s="243"/>
      <c r="J131" s="244"/>
      <c r="K131" s="259"/>
      <c r="L131" s="260"/>
      <c r="M131" s="247" t="str" cm="1">
        <f t="array" ref="M131">IF($K131&gt;0, INDEX(Clean,1+AG131,$C$1), "")</f>
        <v/>
      </c>
      <c r="N131" s="245"/>
      <c r="O131" s="245"/>
      <c r="P131" s="246"/>
      <c r="Q131" s="248">
        <f t="shared" si="369"/>
        <v>0</v>
      </c>
      <c r="R131" s="247" t="str" cm="1">
        <f t="array" ref="R131">IF($K131&gt;0, INDEX(Clean,1+AH131,$C$1), "")</f>
        <v/>
      </c>
      <c r="S131" s="245"/>
      <c r="T131" s="245"/>
      <c r="U131" s="246"/>
      <c r="V131" s="248">
        <f t="shared" si="370"/>
        <v>0</v>
      </c>
      <c r="W131" s="261"/>
      <c r="X131" s="258"/>
      <c r="Y131" s="240"/>
      <c r="Z131" s="241" t="str">
        <f>IF(ISBLANK(Y131), "", VLOOKUP(Y131, Z!$A$2:$C$4127, 3, FALSE))</f>
        <v/>
      </c>
      <c r="AA131" s="262"/>
      <c r="AB131" s="249">
        <f t="shared" si="234"/>
        <v>0</v>
      </c>
      <c r="AC131" s="210"/>
      <c r="AD131" s="236">
        <f t="shared" si="393"/>
        <v>1</v>
      </c>
      <c r="AE131" s="236">
        <f t="shared" si="394"/>
        <v>1</v>
      </c>
      <c r="AF131" s="236">
        <f t="shared" si="395"/>
        <v>0</v>
      </c>
      <c r="AG131" s="236">
        <v>1</v>
      </c>
      <c r="AH131" s="236">
        <v>0</v>
      </c>
      <c r="AI131" s="236">
        <f t="shared" si="371"/>
        <v>-100</v>
      </c>
      <c r="AJ131" s="210"/>
      <c r="AK131" s="254"/>
      <c r="AL131" s="254"/>
      <c r="AM131" s="255"/>
      <c r="AN131" s="255"/>
      <c r="AO131" s="255"/>
      <c r="AP131" s="255"/>
      <c r="AQ131" s="255"/>
      <c r="AR131" s="255"/>
      <c r="AS131" s="255"/>
      <c r="AT131" s="255"/>
      <c r="AU131" s="255"/>
      <c r="AV131" s="255"/>
      <c r="AW131" s="255"/>
      <c r="AX131" s="210"/>
      <c r="AY131" s="236" cm="1">
        <f t="array" ref="AY131">INDEX(Use, $AD131, 4)</f>
        <v>7</v>
      </c>
      <c r="AZ131" s="236">
        <f t="shared" si="372"/>
        <v>32</v>
      </c>
      <c r="BA131" s="236">
        <f t="shared" si="239"/>
        <v>13</v>
      </c>
      <c r="BB131" s="236">
        <f t="shared" si="240"/>
        <v>0</v>
      </c>
      <c r="BC131" s="252" cm="1">
        <f t="array" ref="BC131">K131/IF($L131&gt;0, INDEX($AO$23:$AU$77, $L131+20, $AD131), 1)</f>
        <v>0</v>
      </c>
      <c r="BD131" s="237">
        <f t="shared" si="373"/>
        <v>0</v>
      </c>
      <c r="BE131" s="236">
        <v>35</v>
      </c>
      <c r="BF131" s="237">
        <f t="shared" si="374"/>
        <v>52.55</v>
      </c>
      <c r="BG131" s="253">
        <f t="shared" si="375"/>
        <v>2.7676728869374316</v>
      </c>
      <c r="BH131" s="253" cm="1">
        <f t="array" ref="BH131">$BC131 * SUMPRODUCT(INDEX($AL$77:$AN$82,,$AE131),INDEX($AO$77:$AU$82,,$AD131), N($AK$77:$AK$82&gt;$AI131)) / BG131 / 1000</f>
        <v>0</v>
      </c>
      <c r="BI131" s="250">
        <f t="shared" si="244"/>
        <v>30</v>
      </c>
      <c r="BJ131" s="237">
        <f t="shared" si="376"/>
        <v>46.033333333333331</v>
      </c>
      <c r="BK131" s="253">
        <f t="shared" si="377"/>
        <v>3.2297395388556791</v>
      </c>
      <c r="BL131" s="253" cm="1">
        <f t="array" ref="BL131">$BC131 * IF($AD131&lt;=2,
SUMPRODUCT(INDEX($AL$72:$AN$76,,$AE131), INDEX($AO$72:$AU$76,,$AD131), 1 / ($AV$72:$AV$76*BK131 + (1-$AV$72:$AV$76)*BG131), N($AK$72:$AK$76&gt;$AI131)),
SUMPRODUCT(INDEX($AL$67:$AN$76,,$AE131), INDEX($AO$67:$AU$76,,$AD131), 1 / ($AW$67:$AW$76*BK131 + (1-$AW$67:$AW$76)*BG131), N($AK$67:$AK$76&gt;$AI131))
) / 1000</f>
        <v>0</v>
      </c>
      <c r="BM131" s="250">
        <f t="shared" si="247"/>
        <v>25</v>
      </c>
      <c r="BN131" s="237">
        <f t="shared" si="378"/>
        <v>39.516666666666666</v>
      </c>
      <c r="BO131" s="253">
        <f t="shared" si="379"/>
        <v>3.877011788826243</v>
      </c>
      <c r="BP131" s="253" cm="1">
        <f t="array" ref="BP131">$BC131 * IF($AD131&lt;=2,
SUMPRODUCT(INDEX($AL$67:$AN$71,,$AE131), INDEX($AO$67:$AU$71,,$AD131), 1 / ($AV$67:$AV$71*BO131 + (1-$AV$67:$AV$71)*BK131), N($AK$67:$AK$71&gt;$AI131)),
SUMPRODUCT(INDEX($AL$57:$AN$66,,$AE131), INDEX($AO$57:$AU$66,,$AD131), 1 / ($AW$57:$AW$66*BO131 + (1-$AW$57:$AW$66)*BK131), N($AK$57:$AK$66&gt;$AI131))
) / 1000</f>
        <v>0</v>
      </c>
      <c r="BQ131" s="250">
        <f t="shared" si="250"/>
        <v>20</v>
      </c>
      <c r="BR131" s="237">
        <f t="shared" si="380"/>
        <v>33</v>
      </c>
      <c r="BS131" s="253">
        <f t="shared" si="381"/>
        <v>4.8487499999999999</v>
      </c>
      <c r="BT131" s="253" cm="1">
        <f t="array" ref="BT131">$BC131 * IF($AD131&lt;=2,
SUMPRODUCT(INDEX($AL$62:$AN$66,,$AE131), INDEX($AO$62:$AU$66,,$AD131), 1 / ($AV$62:$AV$66*BS131 + (1-$AV$62:$AV$66)*BO131), N($AK$62:$AK$66&gt;$AI131)),
SUMPRODUCT(INDEX($AL$47:$AN$56,,$AE131), INDEX($AO$47:$AU$56,,$AD131), 1 / ($AW$47:$AW$56*BS131 + (1-$AW$47:$AW$56)*BO131), N($AK$47:$AK$56&gt;$AI131))
) / 1000</f>
        <v>0</v>
      </c>
      <c r="BU131" s="253" cm="1">
        <f t="array" ref="BU131">$BC131 * IF($AD131&lt;=2,
SUMPRODUCT(INDEX($AL$23:$AN$61,,$AE131), INDEX($AO$23:$AU$61,,$AD131), 1 / ($AV$23:$AV$61*BS131), N($AK$23:$AK$61&gt;$AI131)),
SUMPRODUCT(INDEX($AL$23:$AN$46,,$AE131), INDEX($AO$23:$AU$46,,$AD131), 1 / ($AW$23:$AW$46*BS131), N($AK$23:$AK$46&gt;$AI131))
) / 1000</f>
        <v>0</v>
      </c>
      <c r="BV131" s="237">
        <f t="shared" si="382"/>
        <v>0</v>
      </c>
      <c r="BW131" s="210"/>
      <c r="BX131" s="237">
        <f t="shared" si="383"/>
        <v>0</v>
      </c>
      <c r="BY131" s="236">
        <v>35</v>
      </c>
      <c r="BZ131" s="237">
        <f t="shared" si="384"/>
        <v>48</v>
      </c>
      <c r="CA131" s="253">
        <f t="shared" si="385"/>
        <v>3.0748170731707316</v>
      </c>
      <c r="CB131" s="253" cm="1">
        <f t="array" ref="CB131">$BC131 * SUMPRODUCT(INDEX($AL$77:$AN$82,,$AE131),INDEX($AO$77:$AU$82,,$AD131), N($AK$77:$AK$82&gt;$AI131)) / CA131 / 1000</f>
        <v>0</v>
      </c>
      <c r="CC131" s="250">
        <f t="shared" si="257"/>
        <v>30</v>
      </c>
      <c r="CD131" s="237">
        <f t="shared" si="386"/>
        <v>43</v>
      </c>
      <c r="CE131" s="253">
        <f t="shared" si="387"/>
        <v>3.5018750000000001</v>
      </c>
      <c r="CF131" s="253" cm="1">
        <f t="array" ref="CF131">$BC131 * IF($AD131&lt;=2,
SUMPRODUCT(INDEX($AL$72:$AN$76,,$AE131), INDEX($AO$72:$AU$76,,$AD131), 1 / ($AV$72:$AV$76*CE131 + (1-$AV$72:$AV$76)*CA131), N($AK$72:$AK$76&gt;$AI131)),
SUMPRODUCT(INDEX($AL$67:$AN$76,,$AE131), INDEX($AO$67:$AU$76,,$AD131), 1 / ($AW$67:$AW$76*CE131 + (1-$AW$67:$AW$76)*CA131), N($AK$67:$AK$76&gt;$AI131))
) / 1000</f>
        <v>0</v>
      </c>
      <c r="CG131" s="250">
        <f t="shared" si="260"/>
        <v>25</v>
      </c>
      <c r="CH131" s="237">
        <f t="shared" si="388"/>
        <v>38</v>
      </c>
      <c r="CI131" s="253">
        <f t="shared" si="389"/>
        <v>4.0666935483870965</v>
      </c>
      <c r="CJ131" s="253" cm="1">
        <f t="array" ref="CJ131">$BC131 * IF($AD131&lt;=2,
SUMPRODUCT(INDEX($AL$67:$AN$71,,$AE131), INDEX($AO$67:$AU$71,,$AD131), 1 / ($AV$67:$AV$71*CI131 + (1-$AV$67:$AV$71)*CE131), N($AK$67:$AK$71&gt;$AI131)),
SUMPRODUCT(INDEX($AL$57:$AN$66,,$AE131), INDEX($AO$57:$AU$66,,$AD131), 1 / ($AW$57:$AW$66*CI131 + (1-$AW$57:$AW$66)*CE131), N($AK$57:$AK$66&gt;$AI131))
) / 1000</f>
        <v>0</v>
      </c>
      <c r="CK131" s="250">
        <f t="shared" si="263"/>
        <v>20</v>
      </c>
      <c r="CL131" s="237">
        <f t="shared" si="390"/>
        <v>33</v>
      </c>
      <c r="CM131" s="253">
        <f t="shared" si="391"/>
        <v>4.8487499999999999</v>
      </c>
      <c r="CN131" s="253" cm="1">
        <f t="array" ref="CN131">$BC131 * IF($AD131&lt;=2,
SUMPRODUCT(INDEX($AL$62:$AN$66,,$AE131), INDEX($AO$62:$AU$66,,$AD131), 1 / ($AV$62:$AV$66*CM131 + (1-$AV$62:$AV$66)*CI131), N($AK$62:$AK$66&gt;$AI131)),
SUMPRODUCT(INDEX($AL$47:$AN$56,,$AE131), INDEX($AO$47:$AU$56,,$AD131), 1 / ($AW$47:$AW$56*CM131 + (1-$AW$47:$AW$56)*CI131), N($AK$47:$AK$56&gt;$AI131))
) / 1000</f>
        <v>0</v>
      </c>
      <c r="CO131" s="253" cm="1">
        <f t="array" ref="CO131">$BC131 * IF($AD131&lt;=2,
SUMPRODUCT(INDEX($AL$23:$AN$61,,$AE131), INDEX($AO$23:$AU$61,,$AD131), 1 / ($AV$23:$AV$61*CM131), N($AK$23:$AK$61&gt;$AI131)),
SUMPRODUCT(INDEX($AL$23:$AN$46,,$AE131), INDEX($AO$23:$AU$46,,$AD131), 1 / ($AW$23:$AW$46*CM131), N($AK$23:$AK$46&gt;$AI131))
) / 1000</f>
        <v>0</v>
      </c>
      <c r="CP131" s="237">
        <f t="shared" si="392"/>
        <v>0</v>
      </c>
      <c r="CQ131" s="210"/>
    </row>
    <row r="132" spans="1:95" s="76" customFormat="1" ht="14.25" customHeight="1" x14ac:dyDescent="0.2">
      <c r="A132" s="238" t="b">
        <f t="shared" si="227"/>
        <v>0</v>
      </c>
      <c r="B132" s="239">
        <v>110</v>
      </c>
      <c r="C132" s="258"/>
      <c r="D132" s="258"/>
      <c r="E132" s="240"/>
      <c r="F132" s="241" t="str">
        <f>IF(ISBLANK(E132), "", VLOOKUP(E132, Z!$A$2:$C$4127, 3, FALSE))</f>
        <v/>
      </c>
      <c r="G132" s="242"/>
      <c r="H132" s="242"/>
      <c r="I132" s="243"/>
      <c r="J132" s="244"/>
      <c r="K132" s="259"/>
      <c r="L132" s="260"/>
      <c r="M132" s="247" t="str" cm="1">
        <f t="array" ref="M132">IF($K132&gt;0, INDEX(Clean,1+AG132,$C$1), "")</f>
        <v/>
      </c>
      <c r="N132" s="245"/>
      <c r="O132" s="245"/>
      <c r="P132" s="246"/>
      <c r="Q132" s="248">
        <f t="shared" si="369"/>
        <v>0</v>
      </c>
      <c r="R132" s="247" t="str" cm="1">
        <f t="array" ref="R132">IF($K132&gt;0, INDEX(Clean,1+AH132,$C$1), "")</f>
        <v/>
      </c>
      <c r="S132" s="245"/>
      <c r="T132" s="245"/>
      <c r="U132" s="246"/>
      <c r="V132" s="248">
        <f t="shared" si="370"/>
        <v>0</v>
      </c>
      <c r="W132" s="261"/>
      <c r="X132" s="258"/>
      <c r="Y132" s="240"/>
      <c r="Z132" s="241" t="str">
        <f>IF(ISBLANK(Y132), "", VLOOKUP(Y132, Z!$A$2:$C$4127, 3, FALSE))</f>
        <v/>
      </c>
      <c r="AA132" s="262"/>
      <c r="AB132" s="249">
        <f t="shared" si="234"/>
        <v>0</v>
      </c>
      <c r="AC132" s="210"/>
      <c r="AD132" s="236">
        <f t="shared" si="393"/>
        <v>1</v>
      </c>
      <c r="AE132" s="236">
        <f t="shared" si="394"/>
        <v>1</v>
      </c>
      <c r="AF132" s="236">
        <f t="shared" si="395"/>
        <v>0</v>
      </c>
      <c r="AG132" s="236">
        <v>1</v>
      </c>
      <c r="AH132" s="236">
        <v>0</v>
      </c>
      <c r="AI132" s="236">
        <f t="shared" si="371"/>
        <v>-100</v>
      </c>
      <c r="AJ132" s="210"/>
      <c r="AK132" s="254"/>
      <c r="AL132" s="254"/>
      <c r="AM132" s="255"/>
      <c r="AN132" s="255"/>
      <c r="AO132" s="255"/>
      <c r="AP132" s="255"/>
      <c r="AQ132" s="255"/>
      <c r="AR132" s="255"/>
      <c r="AS132" s="255"/>
      <c r="AT132" s="255"/>
      <c r="AU132" s="255"/>
      <c r="AV132" s="255"/>
      <c r="AW132" s="255"/>
      <c r="AX132" s="210"/>
      <c r="AY132" s="236" cm="1">
        <f t="array" ref="AY132">INDEX(Use, $AD132, 4)</f>
        <v>7</v>
      </c>
      <c r="AZ132" s="236">
        <f t="shared" si="372"/>
        <v>32</v>
      </c>
      <c r="BA132" s="236">
        <f t="shared" si="239"/>
        <v>13</v>
      </c>
      <c r="BB132" s="236">
        <f t="shared" si="240"/>
        <v>0</v>
      </c>
      <c r="BC132" s="252" cm="1">
        <f t="array" ref="BC132">K132/IF($L132&gt;0, INDEX($AO$23:$AU$77, $L132+20, $AD132), 1)</f>
        <v>0</v>
      </c>
      <c r="BD132" s="237">
        <f t="shared" si="373"/>
        <v>0</v>
      </c>
      <c r="BE132" s="236">
        <v>35</v>
      </c>
      <c r="BF132" s="237">
        <f t="shared" si="374"/>
        <v>52.55</v>
      </c>
      <c r="BG132" s="253">
        <f t="shared" si="375"/>
        <v>2.7676728869374316</v>
      </c>
      <c r="BH132" s="253" cm="1">
        <f t="array" ref="BH132">$BC132 * SUMPRODUCT(INDEX($AL$77:$AN$82,,$AE132),INDEX($AO$77:$AU$82,,$AD132), N($AK$77:$AK$82&gt;$AI132)) / BG132 / 1000</f>
        <v>0</v>
      </c>
      <c r="BI132" s="250">
        <f t="shared" si="244"/>
        <v>30</v>
      </c>
      <c r="BJ132" s="237">
        <f t="shared" si="376"/>
        <v>46.033333333333331</v>
      </c>
      <c r="BK132" s="253">
        <f t="shared" si="377"/>
        <v>3.2297395388556791</v>
      </c>
      <c r="BL132" s="253" cm="1">
        <f t="array" ref="BL132">$BC132 * IF($AD132&lt;=2,
SUMPRODUCT(INDEX($AL$72:$AN$76,,$AE132), INDEX($AO$72:$AU$76,,$AD132), 1 / ($AV$72:$AV$76*BK132 + (1-$AV$72:$AV$76)*BG132), N($AK$72:$AK$76&gt;$AI132)),
SUMPRODUCT(INDEX($AL$67:$AN$76,,$AE132), INDEX($AO$67:$AU$76,,$AD132), 1 / ($AW$67:$AW$76*BK132 + (1-$AW$67:$AW$76)*BG132), N($AK$67:$AK$76&gt;$AI132))
) / 1000</f>
        <v>0</v>
      </c>
      <c r="BM132" s="250">
        <f t="shared" si="247"/>
        <v>25</v>
      </c>
      <c r="BN132" s="237">
        <f t="shared" si="378"/>
        <v>39.516666666666666</v>
      </c>
      <c r="BO132" s="253">
        <f t="shared" si="379"/>
        <v>3.877011788826243</v>
      </c>
      <c r="BP132" s="253" cm="1">
        <f t="array" ref="BP132">$BC132 * IF($AD132&lt;=2,
SUMPRODUCT(INDEX($AL$67:$AN$71,,$AE132), INDEX($AO$67:$AU$71,,$AD132), 1 / ($AV$67:$AV$71*BO132 + (1-$AV$67:$AV$71)*BK132), N($AK$67:$AK$71&gt;$AI132)),
SUMPRODUCT(INDEX($AL$57:$AN$66,,$AE132), INDEX($AO$57:$AU$66,,$AD132), 1 / ($AW$57:$AW$66*BO132 + (1-$AW$57:$AW$66)*BK132), N($AK$57:$AK$66&gt;$AI132))
) / 1000</f>
        <v>0</v>
      </c>
      <c r="BQ132" s="250">
        <f t="shared" si="250"/>
        <v>20</v>
      </c>
      <c r="BR132" s="237">
        <f t="shared" si="380"/>
        <v>33</v>
      </c>
      <c r="BS132" s="253">
        <f t="shared" si="381"/>
        <v>4.8487499999999999</v>
      </c>
      <c r="BT132" s="253" cm="1">
        <f t="array" ref="BT132">$BC132 * IF($AD132&lt;=2,
SUMPRODUCT(INDEX($AL$62:$AN$66,,$AE132), INDEX($AO$62:$AU$66,,$AD132), 1 / ($AV$62:$AV$66*BS132 + (1-$AV$62:$AV$66)*BO132), N($AK$62:$AK$66&gt;$AI132)),
SUMPRODUCT(INDEX($AL$47:$AN$56,,$AE132), INDEX($AO$47:$AU$56,,$AD132), 1 / ($AW$47:$AW$56*BS132 + (1-$AW$47:$AW$56)*BO132), N($AK$47:$AK$56&gt;$AI132))
) / 1000</f>
        <v>0</v>
      </c>
      <c r="BU132" s="253" cm="1">
        <f t="array" ref="BU132">$BC132 * IF($AD132&lt;=2,
SUMPRODUCT(INDEX($AL$23:$AN$61,,$AE132), INDEX($AO$23:$AU$61,,$AD132), 1 / ($AV$23:$AV$61*BS132), N($AK$23:$AK$61&gt;$AI132)),
SUMPRODUCT(INDEX($AL$23:$AN$46,,$AE132), INDEX($AO$23:$AU$46,,$AD132), 1 / ($AW$23:$AW$46*BS132), N($AK$23:$AK$46&gt;$AI132))
) / 1000</f>
        <v>0</v>
      </c>
      <c r="BV132" s="237">
        <f t="shared" si="382"/>
        <v>0</v>
      </c>
      <c r="BW132" s="210"/>
      <c r="BX132" s="237">
        <f t="shared" si="383"/>
        <v>0</v>
      </c>
      <c r="BY132" s="236">
        <v>35</v>
      </c>
      <c r="BZ132" s="237">
        <f t="shared" si="384"/>
        <v>48</v>
      </c>
      <c r="CA132" s="253">
        <f t="shared" si="385"/>
        <v>3.0748170731707316</v>
      </c>
      <c r="CB132" s="253" cm="1">
        <f t="array" ref="CB132">$BC132 * SUMPRODUCT(INDEX($AL$77:$AN$82,,$AE132),INDEX($AO$77:$AU$82,,$AD132), N($AK$77:$AK$82&gt;$AI132)) / CA132 / 1000</f>
        <v>0</v>
      </c>
      <c r="CC132" s="250">
        <f t="shared" si="257"/>
        <v>30</v>
      </c>
      <c r="CD132" s="237">
        <f t="shared" si="386"/>
        <v>43</v>
      </c>
      <c r="CE132" s="253">
        <f t="shared" si="387"/>
        <v>3.5018750000000001</v>
      </c>
      <c r="CF132" s="253" cm="1">
        <f t="array" ref="CF132">$BC132 * IF($AD132&lt;=2,
SUMPRODUCT(INDEX($AL$72:$AN$76,,$AE132), INDEX($AO$72:$AU$76,,$AD132), 1 / ($AV$72:$AV$76*CE132 + (1-$AV$72:$AV$76)*CA132), N($AK$72:$AK$76&gt;$AI132)),
SUMPRODUCT(INDEX($AL$67:$AN$76,,$AE132), INDEX($AO$67:$AU$76,,$AD132), 1 / ($AW$67:$AW$76*CE132 + (1-$AW$67:$AW$76)*CA132), N($AK$67:$AK$76&gt;$AI132))
) / 1000</f>
        <v>0</v>
      </c>
      <c r="CG132" s="250">
        <f t="shared" si="260"/>
        <v>25</v>
      </c>
      <c r="CH132" s="237">
        <f t="shared" si="388"/>
        <v>38</v>
      </c>
      <c r="CI132" s="253">
        <f t="shared" si="389"/>
        <v>4.0666935483870965</v>
      </c>
      <c r="CJ132" s="253" cm="1">
        <f t="array" ref="CJ132">$BC132 * IF($AD132&lt;=2,
SUMPRODUCT(INDEX($AL$67:$AN$71,,$AE132), INDEX($AO$67:$AU$71,,$AD132), 1 / ($AV$67:$AV$71*CI132 + (1-$AV$67:$AV$71)*CE132), N($AK$67:$AK$71&gt;$AI132)),
SUMPRODUCT(INDEX($AL$57:$AN$66,,$AE132), INDEX($AO$57:$AU$66,,$AD132), 1 / ($AW$57:$AW$66*CI132 + (1-$AW$57:$AW$66)*CE132), N($AK$57:$AK$66&gt;$AI132))
) / 1000</f>
        <v>0</v>
      </c>
      <c r="CK132" s="250">
        <f t="shared" si="263"/>
        <v>20</v>
      </c>
      <c r="CL132" s="237">
        <f t="shared" si="390"/>
        <v>33</v>
      </c>
      <c r="CM132" s="253">
        <f t="shared" si="391"/>
        <v>4.8487499999999999</v>
      </c>
      <c r="CN132" s="253" cm="1">
        <f t="array" ref="CN132">$BC132 * IF($AD132&lt;=2,
SUMPRODUCT(INDEX($AL$62:$AN$66,,$AE132), INDEX($AO$62:$AU$66,,$AD132), 1 / ($AV$62:$AV$66*CM132 + (1-$AV$62:$AV$66)*CI132), N($AK$62:$AK$66&gt;$AI132)),
SUMPRODUCT(INDEX($AL$47:$AN$56,,$AE132), INDEX($AO$47:$AU$56,,$AD132), 1 / ($AW$47:$AW$56*CM132 + (1-$AW$47:$AW$56)*CI132), N($AK$47:$AK$56&gt;$AI132))
) / 1000</f>
        <v>0</v>
      </c>
      <c r="CO132" s="253" cm="1">
        <f t="array" ref="CO132">$BC132 * IF($AD132&lt;=2,
SUMPRODUCT(INDEX($AL$23:$AN$61,,$AE132), INDEX($AO$23:$AU$61,,$AD132), 1 / ($AV$23:$AV$61*CM132), N($AK$23:$AK$61&gt;$AI132)),
SUMPRODUCT(INDEX($AL$23:$AN$46,,$AE132), INDEX($AO$23:$AU$46,,$AD132), 1 / ($AW$23:$AW$46*CM132), N($AK$23:$AK$46&gt;$AI132))
) / 1000</f>
        <v>0</v>
      </c>
      <c r="CP132" s="237">
        <f t="shared" si="392"/>
        <v>0</v>
      </c>
      <c r="CQ132" s="210"/>
    </row>
    <row r="133" spans="1:95" s="76" customFormat="1" ht="14.25" customHeight="1" x14ac:dyDescent="0.2">
      <c r="A133" s="238" t="b">
        <f t="shared" si="227"/>
        <v>0</v>
      </c>
      <c r="B133" s="239">
        <v>111</v>
      </c>
      <c r="C133" s="258"/>
      <c r="D133" s="258"/>
      <c r="E133" s="240"/>
      <c r="F133" s="241" t="str">
        <f>IF(ISBLANK(E133), "", VLOOKUP(E133, Z!$A$2:$C$4127, 3, FALSE))</f>
        <v/>
      </c>
      <c r="G133" s="242"/>
      <c r="H133" s="242"/>
      <c r="I133" s="243"/>
      <c r="J133" s="244"/>
      <c r="K133" s="259"/>
      <c r="L133" s="260"/>
      <c r="M133" s="247" t="str" cm="1">
        <f t="array" ref="M133">IF($K133&gt;0, INDEX(Clean,1+AG133,$C$1), "")</f>
        <v/>
      </c>
      <c r="N133" s="245"/>
      <c r="O133" s="245"/>
      <c r="P133" s="246"/>
      <c r="Q133" s="248">
        <f t="shared" si="369"/>
        <v>0</v>
      </c>
      <c r="R133" s="247" t="str" cm="1">
        <f t="array" ref="R133">IF($K133&gt;0, INDEX(Clean,1+AH133,$C$1), "")</f>
        <v/>
      </c>
      <c r="S133" s="245"/>
      <c r="T133" s="245"/>
      <c r="U133" s="246"/>
      <c r="V133" s="248">
        <f t="shared" si="370"/>
        <v>0</v>
      </c>
      <c r="W133" s="261"/>
      <c r="X133" s="258"/>
      <c r="Y133" s="240"/>
      <c r="Z133" s="241" t="str">
        <f>IF(ISBLANK(Y133), "", VLOOKUP(Y133, Z!$A$2:$C$4127, 3, FALSE))</f>
        <v/>
      </c>
      <c r="AA133" s="262"/>
      <c r="AB133" s="249">
        <f t="shared" si="234"/>
        <v>0</v>
      </c>
      <c r="AC133" s="210"/>
      <c r="AD133" s="236">
        <f t="shared" si="393"/>
        <v>1</v>
      </c>
      <c r="AE133" s="236">
        <f t="shared" si="394"/>
        <v>1</v>
      </c>
      <c r="AF133" s="236">
        <f t="shared" si="395"/>
        <v>0</v>
      </c>
      <c r="AG133" s="236">
        <v>1</v>
      </c>
      <c r="AH133" s="236">
        <v>0</v>
      </c>
      <c r="AI133" s="236">
        <f t="shared" si="371"/>
        <v>-100</v>
      </c>
      <c r="AJ133" s="210"/>
      <c r="AK133" s="254"/>
      <c r="AL133" s="254"/>
      <c r="AM133" s="255"/>
      <c r="AN133" s="255"/>
      <c r="AO133" s="255"/>
      <c r="AP133" s="255"/>
      <c r="AQ133" s="255"/>
      <c r="AR133" s="255"/>
      <c r="AS133" s="255"/>
      <c r="AT133" s="255"/>
      <c r="AU133" s="255"/>
      <c r="AV133" s="255"/>
      <c r="AW133" s="255"/>
      <c r="AX133" s="210"/>
      <c r="AY133" s="236" cm="1">
        <f t="array" ref="AY133">INDEX(Use, $AD133, 4)</f>
        <v>7</v>
      </c>
      <c r="AZ133" s="236">
        <f t="shared" si="372"/>
        <v>32</v>
      </c>
      <c r="BA133" s="236">
        <f t="shared" si="239"/>
        <v>13</v>
      </c>
      <c r="BB133" s="236">
        <f t="shared" si="240"/>
        <v>0</v>
      </c>
      <c r="BC133" s="252" cm="1">
        <f t="array" ref="BC133">K133/IF($L133&gt;0, INDEX($AO$23:$AU$77, $L133+20, $AD133), 1)</f>
        <v>0</v>
      </c>
      <c r="BD133" s="237">
        <f t="shared" si="373"/>
        <v>0</v>
      </c>
      <c r="BE133" s="236">
        <v>35</v>
      </c>
      <c r="BF133" s="237">
        <f t="shared" si="374"/>
        <v>52.55</v>
      </c>
      <c r="BG133" s="253">
        <f t="shared" si="375"/>
        <v>2.7676728869374316</v>
      </c>
      <c r="BH133" s="253" cm="1">
        <f t="array" ref="BH133">$BC133 * SUMPRODUCT(INDEX($AL$77:$AN$82,,$AE133),INDEX($AO$77:$AU$82,,$AD133), N($AK$77:$AK$82&gt;$AI133)) / BG133 / 1000</f>
        <v>0</v>
      </c>
      <c r="BI133" s="250">
        <f t="shared" si="244"/>
        <v>30</v>
      </c>
      <c r="BJ133" s="237">
        <f t="shared" si="376"/>
        <v>46.033333333333331</v>
      </c>
      <c r="BK133" s="253">
        <f t="shared" si="377"/>
        <v>3.2297395388556791</v>
      </c>
      <c r="BL133" s="253" cm="1">
        <f t="array" ref="BL133">$BC133 * IF($AD133&lt;=2,
SUMPRODUCT(INDEX($AL$72:$AN$76,,$AE133), INDEX($AO$72:$AU$76,,$AD133), 1 / ($AV$72:$AV$76*BK133 + (1-$AV$72:$AV$76)*BG133), N($AK$72:$AK$76&gt;$AI133)),
SUMPRODUCT(INDEX($AL$67:$AN$76,,$AE133), INDEX($AO$67:$AU$76,,$AD133), 1 / ($AW$67:$AW$76*BK133 + (1-$AW$67:$AW$76)*BG133), N($AK$67:$AK$76&gt;$AI133))
) / 1000</f>
        <v>0</v>
      </c>
      <c r="BM133" s="250">
        <f t="shared" si="247"/>
        <v>25</v>
      </c>
      <c r="BN133" s="237">
        <f t="shared" si="378"/>
        <v>39.516666666666666</v>
      </c>
      <c r="BO133" s="253">
        <f t="shared" si="379"/>
        <v>3.877011788826243</v>
      </c>
      <c r="BP133" s="253" cm="1">
        <f t="array" ref="BP133">$BC133 * IF($AD133&lt;=2,
SUMPRODUCT(INDEX($AL$67:$AN$71,,$AE133), INDEX($AO$67:$AU$71,,$AD133), 1 / ($AV$67:$AV$71*BO133 + (1-$AV$67:$AV$71)*BK133), N($AK$67:$AK$71&gt;$AI133)),
SUMPRODUCT(INDEX($AL$57:$AN$66,,$AE133), INDEX($AO$57:$AU$66,,$AD133), 1 / ($AW$57:$AW$66*BO133 + (1-$AW$57:$AW$66)*BK133), N($AK$57:$AK$66&gt;$AI133))
) / 1000</f>
        <v>0</v>
      </c>
      <c r="BQ133" s="250">
        <f t="shared" si="250"/>
        <v>20</v>
      </c>
      <c r="BR133" s="237">
        <f t="shared" si="380"/>
        <v>33</v>
      </c>
      <c r="BS133" s="253">
        <f t="shared" si="381"/>
        <v>4.8487499999999999</v>
      </c>
      <c r="BT133" s="253" cm="1">
        <f t="array" ref="BT133">$BC133 * IF($AD133&lt;=2,
SUMPRODUCT(INDEX($AL$62:$AN$66,,$AE133), INDEX($AO$62:$AU$66,,$AD133), 1 / ($AV$62:$AV$66*BS133 + (1-$AV$62:$AV$66)*BO133), N($AK$62:$AK$66&gt;$AI133)),
SUMPRODUCT(INDEX($AL$47:$AN$56,,$AE133), INDEX($AO$47:$AU$56,,$AD133), 1 / ($AW$47:$AW$56*BS133 + (1-$AW$47:$AW$56)*BO133), N($AK$47:$AK$56&gt;$AI133))
) / 1000</f>
        <v>0</v>
      </c>
      <c r="BU133" s="253" cm="1">
        <f t="array" ref="BU133">$BC133 * IF($AD133&lt;=2,
SUMPRODUCT(INDEX($AL$23:$AN$61,,$AE133), INDEX($AO$23:$AU$61,,$AD133), 1 / ($AV$23:$AV$61*BS133), N($AK$23:$AK$61&gt;$AI133)),
SUMPRODUCT(INDEX($AL$23:$AN$46,,$AE133), INDEX($AO$23:$AU$46,,$AD133), 1 / ($AW$23:$AW$46*BS133), N($AK$23:$AK$46&gt;$AI133))
) / 1000</f>
        <v>0</v>
      </c>
      <c r="BV133" s="237">
        <f t="shared" si="382"/>
        <v>0</v>
      </c>
      <c r="BW133" s="210"/>
      <c r="BX133" s="237">
        <f t="shared" si="383"/>
        <v>0</v>
      </c>
      <c r="BY133" s="236">
        <v>35</v>
      </c>
      <c r="BZ133" s="237">
        <f t="shared" si="384"/>
        <v>48</v>
      </c>
      <c r="CA133" s="253">
        <f t="shared" si="385"/>
        <v>3.0748170731707316</v>
      </c>
      <c r="CB133" s="253" cm="1">
        <f t="array" ref="CB133">$BC133 * SUMPRODUCT(INDEX($AL$77:$AN$82,,$AE133),INDEX($AO$77:$AU$82,,$AD133), N($AK$77:$AK$82&gt;$AI133)) / CA133 / 1000</f>
        <v>0</v>
      </c>
      <c r="CC133" s="250">
        <f t="shared" si="257"/>
        <v>30</v>
      </c>
      <c r="CD133" s="237">
        <f t="shared" si="386"/>
        <v>43</v>
      </c>
      <c r="CE133" s="253">
        <f t="shared" si="387"/>
        <v>3.5018750000000001</v>
      </c>
      <c r="CF133" s="253" cm="1">
        <f t="array" ref="CF133">$BC133 * IF($AD133&lt;=2,
SUMPRODUCT(INDEX($AL$72:$AN$76,,$AE133), INDEX($AO$72:$AU$76,,$AD133), 1 / ($AV$72:$AV$76*CE133 + (1-$AV$72:$AV$76)*CA133), N($AK$72:$AK$76&gt;$AI133)),
SUMPRODUCT(INDEX($AL$67:$AN$76,,$AE133), INDEX($AO$67:$AU$76,,$AD133), 1 / ($AW$67:$AW$76*CE133 + (1-$AW$67:$AW$76)*CA133), N($AK$67:$AK$76&gt;$AI133))
) / 1000</f>
        <v>0</v>
      </c>
      <c r="CG133" s="250">
        <f t="shared" si="260"/>
        <v>25</v>
      </c>
      <c r="CH133" s="237">
        <f t="shared" si="388"/>
        <v>38</v>
      </c>
      <c r="CI133" s="253">
        <f t="shared" si="389"/>
        <v>4.0666935483870965</v>
      </c>
      <c r="CJ133" s="253" cm="1">
        <f t="array" ref="CJ133">$BC133 * IF($AD133&lt;=2,
SUMPRODUCT(INDEX($AL$67:$AN$71,,$AE133), INDEX($AO$67:$AU$71,,$AD133), 1 / ($AV$67:$AV$71*CI133 + (1-$AV$67:$AV$71)*CE133), N($AK$67:$AK$71&gt;$AI133)),
SUMPRODUCT(INDEX($AL$57:$AN$66,,$AE133), INDEX($AO$57:$AU$66,,$AD133), 1 / ($AW$57:$AW$66*CI133 + (1-$AW$57:$AW$66)*CE133), N($AK$57:$AK$66&gt;$AI133))
) / 1000</f>
        <v>0</v>
      </c>
      <c r="CK133" s="250">
        <f t="shared" si="263"/>
        <v>20</v>
      </c>
      <c r="CL133" s="237">
        <f t="shared" si="390"/>
        <v>33</v>
      </c>
      <c r="CM133" s="253">
        <f t="shared" si="391"/>
        <v>4.8487499999999999</v>
      </c>
      <c r="CN133" s="253" cm="1">
        <f t="array" ref="CN133">$BC133 * IF($AD133&lt;=2,
SUMPRODUCT(INDEX($AL$62:$AN$66,,$AE133), INDEX($AO$62:$AU$66,,$AD133), 1 / ($AV$62:$AV$66*CM133 + (1-$AV$62:$AV$66)*CI133), N($AK$62:$AK$66&gt;$AI133)),
SUMPRODUCT(INDEX($AL$47:$AN$56,,$AE133), INDEX($AO$47:$AU$56,,$AD133), 1 / ($AW$47:$AW$56*CM133 + (1-$AW$47:$AW$56)*CI133), N($AK$47:$AK$56&gt;$AI133))
) / 1000</f>
        <v>0</v>
      </c>
      <c r="CO133" s="253" cm="1">
        <f t="array" ref="CO133">$BC133 * IF($AD133&lt;=2,
SUMPRODUCT(INDEX($AL$23:$AN$61,,$AE133), INDEX($AO$23:$AU$61,,$AD133), 1 / ($AV$23:$AV$61*CM133), N($AK$23:$AK$61&gt;$AI133)),
SUMPRODUCT(INDEX($AL$23:$AN$46,,$AE133), INDEX($AO$23:$AU$46,,$AD133), 1 / ($AW$23:$AW$46*CM133), N($AK$23:$AK$46&gt;$AI133))
) / 1000</f>
        <v>0</v>
      </c>
      <c r="CP133" s="237">
        <f t="shared" si="392"/>
        <v>0</v>
      </c>
      <c r="CQ133" s="210"/>
    </row>
    <row r="134" spans="1:95" s="76" customFormat="1" ht="14.25" customHeight="1" x14ac:dyDescent="0.2">
      <c r="A134" s="238" t="b">
        <f t="shared" si="227"/>
        <v>0</v>
      </c>
      <c r="B134" s="239">
        <v>112</v>
      </c>
      <c r="C134" s="258"/>
      <c r="D134" s="258"/>
      <c r="E134" s="240"/>
      <c r="F134" s="241" t="str">
        <f>IF(ISBLANK(E134), "", VLOOKUP(E134, Z!$A$2:$C$4127, 3, FALSE))</f>
        <v/>
      </c>
      <c r="G134" s="242"/>
      <c r="H134" s="242"/>
      <c r="I134" s="243"/>
      <c r="J134" s="244"/>
      <c r="K134" s="259"/>
      <c r="L134" s="260"/>
      <c r="M134" s="247" t="str" cm="1">
        <f t="array" ref="M134">IF($K134&gt;0, INDEX(Clean,1+AG134,$C$1), "")</f>
        <v/>
      </c>
      <c r="N134" s="245"/>
      <c r="O134" s="245"/>
      <c r="P134" s="246"/>
      <c r="Q134" s="248">
        <f t="shared" si="369"/>
        <v>0</v>
      </c>
      <c r="R134" s="247" t="str" cm="1">
        <f t="array" ref="R134">IF($K134&gt;0, INDEX(Clean,1+AH134,$C$1), "")</f>
        <v/>
      </c>
      <c r="S134" s="245"/>
      <c r="T134" s="245"/>
      <c r="U134" s="246"/>
      <c r="V134" s="248">
        <f t="shared" si="370"/>
        <v>0</v>
      </c>
      <c r="W134" s="261"/>
      <c r="X134" s="258"/>
      <c r="Y134" s="240"/>
      <c r="Z134" s="241" t="str">
        <f>IF(ISBLANK(Y134), "", VLOOKUP(Y134, Z!$A$2:$C$4127, 3, FALSE))</f>
        <v/>
      </c>
      <c r="AA134" s="262"/>
      <c r="AB134" s="249">
        <f t="shared" si="234"/>
        <v>0</v>
      </c>
      <c r="AC134" s="210"/>
      <c r="AD134" s="236">
        <f t="shared" si="393"/>
        <v>1</v>
      </c>
      <c r="AE134" s="236">
        <f t="shared" si="394"/>
        <v>1</v>
      </c>
      <c r="AF134" s="236">
        <f t="shared" si="395"/>
        <v>0</v>
      </c>
      <c r="AG134" s="236">
        <v>1</v>
      </c>
      <c r="AH134" s="236">
        <v>0</v>
      </c>
      <c r="AI134" s="236">
        <f t="shared" si="371"/>
        <v>-100</v>
      </c>
      <c r="AJ134" s="210"/>
      <c r="AK134" s="254"/>
      <c r="AL134" s="254"/>
      <c r="AM134" s="255"/>
      <c r="AN134" s="255"/>
      <c r="AO134" s="255"/>
      <c r="AP134" s="255"/>
      <c r="AQ134" s="255"/>
      <c r="AR134" s="255"/>
      <c r="AS134" s="255"/>
      <c r="AT134" s="255"/>
      <c r="AU134" s="255"/>
      <c r="AV134" s="255"/>
      <c r="AW134" s="255"/>
      <c r="AX134" s="210"/>
      <c r="AY134" s="236" cm="1">
        <f t="array" ref="AY134">INDEX(Use, $AD134, 4)</f>
        <v>7</v>
      </c>
      <c r="AZ134" s="236">
        <f t="shared" si="372"/>
        <v>32</v>
      </c>
      <c r="BA134" s="236">
        <f t="shared" si="239"/>
        <v>13</v>
      </c>
      <c r="BB134" s="236">
        <f t="shared" si="240"/>
        <v>0</v>
      </c>
      <c r="BC134" s="252" cm="1">
        <f t="array" ref="BC134">K134/IF($L134&gt;0, INDEX($AO$23:$AU$77, $L134+20, $AD134), 1)</f>
        <v>0</v>
      </c>
      <c r="BD134" s="237">
        <f t="shared" si="373"/>
        <v>0</v>
      </c>
      <c r="BE134" s="236">
        <v>35</v>
      </c>
      <c r="BF134" s="237">
        <f t="shared" si="374"/>
        <v>52.55</v>
      </c>
      <c r="BG134" s="253">
        <f t="shared" si="375"/>
        <v>2.7676728869374316</v>
      </c>
      <c r="BH134" s="253" cm="1">
        <f t="array" ref="BH134">$BC134 * SUMPRODUCT(INDEX($AL$77:$AN$82,,$AE134),INDEX($AO$77:$AU$82,,$AD134), N($AK$77:$AK$82&gt;$AI134)) / BG134 / 1000</f>
        <v>0</v>
      </c>
      <c r="BI134" s="250">
        <f t="shared" si="244"/>
        <v>30</v>
      </c>
      <c r="BJ134" s="237">
        <f t="shared" si="376"/>
        <v>46.033333333333331</v>
      </c>
      <c r="BK134" s="253">
        <f t="shared" si="377"/>
        <v>3.2297395388556791</v>
      </c>
      <c r="BL134" s="253" cm="1">
        <f t="array" ref="BL134">$BC134 * IF($AD134&lt;=2,
SUMPRODUCT(INDEX($AL$72:$AN$76,,$AE134), INDEX($AO$72:$AU$76,,$AD134), 1 / ($AV$72:$AV$76*BK134 + (1-$AV$72:$AV$76)*BG134), N($AK$72:$AK$76&gt;$AI134)),
SUMPRODUCT(INDEX($AL$67:$AN$76,,$AE134), INDEX($AO$67:$AU$76,,$AD134), 1 / ($AW$67:$AW$76*BK134 + (1-$AW$67:$AW$76)*BG134), N($AK$67:$AK$76&gt;$AI134))
) / 1000</f>
        <v>0</v>
      </c>
      <c r="BM134" s="250">
        <f t="shared" si="247"/>
        <v>25</v>
      </c>
      <c r="BN134" s="237">
        <f t="shared" si="378"/>
        <v>39.516666666666666</v>
      </c>
      <c r="BO134" s="253">
        <f t="shared" si="379"/>
        <v>3.877011788826243</v>
      </c>
      <c r="BP134" s="253" cm="1">
        <f t="array" ref="BP134">$BC134 * IF($AD134&lt;=2,
SUMPRODUCT(INDEX($AL$67:$AN$71,,$AE134), INDEX($AO$67:$AU$71,,$AD134), 1 / ($AV$67:$AV$71*BO134 + (1-$AV$67:$AV$71)*BK134), N($AK$67:$AK$71&gt;$AI134)),
SUMPRODUCT(INDEX($AL$57:$AN$66,,$AE134), INDEX($AO$57:$AU$66,,$AD134), 1 / ($AW$57:$AW$66*BO134 + (1-$AW$57:$AW$66)*BK134), N($AK$57:$AK$66&gt;$AI134))
) / 1000</f>
        <v>0</v>
      </c>
      <c r="BQ134" s="250">
        <f t="shared" si="250"/>
        <v>20</v>
      </c>
      <c r="BR134" s="237">
        <f t="shared" si="380"/>
        <v>33</v>
      </c>
      <c r="BS134" s="253">
        <f t="shared" si="381"/>
        <v>4.8487499999999999</v>
      </c>
      <c r="BT134" s="253" cm="1">
        <f t="array" ref="BT134">$BC134 * IF($AD134&lt;=2,
SUMPRODUCT(INDEX($AL$62:$AN$66,,$AE134), INDEX($AO$62:$AU$66,,$AD134), 1 / ($AV$62:$AV$66*BS134 + (1-$AV$62:$AV$66)*BO134), N($AK$62:$AK$66&gt;$AI134)),
SUMPRODUCT(INDEX($AL$47:$AN$56,,$AE134), INDEX($AO$47:$AU$56,,$AD134), 1 / ($AW$47:$AW$56*BS134 + (1-$AW$47:$AW$56)*BO134), N($AK$47:$AK$56&gt;$AI134))
) / 1000</f>
        <v>0</v>
      </c>
      <c r="BU134" s="253" cm="1">
        <f t="array" ref="BU134">$BC134 * IF($AD134&lt;=2,
SUMPRODUCT(INDEX($AL$23:$AN$61,,$AE134), INDEX($AO$23:$AU$61,,$AD134), 1 / ($AV$23:$AV$61*BS134), N($AK$23:$AK$61&gt;$AI134)),
SUMPRODUCT(INDEX($AL$23:$AN$46,,$AE134), INDEX($AO$23:$AU$46,,$AD134), 1 / ($AW$23:$AW$46*BS134), N($AK$23:$AK$46&gt;$AI134))
) / 1000</f>
        <v>0</v>
      </c>
      <c r="BV134" s="237">
        <f t="shared" si="382"/>
        <v>0</v>
      </c>
      <c r="BW134" s="210"/>
      <c r="BX134" s="237">
        <f t="shared" si="383"/>
        <v>0</v>
      </c>
      <c r="BY134" s="236">
        <v>35</v>
      </c>
      <c r="BZ134" s="237">
        <f t="shared" si="384"/>
        <v>48</v>
      </c>
      <c r="CA134" s="253">
        <f t="shared" si="385"/>
        <v>3.0748170731707316</v>
      </c>
      <c r="CB134" s="253" cm="1">
        <f t="array" ref="CB134">$BC134 * SUMPRODUCT(INDEX($AL$77:$AN$82,,$AE134),INDEX($AO$77:$AU$82,,$AD134), N($AK$77:$AK$82&gt;$AI134)) / CA134 / 1000</f>
        <v>0</v>
      </c>
      <c r="CC134" s="250">
        <f t="shared" si="257"/>
        <v>30</v>
      </c>
      <c r="CD134" s="237">
        <f t="shared" si="386"/>
        <v>43</v>
      </c>
      <c r="CE134" s="253">
        <f t="shared" si="387"/>
        <v>3.5018750000000001</v>
      </c>
      <c r="CF134" s="253" cm="1">
        <f t="array" ref="CF134">$BC134 * IF($AD134&lt;=2,
SUMPRODUCT(INDEX($AL$72:$AN$76,,$AE134), INDEX($AO$72:$AU$76,,$AD134), 1 / ($AV$72:$AV$76*CE134 + (1-$AV$72:$AV$76)*CA134), N($AK$72:$AK$76&gt;$AI134)),
SUMPRODUCT(INDEX($AL$67:$AN$76,,$AE134), INDEX($AO$67:$AU$76,,$AD134), 1 / ($AW$67:$AW$76*CE134 + (1-$AW$67:$AW$76)*CA134), N($AK$67:$AK$76&gt;$AI134))
) / 1000</f>
        <v>0</v>
      </c>
      <c r="CG134" s="250">
        <f t="shared" si="260"/>
        <v>25</v>
      </c>
      <c r="CH134" s="237">
        <f t="shared" si="388"/>
        <v>38</v>
      </c>
      <c r="CI134" s="253">
        <f t="shared" si="389"/>
        <v>4.0666935483870965</v>
      </c>
      <c r="CJ134" s="253" cm="1">
        <f t="array" ref="CJ134">$BC134 * IF($AD134&lt;=2,
SUMPRODUCT(INDEX($AL$67:$AN$71,,$AE134), INDEX($AO$67:$AU$71,,$AD134), 1 / ($AV$67:$AV$71*CI134 + (1-$AV$67:$AV$71)*CE134), N($AK$67:$AK$71&gt;$AI134)),
SUMPRODUCT(INDEX($AL$57:$AN$66,,$AE134), INDEX($AO$57:$AU$66,,$AD134), 1 / ($AW$57:$AW$66*CI134 + (1-$AW$57:$AW$66)*CE134), N($AK$57:$AK$66&gt;$AI134))
) / 1000</f>
        <v>0</v>
      </c>
      <c r="CK134" s="250">
        <f t="shared" si="263"/>
        <v>20</v>
      </c>
      <c r="CL134" s="237">
        <f t="shared" si="390"/>
        <v>33</v>
      </c>
      <c r="CM134" s="253">
        <f t="shared" si="391"/>
        <v>4.8487499999999999</v>
      </c>
      <c r="CN134" s="253" cm="1">
        <f t="array" ref="CN134">$BC134 * IF($AD134&lt;=2,
SUMPRODUCT(INDEX($AL$62:$AN$66,,$AE134), INDEX($AO$62:$AU$66,,$AD134), 1 / ($AV$62:$AV$66*CM134 + (1-$AV$62:$AV$66)*CI134), N($AK$62:$AK$66&gt;$AI134)),
SUMPRODUCT(INDEX($AL$47:$AN$56,,$AE134), INDEX($AO$47:$AU$56,,$AD134), 1 / ($AW$47:$AW$56*CM134 + (1-$AW$47:$AW$56)*CI134), N($AK$47:$AK$56&gt;$AI134))
) / 1000</f>
        <v>0</v>
      </c>
      <c r="CO134" s="253" cm="1">
        <f t="array" ref="CO134">$BC134 * IF($AD134&lt;=2,
SUMPRODUCT(INDEX($AL$23:$AN$61,,$AE134), INDEX($AO$23:$AU$61,,$AD134), 1 / ($AV$23:$AV$61*CM134), N($AK$23:$AK$61&gt;$AI134)),
SUMPRODUCT(INDEX($AL$23:$AN$46,,$AE134), INDEX($AO$23:$AU$46,,$AD134), 1 / ($AW$23:$AW$46*CM134), N($AK$23:$AK$46&gt;$AI134))
) / 1000</f>
        <v>0</v>
      </c>
      <c r="CP134" s="237">
        <f t="shared" si="392"/>
        <v>0</v>
      </c>
      <c r="CQ134" s="210"/>
    </row>
    <row r="135" spans="1:95" s="76" customFormat="1" ht="14.25" customHeight="1" x14ac:dyDescent="0.2">
      <c r="A135" s="238" t="b">
        <f t="shared" si="227"/>
        <v>0</v>
      </c>
      <c r="B135" s="239">
        <v>113</v>
      </c>
      <c r="C135" s="258"/>
      <c r="D135" s="258"/>
      <c r="E135" s="240"/>
      <c r="F135" s="241" t="str">
        <f>IF(ISBLANK(E135), "", VLOOKUP(E135, Z!$A$2:$C$4127, 3, FALSE))</f>
        <v/>
      </c>
      <c r="G135" s="242"/>
      <c r="H135" s="242"/>
      <c r="I135" s="243"/>
      <c r="J135" s="244"/>
      <c r="K135" s="259"/>
      <c r="L135" s="260"/>
      <c r="M135" s="247" t="str" cm="1">
        <f t="array" ref="M135">IF($K135&gt;0, INDEX(Clean,1+AG135,$C$1), "")</f>
        <v/>
      </c>
      <c r="N135" s="245"/>
      <c r="O135" s="245"/>
      <c r="P135" s="246"/>
      <c r="Q135" s="248">
        <f t="shared" si="369"/>
        <v>0</v>
      </c>
      <c r="R135" s="247" t="str" cm="1">
        <f t="array" ref="R135">IF($K135&gt;0, INDEX(Clean,1+AH135,$C$1), "")</f>
        <v/>
      </c>
      <c r="S135" s="245"/>
      <c r="T135" s="245"/>
      <c r="U135" s="246"/>
      <c r="V135" s="248">
        <f t="shared" si="370"/>
        <v>0</v>
      </c>
      <c r="W135" s="261"/>
      <c r="X135" s="258"/>
      <c r="Y135" s="240"/>
      <c r="Z135" s="241" t="str">
        <f>IF(ISBLANK(Y135), "", VLOOKUP(Y135, Z!$A$2:$C$4127, 3, FALSE))</f>
        <v/>
      </c>
      <c r="AA135" s="262"/>
      <c r="AB135" s="249">
        <f t="shared" si="234"/>
        <v>0</v>
      </c>
      <c r="AC135" s="210"/>
      <c r="AD135" s="236">
        <f t="shared" si="393"/>
        <v>1</v>
      </c>
      <c r="AE135" s="236">
        <f t="shared" si="394"/>
        <v>1</v>
      </c>
      <c r="AF135" s="236">
        <f t="shared" si="395"/>
        <v>0</v>
      </c>
      <c r="AG135" s="236">
        <v>1</v>
      </c>
      <c r="AH135" s="236">
        <v>0</v>
      </c>
      <c r="AI135" s="236">
        <f t="shared" si="371"/>
        <v>-100</v>
      </c>
      <c r="AJ135" s="210"/>
      <c r="AK135" s="254"/>
      <c r="AL135" s="254"/>
      <c r="AM135" s="255"/>
      <c r="AN135" s="255"/>
      <c r="AO135" s="255"/>
      <c r="AP135" s="255"/>
      <c r="AQ135" s="255"/>
      <c r="AR135" s="255"/>
      <c r="AS135" s="255"/>
      <c r="AT135" s="255"/>
      <c r="AU135" s="255"/>
      <c r="AV135" s="255"/>
      <c r="AW135" s="255"/>
      <c r="AX135" s="210"/>
      <c r="AY135" s="236" cm="1">
        <f t="array" ref="AY135">INDEX(Use, $AD135, 4)</f>
        <v>7</v>
      </c>
      <c r="AZ135" s="236">
        <f t="shared" si="372"/>
        <v>32</v>
      </c>
      <c r="BA135" s="236">
        <f t="shared" si="239"/>
        <v>13</v>
      </c>
      <c r="BB135" s="236">
        <f t="shared" si="240"/>
        <v>0</v>
      </c>
      <c r="BC135" s="252" cm="1">
        <f t="array" ref="BC135">K135/IF($L135&gt;0, INDEX($AO$23:$AU$77, $L135+20, $AD135), 1)</f>
        <v>0</v>
      </c>
      <c r="BD135" s="237">
        <f t="shared" si="373"/>
        <v>0</v>
      </c>
      <c r="BE135" s="236">
        <v>35</v>
      </c>
      <c r="BF135" s="237">
        <f t="shared" si="374"/>
        <v>52.55</v>
      </c>
      <c r="BG135" s="253">
        <f t="shared" si="375"/>
        <v>2.7676728869374316</v>
      </c>
      <c r="BH135" s="253" cm="1">
        <f t="array" ref="BH135">$BC135 * SUMPRODUCT(INDEX($AL$77:$AN$82,,$AE135),INDEX($AO$77:$AU$82,,$AD135), N($AK$77:$AK$82&gt;$AI135)) / BG135 / 1000</f>
        <v>0</v>
      </c>
      <c r="BI135" s="250">
        <f t="shared" si="244"/>
        <v>30</v>
      </c>
      <c r="BJ135" s="237">
        <f t="shared" si="376"/>
        <v>46.033333333333331</v>
      </c>
      <c r="BK135" s="253">
        <f t="shared" si="377"/>
        <v>3.2297395388556791</v>
      </c>
      <c r="BL135" s="253" cm="1">
        <f t="array" ref="BL135">$BC135 * IF($AD135&lt;=2,
SUMPRODUCT(INDEX($AL$72:$AN$76,,$AE135), INDEX($AO$72:$AU$76,,$AD135), 1 / ($AV$72:$AV$76*BK135 + (1-$AV$72:$AV$76)*BG135), N($AK$72:$AK$76&gt;$AI135)),
SUMPRODUCT(INDEX($AL$67:$AN$76,,$AE135), INDEX($AO$67:$AU$76,,$AD135), 1 / ($AW$67:$AW$76*BK135 + (1-$AW$67:$AW$76)*BG135), N($AK$67:$AK$76&gt;$AI135))
) / 1000</f>
        <v>0</v>
      </c>
      <c r="BM135" s="250">
        <f t="shared" si="247"/>
        <v>25</v>
      </c>
      <c r="BN135" s="237">
        <f t="shared" si="378"/>
        <v>39.516666666666666</v>
      </c>
      <c r="BO135" s="253">
        <f t="shared" si="379"/>
        <v>3.877011788826243</v>
      </c>
      <c r="BP135" s="253" cm="1">
        <f t="array" ref="BP135">$BC135 * IF($AD135&lt;=2,
SUMPRODUCT(INDEX($AL$67:$AN$71,,$AE135), INDEX($AO$67:$AU$71,,$AD135), 1 / ($AV$67:$AV$71*BO135 + (1-$AV$67:$AV$71)*BK135), N($AK$67:$AK$71&gt;$AI135)),
SUMPRODUCT(INDEX($AL$57:$AN$66,,$AE135), INDEX($AO$57:$AU$66,,$AD135), 1 / ($AW$57:$AW$66*BO135 + (1-$AW$57:$AW$66)*BK135), N($AK$57:$AK$66&gt;$AI135))
) / 1000</f>
        <v>0</v>
      </c>
      <c r="BQ135" s="250">
        <f t="shared" si="250"/>
        <v>20</v>
      </c>
      <c r="BR135" s="237">
        <f t="shared" si="380"/>
        <v>33</v>
      </c>
      <c r="BS135" s="253">
        <f t="shared" si="381"/>
        <v>4.8487499999999999</v>
      </c>
      <c r="BT135" s="253" cm="1">
        <f t="array" ref="BT135">$BC135 * IF($AD135&lt;=2,
SUMPRODUCT(INDEX($AL$62:$AN$66,,$AE135), INDEX($AO$62:$AU$66,,$AD135), 1 / ($AV$62:$AV$66*BS135 + (1-$AV$62:$AV$66)*BO135), N($AK$62:$AK$66&gt;$AI135)),
SUMPRODUCT(INDEX($AL$47:$AN$56,,$AE135), INDEX($AO$47:$AU$56,,$AD135), 1 / ($AW$47:$AW$56*BS135 + (1-$AW$47:$AW$56)*BO135), N($AK$47:$AK$56&gt;$AI135))
) / 1000</f>
        <v>0</v>
      </c>
      <c r="BU135" s="253" cm="1">
        <f t="array" ref="BU135">$BC135 * IF($AD135&lt;=2,
SUMPRODUCT(INDEX($AL$23:$AN$61,,$AE135), INDEX($AO$23:$AU$61,,$AD135), 1 / ($AV$23:$AV$61*BS135), N($AK$23:$AK$61&gt;$AI135)),
SUMPRODUCT(INDEX($AL$23:$AN$46,,$AE135), INDEX($AO$23:$AU$46,,$AD135), 1 / ($AW$23:$AW$46*BS135), N($AK$23:$AK$46&gt;$AI135))
) / 1000</f>
        <v>0</v>
      </c>
      <c r="BV135" s="237">
        <f t="shared" si="382"/>
        <v>0</v>
      </c>
      <c r="BW135" s="210"/>
      <c r="BX135" s="237">
        <f t="shared" si="383"/>
        <v>0</v>
      </c>
      <c r="BY135" s="236">
        <v>35</v>
      </c>
      <c r="BZ135" s="237">
        <f t="shared" si="384"/>
        <v>48</v>
      </c>
      <c r="CA135" s="253">
        <f t="shared" si="385"/>
        <v>3.0748170731707316</v>
      </c>
      <c r="CB135" s="253" cm="1">
        <f t="array" ref="CB135">$BC135 * SUMPRODUCT(INDEX($AL$77:$AN$82,,$AE135),INDEX($AO$77:$AU$82,,$AD135), N($AK$77:$AK$82&gt;$AI135)) / CA135 / 1000</f>
        <v>0</v>
      </c>
      <c r="CC135" s="250">
        <f t="shared" si="257"/>
        <v>30</v>
      </c>
      <c r="CD135" s="237">
        <f t="shared" si="386"/>
        <v>43</v>
      </c>
      <c r="CE135" s="253">
        <f t="shared" si="387"/>
        <v>3.5018750000000001</v>
      </c>
      <c r="CF135" s="253" cm="1">
        <f t="array" ref="CF135">$BC135 * IF($AD135&lt;=2,
SUMPRODUCT(INDEX($AL$72:$AN$76,,$AE135), INDEX($AO$72:$AU$76,,$AD135), 1 / ($AV$72:$AV$76*CE135 + (1-$AV$72:$AV$76)*CA135), N($AK$72:$AK$76&gt;$AI135)),
SUMPRODUCT(INDEX($AL$67:$AN$76,,$AE135), INDEX($AO$67:$AU$76,,$AD135), 1 / ($AW$67:$AW$76*CE135 + (1-$AW$67:$AW$76)*CA135), N($AK$67:$AK$76&gt;$AI135))
) / 1000</f>
        <v>0</v>
      </c>
      <c r="CG135" s="250">
        <f t="shared" si="260"/>
        <v>25</v>
      </c>
      <c r="CH135" s="237">
        <f t="shared" si="388"/>
        <v>38</v>
      </c>
      <c r="CI135" s="253">
        <f t="shared" si="389"/>
        <v>4.0666935483870965</v>
      </c>
      <c r="CJ135" s="253" cm="1">
        <f t="array" ref="CJ135">$BC135 * IF($AD135&lt;=2,
SUMPRODUCT(INDEX($AL$67:$AN$71,,$AE135), INDEX($AO$67:$AU$71,,$AD135), 1 / ($AV$67:$AV$71*CI135 + (1-$AV$67:$AV$71)*CE135), N($AK$67:$AK$71&gt;$AI135)),
SUMPRODUCT(INDEX($AL$57:$AN$66,,$AE135), INDEX($AO$57:$AU$66,,$AD135), 1 / ($AW$57:$AW$66*CI135 + (1-$AW$57:$AW$66)*CE135), N($AK$57:$AK$66&gt;$AI135))
) / 1000</f>
        <v>0</v>
      </c>
      <c r="CK135" s="250">
        <f t="shared" si="263"/>
        <v>20</v>
      </c>
      <c r="CL135" s="237">
        <f t="shared" si="390"/>
        <v>33</v>
      </c>
      <c r="CM135" s="253">
        <f t="shared" si="391"/>
        <v>4.8487499999999999</v>
      </c>
      <c r="CN135" s="253" cm="1">
        <f t="array" ref="CN135">$BC135 * IF($AD135&lt;=2,
SUMPRODUCT(INDEX($AL$62:$AN$66,,$AE135), INDEX($AO$62:$AU$66,,$AD135), 1 / ($AV$62:$AV$66*CM135 + (1-$AV$62:$AV$66)*CI135), N($AK$62:$AK$66&gt;$AI135)),
SUMPRODUCT(INDEX($AL$47:$AN$56,,$AE135), INDEX($AO$47:$AU$56,,$AD135), 1 / ($AW$47:$AW$56*CM135 + (1-$AW$47:$AW$56)*CI135), N($AK$47:$AK$56&gt;$AI135))
) / 1000</f>
        <v>0</v>
      </c>
      <c r="CO135" s="253" cm="1">
        <f t="array" ref="CO135">$BC135 * IF($AD135&lt;=2,
SUMPRODUCT(INDEX($AL$23:$AN$61,,$AE135), INDEX($AO$23:$AU$61,,$AD135), 1 / ($AV$23:$AV$61*CM135), N($AK$23:$AK$61&gt;$AI135)),
SUMPRODUCT(INDEX($AL$23:$AN$46,,$AE135), INDEX($AO$23:$AU$46,,$AD135), 1 / ($AW$23:$AW$46*CM135), N($AK$23:$AK$46&gt;$AI135))
) / 1000</f>
        <v>0</v>
      </c>
      <c r="CP135" s="237">
        <f t="shared" si="392"/>
        <v>0</v>
      </c>
      <c r="CQ135" s="210"/>
    </row>
    <row r="136" spans="1:95" s="76" customFormat="1" ht="14.25" customHeight="1" x14ac:dyDescent="0.2">
      <c r="A136" s="238" t="b">
        <f t="shared" si="227"/>
        <v>0</v>
      </c>
      <c r="B136" s="239">
        <v>114</v>
      </c>
      <c r="C136" s="258"/>
      <c r="D136" s="258"/>
      <c r="E136" s="240"/>
      <c r="F136" s="241" t="str">
        <f>IF(ISBLANK(E136), "", VLOOKUP(E136, Z!$A$2:$C$4127, 3, FALSE))</f>
        <v/>
      </c>
      <c r="G136" s="242"/>
      <c r="H136" s="242"/>
      <c r="I136" s="243"/>
      <c r="J136" s="244"/>
      <c r="K136" s="259"/>
      <c r="L136" s="260"/>
      <c r="M136" s="247" t="str" cm="1">
        <f t="array" ref="M136">IF($K136&gt;0, INDEX(Clean,1+AG136,$C$1), "")</f>
        <v/>
      </c>
      <c r="N136" s="245"/>
      <c r="O136" s="245"/>
      <c r="P136" s="246"/>
      <c r="Q136" s="248">
        <f t="shared" si="369"/>
        <v>0</v>
      </c>
      <c r="R136" s="247" t="str" cm="1">
        <f t="array" ref="R136">IF($K136&gt;0, INDEX(Clean,1+AH136,$C$1), "")</f>
        <v/>
      </c>
      <c r="S136" s="245"/>
      <c r="T136" s="245"/>
      <c r="U136" s="246"/>
      <c r="V136" s="248">
        <f t="shared" si="370"/>
        <v>0</v>
      </c>
      <c r="W136" s="261"/>
      <c r="X136" s="258"/>
      <c r="Y136" s="240"/>
      <c r="Z136" s="241" t="str">
        <f>IF(ISBLANK(Y136), "", VLOOKUP(Y136, Z!$A$2:$C$4127, 3, FALSE))</f>
        <v/>
      </c>
      <c r="AA136" s="262"/>
      <c r="AB136" s="249">
        <f t="shared" si="234"/>
        <v>0</v>
      </c>
      <c r="AC136" s="210"/>
      <c r="AD136" s="236">
        <f t="shared" si="393"/>
        <v>1</v>
      </c>
      <c r="AE136" s="236">
        <f t="shared" si="394"/>
        <v>1</v>
      </c>
      <c r="AF136" s="236">
        <f t="shared" si="395"/>
        <v>0</v>
      </c>
      <c r="AG136" s="236">
        <v>1</v>
      </c>
      <c r="AH136" s="236">
        <v>0</v>
      </c>
      <c r="AI136" s="236">
        <f t="shared" si="371"/>
        <v>-100</v>
      </c>
      <c r="AJ136" s="210"/>
      <c r="AK136" s="254"/>
      <c r="AL136" s="254"/>
      <c r="AM136" s="255"/>
      <c r="AN136" s="255"/>
      <c r="AO136" s="255"/>
      <c r="AP136" s="255"/>
      <c r="AQ136" s="255"/>
      <c r="AR136" s="255"/>
      <c r="AS136" s="255"/>
      <c r="AT136" s="255"/>
      <c r="AU136" s="255"/>
      <c r="AV136" s="255"/>
      <c r="AW136" s="255"/>
      <c r="AX136" s="210"/>
      <c r="AY136" s="236" cm="1">
        <f t="array" ref="AY136">INDEX(Use, $AD136, 4)</f>
        <v>7</v>
      </c>
      <c r="AZ136" s="236">
        <f t="shared" si="372"/>
        <v>32</v>
      </c>
      <c r="BA136" s="236">
        <f t="shared" si="239"/>
        <v>13</v>
      </c>
      <c r="BB136" s="236">
        <f t="shared" si="240"/>
        <v>0</v>
      </c>
      <c r="BC136" s="252" cm="1">
        <f t="array" ref="BC136">K136/IF($L136&gt;0, INDEX($AO$23:$AU$77, $L136+20, $AD136), 1)</f>
        <v>0</v>
      </c>
      <c r="BD136" s="237">
        <f t="shared" si="373"/>
        <v>0</v>
      </c>
      <c r="BE136" s="236">
        <v>35</v>
      </c>
      <c r="BF136" s="237">
        <f t="shared" si="374"/>
        <v>52.55</v>
      </c>
      <c r="BG136" s="253">
        <f t="shared" si="375"/>
        <v>2.7676728869374316</v>
      </c>
      <c r="BH136" s="253" cm="1">
        <f t="array" ref="BH136">$BC136 * SUMPRODUCT(INDEX($AL$77:$AN$82,,$AE136),INDEX($AO$77:$AU$82,,$AD136), N($AK$77:$AK$82&gt;$AI136)) / BG136 / 1000</f>
        <v>0</v>
      </c>
      <c r="BI136" s="250">
        <f t="shared" si="244"/>
        <v>30</v>
      </c>
      <c r="BJ136" s="237">
        <f t="shared" si="376"/>
        <v>46.033333333333331</v>
      </c>
      <c r="BK136" s="253">
        <f t="shared" si="377"/>
        <v>3.2297395388556791</v>
      </c>
      <c r="BL136" s="253" cm="1">
        <f t="array" ref="BL136">$BC136 * IF($AD136&lt;=2,
SUMPRODUCT(INDEX($AL$72:$AN$76,,$AE136), INDEX($AO$72:$AU$76,,$AD136), 1 / ($AV$72:$AV$76*BK136 + (1-$AV$72:$AV$76)*BG136), N($AK$72:$AK$76&gt;$AI136)),
SUMPRODUCT(INDEX($AL$67:$AN$76,,$AE136), INDEX($AO$67:$AU$76,,$AD136), 1 / ($AW$67:$AW$76*BK136 + (1-$AW$67:$AW$76)*BG136), N($AK$67:$AK$76&gt;$AI136))
) / 1000</f>
        <v>0</v>
      </c>
      <c r="BM136" s="250">
        <f t="shared" si="247"/>
        <v>25</v>
      </c>
      <c r="BN136" s="237">
        <f t="shared" si="378"/>
        <v>39.516666666666666</v>
      </c>
      <c r="BO136" s="253">
        <f t="shared" si="379"/>
        <v>3.877011788826243</v>
      </c>
      <c r="BP136" s="253" cm="1">
        <f t="array" ref="BP136">$BC136 * IF($AD136&lt;=2,
SUMPRODUCT(INDEX($AL$67:$AN$71,,$AE136), INDEX($AO$67:$AU$71,,$AD136), 1 / ($AV$67:$AV$71*BO136 + (1-$AV$67:$AV$71)*BK136), N($AK$67:$AK$71&gt;$AI136)),
SUMPRODUCT(INDEX($AL$57:$AN$66,,$AE136), INDEX($AO$57:$AU$66,,$AD136), 1 / ($AW$57:$AW$66*BO136 + (1-$AW$57:$AW$66)*BK136), N($AK$57:$AK$66&gt;$AI136))
) / 1000</f>
        <v>0</v>
      </c>
      <c r="BQ136" s="250">
        <f t="shared" si="250"/>
        <v>20</v>
      </c>
      <c r="BR136" s="237">
        <f t="shared" si="380"/>
        <v>33</v>
      </c>
      <c r="BS136" s="253">
        <f t="shared" si="381"/>
        <v>4.8487499999999999</v>
      </c>
      <c r="BT136" s="253" cm="1">
        <f t="array" ref="BT136">$BC136 * IF($AD136&lt;=2,
SUMPRODUCT(INDEX($AL$62:$AN$66,,$AE136), INDEX($AO$62:$AU$66,,$AD136), 1 / ($AV$62:$AV$66*BS136 + (1-$AV$62:$AV$66)*BO136), N($AK$62:$AK$66&gt;$AI136)),
SUMPRODUCT(INDEX($AL$47:$AN$56,,$AE136), INDEX($AO$47:$AU$56,,$AD136), 1 / ($AW$47:$AW$56*BS136 + (1-$AW$47:$AW$56)*BO136), N($AK$47:$AK$56&gt;$AI136))
) / 1000</f>
        <v>0</v>
      </c>
      <c r="BU136" s="253" cm="1">
        <f t="array" ref="BU136">$BC136 * IF($AD136&lt;=2,
SUMPRODUCT(INDEX($AL$23:$AN$61,,$AE136), INDEX($AO$23:$AU$61,,$AD136), 1 / ($AV$23:$AV$61*BS136), N($AK$23:$AK$61&gt;$AI136)),
SUMPRODUCT(INDEX($AL$23:$AN$46,,$AE136), INDEX($AO$23:$AU$46,,$AD136), 1 / ($AW$23:$AW$46*BS136), N($AK$23:$AK$46&gt;$AI136))
) / 1000</f>
        <v>0</v>
      </c>
      <c r="BV136" s="237">
        <f t="shared" si="382"/>
        <v>0</v>
      </c>
      <c r="BW136" s="210"/>
      <c r="BX136" s="237">
        <f t="shared" si="383"/>
        <v>0</v>
      </c>
      <c r="BY136" s="236">
        <v>35</v>
      </c>
      <c r="BZ136" s="237">
        <f t="shared" si="384"/>
        <v>48</v>
      </c>
      <c r="CA136" s="253">
        <f t="shared" si="385"/>
        <v>3.0748170731707316</v>
      </c>
      <c r="CB136" s="253" cm="1">
        <f t="array" ref="CB136">$BC136 * SUMPRODUCT(INDEX($AL$77:$AN$82,,$AE136),INDEX($AO$77:$AU$82,,$AD136), N($AK$77:$AK$82&gt;$AI136)) / CA136 / 1000</f>
        <v>0</v>
      </c>
      <c r="CC136" s="250">
        <f t="shared" si="257"/>
        <v>30</v>
      </c>
      <c r="CD136" s="237">
        <f t="shared" si="386"/>
        <v>43</v>
      </c>
      <c r="CE136" s="253">
        <f t="shared" si="387"/>
        <v>3.5018750000000001</v>
      </c>
      <c r="CF136" s="253" cm="1">
        <f t="array" ref="CF136">$BC136 * IF($AD136&lt;=2,
SUMPRODUCT(INDEX($AL$72:$AN$76,,$AE136), INDEX($AO$72:$AU$76,,$AD136), 1 / ($AV$72:$AV$76*CE136 + (1-$AV$72:$AV$76)*CA136), N($AK$72:$AK$76&gt;$AI136)),
SUMPRODUCT(INDEX($AL$67:$AN$76,,$AE136), INDEX($AO$67:$AU$76,,$AD136), 1 / ($AW$67:$AW$76*CE136 + (1-$AW$67:$AW$76)*CA136), N($AK$67:$AK$76&gt;$AI136))
) / 1000</f>
        <v>0</v>
      </c>
      <c r="CG136" s="250">
        <f t="shared" si="260"/>
        <v>25</v>
      </c>
      <c r="CH136" s="237">
        <f t="shared" si="388"/>
        <v>38</v>
      </c>
      <c r="CI136" s="253">
        <f t="shared" si="389"/>
        <v>4.0666935483870965</v>
      </c>
      <c r="CJ136" s="253" cm="1">
        <f t="array" ref="CJ136">$BC136 * IF($AD136&lt;=2,
SUMPRODUCT(INDEX($AL$67:$AN$71,,$AE136), INDEX($AO$67:$AU$71,,$AD136), 1 / ($AV$67:$AV$71*CI136 + (1-$AV$67:$AV$71)*CE136), N($AK$67:$AK$71&gt;$AI136)),
SUMPRODUCT(INDEX($AL$57:$AN$66,,$AE136), INDEX($AO$57:$AU$66,,$AD136), 1 / ($AW$57:$AW$66*CI136 + (1-$AW$57:$AW$66)*CE136), N($AK$57:$AK$66&gt;$AI136))
) / 1000</f>
        <v>0</v>
      </c>
      <c r="CK136" s="250">
        <f t="shared" si="263"/>
        <v>20</v>
      </c>
      <c r="CL136" s="237">
        <f t="shared" si="390"/>
        <v>33</v>
      </c>
      <c r="CM136" s="253">
        <f t="shared" si="391"/>
        <v>4.8487499999999999</v>
      </c>
      <c r="CN136" s="253" cm="1">
        <f t="array" ref="CN136">$BC136 * IF($AD136&lt;=2,
SUMPRODUCT(INDEX($AL$62:$AN$66,,$AE136), INDEX($AO$62:$AU$66,,$AD136), 1 / ($AV$62:$AV$66*CM136 + (1-$AV$62:$AV$66)*CI136), N($AK$62:$AK$66&gt;$AI136)),
SUMPRODUCT(INDEX($AL$47:$AN$56,,$AE136), INDEX($AO$47:$AU$56,,$AD136), 1 / ($AW$47:$AW$56*CM136 + (1-$AW$47:$AW$56)*CI136), N($AK$47:$AK$56&gt;$AI136))
) / 1000</f>
        <v>0</v>
      </c>
      <c r="CO136" s="253" cm="1">
        <f t="array" ref="CO136">$BC136 * IF($AD136&lt;=2,
SUMPRODUCT(INDEX($AL$23:$AN$61,,$AE136), INDEX($AO$23:$AU$61,,$AD136), 1 / ($AV$23:$AV$61*CM136), N($AK$23:$AK$61&gt;$AI136)),
SUMPRODUCT(INDEX($AL$23:$AN$46,,$AE136), INDEX($AO$23:$AU$46,,$AD136), 1 / ($AW$23:$AW$46*CM136), N($AK$23:$AK$46&gt;$AI136))
) / 1000</f>
        <v>0</v>
      </c>
      <c r="CP136" s="237">
        <f t="shared" si="392"/>
        <v>0</v>
      </c>
      <c r="CQ136" s="210"/>
    </row>
    <row r="137" spans="1:95" s="76" customFormat="1" ht="14.25" customHeight="1" x14ac:dyDescent="0.2">
      <c r="A137" s="238" t="b">
        <f t="shared" si="227"/>
        <v>0</v>
      </c>
      <c r="B137" s="239">
        <v>115</v>
      </c>
      <c r="C137" s="258"/>
      <c r="D137" s="258"/>
      <c r="E137" s="240"/>
      <c r="F137" s="241" t="str">
        <f>IF(ISBLANK(E137), "", VLOOKUP(E137, Z!$A$2:$C$4127, 3, FALSE))</f>
        <v/>
      </c>
      <c r="G137" s="242"/>
      <c r="H137" s="242"/>
      <c r="I137" s="243"/>
      <c r="J137" s="244"/>
      <c r="K137" s="259"/>
      <c r="L137" s="260"/>
      <c r="M137" s="247" t="str" cm="1">
        <f t="array" ref="M137">IF($K137&gt;0, INDEX(Clean,1+AG137,$C$1), "")</f>
        <v/>
      </c>
      <c r="N137" s="245"/>
      <c r="O137" s="245"/>
      <c r="P137" s="246"/>
      <c r="Q137" s="248">
        <f t="shared" si="369"/>
        <v>0</v>
      </c>
      <c r="R137" s="247" t="str" cm="1">
        <f t="array" ref="R137">IF($K137&gt;0, INDEX(Clean,1+AH137,$C$1), "")</f>
        <v/>
      </c>
      <c r="S137" s="245"/>
      <c r="T137" s="245"/>
      <c r="U137" s="246"/>
      <c r="V137" s="248">
        <f t="shared" si="370"/>
        <v>0</v>
      </c>
      <c r="W137" s="261"/>
      <c r="X137" s="258"/>
      <c r="Y137" s="240"/>
      <c r="Z137" s="241" t="str">
        <f>IF(ISBLANK(Y137), "", VLOOKUP(Y137, Z!$A$2:$C$4127, 3, FALSE))</f>
        <v/>
      </c>
      <c r="AA137" s="262"/>
      <c r="AB137" s="249">
        <f t="shared" si="234"/>
        <v>0</v>
      </c>
      <c r="AC137" s="210"/>
      <c r="AD137" s="236">
        <f t="shared" si="393"/>
        <v>1</v>
      </c>
      <c r="AE137" s="236">
        <f t="shared" si="394"/>
        <v>1</v>
      </c>
      <c r="AF137" s="236">
        <f t="shared" si="395"/>
        <v>0</v>
      </c>
      <c r="AG137" s="236">
        <v>1</v>
      </c>
      <c r="AH137" s="236">
        <v>0</v>
      </c>
      <c r="AI137" s="236">
        <f t="shared" si="371"/>
        <v>-100</v>
      </c>
      <c r="AJ137" s="210"/>
      <c r="AK137" s="254"/>
      <c r="AL137" s="254"/>
      <c r="AM137" s="255"/>
      <c r="AN137" s="255"/>
      <c r="AO137" s="255"/>
      <c r="AP137" s="255"/>
      <c r="AQ137" s="255"/>
      <c r="AR137" s="255"/>
      <c r="AS137" s="255"/>
      <c r="AT137" s="255"/>
      <c r="AU137" s="255"/>
      <c r="AV137" s="255"/>
      <c r="AW137" s="255"/>
      <c r="AX137" s="210"/>
      <c r="AY137" s="236" cm="1">
        <f t="array" ref="AY137">INDEX(Use, $AD137, 4)</f>
        <v>7</v>
      </c>
      <c r="AZ137" s="236">
        <f t="shared" si="372"/>
        <v>32</v>
      </c>
      <c r="BA137" s="236">
        <f t="shared" si="239"/>
        <v>13</v>
      </c>
      <c r="BB137" s="236">
        <f t="shared" si="240"/>
        <v>0</v>
      </c>
      <c r="BC137" s="252" cm="1">
        <f t="array" ref="BC137">K137/IF($L137&gt;0, INDEX($AO$23:$AU$77, $L137+20, $AD137), 1)</f>
        <v>0</v>
      </c>
      <c r="BD137" s="237">
        <f t="shared" si="373"/>
        <v>0</v>
      </c>
      <c r="BE137" s="236">
        <v>35</v>
      </c>
      <c r="BF137" s="237">
        <f t="shared" si="374"/>
        <v>52.55</v>
      </c>
      <c r="BG137" s="253">
        <f t="shared" si="375"/>
        <v>2.7676728869374316</v>
      </c>
      <c r="BH137" s="253" cm="1">
        <f t="array" ref="BH137">$BC137 * SUMPRODUCT(INDEX($AL$77:$AN$82,,$AE137),INDEX($AO$77:$AU$82,,$AD137), N($AK$77:$AK$82&gt;$AI137)) / BG137 / 1000</f>
        <v>0</v>
      </c>
      <c r="BI137" s="250">
        <f t="shared" si="244"/>
        <v>30</v>
      </c>
      <c r="BJ137" s="237">
        <f t="shared" si="376"/>
        <v>46.033333333333331</v>
      </c>
      <c r="BK137" s="253">
        <f t="shared" si="377"/>
        <v>3.2297395388556791</v>
      </c>
      <c r="BL137" s="253" cm="1">
        <f t="array" ref="BL137">$BC137 * IF($AD137&lt;=2,
SUMPRODUCT(INDEX($AL$72:$AN$76,,$AE137), INDEX($AO$72:$AU$76,,$AD137), 1 / ($AV$72:$AV$76*BK137 + (1-$AV$72:$AV$76)*BG137), N($AK$72:$AK$76&gt;$AI137)),
SUMPRODUCT(INDEX($AL$67:$AN$76,,$AE137), INDEX($AO$67:$AU$76,,$AD137), 1 / ($AW$67:$AW$76*BK137 + (1-$AW$67:$AW$76)*BG137), N($AK$67:$AK$76&gt;$AI137))
) / 1000</f>
        <v>0</v>
      </c>
      <c r="BM137" s="250">
        <f t="shared" si="247"/>
        <v>25</v>
      </c>
      <c r="BN137" s="237">
        <f t="shared" si="378"/>
        <v>39.516666666666666</v>
      </c>
      <c r="BO137" s="253">
        <f t="shared" si="379"/>
        <v>3.877011788826243</v>
      </c>
      <c r="BP137" s="253" cm="1">
        <f t="array" ref="BP137">$BC137 * IF($AD137&lt;=2,
SUMPRODUCT(INDEX($AL$67:$AN$71,,$AE137), INDEX($AO$67:$AU$71,,$AD137), 1 / ($AV$67:$AV$71*BO137 + (1-$AV$67:$AV$71)*BK137), N($AK$67:$AK$71&gt;$AI137)),
SUMPRODUCT(INDEX($AL$57:$AN$66,,$AE137), INDEX($AO$57:$AU$66,,$AD137), 1 / ($AW$57:$AW$66*BO137 + (1-$AW$57:$AW$66)*BK137), N($AK$57:$AK$66&gt;$AI137))
) / 1000</f>
        <v>0</v>
      </c>
      <c r="BQ137" s="250">
        <f t="shared" si="250"/>
        <v>20</v>
      </c>
      <c r="BR137" s="237">
        <f t="shared" si="380"/>
        <v>33</v>
      </c>
      <c r="BS137" s="253">
        <f t="shared" si="381"/>
        <v>4.8487499999999999</v>
      </c>
      <c r="BT137" s="253" cm="1">
        <f t="array" ref="BT137">$BC137 * IF($AD137&lt;=2,
SUMPRODUCT(INDEX($AL$62:$AN$66,,$AE137), INDEX($AO$62:$AU$66,,$AD137), 1 / ($AV$62:$AV$66*BS137 + (1-$AV$62:$AV$66)*BO137), N($AK$62:$AK$66&gt;$AI137)),
SUMPRODUCT(INDEX($AL$47:$AN$56,,$AE137), INDEX($AO$47:$AU$56,,$AD137), 1 / ($AW$47:$AW$56*BS137 + (1-$AW$47:$AW$56)*BO137), N($AK$47:$AK$56&gt;$AI137))
) / 1000</f>
        <v>0</v>
      </c>
      <c r="BU137" s="253" cm="1">
        <f t="array" ref="BU137">$BC137 * IF($AD137&lt;=2,
SUMPRODUCT(INDEX($AL$23:$AN$61,,$AE137), INDEX($AO$23:$AU$61,,$AD137), 1 / ($AV$23:$AV$61*BS137), N($AK$23:$AK$61&gt;$AI137)),
SUMPRODUCT(INDEX($AL$23:$AN$46,,$AE137), INDEX($AO$23:$AU$46,,$AD137), 1 / ($AW$23:$AW$46*BS137), N($AK$23:$AK$46&gt;$AI137))
) / 1000</f>
        <v>0</v>
      </c>
      <c r="BV137" s="237">
        <f t="shared" si="382"/>
        <v>0</v>
      </c>
      <c r="BW137" s="210"/>
      <c r="BX137" s="237">
        <f t="shared" si="383"/>
        <v>0</v>
      </c>
      <c r="BY137" s="236">
        <v>35</v>
      </c>
      <c r="BZ137" s="237">
        <f t="shared" si="384"/>
        <v>48</v>
      </c>
      <c r="CA137" s="253">
        <f t="shared" si="385"/>
        <v>3.0748170731707316</v>
      </c>
      <c r="CB137" s="253" cm="1">
        <f t="array" ref="CB137">$BC137 * SUMPRODUCT(INDEX($AL$77:$AN$82,,$AE137),INDEX($AO$77:$AU$82,,$AD137), N($AK$77:$AK$82&gt;$AI137)) / CA137 / 1000</f>
        <v>0</v>
      </c>
      <c r="CC137" s="250">
        <f t="shared" si="257"/>
        <v>30</v>
      </c>
      <c r="CD137" s="237">
        <f t="shared" si="386"/>
        <v>43</v>
      </c>
      <c r="CE137" s="253">
        <f t="shared" si="387"/>
        <v>3.5018750000000001</v>
      </c>
      <c r="CF137" s="253" cm="1">
        <f t="array" ref="CF137">$BC137 * IF($AD137&lt;=2,
SUMPRODUCT(INDEX($AL$72:$AN$76,,$AE137), INDEX($AO$72:$AU$76,,$AD137), 1 / ($AV$72:$AV$76*CE137 + (1-$AV$72:$AV$76)*CA137), N($AK$72:$AK$76&gt;$AI137)),
SUMPRODUCT(INDEX($AL$67:$AN$76,,$AE137), INDEX($AO$67:$AU$76,,$AD137), 1 / ($AW$67:$AW$76*CE137 + (1-$AW$67:$AW$76)*CA137), N($AK$67:$AK$76&gt;$AI137))
) / 1000</f>
        <v>0</v>
      </c>
      <c r="CG137" s="250">
        <f t="shared" si="260"/>
        <v>25</v>
      </c>
      <c r="CH137" s="237">
        <f t="shared" si="388"/>
        <v>38</v>
      </c>
      <c r="CI137" s="253">
        <f t="shared" si="389"/>
        <v>4.0666935483870965</v>
      </c>
      <c r="CJ137" s="253" cm="1">
        <f t="array" ref="CJ137">$BC137 * IF($AD137&lt;=2,
SUMPRODUCT(INDEX($AL$67:$AN$71,,$AE137), INDEX($AO$67:$AU$71,,$AD137), 1 / ($AV$67:$AV$71*CI137 + (1-$AV$67:$AV$71)*CE137), N($AK$67:$AK$71&gt;$AI137)),
SUMPRODUCT(INDEX($AL$57:$AN$66,,$AE137), INDEX($AO$57:$AU$66,,$AD137), 1 / ($AW$57:$AW$66*CI137 + (1-$AW$57:$AW$66)*CE137), N($AK$57:$AK$66&gt;$AI137))
) / 1000</f>
        <v>0</v>
      </c>
      <c r="CK137" s="250">
        <f t="shared" si="263"/>
        <v>20</v>
      </c>
      <c r="CL137" s="237">
        <f t="shared" si="390"/>
        <v>33</v>
      </c>
      <c r="CM137" s="253">
        <f t="shared" si="391"/>
        <v>4.8487499999999999</v>
      </c>
      <c r="CN137" s="253" cm="1">
        <f t="array" ref="CN137">$BC137 * IF($AD137&lt;=2,
SUMPRODUCT(INDEX($AL$62:$AN$66,,$AE137), INDEX($AO$62:$AU$66,,$AD137), 1 / ($AV$62:$AV$66*CM137 + (1-$AV$62:$AV$66)*CI137), N($AK$62:$AK$66&gt;$AI137)),
SUMPRODUCT(INDEX($AL$47:$AN$56,,$AE137), INDEX($AO$47:$AU$56,,$AD137), 1 / ($AW$47:$AW$56*CM137 + (1-$AW$47:$AW$56)*CI137), N($AK$47:$AK$56&gt;$AI137))
) / 1000</f>
        <v>0</v>
      </c>
      <c r="CO137" s="253" cm="1">
        <f t="array" ref="CO137">$BC137 * IF($AD137&lt;=2,
SUMPRODUCT(INDEX($AL$23:$AN$61,,$AE137), INDEX($AO$23:$AU$61,,$AD137), 1 / ($AV$23:$AV$61*CM137), N($AK$23:$AK$61&gt;$AI137)),
SUMPRODUCT(INDEX($AL$23:$AN$46,,$AE137), INDEX($AO$23:$AU$46,,$AD137), 1 / ($AW$23:$AW$46*CM137), N($AK$23:$AK$46&gt;$AI137))
) / 1000</f>
        <v>0</v>
      </c>
      <c r="CP137" s="237">
        <f t="shared" si="392"/>
        <v>0</v>
      </c>
      <c r="CQ137" s="210"/>
    </row>
    <row r="138" spans="1:95" s="76" customFormat="1" ht="14.25" customHeight="1" x14ac:dyDescent="0.2">
      <c r="A138" s="238" t="b">
        <f t="shared" si="227"/>
        <v>0</v>
      </c>
      <c r="B138" s="239">
        <v>116</v>
      </c>
      <c r="C138" s="258"/>
      <c r="D138" s="258"/>
      <c r="E138" s="240"/>
      <c r="F138" s="241" t="str">
        <f>IF(ISBLANK(E138), "", VLOOKUP(E138, Z!$A$2:$C$4127, 3, FALSE))</f>
        <v/>
      </c>
      <c r="G138" s="242"/>
      <c r="H138" s="242"/>
      <c r="I138" s="243"/>
      <c r="J138" s="244"/>
      <c r="K138" s="259"/>
      <c r="L138" s="260"/>
      <c r="M138" s="247" t="str" cm="1">
        <f t="array" ref="M138">IF($K138&gt;0, INDEX(Clean,1+AG138,$C$1), "")</f>
        <v/>
      </c>
      <c r="N138" s="245"/>
      <c r="O138" s="245"/>
      <c r="P138" s="246"/>
      <c r="Q138" s="248">
        <f t="shared" si="369"/>
        <v>0</v>
      </c>
      <c r="R138" s="247" t="str" cm="1">
        <f t="array" ref="R138">IF($K138&gt;0, INDEX(Clean,1+AH138,$C$1), "")</f>
        <v/>
      </c>
      <c r="S138" s="245"/>
      <c r="T138" s="245"/>
      <c r="U138" s="246"/>
      <c r="V138" s="248">
        <f t="shared" si="370"/>
        <v>0</v>
      </c>
      <c r="W138" s="261"/>
      <c r="X138" s="258"/>
      <c r="Y138" s="240"/>
      <c r="Z138" s="241" t="str">
        <f>IF(ISBLANK(Y138), "", VLOOKUP(Y138, Z!$A$2:$C$4127, 3, FALSE))</f>
        <v/>
      </c>
      <c r="AA138" s="262"/>
      <c r="AB138" s="249">
        <f t="shared" si="234"/>
        <v>0</v>
      </c>
      <c r="AC138" s="210"/>
      <c r="AD138" s="236">
        <f t="shared" si="393"/>
        <v>1</v>
      </c>
      <c r="AE138" s="236">
        <f t="shared" si="394"/>
        <v>1</v>
      </c>
      <c r="AF138" s="236">
        <f t="shared" si="395"/>
        <v>0</v>
      </c>
      <c r="AG138" s="236">
        <v>1</v>
      </c>
      <c r="AH138" s="236">
        <v>0</v>
      </c>
      <c r="AI138" s="236">
        <f t="shared" si="371"/>
        <v>-100</v>
      </c>
      <c r="AJ138" s="210"/>
      <c r="AK138" s="254"/>
      <c r="AL138" s="254"/>
      <c r="AM138" s="255"/>
      <c r="AN138" s="255"/>
      <c r="AO138" s="255"/>
      <c r="AP138" s="255"/>
      <c r="AQ138" s="255"/>
      <c r="AR138" s="255"/>
      <c r="AS138" s="255"/>
      <c r="AT138" s="255"/>
      <c r="AU138" s="255"/>
      <c r="AV138" s="255"/>
      <c r="AW138" s="255"/>
      <c r="AX138" s="210"/>
      <c r="AY138" s="236" cm="1">
        <f t="array" ref="AY138">INDEX(Use, $AD138, 4)</f>
        <v>7</v>
      </c>
      <c r="AZ138" s="236">
        <f t="shared" si="372"/>
        <v>32</v>
      </c>
      <c r="BA138" s="236">
        <f t="shared" si="239"/>
        <v>13</v>
      </c>
      <c r="BB138" s="236">
        <f t="shared" si="240"/>
        <v>0</v>
      </c>
      <c r="BC138" s="252" cm="1">
        <f t="array" ref="BC138">K138/IF($L138&gt;0, INDEX($AO$23:$AU$77, $L138+20, $AD138), 1)</f>
        <v>0</v>
      </c>
      <c r="BD138" s="237">
        <f t="shared" si="373"/>
        <v>0</v>
      </c>
      <c r="BE138" s="236">
        <v>35</v>
      </c>
      <c r="BF138" s="237">
        <f t="shared" si="374"/>
        <v>52.55</v>
      </c>
      <c r="BG138" s="253">
        <f t="shared" si="375"/>
        <v>2.7676728869374316</v>
      </c>
      <c r="BH138" s="253" cm="1">
        <f t="array" ref="BH138">$BC138 * SUMPRODUCT(INDEX($AL$77:$AN$82,,$AE138),INDEX($AO$77:$AU$82,,$AD138), N($AK$77:$AK$82&gt;$AI138)) / BG138 / 1000</f>
        <v>0</v>
      </c>
      <c r="BI138" s="250">
        <f t="shared" si="244"/>
        <v>30</v>
      </c>
      <c r="BJ138" s="237">
        <f t="shared" si="376"/>
        <v>46.033333333333331</v>
      </c>
      <c r="BK138" s="253">
        <f t="shared" si="377"/>
        <v>3.2297395388556791</v>
      </c>
      <c r="BL138" s="253" cm="1">
        <f t="array" ref="BL138">$BC138 * IF($AD138&lt;=2,
SUMPRODUCT(INDEX($AL$72:$AN$76,,$AE138), INDEX($AO$72:$AU$76,,$AD138), 1 / ($AV$72:$AV$76*BK138 + (1-$AV$72:$AV$76)*BG138), N($AK$72:$AK$76&gt;$AI138)),
SUMPRODUCT(INDEX($AL$67:$AN$76,,$AE138), INDEX($AO$67:$AU$76,,$AD138), 1 / ($AW$67:$AW$76*BK138 + (1-$AW$67:$AW$76)*BG138), N($AK$67:$AK$76&gt;$AI138))
) / 1000</f>
        <v>0</v>
      </c>
      <c r="BM138" s="250">
        <f t="shared" si="247"/>
        <v>25</v>
      </c>
      <c r="BN138" s="237">
        <f t="shared" si="378"/>
        <v>39.516666666666666</v>
      </c>
      <c r="BO138" s="253">
        <f t="shared" si="379"/>
        <v>3.877011788826243</v>
      </c>
      <c r="BP138" s="253" cm="1">
        <f t="array" ref="BP138">$BC138 * IF($AD138&lt;=2,
SUMPRODUCT(INDEX($AL$67:$AN$71,,$AE138), INDEX($AO$67:$AU$71,,$AD138), 1 / ($AV$67:$AV$71*BO138 + (1-$AV$67:$AV$71)*BK138), N($AK$67:$AK$71&gt;$AI138)),
SUMPRODUCT(INDEX($AL$57:$AN$66,,$AE138), INDEX($AO$57:$AU$66,,$AD138), 1 / ($AW$57:$AW$66*BO138 + (1-$AW$57:$AW$66)*BK138), N($AK$57:$AK$66&gt;$AI138))
) / 1000</f>
        <v>0</v>
      </c>
      <c r="BQ138" s="250">
        <f t="shared" si="250"/>
        <v>20</v>
      </c>
      <c r="BR138" s="237">
        <f t="shared" si="380"/>
        <v>33</v>
      </c>
      <c r="BS138" s="253">
        <f t="shared" si="381"/>
        <v>4.8487499999999999</v>
      </c>
      <c r="BT138" s="253" cm="1">
        <f t="array" ref="BT138">$BC138 * IF($AD138&lt;=2,
SUMPRODUCT(INDEX($AL$62:$AN$66,,$AE138), INDEX($AO$62:$AU$66,,$AD138), 1 / ($AV$62:$AV$66*BS138 + (1-$AV$62:$AV$66)*BO138), N($AK$62:$AK$66&gt;$AI138)),
SUMPRODUCT(INDEX($AL$47:$AN$56,,$AE138), INDEX($AO$47:$AU$56,,$AD138), 1 / ($AW$47:$AW$56*BS138 + (1-$AW$47:$AW$56)*BO138), N($AK$47:$AK$56&gt;$AI138))
) / 1000</f>
        <v>0</v>
      </c>
      <c r="BU138" s="253" cm="1">
        <f t="array" ref="BU138">$BC138 * IF($AD138&lt;=2,
SUMPRODUCT(INDEX($AL$23:$AN$61,,$AE138), INDEX($AO$23:$AU$61,,$AD138), 1 / ($AV$23:$AV$61*BS138), N($AK$23:$AK$61&gt;$AI138)),
SUMPRODUCT(INDEX($AL$23:$AN$46,,$AE138), INDEX($AO$23:$AU$46,,$AD138), 1 / ($AW$23:$AW$46*BS138), N($AK$23:$AK$46&gt;$AI138))
) / 1000</f>
        <v>0</v>
      </c>
      <c r="BV138" s="237">
        <f t="shared" si="382"/>
        <v>0</v>
      </c>
      <c r="BW138" s="210"/>
      <c r="BX138" s="237">
        <f t="shared" si="383"/>
        <v>0</v>
      </c>
      <c r="BY138" s="236">
        <v>35</v>
      </c>
      <c r="BZ138" s="237">
        <f t="shared" si="384"/>
        <v>48</v>
      </c>
      <c r="CA138" s="253">
        <f t="shared" si="385"/>
        <v>3.0748170731707316</v>
      </c>
      <c r="CB138" s="253" cm="1">
        <f t="array" ref="CB138">$BC138 * SUMPRODUCT(INDEX($AL$77:$AN$82,,$AE138),INDEX($AO$77:$AU$82,,$AD138), N($AK$77:$AK$82&gt;$AI138)) / CA138 / 1000</f>
        <v>0</v>
      </c>
      <c r="CC138" s="250">
        <f t="shared" si="257"/>
        <v>30</v>
      </c>
      <c r="CD138" s="237">
        <f t="shared" si="386"/>
        <v>43</v>
      </c>
      <c r="CE138" s="253">
        <f t="shared" si="387"/>
        <v>3.5018750000000001</v>
      </c>
      <c r="CF138" s="253" cm="1">
        <f t="array" ref="CF138">$BC138 * IF($AD138&lt;=2,
SUMPRODUCT(INDEX($AL$72:$AN$76,,$AE138), INDEX($AO$72:$AU$76,,$AD138), 1 / ($AV$72:$AV$76*CE138 + (1-$AV$72:$AV$76)*CA138), N($AK$72:$AK$76&gt;$AI138)),
SUMPRODUCT(INDEX($AL$67:$AN$76,,$AE138), INDEX($AO$67:$AU$76,,$AD138), 1 / ($AW$67:$AW$76*CE138 + (1-$AW$67:$AW$76)*CA138), N($AK$67:$AK$76&gt;$AI138))
) / 1000</f>
        <v>0</v>
      </c>
      <c r="CG138" s="250">
        <f t="shared" si="260"/>
        <v>25</v>
      </c>
      <c r="CH138" s="237">
        <f t="shared" si="388"/>
        <v>38</v>
      </c>
      <c r="CI138" s="253">
        <f t="shared" si="389"/>
        <v>4.0666935483870965</v>
      </c>
      <c r="CJ138" s="253" cm="1">
        <f t="array" ref="CJ138">$BC138 * IF($AD138&lt;=2,
SUMPRODUCT(INDEX($AL$67:$AN$71,,$AE138), INDEX($AO$67:$AU$71,,$AD138), 1 / ($AV$67:$AV$71*CI138 + (1-$AV$67:$AV$71)*CE138), N($AK$67:$AK$71&gt;$AI138)),
SUMPRODUCT(INDEX($AL$57:$AN$66,,$AE138), INDEX($AO$57:$AU$66,,$AD138), 1 / ($AW$57:$AW$66*CI138 + (1-$AW$57:$AW$66)*CE138), N($AK$57:$AK$66&gt;$AI138))
) / 1000</f>
        <v>0</v>
      </c>
      <c r="CK138" s="250">
        <f t="shared" si="263"/>
        <v>20</v>
      </c>
      <c r="CL138" s="237">
        <f t="shared" si="390"/>
        <v>33</v>
      </c>
      <c r="CM138" s="253">
        <f t="shared" si="391"/>
        <v>4.8487499999999999</v>
      </c>
      <c r="CN138" s="253" cm="1">
        <f t="array" ref="CN138">$BC138 * IF($AD138&lt;=2,
SUMPRODUCT(INDEX($AL$62:$AN$66,,$AE138), INDEX($AO$62:$AU$66,,$AD138), 1 / ($AV$62:$AV$66*CM138 + (1-$AV$62:$AV$66)*CI138), N($AK$62:$AK$66&gt;$AI138)),
SUMPRODUCT(INDEX($AL$47:$AN$56,,$AE138), INDEX($AO$47:$AU$56,,$AD138), 1 / ($AW$47:$AW$56*CM138 + (1-$AW$47:$AW$56)*CI138), N($AK$47:$AK$56&gt;$AI138))
) / 1000</f>
        <v>0</v>
      </c>
      <c r="CO138" s="253" cm="1">
        <f t="array" ref="CO138">$BC138 * IF($AD138&lt;=2,
SUMPRODUCT(INDEX($AL$23:$AN$61,,$AE138), INDEX($AO$23:$AU$61,,$AD138), 1 / ($AV$23:$AV$61*CM138), N($AK$23:$AK$61&gt;$AI138)),
SUMPRODUCT(INDEX($AL$23:$AN$46,,$AE138), INDEX($AO$23:$AU$46,,$AD138), 1 / ($AW$23:$AW$46*CM138), N($AK$23:$AK$46&gt;$AI138))
) / 1000</f>
        <v>0</v>
      </c>
      <c r="CP138" s="237">
        <f t="shared" si="392"/>
        <v>0</v>
      </c>
      <c r="CQ138" s="210"/>
    </row>
    <row r="139" spans="1:95" s="76" customFormat="1" ht="14.25" customHeight="1" x14ac:dyDescent="0.2">
      <c r="A139" s="238" t="b">
        <f t="shared" si="227"/>
        <v>0</v>
      </c>
      <c r="B139" s="239">
        <v>117</v>
      </c>
      <c r="C139" s="258"/>
      <c r="D139" s="258"/>
      <c r="E139" s="240"/>
      <c r="F139" s="241" t="str">
        <f>IF(ISBLANK(E139), "", VLOOKUP(E139, Z!$A$2:$C$4127, 3, FALSE))</f>
        <v/>
      </c>
      <c r="G139" s="242"/>
      <c r="H139" s="242"/>
      <c r="I139" s="243"/>
      <c r="J139" s="244"/>
      <c r="K139" s="259"/>
      <c r="L139" s="260"/>
      <c r="M139" s="247" t="str" cm="1">
        <f t="array" ref="M139">IF($K139&gt;0, INDEX(Clean,1+AG139,$C$1), "")</f>
        <v/>
      </c>
      <c r="N139" s="245"/>
      <c r="O139" s="245"/>
      <c r="P139" s="246"/>
      <c r="Q139" s="248">
        <f t="shared" si="369"/>
        <v>0</v>
      </c>
      <c r="R139" s="247" t="str" cm="1">
        <f t="array" ref="R139">IF($K139&gt;0, INDEX(Clean,1+AH139,$C$1), "")</f>
        <v/>
      </c>
      <c r="S139" s="245"/>
      <c r="T139" s="245"/>
      <c r="U139" s="246"/>
      <c r="V139" s="248">
        <f t="shared" si="370"/>
        <v>0</v>
      </c>
      <c r="W139" s="261"/>
      <c r="X139" s="258"/>
      <c r="Y139" s="240"/>
      <c r="Z139" s="241" t="str">
        <f>IF(ISBLANK(Y139), "", VLOOKUP(Y139, Z!$A$2:$C$4127, 3, FALSE))</f>
        <v/>
      </c>
      <c r="AA139" s="262"/>
      <c r="AB139" s="249">
        <f t="shared" si="234"/>
        <v>0</v>
      </c>
      <c r="AC139" s="210"/>
      <c r="AD139" s="236">
        <f t="shared" si="393"/>
        <v>1</v>
      </c>
      <c r="AE139" s="236">
        <f t="shared" si="394"/>
        <v>1</v>
      </c>
      <c r="AF139" s="236">
        <f t="shared" si="395"/>
        <v>0</v>
      </c>
      <c r="AG139" s="236">
        <v>1</v>
      </c>
      <c r="AH139" s="236">
        <v>0</v>
      </c>
      <c r="AI139" s="236">
        <f t="shared" si="371"/>
        <v>-100</v>
      </c>
      <c r="AJ139" s="210"/>
      <c r="AK139" s="254"/>
      <c r="AL139" s="254"/>
      <c r="AM139" s="255"/>
      <c r="AN139" s="255"/>
      <c r="AO139" s="255"/>
      <c r="AP139" s="255"/>
      <c r="AQ139" s="255"/>
      <c r="AR139" s="255"/>
      <c r="AS139" s="255"/>
      <c r="AT139" s="255"/>
      <c r="AU139" s="255"/>
      <c r="AV139" s="255"/>
      <c r="AW139" s="255"/>
      <c r="AX139" s="210"/>
      <c r="AY139" s="236" cm="1">
        <f t="array" ref="AY139">INDEX(Use, $AD139, 4)</f>
        <v>7</v>
      </c>
      <c r="AZ139" s="236">
        <f t="shared" si="372"/>
        <v>32</v>
      </c>
      <c r="BA139" s="236">
        <f t="shared" si="239"/>
        <v>13</v>
      </c>
      <c r="BB139" s="236">
        <f t="shared" si="240"/>
        <v>0</v>
      </c>
      <c r="BC139" s="252" cm="1">
        <f t="array" ref="BC139">K139/IF($L139&gt;0, INDEX($AO$23:$AU$77, $L139+20, $AD139), 1)</f>
        <v>0</v>
      </c>
      <c r="BD139" s="237">
        <f t="shared" si="373"/>
        <v>0</v>
      </c>
      <c r="BE139" s="236">
        <v>35</v>
      </c>
      <c r="BF139" s="237">
        <f t="shared" si="374"/>
        <v>52.55</v>
      </c>
      <c r="BG139" s="253">
        <f t="shared" si="375"/>
        <v>2.7676728869374316</v>
      </c>
      <c r="BH139" s="253" cm="1">
        <f t="array" ref="BH139">$BC139 * SUMPRODUCT(INDEX($AL$77:$AN$82,,$AE139),INDEX($AO$77:$AU$82,,$AD139), N($AK$77:$AK$82&gt;$AI139)) / BG139 / 1000</f>
        <v>0</v>
      </c>
      <c r="BI139" s="250">
        <f t="shared" si="244"/>
        <v>30</v>
      </c>
      <c r="BJ139" s="237">
        <f t="shared" si="376"/>
        <v>46.033333333333331</v>
      </c>
      <c r="BK139" s="253">
        <f t="shared" si="377"/>
        <v>3.2297395388556791</v>
      </c>
      <c r="BL139" s="253" cm="1">
        <f t="array" ref="BL139">$BC139 * IF($AD139&lt;=2,
SUMPRODUCT(INDEX($AL$72:$AN$76,,$AE139), INDEX($AO$72:$AU$76,,$AD139), 1 / ($AV$72:$AV$76*BK139 + (1-$AV$72:$AV$76)*BG139), N($AK$72:$AK$76&gt;$AI139)),
SUMPRODUCT(INDEX($AL$67:$AN$76,,$AE139), INDEX($AO$67:$AU$76,,$AD139), 1 / ($AW$67:$AW$76*BK139 + (1-$AW$67:$AW$76)*BG139), N($AK$67:$AK$76&gt;$AI139))
) / 1000</f>
        <v>0</v>
      </c>
      <c r="BM139" s="250">
        <f t="shared" si="247"/>
        <v>25</v>
      </c>
      <c r="BN139" s="237">
        <f t="shared" si="378"/>
        <v>39.516666666666666</v>
      </c>
      <c r="BO139" s="253">
        <f t="shared" si="379"/>
        <v>3.877011788826243</v>
      </c>
      <c r="BP139" s="253" cm="1">
        <f t="array" ref="BP139">$BC139 * IF($AD139&lt;=2,
SUMPRODUCT(INDEX($AL$67:$AN$71,,$AE139), INDEX($AO$67:$AU$71,,$AD139), 1 / ($AV$67:$AV$71*BO139 + (1-$AV$67:$AV$71)*BK139), N($AK$67:$AK$71&gt;$AI139)),
SUMPRODUCT(INDEX($AL$57:$AN$66,,$AE139), INDEX($AO$57:$AU$66,,$AD139), 1 / ($AW$57:$AW$66*BO139 + (1-$AW$57:$AW$66)*BK139), N($AK$57:$AK$66&gt;$AI139))
) / 1000</f>
        <v>0</v>
      </c>
      <c r="BQ139" s="250">
        <f t="shared" si="250"/>
        <v>20</v>
      </c>
      <c r="BR139" s="237">
        <f t="shared" si="380"/>
        <v>33</v>
      </c>
      <c r="BS139" s="253">
        <f t="shared" si="381"/>
        <v>4.8487499999999999</v>
      </c>
      <c r="BT139" s="253" cm="1">
        <f t="array" ref="BT139">$BC139 * IF($AD139&lt;=2,
SUMPRODUCT(INDEX($AL$62:$AN$66,,$AE139), INDEX($AO$62:$AU$66,,$AD139), 1 / ($AV$62:$AV$66*BS139 + (1-$AV$62:$AV$66)*BO139), N($AK$62:$AK$66&gt;$AI139)),
SUMPRODUCT(INDEX($AL$47:$AN$56,,$AE139), INDEX($AO$47:$AU$56,,$AD139), 1 / ($AW$47:$AW$56*BS139 + (1-$AW$47:$AW$56)*BO139), N($AK$47:$AK$56&gt;$AI139))
) / 1000</f>
        <v>0</v>
      </c>
      <c r="BU139" s="253" cm="1">
        <f t="array" ref="BU139">$BC139 * IF($AD139&lt;=2,
SUMPRODUCT(INDEX($AL$23:$AN$61,,$AE139), INDEX($AO$23:$AU$61,,$AD139), 1 / ($AV$23:$AV$61*BS139), N($AK$23:$AK$61&gt;$AI139)),
SUMPRODUCT(INDEX($AL$23:$AN$46,,$AE139), INDEX($AO$23:$AU$46,,$AD139), 1 / ($AW$23:$AW$46*BS139), N($AK$23:$AK$46&gt;$AI139))
) / 1000</f>
        <v>0</v>
      </c>
      <c r="BV139" s="237">
        <f t="shared" si="382"/>
        <v>0</v>
      </c>
      <c r="BW139" s="210"/>
      <c r="BX139" s="237">
        <f t="shared" si="383"/>
        <v>0</v>
      </c>
      <c r="BY139" s="236">
        <v>35</v>
      </c>
      <c r="BZ139" s="237">
        <f t="shared" si="384"/>
        <v>48</v>
      </c>
      <c r="CA139" s="253">
        <f t="shared" si="385"/>
        <v>3.0748170731707316</v>
      </c>
      <c r="CB139" s="253" cm="1">
        <f t="array" ref="CB139">$BC139 * SUMPRODUCT(INDEX($AL$77:$AN$82,,$AE139),INDEX($AO$77:$AU$82,,$AD139), N($AK$77:$AK$82&gt;$AI139)) / CA139 / 1000</f>
        <v>0</v>
      </c>
      <c r="CC139" s="250">
        <f t="shared" si="257"/>
        <v>30</v>
      </c>
      <c r="CD139" s="237">
        <f t="shared" si="386"/>
        <v>43</v>
      </c>
      <c r="CE139" s="253">
        <f t="shared" si="387"/>
        <v>3.5018750000000001</v>
      </c>
      <c r="CF139" s="253" cm="1">
        <f t="array" ref="CF139">$BC139 * IF($AD139&lt;=2,
SUMPRODUCT(INDEX($AL$72:$AN$76,,$AE139), INDEX($AO$72:$AU$76,,$AD139), 1 / ($AV$72:$AV$76*CE139 + (1-$AV$72:$AV$76)*CA139), N($AK$72:$AK$76&gt;$AI139)),
SUMPRODUCT(INDEX($AL$67:$AN$76,,$AE139), INDEX($AO$67:$AU$76,,$AD139), 1 / ($AW$67:$AW$76*CE139 + (1-$AW$67:$AW$76)*CA139), N($AK$67:$AK$76&gt;$AI139))
) / 1000</f>
        <v>0</v>
      </c>
      <c r="CG139" s="250">
        <f t="shared" si="260"/>
        <v>25</v>
      </c>
      <c r="CH139" s="237">
        <f t="shared" si="388"/>
        <v>38</v>
      </c>
      <c r="CI139" s="253">
        <f t="shared" si="389"/>
        <v>4.0666935483870965</v>
      </c>
      <c r="CJ139" s="253" cm="1">
        <f t="array" ref="CJ139">$BC139 * IF($AD139&lt;=2,
SUMPRODUCT(INDEX($AL$67:$AN$71,,$AE139), INDEX($AO$67:$AU$71,,$AD139), 1 / ($AV$67:$AV$71*CI139 + (1-$AV$67:$AV$71)*CE139), N($AK$67:$AK$71&gt;$AI139)),
SUMPRODUCT(INDEX($AL$57:$AN$66,,$AE139), INDEX($AO$57:$AU$66,,$AD139), 1 / ($AW$57:$AW$66*CI139 + (1-$AW$57:$AW$66)*CE139), N($AK$57:$AK$66&gt;$AI139))
) / 1000</f>
        <v>0</v>
      </c>
      <c r="CK139" s="250">
        <f t="shared" si="263"/>
        <v>20</v>
      </c>
      <c r="CL139" s="237">
        <f t="shared" si="390"/>
        <v>33</v>
      </c>
      <c r="CM139" s="253">
        <f t="shared" si="391"/>
        <v>4.8487499999999999</v>
      </c>
      <c r="CN139" s="253" cm="1">
        <f t="array" ref="CN139">$BC139 * IF($AD139&lt;=2,
SUMPRODUCT(INDEX($AL$62:$AN$66,,$AE139), INDEX($AO$62:$AU$66,,$AD139), 1 / ($AV$62:$AV$66*CM139 + (1-$AV$62:$AV$66)*CI139), N($AK$62:$AK$66&gt;$AI139)),
SUMPRODUCT(INDEX($AL$47:$AN$56,,$AE139), INDEX($AO$47:$AU$56,,$AD139), 1 / ($AW$47:$AW$56*CM139 + (1-$AW$47:$AW$56)*CI139), N($AK$47:$AK$56&gt;$AI139))
) / 1000</f>
        <v>0</v>
      </c>
      <c r="CO139" s="253" cm="1">
        <f t="array" ref="CO139">$BC139 * IF($AD139&lt;=2,
SUMPRODUCT(INDEX($AL$23:$AN$61,,$AE139), INDEX($AO$23:$AU$61,,$AD139), 1 / ($AV$23:$AV$61*CM139), N($AK$23:$AK$61&gt;$AI139)),
SUMPRODUCT(INDEX($AL$23:$AN$46,,$AE139), INDEX($AO$23:$AU$46,,$AD139), 1 / ($AW$23:$AW$46*CM139), N($AK$23:$AK$46&gt;$AI139))
) / 1000</f>
        <v>0</v>
      </c>
      <c r="CP139" s="237">
        <f t="shared" si="392"/>
        <v>0</v>
      </c>
      <c r="CQ139" s="210"/>
    </row>
    <row r="140" spans="1:95" s="76" customFormat="1" ht="14.25" customHeight="1" x14ac:dyDescent="0.2">
      <c r="A140" s="238" t="b">
        <f t="shared" si="227"/>
        <v>0</v>
      </c>
      <c r="B140" s="239">
        <v>118</v>
      </c>
      <c r="C140" s="258"/>
      <c r="D140" s="258"/>
      <c r="E140" s="240"/>
      <c r="F140" s="241" t="str">
        <f>IF(ISBLANK(E140), "", VLOOKUP(E140, Z!$A$2:$C$4127, 3, FALSE))</f>
        <v/>
      </c>
      <c r="G140" s="242"/>
      <c r="H140" s="242"/>
      <c r="I140" s="243"/>
      <c r="J140" s="244"/>
      <c r="K140" s="259"/>
      <c r="L140" s="260"/>
      <c r="M140" s="247" t="str" cm="1">
        <f t="array" ref="M140">IF($K140&gt;0, INDEX(Clean,1+AG140,$C$1), "")</f>
        <v/>
      </c>
      <c r="N140" s="245"/>
      <c r="O140" s="245"/>
      <c r="P140" s="246"/>
      <c r="Q140" s="248">
        <f t="shared" si="369"/>
        <v>0</v>
      </c>
      <c r="R140" s="247" t="str" cm="1">
        <f t="array" ref="R140">IF($K140&gt;0, INDEX(Clean,1+AH140,$C$1), "")</f>
        <v/>
      </c>
      <c r="S140" s="245"/>
      <c r="T140" s="245"/>
      <c r="U140" s="246"/>
      <c r="V140" s="248">
        <f t="shared" si="370"/>
        <v>0</v>
      </c>
      <c r="W140" s="261"/>
      <c r="X140" s="258"/>
      <c r="Y140" s="240"/>
      <c r="Z140" s="241" t="str">
        <f>IF(ISBLANK(Y140), "", VLOOKUP(Y140, Z!$A$2:$C$4127, 3, FALSE))</f>
        <v/>
      </c>
      <c r="AA140" s="262"/>
      <c r="AB140" s="249">
        <f t="shared" si="234"/>
        <v>0</v>
      </c>
      <c r="AC140" s="210"/>
      <c r="AD140" s="236">
        <f t="shared" si="393"/>
        <v>1</v>
      </c>
      <c r="AE140" s="236">
        <f t="shared" si="394"/>
        <v>1</v>
      </c>
      <c r="AF140" s="236">
        <f t="shared" si="395"/>
        <v>0</v>
      </c>
      <c r="AG140" s="236">
        <v>1</v>
      </c>
      <c r="AH140" s="236">
        <v>0</v>
      </c>
      <c r="AI140" s="236">
        <f t="shared" si="371"/>
        <v>-100</v>
      </c>
      <c r="AJ140" s="210"/>
      <c r="AK140" s="254"/>
      <c r="AL140" s="254"/>
      <c r="AM140" s="255"/>
      <c r="AN140" s="255"/>
      <c r="AO140" s="255"/>
      <c r="AP140" s="255"/>
      <c r="AQ140" s="255"/>
      <c r="AR140" s="255"/>
      <c r="AS140" s="255"/>
      <c r="AT140" s="255"/>
      <c r="AU140" s="255"/>
      <c r="AV140" s="255"/>
      <c r="AW140" s="255"/>
      <c r="AX140" s="210"/>
      <c r="AY140" s="236" cm="1">
        <f t="array" ref="AY140">INDEX(Use, $AD140, 4)</f>
        <v>7</v>
      </c>
      <c r="AZ140" s="236">
        <f t="shared" si="372"/>
        <v>32</v>
      </c>
      <c r="BA140" s="236">
        <f t="shared" si="239"/>
        <v>13</v>
      </c>
      <c r="BB140" s="236">
        <f t="shared" si="240"/>
        <v>0</v>
      </c>
      <c r="BC140" s="252" cm="1">
        <f t="array" ref="BC140">K140/IF($L140&gt;0, INDEX($AO$23:$AU$77, $L140+20, $AD140), 1)</f>
        <v>0</v>
      </c>
      <c r="BD140" s="237">
        <f t="shared" si="373"/>
        <v>0</v>
      </c>
      <c r="BE140" s="236">
        <v>35</v>
      </c>
      <c r="BF140" s="237">
        <f t="shared" si="374"/>
        <v>52.55</v>
      </c>
      <c r="BG140" s="253">
        <f t="shared" si="375"/>
        <v>2.7676728869374316</v>
      </c>
      <c r="BH140" s="253" cm="1">
        <f t="array" ref="BH140">$BC140 * SUMPRODUCT(INDEX($AL$77:$AN$82,,$AE140),INDEX($AO$77:$AU$82,,$AD140), N($AK$77:$AK$82&gt;$AI140)) / BG140 / 1000</f>
        <v>0</v>
      </c>
      <c r="BI140" s="250">
        <f t="shared" si="244"/>
        <v>30</v>
      </c>
      <c r="BJ140" s="237">
        <f t="shared" si="376"/>
        <v>46.033333333333331</v>
      </c>
      <c r="BK140" s="253">
        <f t="shared" si="377"/>
        <v>3.2297395388556791</v>
      </c>
      <c r="BL140" s="253" cm="1">
        <f t="array" ref="BL140">$BC140 * IF($AD140&lt;=2,
SUMPRODUCT(INDEX($AL$72:$AN$76,,$AE140), INDEX($AO$72:$AU$76,,$AD140), 1 / ($AV$72:$AV$76*BK140 + (1-$AV$72:$AV$76)*BG140), N($AK$72:$AK$76&gt;$AI140)),
SUMPRODUCT(INDEX($AL$67:$AN$76,,$AE140), INDEX($AO$67:$AU$76,,$AD140), 1 / ($AW$67:$AW$76*BK140 + (1-$AW$67:$AW$76)*BG140), N($AK$67:$AK$76&gt;$AI140))
) / 1000</f>
        <v>0</v>
      </c>
      <c r="BM140" s="250">
        <f t="shared" si="247"/>
        <v>25</v>
      </c>
      <c r="BN140" s="237">
        <f t="shared" si="378"/>
        <v>39.516666666666666</v>
      </c>
      <c r="BO140" s="253">
        <f t="shared" si="379"/>
        <v>3.877011788826243</v>
      </c>
      <c r="BP140" s="253" cm="1">
        <f t="array" ref="BP140">$BC140 * IF($AD140&lt;=2,
SUMPRODUCT(INDEX($AL$67:$AN$71,,$AE140), INDEX($AO$67:$AU$71,,$AD140), 1 / ($AV$67:$AV$71*BO140 + (1-$AV$67:$AV$71)*BK140), N($AK$67:$AK$71&gt;$AI140)),
SUMPRODUCT(INDEX($AL$57:$AN$66,,$AE140), INDEX($AO$57:$AU$66,,$AD140), 1 / ($AW$57:$AW$66*BO140 + (1-$AW$57:$AW$66)*BK140), N($AK$57:$AK$66&gt;$AI140))
) / 1000</f>
        <v>0</v>
      </c>
      <c r="BQ140" s="250">
        <f t="shared" si="250"/>
        <v>20</v>
      </c>
      <c r="BR140" s="237">
        <f t="shared" si="380"/>
        <v>33</v>
      </c>
      <c r="BS140" s="253">
        <f t="shared" si="381"/>
        <v>4.8487499999999999</v>
      </c>
      <c r="BT140" s="253" cm="1">
        <f t="array" ref="BT140">$BC140 * IF($AD140&lt;=2,
SUMPRODUCT(INDEX($AL$62:$AN$66,,$AE140), INDEX($AO$62:$AU$66,,$AD140), 1 / ($AV$62:$AV$66*BS140 + (1-$AV$62:$AV$66)*BO140), N($AK$62:$AK$66&gt;$AI140)),
SUMPRODUCT(INDEX($AL$47:$AN$56,,$AE140), INDEX($AO$47:$AU$56,,$AD140), 1 / ($AW$47:$AW$56*BS140 + (1-$AW$47:$AW$56)*BO140), N($AK$47:$AK$56&gt;$AI140))
) / 1000</f>
        <v>0</v>
      </c>
      <c r="BU140" s="253" cm="1">
        <f t="array" ref="BU140">$BC140 * IF($AD140&lt;=2,
SUMPRODUCT(INDEX($AL$23:$AN$61,,$AE140), INDEX($AO$23:$AU$61,,$AD140), 1 / ($AV$23:$AV$61*BS140), N($AK$23:$AK$61&gt;$AI140)),
SUMPRODUCT(INDEX($AL$23:$AN$46,,$AE140), INDEX($AO$23:$AU$46,,$AD140), 1 / ($AW$23:$AW$46*BS140), N($AK$23:$AK$46&gt;$AI140))
) / 1000</f>
        <v>0</v>
      </c>
      <c r="BV140" s="237">
        <f t="shared" si="382"/>
        <v>0</v>
      </c>
      <c r="BW140" s="210"/>
      <c r="BX140" s="237">
        <f t="shared" si="383"/>
        <v>0</v>
      </c>
      <c r="BY140" s="236">
        <v>35</v>
      </c>
      <c r="BZ140" s="237">
        <f t="shared" si="384"/>
        <v>48</v>
      </c>
      <c r="CA140" s="253">
        <f t="shared" si="385"/>
        <v>3.0748170731707316</v>
      </c>
      <c r="CB140" s="253" cm="1">
        <f t="array" ref="CB140">$BC140 * SUMPRODUCT(INDEX($AL$77:$AN$82,,$AE140),INDEX($AO$77:$AU$82,,$AD140), N($AK$77:$AK$82&gt;$AI140)) / CA140 / 1000</f>
        <v>0</v>
      </c>
      <c r="CC140" s="250">
        <f t="shared" si="257"/>
        <v>30</v>
      </c>
      <c r="CD140" s="237">
        <f t="shared" si="386"/>
        <v>43</v>
      </c>
      <c r="CE140" s="253">
        <f t="shared" si="387"/>
        <v>3.5018750000000001</v>
      </c>
      <c r="CF140" s="253" cm="1">
        <f t="array" ref="CF140">$BC140 * IF($AD140&lt;=2,
SUMPRODUCT(INDEX($AL$72:$AN$76,,$AE140), INDEX($AO$72:$AU$76,,$AD140), 1 / ($AV$72:$AV$76*CE140 + (1-$AV$72:$AV$76)*CA140), N($AK$72:$AK$76&gt;$AI140)),
SUMPRODUCT(INDEX($AL$67:$AN$76,,$AE140), INDEX($AO$67:$AU$76,,$AD140), 1 / ($AW$67:$AW$76*CE140 + (1-$AW$67:$AW$76)*CA140), N($AK$67:$AK$76&gt;$AI140))
) / 1000</f>
        <v>0</v>
      </c>
      <c r="CG140" s="250">
        <f t="shared" si="260"/>
        <v>25</v>
      </c>
      <c r="CH140" s="237">
        <f t="shared" si="388"/>
        <v>38</v>
      </c>
      <c r="CI140" s="253">
        <f t="shared" si="389"/>
        <v>4.0666935483870965</v>
      </c>
      <c r="CJ140" s="253" cm="1">
        <f t="array" ref="CJ140">$BC140 * IF($AD140&lt;=2,
SUMPRODUCT(INDEX($AL$67:$AN$71,,$AE140), INDEX($AO$67:$AU$71,,$AD140), 1 / ($AV$67:$AV$71*CI140 + (1-$AV$67:$AV$71)*CE140), N($AK$67:$AK$71&gt;$AI140)),
SUMPRODUCT(INDEX($AL$57:$AN$66,,$AE140), INDEX($AO$57:$AU$66,,$AD140), 1 / ($AW$57:$AW$66*CI140 + (1-$AW$57:$AW$66)*CE140), N($AK$57:$AK$66&gt;$AI140))
) / 1000</f>
        <v>0</v>
      </c>
      <c r="CK140" s="250">
        <f t="shared" si="263"/>
        <v>20</v>
      </c>
      <c r="CL140" s="237">
        <f t="shared" si="390"/>
        <v>33</v>
      </c>
      <c r="CM140" s="253">
        <f t="shared" si="391"/>
        <v>4.8487499999999999</v>
      </c>
      <c r="CN140" s="253" cm="1">
        <f t="array" ref="CN140">$BC140 * IF($AD140&lt;=2,
SUMPRODUCT(INDEX($AL$62:$AN$66,,$AE140), INDEX($AO$62:$AU$66,,$AD140), 1 / ($AV$62:$AV$66*CM140 + (1-$AV$62:$AV$66)*CI140), N($AK$62:$AK$66&gt;$AI140)),
SUMPRODUCT(INDEX($AL$47:$AN$56,,$AE140), INDEX($AO$47:$AU$56,,$AD140), 1 / ($AW$47:$AW$56*CM140 + (1-$AW$47:$AW$56)*CI140), N($AK$47:$AK$56&gt;$AI140))
) / 1000</f>
        <v>0</v>
      </c>
      <c r="CO140" s="253" cm="1">
        <f t="array" ref="CO140">$BC140 * IF($AD140&lt;=2,
SUMPRODUCT(INDEX($AL$23:$AN$61,,$AE140), INDEX($AO$23:$AU$61,,$AD140), 1 / ($AV$23:$AV$61*CM140), N($AK$23:$AK$61&gt;$AI140)),
SUMPRODUCT(INDEX($AL$23:$AN$46,,$AE140), INDEX($AO$23:$AU$46,,$AD140), 1 / ($AW$23:$AW$46*CM140), N($AK$23:$AK$46&gt;$AI140))
) / 1000</f>
        <v>0</v>
      </c>
      <c r="CP140" s="237">
        <f t="shared" si="392"/>
        <v>0</v>
      </c>
      <c r="CQ140" s="210"/>
    </row>
    <row r="141" spans="1:95" s="76" customFormat="1" ht="14.25" customHeight="1" x14ac:dyDescent="0.2">
      <c r="A141" s="238" t="b">
        <f t="shared" si="227"/>
        <v>0</v>
      </c>
      <c r="B141" s="239">
        <v>119</v>
      </c>
      <c r="C141" s="258"/>
      <c r="D141" s="258"/>
      <c r="E141" s="240"/>
      <c r="F141" s="241" t="str">
        <f>IF(ISBLANK(E141), "", VLOOKUP(E141, Z!$A$2:$C$4127, 3, FALSE))</f>
        <v/>
      </c>
      <c r="G141" s="242"/>
      <c r="H141" s="242"/>
      <c r="I141" s="243"/>
      <c r="J141" s="244"/>
      <c r="K141" s="259"/>
      <c r="L141" s="260"/>
      <c r="M141" s="247" t="str" cm="1">
        <f t="array" ref="M141">IF($K141&gt;0, INDEX(Clean,1+AG141,$C$1), "")</f>
        <v/>
      </c>
      <c r="N141" s="245"/>
      <c r="O141" s="245"/>
      <c r="P141" s="246"/>
      <c r="Q141" s="248">
        <f t="shared" si="369"/>
        <v>0</v>
      </c>
      <c r="R141" s="247" t="str" cm="1">
        <f t="array" ref="R141">IF($K141&gt;0, INDEX(Clean,1+AH141,$C$1), "")</f>
        <v/>
      </c>
      <c r="S141" s="245"/>
      <c r="T141" s="245"/>
      <c r="U141" s="246"/>
      <c r="V141" s="248">
        <f t="shared" si="370"/>
        <v>0</v>
      </c>
      <c r="W141" s="261"/>
      <c r="X141" s="258"/>
      <c r="Y141" s="240"/>
      <c r="Z141" s="241" t="str">
        <f>IF(ISBLANK(Y141), "", VLOOKUP(Y141, Z!$A$2:$C$4127, 3, FALSE))</f>
        <v/>
      </c>
      <c r="AA141" s="262"/>
      <c r="AB141" s="249">
        <f t="shared" si="234"/>
        <v>0</v>
      </c>
      <c r="AC141" s="210"/>
      <c r="AD141" s="236">
        <f t="shared" si="393"/>
        <v>1</v>
      </c>
      <c r="AE141" s="236">
        <f t="shared" si="394"/>
        <v>1</v>
      </c>
      <c r="AF141" s="236">
        <f t="shared" si="395"/>
        <v>0</v>
      </c>
      <c r="AG141" s="236">
        <v>1</v>
      </c>
      <c r="AH141" s="236">
        <v>0</v>
      </c>
      <c r="AI141" s="236">
        <f t="shared" si="371"/>
        <v>-100</v>
      </c>
      <c r="AJ141" s="210"/>
      <c r="AK141" s="254"/>
      <c r="AL141" s="254"/>
      <c r="AM141" s="255"/>
      <c r="AN141" s="255"/>
      <c r="AO141" s="255"/>
      <c r="AP141" s="255"/>
      <c r="AQ141" s="255"/>
      <c r="AR141" s="255"/>
      <c r="AS141" s="255"/>
      <c r="AT141" s="255"/>
      <c r="AU141" s="255"/>
      <c r="AV141" s="255"/>
      <c r="AW141" s="255"/>
      <c r="AX141" s="210"/>
      <c r="AY141" s="236" cm="1">
        <f t="array" ref="AY141">INDEX(Use, $AD141, 4)</f>
        <v>7</v>
      </c>
      <c r="AZ141" s="236">
        <f t="shared" si="372"/>
        <v>32</v>
      </c>
      <c r="BA141" s="236">
        <f t="shared" si="239"/>
        <v>13</v>
      </c>
      <c r="BB141" s="236">
        <f t="shared" si="240"/>
        <v>0</v>
      </c>
      <c r="BC141" s="252" cm="1">
        <f t="array" ref="BC141">K141/IF($L141&gt;0, INDEX($AO$23:$AU$77, $L141+20, $AD141), 1)</f>
        <v>0</v>
      </c>
      <c r="BD141" s="237">
        <f t="shared" si="373"/>
        <v>0</v>
      </c>
      <c r="BE141" s="236">
        <v>35</v>
      </c>
      <c r="BF141" s="237">
        <f t="shared" si="374"/>
        <v>52.55</v>
      </c>
      <c r="BG141" s="253">
        <f t="shared" si="375"/>
        <v>2.7676728869374316</v>
      </c>
      <c r="BH141" s="253" cm="1">
        <f t="array" ref="BH141">$BC141 * SUMPRODUCT(INDEX($AL$77:$AN$82,,$AE141),INDEX($AO$77:$AU$82,,$AD141), N($AK$77:$AK$82&gt;$AI141)) / BG141 / 1000</f>
        <v>0</v>
      </c>
      <c r="BI141" s="250">
        <f t="shared" si="244"/>
        <v>30</v>
      </c>
      <c r="BJ141" s="237">
        <f t="shared" si="376"/>
        <v>46.033333333333331</v>
      </c>
      <c r="BK141" s="253">
        <f t="shared" si="377"/>
        <v>3.2297395388556791</v>
      </c>
      <c r="BL141" s="253" cm="1">
        <f t="array" ref="BL141">$BC141 * IF($AD141&lt;=2,
SUMPRODUCT(INDEX($AL$72:$AN$76,,$AE141), INDEX($AO$72:$AU$76,,$AD141), 1 / ($AV$72:$AV$76*BK141 + (1-$AV$72:$AV$76)*BG141), N($AK$72:$AK$76&gt;$AI141)),
SUMPRODUCT(INDEX($AL$67:$AN$76,,$AE141), INDEX($AO$67:$AU$76,,$AD141), 1 / ($AW$67:$AW$76*BK141 + (1-$AW$67:$AW$76)*BG141), N($AK$67:$AK$76&gt;$AI141))
) / 1000</f>
        <v>0</v>
      </c>
      <c r="BM141" s="250">
        <f t="shared" si="247"/>
        <v>25</v>
      </c>
      <c r="BN141" s="237">
        <f t="shared" si="378"/>
        <v>39.516666666666666</v>
      </c>
      <c r="BO141" s="253">
        <f t="shared" si="379"/>
        <v>3.877011788826243</v>
      </c>
      <c r="BP141" s="253" cm="1">
        <f t="array" ref="BP141">$BC141 * IF($AD141&lt;=2,
SUMPRODUCT(INDEX($AL$67:$AN$71,,$AE141), INDEX($AO$67:$AU$71,,$AD141), 1 / ($AV$67:$AV$71*BO141 + (1-$AV$67:$AV$71)*BK141), N($AK$67:$AK$71&gt;$AI141)),
SUMPRODUCT(INDEX($AL$57:$AN$66,,$AE141), INDEX($AO$57:$AU$66,,$AD141), 1 / ($AW$57:$AW$66*BO141 + (1-$AW$57:$AW$66)*BK141), N($AK$57:$AK$66&gt;$AI141))
) / 1000</f>
        <v>0</v>
      </c>
      <c r="BQ141" s="250">
        <f t="shared" si="250"/>
        <v>20</v>
      </c>
      <c r="BR141" s="237">
        <f t="shared" si="380"/>
        <v>33</v>
      </c>
      <c r="BS141" s="253">
        <f t="shared" si="381"/>
        <v>4.8487499999999999</v>
      </c>
      <c r="BT141" s="253" cm="1">
        <f t="array" ref="BT141">$BC141 * IF($AD141&lt;=2,
SUMPRODUCT(INDEX($AL$62:$AN$66,,$AE141), INDEX($AO$62:$AU$66,,$AD141), 1 / ($AV$62:$AV$66*BS141 + (1-$AV$62:$AV$66)*BO141), N($AK$62:$AK$66&gt;$AI141)),
SUMPRODUCT(INDEX($AL$47:$AN$56,,$AE141), INDEX($AO$47:$AU$56,,$AD141), 1 / ($AW$47:$AW$56*BS141 + (1-$AW$47:$AW$56)*BO141), N($AK$47:$AK$56&gt;$AI141))
) / 1000</f>
        <v>0</v>
      </c>
      <c r="BU141" s="253" cm="1">
        <f t="array" ref="BU141">$BC141 * IF($AD141&lt;=2,
SUMPRODUCT(INDEX($AL$23:$AN$61,,$AE141), INDEX($AO$23:$AU$61,,$AD141), 1 / ($AV$23:$AV$61*BS141), N($AK$23:$AK$61&gt;$AI141)),
SUMPRODUCT(INDEX($AL$23:$AN$46,,$AE141), INDEX($AO$23:$AU$46,,$AD141), 1 / ($AW$23:$AW$46*BS141), N($AK$23:$AK$46&gt;$AI141))
) / 1000</f>
        <v>0</v>
      </c>
      <c r="BV141" s="237">
        <f t="shared" si="382"/>
        <v>0</v>
      </c>
      <c r="BW141" s="210"/>
      <c r="BX141" s="237">
        <f t="shared" si="383"/>
        <v>0</v>
      </c>
      <c r="BY141" s="236">
        <v>35</v>
      </c>
      <c r="BZ141" s="237">
        <f t="shared" si="384"/>
        <v>48</v>
      </c>
      <c r="CA141" s="253">
        <f t="shared" si="385"/>
        <v>3.0748170731707316</v>
      </c>
      <c r="CB141" s="253" cm="1">
        <f t="array" ref="CB141">$BC141 * SUMPRODUCT(INDEX($AL$77:$AN$82,,$AE141),INDEX($AO$77:$AU$82,,$AD141), N($AK$77:$AK$82&gt;$AI141)) / CA141 / 1000</f>
        <v>0</v>
      </c>
      <c r="CC141" s="250">
        <f t="shared" si="257"/>
        <v>30</v>
      </c>
      <c r="CD141" s="237">
        <f t="shared" si="386"/>
        <v>43</v>
      </c>
      <c r="CE141" s="253">
        <f t="shared" si="387"/>
        <v>3.5018750000000001</v>
      </c>
      <c r="CF141" s="253" cm="1">
        <f t="array" ref="CF141">$BC141 * IF($AD141&lt;=2,
SUMPRODUCT(INDEX($AL$72:$AN$76,,$AE141), INDEX($AO$72:$AU$76,,$AD141), 1 / ($AV$72:$AV$76*CE141 + (1-$AV$72:$AV$76)*CA141), N($AK$72:$AK$76&gt;$AI141)),
SUMPRODUCT(INDEX($AL$67:$AN$76,,$AE141), INDEX($AO$67:$AU$76,,$AD141), 1 / ($AW$67:$AW$76*CE141 + (1-$AW$67:$AW$76)*CA141), N($AK$67:$AK$76&gt;$AI141))
) / 1000</f>
        <v>0</v>
      </c>
      <c r="CG141" s="250">
        <f t="shared" si="260"/>
        <v>25</v>
      </c>
      <c r="CH141" s="237">
        <f t="shared" si="388"/>
        <v>38</v>
      </c>
      <c r="CI141" s="253">
        <f t="shared" si="389"/>
        <v>4.0666935483870965</v>
      </c>
      <c r="CJ141" s="253" cm="1">
        <f t="array" ref="CJ141">$BC141 * IF($AD141&lt;=2,
SUMPRODUCT(INDEX($AL$67:$AN$71,,$AE141), INDEX($AO$67:$AU$71,,$AD141), 1 / ($AV$67:$AV$71*CI141 + (1-$AV$67:$AV$71)*CE141), N($AK$67:$AK$71&gt;$AI141)),
SUMPRODUCT(INDEX($AL$57:$AN$66,,$AE141), INDEX($AO$57:$AU$66,,$AD141), 1 / ($AW$57:$AW$66*CI141 + (1-$AW$57:$AW$66)*CE141), N($AK$57:$AK$66&gt;$AI141))
) / 1000</f>
        <v>0</v>
      </c>
      <c r="CK141" s="250">
        <f t="shared" si="263"/>
        <v>20</v>
      </c>
      <c r="CL141" s="237">
        <f t="shared" si="390"/>
        <v>33</v>
      </c>
      <c r="CM141" s="253">
        <f t="shared" si="391"/>
        <v>4.8487499999999999</v>
      </c>
      <c r="CN141" s="253" cm="1">
        <f t="array" ref="CN141">$BC141 * IF($AD141&lt;=2,
SUMPRODUCT(INDEX($AL$62:$AN$66,,$AE141), INDEX($AO$62:$AU$66,,$AD141), 1 / ($AV$62:$AV$66*CM141 + (1-$AV$62:$AV$66)*CI141), N($AK$62:$AK$66&gt;$AI141)),
SUMPRODUCT(INDEX($AL$47:$AN$56,,$AE141), INDEX($AO$47:$AU$56,,$AD141), 1 / ($AW$47:$AW$56*CM141 + (1-$AW$47:$AW$56)*CI141), N($AK$47:$AK$56&gt;$AI141))
) / 1000</f>
        <v>0</v>
      </c>
      <c r="CO141" s="253" cm="1">
        <f t="array" ref="CO141">$BC141 * IF($AD141&lt;=2,
SUMPRODUCT(INDEX($AL$23:$AN$61,,$AE141), INDEX($AO$23:$AU$61,,$AD141), 1 / ($AV$23:$AV$61*CM141), N($AK$23:$AK$61&gt;$AI141)),
SUMPRODUCT(INDEX($AL$23:$AN$46,,$AE141), INDEX($AO$23:$AU$46,,$AD141), 1 / ($AW$23:$AW$46*CM141), N($AK$23:$AK$46&gt;$AI141))
) / 1000</f>
        <v>0</v>
      </c>
      <c r="CP141" s="237">
        <f t="shared" si="392"/>
        <v>0</v>
      </c>
      <c r="CQ141" s="210"/>
    </row>
    <row r="142" spans="1:95" s="76" customFormat="1" ht="14.25" customHeight="1" x14ac:dyDescent="0.2">
      <c r="A142" s="238" t="b">
        <f t="shared" si="227"/>
        <v>0</v>
      </c>
      <c r="B142" s="239">
        <v>120</v>
      </c>
      <c r="C142" s="258"/>
      <c r="D142" s="258"/>
      <c r="E142" s="240"/>
      <c r="F142" s="241" t="str">
        <f>IF(ISBLANK(E142), "", VLOOKUP(E142, Z!$A$2:$C$4127, 3, FALSE))</f>
        <v/>
      </c>
      <c r="G142" s="242"/>
      <c r="H142" s="242"/>
      <c r="I142" s="243"/>
      <c r="J142" s="244"/>
      <c r="K142" s="259"/>
      <c r="L142" s="260"/>
      <c r="M142" s="247" t="str" cm="1">
        <f t="array" ref="M142">IF($K142&gt;0, INDEX(Clean,1+AG142,$C$1), "")</f>
        <v/>
      </c>
      <c r="N142" s="245"/>
      <c r="O142" s="245"/>
      <c r="P142" s="246"/>
      <c r="Q142" s="248">
        <f t="shared" si="369"/>
        <v>0</v>
      </c>
      <c r="R142" s="247" t="str" cm="1">
        <f t="array" ref="R142">IF($K142&gt;0, INDEX(Clean,1+AH142,$C$1), "")</f>
        <v/>
      </c>
      <c r="S142" s="245"/>
      <c r="T142" s="245"/>
      <c r="U142" s="246"/>
      <c r="V142" s="248">
        <f t="shared" si="370"/>
        <v>0</v>
      </c>
      <c r="W142" s="261"/>
      <c r="X142" s="258"/>
      <c r="Y142" s="240"/>
      <c r="Z142" s="241" t="str">
        <f>IF(ISBLANK(Y142), "", VLOOKUP(Y142, Z!$A$2:$C$4127, 3, FALSE))</f>
        <v/>
      </c>
      <c r="AA142" s="262"/>
      <c r="AB142" s="249">
        <f t="shared" si="234"/>
        <v>0</v>
      </c>
      <c r="AC142" s="210"/>
      <c r="AD142" s="236">
        <f t="shared" si="393"/>
        <v>1</v>
      </c>
      <c r="AE142" s="236">
        <f t="shared" si="394"/>
        <v>1</v>
      </c>
      <c r="AF142" s="236">
        <f t="shared" si="395"/>
        <v>0</v>
      </c>
      <c r="AG142" s="236">
        <v>1</v>
      </c>
      <c r="AH142" s="236">
        <v>0</v>
      </c>
      <c r="AI142" s="236">
        <f t="shared" si="371"/>
        <v>-100</v>
      </c>
      <c r="AJ142" s="210"/>
      <c r="AK142" s="254"/>
      <c r="AL142" s="254"/>
      <c r="AM142" s="255"/>
      <c r="AN142" s="255"/>
      <c r="AO142" s="255"/>
      <c r="AP142" s="255"/>
      <c r="AQ142" s="255"/>
      <c r="AR142" s="255"/>
      <c r="AS142" s="255"/>
      <c r="AT142" s="255"/>
      <c r="AU142" s="255"/>
      <c r="AV142" s="255"/>
      <c r="AW142" s="255"/>
      <c r="AX142" s="210"/>
      <c r="AY142" s="236" cm="1">
        <f t="array" ref="AY142">INDEX(Use, $AD142, 4)</f>
        <v>7</v>
      </c>
      <c r="AZ142" s="236">
        <f t="shared" si="372"/>
        <v>32</v>
      </c>
      <c r="BA142" s="236">
        <f t="shared" si="239"/>
        <v>13</v>
      </c>
      <c r="BB142" s="236">
        <f t="shared" si="240"/>
        <v>0</v>
      </c>
      <c r="BC142" s="252" cm="1">
        <f t="array" ref="BC142">K142/IF($L142&gt;0, INDEX($AO$23:$AU$77, $L142+20, $AD142), 1)</f>
        <v>0</v>
      </c>
      <c r="BD142" s="237">
        <f t="shared" si="373"/>
        <v>0</v>
      </c>
      <c r="BE142" s="236">
        <v>35</v>
      </c>
      <c r="BF142" s="237">
        <f t="shared" si="374"/>
        <v>52.55</v>
      </c>
      <c r="BG142" s="253">
        <f t="shared" si="375"/>
        <v>2.7676728869374316</v>
      </c>
      <c r="BH142" s="253" cm="1">
        <f t="array" ref="BH142">$BC142 * SUMPRODUCT(INDEX($AL$77:$AN$82,,$AE142),INDEX($AO$77:$AU$82,,$AD142), N($AK$77:$AK$82&gt;$AI142)) / BG142 / 1000</f>
        <v>0</v>
      </c>
      <c r="BI142" s="250">
        <f t="shared" si="244"/>
        <v>30</v>
      </c>
      <c r="BJ142" s="237">
        <f t="shared" si="376"/>
        <v>46.033333333333331</v>
      </c>
      <c r="BK142" s="253">
        <f t="shared" si="377"/>
        <v>3.2297395388556791</v>
      </c>
      <c r="BL142" s="253" cm="1">
        <f t="array" ref="BL142">$BC142 * IF($AD142&lt;=2,
SUMPRODUCT(INDEX($AL$72:$AN$76,,$AE142), INDEX($AO$72:$AU$76,,$AD142), 1 / ($AV$72:$AV$76*BK142 + (1-$AV$72:$AV$76)*BG142), N($AK$72:$AK$76&gt;$AI142)),
SUMPRODUCT(INDEX($AL$67:$AN$76,,$AE142), INDEX($AO$67:$AU$76,,$AD142), 1 / ($AW$67:$AW$76*BK142 + (1-$AW$67:$AW$76)*BG142), N($AK$67:$AK$76&gt;$AI142))
) / 1000</f>
        <v>0</v>
      </c>
      <c r="BM142" s="250">
        <f t="shared" si="247"/>
        <v>25</v>
      </c>
      <c r="BN142" s="237">
        <f t="shared" si="378"/>
        <v>39.516666666666666</v>
      </c>
      <c r="BO142" s="253">
        <f t="shared" si="379"/>
        <v>3.877011788826243</v>
      </c>
      <c r="BP142" s="253" cm="1">
        <f t="array" ref="BP142">$BC142 * IF($AD142&lt;=2,
SUMPRODUCT(INDEX($AL$67:$AN$71,,$AE142), INDEX($AO$67:$AU$71,,$AD142), 1 / ($AV$67:$AV$71*BO142 + (1-$AV$67:$AV$71)*BK142), N($AK$67:$AK$71&gt;$AI142)),
SUMPRODUCT(INDEX($AL$57:$AN$66,,$AE142), INDEX($AO$57:$AU$66,,$AD142), 1 / ($AW$57:$AW$66*BO142 + (1-$AW$57:$AW$66)*BK142), N($AK$57:$AK$66&gt;$AI142))
) / 1000</f>
        <v>0</v>
      </c>
      <c r="BQ142" s="250">
        <f t="shared" si="250"/>
        <v>20</v>
      </c>
      <c r="BR142" s="237">
        <f t="shared" si="380"/>
        <v>33</v>
      </c>
      <c r="BS142" s="253">
        <f t="shared" si="381"/>
        <v>4.8487499999999999</v>
      </c>
      <c r="BT142" s="253" cm="1">
        <f t="array" ref="BT142">$BC142 * IF($AD142&lt;=2,
SUMPRODUCT(INDEX($AL$62:$AN$66,,$AE142), INDEX($AO$62:$AU$66,,$AD142), 1 / ($AV$62:$AV$66*BS142 + (1-$AV$62:$AV$66)*BO142), N($AK$62:$AK$66&gt;$AI142)),
SUMPRODUCT(INDEX($AL$47:$AN$56,,$AE142), INDEX($AO$47:$AU$56,,$AD142), 1 / ($AW$47:$AW$56*BS142 + (1-$AW$47:$AW$56)*BO142), N($AK$47:$AK$56&gt;$AI142))
) / 1000</f>
        <v>0</v>
      </c>
      <c r="BU142" s="253" cm="1">
        <f t="array" ref="BU142">$BC142 * IF($AD142&lt;=2,
SUMPRODUCT(INDEX($AL$23:$AN$61,,$AE142), INDEX($AO$23:$AU$61,,$AD142), 1 / ($AV$23:$AV$61*BS142), N($AK$23:$AK$61&gt;$AI142)),
SUMPRODUCT(INDEX($AL$23:$AN$46,,$AE142), INDEX($AO$23:$AU$46,,$AD142), 1 / ($AW$23:$AW$46*BS142), N($AK$23:$AK$46&gt;$AI142))
) / 1000</f>
        <v>0</v>
      </c>
      <c r="BV142" s="237">
        <f t="shared" si="382"/>
        <v>0</v>
      </c>
      <c r="BW142" s="210"/>
      <c r="BX142" s="237">
        <f t="shared" si="383"/>
        <v>0</v>
      </c>
      <c r="BY142" s="236">
        <v>35</v>
      </c>
      <c r="BZ142" s="237">
        <f t="shared" si="384"/>
        <v>48</v>
      </c>
      <c r="CA142" s="253">
        <f t="shared" si="385"/>
        <v>3.0748170731707316</v>
      </c>
      <c r="CB142" s="253" cm="1">
        <f t="array" ref="CB142">$BC142 * SUMPRODUCT(INDEX($AL$77:$AN$82,,$AE142),INDEX($AO$77:$AU$82,,$AD142), N($AK$77:$AK$82&gt;$AI142)) / CA142 / 1000</f>
        <v>0</v>
      </c>
      <c r="CC142" s="250">
        <f t="shared" si="257"/>
        <v>30</v>
      </c>
      <c r="CD142" s="237">
        <f t="shared" si="386"/>
        <v>43</v>
      </c>
      <c r="CE142" s="253">
        <f t="shared" si="387"/>
        <v>3.5018750000000001</v>
      </c>
      <c r="CF142" s="253" cm="1">
        <f t="array" ref="CF142">$BC142 * IF($AD142&lt;=2,
SUMPRODUCT(INDEX($AL$72:$AN$76,,$AE142), INDEX($AO$72:$AU$76,,$AD142), 1 / ($AV$72:$AV$76*CE142 + (1-$AV$72:$AV$76)*CA142), N($AK$72:$AK$76&gt;$AI142)),
SUMPRODUCT(INDEX($AL$67:$AN$76,,$AE142), INDEX($AO$67:$AU$76,,$AD142), 1 / ($AW$67:$AW$76*CE142 + (1-$AW$67:$AW$76)*CA142), N($AK$67:$AK$76&gt;$AI142))
) / 1000</f>
        <v>0</v>
      </c>
      <c r="CG142" s="250">
        <f t="shared" si="260"/>
        <v>25</v>
      </c>
      <c r="CH142" s="237">
        <f t="shared" si="388"/>
        <v>38</v>
      </c>
      <c r="CI142" s="253">
        <f t="shared" si="389"/>
        <v>4.0666935483870965</v>
      </c>
      <c r="CJ142" s="253" cm="1">
        <f t="array" ref="CJ142">$BC142 * IF($AD142&lt;=2,
SUMPRODUCT(INDEX($AL$67:$AN$71,,$AE142), INDEX($AO$67:$AU$71,,$AD142), 1 / ($AV$67:$AV$71*CI142 + (1-$AV$67:$AV$71)*CE142), N($AK$67:$AK$71&gt;$AI142)),
SUMPRODUCT(INDEX($AL$57:$AN$66,,$AE142), INDEX($AO$57:$AU$66,,$AD142), 1 / ($AW$57:$AW$66*CI142 + (1-$AW$57:$AW$66)*CE142), N($AK$57:$AK$66&gt;$AI142))
) / 1000</f>
        <v>0</v>
      </c>
      <c r="CK142" s="250">
        <f t="shared" si="263"/>
        <v>20</v>
      </c>
      <c r="CL142" s="237">
        <f t="shared" si="390"/>
        <v>33</v>
      </c>
      <c r="CM142" s="253">
        <f t="shared" si="391"/>
        <v>4.8487499999999999</v>
      </c>
      <c r="CN142" s="253" cm="1">
        <f t="array" ref="CN142">$BC142 * IF($AD142&lt;=2,
SUMPRODUCT(INDEX($AL$62:$AN$66,,$AE142), INDEX($AO$62:$AU$66,,$AD142), 1 / ($AV$62:$AV$66*CM142 + (1-$AV$62:$AV$66)*CI142), N($AK$62:$AK$66&gt;$AI142)),
SUMPRODUCT(INDEX($AL$47:$AN$56,,$AE142), INDEX($AO$47:$AU$56,,$AD142), 1 / ($AW$47:$AW$56*CM142 + (1-$AW$47:$AW$56)*CI142), N($AK$47:$AK$56&gt;$AI142))
) / 1000</f>
        <v>0</v>
      </c>
      <c r="CO142" s="253" cm="1">
        <f t="array" ref="CO142">$BC142 * IF($AD142&lt;=2,
SUMPRODUCT(INDEX($AL$23:$AN$61,,$AE142), INDEX($AO$23:$AU$61,,$AD142), 1 / ($AV$23:$AV$61*CM142), N($AK$23:$AK$61&gt;$AI142)),
SUMPRODUCT(INDEX($AL$23:$AN$46,,$AE142), INDEX($AO$23:$AU$46,,$AD142), 1 / ($AW$23:$AW$46*CM142), N($AK$23:$AK$46&gt;$AI142))
) / 1000</f>
        <v>0</v>
      </c>
      <c r="CP142" s="237">
        <f t="shared" si="392"/>
        <v>0</v>
      </c>
      <c r="CQ142" s="210"/>
    </row>
    <row r="143" spans="1:95" s="76" customFormat="1" ht="14.25" customHeight="1" x14ac:dyDescent="0.2">
      <c r="A143" s="238" t="b">
        <f t="shared" si="227"/>
        <v>0</v>
      </c>
      <c r="B143" s="239">
        <v>121</v>
      </c>
      <c r="C143" s="258"/>
      <c r="D143" s="258"/>
      <c r="E143" s="240"/>
      <c r="F143" s="241" t="str">
        <f>IF(ISBLANK(E143), "", VLOOKUP(E143, Z!$A$2:$C$4127, 3, FALSE))</f>
        <v/>
      </c>
      <c r="G143" s="242"/>
      <c r="H143" s="242"/>
      <c r="I143" s="243"/>
      <c r="J143" s="244"/>
      <c r="K143" s="259"/>
      <c r="L143" s="260"/>
      <c r="M143" s="247" t="str" cm="1">
        <f t="array" ref="M143">IF($K143&gt;0, INDEX(Clean,1+AG143,$C$1), "")</f>
        <v/>
      </c>
      <c r="N143" s="245"/>
      <c r="O143" s="245"/>
      <c r="P143" s="246"/>
      <c r="Q143" s="248">
        <f t="shared" si="369"/>
        <v>0</v>
      </c>
      <c r="R143" s="247" t="str" cm="1">
        <f t="array" ref="R143">IF($K143&gt;0, INDEX(Clean,1+AH143,$C$1), "")</f>
        <v/>
      </c>
      <c r="S143" s="245"/>
      <c r="T143" s="245"/>
      <c r="U143" s="246"/>
      <c r="V143" s="248">
        <f t="shared" si="370"/>
        <v>0</v>
      </c>
      <c r="W143" s="261"/>
      <c r="X143" s="258"/>
      <c r="Y143" s="240"/>
      <c r="Z143" s="241" t="str">
        <f>IF(ISBLANK(Y143), "", VLOOKUP(Y143, Z!$A$2:$C$4127, 3, FALSE))</f>
        <v/>
      </c>
      <c r="AA143" s="262"/>
      <c r="AB143" s="249">
        <f t="shared" si="234"/>
        <v>0</v>
      </c>
      <c r="AC143" s="210"/>
      <c r="AD143" s="236">
        <f t="shared" si="393"/>
        <v>1</v>
      </c>
      <c r="AE143" s="236">
        <f t="shared" si="394"/>
        <v>1</v>
      </c>
      <c r="AF143" s="236">
        <f t="shared" si="395"/>
        <v>0</v>
      </c>
      <c r="AG143" s="236">
        <v>1</v>
      </c>
      <c r="AH143" s="236">
        <v>0</v>
      </c>
      <c r="AI143" s="236">
        <f t="shared" si="371"/>
        <v>-100</v>
      </c>
      <c r="AJ143" s="210"/>
      <c r="AK143" s="254"/>
      <c r="AL143" s="254"/>
      <c r="AM143" s="255"/>
      <c r="AN143" s="255"/>
      <c r="AO143" s="255"/>
      <c r="AP143" s="255"/>
      <c r="AQ143" s="255"/>
      <c r="AR143" s="255"/>
      <c r="AS143" s="255"/>
      <c r="AT143" s="255"/>
      <c r="AU143" s="255"/>
      <c r="AV143" s="255"/>
      <c r="AW143" s="255"/>
      <c r="AX143" s="210"/>
      <c r="AY143" s="236" cm="1">
        <f t="array" ref="AY143">INDEX(Use, $AD143, 4)</f>
        <v>7</v>
      </c>
      <c r="AZ143" s="236">
        <f t="shared" si="372"/>
        <v>32</v>
      </c>
      <c r="BA143" s="236">
        <f t="shared" si="239"/>
        <v>13</v>
      </c>
      <c r="BB143" s="236">
        <f t="shared" si="240"/>
        <v>0</v>
      </c>
      <c r="BC143" s="252" cm="1">
        <f t="array" ref="BC143">K143/IF($L143&gt;0, INDEX($AO$23:$AU$77, $L143+20, $AD143), 1)</f>
        <v>0</v>
      </c>
      <c r="BD143" s="237">
        <f t="shared" si="373"/>
        <v>0</v>
      </c>
      <c r="BE143" s="236">
        <v>35</v>
      </c>
      <c r="BF143" s="237">
        <f t="shared" si="374"/>
        <v>52.55</v>
      </c>
      <c r="BG143" s="253">
        <f t="shared" si="375"/>
        <v>2.7676728869374316</v>
      </c>
      <c r="BH143" s="253" cm="1">
        <f t="array" ref="BH143">$BC143 * SUMPRODUCT(INDEX($AL$77:$AN$82,,$AE143),INDEX($AO$77:$AU$82,,$AD143), N($AK$77:$AK$82&gt;$AI143)) / BG143 / 1000</f>
        <v>0</v>
      </c>
      <c r="BI143" s="250">
        <f t="shared" si="244"/>
        <v>30</v>
      </c>
      <c r="BJ143" s="237">
        <f t="shared" si="376"/>
        <v>46.033333333333331</v>
      </c>
      <c r="BK143" s="253">
        <f t="shared" si="377"/>
        <v>3.2297395388556791</v>
      </c>
      <c r="BL143" s="253" cm="1">
        <f t="array" ref="BL143">$BC143 * IF($AD143&lt;=2,
SUMPRODUCT(INDEX($AL$72:$AN$76,,$AE143), INDEX($AO$72:$AU$76,,$AD143), 1 / ($AV$72:$AV$76*BK143 + (1-$AV$72:$AV$76)*BG143), N($AK$72:$AK$76&gt;$AI143)),
SUMPRODUCT(INDEX($AL$67:$AN$76,,$AE143), INDEX($AO$67:$AU$76,,$AD143), 1 / ($AW$67:$AW$76*BK143 + (1-$AW$67:$AW$76)*BG143), N($AK$67:$AK$76&gt;$AI143))
) / 1000</f>
        <v>0</v>
      </c>
      <c r="BM143" s="250">
        <f t="shared" si="247"/>
        <v>25</v>
      </c>
      <c r="BN143" s="237">
        <f t="shared" si="378"/>
        <v>39.516666666666666</v>
      </c>
      <c r="BO143" s="253">
        <f t="shared" si="379"/>
        <v>3.877011788826243</v>
      </c>
      <c r="BP143" s="253" cm="1">
        <f t="array" ref="BP143">$BC143 * IF($AD143&lt;=2,
SUMPRODUCT(INDEX($AL$67:$AN$71,,$AE143), INDEX($AO$67:$AU$71,,$AD143), 1 / ($AV$67:$AV$71*BO143 + (1-$AV$67:$AV$71)*BK143), N($AK$67:$AK$71&gt;$AI143)),
SUMPRODUCT(INDEX($AL$57:$AN$66,,$AE143), INDEX($AO$57:$AU$66,,$AD143), 1 / ($AW$57:$AW$66*BO143 + (1-$AW$57:$AW$66)*BK143), N($AK$57:$AK$66&gt;$AI143))
) / 1000</f>
        <v>0</v>
      </c>
      <c r="BQ143" s="250">
        <f t="shared" si="250"/>
        <v>20</v>
      </c>
      <c r="BR143" s="237">
        <f t="shared" si="380"/>
        <v>33</v>
      </c>
      <c r="BS143" s="253">
        <f t="shared" si="381"/>
        <v>4.8487499999999999</v>
      </c>
      <c r="BT143" s="253" cm="1">
        <f t="array" ref="BT143">$BC143 * IF($AD143&lt;=2,
SUMPRODUCT(INDEX($AL$62:$AN$66,,$AE143), INDEX($AO$62:$AU$66,,$AD143), 1 / ($AV$62:$AV$66*BS143 + (1-$AV$62:$AV$66)*BO143), N($AK$62:$AK$66&gt;$AI143)),
SUMPRODUCT(INDEX($AL$47:$AN$56,,$AE143), INDEX($AO$47:$AU$56,,$AD143), 1 / ($AW$47:$AW$56*BS143 + (1-$AW$47:$AW$56)*BO143), N($AK$47:$AK$56&gt;$AI143))
) / 1000</f>
        <v>0</v>
      </c>
      <c r="BU143" s="253" cm="1">
        <f t="array" ref="BU143">$BC143 * IF($AD143&lt;=2,
SUMPRODUCT(INDEX($AL$23:$AN$61,,$AE143), INDEX($AO$23:$AU$61,,$AD143), 1 / ($AV$23:$AV$61*BS143), N($AK$23:$AK$61&gt;$AI143)),
SUMPRODUCT(INDEX($AL$23:$AN$46,,$AE143), INDEX($AO$23:$AU$46,,$AD143), 1 / ($AW$23:$AW$46*BS143), N($AK$23:$AK$46&gt;$AI143))
) / 1000</f>
        <v>0</v>
      </c>
      <c r="BV143" s="237">
        <f t="shared" si="382"/>
        <v>0</v>
      </c>
      <c r="BW143" s="210"/>
      <c r="BX143" s="237">
        <f t="shared" si="383"/>
        <v>0</v>
      </c>
      <c r="BY143" s="236">
        <v>35</v>
      </c>
      <c r="BZ143" s="237">
        <f t="shared" si="384"/>
        <v>48</v>
      </c>
      <c r="CA143" s="253">
        <f t="shared" si="385"/>
        <v>3.0748170731707316</v>
      </c>
      <c r="CB143" s="253" cm="1">
        <f t="array" ref="CB143">$BC143 * SUMPRODUCT(INDEX($AL$77:$AN$82,,$AE143),INDEX($AO$77:$AU$82,,$AD143), N($AK$77:$AK$82&gt;$AI143)) / CA143 / 1000</f>
        <v>0</v>
      </c>
      <c r="CC143" s="250">
        <f t="shared" si="257"/>
        <v>30</v>
      </c>
      <c r="CD143" s="237">
        <f t="shared" si="386"/>
        <v>43</v>
      </c>
      <c r="CE143" s="253">
        <f t="shared" si="387"/>
        <v>3.5018750000000001</v>
      </c>
      <c r="CF143" s="253" cm="1">
        <f t="array" ref="CF143">$BC143 * IF($AD143&lt;=2,
SUMPRODUCT(INDEX($AL$72:$AN$76,,$AE143), INDEX($AO$72:$AU$76,,$AD143), 1 / ($AV$72:$AV$76*CE143 + (1-$AV$72:$AV$76)*CA143), N($AK$72:$AK$76&gt;$AI143)),
SUMPRODUCT(INDEX($AL$67:$AN$76,,$AE143), INDEX($AO$67:$AU$76,,$AD143), 1 / ($AW$67:$AW$76*CE143 + (1-$AW$67:$AW$76)*CA143), N($AK$67:$AK$76&gt;$AI143))
) / 1000</f>
        <v>0</v>
      </c>
      <c r="CG143" s="250">
        <f t="shared" si="260"/>
        <v>25</v>
      </c>
      <c r="CH143" s="237">
        <f t="shared" si="388"/>
        <v>38</v>
      </c>
      <c r="CI143" s="253">
        <f t="shared" si="389"/>
        <v>4.0666935483870965</v>
      </c>
      <c r="CJ143" s="253" cm="1">
        <f t="array" ref="CJ143">$BC143 * IF($AD143&lt;=2,
SUMPRODUCT(INDEX($AL$67:$AN$71,,$AE143), INDEX($AO$67:$AU$71,,$AD143), 1 / ($AV$67:$AV$71*CI143 + (1-$AV$67:$AV$71)*CE143), N($AK$67:$AK$71&gt;$AI143)),
SUMPRODUCT(INDEX($AL$57:$AN$66,,$AE143), INDEX($AO$57:$AU$66,,$AD143), 1 / ($AW$57:$AW$66*CI143 + (1-$AW$57:$AW$66)*CE143), N($AK$57:$AK$66&gt;$AI143))
) / 1000</f>
        <v>0</v>
      </c>
      <c r="CK143" s="250">
        <f t="shared" si="263"/>
        <v>20</v>
      </c>
      <c r="CL143" s="237">
        <f t="shared" si="390"/>
        <v>33</v>
      </c>
      <c r="CM143" s="253">
        <f t="shared" si="391"/>
        <v>4.8487499999999999</v>
      </c>
      <c r="CN143" s="253" cm="1">
        <f t="array" ref="CN143">$BC143 * IF($AD143&lt;=2,
SUMPRODUCT(INDEX($AL$62:$AN$66,,$AE143), INDEX($AO$62:$AU$66,,$AD143), 1 / ($AV$62:$AV$66*CM143 + (1-$AV$62:$AV$66)*CI143), N($AK$62:$AK$66&gt;$AI143)),
SUMPRODUCT(INDEX($AL$47:$AN$56,,$AE143), INDEX($AO$47:$AU$56,,$AD143), 1 / ($AW$47:$AW$56*CM143 + (1-$AW$47:$AW$56)*CI143), N($AK$47:$AK$56&gt;$AI143))
) / 1000</f>
        <v>0</v>
      </c>
      <c r="CO143" s="253" cm="1">
        <f t="array" ref="CO143">$BC143 * IF($AD143&lt;=2,
SUMPRODUCT(INDEX($AL$23:$AN$61,,$AE143), INDEX($AO$23:$AU$61,,$AD143), 1 / ($AV$23:$AV$61*CM143), N($AK$23:$AK$61&gt;$AI143)),
SUMPRODUCT(INDEX($AL$23:$AN$46,,$AE143), INDEX($AO$23:$AU$46,,$AD143), 1 / ($AW$23:$AW$46*CM143), N($AK$23:$AK$46&gt;$AI143))
) / 1000</f>
        <v>0</v>
      </c>
      <c r="CP143" s="237">
        <f t="shared" si="392"/>
        <v>0</v>
      </c>
      <c r="CQ143" s="210"/>
    </row>
    <row r="144" spans="1:95" s="76" customFormat="1" ht="14.25" customHeight="1" x14ac:dyDescent="0.2">
      <c r="A144" s="238" t="b">
        <f t="shared" si="227"/>
        <v>0</v>
      </c>
      <c r="B144" s="239">
        <v>122</v>
      </c>
      <c r="C144" s="258"/>
      <c r="D144" s="258"/>
      <c r="E144" s="240"/>
      <c r="F144" s="241" t="str">
        <f>IF(ISBLANK(E144), "", VLOOKUP(E144, Z!$A$2:$C$4127, 3, FALSE))</f>
        <v/>
      </c>
      <c r="G144" s="242"/>
      <c r="H144" s="242"/>
      <c r="I144" s="243"/>
      <c r="J144" s="244"/>
      <c r="K144" s="259"/>
      <c r="L144" s="260"/>
      <c r="M144" s="247" t="str" cm="1">
        <f t="array" ref="M144">IF($K144&gt;0, INDEX(Clean,1+AG144,$C$1), "")</f>
        <v/>
      </c>
      <c r="N144" s="245"/>
      <c r="O144" s="245"/>
      <c r="P144" s="246"/>
      <c r="Q144" s="248">
        <f t="shared" si="369"/>
        <v>0</v>
      </c>
      <c r="R144" s="247" t="str" cm="1">
        <f t="array" ref="R144">IF($K144&gt;0, INDEX(Clean,1+AH144,$C$1), "")</f>
        <v/>
      </c>
      <c r="S144" s="245"/>
      <c r="T144" s="245"/>
      <c r="U144" s="246"/>
      <c r="V144" s="248">
        <f t="shared" si="370"/>
        <v>0</v>
      </c>
      <c r="W144" s="261"/>
      <c r="X144" s="258"/>
      <c r="Y144" s="240"/>
      <c r="Z144" s="241" t="str">
        <f>IF(ISBLANK(Y144), "", VLOOKUP(Y144, Z!$A$2:$C$4127, 3, FALSE))</f>
        <v/>
      </c>
      <c r="AA144" s="262"/>
      <c r="AB144" s="249">
        <f t="shared" si="234"/>
        <v>0</v>
      </c>
      <c r="AC144" s="210"/>
      <c r="AD144" s="236">
        <f t="shared" si="393"/>
        <v>1</v>
      </c>
      <c r="AE144" s="236">
        <f t="shared" si="394"/>
        <v>1</v>
      </c>
      <c r="AF144" s="236">
        <f t="shared" si="395"/>
        <v>0</v>
      </c>
      <c r="AG144" s="236">
        <v>1</v>
      </c>
      <c r="AH144" s="236">
        <v>0</v>
      </c>
      <c r="AI144" s="236">
        <f t="shared" si="371"/>
        <v>-100</v>
      </c>
      <c r="AJ144" s="210"/>
      <c r="AK144" s="254"/>
      <c r="AL144" s="254"/>
      <c r="AM144" s="255"/>
      <c r="AN144" s="255"/>
      <c r="AO144" s="255"/>
      <c r="AP144" s="255"/>
      <c r="AQ144" s="255"/>
      <c r="AR144" s="255"/>
      <c r="AS144" s="255"/>
      <c r="AT144" s="255"/>
      <c r="AU144" s="255"/>
      <c r="AV144" s="255"/>
      <c r="AW144" s="255"/>
      <c r="AX144" s="210"/>
      <c r="AY144" s="236" cm="1">
        <f t="array" ref="AY144">INDEX(Use, $AD144, 4)</f>
        <v>7</v>
      </c>
      <c r="AZ144" s="236">
        <f t="shared" si="372"/>
        <v>32</v>
      </c>
      <c r="BA144" s="236">
        <f t="shared" si="239"/>
        <v>13</v>
      </c>
      <c r="BB144" s="236">
        <f t="shared" si="240"/>
        <v>0</v>
      </c>
      <c r="BC144" s="252" cm="1">
        <f t="array" ref="BC144">K144/IF($L144&gt;0, INDEX($AO$23:$AU$77, $L144+20, $AD144), 1)</f>
        <v>0</v>
      </c>
      <c r="BD144" s="237">
        <f t="shared" si="373"/>
        <v>0</v>
      </c>
      <c r="BE144" s="236">
        <v>35</v>
      </c>
      <c r="BF144" s="237">
        <f t="shared" si="374"/>
        <v>52.55</v>
      </c>
      <c r="BG144" s="253">
        <f t="shared" si="375"/>
        <v>2.7676728869374316</v>
      </c>
      <c r="BH144" s="253" cm="1">
        <f t="array" ref="BH144">$BC144 * SUMPRODUCT(INDEX($AL$77:$AN$82,,$AE144),INDEX($AO$77:$AU$82,,$AD144), N($AK$77:$AK$82&gt;$AI144)) / BG144 / 1000</f>
        <v>0</v>
      </c>
      <c r="BI144" s="250">
        <f t="shared" si="244"/>
        <v>30</v>
      </c>
      <c r="BJ144" s="237">
        <f t="shared" si="376"/>
        <v>46.033333333333331</v>
      </c>
      <c r="BK144" s="253">
        <f t="shared" si="377"/>
        <v>3.2297395388556791</v>
      </c>
      <c r="BL144" s="253" cm="1">
        <f t="array" ref="BL144">$BC144 * IF($AD144&lt;=2,
SUMPRODUCT(INDEX($AL$72:$AN$76,,$AE144), INDEX($AO$72:$AU$76,,$AD144), 1 / ($AV$72:$AV$76*BK144 + (1-$AV$72:$AV$76)*BG144), N($AK$72:$AK$76&gt;$AI144)),
SUMPRODUCT(INDEX($AL$67:$AN$76,,$AE144), INDEX($AO$67:$AU$76,,$AD144), 1 / ($AW$67:$AW$76*BK144 + (1-$AW$67:$AW$76)*BG144), N($AK$67:$AK$76&gt;$AI144))
) / 1000</f>
        <v>0</v>
      </c>
      <c r="BM144" s="250">
        <f t="shared" si="247"/>
        <v>25</v>
      </c>
      <c r="BN144" s="237">
        <f t="shared" si="378"/>
        <v>39.516666666666666</v>
      </c>
      <c r="BO144" s="253">
        <f t="shared" si="379"/>
        <v>3.877011788826243</v>
      </c>
      <c r="BP144" s="253" cm="1">
        <f t="array" ref="BP144">$BC144 * IF($AD144&lt;=2,
SUMPRODUCT(INDEX($AL$67:$AN$71,,$AE144), INDEX($AO$67:$AU$71,,$AD144), 1 / ($AV$67:$AV$71*BO144 + (1-$AV$67:$AV$71)*BK144), N($AK$67:$AK$71&gt;$AI144)),
SUMPRODUCT(INDEX($AL$57:$AN$66,,$AE144), INDEX($AO$57:$AU$66,,$AD144), 1 / ($AW$57:$AW$66*BO144 + (1-$AW$57:$AW$66)*BK144), N($AK$57:$AK$66&gt;$AI144))
) / 1000</f>
        <v>0</v>
      </c>
      <c r="BQ144" s="250">
        <f t="shared" si="250"/>
        <v>20</v>
      </c>
      <c r="BR144" s="237">
        <f t="shared" si="380"/>
        <v>33</v>
      </c>
      <c r="BS144" s="253">
        <f t="shared" si="381"/>
        <v>4.8487499999999999</v>
      </c>
      <c r="BT144" s="253" cm="1">
        <f t="array" ref="BT144">$BC144 * IF($AD144&lt;=2,
SUMPRODUCT(INDEX($AL$62:$AN$66,,$AE144), INDEX($AO$62:$AU$66,,$AD144), 1 / ($AV$62:$AV$66*BS144 + (1-$AV$62:$AV$66)*BO144), N($AK$62:$AK$66&gt;$AI144)),
SUMPRODUCT(INDEX($AL$47:$AN$56,,$AE144), INDEX($AO$47:$AU$56,,$AD144), 1 / ($AW$47:$AW$56*BS144 + (1-$AW$47:$AW$56)*BO144), N($AK$47:$AK$56&gt;$AI144))
) / 1000</f>
        <v>0</v>
      </c>
      <c r="BU144" s="253" cm="1">
        <f t="array" ref="BU144">$BC144 * IF($AD144&lt;=2,
SUMPRODUCT(INDEX($AL$23:$AN$61,,$AE144), INDEX($AO$23:$AU$61,,$AD144), 1 / ($AV$23:$AV$61*BS144), N($AK$23:$AK$61&gt;$AI144)),
SUMPRODUCT(INDEX($AL$23:$AN$46,,$AE144), INDEX($AO$23:$AU$46,,$AD144), 1 / ($AW$23:$AW$46*BS144), N($AK$23:$AK$46&gt;$AI144))
) / 1000</f>
        <v>0</v>
      </c>
      <c r="BV144" s="237">
        <f t="shared" si="382"/>
        <v>0</v>
      </c>
      <c r="BW144" s="210"/>
      <c r="BX144" s="237">
        <f t="shared" si="383"/>
        <v>0</v>
      </c>
      <c r="BY144" s="236">
        <v>35</v>
      </c>
      <c r="BZ144" s="237">
        <f t="shared" si="384"/>
        <v>48</v>
      </c>
      <c r="CA144" s="253">
        <f t="shared" si="385"/>
        <v>3.0748170731707316</v>
      </c>
      <c r="CB144" s="253" cm="1">
        <f t="array" ref="CB144">$BC144 * SUMPRODUCT(INDEX($AL$77:$AN$82,,$AE144),INDEX($AO$77:$AU$82,,$AD144), N($AK$77:$AK$82&gt;$AI144)) / CA144 / 1000</f>
        <v>0</v>
      </c>
      <c r="CC144" s="250">
        <f t="shared" si="257"/>
        <v>30</v>
      </c>
      <c r="CD144" s="237">
        <f t="shared" si="386"/>
        <v>43</v>
      </c>
      <c r="CE144" s="253">
        <f t="shared" si="387"/>
        <v>3.5018750000000001</v>
      </c>
      <c r="CF144" s="253" cm="1">
        <f t="array" ref="CF144">$BC144 * IF($AD144&lt;=2,
SUMPRODUCT(INDEX($AL$72:$AN$76,,$AE144), INDEX($AO$72:$AU$76,,$AD144), 1 / ($AV$72:$AV$76*CE144 + (1-$AV$72:$AV$76)*CA144), N($AK$72:$AK$76&gt;$AI144)),
SUMPRODUCT(INDEX($AL$67:$AN$76,,$AE144), INDEX($AO$67:$AU$76,,$AD144), 1 / ($AW$67:$AW$76*CE144 + (1-$AW$67:$AW$76)*CA144), N($AK$67:$AK$76&gt;$AI144))
) / 1000</f>
        <v>0</v>
      </c>
      <c r="CG144" s="250">
        <f t="shared" si="260"/>
        <v>25</v>
      </c>
      <c r="CH144" s="237">
        <f t="shared" si="388"/>
        <v>38</v>
      </c>
      <c r="CI144" s="253">
        <f t="shared" si="389"/>
        <v>4.0666935483870965</v>
      </c>
      <c r="CJ144" s="253" cm="1">
        <f t="array" ref="CJ144">$BC144 * IF($AD144&lt;=2,
SUMPRODUCT(INDEX($AL$67:$AN$71,,$AE144), INDEX($AO$67:$AU$71,,$AD144), 1 / ($AV$67:$AV$71*CI144 + (1-$AV$67:$AV$71)*CE144), N($AK$67:$AK$71&gt;$AI144)),
SUMPRODUCT(INDEX($AL$57:$AN$66,,$AE144), INDEX($AO$57:$AU$66,,$AD144), 1 / ($AW$57:$AW$66*CI144 + (1-$AW$57:$AW$66)*CE144), N($AK$57:$AK$66&gt;$AI144))
) / 1000</f>
        <v>0</v>
      </c>
      <c r="CK144" s="250">
        <f t="shared" si="263"/>
        <v>20</v>
      </c>
      <c r="CL144" s="237">
        <f t="shared" si="390"/>
        <v>33</v>
      </c>
      <c r="CM144" s="253">
        <f t="shared" si="391"/>
        <v>4.8487499999999999</v>
      </c>
      <c r="CN144" s="253" cm="1">
        <f t="array" ref="CN144">$BC144 * IF($AD144&lt;=2,
SUMPRODUCT(INDEX($AL$62:$AN$66,,$AE144), INDEX($AO$62:$AU$66,,$AD144), 1 / ($AV$62:$AV$66*CM144 + (1-$AV$62:$AV$66)*CI144), N($AK$62:$AK$66&gt;$AI144)),
SUMPRODUCT(INDEX($AL$47:$AN$56,,$AE144), INDEX($AO$47:$AU$56,,$AD144), 1 / ($AW$47:$AW$56*CM144 + (1-$AW$47:$AW$56)*CI144), N($AK$47:$AK$56&gt;$AI144))
) / 1000</f>
        <v>0</v>
      </c>
      <c r="CO144" s="253" cm="1">
        <f t="array" ref="CO144">$BC144 * IF($AD144&lt;=2,
SUMPRODUCT(INDEX($AL$23:$AN$61,,$AE144), INDEX($AO$23:$AU$61,,$AD144), 1 / ($AV$23:$AV$61*CM144), N($AK$23:$AK$61&gt;$AI144)),
SUMPRODUCT(INDEX($AL$23:$AN$46,,$AE144), INDEX($AO$23:$AU$46,,$AD144), 1 / ($AW$23:$AW$46*CM144), N($AK$23:$AK$46&gt;$AI144))
) / 1000</f>
        <v>0</v>
      </c>
      <c r="CP144" s="237">
        <f t="shared" si="392"/>
        <v>0</v>
      </c>
      <c r="CQ144" s="210"/>
    </row>
    <row r="145" spans="1:95" s="76" customFormat="1" ht="14.25" customHeight="1" x14ac:dyDescent="0.2">
      <c r="A145" s="238" t="b">
        <f t="shared" si="227"/>
        <v>0</v>
      </c>
      <c r="B145" s="239">
        <v>123</v>
      </c>
      <c r="C145" s="258"/>
      <c r="D145" s="258"/>
      <c r="E145" s="240"/>
      <c r="F145" s="241" t="str">
        <f>IF(ISBLANK(E145), "", VLOOKUP(E145, Z!$A$2:$C$4127, 3, FALSE))</f>
        <v/>
      </c>
      <c r="G145" s="242"/>
      <c r="H145" s="242"/>
      <c r="I145" s="243"/>
      <c r="J145" s="244"/>
      <c r="K145" s="259"/>
      <c r="L145" s="260"/>
      <c r="M145" s="247" t="str" cm="1">
        <f t="array" ref="M145">IF($K145&gt;0, INDEX(Clean,1+AG145,$C$1), "")</f>
        <v/>
      </c>
      <c r="N145" s="245"/>
      <c r="O145" s="245"/>
      <c r="P145" s="246"/>
      <c r="Q145" s="248">
        <f t="shared" si="369"/>
        <v>0</v>
      </c>
      <c r="R145" s="247" t="str" cm="1">
        <f t="array" ref="R145">IF($K145&gt;0, INDEX(Clean,1+AH145,$C$1), "")</f>
        <v/>
      </c>
      <c r="S145" s="245"/>
      <c r="T145" s="245"/>
      <c r="U145" s="246"/>
      <c r="V145" s="248">
        <f t="shared" si="370"/>
        <v>0</v>
      </c>
      <c r="W145" s="261"/>
      <c r="X145" s="258"/>
      <c r="Y145" s="240"/>
      <c r="Z145" s="241" t="str">
        <f>IF(ISBLANK(Y145), "", VLOOKUP(Y145, Z!$A$2:$C$4127, 3, FALSE))</f>
        <v/>
      </c>
      <c r="AA145" s="262"/>
      <c r="AB145" s="249">
        <f t="shared" si="234"/>
        <v>0</v>
      </c>
      <c r="AC145" s="210"/>
      <c r="AD145" s="236">
        <f t="shared" si="393"/>
        <v>1</v>
      </c>
      <c r="AE145" s="236">
        <f t="shared" si="394"/>
        <v>1</v>
      </c>
      <c r="AF145" s="236">
        <f t="shared" si="395"/>
        <v>0</v>
      </c>
      <c r="AG145" s="236">
        <v>1</v>
      </c>
      <c r="AH145" s="236">
        <v>0</v>
      </c>
      <c r="AI145" s="236">
        <f t="shared" si="371"/>
        <v>-100</v>
      </c>
      <c r="AJ145" s="210"/>
      <c r="AK145" s="254"/>
      <c r="AL145" s="254"/>
      <c r="AM145" s="255"/>
      <c r="AN145" s="255"/>
      <c r="AO145" s="255"/>
      <c r="AP145" s="255"/>
      <c r="AQ145" s="255"/>
      <c r="AR145" s="255"/>
      <c r="AS145" s="255"/>
      <c r="AT145" s="255"/>
      <c r="AU145" s="255"/>
      <c r="AV145" s="255"/>
      <c r="AW145" s="255"/>
      <c r="AX145" s="210"/>
      <c r="AY145" s="236" cm="1">
        <f t="array" ref="AY145">INDEX(Use, $AD145, 4)</f>
        <v>7</v>
      </c>
      <c r="AZ145" s="236">
        <f t="shared" si="372"/>
        <v>32</v>
      </c>
      <c r="BA145" s="236">
        <f t="shared" si="239"/>
        <v>13</v>
      </c>
      <c r="BB145" s="236">
        <f t="shared" si="240"/>
        <v>0</v>
      </c>
      <c r="BC145" s="252" cm="1">
        <f t="array" ref="BC145">K145/IF($L145&gt;0, INDEX($AO$23:$AU$77, $L145+20, $AD145), 1)</f>
        <v>0</v>
      </c>
      <c r="BD145" s="237">
        <f t="shared" si="373"/>
        <v>0</v>
      </c>
      <c r="BE145" s="236">
        <v>35</v>
      </c>
      <c r="BF145" s="237">
        <f t="shared" si="374"/>
        <v>52.55</v>
      </c>
      <c r="BG145" s="253">
        <f t="shared" si="375"/>
        <v>2.7676728869374316</v>
      </c>
      <c r="BH145" s="253" cm="1">
        <f t="array" ref="BH145">$BC145 * SUMPRODUCT(INDEX($AL$77:$AN$82,,$AE145),INDEX($AO$77:$AU$82,,$AD145), N($AK$77:$AK$82&gt;$AI145)) / BG145 / 1000</f>
        <v>0</v>
      </c>
      <c r="BI145" s="250">
        <f t="shared" si="244"/>
        <v>30</v>
      </c>
      <c r="BJ145" s="237">
        <f t="shared" si="376"/>
        <v>46.033333333333331</v>
      </c>
      <c r="BK145" s="253">
        <f t="shared" si="377"/>
        <v>3.2297395388556791</v>
      </c>
      <c r="BL145" s="253" cm="1">
        <f t="array" ref="BL145">$BC145 * IF($AD145&lt;=2,
SUMPRODUCT(INDEX($AL$72:$AN$76,,$AE145), INDEX($AO$72:$AU$76,,$AD145), 1 / ($AV$72:$AV$76*BK145 + (1-$AV$72:$AV$76)*BG145), N($AK$72:$AK$76&gt;$AI145)),
SUMPRODUCT(INDEX($AL$67:$AN$76,,$AE145), INDEX($AO$67:$AU$76,,$AD145), 1 / ($AW$67:$AW$76*BK145 + (1-$AW$67:$AW$76)*BG145), N($AK$67:$AK$76&gt;$AI145))
) / 1000</f>
        <v>0</v>
      </c>
      <c r="BM145" s="250">
        <f t="shared" si="247"/>
        <v>25</v>
      </c>
      <c r="BN145" s="237">
        <f t="shared" si="378"/>
        <v>39.516666666666666</v>
      </c>
      <c r="BO145" s="253">
        <f t="shared" si="379"/>
        <v>3.877011788826243</v>
      </c>
      <c r="BP145" s="253" cm="1">
        <f t="array" ref="BP145">$BC145 * IF($AD145&lt;=2,
SUMPRODUCT(INDEX($AL$67:$AN$71,,$AE145), INDEX($AO$67:$AU$71,,$AD145), 1 / ($AV$67:$AV$71*BO145 + (1-$AV$67:$AV$71)*BK145), N($AK$67:$AK$71&gt;$AI145)),
SUMPRODUCT(INDEX($AL$57:$AN$66,,$AE145), INDEX($AO$57:$AU$66,,$AD145), 1 / ($AW$57:$AW$66*BO145 + (1-$AW$57:$AW$66)*BK145), N($AK$57:$AK$66&gt;$AI145))
) / 1000</f>
        <v>0</v>
      </c>
      <c r="BQ145" s="250">
        <f t="shared" si="250"/>
        <v>20</v>
      </c>
      <c r="BR145" s="237">
        <f t="shared" si="380"/>
        <v>33</v>
      </c>
      <c r="BS145" s="253">
        <f t="shared" si="381"/>
        <v>4.8487499999999999</v>
      </c>
      <c r="BT145" s="253" cm="1">
        <f t="array" ref="BT145">$BC145 * IF($AD145&lt;=2,
SUMPRODUCT(INDEX($AL$62:$AN$66,,$AE145), INDEX($AO$62:$AU$66,,$AD145), 1 / ($AV$62:$AV$66*BS145 + (1-$AV$62:$AV$66)*BO145), N($AK$62:$AK$66&gt;$AI145)),
SUMPRODUCT(INDEX($AL$47:$AN$56,,$AE145), INDEX($AO$47:$AU$56,,$AD145), 1 / ($AW$47:$AW$56*BS145 + (1-$AW$47:$AW$56)*BO145), N($AK$47:$AK$56&gt;$AI145))
) / 1000</f>
        <v>0</v>
      </c>
      <c r="BU145" s="253" cm="1">
        <f t="array" ref="BU145">$BC145 * IF($AD145&lt;=2,
SUMPRODUCT(INDEX($AL$23:$AN$61,,$AE145), INDEX($AO$23:$AU$61,,$AD145), 1 / ($AV$23:$AV$61*BS145), N($AK$23:$AK$61&gt;$AI145)),
SUMPRODUCT(INDEX($AL$23:$AN$46,,$AE145), INDEX($AO$23:$AU$46,,$AD145), 1 / ($AW$23:$AW$46*BS145), N($AK$23:$AK$46&gt;$AI145))
) / 1000</f>
        <v>0</v>
      </c>
      <c r="BV145" s="237">
        <f t="shared" si="382"/>
        <v>0</v>
      </c>
      <c r="BW145" s="210"/>
      <c r="BX145" s="237">
        <f t="shared" si="383"/>
        <v>0</v>
      </c>
      <c r="BY145" s="236">
        <v>35</v>
      </c>
      <c r="BZ145" s="237">
        <f t="shared" si="384"/>
        <v>48</v>
      </c>
      <c r="CA145" s="253">
        <f t="shared" si="385"/>
        <v>3.0748170731707316</v>
      </c>
      <c r="CB145" s="253" cm="1">
        <f t="array" ref="CB145">$BC145 * SUMPRODUCT(INDEX($AL$77:$AN$82,,$AE145),INDEX($AO$77:$AU$82,,$AD145), N($AK$77:$AK$82&gt;$AI145)) / CA145 / 1000</f>
        <v>0</v>
      </c>
      <c r="CC145" s="250">
        <f t="shared" si="257"/>
        <v>30</v>
      </c>
      <c r="CD145" s="237">
        <f t="shared" si="386"/>
        <v>43</v>
      </c>
      <c r="CE145" s="253">
        <f t="shared" si="387"/>
        <v>3.5018750000000001</v>
      </c>
      <c r="CF145" s="253" cm="1">
        <f t="array" ref="CF145">$BC145 * IF($AD145&lt;=2,
SUMPRODUCT(INDEX($AL$72:$AN$76,,$AE145), INDEX($AO$72:$AU$76,,$AD145), 1 / ($AV$72:$AV$76*CE145 + (1-$AV$72:$AV$76)*CA145), N($AK$72:$AK$76&gt;$AI145)),
SUMPRODUCT(INDEX($AL$67:$AN$76,,$AE145), INDEX($AO$67:$AU$76,,$AD145), 1 / ($AW$67:$AW$76*CE145 + (1-$AW$67:$AW$76)*CA145), N($AK$67:$AK$76&gt;$AI145))
) / 1000</f>
        <v>0</v>
      </c>
      <c r="CG145" s="250">
        <f t="shared" si="260"/>
        <v>25</v>
      </c>
      <c r="CH145" s="237">
        <f t="shared" si="388"/>
        <v>38</v>
      </c>
      <c r="CI145" s="253">
        <f t="shared" si="389"/>
        <v>4.0666935483870965</v>
      </c>
      <c r="CJ145" s="253" cm="1">
        <f t="array" ref="CJ145">$BC145 * IF($AD145&lt;=2,
SUMPRODUCT(INDEX($AL$67:$AN$71,,$AE145), INDEX($AO$67:$AU$71,,$AD145), 1 / ($AV$67:$AV$71*CI145 + (1-$AV$67:$AV$71)*CE145), N($AK$67:$AK$71&gt;$AI145)),
SUMPRODUCT(INDEX($AL$57:$AN$66,,$AE145), INDEX($AO$57:$AU$66,,$AD145), 1 / ($AW$57:$AW$66*CI145 + (1-$AW$57:$AW$66)*CE145), N($AK$57:$AK$66&gt;$AI145))
) / 1000</f>
        <v>0</v>
      </c>
      <c r="CK145" s="250">
        <f t="shared" si="263"/>
        <v>20</v>
      </c>
      <c r="CL145" s="237">
        <f t="shared" si="390"/>
        <v>33</v>
      </c>
      <c r="CM145" s="253">
        <f t="shared" si="391"/>
        <v>4.8487499999999999</v>
      </c>
      <c r="CN145" s="253" cm="1">
        <f t="array" ref="CN145">$BC145 * IF($AD145&lt;=2,
SUMPRODUCT(INDEX($AL$62:$AN$66,,$AE145), INDEX($AO$62:$AU$66,,$AD145), 1 / ($AV$62:$AV$66*CM145 + (1-$AV$62:$AV$66)*CI145), N($AK$62:$AK$66&gt;$AI145)),
SUMPRODUCT(INDEX($AL$47:$AN$56,,$AE145), INDEX($AO$47:$AU$56,,$AD145), 1 / ($AW$47:$AW$56*CM145 + (1-$AW$47:$AW$56)*CI145), N($AK$47:$AK$56&gt;$AI145))
) / 1000</f>
        <v>0</v>
      </c>
      <c r="CO145" s="253" cm="1">
        <f t="array" ref="CO145">$BC145 * IF($AD145&lt;=2,
SUMPRODUCT(INDEX($AL$23:$AN$61,,$AE145), INDEX($AO$23:$AU$61,,$AD145), 1 / ($AV$23:$AV$61*CM145), N($AK$23:$AK$61&gt;$AI145)),
SUMPRODUCT(INDEX($AL$23:$AN$46,,$AE145), INDEX($AO$23:$AU$46,,$AD145), 1 / ($AW$23:$AW$46*CM145), N($AK$23:$AK$46&gt;$AI145))
) / 1000</f>
        <v>0</v>
      </c>
      <c r="CP145" s="237">
        <f t="shared" si="392"/>
        <v>0</v>
      </c>
      <c r="CQ145" s="210"/>
    </row>
    <row r="146" spans="1:95" s="76" customFormat="1" ht="14.25" customHeight="1" x14ac:dyDescent="0.2">
      <c r="A146" s="238" t="b">
        <f t="shared" si="227"/>
        <v>0</v>
      </c>
      <c r="B146" s="239">
        <v>124</v>
      </c>
      <c r="C146" s="258"/>
      <c r="D146" s="258"/>
      <c r="E146" s="240"/>
      <c r="F146" s="241" t="str">
        <f>IF(ISBLANK(E146), "", VLOOKUP(E146, Z!$A$2:$C$4127, 3, FALSE))</f>
        <v/>
      </c>
      <c r="G146" s="242"/>
      <c r="H146" s="242"/>
      <c r="I146" s="243"/>
      <c r="J146" s="244"/>
      <c r="K146" s="259"/>
      <c r="L146" s="260"/>
      <c r="M146" s="247" t="str" cm="1">
        <f t="array" ref="M146">IF($K146&gt;0, INDEX(Clean,1+AG146,$C$1), "")</f>
        <v/>
      </c>
      <c r="N146" s="245"/>
      <c r="O146" s="245"/>
      <c r="P146" s="246"/>
      <c r="Q146" s="248">
        <f t="shared" si="369"/>
        <v>0</v>
      </c>
      <c r="R146" s="247" t="str" cm="1">
        <f t="array" ref="R146">IF($K146&gt;0, INDEX(Clean,1+AH146,$C$1), "")</f>
        <v/>
      </c>
      <c r="S146" s="245"/>
      <c r="T146" s="245"/>
      <c r="U146" s="246"/>
      <c r="V146" s="248">
        <f t="shared" si="370"/>
        <v>0</v>
      </c>
      <c r="W146" s="261"/>
      <c r="X146" s="258"/>
      <c r="Y146" s="240"/>
      <c r="Z146" s="241" t="str">
        <f>IF(ISBLANK(Y146), "", VLOOKUP(Y146, Z!$A$2:$C$4127, 3, FALSE))</f>
        <v/>
      </c>
      <c r="AA146" s="262"/>
      <c r="AB146" s="249">
        <f t="shared" si="234"/>
        <v>0</v>
      </c>
      <c r="AC146" s="210"/>
      <c r="AD146" s="236">
        <f t="shared" si="393"/>
        <v>1</v>
      </c>
      <c r="AE146" s="236">
        <f t="shared" si="394"/>
        <v>1</v>
      </c>
      <c r="AF146" s="236">
        <f t="shared" si="395"/>
        <v>0</v>
      </c>
      <c r="AG146" s="236">
        <v>1</v>
      </c>
      <c r="AH146" s="236">
        <v>0</v>
      </c>
      <c r="AI146" s="236">
        <f t="shared" si="371"/>
        <v>-100</v>
      </c>
      <c r="AJ146" s="210"/>
      <c r="AK146" s="254"/>
      <c r="AL146" s="254"/>
      <c r="AM146" s="255"/>
      <c r="AN146" s="255"/>
      <c r="AO146" s="255"/>
      <c r="AP146" s="255"/>
      <c r="AQ146" s="255"/>
      <c r="AR146" s="255"/>
      <c r="AS146" s="255"/>
      <c r="AT146" s="255"/>
      <c r="AU146" s="255"/>
      <c r="AV146" s="255"/>
      <c r="AW146" s="255"/>
      <c r="AX146" s="210"/>
      <c r="AY146" s="236" cm="1">
        <f t="array" ref="AY146">INDEX(Use, $AD146, 4)</f>
        <v>7</v>
      </c>
      <c r="AZ146" s="236">
        <f t="shared" si="372"/>
        <v>32</v>
      </c>
      <c r="BA146" s="236">
        <f t="shared" si="239"/>
        <v>13</v>
      </c>
      <c r="BB146" s="236">
        <f t="shared" si="240"/>
        <v>0</v>
      </c>
      <c r="BC146" s="252" cm="1">
        <f t="array" ref="BC146">K146/IF($L146&gt;0, INDEX($AO$23:$AU$77, $L146+20, $AD146), 1)</f>
        <v>0</v>
      </c>
      <c r="BD146" s="237">
        <f t="shared" si="373"/>
        <v>0</v>
      </c>
      <c r="BE146" s="236">
        <v>35</v>
      </c>
      <c r="BF146" s="237">
        <f t="shared" si="374"/>
        <v>52.55</v>
      </c>
      <c r="BG146" s="253">
        <f t="shared" si="375"/>
        <v>2.7676728869374316</v>
      </c>
      <c r="BH146" s="253" cm="1">
        <f t="array" ref="BH146">$BC146 * SUMPRODUCT(INDEX($AL$77:$AN$82,,$AE146),INDEX($AO$77:$AU$82,,$AD146), N($AK$77:$AK$82&gt;$AI146)) / BG146 / 1000</f>
        <v>0</v>
      </c>
      <c r="BI146" s="250">
        <f t="shared" si="244"/>
        <v>30</v>
      </c>
      <c r="BJ146" s="237">
        <f t="shared" si="376"/>
        <v>46.033333333333331</v>
      </c>
      <c r="BK146" s="253">
        <f t="shared" si="377"/>
        <v>3.2297395388556791</v>
      </c>
      <c r="BL146" s="253" cm="1">
        <f t="array" ref="BL146">$BC146 * IF($AD146&lt;=2,
SUMPRODUCT(INDEX($AL$72:$AN$76,,$AE146), INDEX($AO$72:$AU$76,,$AD146), 1 / ($AV$72:$AV$76*BK146 + (1-$AV$72:$AV$76)*BG146), N($AK$72:$AK$76&gt;$AI146)),
SUMPRODUCT(INDEX($AL$67:$AN$76,,$AE146), INDEX($AO$67:$AU$76,,$AD146), 1 / ($AW$67:$AW$76*BK146 + (1-$AW$67:$AW$76)*BG146), N($AK$67:$AK$76&gt;$AI146))
) / 1000</f>
        <v>0</v>
      </c>
      <c r="BM146" s="250">
        <f t="shared" si="247"/>
        <v>25</v>
      </c>
      <c r="BN146" s="237">
        <f t="shared" si="378"/>
        <v>39.516666666666666</v>
      </c>
      <c r="BO146" s="253">
        <f t="shared" si="379"/>
        <v>3.877011788826243</v>
      </c>
      <c r="BP146" s="253" cm="1">
        <f t="array" ref="BP146">$BC146 * IF($AD146&lt;=2,
SUMPRODUCT(INDEX($AL$67:$AN$71,,$AE146), INDEX($AO$67:$AU$71,,$AD146), 1 / ($AV$67:$AV$71*BO146 + (1-$AV$67:$AV$71)*BK146), N($AK$67:$AK$71&gt;$AI146)),
SUMPRODUCT(INDEX($AL$57:$AN$66,,$AE146), INDEX($AO$57:$AU$66,,$AD146), 1 / ($AW$57:$AW$66*BO146 + (1-$AW$57:$AW$66)*BK146), N($AK$57:$AK$66&gt;$AI146))
) / 1000</f>
        <v>0</v>
      </c>
      <c r="BQ146" s="250">
        <f t="shared" si="250"/>
        <v>20</v>
      </c>
      <c r="BR146" s="237">
        <f t="shared" si="380"/>
        <v>33</v>
      </c>
      <c r="BS146" s="253">
        <f t="shared" si="381"/>
        <v>4.8487499999999999</v>
      </c>
      <c r="BT146" s="253" cm="1">
        <f t="array" ref="BT146">$BC146 * IF($AD146&lt;=2,
SUMPRODUCT(INDEX($AL$62:$AN$66,,$AE146), INDEX($AO$62:$AU$66,,$AD146), 1 / ($AV$62:$AV$66*BS146 + (1-$AV$62:$AV$66)*BO146), N($AK$62:$AK$66&gt;$AI146)),
SUMPRODUCT(INDEX($AL$47:$AN$56,,$AE146), INDEX($AO$47:$AU$56,,$AD146), 1 / ($AW$47:$AW$56*BS146 + (1-$AW$47:$AW$56)*BO146), N($AK$47:$AK$56&gt;$AI146))
) / 1000</f>
        <v>0</v>
      </c>
      <c r="BU146" s="253" cm="1">
        <f t="array" ref="BU146">$BC146 * IF($AD146&lt;=2,
SUMPRODUCT(INDEX($AL$23:$AN$61,,$AE146), INDEX($AO$23:$AU$61,,$AD146), 1 / ($AV$23:$AV$61*BS146), N($AK$23:$AK$61&gt;$AI146)),
SUMPRODUCT(INDEX($AL$23:$AN$46,,$AE146), INDEX($AO$23:$AU$46,,$AD146), 1 / ($AW$23:$AW$46*BS146), N($AK$23:$AK$46&gt;$AI146))
) / 1000</f>
        <v>0</v>
      </c>
      <c r="BV146" s="237">
        <f t="shared" si="382"/>
        <v>0</v>
      </c>
      <c r="BW146" s="210"/>
      <c r="BX146" s="237">
        <f t="shared" si="383"/>
        <v>0</v>
      </c>
      <c r="BY146" s="236">
        <v>35</v>
      </c>
      <c r="BZ146" s="237">
        <f t="shared" si="384"/>
        <v>48</v>
      </c>
      <c r="CA146" s="253">
        <f t="shared" si="385"/>
        <v>3.0748170731707316</v>
      </c>
      <c r="CB146" s="253" cm="1">
        <f t="array" ref="CB146">$BC146 * SUMPRODUCT(INDEX($AL$77:$AN$82,,$AE146),INDEX($AO$77:$AU$82,,$AD146), N($AK$77:$AK$82&gt;$AI146)) / CA146 / 1000</f>
        <v>0</v>
      </c>
      <c r="CC146" s="250">
        <f t="shared" si="257"/>
        <v>30</v>
      </c>
      <c r="CD146" s="237">
        <f t="shared" si="386"/>
        <v>43</v>
      </c>
      <c r="CE146" s="253">
        <f t="shared" si="387"/>
        <v>3.5018750000000001</v>
      </c>
      <c r="CF146" s="253" cm="1">
        <f t="array" ref="CF146">$BC146 * IF($AD146&lt;=2,
SUMPRODUCT(INDEX($AL$72:$AN$76,,$AE146), INDEX($AO$72:$AU$76,,$AD146), 1 / ($AV$72:$AV$76*CE146 + (1-$AV$72:$AV$76)*CA146), N($AK$72:$AK$76&gt;$AI146)),
SUMPRODUCT(INDEX($AL$67:$AN$76,,$AE146), INDEX($AO$67:$AU$76,,$AD146), 1 / ($AW$67:$AW$76*CE146 + (1-$AW$67:$AW$76)*CA146), N($AK$67:$AK$76&gt;$AI146))
) / 1000</f>
        <v>0</v>
      </c>
      <c r="CG146" s="250">
        <f t="shared" si="260"/>
        <v>25</v>
      </c>
      <c r="CH146" s="237">
        <f t="shared" si="388"/>
        <v>38</v>
      </c>
      <c r="CI146" s="253">
        <f t="shared" si="389"/>
        <v>4.0666935483870965</v>
      </c>
      <c r="CJ146" s="253" cm="1">
        <f t="array" ref="CJ146">$BC146 * IF($AD146&lt;=2,
SUMPRODUCT(INDEX($AL$67:$AN$71,,$AE146), INDEX($AO$67:$AU$71,,$AD146), 1 / ($AV$67:$AV$71*CI146 + (1-$AV$67:$AV$71)*CE146), N($AK$67:$AK$71&gt;$AI146)),
SUMPRODUCT(INDEX($AL$57:$AN$66,,$AE146), INDEX($AO$57:$AU$66,,$AD146), 1 / ($AW$57:$AW$66*CI146 + (1-$AW$57:$AW$66)*CE146), N($AK$57:$AK$66&gt;$AI146))
) / 1000</f>
        <v>0</v>
      </c>
      <c r="CK146" s="250">
        <f t="shared" si="263"/>
        <v>20</v>
      </c>
      <c r="CL146" s="237">
        <f t="shared" si="390"/>
        <v>33</v>
      </c>
      <c r="CM146" s="253">
        <f t="shared" si="391"/>
        <v>4.8487499999999999</v>
      </c>
      <c r="CN146" s="253" cm="1">
        <f t="array" ref="CN146">$BC146 * IF($AD146&lt;=2,
SUMPRODUCT(INDEX($AL$62:$AN$66,,$AE146), INDEX($AO$62:$AU$66,,$AD146), 1 / ($AV$62:$AV$66*CM146 + (1-$AV$62:$AV$66)*CI146), N($AK$62:$AK$66&gt;$AI146)),
SUMPRODUCT(INDEX($AL$47:$AN$56,,$AE146), INDEX($AO$47:$AU$56,,$AD146), 1 / ($AW$47:$AW$56*CM146 + (1-$AW$47:$AW$56)*CI146), N($AK$47:$AK$56&gt;$AI146))
) / 1000</f>
        <v>0</v>
      </c>
      <c r="CO146" s="253" cm="1">
        <f t="array" ref="CO146">$BC146 * IF($AD146&lt;=2,
SUMPRODUCT(INDEX($AL$23:$AN$61,,$AE146), INDEX($AO$23:$AU$61,,$AD146), 1 / ($AV$23:$AV$61*CM146), N($AK$23:$AK$61&gt;$AI146)),
SUMPRODUCT(INDEX($AL$23:$AN$46,,$AE146), INDEX($AO$23:$AU$46,,$AD146), 1 / ($AW$23:$AW$46*CM146), N($AK$23:$AK$46&gt;$AI146))
) / 1000</f>
        <v>0</v>
      </c>
      <c r="CP146" s="237">
        <f t="shared" si="392"/>
        <v>0</v>
      </c>
      <c r="CQ146" s="210"/>
    </row>
    <row r="147" spans="1:95" s="76" customFormat="1" ht="14.25" customHeight="1" x14ac:dyDescent="0.2">
      <c r="A147" s="238" t="b">
        <f t="shared" si="227"/>
        <v>0</v>
      </c>
      <c r="B147" s="239">
        <v>125</v>
      </c>
      <c r="C147" s="258"/>
      <c r="D147" s="258"/>
      <c r="E147" s="240"/>
      <c r="F147" s="241" t="str">
        <f>IF(ISBLANK(E147), "", VLOOKUP(E147, Z!$A$2:$C$4127, 3, FALSE))</f>
        <v/>
      </c>
      <c r="G147" s="242"/>
      <c r="H147" s="242"/>
      <c r="I147" s="243"/>
      <c r="J147" s="244"/>
      <c r="K147" s="259"/>
      <c r="L147" s="260"/>
      <c r="M147" s="247" t="str" cm="1">
        <f t="array" ref="M147">IF($K147&gt;0, INDEX(Clean,1+AG147,$C$1), "")</f>
        <v/>
      </c>
      <c r="N147" s="245"/>
      <c r="O147" s="245"/>
      <c r="P147" s="246"/>
      <c r="Q147" s="248">
        <f t="shared" si="369"/>
        <v>0</v>
      </c>
      <c r="R147" s="247" t="str" cm="1">
        <f t="array" ref="R147">IF($K147&gt;0, INDEX(Clean,1+AH147,$C$1), "")</f>
        <v/>
      </c>
      <c r="S147" s="245"/>
      <c r="T147" s="245"/>
      <c r="U147" s="246"/>
      <c r="V147" s="248">
        <f t="shared" si="370"/>
        <v>0</v>
      </c>
      <c r="W147" s="261"/>
      <c r="X147" s="258"/>
      <c r="Y147" s="240"/>
      <c r="Z147" s="241" t="str">
        <f>IF(ISBLANK(Y147), "", VLOOKUP(Y147, Z!$A$2:$C$4127, 3, FALSE))</f>
        <v/>
      </c>
      <c r="AA147" s="262"/>
      <c r="AB147" s="249">
        <f t="shared" si="234"/>
        <v>0</v>
      </c>
      <c r="AC147" s="210"/>
      <c r="AD147" s="236">
        <f t="shared" si="393"/>
        <v>1</v>
      </c>
      <c r="AE147" s="236">
        <f t="shared" si="394"/>
        <v>1</v>
      </c>
      <c r="AF147" s="236">
        <f t="shared" si="395"/>
        <v>0</v>
      </c>
      <c r="AG147" s="236">
        <v>1</v>
      </c>
      <c r="AH147" s="236">
        <v>0</v>
      </c>
      <c r="AI147" s="236">
        <f t="shared" si="371"/>
        <v>-100</v>
      </c>
      <c r="AJ147" s="210"/>
      <c r="AK147" s="254"/>
      <c r="AL147" s="254"/>
      <c r="AM147" s="255"/>
      <c r="AN147" s="255"/>
      <c r="AO147" s="255"/>
      <c r="AP147" s="255"/>
      <c r="AQ147" s="255"/>
      <c r="AR147" s="255"/>
      <c r="AS147" s="255"/>
      <c r="AT147" s="255"/>
      <c r="AU147" s="255"/>
      <c r="AV147" s="255"/>
      <c r="AW147" s="255"/>
      <c r="AX147" s="210"/>
      <c r="AY147" s="236" cm="1">
        <f t="array" ref="AY147">INDEX(Use, $AD147, 4)</f>
        <v>7</v>
      </c>
      <c r="AZ147" s="236">
        <f t="shared" si="372"/>
        <v>32</v>
      </c>
      <c r="BA147" s="236">
        <f t="shared" si="239"/>
        <v>13</v>
      </c>
      <c r="BB147" s="236">
        <f t="shared" si="240"/>
        <v>0</v>
      </c>
      <c r="BC147" s="252" cm="1">
        <f t="array" ref="BC147">K147/IF($L147&gt;0, INDEX($AO$23:$AU$77, $L147+20, $AD147), 1)</f>
        <v>0</v>
      </c>
      <c r="BD147" s="237">
        <f t="shared" si="373"/>
        <v>0</v>
      </c>
      <c r="BE147" s="236">
        <v>35</v>
      </c>
      <c r="BF147" s="237">
        <f t="shared" si="374"/>
        <v>52.55</v>
      </c>
      <c r="BG147" s="253">
        <f t="shared" si="375"/>
        <v>2.7676728869374316</v>
      </c>
      <c r="BH147" s="253" cm="1">
        <f t="array" ref="BH147">$BC147 * SUMPRODUCT(INDEX($AL$77:$AN$82,,$AE147),INDEX($AO$77:$AU$82,,$AD147), N($AK$77:$AK$82&gt;$AI147)) / BG147 / 1000</f>
        <v>0</v>
      </c>
      <c r="BI147" s="250">
        <f t="shared" si="244"/>
        <v>30</v>
      </c>
      <c r="BJ147" s="237">
        <f t="shared" si="376"/>
        <v>46.033333333333331</v>
      </c>
      <c r="BK147" s="253">
        <f t="shared" si="377"/>
        <v>3.2297395388556791</v>
      </c>
      <c r="BL147" s="253" cm="1">
        <f t="array" ref="BL147">$BC147 * IF($AD147&lt;=2,
SUMPRODUCT(INDEX($AL$72:$AN$76,,$AE147), INDEX($AO$72:$AU$76,,$AD147), 1 / ($AV$72:$AV$76*BK147 + (1-$AV$72:$AV$76)*BG147), N($AK$72:$AK$76&gt;$AI147)),
SUMPRODUCT(INDEX($AL$67:$AN$76,,$AE147), INDEX($AO$67:$AU$76,,$AD147), 1 / ($AW$67:$AW$76*BK147 + (1-$AW$67:$AW$76)*BG147), N($AK$67:$AK$76&gt;$AI147))
) / 1000</f>
        <v>0</v>
      </c>
      <c r="BM147" s="250">
        <f t="shared" si="247"/>
        <v>25</v>
      </c>
      <c r="BN147" s="237">
        <f t="shared" si="378"/>
        <v>39.516666666666666</v>
      </c>
      <c r="BO147" s="253">
        <f t="shared" si="379"/>
        <v>3.877011788826243</v>
      </c>
      <c r="BP147" s="253" cm="1">
        <f t="array" ref="BP147">$BC147 * IF($AD147&lt;=2,
SUMPRODUCT(INDEX($AL$67:$AN$71,,$AE147), INDEX($AO$67:$AU$71,,$AD147), 1 / ($AV$67:$AV$71*BO147 + (1-$AV$67:$AV$71)*BK147), N($AK$67:$AK$71&gt;$AI147)),
SUMPRODUCT(INDEX($AL$57:$AN$66,,$AE147), INDEX($AO$57:$AU$66,,$AD147), 1 / ($AW$57:$AW$66*BO147 + (1-$AW$57:$AW$66)*BK147), N($AK$57:$AK$66&gt;$AI147))
) / 1000</f>
        <v>0</v>
      </c>
      <c r="BQ147" s="250">
        <f t="shared" si="250"/>
        <v>20</v>
      </c>
      <c r="BR147" s="237">
        <f t="shared" si="380"/>
        <v>33</v>
      </c>
      <c r="BS147" s="253">
        <f t="shared" si="381"/>
        <v>4.8487499999999999</v>
      </c>
      <c r="BT147" s="253" cm="1">
        <f t="array" ref="BT147">$BC147 * IF($AD147&lt;=2,
SUMPRODUCT(INDEX($AL$62:$AN$66,,$AE147), INDEX($AO$62:$AU$66,,$AD147), 1 / ($AV$62:$AV$66*BS147 + (1-$AV$62:$AV$66)*BO147), N($AK$62:$AK$66&gt;$AI147)),
SUMPRODUCT(INDEX($AL$47:$AN$56,,$AE147), INDEX($AO$47:$AU$56,,$AD147), 1 / ($AW$47:$AW$56*BS147 + (1-$AW$47:$AW$56)*BO147), N($AK$47:$AK$56&gt;$AI147))
) / 1000</f>
        <v>0</v>
      </c>
      <c r="BU147" s="253" cm="1">
        <f t="array" ref="BU147">$BC147 * IF($AD147&lt;=2,
SUMPRODUCT(INDEX($AL$23:$AN$61,,$AE147), INDEX($AO$23:$AU$61,,$AD147), 1 / ($AV$23:$AV$61*BS147), N($AK$23:$AK$61&gt;$AI147)),
SUMPRODUCT(INDEX($AL$23:$AN$46,,$AE147), INDEX($AO$23:$AU$46,,$AD147), 1 / ($AW$23:$AW$46*BS147), N($AK$23:$AK$46&gt;$AI147))
) / 1000</f>
        <v>0</v>
      </c>
      <c r="BV147" s="237">
        <f t="shared" si="382"/>
        <v>0</v>
      </c>
      <c r="BW147" s="210"/>
      <c r="BX147" s="237">
        <f t="shared" si="383"/>
        <v>0</v>
      </c>
      <c r="BY147" s="236">
        <v>35</v>
      </c>
      <c r="BZ147" s="237">
        <f t="shared" si="384"/>
        <v>48</v>
      </c>
      <c r="CA147" s="253">
        <f t="shared" si="385"/>
        <v>3.0748170731707316</v>
      </c>
      <c r="CB147" s="253" cm="1">
        <f t="array" ref="CB147">$BC147 * SUMPRODUCT(INDEX($AL$77:$AN$82,,$AE147),INDEX($AO$77:$AU$82,,$AD147), N($AK$77:$AK$82&gt;$AI147)) / CA147 / 1000</f>
        <v>0</v>
      </c>
      <c r="CC147" s="250">
        <f t="shared" si="257"/>
        <v>30</v>
      </c>
      <c r="CD147" s="237">
        <f t="shared" si="386"/>
        <v>43</v>
      </c>
      <c r="CE147" s="253">
        <f t="shared" si="387"/>
        <v>3.5018750000000001</v>
      </c>
      <c r="CF147" s="253" cm="1">
        <f t="array" ref="CF147">$BC147 * IF($AD147&lt;=2,
SUMPRODUCT(INDEX($AL$72:$AN$76,,$AE147), INDEX($AO$72:$AU$76,,$AD147), 1 / ($AV$72:$AV$76*CE147 + (1-$AV$72:$AV$76)*CA147), N($AK$72:$AK$76&gt;$AI147)),
SUMPRODUCT(INDEX($AL$67:$AN$76,,$AE147), INDEX($AO$67:$AU$76,,$AD147), 1 / ($AW$67:$AW$76*CE147 + (1-$AW$67:$AW$76)*CA147), N($AK$67:$AK$76&gt;$AI147))
) / 1000</f>
        <v>0</v>
      </c>
      <c r="CG147" s="250">
        <f t="shared" si="260"/>
        <v>25</v>
      </c>
      <c r="CH147" s="237">
        <f t="shared" si="388"/>
        <v>38</v>
      </c>
      <c r="CI147" s="253">
        <f t="shared" si="389"/>
        <v>4.0666935483870965</v>
      </c>
      <c r="CJ147" s="253" cm="1">
        <f t="array" ref="CJ147">$BC147 * IF($AD147&lt;=2,
SUMPRODUCT(INDEX($AL$67:$AN$71,,$AE147), INDEX($AO$67:$AU$71,,$AD147), 1 / ($AV$67:$AV$71*CI147 + (1-$AV$67:$AV$71)*CE147), N($AK$67:$AK$71&gt;$AI147)),
SUMPRODUCT(INDEX($AL$57:$AN$66,,$AE147), INDEX($AO$57:$AU$66,,$AD147), 1 / ($AW$57:$AW$66*CI147 + (1-$AW$57:$AW$66)*CE147), N($AK$57:$AK$66&gt;$AI147))
) / 1000</f>
        <v>0</v>
      </c>
      <c r="CK147" s="250">
        <f t="shared" si="263"/>
        <v>20</v>
      </c>
      <c r="CL147" s="237">
        <f t="shared" si="390"/>
        <v>33</v>
      </c>
      <c r="CM147" s="253">
        <f t="shared" si="391"/>
        <v>4.8487499999999999</v>
      </c>
      <c r="CN147" s="253" cm="1">
        <f t="array" ref="CN147">$BC147 * IF($AD147&lt;=2,
SUMPRODUCT(INDEX($AL$62:$AN$66,,$AE147), INDEX($AO$62:$AU$66,,$AD147), 1 / ($AV$62:$AV$66*CM147 + (1-$AV$62:$AV$66)*CI147), N($AK$62:$AK$66&gt;$AI147)),
SUMPRODUCT(INDEX($AL$47:$AN$56,,$AE147), INDEX($AO$47:$AU$56,,$AD147), 1 / ($AW$47:$AW$56*CM147 + (1-$AW$47:$AW$56)*CI147), N($AK$47:$AK$56&gt;$AI147))
) / 1000</f>
        <v>0</v>
      </c>
      <c r="CO147" s="253" cm="1">
        <f t="array" ref="CO147">$BC147 * IF($AD147&lt;=2,
SUMPRODUCT(INDEX($AL$23:$AN$61,,$AE147), INDEX($AO$23:$AU$61,,$AD147), 1 / ($AV$23:$AV$61*CM147), N($AK$23:$AK$61&gt;$AI147)),
SUMPRODUCT(INDEX($AL$23:$AN$46,,$AE147), INDEX($AO$23:$AU$46,,$AD147), 1 / ($AW$23:$AW$46*CM147), N($AK$23:$AK$46&gt;$AI147))
) / 1000</f>
        <v>0</v>
      </c>
      <c r="CP147" s="237">
        <f t="shared" si="392"/>
        <v>0</v>
      </c>
      <c r="CQ147" s="210"/>
    </row>
    <row r="148" spans="1:95" s="76" customFormat="1" ht="14.25" customHeight="1" x14ac:dyDescent="0.2">
      <c r="A148" s="238" t="b">
        <f t="shared" si="227"/>
        <v>0</v>
      </c>
      <c r="B148" s="239">
        <v>126</v>
      </c>
      <c r="C148" s="258"/>
      <c r="D148" s="258"/>
      <c r="E148" s="240"/>
      <c r="F148" s="241" t="str">
        <f>IF(ISBLANK(E148), "", VLOOKUP(E148, Z!$A$2:$C$4127, 3, FALSE))</f>
        <v/>
      </c>
      <c r="G148" s="242"/>
      <c r="H148" s="242"/>
      <c r="I148" s="243"/>
      <c r="J148" s="244"/>
      <c r="K148" s="259"/>
      <c r="L148" s="260"/>
      <c r="M148" s="247" t="str" cm="1">
        <f t="array" ref="M148">IF($K148&gt;0, INDEX(Clean,1+AG148,$C$1), "")</f>
        <v/>
      </c>
      <c r="N148" s="245"/>
      <c r="O148" s="245"/>
      <c r="P148" s="246"/>
      <c r="Q148" s="248">
        <f t="shared" si="369"/>
        <v>0</v>
      </c>
      <c r="R148" s="247" t="str" cm="1">
        <f t="array" ref="R148">IF($K148&gt;0, INDEX(Clean,1+AH148,$C$1), "")</f>
        <v/>
      </c>
      <c r="S148" s="245"/>
      <c r="T148" s="245"/>
      <c r="U148" s="246"/>
      <c r="V148" s="248">
        <f t="shared" si="370"/>
        <v>0</v>
      </c>
      <c r="W148" s="261"/>
      <c r="X148" s="258"/>
      <c r="Y148" s="240"/>
      <c r="Z148" s="241" t="str">
        <f>IF(ISBLANK(Y148), "", VLOOKUP(Y148, Z!$A$2:$C$4127, 3, FALSE))</f>
        <v/>
      </c>
      <c r="AA148" s="262"/>
      <c r="AB148" s="249">
        <f t="shared" si="234"/>
        <v>0</v>
      </c>
      <c r="AC148" s="210"/>
      <c r="AD148" s="236">
        <f t="shared" si="393"/>
        <v>1</v>
      </c>
      <c r="AE148" s="236">
        <f t="shared" si="394"/>
        <v>1</v>
      </c>
      <c r="AF148" s="236">
        <f t="shared" si="395"/>
        <v>0</v>
      </c>
      <c r="AG148" s="236">
        <v>1</v>
      </c>
      <c r="AH148" s="236">
        <v>0</v>
      </c>
      <c r="AI148" s="236">
        <f t="shared" si="371"/>
        <v>-100</v>
      </c>
      <c r="AJ148" s="210"/>
      <c r="AK148" s="254"/>
      <c r="AL148" s="254"/>
      <c r="AM148" s="255"/>
      <c r="AN148" s="255"/>
      <c r="AO148" s="255"/>
      <c r="AP148" s="255"/>
      <c r="AQ148" s="255"/>
      <c r="AR148" s="255"/>
      <c r="AS148" s="255"/>
      <c r="AT148" s="255"/>
      <c r="AU148" s="255"/>
      <c r="AV148" s="255"/>
      <c r="AW148" s="255"/>
      <c r="AX148" s="210"/>
      <c r="AY148" s="236" cm="1">
        <f t="array" ref="AY148">INDEX(Use, $AD148, 4)</f>
        <v>7</v>
      </c>
      <c r="AZ148" s="236">
        <f t="shared" si="372"/>
        <v>32</v>
      </c>
      <c r="BA148" s="236">
        <f t="shared" si="239"/>
        <v>13</v>
      </c>
      <c r="BB148" s="236">
        <f t="shared" si="240"/>
        <v>0</v>
      </c>
      <c r="BC148" s="252" cm="1">
        <f t="array" ref="BC148">K148/IF($L148&gt;0, INDEX($AO$23:$AU$77, $L148+20, $AD148), 1)</f>
        <v>0</v>
      </c>
      <c r="BD148" s="237">
        <f t="shared" si="373"/>
        <v>0</v>
      </c>
      <c r="BE148" s="236">
        <v>35</v>
      </c>
      <c r="BF148" s="237">
        <f t="shared" si="374"/>
        <v>52.55</v>
      </c>
      <c r="BG148" s="253">
        <f t="shared" si="375"/>
        <v>2.7676728869374316</v>
      </c>
      <c r="BH148" s="253" cm="1">
        <f t="array" ref="BH148">$BC148 * SUMPRODUCT(INDEX($AL$77:$AN$82,,$AE148),INDEX($AO$77:$AU$82,,$AD148), N($AK$77:$AK$82&gt;$AI148)) / BG148 / 1000</f>
        <v>0</v>
      </c>
      <c r="BI148" s="250">
        <f t="shared" si="244"/>
        <v>30</v>
      </c>
      <c r="BJ148" s="237">
        <f t="shared" si="376"/>
        <v>46.033333333333331</v>
      </c>
      <c r="BK148" s="253">
        <f t="shared" si="377"/>
        <v>3.2297395388556791</v>
      </c>
      <c r="BL148" s="253" cm="1">
        <f t="array" ref="BL148">$BC148 * IF($AD148&lt;=2,
SUMPRODUCT(INDEX($AL$72:$AN$76,,$AE148), INDEX($AO$72:$AU$76,,$AD148), 1 / ($AV$72:$AV$76*BK148 + (1-$AV$72:$AV$76)*BG148), N($AK$72:$AK$76&gt;$AI148)),
SUMPRODUCT(INDEX($AL$67:$AN$76,,$AE148), INDEX($AO$67:$AU$76,,$AD148), 1 / ($AW$67:$AW$76*BK148 + (1-$AW$67:$AW$76)*BG148), N($AK$67:$AK$76&gt;$AI148))
) / 1000</f>
        <v>0</v>
      </c>
      <c r="BM148" s="250">
        <f t="shared" si="247"/>
        <v>25</v>
      </c>
      <c r="BN148" s="237">
        <f t="shared" si="378"/>
        <v>39.516666666666666</v>
      </c>
      <c r="BO148" s="253">
        <f t="shared" si="379"/>
        <v>3.877011788826243</v>
      </c>
      <c r="BP148" s="253" cm="1">
        <f t="array" ref="BP148">$BC148 * IF($AD148&lt;=2,
SUMPRODUCT(INDEX($AL$67:$AN$71,,$AE148), INDEX($AO$67:$AU$71,,$AD148), 1 / ($AV$67:$AV$71*BO148 + (1-$AV$67:$AV$71)*BK148), N($AK$67:$AK$71&gt;$AI148)),
SUMPRODUCT(INDEX($AL$57:$AN$66,,$AE148), INDEX($AO$57:$AU$66,,$AD148), 1 / ($AW$57:$AW$66*BO148 + (1-$AW$57:$AW$66)*BK148), N($AK$57:$AK$66&gt;$AI148))
) / 1000</f>
        <v>0</v>
      </c>
      <c r="BQ148" s="250">
        <f t="shared" si="250"/>
        <v>20</v>
      </c>
      <c r="BR148" s="237">
        <f t="shared" si="380"/>
        <v>33</v>
      </c>
      <c r="BS148" s="253">
        <f t="shared" si="381"/>
        <v>4.8487499999999999</v>
      </c>
      <c r="BT148" s="253" cm="1">
        <f t="array" ref="BT148">$BC148 * IF($AD148&lt;=2,
SUMPRODUCT(INDEX($AL$62:$AN$66,,$AE148), INDEX($AO$62:$AU$66,,$AD148), 1 / ($AV$62:$AV$66*BS148 + (1-$AV$62:$AV$66)*BO148), N($AK$62:$AK$66&gt;$AI148)),
SUMPRODUCT(INDEX($AL$47:$AN$56,,$AE148), INDEX($AO$47:$AU$56,,$AD148), 1 / ($AW$47:$AW$56*BS148 + (1-$AW$47:$AW$56)*BO148), N($AK$47:$AK$56&gt;$AI148))
) / 1000</f>
        <v>0</v>
      </c>
      <c r="BU148" s="253" cm="1">
        <f t="array" ref="BU148">$BC148 * IF($AD148&lt;=2,
SUMPRODUCT(INDEX($AL$23:$AN$61,,$AE148), INDEX($AO$23:$AU$61,,$AD148), 1 / ($AV$23:$AV$61*BS148), N($AK$23:$AK$61&gt;$AI148)),
SUMPRODUCT(INDEX($AL$23:$AN$46,,$AE148), INDEX($AO$23:$AU$46,,$AD148), 1 / ($AW$23:$AW$46*BS148), N($AK$23:$AK$46&gt;$AI148))
) / 1000</f>
        <v>0</v>
      </c>
      <c r="BV148" s="237">
        <f t="shared" si="382"/>
        <v>0</v>
      </c>
      <c r="BW148" s="210"/>
      <c r="BX148" s="237">
        <f t="shared" si="383"/>
        <v>0</v>
      </c>
      <c r="BY148" s="236">
        <v>35</v>
      </c>
      <c r="BZ148" s="237">
        <f t="shared" si="384"/>
        <v>48</v>
      </c>
      <c r="CA148" s="253">
        <f t="shared" si="385"/>
        <v>3.0748170731707316</v>
      </c>
      <c r="CB148" s="253" cm="1">
        <f t="array" ref="CB148">$BC148 * SUMPRODUCT(INDEX($AL$77:$AN$82,,$AE148),INDEX($AO$77:$AU$82,,$AD148), N($AK$77:$AK$82&gt;$AI148)) / CA148 / 1000</f>
        <v>0</v>
      </c>
      <c r="CC148" s="250">
        <f t="shared" si="257"/>
        <v>30</v>
      </c>
      <c r="CD148" s="237">
        <f t="shared" si="386"/>
        <v>43</v>
      </c>
      <c r="CE148" s="253">
        <f t="shared" si="387"/>
        <v>3.5018750000000001</v>
      </c>
      <c r="CF148" s="253" cm="1">
        <f t="array" ref="CF148">$BC148 * IF($AD148&lt;=2,
SUMPRODUCT(INDEX($AL$72:$AN$76,,$AE148), INDEX($AO$72:$AU$76,,$AD148), 1 / ($AV$72:$AV$76*CE148 + (1-$AV$72:$AV$76)*CA148), N($AK$72:$AK$76&gt;$AI148)),
SUMPRODUCT(INDEX($AL$67:$AN$76,,$AE148), INDEX($AO$67:$AU$76,,$AD148), 1 / ($AW$67:$AW$76*CE148 + (1-$AW$67:$AW$76)*CA148), N($AK$67:$AK$76&gt;$AI148))
) / 1000</f>
        <v>0</v>
      </c>
      <c r="CG148" s="250">
        <f t="shared" si="260"/>
        <v>25</v>
      </c>
      <c r="CH148" s="237">
        <f t="shared" si="388"/>
        <v>38</v>
      </c>
      <c r="CI148" s="253">
        <f t="shared" si="389"/>
        <v>4.0666935483870965</v>
      </c>
      <c r="CJ148" s="253" cm="1">
        <f t="array" ref="CJ148">$BC148 * IF($AD148&lt;=2,
SUMPRODUCT(INDEX($AL$67:$AN$71,,$AE148), INDEX($AO$67:$AU$71,,$AD148), 1 / ($AV$67:$AV$71*CI148 + (1-$AV$67:$AV$71)*CE148), N($AK$67:$AK$71&gt;$AI148)),
SUMPRODUCT(INDEX($AL$57:$AN$66,,$AE148), INDEX($AO$57:$AU$66,,$AD148), 1 / ($AW$57:$AW$66*CI148 + (1-$AW$57:$AW$66)*CE148), N($AK$57:$AK$66&gt;$AI148))
) / 1000</f>
        <v>0</v>
      </c>
      <c r="CK148" s="250">
        <f t="shared" si="263"/>
        <v>20</v>
      </c>
      <c r="CL148" s="237">
        <f t="shared" si="390"/>
        <v>33</v>
      </c>
      <c r="CM148" s="253">
        <f t="shared" si="391"/>
        <v>4.8487499999999999</v>
      </c>
      <c r="CN148" s="253" cm="1">
        <f t="array" ref="CN148">$BC148 * IF($AD148&lt;=2,
SUMPRODUCT(INDEX($AL$62:$AN$66,,$AE148), INDEX($AO$62:$AU$66,,$AD148), 1 / ($AV$62:$AV$66*CM148 + (1-$AV$62:$AV$66)*CI148), N($AK$62:$AK$66&gt;$AI148)),
SUMPRODUCT(INDEX($AL$47:$AN$56,,$AE148), INDEX($AO$47:$AU$56,,$AD148), 1 / ($AW$47:$AW$56*CM148 + (1-$AW$47:$AW$56)*CI148), N($AK$47:$AK$56&gt;$AI148))
) / 1000</f>
        <v>0</v>
      </c>
      <c r="CO148" s="253" cm="1">
        <f t="array" ref="CO148">$BC148 * IF($AD148&lt;=2,
SUMPRODUCT(INDEX($AL$23:$AN$61,,$AE148), INDEX($AO$23:$AU$61,,$AD148), 1 / ($AV$23:$AV$61*CM148), N($AK$23:$AK$61&gt;$AI148)),
SUMPRODUCT(INDEX($AL$23:$AN$46,,$AE148), INDEX($AO$23:$AU$46,,$AD148), 1 / ($AW$23:$AW$46*CM148), N($AK$23:$AK$46&gt;$AI148))
) / 1000</f>
        <v>0</v>
      </c>
      <c r="CP148" s="237">
        <f t="shared" si="392"/>
        <v>0</v>
      </c>
      <c r="CQ148" s="210"/>
    </row>
    <row r="149" spans="1:95" s="76" customFormat="1" ht="14.25" customHeight="1" x14ac:dyDescent="0.2">
      <c r="A149" s="238" t="b">
        <f t="shared" si="227"/>
        <v>0</v>
      </c>
      <c r="B149" s="239">
        <v>127</v>
      </c>
      <c r="C149" s="258"/>
      <c r="D149" s="258"/>
      <c r="E149" s="240"/>
      <c r="F149" s="241" t="str">
        <f>IF(ISBLANK(E149), "", VLOOKUP(E149, Z!$A$2:$C$4127, 3, FALSE))</f>
        <v/>
      </c>
      <c r="G149" s="242"/>
      <c r="H149" s="242"/>
      <c r="I149" s="243"/>
      <c r="J149" s="244"/>
      <c r="K149" s="259"/>
      <c r="L149" s="260"/>
      <c r="M149" s="247" t="str" cm="1">
        <f t="array" ref="M149">IF($K149&gt;0, INDEX(Clean,1+AG149,$C$1), "")</f>
        <v/>
      </c>
      <c r="N149" s="245"/>
      <c r="O149" s="245"/>
      <c r="P149" s="246"/>
      <c r="Q149" s="248">
        <f t="shared" si="369"/>
        <v>0</v>
      </c>
      <c r="R149" s="247" t="str" cm="1">
        <f t="array" ref="R149">IF($K149&gt;0, INDEX(Clean,1+AH149,$C$1), "")</f>
        <v/>
      </c>
      <c r="S149" s="245"/>
      <c r="T149" s="245"/>
      <c r="U149" s="246"/>
      <c r="V149" s="248">
        <f t="shared" si="370"/>
        <v>0</v>
      </c>
      <c r="W149" s="261"/>
      <c r="X149" s="258"/>
      <c r="Y149" s="240"/>
      <c r="Z149" s="241" t="str">
        <f>IF(ISBLANK(Y149), "", VLOOKUP(Y149, Z!$A$2:$C$4127, 3, FALSE))</f>
        <v/>
      </c>
      <c r="AA149" s="262"/>
      <c r="AB149" s="249">
        <f t="shared" si="234"/>
        <v>0</v>
      </c>
      <c r="AC149" s="210"/>
      <c r="AD149" s="236">
        <f t="shared" si="393"/>
        <v>1</v>
      </c>
      <c r="AE149" s="236">
        <f t="shared" si="394"/>
        <v>1</v>
      </c>
      <c r="AF149" s="236">
        <f t="shared" si="395"/>
        <v>0</v>
      </c>
      <c r="AG149" s="236">
        <v>1</v>
      </c>
      <c r="AH149" s="236">
        <v>0</v>
      </c>
      <c r="AI149" s="236">
        <f t="shared" si="371"/>
        <v>-100</v>
      </c>
      <c r="AJ149" s="210"/>
      <c r="AK149" s="254"/>
      <c r="AL149" s="254"/>
      <c r="AM149" s="255"/>
      <c r="AN149" s="255"/>
      <c r="AO149" s="255"/>
      <c r="AP149" s="255"/>
      <c r="AQ149" s="255"/>
      <c r="AR149" s="255"/>
      <c r="AS149" s="255"/>
      <c r="AT149" s="255"/>
      <c r="AU149" s="255"/>
      <c r="AV149" s="255"/>
      <c r="AW149" s="255"/>
      <c r="AX149" s="210"/>
      <c r="AY149" s="236" cm="1">
        <f t="array" ref="AY149">INDEX(Use, $AD149, 4)</f>
        <v>7</v>
      </c>
      <c r="AZ149" s="236">
        <f t="shared" si="372"/>
        <v>32</v>
      </c>
      <c r="BA149" s="236">
        <f t="shared" si="239"/>
        <v>13</v>
      </c>
      <c r="BB149" s="236">
        <f t="shared" si="240"/>
        <v>0</v>
      </c>
      <c r="BC149" s="252" cm="1">
        <f t="array" ref="BC149">K149/IF($L149&gt;0, INDEX($AO$23:$AU$77, $L149+20, $AD149), 1)</f>
        <v>0</v>
      </c>
      <c r="BD149" s="237">
        <f t="shared" si="373"/>
        <v>0</v>
      </c>
      <c r="BE149" s="236">
        <v>35</v>
      </c>
      <c r="BF149" s="237">
        <f t="shared" si="374"/>
        <v>52.55</v>
      </c>
      <c r="BG149" s="253">
        <f t="shared" si="375"/>
        <v>2.7676728869374316</v>
      </c>
      <c r="BH149" s="253" cm="1">
        <f t="array" ref="BH149">$BC149 * SUMPRODUCT(INDEX($AL$77:$AN$82,,$AE149),INDEX($AO$77:$AU$82,,$AD149), N($AK$77:$AK$82&gt;$AI149)) / BG149 / 1000</f>
        <v>0</v>
      </c>
      <c r="BI149" s="250">
        <f t="shared" si="244"/>
        <v>30</v>
      </c>
      <c r="BJ149" s="237">
        <f t="shared" si="376"/>
        <v>46.033333333333331</v>
      </c>
      <c r="BK149" s="253">
        <f t="shared" si="377"/>
        <v>3.2297395388556791</v>
      </c>
      <c r="BL149" s="253" cm="1">
        <f t="array" ref="BL149">$BC149 * IF($AD149&lt;=2,
SUMPRODUCT(INDEX($AL$72:$AN$76,,$AE149), INDEX($AO$72:$AU$76,,$AD149), 1 / ($AV$72:$AV$76*BK149 + (1-$AV$72:$AV$76)*BG149), N($AK$72:$AK$76&gt;$AI149)),
SUMPRODUCT(INDEX($AL$67:$AN$76,,$AE149), INDEX($AO$67:$AU$76,,$AD149), 1 / ($AW$67:$AW$76*BK149 + (1-$AW$67:$AW$76)*BG149), N($AK$67:$AK$76&gt;$AI149))
) / 1000</f>
        <v>0</v>
      </c>
      <c r="BM149" s="250">
        <f t="shared" si="247"/>
        <v>25</v>
      </c>
      <c r="BN149" s="237">
        <f t="shared" si="378"/>
        <v>39.516666666666666</v>
      </c>
      <c r="BO149" s="253">
        <f t="shared" si="379"/>
        <v>3.877011788826243</v>
      </c>
      <c r="BP149" s="253" cm="1">
        <f t="array" ref="BP149">$BC149 * IF($AD149&lt;=2,
SUMPRODUCT(INDEX($AL$67:$AN$71,,$AE149), INDEX($AO$67:$AU$71,,$AD149), 1 / ($AV$67:$AV$71*BO149 + (1-$AV$67:$AV$71)*BK149), N($AK$67:$AK$71&gt;$AI149)),
SUMPRODUCT(INDEX($AL$57:$AN$66,,$AE149), INDEX($AO$57:$AU$66,,$AD149), 1 / ($AW$57:$AW$66*BO149 + (1-$AW$57:$AW$66)*BK149), N($AK$57:$AK$66&gt;$AI149))
) / 1000</f>
        <v>0</v>
      </c>
      <c r="BQ149" s="250">
        <f t="shared" si="250"/>
        <v>20</v>
      </c>
      <c r="BR149" s="237">
        <f t="shared" si="380"/>
        <v>33</v>
      </c>
      <c r="BS149" s="253">
        <f t="shared" si="381"/>
        <v>4.8487499999999999</v>
      </c>
      <c r="BT149" s="253" cm="1">
        <f t="array" ref="BT149">$BC149 * IF($AD149&lt;=2,
SUMPRODUCT(INDEX($AL$62:$AN$66,,$AE149), INDEX($AO$62:$AU$66,,$AD149), 1 / ($AV$62:$AV$66*BS149 + (1-$AV$62:$AV$66)*BO149), N($AK$62:$AK$66&gt;$AI149)),
SUMPRODUCT(INDEX($AL$47:$AN$56,,$AE149), INDEX($AO$47:$AU$56,,$AD149), 1 / ($AW$47:$AW$56*BS149 + (1-$AW$47:$AW$56)*BO149), N($AK$47:$AK$56&gt;$AI149))
) / 1000</f>
        <v>0</v>
      </c>
      <c r="BU149" s="253" cm="1">
        <f t="array" ref="BU149">$BC149 * IF($AD149&lt;=2,
SUMPRODUCT(INDEX($AL$23:$AN$61,,$AE149), INDEX($AO$23:$AU$61,,$AD149), 1 / ($AV$23:$AV$61*BS149), N($AK$23:$AK$61&gt;$AI149)),
SUMPRODUCT(INDEX($AL$23:$AN$46,,$AE149), INDEX($AO$23:$AU$46,,$AD149), 1 / ($AW$23:$AW$46*BS149), N($AK$23:$AK$46&gt;$AI149))
) / 1000</f>
        <v>0</v>
      </c>
      <c r="BV149" s="237">
        <f t="shared" si="382"/>
        <v>0</v>
      </c>
      <c r="BW149" s="210"/>
      <c r="BX149" s="237">
        <f t="shared" si="383"/>
        <v>0</v>
      </c>
      <c r="BY149" s="236">
        <v>35</v>
      </c>
      <c r="BZ149" s="237">
        <f t="shared" si="384"/>
        <v>48</v>
      </c>
      <c r="CA149" s="253">
        <f t="shared" si="385"/>
        <v>3.0748170731707316</v>
      </c>
      <c r="CB149" s="253" cm="1">
        <f t="array" ref="CB149">$BC149 * SUMPRODUCT(INDEX($AL$77:$AN$82,,$AE149),INDEX($AO$77:$AU$82,,$AD149), N($AK$77:$AK$82&gt;$AI149)) / CA149 / 1000</f>
        <v>0</v>
      </c>
      <c r="CC149" s="250">
        <f t="shared" si="257"/>
        <v>30</v>
      </c>
      <c r="CD149" s="237">
        <f t="shared" si="386"/>
        <v>43</v>
      </c>
      <c r="CE149" s="253">
        <f t="shared" si="387"/>
        <v>3.5018750000000001</v>
      </c>
      <c r="CF149" s="253" cm="1">
        <f t="array" ref="CF149">$BC149 * IF($AD149&lt;=2,
SUMPRODUCT(INDEX($AL$72:$AN$76,,$AE149), INDEX($AO$72:$AU$76,,$AD149), 1 / ($AV$72:$AV$76*CE149 + (1-$AV$72:$AV$76)*CA149), N($AK$72:$AK$76&gt;$AI149)),
SUMPRODUCT(INDEX($AL$67:$AN$76,,$AE149), INDEX($AO$67:$AU$76,,$AD149), 1 / ($AW$67:$AW$76*CE149 + (1-$AW$67:$AW$76)*CA149), N($AK$67:$AK$76&gt;$AI149))
) / 1000</f>
        <v>0</v>
      </c>
      <c r="CG149" s="250">
        <f t="shared" si="260"/>
        <v>25</v>
      </c>
      <c r="CH149" s="237">
        <f t="shared" si="388"/>
        <v>38</v>
      </c>
      <c r="CI149" s="253">
        <f t="shared" si="389"/>
        <v>4.0666935483870965</v>
      </c>
      <c r="CJ149" s="253" cm="1">
        <f t="array" ref="CJ149">$BC149 * IF($AD149&lt;=2,
SUMPRODUCT(INDEX($AL$67:$AN$71,,$AE149), INDEX($AO$67:$AU$71,,$AD149), 1 / ($AV$67:$AV$71*CI149 + (1-$AV$67:$AV$71)*CE149), N($AK$67:$AK$71&gt;$AI149)),
SUMPRODUCT(INDEX($AL$57:$AN$66,,$AE149), INDEX($AO$57:$AU$66,,$AD149), 1 / ($AW$57:$AW$66*CI149 + (1-$AW$57:$AW$66)*CE149), N($AK$57:$AK$66&gt;$AI149))
) / 1000</f>
        <v>0</v>
      </c>
      <c r="CK149" s="250">
        <f t="shared" si="263"/>
        <v>20</v>
      </c>
      <c r="CL149" s="237">
        <f t="shared" si="390"/>
        <v>33</v>
      </c>
      <c r="CM149" s="253">
        <f t="shared" si="391"/>
        <v>4.8487499999999999</v>
      </c>
      <c r="CN149" s="253" cm="1">
        <f t="array" ref="CN149">$BC149 * IF($AD149&lt;=2,
SUMPRODUCT(INDEX($AL$62:$AN$66,,$AE149), INDEX($AO$62:$AU$66,,$AD149), 1 / ($AV$62:$AV$66*CM149 + (1-$AV$62:$AV$66)*CI149), N($AK$62:$AK$66&gt;$AI149)),
SUMPRODUCT(INDEX($AL$47:$AN$56,,$AE149), INDEX($AO$47:$AU$56,,$AD149), 1 / ($AW$47:$AW$56*CM149 + (1-$AW$47:$AW$56)*CI149), N($AK$47:$AK$56&gt;$AI149))
) / 1000</f>
        <v>0</v>
      </c>
      <c r="CO149" s="253" cm="1">
        <f t="array" ref="CO149">$BC149 * IF($AD149&lt;=2,
SUMPRODUCT(INDEX($AL$23:$AN$61,,$AE149), INDEX($AO$23:$AU$61,,$AD149), 1 / ($AV$23:$AV$61*CM149), N($AK$23:$AK$61&gt;$AI149)),
SUMPRODUCT(INDEX($AL$23:$AN$46,,$AE149), INDEX($AO$23:$AU$46,,$AD149), 1 / ($AW$23:$AW$46*CM149), N($AK$23:$AK$46&gt;$AI149))
) / 1000</f>
        <v>0</v>
      </c>
      <c r="CP149" s="237">
        <f t="shared" si="392"/>
        <v>0</v>
      </c>
      <c r="CQ149" s="210"/>
    </row>
    <row r="150" spans="1:95" s="76" customFormat="1" ht="14.25" customHeight="1" x14ac:dyDescent="0.2">
      <c r="A150" s="238" t="b">
        <f t="shared" si="227"/>
        <v>0</v>
      </c>
      <c r="B150" s="239">
        <v>128</v>
      </c>
      <c r="C150" s="258"/>
      <c r="D150" s="258"/>
      <c r="E150" s="240"/>
      <c r="F150" s="241" t="str">
        <f>IF(ISBLANK(E150), "", VLOOKUP(E150, Z!$A$2:$C$4127, 3, FALSE))</f>
        <v/>
      </c>
      <c r="G150" s="242"/>
      <c r="H150" s="242"/>
      <c r="I150" s="243"/>
      <c r="J150" s="244"/>
      <c r="K150" s="259"/>
      <c r="L150" s="260"/>
      <c r="M150" s="247" t="str" cm="1">
        <f t="array" ref="M150">IF($K150&gt;0, INDEX(Clean,1+AG150,$C$1), "")</f>
        <v/>
      </c>
      <c r="N150" s="245"/>
      <c r="O150" s="245"/>
      <c r="P150" s="246"/>
      <c r="Q150" s="248">
        <f t="shared" si="369"/>
        <v>0</v>
      </c>
      <c r="R150" s="247" t="str" cm="1">
        <f t="array" ref="R150">IF($K150&gt;0, INDEX(Clean,1+AH150,$C$1), "")</f>
        <v/>
      </c>
      <c r="S150" s="245"/>
      <c r="T150" s="245"/>
      <c r="U150" s="246"/>
      <c r="V150" s="248">
        <f t="shared" si="370"/>
        <v>0</v>
      </c>
      <c r="W150" s="261"/>
      <c r="X150" s="258"/>
      <c r="Y150" s="240"/>
      <c r="Z150" s="241" t="str">
        <f>IF(ISBLANK(Y150), "", VLOOKUP(Y150, Z!$A$2:$C$4127, 3, FALSE))</f>
        <v/>
      </c>
      <c r="AA150" s="262"/>
      <c r="AB150" s="249">
        <f t="shared" si="234"/>
        <v>0</v>
      </c>
      <c r="AC150" s="210"/>
      <c r="AD150" s="236">
        <f t="shared" si="393"/>
        <v>1</v>
      </c>
      <c r="AE150" s="236">
        <f t="shared" si="394"/>
        <v>1</v>
      </c>
      <c r="AF150" s="236">
        <f t="shared" si="395"/>
        <v>0</v>
      </c>
      <c r="AG150" s="236">
        <v>1</v>
      </c>
      <c r="AH150" s="236">
        <v>0</v>
      </c>
      <c r="AI150" s="236">
        <f t="shared" si="371"/>
        <v>-100</v>
      </c>
      <c r="AJ150" s="210"/>
      <c r="AK150" s="254"/>
      <c r="AL150" s="254"/>
      <c r="AM150" s="255"/>
      <c r="AN150" s="255"/>
      <c r="AO150" s="255"/>
      <c r="AP150" s="255"/>
      <c r="AQ150" s="255"/>
      <c r="AR150" s="255"/>
      <c r="AS150" s="255"/>
      <c r="AT150" s="255"/>
      <c r="AU150" s="255"/>
      <c r="AV150" s="255"/>
      <c r="AW150" s="255"/>
      <c r="AX150" s="210"/>
      <c r="AY150" s="236" cm="1">
        <f t="array" ref="AY150">INDEX(Use, $AD150, 4)</f>
        <v>7</v>
      </c>
      <c r="AZ150" s="236">
        <f t="shared" si="372"/>
        <v>32</v>
      </c>
      <c r="BA150" s="236">
        <f t="shared" si="239"/>
        <v>13</v>
      </c>
      <c r="BB150" s="236">
        <f t="shared" si="240"/>
        <v>0</v>
      </c>
      <c r="BC150" s="252" cm="1">
        <f t="array" ref="BC150">K150/IF($L150&gt;0, INDEX($AO$23:$AU$77, $L150+20, $AD150), 1)</f>
        <v>0</v>
      </c>
      <c r="BD150" s="237">
        <f t="shared" si="373"/>
        <v>0</v>
      </c>
      <c r="BE150" s="236">
        <v>35</v>
      </c>
      <c r="BF150" s="237">
        <f t="shared" si="374"/>
        <v>52.55</v>
      </c>
      <c r="BG150" s="253">
        <f t="shared" si="375"/>
        <v>2.7676728869374316</v>
      </c>
      <c r="BH150" s="253" cm="1">
        <f t="array" ref="BH150">$BC150 * SUMPRODUCT(INDEX($AL$77:$AN$82,,$AE150),INDEX($AO$77:$AU$82,,$AD150), N($AK$77:$AK$82&gt;$AI150)) / BG150 / 1000</f>
        <v>0</v>
      </c>
      <c r="BI150" s="250">
        <f t="shared" si="244"/>
        <v>30</v>
      </c>
      <c r="BJ150" s="237">
        <f t="shared" si="376"/>
        <v>46.033333333333331</v>
      </c>
      <c r="BK150" s="253">
        <f t="shared" si="377"/>
        <v>3.2297395388556791</v>
      </c>
      <c r="BL150" s="253" cm="1">
        <f t="array" ref="BL150">$BC150 * IF($AD150&lt;=2,
SUMPRODUCT(INDEX($AL$72:$AN$76,,$AE150), INDEX($AO$72:$AU$76,,$AD150), 1 / ($AV$72:$AV$76*BK150 + (1-$AV$72:$AV$76)*BG150), N($AK$72:$AK$76&gt;$AI150)),
SUMPRODUCT(INDEX($AL$67:$AN$76,,$AE150), INDEX($AO$67:$AU$76,,$AD150), 1 / ($AW$67:$AW$76*BK150 + (1-$AW$67:$AW$76)*BG150), N($AK$67:$AK$76&gt;$AI150))
) / 1000</f>
        <v>0</v>
      </c>
      <c r="BM150" s="250">
        <f t="shared" si="247"/>
        <v>25</v>
      </c>
      <c r="BN150" s="237">
        <f t="shared" si="378"/>
        <v>39.516666666666666</v>
      </c>
      <c r="BO150" s="253">
        <f t="shared" si="379"/>
        <v>3.877011788826243</v>
      </c>
      <c r="BP150" s="253" cm="1">
        <f t="array" ref="BP150">$BC150 * IF($AD150&lt;=2,
SUMPRODUCT(INDEX($AL$67:$AN$71,,$AE150), INDEX($AO$67:$AU$71,,$AD150), 1 / ($AV$67:$AV$71*BO150 + (1-$AV$67:$AV$71)*BK150), N($AK$67:$AK$71&gt;$AI150)),
SUMPRODUCT(INDEX($AL$57:$AN$66,,$AE150), INDEX($AO$57:$AU$66,,$AD150), 1 / ($AW$57:$AW$66*BO150 + (1-$AW$57:$AW$66)*BK150), N($AK$57:$AK$66&gt;$AI150))
) / 1000</f>
        <v>0</v>
      </c>
      <c r="BQ150" s="250">
        <f t="shared" si="250"/>
        <v>20</v>
      </c>
      <c r="BR150" s="237">
        <f t="shared" si="380"/>
        <v>33</v>
      </c>
      <c r="BS150" s="253">
        <f t="shared" si="381"/>
        <v>4.8487499999999999</v>
      </c>
      <c r="BT150" s="253" cm="1">
        <f t="array" ref="BT150">$BC150 * IF($AD150&lt;=2,
SUMPRODUCT(INDEX($AL$62:$AN$66,,$AE150), INDEX($AO$62:$AU$66,,$AD150), 1 / ($AV$62:$AV$66*BS150 + (1-$AV$62:$AV$66)*BO150), N($AK$62:$AK$66&gt;$AI150)),
SUMPRODUCT(INDEX($AL$47:$AN$56,,$AE150), INDEX($AO$47:$AU$56,,$AD150), 1 / ($AW$47:$AW$56*BS150 + (1-$AW$47:$AW$56)*BO150), N($AK$47:$AK$56&gt;$AI150))
) / 1000</f>
        <v>0</v>
      </c>
      <c r="BU150" s="253" cm="1">
        <f t="array" ref="BU150">$BC150 * IF($AD150&lt;=2,
SUMPRODUCT(INDEX($AL$23:$AN$61,,$AE150), INDEX($AO$23:$AU$61,,$AD150), 1 / ($AV$23:$AV$61*BS150), N($AK$23:$AK$61&gt;$AI150)),
SUMPRODUCT(INDEX($AL$23:$AN$46,,$AE150), INDEX($AO$23:$AU$46,,$AD150), 1 / ($AW$23:$AW$46*BS150), N($AK$23:$AK$46&gt;$AI150))
) / 1000</f>
        <v>0</v>
      </c>
      <c r="BV150" s="237">
        <f t="shared" si="382"/>
        <v>0</v>
      </c>
      <c r="BW150" s="210"/>
      <c r="BX150" s="237">
        <f t="shared" si="383"/>
        <v>0</v>
      </c>
      <c r="BY150" s="236">
        <v>35</v>
      </c>
      <c r="BZ150" s="237">
        <f t="shared" si="384"/>
        <v>48</v>
      </c>
      <c r="CA150" s="253">
        <f t="shared" si="385"/>
        <v>3.0748170731707316</v>
      </c>
      <c r="CB150" s="253" cm="1">
        <f t="array" ref="CB150">$BC150 * SUMPRODUCT(INDEX($AL$77:$AN$82,,$AE150),INDEX($AO$77:$AU$82,,$AD150), N($AK$77:$AK$82&gt;$AI150)) / CA150 / 1000</f>
        <v>0</v>
      </c>
      <c r="CC150" s="250">
        <f t="shared" si="257"/>
        <v>30</v>
      </c>
      <c r="CD150" s="237">
        <f t="shared" si="386"/>
        <v>43</v>
      </c>
      <c r="CE150" s="253">
        <f t="shared" si="387"/>
        <v>3.5018750000000001</v>
      </c>
      <c r="CF150" s="253" cm="1">
        <f t="array" ref="CF150">$BC150 * IF($AD150&lt;=2,
SUMPRODUCT(INDEX($AL$72:$AN$76,,$AE150), INDEX($AO$72:$AU$76,,$AD150), 1 / ($AV$72:$AV$76*CE150 + (1-$AV$72:$AV$76)*CA150), N($AK$72:$AK$76&gt;$AI150)),
SUMPRODUCT(INDEX($AL$67:$AN$76,,$AE150), INDEX($AO$67:$AU$76,,$AD150), 1 / ($AW$67:$AW$76*CE150 + (1-$AW$67:$AW$76)*CA150), N($AK$67:$AK$76&gt;$AI150))
) / 1000</f>
        <v>0</v>
      </c>
      <c r="CG150" s="250">
        <f t="shared" si="260"/>
        <v>25</v>
      </c>
      <c r="CH150" s="237">
        <f t="shared" si="388"/>
        <v>38</v>
      </c>
      <c r="CI150" s="253">
        <f t="shared" si="389"/>
        <v>4.0666935483870965</v>
      </c>
      <c r="CJ150" s="253" cm="1">
        <f t="array" ref="CJ150">$BC150 * IF($AD150&lt;=2,
SUMPRODUCT(INDEX($AL$67:$AN$71,,$AE150), INDEX($AO$67:$AU$71,,$AD150), 1 / ($AV$67:$AV$71*CI150 + (1-$AV$67:$AV$71)*CE150), N($AK$67:$AK$71&gt;$AI150)),
SUMPRODUCT(INDEX($AL$57:$AN$66,,$AE150), INDEX($AO$57:$AU$66,,$AD150), 1 / ($AW$57:$AW$66*CI150 + (1-$AW$57:$AW$66)*CE150), N($AK$57:$AK$66&gt;$AI150))
) / 1000</f>
        <v>0</v>
      </c>
      <c r="CK150" s="250">
        <f t="shared" si="263"/>
        <v>20</v>
      </c>
      <c r="CL150" s="237">
        <f t="shared" si="390"/>
        <v>33</v>
      </c>
      <c r="CM150" s="253">
        <f t="shared" si="391"/>
        <v>4.8487499999999999</v>
      </c>
      <c r="CN150" s="253" cm="1">
        <f t="array" ref="CN150">$BC150 * IF($AD150&lt;=2,
SUMPRODUCT(INDEX($AL$62:$AN$66,,$AE150), INDEX($AO$62:$AU$66,,$AD150), 1 / ($AV$62:$AV$66*CM150 + (1-$AV$62:$AV$66)*CI150), N($AK$62:$AK$66&gt;$AI150)),
SUMPRODUCT(INDEX($AL$47:$AN$56,,$AE150), INDEX($AO$47:$AU$56,,$AD150), 1 / ($AW$47:$AW$56*CM150 + (1-$AW$47:$AW$56)*CI150), N($AK$47:$AK$56&gt;$AI150))
) / 1000</f>
        <v>0</v>
      </c>
      <c r="CO150" s="253" cm="1">
        <f t="array" ref="CO150">$BC150 * IF($AD150&lt;=2,
SUMPRODUCT(INDEX($AL$23:$AN$61,,$AE150), INDEX($AO$23:$AU$61,,$AD150), 1 / ($AV$23:$AV$61*CM150), N($AK$23:$AK$61&gt;$AI150)),
SUMPRODUCT(INDEX($AL$23:$AN$46,,$AE150), INDEX($AO$23:$AU$46,,$AD150), 1 / ($AW$23:$AW$46*CM150), N($AK$23:$AK$46&gt;$AI150))
) / 1000</f>
        <v>0</v>
      </c>
      <c r="CP150" s="237">
        <f t="shared" si="392"/>
        <v>0</v>
      </c>
      <c r="CQ150" s="210"/>
    </row>
    <row r="151" spans="1:95" s="76" customFormat="1" ht="14.25" customHeight="1" x14ac:dyDescent="0.2">
      <c r="A151" s="238" t="b">
        <f t="shared" si="227"/>
        <v>0</v>
      </c>
      <c r="B151" s="239">
        <v>129</v>
      </c>
      <c r="C151" s="258"/>
      <c r="D151" s="258"/>
      <c r="E151" s="240"/>
      <c r="F151" s="241" t="str">
        <f>IF(ISBLANK(E151), "", VLOOKUP(E151, Z!$A$2:$C$4127, 3, FALSE))</f>
        <v/>
      </c>
      <c r="G151" s="242"/>
      <c r="H151" s="242"/>
      <c r="I151" s="243"/>
      <c r="J151" s="244"/>
      <c r="K151" s="259"/>
      <c r="L151" s="260"/>
      <c r="M151" s="247" t="str" cm="1">
        <f t="array" ref="M151">IF($K151&gt;0, INDEX(Clean,1+AG151,$C$1), "")</f>
        <v/>
      </c>
      <c r="N151" s="245"/>
      <c r="O151" s="245"/>
      <c r="P151" s="246"/>
      <c r="Q151" s="248">
        <f t="shared" si="369"/>
        <v>0</v>
      </c>
      <c r="R151" s="247" t="str" cm="1">
        <f t="array" ref="R151">IF($K151&gt;0, INDEX(Clean,1+AH151,$C$1), "")</f>
        <v/>
      </c>
      <c r="S151" s="245"/>
      <c r="T151" s="245"/>
      <c r="U151" s="246"/>
      <c r="V151" s="248">
        <f t="shared" si="370"/>
        <v>0</v>
      </c>
      <c r="W151" s="261"/>
      <c r="X151" s="258"/>
      <c r="Y151" s="240"/>
      <c r="Z151" s="241" t="str">
        <f>IF(ISBLANK(Y151), "", VLOOKUP(Y151, Z!$A$2:$C$4127, 3, FALSE))</f>
        <v/>
      </c>
      <c r="AA151" s="262"/>
      <c r="AB151" s="249">
        <f t="shared" si="234"/>
        <v>0</v>
      </c>
      <c r="AC151" s="210"/>
      <c r="AD151" s="236">
        <f t="shared" si="393"/>
        <v>1</v>
      </c>
      <c r="AE151" s="236">
        <f t="shared" si="394"/>
        <v>1</v>
      </c>
      <c r="AF151" s="236">
        <f t="shared" si="395"/>
        <v>0</v>
      </c>
      <c r="AG151" s="236">
        <v>1</v>
      </c>
      <c r="AH151" s="236">
        <v>0</v>
      </c>
      <c r="AI151" s="236">
        <f t="shared" si="371"/>
        <v>-100</v>
      </c>
      <c r="AJ151" s="210"/>
      <c r="AK151" s="254"/>
      <c r="AL151" s="254"/>
      <c r="AM151" s="255"/>
      <c r="AN151" s="255"/>
      <c r="AO151" s="255"/>
      <c r="AP151" s="255"/>
      <c r="AQ151" s="255"/>
      <c r="AR151" s="255"/>
      <c r="AS151" s="255"/>
      <c r="AT151" s="255"/>
      <c r="AU151" s="255"/>
      <c r="AV151" s="255"/>
      <c r="AW151" s="255"/>
      <c r="AX151" s="210"/>
      <c r="AY151" s="236" cm="1">
        <f t="array" ref="AY151">INDEX(Use, $AD151, 4)</f>
        <v>7</v>
      </c>
      <c r="AZ151" s="236">
        <f t="shared" si="372"/>
        <v>32</v>
      </c>
      <c r="BA151" s="236">
        <f t="shared" si="239"/>
        <v>13</v>
      </c>
      <c r="BB151" s="236">
        <f t="shared" si="240"/>
        <v>0</v>
      </c>
      <c r="BC151" s="252" cm="1">
        <f t="array" ref="BC151">K151/IF($L151&gt;0, INDEX($AO$23:$AU$77, $L151+20, $AD151), 1)</f>
        <v>0</v>
      </c>
      <c r="BD151" s="237">
        <f t="shared" si="373"/>
        <v>0</v>
      </c>
      <c r="BE151" s="236">
        <v>35</v>
      </c>
      <c r="BF151" s="237">
        <f t="shared" si="374"/>
        <v>52.55</v>
      </c>
      <c r="BG151" s="253">
        <f t="shared" si="375"/>
        <v>2.7676728869374316</v>
      </c>
      <c r="BH151" s="253" cm="1">
        <f t="array" ref="BH151">$BC151 * SUMPRODUCT(INDEX($AL$77:$AN$82,,$AE151),INDEX($AO$77:$AU$82,,$AD151), N($AK$77:$AK$82&gt;$AI151)) / BG151 / 1000</f>
        <v>0</v>
      </c>
      <c r="BI151" s="250">
        <f t="shared" si="244"/>
        <v>30</v>
      </c>
      <c r="BJ151" s="237">
        <f t="shared" si="376"/>
        <v>46.033333333333331</v>
      </c>
      <c r="BK151" s="253">
        <f t="shared" si="377"/>
        <v>3.2297395388556791</v>
      </c>
      <c r="BL151" s="253" cm="1">
        <f t="array" ref="BL151">$BC151 * IF($AD151&lt;=2,
SUMPRODUCT(INDEX($AL$72:$AN$76,,$AE151), INDEX($AO$72:$AU$76,,$AD151), 1 / ($AV$72:$AV$76*BK151 + (1-$AV$72:$AV$76)*BG151), N($AK$72:$AK$76&gt;$AI151)),
SUMPRODUCT(INDEX($AL$67:$AN$76,,$AE151), INDEX($AO$67:$AU$76,,$AD151), 1 / ($AW$67:$AW$76*BK151 + (1-$AW$67:$AW$76)*BG151), N($AK$67:$AK$76&gt;$AI151))
) / 1000</f>
        <v>0</v>
      </c>
      <c r="BM151" s="250">
        <f t="shared" si="247"/>
        <v>25</v>
      </c>
      <c r="BN151" s="237">
        <f t="shared" si="378"/>
        <v>39.516666666666666</v>
      </c>
      <c r="BO151" s="253">
        <f t="shared" si="379"/>
        <v>3.877011788826243</v>
      </c>
      <c r="BP151" s="253" cm="1">
        <f t="array" ref="BP151">$BC151 * IF($AD151&lt;=2,
SUMPRODUCT(INDEX($AL$67:$AN$71,,$AE151), INDEX($AO$67:$AU$71,,$AD151), 1 / ($AV$67:$AV$71*BO151 + (1-$AV$67:$AV$71)*BK151), N($AK$67:$AK$71&gt;$AI151)),
SUMPRODUCT(INDEX($AL$57:$AN$66,,$AE151), INDEX($AO$57:$AU$66,,$AD151), 1 / ($AW$57:$AW$66*BO151 + (1-$AW$57:$AW$66)*BK151), N($AK$57:$AK$66&gt;$AI151))
) / 1000</f>
        <v>0</v>
      </c>
      <c r="BQ151" s="250">
        <f t="shared" si="250"/>
        <v>20</v>
      </c>
      <c r="BR151" s="237">
        <f t="shared" si="380"/>
        <v>33</v>
      </c>
      <c r="BS151" s="253">
        <f t="shared" si="381"/>
        <v>4.8487499999999999</v>
      </c>
      <c r="BT151" s="253" cm="1">
        <f t="array" ref="BT151">$BC151 * IF($AD151&lt;=2,
SUMPRODUCT(INDEX($AL$62:$AN$66,,$AE151), INDEX($AO$62:$AU$66,,$AD151), 1 / ($AV$62:$AV$66*BS151 + (1-$AV$62:$AV$66)*BO151), N($AK$62:$AK$66&gt;$AI151)),
SUMPRODUCT(INDEX($AL$47:$AN$56,,$AE151), INDEX($AO$47:$AU$56,,$AD151), 1 / ($AW$47:$AW$56*BS151 + (1-$AW$47:$AW$56)*BO151), N($AK$47:$AK$56&gt;$AI151))
) / 1000</f>
        <v>0</v>
      </c>
      <c r="BU151" s="253" cm="1">
        <f t="array" ref="BU151">$BC151 * IF($AD151&lt;=2,
SUMPRODUCT(INDEX($AL$23:$AN$61,,$AE151), INDEX($AO$23:$AU$61,,$AD151), 1 / ($AV$23:$AV$61*BS151), N($AK$23:$AK$61&gt;$AI151)),
SUMPRODUCT(INDEX($AL$23:$AN$46,,$AE151), INDEX($AO$23:$AU$46,,$AD151), 1 / ($AW$23:$AW$46*BS151), N($AK$23:$AK$46&gt;$AI151))
) / 1000</f>
        <v>0</v>
      </c>
      <c r="BV151" s="237">
        <f t="shared" si="382"/>
        <v>0</v>
      </c>
      <c r="BW151" s="210"/>
      <c r="BX151" s="237">
        <f t="shared" si="383"/>
        <v>0</v>
      </c>
      <c r="BY151" s="236">
        <v>35</v>
      </c>
      <c r="BZ151" s="237">
        <f t="shared" si="384"/>
        <v>48</v>
      </c>
      <c r="CA151" s="253">
        <f t="shared" si="385"/>
        <v>3.0748170731707316</v>
      </c>
      <c r="CB151" s="253" cm="1">
        <f t="array" ref="CB151">$BC151 * SUMPRODUCT(INDEX($AL$77:$AN$82,,$AE151),INDEX($AO$77:$AU$82,,$AD151), N($AK$77:$AK$82&gt;$AI151)) / CA151 / 1000</f>
        <v>0</v>
      </c>
      <c r="CC151" s="250">
        <f t="shared" si="257"/>
        <v>30</v>
      </c>
      <c r="CD151" s="237">
        <f t="shared" si="386"/>
        <v>43</v>
      </c>
      <c r="CE151" s="253">
        <f t="shared" si="387"/>
        <v>3.5018750000000001</v>
      </c>
      <c r="CF151" s="253" cm="1">
        <f t="array" ref="CF151">$BC151 * IF($AD151&lt;=2,
SUMPRODUCT(INDEX($AL$72:$AN$76,,$AE151), INDEX($AO$72:$AU$76,,$AD151), 1 / ($AV$72:$AV$76*CE151 + (1-$AV$72:$AV$76)*CA151), N($AK$72:$AK$76&gt;$AI151)),
SUMPRODUCT(INDEX($AL$67:$AN$76,,$AE151), INDEX($AO$67:$AU$76,,$AD151), 1 / ($AW$67:$AW$76*CE151 + (1-$AW$67:$AW$76)*CA151), N($AK$67:$AK$76&gt;$AI151))
) / 1000</f>
        <v>0</v>
      </c>
      <c r="CG151" s="250">
        <f t="shared" si="260"/>
        <v>25</v>
      </c>
      <c r="CH151" s="237">
        <f t="shared" si="388"/>
        <v>38</v>
      </c>
      <c r="CI151" s="253">
        <f t="shared" si="389"/>
        <v>4.0666935483870965</v>
      </c>
      <c r="CJ151" s="253" cm="1">
        <f t="array" ref="CJ151">$BC151 * IF($AD151&lt;=2,
SUMPRODUCT(INDEX($AL$67:$AN$71,,$AE151), INDEX($AO$67:$AU$71,,$AD151), 1 / ($AV$67:$AV$71*CI151 + (1-$AV$67:$AV$71)*CE151), N($AK$67:$AK$71&gt;$AI151)),
SUMPRODUCT(INDEX($AL$57:$AN$66,,$AE151), INDEX($AO$57:$AU$66,,$AD151), 1 / ($AW$57:$AW$66*CI151 + (1-$AW$57:$AW$66)*CE151), N($AK$57:$AK$66&gt;$AI151))
) / 1000</f>
        <v>0</v>
      </c>
      <c r="CK151" s="250">
        <f t="shared" si="263"/>
        <v>20</v>
      </c>
      <c r="CL151" s="237">
        <f t="shared" si="390"/>
        <v>33</v>
      </c>
      <c r="CM151" s="253">
        <f t="shared" si="391"/>
        <v>4.8487499999999999</v>
      </c>
      <c r="CN151" s="253" cm="1">
        <f t="array" ref="CN151">$BC151 * IF($AD151&lt;=2,
SUMPRODUCT(INDEX($AL$62:$AN$66,,$AE151), INDEX($AO$62:$AU$66,,$AD151), 1 / ($AV$62:$AV$66*CM151 + (1-$AV$62:$AV$66)*CI151), N($AK$62:$AK$66&gt;$AI151)),
SUMPRODUCT(INDEX($AL$47:$AN$56,,$AE151), INDEX($AO$47:$AU$56,,$AD151), 1 / ($AW$47:$AW$56*CM151 + (1-$AW$47:$AW$56)*CI151), N($AK$47:$AK$56&gt;$AI151))
) / 1000</f>
        <v>0</v>
      </c>
      <c r="CO151" s="253" cm="1">
        <f t="array" ref="CO151">$BC151 * IF($AD151&lt;=2,
SUMPRODUCT(INDEX($AL$23:$AN$61,,$AE151), INDEX($AO$23:$AU$61,,$AD151), 1 / ($AV$23:$AV$61*CM151), N($AK$23:$AK$61&gt;$AI151)),
SUMPRODUCT(INDEX($AL$23:$AN$46,,$AE151), INDEX($AO$23:$AU$46,,$AD151), 1 / ($AW$23:$AW$46*CM151), N($AK$23:$AK$46&gt;$AI151))
) / 1000</f>
        <v>0</v>
      </c>
      <c r="CP151" s="237">
        <f t="shared" si="392"/>
        <v>0</v>
      </c>
      <c r="CQ151" s="210"/>
    </row>
    <row r="152" spans="1:95" s="76" customFormat="1" ht="14.25" customHeight="1" x14ac:dyDescent="0.2">
      <c r="A152" s="238" t="b">
        <f t="shared" si="227"/>
        <v>0</v>
      </c>
      <c r="B152" s="239">
        <v>130</v>
      </c>
      <c r="C152" s="258"/>
      <c r="D152" s="258"/>
      <c r="E152" s="240"/>
      <c r="F152" s="241" t="str">
        <f>IF(ISBLANK(E152), "", VLOOKUP(E152, Z!$A$2:$C$4127, 3, FALSE))</f>
        <v/>
      </c>
      <c r="G152" s="242"/>
      <c r="H152" s="242"/>
      <c r="I152" s="243"/>
      <c r="J152" s="244"/>
      <c r="K152" s="259"/>
      <c r="L152" s="260"/>
      <c r="M152" s="247" t="str" cm="1">
        <f t="array" ref="M152">IF($K152&gt;0, INDEX(Clean,1+AG152,$C$1), "")</f>
        <v/>
      </c>
      <c r="N152" s="245"/>
      <c r="O152" s="245"/>
      <c r="P152" s="246"/>
      <c r="Q152" s="248">
        <f t="shared" si="369"/>
        <v>0</v>
      </c>
      <c r="R152" s="247" t="str" cm="1">
        <f t="array" ref="R152">IF($K152&gt;0, INDEX(Clean,1+AH152,$C$1), "")</f>
        <v/>
      </c>
      <c r="S152" s="245"/>
      <c r="T152" s="245"/>
      <c r="U152" s="246"/>
      <c r="V152" s="248">
        <f t="shared" si="370"/>
        <v>0</v>
      </c>
      <c r="W152" s="261"/>
      <c r="X152" s="258"/>
      <c r="Y152" s="240"/>
      <c r="Z152" s="241" t="str">
        <f>IF(ISBLANK(Y152), "", VLOOKUP(Y152, Z!$A$2:$C$4127, 3, FALSE))</f>
        <v/>
      </c>
      <c r="AA152" s="262"/>
      <c r="AB152" s="249">
        <f t="shared" ref="AB152:AB215" si="396">0.75*$AJ$22*(Q152-V152)</f>
        <v>0</v>
      </c>
      <c r="AC152" s="210"/>
      <c r="AD152" s="236">
        <f t="shared" si="393"/>
        <v>1</v>
      </c>
      <c r="AE152" s="236">
        <f t="shared" si="394"/>
        <v>1</v>
      </c>
      <c r="AF152" s="236">
        <f t="shared" si="395"/>
        <v>0</v>
      </c>
      <c r="AG152" s="236">
        <v>1</v>
      </c>
      <c r="AH152" s="236">
        <v>0</v>
      </c>
      <c r="AI152" s="236">
        <f t="shared" si="371"/>
        <v>-100</v>
      </c>
      <c r="AJ152" s="210"/>
      <c r="AK152" s="254"/>
      <c r="AL152" s="254"/>
      <c r="AM152" s="255"/>
      <c r="AN152" s="255"/>
      <c r="AO152" s="255"/>
      <c r="AP152" s="255"/>
      <c r="AQ152" s="255"/>
      <c r="AR152" s="255"/>
      <c r="AS152" s="255"/>
      <c r="AT152" s="255"/>
      <c r="AU152" s="255"/>
      <c r="AV152" s="255"/>
      <c r="AW152" s="255"/>
      <c r="AX152" s="210"/>
      <c r="AY152" s="236" cm="1">
        <f t="array" ref="AY152">INDEX(Use, $AD152, 4)</f>
        <v>7</v>
      </c>
      <c r="AZ152" s="236">
        <f t="shared" si="372"/>
        <v>32</v>
      </c>
      <c r="BA152" s="236">
        <f t="shared" si="239"/>
        <v>13</v>
      </c>
      <c r="BB152" s="236">
        <f t="shared" si="240"/>
        <v>0</v>
      </c>
      <c r="BC152" s="252" cm="1">
        <f t="array" ref="BC152">K152/IF($L152&gt;0, INDEX($AO$23:$AU$77, $L152+20, $AD152), 1)</f>
        <v>0</v>
      </c>
      <c r="BD152" s="237">
        <f t="shared" si="373"/>
        <v>0</v>
      </c>
      <c r="BE152" s="236">
        <v>35</v>
      </c>
      <c r="BF152" s="237">
        <f t="shared" si="374"/>
        <v>52.55</v>
      </c>
      <c r="BG152" s="253">
        <f t="shared" si="375"/>
        <v>2.7676728869374316</v>
      </c>
      <c r="BH152" s="253" cm="1">
        <f t="array" ref="BH152">$BC152 * SUMPRODUCT(INDEX($AL$77:$AN$82,,$AE152),INDEX($AO$77:$AU$82,,$AD152), N($AK$77:$AK$82&gt;$AI152)) / BG152 / 1000</f>
        <v>0</v>
      </c>
      <c r="BI152" s="250">
        <f t="shared" si="244"/>
        <v>30</v>
      </c>
      <c r="BJ152" s="237">
        <f t="shared" si="376"/>
        <v>46.033333333333331</v>
      </c>
      <c r="BK152" s="253">
        <f t="shared" si="377"/>
        <v>3.2297395388556791</v>
      </c>
      <c r="BL152" s="253" cm="1">
        <f t="array" ref="BL152">$BC152 * IF($AD152&lt;=2,
SUMPRODUCT(INDEX($AL$72:$AN$76,,$AE152), INDEX($AO$72:$AU$76,,$AD152), 1 / ($AV$72:$AV$76*BK152 + (1-$AV$72:$AV$76)*BG152), N($AK$72:$AK$76&gt;$AI152)),
SUMPRODUCT(INDEX($AL$67:$AN$76,,$AE152), INDEX($AO$67:$AU$76,,$AD152), 1 / ($AW$67:$AW$76*BK152 + (1-$AW$67:$AW$76)*BG152), N($AK$67:$AK$76&gt;$AI152))
) / 1000</f>
        <v>0</v>
      </c>
      <c r="BM152" s="250">
        <f t="shared" si="247"/>
        <v>25</v>
      </c>
      <c r="BN152" s="237">
        <f t="shared" si="378"/>
        <v>39.516666666666666</v>
      </c>
      <c r="BO152" s="253">
        <f t="shared" si="379"/>
        <v>3.877011788826243</v>
      </c>
      <c r="BP152" s="253" cm="1">
        <f t="array" ref="BP152">$BC152 * IF($AD152&lt;=2,
SUMPRODUCT(INDEX($AL$67:$AN$71,,$AE152), INDEX($AO$67:$AU$71,,$AD152), 1 / ($AV$67:$AV$71*BO152 + (1-$AV$67:$AV$71)*BK152), N($AK$67:$AK$71&gt;$AI152)),
SUMPRODUCT(INDEX($AL$57:$AN$66,,$AE152), INDEX($AO$57:$AU$66,,$AD152), 1 / ($AW$57:$AW$66*BO152 + (1-$AW$57:$AW$66)*BK152), N($AK$57:$AK$66&gt;$AI152))
) / 1000</f>
        <v>0</v>
      </c>
      <c r="BQ152" s="250">
        <f t="shared" si="250"/>
        <v>20</v>
      </c>
      <c r="BR152" s="237">
        <f t="shared" si="380"/>
        <v>33</v>
      </c>
      <c r="BS152" s="253">
        <f t="shared" si="381"/>
        <v>4.8487499999999999</v>
      </c>
      <c r="BT152" s="253" cm="1">
        <f t="array" ref="BT152">$BC152 * IF($AD152&lt;=2,
SUMPRODUCT(INDEX($AL$62:$AN$66,,$AE152), INDEX($AO$62:$AU$66,,$AD152), 1 / ($AV$62:$AV$66*BS152 + (1-$AV$62:$AV$66)*BO152), N($AK$62:$AK$66&gt;$AI152)),
SUMPRODUCT(INDEX($AL$47:$AN$56,,$AE152), INDEX($AO$47:$AU$56,,$AD152), 1 / ($AW$47:$AW$56*BS152 + (1-$AW$47:$AW$56)*BO152), N($AK$47:$AK$56&gt;$AI152))
) / 1000</f>
        <v>0</v>
      </c>
      <c r="BU152" s="253" cm="1">
        <f t="array" ref="BU152">$BC152 * IF($AD152&lt;=2,
SUMPRODUCT(INDEX($AL$23:$AN$61,,$AE152), INDEX($AO$23:$AU$61,,$AD152), 1 / ($AV$23:$AV$61*BS152), N($AK$23:$AK$61&gt;$AI152)),
SUMPRODUCT(INDEX($AL$23:$AN$46,,$AE152), INDEX($AO$23:$AU$46,,$AD152), 1 / ($AW$23:$AW$46*BS152), N($AK$23:$AK$46&gt;$AI152))
) / 1000</f>
        <v>0</v>
      </c>
      <c r="BV152" s="237">
        <f t="shared" si="382"/>
        <v>0</v>
      </c>
      <c r="BW152" s="210"/>
      <c r="BX152" s="237">
        <f t="shared" si="383"/>
        <v>0</v>
      </c>
      <c r="BY152" s="236">
        <v>35</v>
      </c>
      <c r="BZ152" s="237">
        <f t="shared" si="384"/>
        <v>48</v>
      </c>
      <c r="CA152" s="253">
        <f t="shared" si="385"/>
        <v>3.0748170731707316</v>
      </c>
      <c r="CB152" s="253" cm="1">
        <f t="array" ref="CB152">$BC152 * SUMPRODUCT(INDEX($AL$77:$AN$82,,$AE152),INDEX($AO$77:$AU$82,,$AD152), N($AK$77:$AK$82&gt;$AI152)) / CA152 / 1000</f>
        <v>0</v>
      </c>
      <c r="CC152" s="250">
        <f t="shared" si="257"/>
        <v>30</v>
      </c>
      <c r="CD152" s="237">
        <f t="shared" si="386"/>
        <v>43</v>
      </c>
      <c r="CE152" s="253">
        <f t="shared" si="387"/>
        <v>3.5018750000000001</v>
      </c>
      <c r="CF152" s="253" cm="1">
        <f t="array" ref="CF152">$BC152 * IF($AD152&lt;=2,
SUMPRODUCT(INDEX($AL$72:$AN$76,,$AE152), INDEX($AO$72:$AU$76,,$AD152), 1 / ($AV$72:$AV$76*CE152 + (1-$AV$72:$AV$76)*CA152), N($AK$72:$AK$76&gt;$AI152)),
SUMPRODUCT(INDEX($AL$67:$AN$76,,$AE152), INDEX($AO$67:$AU$76,,$AD152), 1 / ($AW$67:$AW$76*CE152 + (1-$AW$67:$AW$76)*CA152), N($AK$67:$AK$76&gt;$AI152))
) / 1000</f>
        <v>0</v>
      </c>
      <c r="CG152" s="250">
        <f t="shared" si="260"/>
        <v>25</v>
      </c>
      <c r="CH152" s="237">
        <f t="shared" si="388"/>
        <v>38</v>
      </c>
      <c r="CI152" s="253">
        <f t="shared" si="389"/>
        <v>4.0666935483870965</v>
      </c>
      <c r="CJ152" s="253" cm="1">
        <f t="array" ref="CJ152">$BC152 * IF($AD152&lt;=2,
SUMPRODUCT(INDEX($AL$67:$AN$71,,$AE152), INDEX($AO$67:$AU$71,,$AD152), 1 / ($AV$67:$AV$71*CI152 + (1-$AV$67:$AV$71)*CE152), N($AK$67:$AK$71&gt;$AI152)),
SUMPRODUCT(INDEX($AL$57:$AN$66,,$AE152), INDEX($AO$57:$AU$66,,$AD152), 1 / ($AW$57:$AW$66*CI152 + (1-$AW$57:$AW$66)*CE152), N($AK$57:$AK$66&gt;$AI152))
) / 1000</f>
        <v>0</v>
      </c>
      <c r="CK152" s="250">
        <f t="shared" si="263"/>
        <v>20</v>
      </c>
      <c r="CL152" s="237">
        <f t="shared" si="390"/>
        <v>33</v>
      </c>
      <c r="CM152" s="253">
        <f t="shared" si="391"/>
        <v>4.8487499999999999</v>
      </c>
      <c r="CN152" s="253" cm="1">
        <f t="array" ref="CN152">$BC152 * IF($AD152&lt;=2,
SUMPRODUCT(INDEX($AL$62:$AN$66,,$AE152), INDEX($AO$62:$AU$66,,$AD152), 1 / ($AV$62:$AV$66*CM152 + (1-$AV$62:$AV$66)*CI152), N($AK$62:$AK$66&gt;$AI152)),
SUMPRODUCT(INDEX($AL$47:$AN$56,,$AE152), INDEX($AO$47:$AU$56,,$AD152), 1 / ($AW$47:$AW$56*CM152 + (1-$AW$47:$AW$56)*CI152), N($AK$47:$AK$56&gt;$AI152))
) / 1000</f>
        <v>0</v>
      </c>
      <c r="CO152" s="253" cm="1">
        <f t="array" ref="CO152">$BC152 * IF($AD152&lt;=2,
SUMPRODUCT(INDEX($AL$23:$AN$61,,$AE152), INDEX($AO$23:$AU$61,,$AD152), 1 / ($AV$23:$AV$61*CM152), N($AK$23:$AK$61&gt;$AI152)),
SUMPRODUCT(INDEX($AL$23:$AN$46,,$AE152), INDEX($AO$23:$AU$46,,$AD152), 1 / ($AW$23:$AW$46*CM152), N($AK$23:$AK$46&gt;$AI152))
) / 1000</f>
        <v>0</v>
      </c>
      <c r="CP152" s="237">
        <f t="shared" si="392"/>
        <v>0</v>
      </c>
      <c r="CQ152" s="210"/>
    </row>
    <row r="153" spans="1:95" s="76" customFormat="1" ht="14.25" customHeight="1" x14ac:dyDescent="0.2">
      <c r="A153" s="238" t="b">
        <f t="shared" si="227"/>
        <v>0</v>
      </c>
      <c r="B153" s="239">
        <v>131</v>
      </c>
      <c r="C153" s="258"/>
      <c r="D153" s="258"/>
      <c r="E153" s="240"/>
      <c r="F153" s="241" t="str">
        <f>IF(ISBLANK(E153), "", VLOOKUP(E153, Z!$A$2:$C$4127, 3, FALSE))</f>
        <v/>
      </c>
      <c r="G153" s="242"/>
      <c r="H153" s="242"/>
      <c r="I153" s="243"/>
      <c r="J153" s="244"/>
      <c r="K153" s="259"/>
      <c r="L153" s="260"/>
      <c r="M153" s="247" t="str" cm="1">
        <f t="array" ref="M153">IF($K153&gt;0, INDEX(Clean,1+AG153,$C$1), "")</f>
        <v/>
      </c>
      <c r="N153" s="245"/>
      <c r="O153" s="245"/>
      <c r="P153" s="246"/>
      <c r="Q153" s="248">
        <f t="shared" si="369"/>
        <v>0</v>
      </c>
      <c r="R153" s="247" t="str" cm="1">
        <f t="array" ref="R153">IF($K153&gt;0, INDEX(Clean,1+AH153,$C$1), "")</f>
        <v/>
      </c>
      <c r="S153" s="245"/>
      <c r="T153" s="245"/>
      <c r="U153" s="246"/>
      <c r="V153" s="248">
        <f t="shared" si="370"/>
        <v>0</v>
      </c>
      <c r="W153" s="261"/>
      <c r="X153" s="258"/>
      <c r="Y153" s="240"/>
      <c r="Z153" s="241" t="str">
        <f>IF(ISBLANK(Y153), "", VLOOKUP(Y153, Z!$A$2:$C$4127, 3, FALSE))</f>
        <v/>
      </c>
      <c r="AA153" s="262"/>
      <c r="AB153" s="249">
        <f t="shared" si="396"/>
        <v>0</v>
      </c>
      <c r="AC153" s="210"/>
      <c r="AD153" s="236">
        <f t="shared" si="393"/>
        <v>1</v>
      </c>
      <c r="AE153" s="236">
        <f t="shared" si="394"/>
        <v>1</v>
      </c>
      <c r="AF153" s="236">
        <f t="shared" si="395"/>
        <v>0</v>
      </c>
      <c r="AG153" s="236">
        <v>1</v>
      </c>
      <c r="AH153" s="236">
        <v>0</v>
      </c>
      <c r="AI153" s="236">
        <f t="shared" si="371"/>
        <v>-100</v>
      </c>
      <c r="AJ153" s="210"/>
      <c r="AK153" s="254"/>
      <c r="AL153" s="254"/>
      <c r="AM153" s="255"/>
      <c r="AN153" s="255"/>
      <c r="AO153" s="255"/>
      <c r="AP153" s="255"/>
      <c r="AQ153" s="255"/>
      <c r="AR153" s="255"/>
      <c r="AS153" s="255"/>
      <c r="AT153" s="255"/>
      <c r="AU153" s="255"/>
      <c r="AV153" s="255"/>
      <c r="AW153" s="255"/>
      <c r="AX153" s="210"/>
      <c r="AY153" s="236" cm="1">
        <f t="array" ref="AY153">INDEX(Use, $AD153, 4)</f>
        <v>7</v>
      </c>
      <c r="AZ153" s="236">
        <f t="shared" si="372"/>
        <v>32</v>
      </c>
      <c r="BA153" s="236">
        <f t="shared" si="239"/>
        <v>13</v>
      </c>
      <c r="BB153" s="236">
        <f t="shared" si="240"/>
        <v>0</v>
      </c>
      <c r="BC153" s="252" cm="1">
        <f t="array" ref="BC153">K153/IF($L153&gt;0, INDEX($AO$23:$AU$77, $L153+20, $AD153), 1)</f>
        <v>0</v>
      </c>
      <c r="BD153" s="237">
        <f t="shared" si="373"/>
        <v>0</v>
      </c>
      <c r="BE153" s="236">
        <v>35</v>
      </c>
      <c r="BF153" s="237">
        <f t="shared" si="374"/>
        <v>52.55</v>
      </c>
      <c r="BG153" s="253">
        <f t="shared" si="375"/>
        <v>2.7676728869374316</v>
      </c>
      <c r="BH153" s="253" cm="1">
        <f t="array" ref="BH153">$BC153 * SUMPRODUCT(INDEX($AL$77:$AN$82,,$AE153),INDEX($AO$77:$AU$82,,$AD153), N($AK$77:$AK$82&gt;$AI153)) / BG153 / 1000</f>
        <v>0</v>
      </c>
      <c r="BI153" s="250">
        <f t="shared" si="244"/>
        <v>30</v>
      </c>
      <c r="BJ153" s="237">
        <f t="shared" si="376"/>
        <v>46.033333333333331</v>
      </c>
      <c r="BK153" s="253">
        <f t="shared" si="377"/>
        <v>3.2297395388556791</v>
      </c>
      <c r="BL153" s="253" cm="1">
        <f t="array" ref="BL153">$BC153 * IF($AD153&lt;=2,
SUMPRODUCT(INDEX($AL$72:$AN$76,,$AE153), INDEX($AO$72:$AU$76,,$AD153), 1 / ($AV$72:$AV$76*BK153 + (1-$AV$72:$AV$76)*BG153), N($AK$72:$AK$76&gt;$AI153)),
SUMPRODUCT(INDEX($AL$67:$AN$76,,$AE153), INDEX($AO$67:$AU$76,,$AD153), 1 / ($AW$67:$AW$76*BK153 + (1-$AW$67:$AW$76)*BG153), N($AK$67:$AK$76&gt;$AI153))
) / 1000</f>
        <v>0</v>
      </c>
      <c r="BM153" s="250">
        <f t="shared" si="247"/>
        <v>25</v>
      </c>
      <c r="BN153" s="237">
        <f t="shared" si="378"/>
        <v>39.516666666666666</v>
      </c>
      <c r="BO153" s="253">
        <f t="shared" si="379"/>
        <v>3.877011788826243</v>
      </c>
      <c r="BP153" s="253" cm="1">
        <f t="array" ref="BP153">$BC153 * IF($AD153&lt;=2,
SUMPRODUCT(INDEX($AL$67:$AN$71,,$AE153), INDEX($AO$67:$AU$71,,$AD153), 1 / ($AV$67:$AV$71*BO153 + (1-$AV$67:$AV$71)*BK153), N($AK$67:$AK$71&gt;$AI153)),
SUMPRODUCT(INDEX($AL$57:$AN$66,,$AE153), INDEX($AO$57:$AU$66,,$AD153), 1 / ($AW$57:$AW$66*BO153 + (1-$AW$57:$AW$66)*BK153), N($AK$57:$AK$66&gt;$AI153))
) / 1000</f>
        <v>0</v>
      </c>
      <c r="BQ153" s="250">
        <f t="shared" si="250"/>
        <v>20</v>
      </c>
      <c r="BR153" s="237">
        <f t="shared" si="380"/>
        <v>33</v>
      </c>
      <c r="BS153" s="253">
        <f t="shared" si="381"/>
        <v>4.8487499999999999</v>
      </c>
      <c r="BT153" s="253" cm="1">
        <f t="array" ref="BT153">$BC153 * IF($AD153&lt;=2,
SUMPRODUCT(INDEX($AL$62:$AN$66,,$AE153), INDEX($AO$62:$AU$66,,$AD153), 1 / ($AV$62:$AV$66*BS153 + (1-$AV$62:$AV$66)*BO153), N($AK$62:$AK$66&gt;$AI153)),
SUMPRODUCT(INDEX($AL$47:$AN$56,,$AE153), INDEX($AO$47:$AU$56,,$AD153), 1 / ($AW$47:$AW$56*BS153 + (1-$AW$47:$AW$56)*BO153), N($AK$47:$AK$56&gt;$AI153))
) / 1000</f>
        <v>0</v>
      </c>
      <c r="BU153" s="253" cm="1">
        <f t="array" ref="BU153">$BC153 * IF($AD153&lt;=2,
SUMPRODUCT(INDEX($AL$23:$AN$61,,$AE153), INDEX($AO$23:$AU$61,,$AD153), 1 / ($AV$23:$AV$61*BS153), N($AK$23:$AK$61&gt;$AI153)),
SUMPRODUCT(INDEX($AL$23:$AN$46,,$AE153), INDEX($AO$23:$AU$46,,$AD153), 1 / ($AW$23:$AW$46*BS153), N($AK$23:$AK$46&gt;$AI153))
) / 1000</f>
        <v>0</v>
      </c>
      <c r="BV153" s="237">
        <f t="shared" si="382"/>
        <v>0</v>
      </c>
      <c r="BW153" s="210"/>
      <c r="BX153" s="237">
        <f t="shared" si="383"/>
        <v>0</v>
      </c>
      <c r="BY153" s="236">
        <v>35</v>
      </c>
      <c r="BZ153" s="237">
        <f t="shared" si="384"/>
        <v>48</v>
      </c>
      <c r="CA153" s="253">
        <f t="shared" si="385"/>
        <v>3.0748170731707316</v>
      </c>
      <c r="CB153" s="253" cm="1">
        <f t="array" ref="CB153">$BC153 * SUMPRODUCT(INDEX($AL$77:$AN$82,,$AE153),INDEX($AO$77:$AU$82,,$AD153), N($AK$77:$AK$82&gt;$AI153)) / CA153 / 1000</f>
        <v>0</v>
      </c>
      <c r="CC153" s="250">
        <f t="shared" si="257"/>
        <v>30</v>
      </c>
      <c r="CD153" s="237">
        <f t="shared" si="386"/>
        <v>43</v>
      </c>
      <c r="CE153" s="253">
        <f t="shared" si="387"/>
        <v>3.5018750000000001</v>
      </c>
      <c r="CF153" s="253" cm="1">
        <f t="array" ref="CF153">$BC153 * IF($AD153&lt;=2,
SUMPRODUCT(INDEX($AL$72:$AN$76,,$AE153), INDEX($AO$72:$AU$76,,$AD153), 1 / ($AV$72:$AV$76*CE153 + (1-$AV$72:$AV$76)*CA153), N($AK$72:$AK$76&gt;$AI153)),
SUMPRODUCT(INDEX($AL$67:$AN$76,,$AE153), INDEX($AO$67:$AU$76,,$AD153), 1 / ($AW$67:$AW$76*CE153 + (1-$AW$67:$AW$76)*CA153), N($AK$67:$AK$76&gt;$AI153))
) / 1000</f>
        <v>0</v>
      </c>
      <c r="CG153" s="250">
        <f t="shared" si="260"/>
        <v>25</v>
      </c>
      <c r="CH153" s="237">
        <f t="shared" si="388"/>
        <v>38</v>
      </c>
      <c r="CI153" s="253">
        <f t="shared" si="389"/>
        <v>4.0666935483870965</v>
      </c>
      <c r="CJ153" s="253" cm="1">
        <f t="array" ref="CJ153">$BC153 * IF($AD153&lt;=2,
SUMPRODUCT(INDEX($AL$67:$AN$71,,$AE153), INDEX($AO$67:$AU$71,,$AD153), 1 / ($AV$67:$AV$71*CI153 + (1-$AV$67:$AV$71)*CE153), N($AK$67:$AK$71&gt;$AI153)),
SUMPRODUCT(INDEX($AL$57:$AN$66,,$AE153), INDEX($AO$57:$AU$66,,$AD153), 1 / ($AW$57:$AW$66*CI153 + (1-$AW$57:$AW$66)*CE153), N($AK$57:$AK$66&gt;$AI153))
) / 1000</f>
        <v>0</v>
      </c>
      <c r="CK153" s="250">
        <f t="shared" si="263"/>
        <v>20</v>
      </c>
      <c r="CL153" s="237">
        <f t="shared" si="390"/>
        <v>33</v>
      </c>
      <c r="CM153" s="253">
        <f t="shared" si="391"/>
        <v>4.8487499999999999</v>
      </c>
      <c r="CN153" s="253" cm="1">
        <f t="array" ref="CN153">$BC153 * IF($AD153&lt;=2,
SUMPRODUCT(INDEX($AL$62:$AN$66,,$AE153), INDEX($AO$62:$AU$66,,$AD153), 1 / ($AV$62:$AV$66*CM153 + (1-$AV$62:$AV$66)*CI153), N($AK$62:$AK$66&gt;$AI153)),
SUMPRODUCT(INDEX($AL$47:$AN$56,,$AE153), INDEX($AO$47:$AU$56,,$AD153), 1 / ($AW$47:$AW$56*CM153 + (1-$AW$47:$AW$56)*CI153), N($AK$47:$AK$56&gt;$AI153))
) / 1000</f>
        <v>0</v>
      </c>
      <c r="CO153" s="253" cm="1">
        <f t="array" ref="CO153">$BC153 * IF($AD153&lt;=2,
SUMPRODUCT(INDEX($AL$23:$AN$61,,$AE153), INDEX($AO$23:$AU$61,,$AD153), 1 / ($AV$23:$AV$61*CM153), N($AK$23:$AK$61&gt;$AI153)),
SUMPRODUCT(INDEX($AL$23:$AN$46,,$AE153), INDEX($AO$23:$AU$46,,$AD153), 1 / ($AW$23:$AW$46*CM153), N($AK$23:$AK$46&gt;$AI153))
) / 1000</f>
        <v>0</v>
      </c>
      <c r="CP153" s="237">
        <f t="shared" si="392"/>
        <v>0</v>
      </c>
      <c r="CQ153" s="210"/>
    </row>
    <row r="154" spans="1:95" s="76" customFormat="1" ht="14.25" customHeight="1" x14ac:dyDescent="0.2">
      <c r="A154" s="238" t="b">
        <f t="shared" si="227"/>
        <v>0</v>
      </c>
      <c r="B154" s="239">
        <v>132</v>
      </c>
      <c r="C154" s="258"/>
      <c r="D154" s="258"/>
      <c r="E154" s="240"/>
      <c r="F154" s="241" t="str">
        <f>IF(ISBLANK(E154), "", VLOOKUP(E154, Z!$A$2:$C$4127, 3, FALSE))</f>
        <v/>
      </c>
      <c r="G154" s="242"/>
      <c r="H154" s="242"/>
      <c r="I154" s="243"/>
      <c r="J154" s="244"/>
      <c r="K154" s="259"/>
      <c r="L154" s="260"/>
      <c r="M154" s="247" t="str" cm="1">
        <f t="array" ref="M154">IF($K154&gt;0, INDEX(Clean,1+AG154,$C$1), "")</f>
        <v/>
      </c>
      <c r="N154" s="245"/>
      <c r="O154" s="245"/>
      <c r="P154" s="246"/>
      <c r="Q154" s="248">
        <f t="shared" si="369"/>
        <v>0</v>
      </c>
      <c r="R154" s="247" t="str" cm="1">
        <f t="array" ref="R154">IF($K154&gt;0, INDEX(Clean,1+AH154,$C$1), "")</f>
        <v/>
      </c>
      <c r="S154" s="245"/>
      <c r="T154" s="245"/>
      <c r="U154" s="246"/>
      <c r="V154" s="248">
        <f t="shared" si="370"/>
        <v>0</v>
      </c>
      <c r="W154" s="261"/>
      <c r="X154" s="258"/>
      <c r="Y154" s="240"/>
      <c r="Z154" s="241" t="str">
        <f>IF(ISBLANK(Y154), "", VLOOKUP(Y154, Z!$A$2:$C$4127, 3, FALSE))</f>
        <v/>
      </c>
      <c r="AA154" s="262"/>
      <c r="AB154" s="249">
        <f t="shared" si="396"/>
        <v>0</v>
      </c>
      <c r="AC154" s="210"/>
      <c r="AD154" s="236">
        <f t="shared" si="393"/>
        <v>1</v>
      </c>
      <c r="AE154" s="236">
        <f t="shared" si="394"/>
        <v>1</v>
      </c>
      <c r="AF154" s="236">
        <f t="shared" si="395"/>
        <v>0</v>
      </c>
      <c r="AG154" s="236">
        <v>1</v>
      </c>
      <c r="AH154" s="236">
        <v>0</v>
      </c>
      <c r="AI154" s="236">
        <f t="shared" si="371"/>
        <v>-100</v>
      </c>
      <c r="AJ154" s="210"/>
      <c r="AK154" s="254"/>
      <c r="AL154" s="254"/>
      <c r="AM154" s="255"/>
      <c r="AN154" s="255"/>
      <c r="AO154" s="255"/>
      <c r="AP154" s="255"/>
      <c r="AQ154" s="255"/>
      <c r="AR154" s="255"/>
      <c r="AS154" s="255"/>
      <c r="AT154" s="255"/>
      <c r="AU154" s="255"/>
      <c r="AV154" s="255"/>
      <c r="AW154" s="255"/>
      <c r="AX154" s="210"/>
      <c r="AY154" s="236" cm="1">
        <f t="array" ref="AY154">INDEX(Use, $AD154, 4)</f>
        <v>7</v>
      </c>
      <c r="AZ154" s="236">
        <f t="shared" si="372"/>
        <v>32</v>
      </c>
      <c r="BA154" s="236">
        <f t="shared" si="239"/>
        <v>13</v>
      </c>
      <c r="BB154" s="236">
        <f t="shared" si="240"/>
        <v>0</v>
      </c>
      <c r="BC154" s="252" cm="1">
        <f t="array" ref="BC154">K154/IF($L154&gt;0, INDEX($AO$23:$AU$77, $L154+20, $AD154), 1)</f>
        <v>0</v>
      </c>
      <c r="BD154" s="237">
        <f t="shared" si="373"/>
        <v>0</v>
      </c>
      <c r="BE154" s="236">
        <v>35</v>
      </c>
      <c r="BF154" s="237">
        <f t="shared" si="374"/>
        <v>52.55</v>
      </c>
      <c r="BG154" s="253">
        <f t="shared" si="375"/>
        <v>2.7676728869374316</v>
      </c>
      <c r="BH154" s="253" cm="1">
        <f t="array" ref="BH154">$BC154 * SUMPRODUCT(INDEX($AL$77:$AN$82,,$AE154),INDEX($AO$77:$AU$82,,$AD154), N($AK$77:$AK$82&gt;$AI154)) / BG154 / 1000</f>
        <v>0</v>
      </c>
      <c r="BI154" s="250">
        <f t="shared" si="244"/>
        <v>30</v>
      </c>
      <c r="BJ154" s="237">
        <f t="shared" si="376"/>
        <v>46.033333333333331</v>
      </c>
      <c r="BK154" s="253">
        <f t="shared" si="377"/>
        <v>3.2297395388556791</v>
      </c>
      <c r="BL154" s="253" cm="1">
        <f t="array" ref="BL154">$BC154 * IF($AD154&lt;=2,
SUMPRODUCT(INDEX($AL$72:$AN$76,,$AE154), INDEX($AO$72:$AU$76,,$AD154), 1 / ($AV$72:$AV$76*BK154 + (1-$AV$72:$AV$76)*BG154), N($AK$72:$AK$76&gt;$AI154)),
SUMPRODUCT(INDEX($AL$67:$AN$76,,$AE154), INDEX($AO$67:$AU$76,,$AD154), 1 / ($AW$67:$AW$76*BK154 + (1-$AW$67:$AW$76)*BG154), N($AK$67:$AK$76&gt;$AI154))
) / 1000</f>
        <v>0</v>
      </c>
      <c r="BM154" s="250">
        <f t="shared" si="247"/>
        <v>25</v>
      </c>
      <c r="BN154" s="237">
        <f t="shared" si="378"/>
        <v>39.516666666666666</v>
      </c>
      <c r="BO154" s="253">
        <f t="shared" si="379"/>
        <v>3.877011788826243</v>
      </c>
      <c r="BP154" s="253" cm="1">
        <f t="array" ref="BP154">$BC154 * IF($AD154&lt;=2,
SUMPRODUCT(INDEX($AL$67:$AN$71,,$AE154), INDEX($AO$67:$AU$71,,$AD154), 1 / ($AV$67:$AV$71*BO154 + (1-$AV$67:$AV$71)*BK154), N($AK$67:$AK$71&gt;$AI154)),
SUMPRODUCT(INDEX($AL$57:$AN$66,,$AE154), INDEX($AO$57:$AU$66,,$AD154), 1 / ($AW$57:$AW$66*BO154 + (1-$AW$57:$AW$66)*BK154), N($AK$57:$AK$66&gt;$AI154))
) / 1000</f>
        <v>0</v>
      </c>
      <c r="BQ154" s="250">
        <f t="shared" si="250"/>
        <v>20</v>
      </c>
      <c r="BR154" s="237">
        <f t="shared" si="380"/>
        <v>33</v>
      </c>
      <c r="BS154" s="253">
        <f t="shared" si="381"/>
        <v>4.8487499999999999</v>
      </c>
      <c r="BT154" s="253" cm="1">
        <f t="array" ref="BT154">$BC154 * IF($AD154&lt;=2,
SUMPRODUCT(INDEX($AL$62:$AN$66,,$AE154), INDEX($AO$62:$AU$66,,$AD154), 1 / ($AV$62:$AV$66*BS154 + (1-$AV$62:$AV$66)*BO154), N($AK$62:$AK$66&gt;$AI154)),
SUMPRODUCT(INDEX($AL$47:$AN$56,,$AE154), INDEX($AO$47:$AU$56,,$AD154), 1 / ($AW$47:$AW$56*BS154 + (1-$AW$47:$AW$56)*BO154), N($AK$47:$AK$56&gt;$AI154))
) / 1000</f>
        <v>0</v>
      </c>
      <c r="BU154" s="253" cm="1">
        <f t="array" ref="BU154">$BC154 * IF($AD154&lt;=2,
SUMPRODUCT(INDEX($AL$23:$AN$61,,$AE154), INDEX($AO$23:$AU$61,,$AD154), 1 / ($AV$23:$AV$61*BS154), N($AK$23:$AK$61&gt;$AI154)),
SUMPRODUCT(INDEX($AL$23:$AN$46,,$AE154), INDEX($AO$23:$AU$46,,$AD154), 1 / ($AW$23:$AW$46*BS154), N($AK$23:$AK$46&gt;$AI154))
) / 1000</f>
        <v>0</v>
      </c>
      <c r="BV154" s="237">
        <f t="shared" si="382"/>
        <v>0</v>
      </c>
      <c r="BW154" s="210"/>
      <c r="BX154" s="237">
        <f t="shared" si="383"/>
        <v>0</v>
      </c>
      <c r="BY154" s="236">
        <v>35</v>
      </c>
      <c r="BZ154" s="237">
        <f t="shared" si="384"/>
        <v>48</v>
      </c>
      <c r="CA154" s="253">
        <f t="shared" si="385"/>
        <v>3.0748170731707316</v>
      </c>
      <c r="CB154" s="253" cm="1">
        <f t="array" ref="CB154">$BC154 * SUMPRODUCT(INDEX($AL$77:$AN$82,,$AE154),INDEX($AO$77:$AU$82,,$AD154), N($AK$77:$AK$82&gt;$AI154)) / CA154 / 1000</f>
        <v>0</v>
      </c>
      <c r="CC154" s="250">
        <f t="shared" si="257"/>
        <v>30</v>
      </c>
      <c r="CD154" s="237">
        <f t="shared" si="386"/>
        <v>43</v>
      </c>
      <c r="CE154" s="253">
        <f t="shared" si="387"/>
        <v>3.5018750000000001</v>
      </c>
      <c r="CF154" s="253" cm="1">
        <f t="array" ref="CF154">$BC154 * IF($AD154&lt;=2,
SUMPRODUCT(INDEX($AL$72:$AN$76,,$AE154), INDEX($AO$72:$AU$76,,$AD154), 1 / ($AV$72:$AV$76*CE154 + (1-$AV$72:$AV$76)*CA154), N($AK$72:$AK$76&gt;$AI154)),
SUMPRODUCT(INDEX($AL$67:$AN$76,,$AE154), INDEX($AO$67:$AU$76,,$AD154), 1 / ($AW$67:$AW$76*CE154 + (1-$AW$67:$AW$76)*CA154), N($AK$67:$AK$76&gt;$AI154))
) / 1000</f>
        <v>0</v>
      </c>
      <c r="CG154" s="250">
        <f t="shared" si="260"/>
        <v>25</v>
      </c>
      <c r="CH154" s="237">
        <f t="shared" si="388"/>
        <v>38</v>
      </c>
      <c r="CI154" s="253">
        <f t="shared" si="389"/>
        <v>4.0666935483870965</v>
      </c>
      <c r="CJ154" s="253" cm="1">
        <f t="array" ref="CJ154">$BC154 * IF($AD154&lt;=2,
SUMPRODUCT(INDEX($AL$67:$AN$71,,$AE154), INDEX($AO$67:$AU$71,,$AD154), 1 / ($AV$67:$AV$71*CI154 + (1-$AV$67:$AV$71)*CE154), N($AK$67:$AK$71&gt;$AI154)),
SUMPRODUCT(INDEX($AL$57:$AN$66,,$AE154), INDEX($AO$57:$AU$66,,$AD154), 1 / ($AW$57:$AW$66*CI154 + (1-$AW$57:$AW$66)*CE154), N($AK$57:$AK$66&gt;$AI154))
) / 1000</f>
        <v>0</v>
      </c>
      <c r="CK154" s="250">
        <f t="shared" si="263"/>
        <v>20</v>
      </c>
      <c r="CL154" s="237">
        <f t="shared" si="390"/>
        <v>33</v>
      </c>
      <c r="CM154" s="253">
        <f t="shared" si="391"/>
        <v>4.8487499999999999</v>
      </c>
      <c r="CN154" s="253" cm="1">
        <f t="array" ref="CN154">$BC154 * IF($AD154&lt;=2,
SUMPRODUCT(INDEX($AL$62:$AN$66,,$AE154), INDEX($AO$62:$AU$66,,$AD154), 1 / ($AV$62:$AV$66*CM154 + (1-$AV$62:$AV$66)*CI154), N($AK$62:$AK$66&gt;$AI154)),
SUMPRODUCT(INDEX($AL$47:$AN$56,,$AE154), INDEX($AO$47:$AU$56,,$AD154), 1 / ($AW$47:$AW$56*CM154 + (1-$AW$47:$AW$56)*CI154), N($AK$47:$AK$56&gt;$AI154))
) / 1000</f>
        <v>0</v>
      </c>
      <c r="CO154" s="253" cm="1">
        <f t="array" ref="CO154">$BC154 * IF($AD154&lt;=2,
SUMPRODUCT(INDEX($AL$23:$AN$61,,$AE154), INDEX($AO$23:$AU$61,,$AD154), 1 / ($AV$23:$AV$61*CM154), N($AK$23:$AK$61&gt;$AI154)),
SUMPRODUCT(INDEX($AL$23:$AN$46,,$AE154), INDEX($AO$23:$AU$46,,$AD154), 1 / ($AW$23:$AW$46*CM154), N($AK$23:$AK$46&gt;$AI154))
) / 1000</f>
        <v>0</v>
      </c>
      <c r="CP154" s="237">
        <f t="shared" si="392"/>
        <v>0</v>
      </c>
      <c r="CQ154" s="210"/>
    </row>
    <row r="155" spans="1:95" s="76" customFormat="1" ht="14.25" customHeight="1" x14ac:dyDescent="0.2">
      <c r="A155" s="238" t="b">
        <f t="shared" si="227"/>
        <v>0</v>
      </c>
      <c r="B155" s="239">
        <v>133</v>
      </c>
      <c r="C155" s="258"/>
      <c r="D155" s="258"/>
      <c r="E155" s="240"/>
      <c r="F155" s="241" t="str">
        <f>IF(ISBLANK(E155), "", VLOOKUP(E155, Z!$A$2:$C$4127, 3, FALSE))</f>
        <v/>
      </c>
      <c r="G155" s="242"/>
      <c r="H155" s="242"/>
      <c r="I155" s="243"/>
      <c r="J155" s="244"/>
      <c r="K155" s="259"/>
      <c r="L155" s="260"/>
      <c r="M155" s="247" t="str" cm="1">
        <f t="array" ref="M155">IF($K155&gt;0, INDEX(Clean,1+AG155,$C$1), "")</f>
        <v/>
      </c>
      <c r="N155" s="245"/>
      <c r="O155" s="245"/>
      <c r="P155" s="246"/>
      <c r="Q155" s="248">
        <f t="shared" si="369"/>
        <v>0</v>
      </c>
      <c r="R155" s="247" t="str" cm="1">
        <f t="array" ref="R155">IF($K155&gt;0, INDEX(Clean,1+AH155,$C$1), "")</f>
        <v/>
      </c>
      <c r="S155" s="245"/>
      <c r="T155" s="245"/>
      <c r="U155" s="246"/>
      <c r="V155" s="248">
        <f t="shared" si="370"/>
        <v>0</v>
      </c>
      <c r="W155" s="261"/>
      <c r="X155" s="258"/>
      <c r="Y155" s="240"/>
      <c r="Z155" s="241" t="str">
        <f>IF(ISBLANK(Y155), "", VLOOKUP(Y155, Z!$A$2:$C$4127, 3, FALSE))</f>
        <v/>
      </c>
      <c r="AA155" s="262"/>
      <c r="AB155" s="249">
        <f t="shared" si="396"/>
        <v>0</v>
      </c>
      <c r="AC155" s="210"/>
      <c r="AD155" s="236">
        <f t="shared" si="393"/>
        <v>1</v>
      </c>
      <c r="AE155" s="236">
        <f t="shared" si="394"/>
        <v>1</v>
      </c>
      <c r="AF155" s="236">
        <f t="shared" si="395"/>
        <v>0</v>
      </c>
      <c r="AG155" s="236">
        <v>1</v>
      </c>
      <c r="AH155" s="236">
        <v>0</v>
      </c>
      <c r="AI155" s="236">
        <f t="shared" si="371"/>
        <v>-100</v>
      </c>
      <c r="AJ155" s="210"/>
      <c r="AK155" s="254"/>
      <c r="AL155" s="254"/>
      <c r="AM155" s="255"/>
      <c r="AN155" s="255"/>
      <c r="AO155" s="255"/>
      <c r="AP155" s="255"/>
      <c r="AQ155" s="255"/>
      <c r="AR155" s="255"/>
      <c r="AS155" s="255"/>
      <c r="AT155" s="255"/>
      <c r="AU155" s="255"/>
      <c r="AV155" s="255"/>
      <c r="AW155" s="255"/>
      <c r="AX155" s="210"/>
      <c r="AY155" s="236" cm="1">
        <f t="array" ref="AY155">INDEX(Use, $AD155, 4)</f>
        <v>7</v>
      </c>
      <c r="AZ155" s="236">
        <f t="shared" si="372"/>
        <v>32</v>
      </c>
      <c r="BA155" s="236">
        <f t="shared" si="239"/>
        <v>13</v>
      </c>
      <c r="BB155" s="236">
        <f t="shared" si="240"/>
        <v>0</v>
      </c>
      <c r="BC155" s="252" cm="1">
        <f t="array" ref="BC155">K155/IF($L155&gt;0, INDEX($AO$23:$AU$77, $L155+20, $AD155), 1)</f>
        <v>0</v>
      </c>
      <c r="BD155" s="237">
        <f t="shared" si="373"/>
        <v>0</v>
      </c>
      <c r="BE155" s="236">
        <v>35</v>
      </c>
      <c r="BF155" s="237">
        <f t="shared" si="374"/>
        <v>52.55</v>
      </c>
      <c r="BG155" s="253">
        <f t="shared" si="375"/>
        <v>2.7676728869374316</v>
      </c>
      <c r="BH155" s="253" cm="1">
        <f t="array" ref="BH155">$BC155 * SUMPRODUCT(INDEX($AL$77:$AN$82,,$AE155),INDEX($AO$77:$AU$82,,$AD155), N($AK$77:$AK$82&gt;$AI155)) / BG155 / 1000</f>
        <v>0</v>
      </c>
      <c r="BI155" s="250">
        <f t="shared" si="244"/>
        <v>30</v>
      </c>
      <c r="BJ155" s="237">
        <f t="shared" si="376"/>
        <v>46.033333333333331</v>
      </c>
      <c r="BK155" s="253">
        <f t="shared" si="377"/>
        <v>3.2297395388556791</v>
      </c>
      <c r="BL155" s="253" cm="1">
        <f t="array" ref="BL155">$BC155 * IF($AD155&lt;=2,
SUMPRODUCT(INDEX($AL$72:$AN$76,,$AE155), INDEX($AO$72:$AU$76,,$AD155), 1 / ($AV$72:$AV$76*BK155 + (1-$AV$72:$AV$76)*BG155), N($AK$72:$AK$76&gt;$AI155)),
SUMPRODUCT(INDEX($AL$67:$AN$76,,$AE155), INDEX($AO$67:$AU$76,,$AD155), 1 / ($AW$67:$AW$76*BK155 + (1-$AW$67:$AW$76)*BG155), N($AK$67:$AK$76&gt;$AI155))
) / 1000</f>
        <v>0</v>
      </c>
      <c r="BM155" s="250">
        <f t="shared" si="247"/>
        <v>25</v>
      </c>
      <c r="BN155" s="237">
        <f t="shared" si="378"/>
        <v>39.516666666666666</v>
      </c>
      <c r="BO155" s="253">
        <f t="shared" si="379"/>
        <v>3.877011788826243</v>
      </c>
      <c r="BP155" s="253" cm="1">
        <f t="array" ref="BP155">$BC155 * IF($AD155&lt;=2,
SUMPRODUCT(INDEX($AL$67:$AN$71,,$AE155), INDEX($AO$67:$AU$71,,$AD155), 1 / ($AV$67:$AV$71*BO155 + (1-$AV$67:$AV$71)*BK155), N($AK$67:$AK$71&gt;$AI155)),
SUMPRODUCT(INDEX($AL$57:$AN$66,,$AE155), INDEX($AO$57:$AU$66,,$AD155), 1 / ($AW$57:$AW$66*BO155 + (1-$AW$57:$AW$66)*BK155), N($AK$57:$AK$66&gt;$AI155))
) / 1000</f>
        <v>0</v>
      </c>
      <c r="BQ155" s="250">
        <f t="shared" si="250"/>
        <v>20</v>
      </c>
      <c r="BR155" s="237">
        <f t="shared" si="380"/>
        <v>33</v>
      </c>
      <c r="BS155" s="253">
        <f t="shared" si="381"/>
        <v>4.8487499999999999</v>
      </c>
      <c r="BT155" s="253" cm="1">
        <f t="array" ref="BT155">$BC155 * IF($AD155&lt;=2,
SUMPRODUCT(INDEX($AL$62:$AN$66,,$AE155), INDEX($AO$62:$AU$66,,$AD155), 1 / ($AV$62:$AV$66*BS155 + (1-$AV$62:$AV$66)*BO155), N($AK$62:$AK$66&gt;$AI155)),
SUMPRODUCT(INDEX($AL$47:$AN$56,,$AE155), INDEX($AO$47:$AU$56,,$AD155), 1 / ($AW$47:$AW$56*BS155 + (1-$AW$47:$AW$56)*BO155), N($AK$47:$AK$56&gt;$AI155))
) / 1000</f>
        <v>0</v>
      </c>
      <c r="BU155" s="253" cm="1">
        <f t="array" ref="BU155">$BC155 * IF($AD155&lt;=2,
SUMPRODUCT(INDEX($AL$23:$AN$61,,$AE155), INDEX($AO$23:$AU$61,,$AD155), 1 / ($AV$23:$AV$61*BS155), N($AK$23:$AK$61&gt;$AI155)),
SUMPRODUCT(INDEX($AL$23:$AN$46,,$AE155), INDEX($AO$23:$AU$46,,$AD155), 1 / ($AW$23:$AW$46*BS155), N($AK$23:$AK$46&gt;$AI155))
) / 1000</f>
        <v>0</v>
      </c>
      <c r="BV155" s="237">
        <f t="shared" si="382"/>
        <v>0</v>
      </c>
      <c r="BW155" s="210"/>
      <c r="BX155" s="237">
        <f t="shared" si="383"/>
        <v>0</v>
      </c>
      <c r="BY155" s="236">
        <v>35</v>
      </c>
      <c r="BZ155" s="237">
        <f t="shared" si="384"/>
        <v>48</v>
      </c>
      <c r="CA155" s="253">
        <f t="shared" si="385"/>
        <v>3.0748170731707316</v>
      </c>
      <c r="CB155" s="253" cm="1">
        <f t="array" ref="CB155">$BC155 * SUMPRODUCT(INDEX($AL$77:$AN$82,,$AE155),INDEX($AO$77:$AU$82,,$AD155), N($AK$77:$AK$82&gt;$AI155)) / CA155 / 1000</f>
        <v>0</v>
      </c>
      <c r="CC155" s="250">
        <f t="shared" si="257"/>
        <v>30</v>
      </c>
      <c r="CD155" s="237">
        <f t="shared" si="386"/>
        <v>43</v>
      </c>
      <c r="CE155" s="253">
        <f t="shared" si="387"/>
        <v>3.5018750000000001</v>
      </c>
      <c r="CF155" s="253" cm="1">
        <f t="array" ref="CF155">$BC155 * IF($AD155&lt;=2,
SUMPRODUCT(INDEX($AL$72:$AN$76,,$AE155), INDEX($AO$72:$AU$76,,$AD155), 1 / ($AV$72:$AV$76*CE155 + (1-$AV$72:$AV$76)*CA155), N($AK$72:$AK$76&gt;$AI155)),
SUMPRODUCT(INDEX($AL$67:$AN$76,,$AE155), INDEX($AO$67:$AU$76,,$AD155), 1 / ($AW$67:$AW$76*CE155 + (1-$AW$67:$AW$76)*CA155), N($AK$67:$AK$76&gt;$AI155))
) / 1000</f>
        <v>0</v>
      </c>
      <c r="CG155" s="250">
        <f t="shared" si="260"/>
        <v>25</v>
      </c>
      <c r="CH155" s="237">
        <f t="shared" si="388"/>
        <v>38</v>
      </c>
      <c r="CI155" s="253">
        <f t="shared" si="389"/>
        <v>4.0666935483870965</v>
      </c>
      <c r="CJ155" s="253" cm="1">
        <f t="array" ref="CJ155">$BC155 * IF($AD155&lt;=2,
SUMPRODUCT(INDEX($AL$67:$AN$71,,$AE155), INDEX($AO$67:$AU$71,,$AD155), 1 / ($AV$67:$AV$71*CI155 + (1-$AV$67:$AV$71)*CE155), N($AK$67:$AK$71&gt;$AI155)),
SUMPRODUCT(INDEX($AL$57:$AN$66,,$AE155), INDEX($AO$57:$AU$66,,$AD155), 1 / ($AW$57:$AW$66*CI155 + (1-$AW$57:$AW$66)*CE155), N($AK$57:$AK$66&gt;$AI155))
) / 1000</f>
        <v>0</v>
      </c>
      <c r="CK155" s="250">
        <f t="shared" si="263"/>
        <v>20</v>
      </c>
      <c r="CL155" s="237">
        <f t="shared" si="390"/>
        <v>33</v>
      </c>
      <c r="CM155" s="253">
        <f t="shared" si="391"/>
        <v>4.8487499999999999</v>
      </c>
      <c r="CN155" s="253" cm="1">
        <f t="array" ref="CN155">$BC155 * IF($AD155&lt;=2,
SUMPRODUCT(INDEX($AL$62:$AN$66,,$AE155), INDEX($AO$62:$AU$66,,$AD155), 1 / ($AV$62:$AV$66*CM155 + (1-$AV$62:$AV$66)*CI155), N($AK$62:$AK$66&gt;$AI155)),
SUMPRODUCT(INDEX($AL$47:$AN$56,,$AE155), INDEX($AO$47:$AU$56,,$AD155), 1 / ($AW$47:$AW$56*CM155 + (1-$AW$47:$AW$56)*CI155), N($AK$47:$AK$56&gt;$AI155))
) / 1000</f>
        <v>0</v>
      </c>
      <c r="CO155" s="253" cm="1">
        <f t="array" ref="CO155">$BC155 * IF($AD155&lt;=2,
SUMPRODUCT(INDEX($AL$23:$AN$61,,$AE155), INDEX($AO$23:$AU$61,,$AD155), 1 / ($AV$23:$AV$61*CM155), N($AK$23:$AK$61&gt;$AI155)),
SUMPRODUCT(INDEX($AL$23:$AN$46,,$AE155), INDEX($AO$23:$AU$46,,$AD155), 1 / ($AW$23:$AW$46*CM155), N($AK$23:$AK$46&gt;$AI155))
) / 1000</f>
        <v>0</v>
      </c>
      <c r="CP155" s="237">
        <f t="shared" si="392"/>
        <v>0</v>
      </c>
      <c r="CQ155" s="210"/>
    </row>
    <row r="156" spans="1:95" s="76" customFormat="1" ht="14.25" customHeight="1" x14ac:dyDescent="0.2">
      <c r="A156" s="238" t="b">
        <f t="shared" si="227"/>
        <v>0</v>
      </c>
      <c r="B156" s="239">
        <v>134</v>
      </c>
      <c r="C156" s="258"/>
      <c r="D156" s="258"/>
      <c r="E156" s="240"/>
      <c r="F156" s="241" t="str">
        <f>IF(ISBLANK(E156), "", VLOOKUP(E156, Z!$A$2:$C$4127, 3, FALSE))</f>
        <v/>
      </c>
      <c r="G156" s="242"/>
      <c r="H156" s="242"/>
      <c r="I156" s="243"/>
      <c r="J156" s="244"/>
      <c r="K156" s="259"/>
      <c r="L156" s="260"/>
      <c r="M156" s="247" t="str" cm="1">
        <f t="array" ref="M156">IF($K156&gt;0, INDEX(Clean,1+AG156,$C$1), "")</f>
        <v/>
      </c>
      <c r="N156" s="245"/>
      <c r="O156" s="245"/>
      <c r="P156" s="246"/>
      <c r="Q156" s="248">
        <f t="shared" si="369"/>
        <v>0</v>
      </c>
      <c r="R156" s="247" t="str" cm="1">
        <f t="array" ref="R156">IF($K156&gt;0, INDEX(Clean,1+AH156,$C$1), "")</f>
        <v/>
      </c>
      <c r="S156" s="245"/>
      <c r="T156" s="245"/>
      <c r="U156" s="246"/>
      <c r="V156" s="248">
        <f t="shared" si="370"/>
        <v>0</v>
      </c>
      <c r="W156" s="261"/>
      <c r="X156" s="258"/>
      <c r="Y156" s="240"/>
      <c r="Z156" s="241" t="str">
        <f>IF(ISBLANK(Y156), "", VLOOKUP(Y156, Z!$A$2:$C$4127, 3, FALSE))</f>
        <v/>
      </c>
      <c r="AA156" s="262"/>
      <c r="AB156" s="249">
        <f t="shared" si="396"/>
        <v>0</v>
      </c>
      <c r="AC156" s="210"/>
      <c r="AD156" s="236">
        <f t="shared" si="393"/>
        <v>1</v>
      </c>
      <c r="AE156" s="236">
        <f t="shared" si="394"/>
        <v>1</v>
      </c>
      <c r="AF156" s="236">
        <f t="shared" si="395"/>
        <v>0</v>
      </c>
      <c r="AG156" s="236">
        <v>1</v>
      </c>
      <c r="AH156" s="236">
        <v>0</v>
      </c>
      <c r="AI156" s="236">
        <f t="shared" si="371"/>
        <v>-100</v>
      </c>
      <c r="AJ156" s="210"/>
      <c r="AK156" s="254"/>
      <c r="AL156" s="254"/>
      <c r="AM156" s="255"/>
      <c r="AN156" s="255"/>
      <c r="AO156" s="255"/>
      <c r="AP156" s="255"/>
      <c r="AQ156" s="255"/>
      <c r="AR156" s="255"/>
      <c r="AS156" s="255"/>
      <c r="AT156" s="255"/>
      <c r="AU156" s="255"/>
      <c r="AV156" s="255"/>
      <c r="AW156" s="255"/>
      <c r="AX156" s="210"/>
      <c r="AY156" s="236" cm="1">
        <f t="array" ref="AY156">INDEX(Use, $AD156, 4)</f>
        <v>7</v>
      </c>
      <c r="AZ156" s="236">
        <f t="shared" si="372"/>
        <v>32</v>
      </c>
      <c r="BA156" s="236">
        <f t="shared" si="239"/>
        <v>13</v>
      </c>
      <c r="BB156" s="236">
        <f t="shared" si="240"/>
        <v>0</v>
      </c>
      <c r="BC156" s="252" cm="1">
        <f t="array" ref="BC156">K156/IF($L156&gt;0, INDEX($AO$23:$AU$77, $L156+20, $AD156), 1)</f>
        <v>0</v>
      </c>
      <c r="BD156" s="237">
        <f t="shared" si="373"/>
        <v>0</v>
      </c>
      <c r="BE156" s="236">
        <v>35</v>
      </c>
      <c r="BF156" s="237">
        <f t="shared" si="374"/>
        <v>52.55</v>
      </c>
      <c r="BG156" s="253">
        <f t="shared" si="375"/>
        <v>2.7676728869374316</v>
      </c>
      <c r="BH156" s="253" cm="1">
        <f t="array" ref="BH156">$BC156 * SUMPRODUCT(INDEX($AL$77:$AN$82,,$AE156),INDEX($AO$77:$AU$82,,$AD156), N($AK$77:$AK$82&gt;$AI156)) / BG156 / 1000</f>
        <v>0</v>
      </c>
      <c r="BI156" s="250">
        <f t="shared" si="244"/>
        <v>30</v>
      </c>
      <c r="BJ156" s="237">
        <f t="shared" si="376"/>
        <v>46.033333333333331</v>
      </c>
      <c r="BK156" s="253">
        <f t="shared" si="377"/>
        <v>3.2297395388556791</v>
      </c>
      <c r="BL156" s="253" cm="1">
        <f t="array" ref="BL156">$BC156 * IF($AD156&lt;=2,
SUMPRODUCT(INDEX($AL$72:$AN$76,,$AE156), INDEX($AO$72:$AU$76,,$AD156), 1 / ($AV$72:$AV$76*BK156 + (1-$AV$72:$AV$76)*BG156), N($AK$72:$AK$76&gt;$AI156)),
SUMPRODUCT(INDEX($AL$67:$AN$76,,$AE156), INDEX($AO$67:$AU$76,,$AD156), 1 / ($AW$67:$AW$76*BK156 + (1-$AW$67:$AW$76)*BG156), N($AK$67:$AK$76&gt;$AI156))
) / 1000</f>
        <v>0</v>
      </c>
      <c r="BM156" s="250">
        <f t="shared" si="247"/>
        <v>25</v>
      </c>
      <c r="BN156" s="237">
        <f t="shared" si="378"/>
        <v>39.516666666666666</v>
      </c>
      <c r="BO156" s="253">
        <f t="shared" si="379"/>
        <v>3.877011788826243</v>
      </c>
      <c r="BP156" s="253" cm="1">
        <f t="array" ref="BP156">$BC156 * IF($AD156&lt;=2,
SUMPRODUCT(INDEX($AL$67:$AN$71,,$AE156), INDEX($AO$67:$AU$71,,$AD156), 1 / ($AV$67:$AV$71*BO156 + (1-$AV$67:$AV$71)*BK156), N($AK$67:$AK$71&gt;$AI156)),
SUMPRODUCT(INDEX($AL$57:$AN$66,,$AE156), INDEX($AO$57:$AU$66,,$AD156), 1 / ($AW$57:$AW$66*BO156 + (1-$AW$57:$AW$66)*BK156), N($AK$57:$AK$66&gt;$AI156))
) / 1000</f>
        <v>0</v>
      </c>
      <c r="BQ156" s="250">
        <f t="shared" si="250"/>
        <v>20</v>
      </c>
      <c r="BR156" s="237">
        <f t="shared" si="380"/>
        <v>33</v>
      </c>
      <c r="BS156" s="253">
        <f t="shared" si="381"/>
        <v>4.8487499999999999</v>
      </c>
      <c r="BT156" s="253" cm="1">
        <f t="array" ref="BT156">$BC156 * IF($AD156&lt;=2,
SUMPRODUCT(INDEX($AL$62:$AN$66,,$AE156), INDEX($AO$62:$AU$66,,$AD156), 1 / ($AV$62:$AV$66*BS156 + (1-$AV$62:$AV$66)*BO156), N($AK$62:$AK$66&gt;$AI156)),
SUMPRODUCT(INDEX($AL$47:$AN$56,,$AE156), INDEX($AO$47:$AU$56,,$AD156), 1 / ($AW$47:$AW$56*BS156 + (1-$AW$47:$AW$56)*BO156), N($AK$47:$AK$56&gt;$AI156))
) / 1000</f>
        <v>0</v>
      </c>
      <c r="BU156" s="253" cm="1">
        <f t="array" ref="BU156">$BC156 * IF($AD156&lt;=2,
SUMPRODUCT(INDEX($AL$23:$AN$61,,$AE156), INDEX($AO$23:$AU$61,,$AD156), 1 / ($AV$23:$AV$61*BS156), N($AK$23:$AK$61&gt;$AI156)),
SUMPRODUCT(INDEX($AL$23:$AN$46,,$AE156), INDEX($AO$23:$AU$46,,$AD156), 1 / ($AW$23:$AW$46*BS156), N($AK$23:$AK$46&gt;$AI156))
) / 1000</f>
        <v>0</v>
      </c>
      <c r="BV156" s="237">
        <f t="shared" si="382"/>
        <v>0</v>
      </c>
      <c r="BW156" s="210"/>
      <c r="BX156" s="237">
        <f t="shared" si="383"/>
        <v>0</v>
      </c>
      <c r="BY156" s="236">
        <v>35</v>
      </c>
      <c r="BZ156" s="237">
        <f t="shared" si="384"/>
        <v>48</v>
      </c>
      <c r="CA156" s="253">
        <f t="shared" si="385"/>
        <v>3.0748170731707316</v>
      </c>
      <c r="CB156" s="253" cm="1">
        <f t="array" ref="CB156">$BC156 * SUMPRODUCT(INDEX($AL$77:$AN$82,,$AE156),INDEX($AO$77:$AU$82,,$AD156), N($AK$77:$AK$82&gt;$AI156)) / CA156 / 1000</f>
        <v>0</v>
      </c>
      <c r="CC156" s="250">
        <f t="shared" si="257"/>
        <v>30</v>
      </c>
      <c r="CD156" s="237">
        <f t="shared" si="386"/>
        <v>43</v>
      </c>
      <c r="CE156" s="253">
        <f t="shared" si="387"/>
        <v>3.5018750000000001</v>
      </c>
      <c r="CF156" s="253" cm="1">
        <f t="array" ref="CF156">$BC156 * IF($AD156&lt;=2,
SUMPRODUCT(INDEX($AL$72:$AN$76,,$AE156), INDEX($AO$72:$AU$76,,$AD156), 1 / ($AV$72:$AV$76*CE156 + (1-$AV$72:$AV$76)*CA156), N($AK$72:$AK$76&gt;$AI156)),
SUMPRODUCT(INDEX($AL$67:$AN$76,,$AE156), INDEX($AO$67:$AU$76,,$AD156), 1 / ($AW$67:$AW$76*CE156 + (1-$AW$67:$AW$76)*CA156), N($AK$67:$AK$76&gt;$AI156))
) / 1000</f>
        <v>0</v>
      </c>
      <c r="CG156" s="250">
        <f t="shared" si="260"/>
        <v>25</v>
      </c>
      <c r="CH156" s="237">
        <f t="shared" si="388"/>
        <v>38</v>
      </c>
      <c r="CI156" s="253">
        <f t="shared" si="389"/>
        <v>4.0666935483870965</v>
      </c>
      <c r="CJ156" s="253" cm="1">
        <f t="array" ref="CJ156">$BC156 * IF($AD156&lt;=2,
SUMPRODUCT(INDEX($AL$67:$AN$71,,$AE156), INDEX($AO$67:$AU$71,,$AD156), 1 / ($AV$67:$AV$71*CI156 + (1-$AV$67:$AV$71)*CE156), N($AK$67:$AK$71&gt;$AI156)),
SUMPRODUCT(INDEX($AL$57:$AN$66,,$AE156), INDEX($AO$57:$AU$66,,$AD156), 1 / ($AW$57:$AW$66*CI156 + (1-$AW$57:$AW$66)*CE156), N($AK$57:$AK$66&gt;$AI156))
) / 1000</f>
        <v>0</v>
      </c>
      <c r="CK156" s="250">
        <f t="shared" si="263"/>
        <v>20</v>
      </c>
      <c r="CL156" s="237">
        <f t="shared" si="390"/>
        <v>33</v>
      </c>
      <c r="CM156" s="253">
        <f t="shared" si="391"/>
        <v>4.8487499999999999</v>
      </c>
      <c r="CN156" s="253" cm="1">
        <f t="array" ref="CN156">$BC156 * IF($AD156&lt;=2,
SUMPRODUCT(INDEX($AL$62:$AN$66,,$AE156), INDEX($AO$62:$AU$66,,$AD156), 1 / ($AV$62:$AV$66*CM156 + (1-$AV$62:$AV$66)*CI156), N($AK$62:$AK$66&gt;$AI156)),
SUMPRODUCT(INDEX($AL$47:$AN$56,,$AE156), INDEX($AO$47:$AU$56,,$AD156), 1 / ($AW$47:$AW$56*CM156 + (1-$AW$47:$AW$56)*CI156), N($AK$47:$AK$56&gt;$AI156))
) / 1000</f>
        <v>0</v>
      </c>
      <c r="CO156" s="253" cm="1">
        <f t="array" ref="CO156">$BC156 * IF($AD156&lt;=2,
SUMPRODUCT(INDEX($AL$23:$AN$61,,$AE156), INDEX($AO$23:$AU$61,,$AD156), 1 / ($AV$23:$AV$61*CM156), N($AK$23:$AK$61&gt;$AI156)),
SUMPRODUCT(INDEX($AL$23:$AN$46,,$AE156), INDEX($AO$23:$AU$46,,$AD156), 1 / ($AW$23:$AW$46*CM156), N($AK$23:$AK$46&gt;$AI156))
) / 1000</f>
        <v>0</v>
      </c>
      <c r="CP156" s="237">
        <f t="shared" si="392"/>
        <v>0</v>
      </c>
      <c r="CQ156" s="210"/>
    </row>
    <row r="157" spans="1:95" s="76" customFormat="1" ht="14.25" customHeight="1" x14ac:dyDescent="0.2">
      <c r="A157" s="238" t="b">
        <f t="shared" si="227"/>
        <v>0</v>
      </c>
      <c r="B157" s="239">
        <v>135</v>
      </c>
      <c r="C157" s="258"/>
      <c r="D157" s="258"/>
      <c r="E157" s="240"/>
      <c r="F157" s="241" t="str">
        <f>IF(ISBLANK(E157), "", VLOOKUP(E157, Z!$A$2:$C$4127, 3, FALSE))</f>
        <v/>
      </c>
      <c r="G157" s="242"/>
      <c r="H157" s="242"/>
      <c r="I157" s="243"/>
      <c r="J157" s="244"/>
      <c r="K157" s="259"/>
      <c r="L157" s="260"/>
      <c r="M157" s="247" t="str" cm="1">
        <f t="array" ref="M157">IF($K157&gt;0, INDEX(Clean,1+AG157,$C$1), "")</f>
        <v/>
      </c>
      <c r="N157" s="245"/>
      <c r="O157" s="245"/>
      <c r="P157" s="246"/>
      <c r="Q157" s="248">
        <f t="shared" si="369"/>
        <v>0</v>
      </c>
      <c r="R157" s="247" t="str" cm="1">
        <f t="array" ref="R157">IF($K157&gt;0, INDEX(Clean,1+AH157,$C$1), "")</f>
        <v/>
      </c>
      <c r="S157" s="245"/>
      <c r="T157" s="245"/>
      <c r="U157" s="246"/>
      <c r="V157" s="248">
        <f t="shared" si="370"/>
        <v>0</v>
      </c>
      <c r="W157" s="261"/>
      <c r="X157" s="258"/>
      <c r="Y157" s="240"/>
      <c r="Z157" s="241" t="str">
        <f>IF(ISBLANK(Y157), "", VLOOKUP(Y157, Z!$A$2:$C$4127, 3, FALSE))</f>
        <v/>
      </c>
      <c r="AA157" s="262"/>
      <c r="AB157" s="249">
        <f t="shared" si="396"/>
        <v>0</v>
      </c>
      <c r="AC157" s="210"/>
      <c r="AD157" s="236">
        <f t="shared" si="393"/>
        <v>1</v>
      </c>
      <c r="AE157" s="236">
        <f t="shared" si="394"/>
        <v>1</v>
      </c>
      <c r="AF157" s="236">
        <f t="shared" si="395"/>
        <v>0</v>
      </c>
      <c r="AG157" s="236">
        <v>1</v>
      </c>
      <c r="AH157" s="236">
        <v>0</v>
      </c>
      <c r="AI157" s="236">
        <f t="shared" si="371"/>
        <v>-100</v>
      </c>
      <c r="AJ157" s="210"/>
      <c r="AK157" s="254"/>
      <c r="AL157" s="254"/>
      <c r="AM157" s="255"/>
      <c r="AN157" s="255"/>
      <c r="AO157" s="255"/>
      <c r="AP157" s="255"/>
      <c r="AQ157" s="255"/>
      <c r="AR157" s="255"/>
      <c r="AS157" s="255"/>
      <c r="AT157" s="255"/>
      <c r="AU157" s="255"/>
      <c r="AV157" s="255"/>
      <c r="AW157" s="255"/>
      <c r="AX157" s="210"/>
      <c r="AY157" s="236" cm="1">
        <f t="array" ref="AY157">INDEX(Use, $AD157, 4)</f>
        <v>7</v>
      </c>
      <c r="AZ157" s="236">
        <f t="shared" si="372"/>
        <v>32</v>
      </c>
      <c r="BA157" s="236">
        <f t="shared" si="239"/>
        <v>13</v>
      </c>
      <c r="BB157" s="236">
        <f t="shared" si="240"/>
        <v>0</v>
      </c>
      <c r="BC157" s="252" cm="1">
        <f t="array" ref="BC157">K157/IF($L157&gt;0, INDEX($AO$23:$AU$77, $L157+20, $AD157), 1)</f>
        <v>0</v>
      </c>
      <c r="BD157" s="237">
        <f t="shared" si="373"/>
        <v>0</v>
      </c>
      <c r="BE157" s="236">
        <v>35</v>
      </c>
      <c r="BF157" s="237">
        <f t="shared" si="374"/>
        <v>52.55</v>
      </c>
      <c r="BG157" s="253">
        <f t="shared" si="375"/>
        <v>2.7676728869374316</v>
      </c>
      <c r="BH157" s="253" cm="1">
        <f t="array" ref="BH157">$BC157 * SUMPRODUCT(INDEX($AL$77:$AN$82,,$AE157),INDEX($AO$77:$AU$82,,$AD157), N($AK$77:$AK$82&gt;$AI157)) / BG157 / 1000</f>
        <v>0</v>
      </c>
      <c r="BI157" s="250">
        <f t="shared" si="244"/>
        <v>30</v>
      </c>
      <c r="BJ157" s="237">
        <f t="shared" si="376"/>
        <v>46.033333333333331</v>
      </c>
      <c r="BK157" s="253">
        <f t="shared" si="377"/>
        <v>3.2297395388556791</v>
      </c>
      <c r="BL157" s="253" cm="1">
        <f t="array" ref="BL157">$BC157 * IF($AD157&lt;=2,
SUMPRODUCT(INDEX($AL$72:$AN$76,,$AE157), INDEX($AO$72:$AU$76,,$AD157), 1 / ($AV$72:$AV$76*BK157 + (1-$AV$72:$AV$76)*BG157), N($AK$72:$AK$76&gt;$AI157)),
SUMPRODUCT(INDEX($AL$67:$AN$76,,$AE157), INDEX($AO$67:$AU$76,,$AD157), 1 / ($AW$67:$AW$76*BK157 + (1-$AW$67:$AW$76)*BG157), N($AK$67:$AK$76&gt;$AI157))
) / 1000</f>
        <v>0</v>
      </c>
      <c r="BM157" s="250">
        <f t="shared" si="247"/>
        <v>25</v>
      </c>
      <c r="BN157" s="237">
        <f t="shared" si="378"/>
        <v>39.516666666666666</v>
      </c>
      <c r="BO157" s="253">
        <f t="shared" si="379"/>
        <v>3.877011788826243</v>
      </c>
      <c r="BP157" s="253" cm="1">
        <f t="array" ref="BP157">$BC157 * IF($AD157&lt;=2,
SUMPRODUCT(INDEX($AL$67:$AN$71,,$AE157), INDEX($AO$67:$AU$71,,$AD157), 1 / ($AV$67:$AV$71*BO157 + (1-$AV$67:$AV$71)*BK157), N($AK$67:$AK$71&gt;$AI157)),
SUMPRODUCT(INDEX($AL$57:$AN$66,,$AE157), INDEX($AO$57:$AU$66,,$AD157), 1 / ($AW$57:$AW$66*BO157 + (1-$AW$57:$AW$66)*BK157), N($AK$57:$AK$66&gt;$AI157))
) / 1000</f>
        <v>0</v>
      </c>
      <c r="BQ157" s="250">
        <f t="shared" si="250"/>
        <v>20</v>
      </c>
      <c r="BR157" s="237">
        <f t="shared" si="380"/>
        <v>33</v>
      </c>
      <c r="BS157" s="253">
        <f t="shared" si="381"/>
        <v>4.8487499999999999</v>
      </c>
      <c r="BT157" s="253" cm="1">
        <f t="array" ref="BT157">$BC157 * IF($AD157&lt;=2,
SUMPRODUCT(INDEX($AL$62:$AN$66,,$AE157), INDEX($AO$62:$AU$66,,$AD157), 1 / ($AV$62:$AV$66*BS157 + (1-$AV$62:$AV$66)*BO157), N($AK$62:$AK$66&gt;$AI157)),
SUMPRODUCT(INDEX($AL$47:$AN$56,,$AE157), INDEX($AO$47:$AU$56,,$AD157), 1 / ($AW$47:$AW$56*BS157 + (1-$AW$47:$AW$56)*BO157), N($AK$47:$AK$56&gt;$AI157))
) / 1000</f>
        <v>0</v>
      </c>
      <c r="BU157" s="253" cm="1">
        <f t="array" ref="BU157">$BC157 * IF($AD157&lt;=2,
SUMPRODUCT(INDEX($AL$23:$AN$61,,$AE157), INDEX($AO$23:$AU$61,,$AD157), 1 / ($AV$23:$AV$61*BS157), N($AK$23:$AK$61&gt;$AI157)),
SUMPRODUCT(INDEX($AL$23:$AN$46,,$AE157), INDEX($AO$23:$AU$46,,$AD157), 1 / ($AW$23:$AW$46*BS157), N($AK$23:$AK$46&gt;$AI157))
) / 1000</f>
        <v>0</v>
      </c>
      <c r="BV157" s="237">
        <f t="shared" si="382"/>
        <v>0</v>
      </c>
      <c r="BW157" s="210"/>
      <c r="BX157" s="237">
        <f t="shared" si="383"/>
        <v>0</v>
      </c>
      <c r="BY157" s="236">
        <v>35</v>
      </c>
      <c r="BZ157" s="237">
        <f t="shared" si="384"/>
        <v>48</v>
      </c>
      <c r="CA157" s="253">
        <f t="shared" si="385"/>
        <v>3.0748170731707316</v>
      </c>
      <c r="CB157" s="253" cm="1">
        <f t="array" ref="CB157">$BC157 * SUMPRODUCT(INDEX($AL$77:$AN$82,,$AE157),INDEX($AO$77:$AU$82,,$AD157), N($AK$77:$AK$82&gt;$AI157)) / CA157 / 1000</f>
        <v>0</v>
      </c>
      <c r="CC157" s="250">
        <f t="shared" si="257"/>
        <v>30</v>
      </c>
      <c r="CD157" s="237">
        <f t="shared" si="386"/>
        <v>43</v>
      </c>
      <c r="CE157" s="253">
        <f t="shared" si="387"/>
        <v>3.5018750000000001</v>
      </c>
      <c r="CF157" s="253" cm="1">
        <f t="array" ref="CF157">$BC157 * IF($AD157&lt;=2,
SUMPRODUCT(INDEX($AL$72:$AN$76,,$AE157), INDEX($AO$72:$AU$76,,$AD157), 1 / ($AV$72:$AV$76*CE157 + (1-$AV$72:$AV$76)*CA157), N($AK$72:$AK$76&gt;$AI157)),
SUMPRODUCT(INDEX($AL$67:$AN$76,,$AE157), INDEX($AO$67:$AU$76,,$AD157), 1 / ($AW$67:$AW$76*CE157 + (1-$AW$67:$AW$76)*CA157), N($AK$67:$AK$76&gt;$AI157))
) / 1000</f>
        <v>0</v>
      </c>
      <c r="CG157" s="250">
        <f t="shared" si="260"/>
        <v>25</v>
      </c>
      <c r="CH157" s="237">
        <f t="shared" si="388"/>
        <v>38</v>
      </c>
      <c r="CI157" s="253">
        <f t="shared" si="389"/>
        <v>4.0666935483870965</v>
      </c>
      <c r="CJ157" s="253" cm="1">
        <f t="array" ref="CJ157">$BC157 * IF($AD157&lt;=2,
SUMPRODUCT(INDEX($AL$67:$AN$71,,$AE157), INDEX($AO$67:$AU$71,,$AD157), 1 / ($AV$67:$AV$71*CI157 + (1-$AV$67:$AV$71)*CE157), N($AK$67:$AK$71&gt;$AI157)),
SUMPRODUCT(INDEX($AL$57:$AN$66,,$AE157), INDEX($AO$57:$AU$66,,$AD157), 1 / ($AW$57:$AW$66*CI157 + (1-$AW$57:$AW$66)*CE157), N($AK$57:$AK$66&gt;$AI157))
) / 1000</f>
        <v>0</v>
      </c>
      <c r="CK157" s="250">
        <f t="shared" si="263"/>
        <v>20</v>
      </c>
      <c r="CL157" s="237">
        <f t="shared" si="390"/>
        <v>33</v>
      </c>
      <c r="CM157" s="253">
        <f t="shared" si="391"/>
        <v>4.8487499999999999</v>
      </c>
      <c r="CN157" s="253" cm="1">
        <f t="array" ref="CN157">$BC157 * IF($AD157&lt;=2,
SUMPRODUCT(INDEX($AL$62:$AN$66,,$AE157), INDEX($AO$62:$AU$66,,$AD157), 1 / ($AV$62:$AV$66*CM157 + (1-$AV$62:$AV$66)*CI157), N($AK$62:$AK$66&gt;$AI157)),
SUMPRODUCT(INDEX($AL$47:$AN$56,,$AE157), INDEX($AO$47:$AU$56,,$AD157), 1 / ($AW$47:$AW$56*CM157 + (1-$AW$47:$AW$56)*CI157), N($AK$47:$AK$56&gt;$AI157))
) / 1000</f>
        <v>0</v>
      </c>
      <c r="CO157" s="253" cm="1">
        <f t="array" ref="CO157">$BC157 * IF($AD157&lt;=2,
SUMPRODUCT(INDEX($AL$23:$AN$61,,$AE157), INDEX($AO$23:$AU$61,,$AD157), 1 / ($AV$23:$AV$61*CM157), N($AK$23:$AK$61&gt;$AI157)),
SUMPRODUCT(INDEX($AL$23:$AN$46,,$AE157), INDEX($AO$23:$AU$46,,$AD157), 1 / ($AW$23:$AW$46*CM157), N($AK$23:$AK$46&gt;$AI157))
) / 1000</f>
        <v>0</v>
      </c>
      <c r="CP157" s="237">
        <f t="shared" si="392"/>
        <v>0</v>
      </c>
      <c r="CQ157" s="210"/>
    </row>
    <row r="158" spans="1:95" s="76" customFormat="1" ht="14.25" customHeight="1" x14ac:dyDescent="0.2">
      <c r="A158" s="238" t="b">
        <f t="shared" si="227"/>
        <v>0</v>
      </c>
      <c r="B158" s="239">
        <v>136</v>
      </c>
      <c r="C158" s="258"/>
      <c r="D158" s="258"/>
      <c r="E158" s="240"/>
      <c r="F158" s="241" t="str">
        <f>IF(ISBLANK(E158), "", VLOOKUP(E158, Z!$A$2:$C$4127, 3, FALSE))</f>
        <v/>
      </c>
      <c r="G158" s="242"/>
      <c r="H158" s="242"/>
      <c r="I158" s="243"/>
      <c r="J158" s="244"/>
      <c r="K158" s="259"/>
      <c r="L158" s="260"/>
      <c r="M158" s="247" t="str" cm="1">
        <f t="array" ref="M158">IF($K158&gt;0, INDEX(Clean,1+AG158,$C$1), "")</f>
        <v/>
      </c>
      <c r="N158" s="245"/>
      <c r="O158" s="245"/>
      <c r="P158" s="246"/>
      <c r="Q158" s="248">
        <f t="shared" si="369"/>
        <v>0</v>
      </c>
      <c r="R158" s="247" t="str" cm="1">
        <f t="array" ref="R158">IF($K158&gt;0, INDEX(Clean,1+AH158,$C$1), "")</f>
        <v/>
      </c>
      <c r="S158" s="245"/>
      <c r="T158" s="245"/>
      <c r="U158" s="246"/>
      <c r="V158" s="248">
        <f t="shared" si="370"/>
        <v>0</v>
      </c>
      <c r="W158" s="261"/>
      <c r="X158" s="258"/>
      <c r="Y158" s="240"/>
      <c r="Z158" s="241" t="str">
        <f>IF(ISBLANK(Y158), "", VLOOKUP(Y158, Z!$A$2:$C$4127, 3, FALSE))</f>
        <v/>
      </c>
      <c r="AA158" s="262"/>
      <c r="AB158" s="249">
        <f t="shared" si="396"/>
        <v>0</v>
      </c>
      <c r="AC158" s="210"/>
      <c r="AD158" s="236">
        <f t="shared" si="393"/>
        <v>1</v>
      </c>
      <c r="AE158" s="236">
        <f t="shared" si="394"/>
        <v>1</v>
      </c>
      <c r="AF158" s="236">
        <f t="shared" si="395"/>
        <v>0</v>
      </c>
      <c r="AG158" s="236">
        <v>1</v>
      </c>
      <c r="AH158" s="236">
        <v>0</v>
      </c>
      <c r="AI158" s="236">
        <f t="shared" si="371"/>
        <v>-100</v>
      </c>
      <c r="AJ158" s="210"/>
      <c r="AK158" s="254"/>
      <c r="AL158" s="254"/>
      <c r="AM158" s="255"/>
      <c r="AN158" s="255"/>
      <c r="AO158" s="255"/>
      <c r="AP158" s="255"/>
      <c r="AQ158" s="255"/>
      <c r="AR158" s="255"/>
      <c r="AS158" s="255"/>
      <c r="AT158" s="255"/>
      <c r="AU158" s="255"/>
      <c r="AV158" s="255"/>
      <c r="AW158" s="255"/>
      <c r="AX158" s="210"/>
      <c r="AY158" s="236" cm="1">
        <f t="array" ref="AY158">INDEX(Use, $AD158, 4)</f>
        <v>7</v>
      </c>
      <c r="AZ158" s="236">
        <f t="shared" si="372"/>
        <v>32</v>
      </c>
      <c r="BA158" s="236">
        <f t="shared" si="239"/>
        <v>13</v>
      </c>
      <c r="BB158" s="236">
        <f t="shared" si="240"/>
        <v>0</v>
      </c>
      <c r="BC158" s="252" cm="1">
        <f t="array" ref="BC158">K158/IF($L158&gt;0, INDEX($AO$23:$AU$77, $L158+20, $AD158), 1)</f>
        <v>0</v>
      </c>
      <c r="BD158" s="237">
        <f t="shared" si="373"/>
        <v>0</v>
      </c>
      <c r="BE158" s="236">
        <v>35</v>
      </c>
      <c r="BF158" s="237">
        <f t="shared" si="374"/>
        <v>52.55</v>
      </c>
      <c r="BG158" s="253">
        <f t="shared" si="375"/>
        <v>2.7676728869374316</v>
      </c>
      <c r="BH158" s="253" cm="1">
        <f t="array" ref="BH158">$BC158 * SUMPRODUCT(INDEX($AL$77:$AN$82,,$AE158),INDEX($AO$77:$AU$82,,$AD158), N($AK$77:$AK$82&gt;$AI158)) / BG158 / 1000</f>
        <v>0</v>
      </c>
      <c r="BI158" s="250">
        <f t="shared" si="244"/>
        <v>30</v>
      </c>
      <c r="BJ158" s="237">
        <f t="shared" si="376"/>
        <v>46.033333333333331</v>
      </c>
      <c r="BK158" s="253">
        <f t="shared" si="377"/>
        <v>3.2297395388556791</v>
      </c>
      <c r="BL158" s="253" cm="1">
        <f t="array" ref="BL158">$BC158 * IF($AD158&lt;=2,
SUMPRODUCT(INDEX($AL$72:$AN$76,,$AE158), INDEX($AO$72:$AU$76,,$AD158), 1 / ($AV$72:$AV$76*BK158 + (1-$AV$72:$AV$76)*BG158), N($AK$72:$AK$76&gt;$AI158)),
SUMPRODUCT(INDEX($AL$67:$AN$76,,$AE158), INDEX($AO$67:$AU$76,,$AD158), 1 / ($AW$67:$AW$76*BK158 + (1-$AW$67:$AW$76)*BG158), N($AK$67:$AK$76&gt;$AI158))
) / 1000</f>
        <v>0</v>
      </c>
      <c r="BM158" s="250">
        <f t="shared" si="247"/>
        <v>25</v>
      </c>
      <c r="BN158" s="237">
        <f t="shared" si="378"/>
        <v>39.516666666666666</v>
      </c>
      <c r="BO158" s="253">
        <f t="shared" si="379"/>
        <v>3.877011788826243</v>
      </c>
      <c r="BP158" s="253" cm="1">
        <f t="array" ref="BP158">$BC158 * IF($AD158&lt;=2,
SUMPRODUCT(INDEX($AL$67:$AN$71,,$AE158), INDEX($AO$67:$AU$71,,$AD158), 1 / ($AV$67:$AV$71*BO158 + (1-$AV$67:$AV$71)*BK158), N($AK$67:$AK$71&gt;$AI158)),
SUMPRODUCT(INDEX($AL$57:$AN$66,,$AE158), INDEX($AO$57:$AU$66,,$AD158), 1 / ($AW$57:$AW$66*BO158 + (1-$AW$57:$AW$66)*BK158), N($AK$57:$AK$66&gt;$AI158))
) / 1000</f>
        <v>0</v>
      </c>
      <c r="BQ158" s="250">
        <f t="shared" si="250"/>
        <v>20</v>
      </c>
      <c r="BR158" s="237">
        <f t="shared" si="380"/>
        <v>33</v>
      </c>
      <c r="BS158" s="253">
        <f t="shared" si="381"/>
        <v>4.8487499999999999</v>
      </c>
      <c r="BT158" s="253" cm="1">
        <f t="array" ref="BT158">$BC158 * IF($AD158&lt;=2,
SUMPRODUCT(INDEX($AL$62:$AN$66,,$AE158), INDEX($AO$62:$AU$66,,$AD158), 1 / ($AV$62:$AV$66*BS158 + (1-$AV$62:$AV$66)*BO158), N($AK$62:$AK$66&gt;$AI158)),
SUMPRODUCT(INDEX($AL$47:$AN$56,,$AE158), INDEX($AO$47:$AU$56,,$AD158), 1 / ($AW$47:$AW$56*BS158 + (1-$AW$47:$AW$56)*BO158), N($AK$47:$AK$56&gt;$AI158))
) / 1000</f>
        <v>0</v>
      </c>
      <c r="BU158" s="253" cm="1">
        <f t="array" ref="BU158">$BC158 * IF($AD158&lt;=2,
SUMPRODUCT(INDEX($AL$23:$AN$61,,$AE158), INDEX($AO$23:$AU$61,,$AD158), 1 / ($AV$23:$AV$61*BS158), N($AK$23:$AK$61&gt;$AI158)),
SUMPRODUCT(INDEX($AL$23:$AN$46,,$AE158), INDEX($AO$23:$AU$46,,$AD158), 1 / ($AW$23:$AW$46*BS158), N($AK$23:$AK$46&gt;$AI158))
) / 1000</f>
        <v>0</v>
      </c>
      <c r="BV158" s="237">
        <f t="shared" si="382"/>
        <v>0</v>
      </c>
      <c r="BW158" s="210"/>
      <c r="BX158" s="237">
        <f t="shared" si="383"/>
        <v>0</v>
      </c>
      <c r="BY158" s="236">
        <v>35</v>
      </c>
      <c r="BZ158" s="237">
        <f t="shared" si="384"/>
        <v>48</v>
      </c>
      <c r="CA158" s="253">
        <f t="shared" si="385"/>
        <v>3.0748170731707316</v>
      </c>
      <c r="CB158" s="253" cm="1">
        <f t="array" ref="CB158">$BC158 * SUMPRODUCT(INDEX($AL$77:$AN$82,,$AE158),INDEX($AO$77:$AU$82,,$AD158), N($AK$77:$AK$82&gt;$AI158)) / CA158 / 1000</f>
        <v>0</v>
      </c>
      <c r="CC158" s="250">
        <f t="shared" si="257"/>
        <v>30</v>
      </c>
      <c r="CD158" s="237">
        <f t="shared" si="386"/>
        <v>43</v>
      </c>
      <c r="CE158" s="253">
        <f t="shared" si="387"/>
        <v>3.5018750000000001</v>
      </c>
      <c r="CF158" s="253" cm="1">
        <f t="array" ref="CF158">$BC158 * IF($AD158&lt;=2,
SUMPRODUCT(INDEX($AL$72:$AN$76,,$AE158), INDEX($AO$72:$AU$76,,$AD158), 1 / ($AV$72:$AV$76*CE158 + (1-$AV$72:$AV$76)*CA158), N($AK$72:$AK$76&gt;$AI158)),
SUMPRODUCT(INDEX($AL$67:$AN$76,,$AE158), INDEX($AO$67:$AU$76,,$AD158), 1 / ($AW$67:$AW$76*CE158 + (1-$AW$67:$AW$76)*CA158), N($AK$67:$AK$76&gt;$AI158))
) / 1000</f>
        <v>0</v>
      </c>
      <c r="CG158" s="250">
        <f t="shared" si="260"/>
        <v>25</v>
      </c>
      <c r="CH158" s="237">
        <f t="shared" si="388"/>
        <v>38</v>
      </c>
      <c r="CI158" s="253">
        <f t="shared" si="389"/>
        <v>4.0666935483870965</v>
      </c>
      <c r="CJ158" s="253" cm="1">
        <f t="array" ref="CJ158">$BC158 * IF($AD158&lt;=2,
SUMPRODUCT(INDEX($AL$67:$AN$71,,$AE158), INDEX($AO$67:$AU$71,,$AD158), 1 / ($AV$67:$AV$71*CI158 + (1-$AV$67:$AV$71)*CE158), N($AK$67:$AK$71&gt;$AI158)),
SUMPRODUCT(INDEX($AL$57:$AN$66,,$AE158), INDEX($AO$57:$AU$66,,$AD158), 1 / ($AW$57:$AW$66*CI158 + (1-$AW$57:$AW$66)*CE158), N($AK$57:$AK$66&gt;$AI158))
) / 1000</f>
        <v>0</v>
      </c>
      <c r="CK158" s="250">
        <f t="shared" si="263"/>
        <v>20</v>
      </c>
      <c r="CL158" s="237">
        <f t="shared" si="390"/>
        <v>33</v>
      </c>
      <c r="CM158" s="253">
        <f t="shared" si="391"/>
        <v>4.8487499999999999</v>
      </c>
      <c r="CN158" s="253" cm="1">
        <f t="array" ref="CN158">$BC158 * IF($AD158&lt;=2,
SUMPRODUCT(INDEX($AL$62:$AN$66,,$AE158), INDEX($AO$62:$AU$66,,$AD158), 1 / ($AV$62:$AV$66*CM158 + (1-$AV$62:$AV$66)*CI158), N($AK$62:$AK$66&gt;$AI158)),
SUMPRODUCT(INDEX($AL$47:$AN$56,,$AE158), INDEX($AO$47:$AU$56,,$AD158), 1 / ($AW$47:$AW$56*CM158 + (1-$AW$47:$AW$56)*CI158), N($AK$47:$AK$56&gt;$AI158))
) / 1000</f>
        <v>0</v>
      </c>
      <c r="CO158" s="253" cm="1">
        <f t="array" ref="CO158">$BC158 * IF($AD158&lt;=2,
SUMPRODUCT(INDEX($AL$23:$AN$61,,$AE158), INDEX($AO$23:$AU$61,,$AD158), 1 / ($AV$23:$AV$61*CM158), N($AK$23:$AK$61&gt;$AI158)),
SUMPRODUCT(INDEX($AL$23:$AN$46,,$AE158), INDEX($AO$23:$AU$46,,$AD158), 1 / ($AW$23:$AW$46*CM158), N($AK$23:$AK$46&gt;$AI158))
) / 1000</f>
        <v>0</v>
      </c>
      <c r="CP158" s="237">
        <f t="shared" si="392"/>
        <v>0</v>
      </c>
      <c r="CQ158" s="210"/>
    </row>
    <row r="159" spans="1:95" s="76" customFormat="1" ht="14.25" customHeight="1" x14ac:dyDescent="0.2">
      <c r="A159" s="238" t="b">
        <f t="shared" si="227"/>
        <v>0</v>
      </c>
      <c r="B159" s="239">
        <v>137</v>
      </c>
      <c r="C159" s="258"/>
      <c r="D159" s="258"/>
      <c r="E159" s="240"/>
      <c r="F159" s="241" t="str">
        <f>IF(ISBLANK(E159), "", VLOOKUP(E159, Z!$A$2:$C$4127, 3, FALSE))</f>
        <v/>
      </c>
      <c r="G159" s="242"/>
      <c r="H159" s="242"/>
      <c r="I159" s="243"/>
      <c r="J159" s="244"/>
      <c r="K159" s="259"/>
      <c r="L159" s="260"/>
      <c r="M159" s="247" t="str" cm="1">
        <f t="array" ref="M159">IF($K159&gt;0, INDEX(Clean,1+AG159,$C$1), "")</f>
        <v/>
      </c>
      <c r="N159" s="245"/>
      <c r="O159" s="245"/>
      <c r="P159" s="246"/>
      <c r="Q159" s="248">
        <f t="shared" si="369"/>
        <v>0</v>
      </c>
      <c r="R159" s="247" t="str" cm="1">
        <f t="array" ref="R159">IF($K159&gt;0, INDEX(Clean,1+AH159,$C$1), "")</f>
        <v/>
      </c>
      <c r="S159" s="245"/>
      <c r="T159" s="245"/>
      <c r="U159" s="246"/>
      <c r="V159" s="248">
        <f t="shared" si="370"/>
        <v>0</v>
      </c>
      <c r="W159" s="261"/>
      <c r="X159" s="258"/>
      <c r="Y159" s="240"/>
      <c r="Z159" s="241" t="str">
        <f>IF(ISBLANK(Y159), "", VLOOKUP(Y159, Z!$A$2:$C$4127, 3, FALSE))</f>
        <v/>
      </c>
      <c r="AA159" s="262"/>
      <c r="AB159" s="249">
        <f t="shared" si="396"/>
        <v>0</v>
      </c>
      <c r="AC159" s="210"/>
      <c r="AD159" s="236">
        <f t="shared" si="393"/>
        <v>1</v>
      </c>
      <c r="AE159" s="236">
        <f t="shared" si="394"/>
        <v>1</v>
      </c>
      <c r="AF159" s="236">
        <f t="shared" si="395"/>
        <v>0</v>
      </c>
      <c r="AG159" s="236">
        <v>1</v>
      </c>
      <c r="AH159" s="236">
        <v>0</v>
      </c>
      <c r="AI159" s="236">
        <f t="shared" si="371"/>
        <v>-100</v>
      </c>
      <c r="AJ159" s="210"/>
      <c r="AK159" s="254"/>
      <c r="AL159" s="254"/>
      <c r="AM159" s="255"/>
      <c r="AN159" s="255"/>
      <c r="AO159" s="255"/>
      <c r="AP159" s="255"/>
      <c r="AQ159" s="255"/>
      <c r="AR159" s="255"/>
      <c r="AS159" s="255"/>
      <c r="AT159" s="255"/>
      <c r="AU159" s="255"/>
      <c r="AV159" s="255"/>
      <c r="AW159" s="255"/>
      <c r="AX159" s="210"/>
      <c r="AY159" s="236" cm="1">
        <f t="array" ref="AY159">INDEX(Use, $AD159, 4)</f>
        <v>7</v>
      </c>
      <c r="AZ159" s="236">
        <f t="shared" si="372"/>
        <v>32</v>
      </c>
      <c r="BA159" s="236">
        <f t="shared" si="239"/>
        <v>13</v>
      </c>
      <c r="BB159" s="236">
        <f t="shared" si="240"/>
        <v>0</v>
      </c>
      <c r="BC159" s="252" cm="1">
        <f t="array" ref="BC159">K159/IF($L159&gt;0, INDEX($AO$23:$AU$77, $L159+20, $AD159), 1)</f>
        <v>0</v>
      </c>
      <c r="BD159" s="237">
        <f t="shared" si="373"/>
        <v>0</v>
      </c>
      <c r="BE159" s="236">
        <v>35</v>
      </c>
      <c r="BF159" s="237">
        <f t="shared" si="374"/>
        <v>52.55</v>
      </c>
      <c r="BG159" s="253">
        <f t="shared" si="375"/>
        <v>2.7676728869374316</v>
      </c>
      <c r="BH159" s="253" cm="1">
        <f t="array" ref="BH159">$BC159 * SUMPRODUCT(INDEX($AL$77:$AN$82,,$AE159),INDEX($AO$77:$AU$82,,$AD159), N($AK$77:$AK$82&gt;$AI159)) / BG159 / 1000</f>
        <v>0</v>
      </c>
      <c r="BI159" s="250">
        <f t="shared" si="244"/>
        <v>30</v>
      </c>
      <c r="BJ159" s="237">
        <f t="shared" si="376"/>
        <v>46.033333333333331</v>
      </c>
      <c r="BK159" s="253">
        <f t="shared" si="377"/>
        <v>3.2297395388556791</v>
      </c>
      <c r="BL159" s="253" cm="1">
        <f t="array" ref="BL159">$BC159 * IF($AD159&lt;=2,
SUMPRODUCT(INDEX($AL$72:$AN$76,,$AE159), INDEX($AO$72:$AU$76,,$AD159), 1 / ($AV$72:$AV$76*BK159 + (1-$AV$72:$AV$76)*BG159), N($AK$72:$AK$76&gt;$AI159)),
SUMPRODUCT(INDEX($AL$67:$AN$76,,$AE159), INDEX($AO$67:$AU$76,,$AD159), 1 / ($AW$67:$AW$76*BK159 + (1-$AW$67:$AW$76)*BG159), N($AK$67:$AK$76&gt;$AI159))
) / 1000</f>
        <v>0</v>
      </c>
      <c r="BM159" s="250">
        <f t="shared" si="247"/>
        <v>25</v>
      </c>
      <c r="BN159" s="237">
        <f t="shared" si="378"/>
        <v>39.516666666666666</v>
      </c>
      <c r="BO159" s="253">
        <f t="shared" si="379"/>
        <v>3.877011788826243</v>
      </c>
      <c r="BP159" s="253" cm="1">
        <f t="array" ref="BP159">$BC159 * IF($AD159&lt;=2,
SUMPRODUCT(INDEX($AL$67:$AN$71,,$AE159), INDEX($AO$67:$AU$71,,$AD159), 1 / ($AV$67:$AV$71*BO159 + (1-$AV$67:$AV$71)*BK159), N($AK$67:$AK$71&gt;$AI159)),
SUMPRODUCT(INDEX($AL$57:$AN$66,,$AE159), INDEX($AO$57:$AU$66,,$AD159), 1 / ($AW$57:$AW$66*BO159 + (1-$AW$57:$AW$66)*BK159), N($AK$57:$AK$66&gt;$AI159))
) / 1000</f>
        <v>0</v>
      </c>
      <c r="BQ159" s="250">
        <f t="shared" si="250"/>
        <v>20</v>
      </c>
      <c r="BR159" s="237">
        <f t="shared" si="380"/>
        <v>33</v>
      </c>
      <c r="BS159" s="253">
        <f t="shared" si="381"/>
        <v>4.8487499999999999</v>
      </c>
      <c r="BT159" s="253" cm="1">
        <f t="array" ref="BT159">$BC159 * IF($AD159&lt;=2,
SUMPRODUCT(INDEX($AL$62:$AN$66,,$AE159), INDEX($AO$62:$AU$66,,$AD159), 1 / ($AV$62:$AV$66*BS159 + (1-$AV$62:$AV$66)*BO159), N($AK$62:$AK$66&gt;$AI159)),
SUMPRODUCT(INDEX($AL$47:$AN$56,,$AE159), INDEX($AO$47:$AU$56,,$AD159), 1 / ($AW$47:$AW$56*BS159 + (1-$AW$47:$AW$56)*BO159), N($AK$47:$AK$56&gt;$AI159))
) / 1000</f>
        <v>0</v>
      </c>
      <c r="BU159" s="253" cm="1">
        <f t="array" ref="BU159">$BC159 * IF($AD159&lt;=2,
SUMPRODUCT(INDEX($AL$23:$AN$61,,$AE159), INDEX($AO$23:$AU$61,,$AD159), 1 / ($AV$23:$AV$61*BS159), N($AK$23:$AK$61&gt;$AI159)),
SUMPRODUCT(INDEX($AL$23:$AN$46,,$AE159), INDEX($AO$23:$AU$46,,$AD159), 1 / ($AW$23:$AW$46*BS159), N($AK$23:$AK$46&gt;$AI159))
) / 1000</f>
        <v>0</v>
      </c>
      <c r="BV159" s="237">
        <f t="shared" si="382"/>
        <v>0</v>
      </c>
      <c r="BW159" s="210"/>
      <c r="BX159" s="237">
        <f t="shared" si="383"/>
        <v>0</v>
      </c>
      <c r="BY159" s="236">
        <v>35</v>
      </c>
      <c r="BZ159" s="237">
        <f t="shared" si="384"/>
        <v>48</v>
      </c>
      <c r="CA159" s="253">
        <f t="shared" si="385"/>
        <v>3.0748170731707316</v>
      </c>
      <c r="CB159" s="253" cm="1">
        <f t="array" ref="CB159">$BC159 * SUMPRODUCT(INDEX($AL$77:$AN$82,,$AE159),INDEX($AO$77:$AU$82,,$AD159), N($AK$77:$AK$82&gt;$AI159)) / CA159 / 1000</f>
        <v>0</v>
      </c>
      <c r="CC159" s="250">
        <f t="shared" si="257"/>
        <v>30</v>
      </c>
      <c r="CD159" s="237">
        <f t="shared" si="386"/>
        <v>43</v>
      </c>
      <c r="CE159" s="253">
        <f t="shared" si="387"/>
        <v>3.5018750000000001</v>
      </c>
      <c r="CF159" s="253" cm="1">
        <f t="array" ref="CF159">$BC159 * IF($AD159&lt;=2,
SUMPRODUCT(INDEX($AL$72:$AN$76,,$AE159), INDEX($AO$72:$AU$76,,$AD159), 1 / ($AV$72:$AV$76*CE159 + (1-$AV$72:$AV$76)*CA159), N($AK$72:$AK$76&gt;$AI159)),
SUMPRODUCT(INDEX($AL$67:$AN$76,,$AE159), INDEX($AO$67:$AU$76,,$AD159), 1 / ($AW$67:$AW$76*CE159 + (1-$AW$67:$AW$76)*CA159), N($AK$67:$AK$76&gt;$AI159))
) / 1000</f>
        <v>0</v>
      </c>
      <c r="CG159" s="250">
        <f t="shared" si="260"/>
        <v>25</v>
      </c>
      <c r="CH159" s="237">
        <f t="shared" si="388"/>
        <v>38</v>
      </c>
      <c r="CI159" s="253">
        <f t="shared" si="389"/>
        <v>4.0666935483870965</v>
      </c>
      <c r="CJ159" s="253" cm="1">
        <f t="array" ref="CJ159">$BC159 * IF($AD159&lt;=2,
SUMPRODUCT(INDEX($AL$67:$AN$71,,$AE159), INDEX($AO$67:$AU$71,,$AD159), 1 / ($AV$67:$AV$71*CI159 + (1-$AV$67:$AV$71)*CE159), N($AK$67:$AK$71&gt;$AI159)),
SUMPRODUCT(INDEX($AL$57:$AN$66,,$AE159), INDEX($AO$57:$AU$66,,$AD159), 1 / ($AW$57:$AW$66*CI159 + (1-$AW$57:$AW$66)*CE159), N($AK$57:$AK$66&gt;$AI159))
) / 1000</f>
        <v>0</v>
      </c>
      <c r="CK159" s="250">
        <f t="shared" si="263"/>
        <v>20</v>
      </c>
      <c r="CL159" s="237">
        <f t="shared" si="390"/>
        <v>33</v>
      </c>
      <c r="CM159" s="253">
        <f t="shared" si="391"/>
        <v>4.8487499999999999</v>
      </c>
      <c r="CN159" s="253" cm="1">
        <f t="array" ref="CN159">$BC159 * IF($AD159&lt;=2,
SUMPRODUCT(INDEX($AL$62:$AN$66,,$AE159), INDEX($AO$62:$AU$66,,$AD159), 1 / ($AV$62:$AV$66*CM159 + (1-$AV$62:$AV$66)*CI159), N($AK$62:$AK$66&gt;$AI159)),
SUMPRODUCT(INDEX($AL$47:$AN$56,,$AE159), INDEX($AO$47:$AU$56,,$AD159), 1 / ($AW$47:$AW$56*CM159 + (1-$AW$47:$AW$56)*CI159), N($AK$47:$AK$56&gt;$AI159))
) / 1000</f>
        <v>0</v>
      </c>
      <c r="CO159" s="253" cm="1">
        <f t="array" ref="CO159">$BC159 * IF($AD159&lt;=2,
SUMPRODUCT(INDEX($AL$23:$AN$61,,$AE159), INDEX($AO$23:$AU$61,,$AD159), 1 / ($AV$23:$AV$61*CM159), N($AK$23:$AK$61&gt;$AI159)),
SUMPRODUCT(INDEX($AL$23:$AN$46,,$AE159), INDEX($AO$23:$AU$46,,$AD159), 1 / ($AW$23:$AW$46*CM159), N($AK$23:$AK$46&gt;$AI159))
) / 1000</f>
        <v>0</v>
      </c>
      <c r="CP159" s="237">
        <f t="shared" si="392"/>
        <v>0</v>
      </c>
      <c r="CQ159" s="210"/>
    </row>
    <row r="160" spans="1:95" s="76" customFormat="1" ht="14.25" customHeight="1" x14ac:dyDescent="0.2">
      <c r="A160" s="238" t="b">
        <f t="shared" si="227"/>
        <v>0</v>
      </c>
      <c r="B160" s="239">
        <v>138</v>
      </c>
      <c r="C160" s="258"/>
      <c r="D160" s="258"/>
      <c r="E160" s="240"/>
      <c r="F160" s="241" t="str">
        <f>IF(ISBLANK(E160), "", VLOOKUP(E160, Z!$A$2:$C$4127, 3, FALSE))</f>
        <v/>
      </c>
      <c r="G160" s="242"/>
      <c r="H160" s="242"/>
      <c r="I160" s="243"/>
      <c r="J160" s="244"/>
      <c r="K160" s="259"/>
      <c r="L160" s="260"/>
      <c r="M160" s="247" t="str" cm="1">
        <f t="array" ref="M160">IF($K160&gt;0, INDEX(Clean,1+AG160,$C$1), "")</f>
        <v/>
      </c>
      <c r="N160" s="245"/>
      <c r="O160" s="245"/>
      <c r="P160" s="246"/>
      <c r="Q160" s="248">
        <f t="shared" si="369"/>
        <v>0</v>
      </c>
      <c r="R160" s="247" t="str" cm="1">
        <f t="array" ref="R160">IF($K160&gt;0, INDEX(Clean,1+AH160,$C$1), "")</f>
        <v/>
      </c>
      <c r="S160" s="245"/>
      <c r="T160" s="245"/>
      <c r="U160" s="246"/>
      <c r="V160" s="248">
        <f t="shared" si="370"/>
        <v>0</v>
      </c>
      <c r="W160" s="261"/>
      <c r="X160" s="258"/>
      <c r="Y160" s="240"/>
      <c r="Z160" s="241" t="str">
        <f>IF(ISBLANK(Y160), "", VLOOKUP(Y160, Z!$A$2:$C$4127, 3, FALSE))</f>
        <v/>
      </c>
      <c r="AA160" s="262"/>
      <c r="AB160" s="249">
        <f t="shared" si="396"/>
        <v>0</v>
      </c>
      <c r="AC160" s="210"/>
      <c r="AD160" s="236">
        <f t="shared" si="393"/>
        <v>1</v>
      </c>
      <c r="AE160" s="236">
        <f t="shared" si="394"/>
        <v>1</v>
      </c>
      <c r="AF160" s="236">
        <f t="shared" si="395"/>
        <v>0</v>
      </c>
      <c r="AG160" s="236">
        <v>1</v>
      </c>
      <c r="AH160" s="236">
        <v>0</v>
      </c>
      <c r="AI160" s="236">
        <f t="shared" si="371"/>
        <v>-100</v>
      </c>
      <c r="AJ160" s="210"/>
      <c r="AK160" s="254"/>
      <c r="AL160" s="254"/>
      <c r="AM160" s="255"/>
      <c r="AN160" s="255"/>
      <c r="AO160" s="255"/>
      <c r="AP160" s="255"/>
      <c r="AQ160" s="255"/>
      <c r="AR160" s="255"/>
      <c r="AS160" s="255"/>
      <c r="AT160" s="255"/>
      <c r="AU160" s="255"/>
      <c r="AV160" s="255"/>
      <c r="AW160" s="255"/>
      <c r="AX160" s="210"/>
      <c r="AY160" s="236" cm="1">
        <f t="array" ref="AY160">INDEX(Use, $AD160, 4)</f>
        <v>7</v>
      </c>
      <c r="AZ160" s="236">
        <f t="shared" si="372"/>
        <v>32</v>
      </c>
      <c r="BA160" s="236">
        <f t="shared" si="239"/>
        <v>13</v>
      </c>
      <c r="BB160" s="236">
        <f t="shared" si="240"/>
        <v>0</v>
      </c>
      <c r="BC160" s="252" cm="1">
        <f t="array" ref="BC160">K160/IF($L160&gt;0, INDEX($AO$23:$AU$77, $L160+20, $AD160), 1)</f>
        <v>0</v>
      </c>
      <c r="BD160" s="237">
        <f t="shared" si="373"/>
        <v>0</v>
      </c>
      <c r="BE160" s="236">
        <v>35</v>
      </c>
      <c r="BF160" s="237">
        <f t="shared" si="374"/>
        <v>52.55</v>
      </c>
      <c r="BG160" s="253">
        <f t="shared" si="375"/>
        <v>2.7676728869374316</v>
      </c>
      <c r="BH160" s="253" cm="1">
        <f t="array" ref="BH160">$BC160 * SUMPRODUCT(INDEX($AL$77:$AN$82,,$AE160),INDEX($AO$77:$AU$82,,$AD160), N($AK$77:$AK$82&gt;$AI160)) / BG160 / 1000</f>
        <v>0</v>
      </c>
      <c r="BI160" s="250">
        <f t="shared" si="244"/>
        <v>30</v>
      </c>
      <c r="BJ160" s="237">
        <f t="shared" si="376"/>
        <v>46.033333333333331</v>
      </c>
      <c r="BK160" s="253">
        <f t="shared" si="377"/>
        <v>3.2297395388556791</v>
      </c>
      <c r="BL160" s="253" cm="1">
        <f t="array" ref="BL160">$BC160 * IF($AD160&lt;=2,
SUMPRODUCT(INDEX($AL$72:$AN$76,,$AE160), INDEX($AO$72:$AU$76,,$AD160), 1 / ($AV$72:$AV$76*BK160 + (1-$AV$72:$AV$76)*BG160), N($AK$72:$AK$76&gt;$AI160)),
SUMPRODUCT(INDEX($AL$67:$AN$76,,$AE160), INDEX($AO$67:$AU$76,,$AD160), 1 / ($AW$67:$AW$76*BK160 + (1-$AW$67:$AW$76)*BG160), N($AK$67:$AK$76&gt;$AI160))
) / 1000</f>
        <v>0</v>
      </c>
      <c r="BM160" s="250">
        <f t="shared" si="247"/>
        <v>25</v>
      </c>
      <c r="BN160" s="237">
        <f t="shared" si="378"/>
        <v>39.516666666666666</v>
      </c>
      <c r="BO160" s="253">
        <f t="shared" si="379"/>
        <v>3.877011788826243</v>
      </c>
      <c r="BP160" s="253" cm="1">
        <f t="array" ref="BP160">$BC160 * IF($AD160&lt;=2,
SUMPRODUCT(INDEX($AL$67:$AN$71,,$AE160), INDEX($AO$67:$AU$71,,$AD160), 1 / ($AV$67:$AV$71*BO160 + (1-$AV$67:$AV$71)*BK160), N($AK$67:$AK$71&gt;$AI160)),
SUMPRODUCT(INDEX($AL$57:$AN$66,,$AE160), INDEX($AO$57:$AU$66,,$AD160), 1 / ($AW$57:$AW$66*BO160 + (1-$AW$57:$AW$66)*BK160), N($AK$57:$AK$66&gt;$AI160))
) / 1000</f>
        <v>0</v>
      </c>
      <c r="BQ160" s="250">
        <f t="shared" si="250"/>
        <v>20</v>
      </c>
      <c r="BR160" s="237">
        <f t="shared" si="380"/>
        <v>33</v>
      </c>
      <c r="BS160" s="253">
        <f t="shared" si="381"/>
        <v>4.8487499999999999</v>
      </c>
      <c r="BT160" s="253" cm="1">
        <f t="array" ref="BT160">$BC160 * IF($AD160&lt;=2,
SUMPRODUCT(INDEX($AL$62:$AN$66,,$AE160), INDEX($AO$62:$AU$66,,$AD160), 1 / ($AV$62:$AV$66*BS160 + (1-$AV$62:$AV$66)*BO160), N($AK$62:$AK$66&gt;$AI160)),
SUMPRODUCT(INDEX($AL$47:$AN$56,,$AE160), INDEX($AO$47:$AU$56,,$AD160), 1 / ($AW$47:$AW$56*BS160 + (1-$AW$47:$AW$56)*BO160), N($AK$47:$AK$56&gt;$AI160))
) / 1000</f>
        <v>0</v>
      </c>
      <c r="BU160" s="253" cm="1">
        <f t="array" ref="BU160">$BC160 * IF($AD160&lt;=2,
SUMPRODUCT(INDEX($AL$23:$AN$61,,$AE160), INDEX($AO$23:$AU$61,,$AD160), 1 / ($AV$23:$AV$61*BS160), N($AK$23:$AK$61&gt;$AI160)),
SUMPRODUCT(INDEX($AL$23:$AN$46,,$AE160), INDEX($AO$23:$AU$46,,$AD160), 1 / ($AW$23:$AW$46*BS160), N($AK$23:$AK$46&gt;$AI160))
) / 1000</f>
        <v>0</v>
      </c>
      <c r="BV160" s="237">
        <f t="shared" si="382"/>
        <v>0</v>
      </c>
      <c r="BW160" s="210"/>
      <c r="BX160" s="237">
        <f t="shared" si="383"/>
        <v>0</v>
      </c>
      <c r="BY160" s="236">
        <v>35</v>
      </c>
      <c r="BZ160" s="237">
        <f t="shared" si="384"/>
        <v>48</v>
      </c>
      <c r="CA160" s="253">
        <f t="shared" si="385"/>
        <v>3.0748170731707316</v>
      </c>
      <c r="CB160" s="253" cm="1">
        <f t="array" ref="CB160">$BC160 * SUMPRODUCT(INDEX($AL$77:$AN$82,,$AE160),INDEX($AO$77:$AU$82,,$AD160), N($AK$77:$AK$82&gt;$AI160)) / CA160 / 1000</f>
        <v>0</v>
      </c>
      <c r="CC160" s="250">
        <f t="shared" si="257"/>
        <v>30</v>
      </c>
      <c r="CD160" s="237">
        <f t="shared" si="386"/>
        <v>43</v>
      </c>
      <c r="CE160" s="253">
        <f t="shared" si="387"/>
        <v>3.5018750000000001</v>
      </c>
      <c r="CF160" s="253" cm="1">
        <f t="array" ref="CF160">$BC160 * IF($AD160&lt;=2,
SUMPRODUCT(INDEX($AL$72:$AN$76,,$AE160), INDEX($AO$72:$AU$76,,$AD160), 1 / ($AV$72:$AV$76*CE160 + (1-$AV$72:$AV$76)*CA160), N($AK$72:$AK$76&gt;$AI160)),
SUMPRODUCT(INDEX($AL$67:$AN$76,,$AE160), INDEX($AO$67:$AU$76,,$AD160), 1 / ($AW$67:$AW$76*CE160 + (1-$AW$67:$AW$76)*CA160), N($AK$67:$AK$76&gt;$AI160))
) / 1000</f>
        <v>0</v>
      </c>
      <c r="CG160" s="250">
        <f t="shared" si="260"/>
        <v>25</v>
      </c>
      <c r="CH160" s="237">
        <f t="shared" si="388"/>
        <v>38</v>
      </c>
      <c r="CI160" s="253">
        <f t="shared" si="389"/>
        <v>4.0666935483870965</v>
      </c>
      <c r="CJ160" s="253" cm="1">
        <f t="array" ref="CJ160">$BC160 * IF($AD160&lt;=2,
SUMPRODUCT(INDEX($AL$67:$AN$71,,$AE160), INDEX($AO$67:$AU$71,,$AD160), 1 / ($AV$67:$AV$71*CI160 + (1-$AV$67:$AV$71)*CE160), N($AK$67:$AK$71&gt;$AI160)),
SUMPRODUCT(INDEX($AL$57:$AN$66,,$AE160), INDEX($AO$57:$AU$66,,$AD160), 1 / ($AW$57:$AW$66*CI160 + (1-$AW$57:$AW$66)*CE160), N($AK$57:$AK$66&gt;$AI160))
) / 1000</f>
        <v>0</v>
      </c>
      <c r="CK160" s="250">
        <f t="shared" si="263"/>
        <v>20</v>
      </c>
      <c r="CL160" s="237">
        <f t="shared" si="390"/>
        <v>33</v>
      </c>
      <c r="CM160" s="253">
        <f t="shared" si="391"/>
        <v>4.8487499999999999</v>
      </c>
      <c r="CN160" s="253" cm="1">
        <f t="array" ref="CN160">$BC160 * IF($AD160&lt;=2,
SUMPRODUCT(INDEX($AL$62:$AN$66,,$AE160), INDEX($AO$62:$AU$66,,$AD160), 1 / ($AV$62:$AV$66*CM160 + (1-$AV$62:$AV$66)*CI160), N($AK$62:$AK$66&gt;$AI160)),
SUMPRODUCT(INDEX($AL$47:$AN$56,,$AE160), INDEX($AO$47:$AU$56,,$AD160), 1 / ($AW$47:$AW$56*CM160 + (1-$AW$47:$AW$56)*CI160), N($AK$47:$AK$56&gt;$AI160))
) / 1000</f>
        <v>0</v>
      </c>
      <c r="CO160" s="253" cm="1">
        <f t="array" ref="CO160">$BC160 * IF($AD160&lt;=2,
SUMPRODUCT(INDEX($AL$23:$AN$61,,$AE160), INDEX($AO$23:$AU$61,,$AD160), 1 / ($AV$23:$AV$61*CM160), N($AK$23:$AK$61&gt;$AI160)),
SUMPRODUCT(INDEX($AL$23:$AN$46,,$AE160), INDEX($AO$23:$AU$46,,$AD160), 1 / ($AW$23:$AW$46*CM160), N($AK$23:$AK$46&gt;$AI160))
) / 1000</f>
        <v>0</v>
      </c>
      <c r="CP160" s="237">
        <f t="shared" si="392"/>
        <v>0</v>
      </c>
      <c r="CQ160" s="210"/>
    </row>
    <row r="161" spans="1:95" s="76" customFormat="1" ht="14.25" customHeight="1" x14ac:dyDescent="0.2">
      <c r="A161" s="238" t="b">
        <f t="shared" si="227"/>
        <v>0</v>
      </c>
      <c r="B161" s="239">
        <v>139</v>
      </c>
      <c r="C161" s="258"/>
      <c r="D161" s="258"/>
      <c r="E161" s="240"/>
      <c r="F161" s="241" t="str">
        <f>IF(ISBLANK(E161), "", VLOOKUP(E161, Z!$A$2:$C$4127, 3, FALSE))</f>
        <v/>
      </c>
      <c r="G161" s="242"/>
      <c r="H161" s="242"/>
      <c r="I161" s="243"/>
      <c r="J161" s="244"/>
      <c r="K161" s="259"/>
      <c r="L161" s="260"/>
      <c r="M161" s="247" t="str" cm="1">
        <f t="array" ref="M161">IF($K161&gt;0, INDEX(Clean,1+AG161,$C$1), "")</f>
        <v/>
      </c>
      <c r="N161" s="245"/>
      <c r="O161" s="245"/>
      <c r="P161" s="246"/>
      <c r="Q161" s="248">
        <f t="shared" si="369"/>
        <v>0</v>
      </c>
      <c r="R161" s="247" t="str" cm="1">
        <f t="array" ref="R161">IF($K161&gt;0, INDEX(Clean,1+AH161,$C$1), "")</f>
        <v/>
      </c>
      <c r="S161" s="245"/>
      <c r="T161" s="245"/>
      <c r="U161" s="246"/>
      <c r="V161" s="248">
        <f t="shared" si="370"/>
        <v>0</v>
      </c>
      <c r="W161" s="261"/>
      <c r="X161" s="258"/>
      <c r="Y161" s="240"/>
      <c r="Z161" s="241" t="str">
        <f>IF(ISBLANK(Y161), "", VLOOKUP(Y161, Z!$A$2:$C$4127, 3, FALSE))</f>
        <v/>
      </c>
      <c r="AA161" s="262"/>
      <c r="AB161" s="249">
        <f t="shared" si="396"/>
        <v>0</v>
      </c>
      <c r="AC161" s="210"/>
      <c r="AD161" s="236">
        <f t="shared" si="393"/>
        <v>1</v>
      </c>
      <c r="AE161" s="236">
        <f t="shared" si="394"/>
        <v>1</v>
      </c>
      <c r="AF161" s="236">
        <f t="shared" si="395"/>
        <v>0</v>
      </c>
      <c r="AG161" s="236">
        <v>1</v>
      </c>
      <c r="AH161" s="236">
        <v>0</v>
      </c>
      <c r="AI161" s="236">
        <f t="shared" si="371"/>
        <v>-100</v>
      </c>
      <c r="AJ161" s="210"/>
      <c r="AK161" s="254"/>
      <c r="AL161" s="254"/>
      <c r="AM161" s="255"/>
      <c r="AN161" s="255"/>
      <c r="AO161" s="255"/>
      <c r="AP161" s="255"/>
      <c r="AQ161" s="255"/>
      <c r="AR161" s="255"/>
      <c r="AS161" s="255"/>
      <c r="AT161" s="255"/>
      <c r="AU161" s="255"/>
      <c r="AV161" s="255"/>
      <c r="AW161" s="255"/>
      <c r="AX161" s="210"/>
      <c r="AY161" s="236" cm="1">
        <f t="array" ref="AY161">INDEX(Use, $AD161, 4)</f>
        <v>7</v>
      </c>
      <c r="AZ161" s="236">
        <f t="shared" si="372"/>
        <v>32</v>
      </c>
      <c r="BA161" s="236">
        <f t="shared" si="239"/>
        <v>13</v>
      </c>
      <c r="BB161" s="236">
        <f t="shared" si="240"/>
        <v>0</v>
      </c>
      <c r="BC161" s="252" cm="1">
        <f t="array" ref="BC161">K161/IF($L161&gt;0, INDEX($AO$23:$AU$77, $L161+20, $AD161), 1)</f>
        <v>0</v>
      </c>
      <c r="BD161" s="237">
        <f t="shared" si="373"/>
        <v>0</v>
      </c>
      <c r="BE161" s="236">
        <v>35</v>
      </c>
      <c r="BF161" s="237">
        <f t="shared" si="374"/>
        <v>52.55</v>
      </c>
      <c r="BG161" s="253">
        <f t="shared" si="375"/>
        <v>2.7676728869374316</v>
      </c>
      <c r="BH161" s="253" cm="1">
        <f t="array" ref="BH161">$BC161 * SUMPRODUCT(INDEX($AL$77:$AN$82,,$AE161),INDEX($AO$77:$AU$82,,$AD161), N($AK$77:$AK$82&gt;$AI161)) / BG161 / 1000</f>
        <v>0</v>
      </c>
      <c r="BI161" s="250">
        <f t="shared" si="244"/>
        <v>30</v>
      </c>
      <c r="BJ161" s="237">
        <f t="shared" si="376"/>
        <v>46.033333333333331</v>
      </c>
      <c r="BK161" s="253">
        <f t="shared" si="377"/>
        <v>3.2297395388556791</v>
      </c>
      <c r="BL161" s="253" cm="1">
        <f t="array" ref="BL161">$BC161 * IF($AD161&lt;=2,
SUMPRODUCT(INDEX($AL$72:$AN$76,,$AE161), INDEX($AO$72:$AU$76,,$AD161), 1 / ($AV$72:$AV$76*BK161 + (1-$AV$72:$AV$76)*BG161), N($AK$72:$AK$76&gt;$AI161)),
SUMPRODUCT(INDEX($AL$67:$AN$76,,$AE161), INDEX($AO$67:$AU$76,,$AD161), 1 / ($AW$67:$AW$76*BK161 + (1-$AW$67:$AW$76)*BG161), N($AK$67:$AK$76&gt;$AI161))
) / 1000</f>
        <v>0</v>
      </c>
      <c r="BM161" s="250">
        <f t="shared" si="247"/>
        <v>25</v>
      </c>
      <c r="BN161" s="237">
        <f t="shared" si="378"/>
        <v>39.516666666666666</v>
      </c>
      <c r="BO161" s="253">
        <f t="shared" si="379"/>
        <v>3.877011788826243</v>
      </c>
      <c r="BP161" s="253" cm="1">
        <f t="array" ref="BP161">$BC161 * IF($AD161&lt;=2,
SUMPRODUCT(INDEX($AL$67:$AN$71,,$AE161), INDEX($AO$67:$AU$71,,$AD161), 1 / ($AV$67:$AV$71*BO161 + (1-$AV$67:$AV$71)*BK161), N($AK$67:$AK$71&gt;$AI161)),
SUMPRODUCT(INDEX($AL$57:$AN$66,,$AE161), INDEX($AO$57:$AU$66,,$AD161), 1 / ($AW$57:$AW$66*BO161 + (1-$AW$57:$AW$66)*BK161), N($AK$57:$AK$66&gt;$AI161))
) / 1000</f>
        <v>0</v>
      </c>
      <c r="BQ161" s="250">
        <f t="shared" si="250"/>
        <v>20</v>
      </c>
      <c r="BR161" s="237">
        <f t="shared" si="380"/>
        <v>33</v>
      </c>
      <c r="BS161" s="253">
        <f t="shared" si="381"/>
        <v>4.8487499999999999</v>
      </c>
      <c r="BT161" s="253" cm="1">
        <f t="array" ref="BT161">$BC161 * IF($AD161&lt;=2,
SUMPRODUCT(INDEX($AL$62:$AN$66,,$AE161), INDEX($AO$62:$AU$66,,$AD161), 1 / ($AV$62:$AV$66*BS161 + (1-$AV$62:$AV$66)*BO161), N($AK$62:$AK$66&gt;$AI161)),
SUMPRODUCT(INDEX($AL$47:$AN$56,,$AE161), INDEX($AO$47:$AU$56,,$AD161), 1 / ($AW$47:$AW$56*BS161 + (1-$AW$47:$AW$56)*BO161), N($AK$47:$AK$56&gt;$AI161))
) / 1000</f>
        <v>0</v>
      </c>
      <c r="BU161" s="253" cm="1">
        <f t="array" ref="BU161">$BC161 * IF($AD161&lt;=2,
SUMPRODUCT(INDEX($AL$23:$AN$61,,$AE161), INDEX($AO$23:$AU$61,,$AD161), 1 / ($AV$23:$AV$61*BS161), N($AK$23:$AK$61&gt;$AI161)),
SUMPRODUCT(INDEX($AL$23:$AN$46,,$AE161), INDEX($AO$23:$AU$46,,$AD161), 1 / ($AW$23:$AW$46*BS161), N($AK$23:$AK$46&gt;$AI161))
) / 1000</f>
        <v>0</v>
      </c>
      <c r="BV161" s="237">
        <f t="shared" si="382"/>
        <v>0</v>
      </c>
      <c r="BW161" s="210"/>
      <c r="BX161" s="237">
        <f t="shared" si="383"/>
        <v>0</v>
      </c>
      <c r="BY161" s="236">
        <v>35</v>
      </c>
      <c r="BZ161" s="237">
        <f t="shared" si="384"/>
        <v>48</v>
      </c>
      <c r="CA161" s="253">
        <f t="shared" si="385"/>
        <v>3.0748170731707316</v>
      </c>
      <c r="CB161" s="253" cm="1">
        <f t="array" ref="CB161">$BC161 * SUMPRODUCT(INDEX($AL$77:$AN$82,,$AE161),INDEX($AO$77:$AU$82,,$AD161), N($AK$77:$AK$82&gt;$AI161)) / CA161 / 1000</f>
        <v>0</v>
      </c>
      <c r="CC161" s="250">
        <f t="shared" si="257"/>
        <v>30</v>
      </c>
      <c r="CD161" s="237">
        <f t="shared" si="386"/>
        <v>43</v>
      </c>
      <c r="CE161" s="253">
        <f t="shared" si="387"/>
        <v>3.5018750000000001</v>
      </c>
      <c r="CF161" s="253" cm="1">
        <f t="array" ref="CF161">$BC161 * IF($AD161&lt;=2,
SUMPRODUCT(INDEX($AL$72:$AN$76,,$AE161), INDEX($AO$72:$AU$76,,$AD161), 1 / ($AV$72:$AV$76*CE161 + (1-$AV$72:$AV$76)*CA161), N($AK$72:$AK$76&gt;$AI161)),
SUMPRODUCT(INDEX($AL$67:$AN$76,,$AE161), INDEX($AO$67:$AU$76,,$AD161), 1 / ($AW$67:$AW$76*CE161 + (1-$AW$67:$AW$76)*CA161), N($AK$67:$AK$76&gt;$AI161))
) / 1000</f>
        <v>0</v>
      </c>
      <c r="CG161" s="250">
        <f t="shared" si="260"/>
        <v>25</v>
      </c>
      <c r="CH161" s="237">
        <f t="shared" si="388"/>
        <v>38</v>
      </c>
      <c r="CI161" s="253">
        <f t="shared" si="389"/>
        <v>4.0666935483870965</v>
      </c>
      <c r="CJ161" s="253" cm="1">
        <f t="array" ref="CJ161">$BC161 * IF($AD161&lt;=2,
SUMPRODUCT(INDEX($AL$67:$AN$71,,$AE161), INDEX($AO$67:$AU$71,,$AD161), 1 / ($AV$67:$AV$71*CI161 + (1-$AV$67:$AV$71)*CE161), N($AK$67:$AK$71&gt;$AI161)),
SUMPRODUCT(INDEX($AL$57:$AN$66,,$AE161), INDEX($AO$57:$AU$66,,$AD161), 1 / ($AW$57:$AW$66*CI161 + (1-$AW$57:$AW$66)*CE161), N($AK$57:$AK$66&gt;$AI161))
) / 1000</f>
        <v>0</v>
      </c>
      <c r="CK161" s="250">
        <f t="shared" si="263"/>
        <v>20</v>
      </c>
      <c r="CL161" s="237">
        <f t="shared" si="390"/>
        <v>33</v>
      </c>
      <c r="CM161" s="253">
        <f t="shared" si="391"/>
        <v>4.8487499999999999</v>
      </c>
      <c r="CN161" s="253" cm="1">
        <f t="array" ref="CN161">$BC161 * IF($AD161&lt;=2,
SUMPRODUCT(INDEX($AL$62:$AN$66,,$AE161), INDEX($AO$62:$AU$66,,$AD161), 1 / ($AV$62:$AV$66*CM161 + (1-$AV$62:$AV$66)*CI161), N($AK$62:$AK$66&gt;$AI161)),
SUMPRODUCT(INDEX($AL$47:$AN$56,,$AE161), INDEX($AO$47:$AU$56,,$AD161), 1 / ($AW$47:$AW$56*CM161 + (1-$AW$47:$AW$56)*CI161), N($AK$47:$AK$56&gt;$AI161))
) / 1000</f>
        <v>0</v>
      </c>
      <c r="CO161" s="253" cm="1">
        <f t="array" ref="CO161">$BC161 * IF($AD161&lt;=2,
SUMPRODUCT(INDEX($AL$23:$AN$61,,$AE161), INDEX($AO$23:$AU$61,,$AD161), 1 / ($AV$23:$AV$61*CM161), N($AK$23:$AK$61&gt;$AI161)),
SUMPRODUCT(INDEX($AL$23:$AN$46,,$AE161), INDEX($AO$23:$AU$46,,$AD161), 1 / ($AW$23:$AW$46*CM161), N($AK$23:$AK$46&gt;$AI161))
) / 1000</f>
        <v>0</v>
      </c>
      <c r="CP161" s="237">
        <f t="shared" si="392"/>
        <v>0</v>
      </c>
      <c r="CQ161" s="210"/>
    </row>
    <row r="162" spans="1:95" s="76" customFormat="1" ht="14.25" customHeight="1" x14ac:dyDescent="0.2">
      <c r="A162" s="238" t="b">
        <f t="shared" si="227"/>
        <v>0</v>
      </c>
      <c r="B162" s="239">
        <v>140</v>
      </c>
      <c r="C162" s="258"/>
      <c r="D162" s="258"/>
      <c r="E162" s="240"/>
      <c r="F162" s="241" t="str">
        <f>IF(ISBLANK(E162), "", VLOOKUP(E162, Z!$A$2:$C$4127, 3, FALSE))</f>
        <v/>
      </c>
      <c r="G162" s="242"/>
      <c r="H162" s="242"/>
      <c r="I162" s="243"/>
      <c r="J162" s="244"/>
      <c r="K162" s="259"/>
      <c r="L162" s="260"/>
      <c r="M162" s="247" t="str" cm="1">
        <f t="array" ref="M162">IF($K162&gt;0, INDEX(Clean,1+AG162,$C$1), "")</f>
        <v/>
      </c>
      <c r="N162" s="245"/>
      <c r="O162" s="245"/>
      <c r="P162" s="246"/>
      <c r="Q162" s="248">
        <f t="shared" si="369"/>
        <v>0</v>
      </c>
      <c r="R162" s="247" t="str" cm="1">
        <f t="array" ref="R162">IF($K162&gt;0, INDEX(Clean,1+AH162,$C$1), "")</f>
        <v/>
      </c>
      <c r="S162" s="245"/>
      <c r="T162" s="245"/>
      <c r="U162" s="246"/>
      <c r="V162" s="248">
        <f t="shared" si="370"/>
        <v>0</v>
      </c>
      <c r="W162" s="261"/>
      <c r="X162" s="258"/>
      <c r="Y162" s="240"/>
      <c r="Z162" s="241" t="str">
        <f>IF(ISBLANK(Y162), "", VLOOKUP(Y162, Z!$A$2:$C$4127, 3, FALSE))</f>
        <v/>
      </c>
      <c r="AA162" s="262"/>
      <c r="AB162" s="249">
        <f t="shared" si="396"/>
        <v>0</v>
      </c>
      <c r="AC162" s="210"/>
      <c r="AD162" s="236">
        <f t="shared" si="393"/>
        <v>1</v>
      </c>
      <c r="AE162" s="236">
        <f t="shared" si="394"/>
        <v>1</v>
      </c>
      <c r="AF162" s="236">
        <f t="shared" si="395"/>
        <v>0</v>
      </c>
      <c r="AG162" s="236">
        <v>1</v>
      </c>
      <c r="AH162" s="236">
        <v>0</v>
      </c>
      <c r="AI162" s="236">
        <f t="shared" si="371"/>
        <v>-100</v>
      </c>
      <c r="AJ162" s="210"/>
      <c r="AK162" s="254"/>
      <c r="AL162" s="254"/>
      <c r="AM162" s="255"/>
      <c r="AN162" s="255"/>
      <c r="AO162" s="255"/>
      <c r="AP162" s="255"/>
      <c r="AQ162" s="255"/>
      <c r="AR162" s="255"/>
      <c r="AS162" s="255"/>
      <c r="AT162" s="255"/>
      <c r="AU162" s="255"/>
      <c r="AV162" s="255"/>
      <c r="AW162" s="255"/>
      <c r="AX162" s="210"/>
      <c r="AY162" s="236" cm="1">
        <f t="array" ref="AY162">INDEX(Use, $AD162, 4)</f>
        <v>7</v>
      </c>
      <c r="AZ162" s="236">
        <f t="shared" si="372"/>
        <v>32</v>
      </c>
      <c r="BA162" s="236">
        <f t="shared" si="239"/>
        <v>13</v>
      </c>
      <c r="BB162" s="236">
        <f t="shared" si="240"/>
        <v>0</v>
      </c>
      <c r="BC162" s="252" cm="1">
        <f t="array" ref="BC162">K162/IF($L162&gt;0, INDEX($AO$23:$AU$77, $L162+20, $AD162), 1)</f>
        <v>0</v>
      </c>
      <c r="BD162" s="237">
        <f t="shared" si="373"/>
        <v>0</v>
      </c>
      <c r="BE162" s="236">
        <v>35</v>
      </c>
      <c r="BF162" s="237">
        <f t="shared" si="374"/>
        <v>52.55</v>
      </c>
      <c r="BG162" s="253">
        <f t="shared" si="375"/>
        <v>2.7676728869374316</v>
      </c>
      <c r="BH162" s="253" cm="1">
        <f t="array" ref="BH162">$BC162 * SUMPRODUCT(INDEX($AL$77:$AN$82,,$AE162),INDEX($AO$77:$AU$82,,$AD162), N($AK$77:$AK$82&gt;$AI162)) / BG162 / 1000</f>
        <v>0</v>
      </c>
      <c r="BI162" s="250">
        <f t="shared" si="244"/>
        <v>30</v>
      </c>
      <c r="BJ162" s="237">
        <f t="shared" si="376"/>
        <v>46.033333333333331</v>
      </c>
      <c r="BK162" s="253">
        <f t="shared" si="377"/>
        <v>3.2297395388556791</v>
      </c>
      <c r="BL162" s="253" cm="1">
        <f t="array" ref="BL162">$BC162 * IF($AD162&lt;=2,
SUMPRODUCT(INDEX($AL$72:$AN$76,,$AE162), INDEX($AO$72:$AU$76,,$AD162), 1 / ($AV$72:$AV$76*BK162 + (1-$AV$72:$AV$76)*BG162), N($AK$72:$AK$76&gt;$AI162)),
SUMPRODUCT(INDEX($AL$67:$AN$76,,$AE162), INDEX($AO$67:$AU$76,,$AD162), 1 / ($AW$67:$AW$76*BK162 + (1-$AW$67:$AW$76)*BG162), N($AK$67:$AK$76&gt;$AI162))
) / 1000</f>
        <v>0</v>
      </c>
      <c r="BM162" s="250">
        <f t="shared" si="247"/>
        <v>25</v>
      </c>
      <c r="BN162" s="237">
        <f t="shared" si="378"/>
        <v>39.516666666666666</v>
      </c>
      <c r="BO162" s="253">
        <f t="shared" si="379"/>
        <v>3.877011788826243</v>
      </c>
      <c r="BP162" s="253" cm="1">
        <f t="array" ref="BP162">$BC162 * IF($AD162&lt;=2,
SUMPRODUCT(INDEX($AL$67:$AN$71,,$AE162), INDEX($AO$67:$AU$71,,$AD162), 1 / ($AV$67:$AV$71*BO162 + (1-$AV$67:$AV$71)*BK162), N($AK$67:$AK$71&gt;$AI162)),
SUMPRODUCT(INDEX($AL$57:$AN$66,,$AE162), INDEX($AO$57:$AU$66,,$AD162), 1 / ($AW$57:$AW$66*BO162 + (1-$AW$57:$AW$66)*BK162), N($AK$57:$AK$66&gt;$AI162))
) / 1000</f>
        <v>0</v>
      </c>
      <c r="BQ162" s="250">
        <f t="shared" si="250"/>
        <v>20</v>
      </c>
      <c r="BR162" s="237">
        <f t="shared" si="380"/>
        <v>33</v>
      </c>
      <c r="BS162" s="253">
        <f t="shared" si="381"/>
        <v>4.8487499999999999</v>
      </c>
      <c r="BT162" s="253" cm="1">
        <f t="array" ref="BT162">$BC162 * IF($AD162&lt;=2,
SUMPRODUCT(INDEX($AL$62:$AN$66,,$AE162), INDEX($AO$62:$AU$66,,$AD162), 1 / ($AV$62:$AV$66*BS162 + (1-$AV$62:$AV$66)*BO162), N($AK$62:$AK$66&gt;$AI162)),
SUMPRODUCT(INDEX($AL$47:$AN$56,,$AE162), INDEX($AO$47:$AU$56,,$AD162), 1 / ($AW$47:$AW$56*BS162 + (1-$AW$47:$AW$56)*BO162), N($AK$47:$AK$56&gt;$AI162))
) / 1000</f>
        <v>0</v>
      </c>
      <c r="BU162" s="253" cm="1">
        <f t="array" ref="BU162">$BC162 * IF($AD162&lt;=2,
SUMPRODUCT(INDEX($AL$23:$AN$61,,$AE162), INDEX($AO$23:$AU$61,,$AD162), 1 / ($AV$23:$AV$61*BS162), N($AK$23:$AK$61&gt;$AI162)),
SUMPRODUCT(INDEX($AL$23:$AN$46,,$AE162), INDEX($AO$23:$AU$46,,$AD162), 1 / ($AW$23:$AW$46*BS162), N($AK$23:$AK$46&gt;$AI162))
) / 1000</f>
        <v>0</v>
      </c>
      <c r="BV162" s="237">
        <f t="shared" si="382"/>
        <v>0</v>
      </c>
      <c r="BW162" s="210"/>
      <c r="BX162" s="237">
        <f t="shared" si="383"/>
        <v>0</v>
      </c>
      <c r="BY162" s="236">
        <v>35</v>
      </c>
      <c r="BZ162" s="237">
        <f t="shared" si="384"/>
        <v>48</v>
      </c>
      <c r="CA162" s="253">
        <f t="shared" si="385"/>
        <v>3.0748170731707316</v>
      </c>
      <c r="CB162" s="253" cm="1">
        <f t="array" ref="CB162">$BC162 * SUMPRODUCT(INDEX($AL$77:$AN$82,,$AE162),INDEX($AO$77:$AU$82,,$AD162), N($AK$77:$AK$82&gt;$AI162)) / CA162 / 1000</f>
        <v>0</v>
      </c>
      <c r="CC162" s="250">
        <f t="shared" si="257"/>
        <v>30</v>
      </c>
      <c r="CD162" s="237">
        <f t="shared" si="386"/>
        <v>43</v>
      </c>
      <c r="CE162" s="253">
        <f t="shared" si="387"/>
        <v>3.5018750000000001</v>
      </c>
      <c r="CF162" s="253" cm="1">
        <f t="array" ref="CF162">$BC162 * IF($AD162&lt;=2,
SUMPRODUCT(INDEX($AL$72:$AN$76,,$AE162), INDEX($AO$72:$AU$76,,$AD162), 1 / ($AV$72:$AV$76*CE162 + (1-$AV$72:$AV$76)*CA162), N($AK$72:$AK$76&gt;$AI162)),
SUMPRODUCT(INDEX($AL$67:$AN$76,,$AE162), INDEX($AO$67:$AU$76,,$AD162), 1 / ($AW$67:$AW$76*CE162 + (1-$AW$67:$AW$76)*CA162), N($AK$67:$AK$76&gt;$AI162))
) / 1000</f>
        <v>0</v>
      </c>
      <c r="CG162" s="250">
        <f t="shared" si="260"/>
        <v>25</v>
      </c>
      <c r="CH162" s="237">
        <f t="shared" si="388"/>
        <v>38</v>
      </c>
      <c r="CI162" s="253">
        <f t="shared" si="389"/>
        <v>4.0666935483870965</v>
      </c>
      <c r="CJ162" s="253" cm="1">
        <f t="array" ref="CJ162">$BC162 * IF($AD162&lt;=2,
SUMPRODUCT(INDEX($AL$67:$AN$71,,$AE162), INDEX($AO$67:$AU$71,,$AD162), 1 / ($AV$67:$AV$71*CI162 + (1-$AV$67:$AV$71)*CE162), N($AK$67:$AK$71&gt;$AI162)),
SUMPRODUCT(INDEX($AL$57:$AN$66,,$AE162), INDEX($AO$57:$AU$66,,$AD162), 1 / ($AW$57:$AW$66*CI162 + (1-$AW$57:$AW$66)*CE162), N($AK$57:$AK$66&gt;$AI162))
) / 1000</f>
        <v>0</v>
      </c>
      <c r="CK162" s="250">
        <f t="shared" si="263"/>
        <v>20</v>
      </c>
      <c r="CL162" s="237">
        <f t="shared" si="390"/>
        <v>33</v>
      </c>
      <c r="CM162" s="253">
        <f t="shared" si="391"/>
        <v>4.8487499999999999</v>
      </c>
      <c r="CN162" s="253" cm="1">
        <f t="array" ref="CN162">$BC162 * IF($AD162&lt;=2,
SUMPRODUCT(INDEX($AL$62:$AN$66,,$AE162), INDEX($AO$62:$AU$66,,$AD162), 1 / ($AV$62:$AV$66*CM162 + (1-$AV$62:$AV$66)*CI162), N($AK$62:$AK$66&gt;$AI162)),
SUMPRODUCT(INDEX($AL$47:$AN$56,,$AE162), INDEX($AO$47:$AU$56,,$AD162), 1 / ($AW$47:$AW$56*CM162 + (1-$AW$47:$AW$56)*CI162), N($AK$47:$AK$56&gt;$AI162))
) / 1000</f>
        <v>0</v>
      </c>
      <c r="CO162" s="253" cm="1">
        <f t="array" ref="CO162">$BC162 * IF($AD162&lt;=2,
SUMPRODUCT(INDEX($AL$23:$AN$61,,$AE162), INDEX($AO$23:$AU$61,,$AD162), 1 / ($AV$23:$AV$61*CM162), N($AK$23:$AK$61&gt;$AI162)),
SUMPRODUCT(INDEX($AL$23:$AN$46,,$AE162), INDEX($AO$23:$AU$46,,$AD162), 1 / ($AW$23:$AW$46*CM162), N($AK$23:$AK$46&gt;$AI162))
) / 1000</f>
        <v>0</v>
      </c>
      <c r="CP162" s="237">
        <f t="shared" si="392"/>
        <v>0</v>
      </c>
      <c r="CQ162" s="210"/>
    </row>
    <row r="163" spans="1:95" s="76" customFormat="1" ht="14.25" customHeight="1" x14ac:dyDescent="0.2">
      <c r="A163" s="238" t="b">
        <f t="shared" si="227"/>
        <v>0</v>
      </c>
      <c r="B163" s="239">
        <v>141</v>
      </c>
      <c r="C163" s="258"/>
      <c r="D163" s="258"/>
      <c r="E163" s="240"/>
      <c r="F163" s="241" t="str">
        <f>IF(ISBLANK(E163), "", VLOOKUP(E163, Z!$A$2:$C$4127, 3, FALSE))</f>
        <v/>
      </c>
      <c r="G163" s="242"/>
      <c r="H163" s="242"/>
      <c r="I163" s="243"/>
      <c r="J163" s="244"/>
      <c r="K163" s="259"/>
      <c r="L163" s="260"/>
      <c r="M163" s="247" t="str" cm="1">
        <f t="array" ref="M163">IF($K163&gt;0, INDEX(Clean,1+AG163,$C$1), "")</f>
        <v/>
      </c>
      <c r="N163" s="245"/>
      <c r="O163" s="245"/>
      <c r="P163" s="246"/>
      <c r="Q163" s="248">
        <f t="shared" si="369"/>
        <v>0</v>
      </c>
      <c r="R163" s="247" t="str" cm="1">
        <f t="array" ref="R163">IF($K163&gt;0, INDEX(Clean,1+AH163,$C$1), "")</f>
        <v/>
      </c>
      <c r="S163" s="245"/>
      <c r="T163" s="245"/>
      <c r="U163" s="246"/>
      <c r="V163" s="248">
        <f t="shared" si="370"/>
        <v>0</v>
      </c>
      <c r="W163" s="261"/>
      <c r="X163" s="258"/>
      <c r="Y163" s="240"/>
      <c r="Z163" s="241" t="str">
        <f>IF(ISBLANK(Y163), "", VLOOKUP(Y163, Z!$A$2:$C$4127, 3, FALSE))</f>
        <v/>
      </c>
      <c r="AA163" s="262"/>
      <c r="AB163" s="249">
        <f t="shared" si="396"/>
        <v>0</v>
      </c>
      <c r="AC163" s="210"/>
      <c r="AD163" s="236">
        <f t="shared" si="393"/>
        <v>1</v>
      </c>
      <c r="AE163" s="236">
        <f t="shared" si="394"/>
        <v>1</v>
      </c>
      <c r="AF163" s="236">
        <f t="shared" si="395"/>
        <v>0</v>
      </c>
      <c r="AG163" s="236">
        <v>1</v>
      </c>
      <c r="AH163" s="236">
        <v>0</v>
      </c>
      <c r="AI163" s="236">
        <f t="shared" si="371"/>
        <v>-100</v>
      </c>
      <c r="AJ163" s="210"/>
      <c r="AK163" s="254"/>
      <c r="AL163" s="254"/>
      <c r="AM163" s="255"/>
      <c r="AN163" s="255"/>
      <c r="AO163" s="255"/>
      <c r="AP163" s="255"/>
      <c r="AQ163" s="255"/>
      <c r="AR163" s="255"/>
      <c r="AS163" s="255"/>
      <c r="AT163" s="255"/>
      <c r="AU163" s="255"/>
      <c r="AV163" s="255"/>
      <c r="AW163" s="255"/>
      <c r="AX163" s="210"/>
      <c r="AY163" s="236" cm="1">
        <f t="array" ref="AY163">INDEX(Use, $AD163, 4)</f>
        <v>7</v>
      </c>
      <c r="AZ163" s="236">
        <f t="shared" si="372"/>
        <v>32</v>
      </c>
      <c r="BA163" s="236">
        <f t="shared" si="239"/>
        <v>13</v>
      </c>
      <c r="BB163" s="236">
        <f t="shared" si="240"/>
        <v>0</v>
      </c>
      <c r="BC163" s="252" cm="1">
        <f t="array" ref="BC163">K163/IF($L163&gt;0, INDEX($AO$23:$AU$77, $L163+20, $AD163), 1)</f>
        <v>0</v>
      </c>
      <c r="BD163" s="237">
        <f t="shared" si="373"/>
        <v>0</v>
      </c>
      <c r="BE163" s="236">
        <v>35</v>
      </c>
      <c r="BF163" s="237">
        <f t="shared" si="374"/>
        <v>52.55</v>
      </c>
      <c r="BG163" s="253">
        <f t="shared" si="375"/>
        <v>2.7676728869374316</v>
      </c>
      <c r="BH163" s="253" cm="1">
        <f t="array" ref="BH163">$BC163 * SUMPRODUCT(INDEX($AL$77:$AN$82,,$AE163),INDEX($AO$77:$AU$82,,$AD163), N($AK$77:$AK$82&gt;$AI163)) / BG163 / 1000</f>
        <v>0</v>
      </c>
      <c r="BI163" s="250">
        <f t="shared" si="244"/>
        <v>30</v>
      </c>
      <c r="BJ163" s="237">
        <f t="shared" si="376"/>
        <v>46.033333333333331</v>
      </c>
      <c r="BK163" s="253">
        <f t="shared" si="377"/>
        <v>3.2297395388556791</v>
      </c>
      <c r="BL163" s="253" cm="1">
        <f t="array" ref="BL163">$BC163 * IF($AD163&lt;=2,
SUMPRODUCT(INDEX($AL$72:$AN$76,,$AE163), INDEX($AO$72:$AU$76,,$AD163), 1 / ($AV$72:$AV$76*BK163 + (1-$AV$72:$AV$76)*BG163), N($AK$72:$AK$76&gt;$AI163)),
SUMPRODUCT(INDEX($AL$67:$AN$76,,$AE163), INDEX($AO$67:$AU$76,,$AD163), 1 / ($AW$67:$AW$76*BK163 + (1-$AW$67:$AW$76)*BG163), N($AK$67:$AK$76&gt;$AI163))
) / 1000</f>
        <v>0</v>
      </c>
      <c r="BM163" s="250">
        <f t="shared" si="247"/>
        <v>25</v>
      </c>
      <c r="BN163" s="237">
        <f t="shared" si="378"/>
        <v>39.516666666666666</v>
      </c>
      <c r="BO163" s="253">
        <f t="shared" si="379"/>
        <v>3.877011788826243</v>
      </c>
      <c r="BP163" s="253" cm="1">
        <f t="array" ref="BP163">$BC163 * IF($AD163&lt;=2,
SUMPRODUCT(INDEX($AL$67:$AN$71,,$AE163), INDEX($AO$67:$AU$71,,$AD163), 1 / ($AV$67:$AV$71*BO163 + (1-$AV$67:$AV$71)*BK163), N($AK$67:$AK$71&gt;$AI163)),
SUMPRODUCT(INDEX($AL$57:$AN$66,,$AE163), INDEX($AO$57:$AU$66,,$AD163), 1 / ($AW$57:$AW$66*BO163 + (1-$AW$57:$AW$66)*BK163), N($AK$57:$AK$66&gt;$AI163))
) / 1000</f>
        <v>0</v>
      </c>
      <c r="BQ163" s="250">
        <f t="shared" si="250"/>
        <v>20</v>
      </c>
      <c r="BR163" s="237">
        <f t="shared" si="380"/>
        <v>33</v>
      </c>
      <c r="BS163" s="253">
        <f t="shared" si="381"/>
        <v>4.8487499999999999</v>
      </c>
      <c r="BT163" s="253" cm="1">
        <f t="array" ref="BT163">$BC163 * IF($AD163&lt;=2,
SUMPRODUCT(INDEX($AL$62:$AN$66,,$AE163), INDEX($AO$62:$AU$66,,$AD163), 1 / ($AV$62:$AV$66*BS163 + (1-$AV$62:$AV$66)*BO163), N($AK$62:$AK$66&gt;$AI163)),
SUMPRODUCT(INDEX($AL$47:$AN$56,,$AE163), INDEX($AO$47:$AU$56,,$AD163), 1 / ($AW$47:$AW$56*BS163 + (1-$AW$47:$AW$56)*BO163), N($AK$47:$AK$56&gt;$AI163))
) / 1000</f>
        <v>0</v>
      </c>
      <c r="BU163" s="253" cm="1">
        <f t="array" ref="BU163">$BC163 * IF($AD163&lt;=2,
SUMPRODUCT(INDEX($AL$23:$AN$61,,$AE163), INDEX($AO$23:$AU$61,,$AD163), 1 / ($AV$23:$AV$61*BS163), N($AK$23:$AK$61&gt;$AI163)),
SUMPRODUCT(INDEX($AL$23:$AN$46,,$AE163), INDEX($AO$23:$AU$46,,$AD163), 1 / ($AW$23:$AW$46*BS163), N($AK$23:$AK$46&gt;$AI163))
) / 1000</f>
        <v>0</v>
      </c>
      <c r="BV163" s="237">
        <f t="shared" si="382"/>
        <v>0</v>
      </c>
      <c r="BW163" s="210"/>
      <c r="BX163" s="237">
        <f t="shared" si="383"/>
        <v>0</v>
      </c>
      <c r="BY163" s="236">
        <v>35</v>
      </c>
      <c r="BZ163" s="237">
        <f t="shared" si="384"/>
        <v>48</v>
      </c>
      <c r="CA163" s="253">
        <f t="shared" si="385"/>
        <v>3.0748170731707316</v>
      </c>
      <c r="CB163" s="253" cm="1">
        <f t="array" ref="CB163">$BC163 * SUMPRODUCT(INDEX($AL$77:$AN$82,,$AE163),INDEX($AO$77:$AU$82,,$AD163), N($AK$77:$AK$82&gt;$AI163)) / CA163 / 1000</f>
        <v>0</v>
      </c>
      <c r="CC163" s="250">
        <f t="shared" si="257"/>
        <v>30</v>
      </c>
      <c r="CD163" s="237">
        <f t="shared" si="386"/>
        <v>43</v>
      </c>
      <c r="CE163" s="253">
        <f t="shared" si="387"/>
        <v>3.5018750000000001</v>
      </c>
      <c r="CF163" s="253" cm="1">
        <f t="array" ref="CF163">$BC163 * IF($AD163&lt;=2,
SUMPRODUCT(INDEX($AL$72:$AN$76,,$AE163), INDEX($AO$72:$AU$76,,$AD163), 1 / ($AV$72:$AV$76*CE163 + (1-$AV$72:$AV$76)*CA163), N($AK$72:$AK$76&gt;$AI163)),
SUMPRODUCT(INDEX($AL$67:$AN$76,,$AE163), INDEX($AO$67:$AU$76,,$AD163), 1 / ($AW$67:$AW$76*CE163 + (1-$AW$67:$AW$76)*CA163), N($AK$67:$AK$76&gt;$AI163))
) / 1000</f>
        <v>0</v>
      </c>
      <c r="CG163" s="250">
        <f t="shared" si="260"/>
        <v>25</v>
      </c>
      <c r="CH163" s="237">
        <f t="shared" si="388"/>
        <v>38</v>
      </c>
      <c r="CI163" s="253">
        <f t="shared" si="389"/>
        <v>4.0666935483870965</v>
      </c>
      <c r="CJ163" s="253" cm="1">
        <f t="array" ref="CJ163">$BC163 * IF($AD163&lt;=2,
SUMPRODUCT(INDEX($AL$67:$AN$71,,$AE163), INDEX($AO$67:$AU$71,,$AD163), 1 / ($AV$67:$AV$71*CI163 + (1-$AV$67:$AV$71)*CE163), N($AK$67:$AK$71&gt;$AI163)),
SUMPRODUCT(INDEX($AL$57:$AN$66,,$AE163), INDEX($AO$57:$AU$66,,$AD163), 1 / ($AW$57:$AW$66*CI163 + (1-$AW$57:$AW$66)*CE163), N($AK$57:$AK$66&gt;$AI163))
) / 1000</f>
        <v>0</v>
      </c>
      <c r="CK163" s="250">
        <f t="shared" si="263"/>
        <v>20</v>
      </c>
      <c r="CL163" s="237">
        <f t="shared" si="390"/>
        <v>33</v>
      </c>
      <c r="CM163" s="253">
        <f t="shared" si="391"/>
        <v>4.8487499999999999</v>
      </c>
      <c r="CN163" s="253" cm="1">
        <f t="array" ref="CN163">$BC163 * IF($AD163&lt;=2,
SUMPRODUCT(INDEX($AL$62:$AN$66,,$AE163), INDEX($AO$62:$AU$66,,$AD163), 1 / ($AV$62:$AV$66*CM163 + (1-$AV$62:$AV$66)*CI163), N($AK$62:$AK$66&gt;$AI163)),
SUMPRODUCT(INDEX($AL$47:$AN$56,,$AE163), INDEX($AO$47:$AU$56,,$AD163), 1 / ($AW$47:$AW$56*CM163 + (1-$AW$47:$AW$56)*CI163), N($AK$47:$AK$56&gt;$AI163))
) / 1000</f>
        <v>0</v>
      </c>
      <c r="CO163" s="253" cm="1">
        <f t="array" ref="CO163">$BC163 * IF($AD163&lt;=2,
SUMPRODUCT(INDEX($AL$23:$AN$61,,$AE163), INDEX($AO$23:$AU$61,,$AD163), 1 / ($AV$23:$AV$61*CM163), N($AK$23:$AK$61&gt;$AI163)),
SUMPRODUCT(INDEX($AL$23:$AN$46,,$AE163), INDEX($AO$23:$AU$46,,$AD163), 1 / ($AW$23:$AW$46*CM163), N($AK$23:$AK$46&gt;$AI163))
) / 1000</f>
        <v>0</v>
      </c>
      <c r="CP163" s="237">
        <f t="shared" si="392"/>
        <v>0</v>
      </c>
      <c r="CQ163" s="210"/>
    </row>
    <row r="164" spans="1:95" s="76" customFormat="1" ht="14.25" customHeight="1" x14ac:dyDescent="0.2">
      <c r="A164" s="238" t="b">
        <f t="shared" si="227"/>
        <v>0</v>
      </c>
      <c r="B164" s="239">
        <v>142</v>
      </c>
      <c r="C164" s="258"/>
      <c r="D164" s="258"/>
      <c r="E164" s="240"/>
      <c r="F164" s="241" t="str">
        <f>IF(ISBLANK(E164), "", VLOOKUP(E164, Z!$A$2:$C$4127, 3, FALSE))</f>
        <v/>
      </c>
      <c r="G164" s="242"/>
      <c r="H164" s="242"/>
      <c r="I164" s="243"/>
      <c r="J164" s="244"/>
      <c r="K164" s="259"/>
      <c r="L164" s="260"/>
      <c r="M164" s="247" t="str" cm="1">
        <f t="array" ref="M164">IF($K164&gt;0, INDEX(Clean,1+AG164,$C$1), "")</f>
        <v/>
      </c>
      <c r="N164" s="245"/>
      <c r="O164" s="245"/>
      <c r="P164" s="246"/>
      <c r="Q164" s="248">
        <f t="shared" si="369"/>
        <v>0</v>
      </c>
      <c r="R164" s="247" t="str" cm="1">
        <f t="array" ref="R164">IF($K164&gt;0, INDEX(Clean,1+AH164,$C$1), "")</f>
        <v/>
      </c>
      <c r="S164" s="245"/>
      <c r="T164" s="245"/>
      <c r="U164" s="246"/>
      <c r="V164" s="248">
        <f t="shared" si="370"/>
        <v>0</v>
      </c>
      <c r="W164" s="261"/>
      <c r="X164" s="258"/>
      <c r="Y164" s="240"/>
      <c r="Z164" s="241" t="str">
        <f>IF(ISBLANK(Y164), "", VLOOKUP(Y164, Z!$A$2:$C$4127, 3, FALSE))</f>
        <v/>
      </c>
      <c r="AA164" s="262"/>
      <c r="AB164" s="249">
        <f t="shared" si="396"/>
        <v>0</v>
      </c>
      <c r="AC164" s="210"/>
      <c r="AD164" s="236">
        <f t="shared" si="393"/>
        <v>1</v>
      </c>
      <c r="AE164" s="236">
        <f t="shared" si="394"/>
        <v>1</v>
      </c>
      <c r="AF164" s="236">
        <f t="shared" si="395"/>
        <v>0</v>
      </c>
      <c r="AG164" s="236">
        <v>1</v>
      </c>
      <c r="AH164" s="236">
        <v>0</v>
      </c>
      <c r="AI164" s="236">
        <f t="shared" si="371"/>
        <v>-100</v>
      </c>
      <c r="AJ164" s="210"/>
      <c r="AK164" s="254"/>
      <c r="AL164" s="254"/>
      <c r="AM164" s="255"/>
      <c r="AN164" s="255"/>
      <c r="AO164" s="255"/>
      <c r="AP164" s="255"/>
      <c r="AQ164" s="255"/>
      <c r="AR164" s="255"/>
      <c r="AS164" s="255"/>
      <c r="AT164" s="255"/>
      <c r="AU164" s="255"/>
      <c r="AV164" s="255"/>
      <c r="AW164" s="255"/>
      <c r="AX164" s="210"/>
      <c r="AY164" s="236" cm="1">
        <f t="array" ref="AY164">INDEX(Use, $AD164, 4)</f>
        <v>7</v>
      </c>
      <c r="AZ164" s="236">
        <f t="shared" si="372"/>
        <v>32</v>
      </c>
      <c r="BA164" s="236">
        <f t="shared" si="239"/>
        <v>13</v>
      </c>
      <c r="BB164" s="236">
        <f t="shared" si="240"/>
        <v>0</v>
      </c>
      <c r="BC164" s="252" cm="1">
        <f t="array" ref="BC164">K164/IF($L164&gt;0, INDEX($AO$23:$AU$77, $L164+20, $AD164), 1)</f>
        <v>0</v>
      </c>
      <c r="BD164" s="237">
        <f t="shared" si="373"/>
        <v>0</v>
      </c>
      <c r="BE164" s="236">
        <v>35</v>
      </c>
      <c r="BF164" s="237">
        <f t="shared" si="374"/>
        <v>52.55</v>
      </c>
      <c r="BG164" s="253">
        <f t="shared" si="375"/>
        <v>2.7676728869374316</v>
      </c>
      <c r="BH164" s="253" cm="1">
        <f t="array" ref="BH164">$BC164 * SUMPRODUCT(INDEX($AL$77:$AN$82,,$AE164),INDEX($AO$77:$AU$82,,$AD164), N($AK$77:$AK$82&gt;$AI164)) / BG164 / 1000</f>
        <v>0</v>
      </c>
      <c r="BI164" s="250">
        <f t="shared" si="244"/>
        <v>30</v>
      </c>
      <c r="BJ164" s="237">
        <f t="shared" si="376"/>
        <v>46.033333333333331</v>
      </c>
      <c r="BK164" s="253">
        <f t="shared" si="377"/>
        <v>3.2297395388556791</v>
      </c>
      <c r="BL164" s="253" cm="1">
        <f t="array" ref="BL164">$BC164 * IF($AD164&lt;=2,
SUMPRODUCT(INDEX($AL$72:$AN$76,,$AE164), INDEX($AO$72:$AU$76,,$AD164), 1 / ($AV$72:$AV$76*BK164 + (1-$AV$72:$AV$76)*BG164), N($AK$72:$AK$76&gt;$AI164)),
SUMPRODUCT(INDEX($AL$67:$AN$76,,$AE164), INDEX($AO$67:$AU$76,,$AD164), 1 / ($AW$67:$AW$76*BK164 + (1-$AW$67:$AW$76)*BG164), N($AK$67:$AK$76&gt;$AI164))
) / 1000</f>
        <v>0</v>
      </c>
      <c r="BM164" s="250">
        <f t="shared" si="247"/>
        <v>25</v>
      </c>
      <c r="BN164" s="237">
        <f t="shared" si="378"/>
        <v>39.516666666666666</v>
      </c>
      <c r="BO164" s="253">
        <f t="shared" si="379"/>
        <v>3.877011788826243</v>
      </c>
      <c r="BP164" s="253" cm="1">
        <f t="array" ref="BP164">$BC164 * IF($AD164&lt;=2,
SUMPRODUCT(INDEX($AL$67:$AN$71,,$AE164), INDEX($AO$67:$AU$71,,$AD164), 1 / ($AV$67:$AV$71*BO164 + (1-$AV$67:$AV$71)*BK164), N($AK$67:$AK$71&gt;$AI164)),
SUMPRODUCT(INDEX($AL$57:$AN$66,,$AE164), INDEX($AO$57:$AU$66,,$AD164), 1 / ($AW$57:$AW$66*BO164 + (1-$AW$57:$AW$66)*BK164), N($AK$57:$AK$66&gt;$AI164))
) / 1000</f>
        <v>0</v>
      </c>
      <c r="BQ164" s="250">
        <f t="shared" si="250"/>
        <v>20</v>
      </c>
      <c r="BR164" s="237">
        <f t="shared" si="380"/>
        <v>33</v>
      </c>
      <c r="BS164" s="253">
        <f t="shared" si="381"/>
        <v>4.8487499999999999</v>
      </c>
      <c r="BT164" s="253" cm="1">
        <f t="array" ref="BT164">$BC164 * IF($AD164&lt;=2,
SUMPRODUCT(INDEX($AL$62:$AN$66,,$AE164), INDEX($AO$62:$AU$66,,$AD164), 1 / ($AV$62:$AV$66*BS164 + (1-$AV$62:$AV$66)*BO164), N($AK$62:$AK$66&gt;$AI164)),
SUMPRODUCT(INDEX($AL$47:$AN$56,,$AE164), INDEX($AO$47:$AU$56,,$AD164), 1 / ($AW$47:$AW$56*BS164 + (1-$AW$47:$AW$56)*BO164), N($AK$47:$AK$56&gt;$AI164))
) / 1000</f>
        <v>0</v>
      </c>
      <c r="BU164" s="253" cm="1">
        <f t="array" ref="BU164">$BC164 * IF($AD164&lt;=2,
SUMPRODUCT(INDEX($AL$23:$AN$61,,$AE164), INDEX($AO$23:$AU$61,,$AD164), 1 / ($AV$23:$AV$61*BS164), N($AK$23:$AK$61&gt;$AI164)),
SUMPRODUCT(INDEX($AL$23:$AN$46,,$AE164), INDEX($AO$23:$AU$46,,$AD164), 1 / ($AW$23:$AW$46*BS164), N($AK$23:$AK$46&gt;$AI164))
) / 1000</f>
        <v>0</v>
      </c>
      <c r="BV164" s="237">
        <f t="shared" si="382"/>
        <v>0</v>
      </c>
      <c r="BW164" s="210"/>
      <c r="BX164" s="237">
        <f t="shared" si="383"/>
        <v>0</v>
      </c>
      <c r="BY164" s="236">
        <v>35</v>
      </c>
      <c r="BZ164" s="237">
        <f t="shared" si="384"/>
        <v>48</v>
      </c>
      <c r="CA164" s="253">
        <f t="shared" si="385"/>
        <v>3.0748170731707316</v>
      </c>
      <c r="CB164" s="253" cm="1">
        <f t="array" ref="CB164">$BC164 * SUMPRODUCT(INDEX($AL$77:$AN$82,,$AE164),INDEX($AO$77:$AU$82,,$AD164), N($AK$77:$AK$82&gt;$AI164)) / CA164 / 1000</f>
        <v>0</v>
      </c>
      <c r="CC164" s="250">
        <f t="shared" si="257"/>
        <v>30</v>
      </c>
      <c r="CD164" s="237">
        <f t="shared" si="386"/>
        <v>43</v>
      </c>
      <c r="CE164" s="253">
        <f t="shared" si="387"/>
        <v>3.5018750000000001</v>
      </c>
      <c r="CF164" s="253" cm="1">
        <f t="array" ref="CF164">$BC164 * IF($AD164&lt;=2,
SUMPRODUCT(INDEX($AL$72:$AN$76,,$AE164), INDEX($AO$72:$AU$76,,$AD164), 1 / ($AV$72:$AV$76*CE164 + (1-$AV$72:$AV$76)*CA164), N($AK$72:$AK$76&gt;$AI164)),
SUMPRODUCT(INDEX($AL$67:$AN$76,,$AE164), INDEX($AO$67:$AU$76,,$AD164), 1 / ($AW$67:$AW$76*CE164 + (1-$AW$67:$AW$76)*CA164), N($AK$67:$AK$76&gt;$AI164))
) / 1000</f>
        <v>0</v>
      </c>
      <c r="CG164" s="250">
        <f t="shared" si="260"/>
        <v>25</v>
      </c>
      <c r="CH164" s="237">
        <f t="shared" si="388"/>
        <v>38</v>
      </c>
      <c r="CI164" s="253">
        <f t="shared" si="389"/>
        <v>4.0666935483870965</v>
      </c>
      <c r="CJ164" s="253" cm="1">
        <f t="array" ref="CJ164">$BC164 * IF($AD164&lt;=2,
SUMPRODUCT(INDEX($AL$67:$AN$71,,$AE164), INDEX($AO$67:$AU$71,,$AD164), 1 / ($AV$67:$AV$71*CI164 + (1-$AV$67:$AV$71)*CE164), N($AK$67:$AK$71&gt;$AI164)),
SUMPRODUCT(INDEX($AL$57:$AN$66,,$AE164), INDEX($AO$57:$AU$66,,$AD164), 1 / ($AW$57:$AW$66*CI164 + (1-$AW$57:$AW$66)*CE164), N($AK$57:$AK$66&gt;$AI164))
) / 1000</f>
        <v>0</v>
      </c>
      <c r="CK164" s="250">
        <f t="shared" si="263"/>
        <v>20</v>
      </c>
      <c r="CL164" s="237">
        <f t="shared" si="390"/>
        <v>33</v>
      </c>
      <c r="CM164" s="253">
        <f t="shared" si="391"/>
        <v>4.8487499999999999</v>
      </c>
      <c r="CN164" s="253" cm="1">
        <f t="array" ref="CN164">$BC164 * IF($AD164&lt;=2,
SUMPRODUCT(INDEX($AL$62:$AN$66,,$AE164), INDEX($AO$62:$AU$66,,$AD164), 1 / ($AV$62:$AV$66*CM164 + (1-$AV$62:$AV$66)*CI164), N($AK$62:$AK$66&gt;$AI164)),
SUMPRODUCT(INDEX($AL$47:$AN$56,,$AE164), INDEX($AO$47:$AU$56,,$AD164), 1 / ($AW$47:$AW$56*CM164 + (1-$AW$47:$AW$56)*CI164), N($AK$47:$AK$56&gt;$AI164))
) / 1000</f>
        <v>0</v>
      </c>
      <c r="CO164" s="253" cm="1">
        <f t="array" ref="CO164">$BC164 * IF($AD164&lt;=2,
SUMPRODUCT(INDEX($AL$23:$AN$61,,$AE164), INDEX($AO$23:$AU$61,,$AD164), 1 / ($AV$23:$AV$61*CM164), N($AK$23:$AK$61&gt;$AI164)),
SUMPRODUCT(INDEX($AL$23:$AN$46,,$AE164), INDEX($AO$23:$AU$46,,$AD164), 1 / ($AW$23:$AW$46*CM164), N($AK$23:$AK$46&gt;$AI164))
) / 1000</f>
        <v>0</v>
      </c>
      <c r="CP164" s="237">
        <f t="shared" si="392"/>
        <v>0</v>
      </c>
      <c r="CQ164" s="210"/>
    </row>
    <row r="165" spans="1:95" s="76" customFormat="1" ht="14.25" customHeight="1" x14ac:dyDescent="0.2">
      <c r="A165" s="238" t="b">
        <f t="shared" si="227"/>
        <v>0</v>
      </c>
      <c r="B165" s="239">
        <v>143</v>
      </c>
      <c r="C165" s="258"/>
      <c r="D165" s="258"/>
      <c r="E165" s="240"/>
      <c r="F165" s="241" t="str">
        <f>IF(ISBLANK(E165), "", VLOOKUP(E165, Z!$A$2:$C$4127, 3, FALSE))</f>
        <v/>
      </c>
      <c r="G165" s="242"/>
      <c r="H165" s="242"/>
      <c r="I165" s="243"/>
      <c r="J165" s="244"/>
      <c r="K165" s="259"/>
      <c r="L165" s="260"/>
      <c r="M165" s="247" t="str" cm="1">
        <f t="array" ref="M165">IF($K165&gt;0, INDEX(Clean,1+AG165,$C$1), "")</f>
        <v/>
      </c>
      <c r="N165" s="245"/>
      <c r="O165" s="245"/>
      <c r="P165" s="246"/>
      <c r="Q165" s="248">
        <f t="shared" si="369"/>
        <v>0</v>
      </c>
      <c r="R165" s="247" t="str" cm="1">
        <f t="array" ref="R165">IF($K165&gt;0, INDEX(Clean,1+AH165,$C$1), "")</f>
        <v/>
      </c>
      <c r="S165" s="245"/>
      <c r="T165" s="245"/>
      <c r="U165" s="246"/>
      <c r="V165" s="248">
        <f t="shared" si="370"/>
        <v>0</v>
      </c>
      <c r="W165" s="261"/>
      <c r="X165" s="258"/>
      <c r="Y165" s="240"/>
      <c r="Z165" s="241" t="str">
        <f>IF(ISBLANK(Y165), "", VLOOKUP(Y165, Z!$A$2:$C$4127, 3, FALSE))</f>
        <v/>
      </c>
      <c r="AA165" s="262"/>
      <c r="AB165" s="249">
        <f t="shared" si="396"/>
        <v>0</v>
      </c>
      <c r="AC165" s="210"/>
      <c r="AD165" s="236">
        <f t="shared" si="393"/>
        <v>1</v>
      </c>
      <c r="AE165" s="236">
        <f t="shared" si="394"/>
        <v>1</v>
      </c>
      <c r="AF165" s="236">
        <f t="shared" si="395"/>
        <v>0</v>
      </c>
      <c r="AG165" s="236">
        <v>1</v>
      </c>
      <c r="AH165" s="236">
        <v>0</v>
      </c>
      <c r="AI165" s="236">
        <f t="shared" si="371"/>
        <v>-100</v>
      </c>
      <c r="AJ165" s="210"/>
      <c r="AK165" s="254"/>
      <c r="AL165" s="254"/>
      <c r="AM165" s="255"/>
      <c r="AN165" s="255"/>
      <c r="AO165" s="255"/>
      <c r="AP165" s="255"/>
      <c r="AQ165" s="255"/>
      <c r="AR165" s="255"/>
      <c r="AS165" s="255"/>
      <c r="AT165" s="255"/>
      <c r="AU165" s="255"/>
      <c r="AV165" s="255"/>
      <c r="AW165" s="255"/>
      <c r="AX165" s="210"/>
      <c r="AY165" s="236" cm="1">
        <f t="array" ref="AY165">INDEX(Use, $AD165, 4)</f>
        <v>7</v>
      </c>
      <c r="AZ165" s="236">
        <f t="shared" si="372"/>
        <v>32</v>
      </c>
      <c r="BA165" s="236">
        <f t="shared" si="239"/>
        <v>13</v>
      </c>
      <c r="BB165" s="236">
        <f t="shared" si="240"/>
        <v>0</v>
      </c>
      <c r="BC165" s="252" cm="1">
        <f t="array" ref="BC165">K165/IF($L165&gt;0, INDEX($AO$23:$AU$77, $L165+20, $AD165), 1)</f>
        <v>0</v>
      </c>
      <c r="BD165" s="237">
        <f t="shared" si="373"/>
        <v>0</v>
      </c>
      <c r="BE165" s="236">
        <v>35</v>
      </c>
      <c r="BF165" s="237">
        <f t="shared" si="374"/>
        <v>52.55</v>
      </c>
      <c r="BG165" s="253">
        <f t="shared" si="375"/>
        <v>2.7676728869374316</v>
      </c>
      <c r="BH165" s="253" cm="1">
        <f t="array" ref="BH165">$BC165 * SUMPRODUCT(INDEX($AL$77:$AN$82,,$AE165),INDEX($AO$77:$AU$82,,$AD165), N($AK$77:$AK$82&gt;$AI165)) / BG165 / 1000</f>
        <v>0</v>
      </c>
      <c r="BI165" s="250">
        <f t="shared" si="244"/>
        <v>30</v>
      </c>
      <c r="BJ165" s="237">
        <f t="shared" si="376"/>
        <v>46.033333333333331</v>
      </c>
      <c r="BK165" s="253">
        <f t="shared" si="377"/>
        <v>3.2297395388556791</v>
      </c>
      <c r="BL165" s="253" cm="1">
        <f t="array" ref="BL165">$BC165 * IF($AD165&lt;=2,
SUMPRODUCT(INDEX($AL$72:$AN$76,,$AE165), INDEX($AO$72:$AU$76,,$AD165), 1 / ($AV$72:$AV$76*BK165 + (1-$AV$72:$AV$76)*BG165), N($AK$72:$AK$76&gt;$AI165)),
SUMPRODUCT(INDEX($AL$67:$AN$76,,$AE165), INDEX($AO$67:$AU$76,,$AD165), 1 / ($AW$67:$AW$76*BK165 + (1-$AW$67:$AW$76)*BG165), N($AK$67:$AK$76&gt;$AI165))
) / 1000</f>
        <v>0</v>
      </c>
      <c r="BM165" s="250">
        <f t="shared" si="247"/>
        <v>25</v>
      </c>
      <c r="BN165" s="237">
        <f t="shared" si="378"/>
        <v>39.516666666666666</v>
      </c>
      <c r="BO165" s="253">
        <f t="shared" si="379"/>
        <v>3.877011788826243</v>
      </c>
      <c r="BP165" s="253" cm="1">
        <f t="array" ref="BP165">$BC165 * IF($AD165&lt;=2,
SUMPRODUCT(INDEX($AL$67:$AN$71,,$AE165), INDEX($AO$67:$AU$71,,$AD165), 1 / ($AV$67:$AV$71*BO165 + (1-$AV$67:$AV$71)*BK165), N($AK$67:$AK$71&gt;$AI165)),
SUMPRODUCT(INDEX($AL$57:$AN$66,,$AE165), INDEX($AO$57:$AU$66,,$AD165), 1 / ($AW$57:$AW$66*BO165 + (1-$AW$57:$AW$66)*BK165), N($AK$57:$AK$66&gt;$AI165))
) / 1000</f>
        <v>0</v>
      </c>
      <c r="BQ165" s="250">
        <f t="shared" si="250"/>
        <v>20</v>
      </c>
      <c r="BR165" s="237">
        <f t="shared" si="380"/>
        <v>33</v>
      </c>
      <c r="BS165" s="253">
        <f t="shared" si="381"/>
        <v>4.8487499999999999</v>
      </c>
      <c r="BT165" s="253" cm="1">
        <f t="array" ref="BT165">$BC165 * IF($AD165&lt;=2,
SUMPRODUCT(INDEX($AL$62:$AN$66,,$AE165), INDEX($AO$62:$AU$66,,$AD165), 1 / ($AV$62:$AV$66*BS165 + (1-$AV$62:$AV$66)*BO165), N($AK$62:$AK$66&gt;$AI165)),
SUMPRODUCT(INDEX($AL$47:$AN$56,,$AE165), INDEX($AO$47:$AU$56,,$AD165), 1 / ($AW$47:$AW$56*BS165 + (1-$AW$47:$AW$56)*BO165), N($AK$47:$AK$56&gt;$AI165))
) / 1000</f>
        <v>0</v>
      </c>
      <c r="BU165" s="253" cm="1">
        <f t="array" ref="BU165">$BC165 * IF($AD165&lt;=2,
SUMPRODUCT(INDEX($AL$23:$AN$61,,$AE165), INDEX($AO$23:$AU$61,,$AD165), 1 / ($AV$23:$AV$61*BS165), N($AK$23:$AK$61&gt;$AI165)),
SUMPRODUCT(INDEX($AL$23:$AN$46,,$AE165), INDEX($AO$23:$AU$46,,$AD165), 1 / ($AW$23:$AW$46*BS165), N($AK$23:$AK$46&gt;$AI165))
) / 1000</f>
        <v>0</v>
      </c>
      <c r="BV165" s="237">
        <f t="shared" si="382"/>
        <v>0</v>
      </c>
      <c r="BW165" s="210"/>
      <c r="BX165" s="237">
        <f t="shared" si="383"/>
        <v>0</v>
      </c>
      <c r="BY165" s="236">
        <v>35</v>
      </c>
      <c r="BZ165" s="237">
        <f t="shared" si="384"/>
        <v>48</v>
      </c>
      <c r="CA165" s="253">
        <f t="shared" si="385"/>
        <v>3.0748170731707316</v>
      </c>
      <c r="CB165" s="253" cm="1">
        <f t="array" ref="CB165">$BC165 * SUMPRODUCT(INDEX($AL$77:$AN$82,,$AE165),INDEX($AO$77:$AU$82,,$AD165), N($AK$77:$AK$82&gt;$AI165)) / CA165 / 1000</f>
        <v>0</v>
      </c>
      <c r="CC165" s="250">
        <f t="shared" si="257"/>
        <v>30</v>
      </c>
      <c r="CD165" s="237">
        <f t="shared" si="386"/>
        <v>43</v>
      </c>
      <c r="CE165" s="253">
        <f t="shared" si="387"/>
        <v>3.5018750000000001</v>
      </c>
      <c r="CF165" s="253" cm="1">
        <f t="array" ref="CF165">$BC165 * IF($AD165&lt;=2,
SUMPRODUCT(INDEX($AL$72:$AN$76,,$AE165), INDEX($AO$72:$AU$76,,$AD165), 1 / ($AV$72:$AV$76*CE165 + (1-$AV$72:$AV$76)*CA165), N($AK$72:$AK$76&gt;$AI165)),
SUMPRODUCT(INDEX($AL$67:$AN$76,,$AE165), INDEX($AO$67:$AU$76,,$AD165), 1 / ($AW$67:$AW$76*CE165 + (1-$AW$67:$AW$76)*CA165), N($AK$67:$AK$76&gt;$AI165))
) / 1000</f>
        <v>0</v>
      </c>
      <c r="CG165" s="250">
        <f t="shared" si="260"/>
        <v>25</v>
      </c>
      <c r="CH165" s="237">
        <f t="shared" si="388"/>
        <v>38</v>
      </c>
      <c r="CI165" s="253">
        <f t="shared" si="389"/>
        <v>4.0666935483870965</v>
      </c>
      <c r="CJ165" s="253" cm="1">
        <f t="array" ref="CJ165">$BC165 * IF($AD165&lt;=2,
SUMPRODUCT(INDEX($AL$67:$AN$71,,$AE165), INDEX($AO$67:$AU$71,,$AD165), 1 / ($AV$67:$AV$71*CI165 + (1-$AV$67:$AV$71)*CE165), N($AK$67:$AK$71&gt;$AI165)),
SUMPRODUCT(INDEX($AL$57:$AN$66,,$AE165), INDEX($AO$57:$AU$66,,$AD165), 1 / ($AW$57:$AW$66*CI165 + (1-$AW$57:$AW$66)*CE165), N($AK$57:$AK$66&gt;$AI165))
) / 1000</f>
        <v>0</v>
      </c>
      <c r="CK165" s="250">
        <f t="shared" si="263"/>
        <v>20</v>
      </c>
      <c r="CL165" s="237">
        <f t="shared" si="390"/>
        <v>33</v>
      </c>
      <c r="CM165" s="253">
        <f t="shared" si="391"/>
        <v>4.8487499999999999</v>
      </c>
      <c r="CN165" s="253" cm="1">
        <f t="array" ref="CN165">$BC165 * IF($AD165&lt;=2,
SUMPRODUCT(INDEX($AL$62:$AN$66,,$AE165), INDEX($AO$62:$AU$66,,$AD165), 1 / ($AV$62:$AV$66*CM165 + (1-$AV$62:$AV$66)*CI165), N($AK$62:$AK$66&gt;$AI165)),
SUMPRODUCT(INDEX($AL$47:$AN$56,,$AE165), INDEX($AO$47:$AU$56,,$AD165), 1 / ($AW$47:$AW$56*CM165 + (1-$AW$47:$AW$56)*CI165), N($AK$47:$AK$56&gt;$AI165))
) / 1000</f>
        <v>0</v>
      </c>
      <c r="CO165" s="253" cm="1">
        <f t="array" ref="CO165">$BC165 * IF($AD165&lt;=2,
SUMPRODUCT(INDEX($AL$23:$AN$61,,$AE165), INDEX($AO$23:$AU$61,,$AD165), 1 / ($AV$23:$AV$61*CM165), N($AK$23:$AK$61&gt;$AI165)),
SUMPRODUCT(INDEX($AL$23:$AN$46,,$AE165), INDEX($AO$23:$AU$46,,$AD165), 1 / ($AW$23:$AW$46*CM165), N($AK$23:$AK$46&gt;$AI165))
) / 1000</f>
        <v>0</v>
      </c>
      <c r="CP165" s="237">
        <f t="shared" si="392"/>
        <v>0</v>
      </c>
      <c r="CQ165" s="210"/>
    </row>
    <row r="166" spans="1:95" s="76" customFormat="1" ht="14.25" customHeight="1" x14ac:dyDescent="0.2">
      <c r="A166" s="238" t="b">
        <f t="shared" si="227"/>
        <v>0</v>
      </c>
      <c r="B166" s="239">
        <v>144</v>
      </c>
      <c r="C166" s="258"/>
      <c r="D166" s="258"/>
      <c r="E166" s="240"/>
      <c r="F166" s="241" t="str">
        <f>IF(ISBLANK(E166), "", VLOOKUP(E166, Z!$A$2:$C$4127, 3, FALSE))</f>
        <v/>
      </c>
      <c r="G166" s="242"/>
      <c r="H166" s="242"/>
      <c r="I166" s="243"/>
      <c r="J166" s="244"/>
      <c r="K166" s="259"/>
      <c r="L166" s="260"/>
      <c r="M166" s="247" t="str" cm="1">
        <f t="array" ref="M166">IF($K166&gt;0, INDEX(Clean,1+AG166,$C$1), "")</f>
        <v/>
      </c>
      <c r="N166" s="245"/>
      <c r="O166" s="245"/>
      <c r="P166" s="246"/>
      <c r="Q166" s="248">
        <f t="shared" si="369"/>
        <v>0</v>
      </c>
      <c r="R166" s="247" t="str" cm="1">
        <f t="array" ref="R166">IF($K166&gt;0, INDEX(Clean,1+AH166,$C$1), "")</f>
        <v/>
      </c>
      <c r="S166" s="245"/>
      <c r="T166" s="245"/>
      <c r="U166" s="246"/>
      <c r="V166" s="248">
        <f t="shared" si="370"/>
        <v>0</v>
      </c>
      <c r="W166" s="261"/>
      <c r="X166" s="258"/>
      <c r="Y166" s="240"/>
      <c r="Z166" s="241" t="str">
        <f>IF(ISBLANK(Y166), "", VLOOKUP(Y166, Z!$A$2:$C$4127, 3, FALSE))</f>
        <v/>
      </c>
      <c r="AA166" s="262"/>
      <c r="AB166" s="249">
        <f t="shared" si="396"/>
        <v>0</v>
      </c>
      <c r="AC166" s="210"/>
      <c r="AD166" s="236">
        <f t="shared" si="393"/>
        <v>1</v>
      </c>
      <c r="AE166" s="236">
        <f t="shared" si="394"/>
        <v>1</v>
      </c>
      <c r="AF166" s="236">
        <f t="shared" si="395"/>
        <v>0</v>
      </c>
      <c r="AG166" s="236">
        <v>1</v>
      </c>
      <c r="AH166" s="236">
        <v>0</v>
      </c>
      <c r="AI166" s="236">
        <f t="shared" si="371"/>
        <v>-100</v>
      </c>
      <c r="AJ166" s="210"/>
      <c r="AK166" s="254"/>
      <c r="AL166" s="254"/>
      <c r="AM166" s="255"/>
      <c r="AN166" s="255"/>
      <c r="AO166" s="255"/>
      <c r="AP166" s="255"/>
      <c r="AQ166" s="255"/>
      <c r="AR166" s="255"/>
      <c r="AS166" s="255"/>
      <c r="AT166" s="255"/>
      <c r="AU166" s="255"/>
      <c r="AV166" s="255"/>
      <c r="AW166" s="255"/>
      <c r="AX166" s="210"/>
      <c r="AY166" s="236" cm="1">
        <f t="array" ref="AY166">INDEX(Use, $AD166, 4)</f>
        <v>7</v>
      </c>
      <c r="AZ166" s="236">
        <f t="shared" si="372"/>
        <v>32</v>
      </c>
      <c r="BA166" s="236">
        <f t="shared" si="239"/>
        <v>13</v>
      </c>
      <c r="BB166" s="236">
        <f t="shared" si="240"/>
        <v>0</v>
      </c>
      <c r="BC166" s="252" cm="1">
        <f t="array" ref="BC166">K166/IF($L166&gt;0, INDEX($AO$23:$AU$77, $L166+20, $AD166), 1)</f>
        <v>0</v>
      </c>
      <c r="BD166" s="237">
        <f t="shared" si="373"/>
        <v>0</v>
      </c>
      <c r="BE166" s="236">
        <v>35</v>
      </c>
      <c r="BF166" s="237">
        <f t="shared" si="374"/>
        <v>52.55</v>
      </c>
      <c r="BG166" s="253">
        <f t="shared" si="375"/>
        <v>2.7676728869374316</v>
      </c>
      <c r="BH166" s="253" cm="1">
        <f t="array" ref="BH166">$BC166 * SUMPRODUCT(INDEX($AL$77:$AN$82,,$AE166),INDEX($AO$77:$AU$82,,$AD166), N($AK$77:$AK$82&gt;$AI166)) / BG166 / 1000</f>
        <v>0</v>
      </c>
      <c r="BI166" s="250">
        <f t="shared" si="244"/>
        <v>30</v>
      </c>
      <c r="BJ166" s="237">
        <f t="shared" si="376"/>
        <v>46.033333333333331</v>
      </c>
      <c r="BK166" s="253">
        <f t="shared" si="377"/>
        <v>3.2297395388556791</v>
      </c>
      <c r="BL166" s="253" cm="1">
        <f t="array" ref="BL166">$BC166 * IF($AD166&lt;=2,
SUMPRODUCT(INDEX($AL$72:$AN$76,,$AE166), INDEX($AO$72:$AU$76,,$AD166), 1 / ($AV$72:$AV$76*BK166 + (1-$AV$72:$AV$76)*BG166), N($AK$72:$AK$76&gt;$AI166)),
SUMPRODUCT(INDEX($AL$67:$AN$76,,$AE166), INDEX($AO$67:$AU$76,,$AD166), 1 / ($AW$67:$AW$76*BK166 + (1-$AW$67:$AW$76)*BG166), N($AK$67:$AK$76&gt;$AI166))
) / 1000</f>
        <v>0</v>
      </c>
      <c r="BM166" s="250">
        <f t="shared" si="247"/>
        <v>25</v>
      </c>
      <c r="BN166" s="237">
        <f t="shared" si="378"/>
        <v>39.516666666666666</v>
      </c>
      <c r="BO166" s="253">
        <f t="shared" si="379"/>
        <v>3.877011788826243</v>
      </c>
      <c r="BP166" s="253" cm="1">
        <f t="array" ref="BP166">$BC166 * IF($AD166&lt;=2,
SUMPRODUCT(INDEX($AL$67:$AN$71,,$AE166), INDEX($AO$67:$AU$71,,$AD166), 1 / ($AV$67:$AV$71*BO166 + (1-$AV$67:$AV$71)*BK166), N($AK$67:$AK$71&gt;$AI166)),
SUMPRODUCT(INDEX($AL$57:$AN$66,,$AE166), INDEX($AO$57:$AU$66,,$AD166), 1 / ($AW$57:$AW$66*BO166 + (1-$AW$57:$AW$66)*BK166), N($AK$57:$AK$66&gt;$AI166))
) / 1000</f>
        <v>0</v>
      </c>
      <c r="BQ166" s="250">
        <f t="shared" si="250"/>
        <v>20</v>
      </c>
      <c r="BR166" s="237">
        <f t="shared" si="380"/>
        <v>33</v>
      </c>
      <c r="BS166" s="253">
        <f t="shared" si="381"/>
        <v>4.8487499999999999</v>
      </c>
      <c r="BT166" s="253" cm="1">
        <f t="array" ref="BT166">$BC166 * IF($AD166&lt;=2,
SUMPRODUCT(INDEX($AL$62:$AN$66,,$AE166), INDEX($AO$62:$AU$66,,$AD166), 1 / ($AV$62:$AV$66*BS166 + (1-$AV$62:$AV$66)*BO166), N($AK$62:$AK$66&gt;$AI166)),
SUMPRODUCT(INDEX($AL$47:$AN$56,,$AE166), INDEX($AO$47:$AU$56,,$AD166), 1 / ($AW$47:$AW$56*BS166 + (1-$AW$47:$AW$56)*BO166), N($AK$47:$AK$56&gt;$AI166))
) / 1000</f>
        <v>0</v>
      </c>
      <c r="BU166" s="253" cm="1">
        <f t="array" ref="BU166">$BC166 * IF($AD166&lt;=2,
SUMPRODUCT(INDEX($AL$23:$AN$61,,$AE166), INDEX($AO$23:$AU$61,,$AD166), 1 / ($AV$23:$AV$61*BS166), N($AK$23:$AK$61&gt;$AI166)),
SUMPRODUCT(INDEX($AL$23:$AN$46,,$AE166), INDEX($AO$23:$AU$46,,$AD166), 1 / ($AW$23:$AW$46*BS166), N($AK$23:$AK$46&gt;$AI166))
) / 1000</f>
        <v>0</v>
      </c>
      <c r="BV166" s="237">
        <f t="shared" si="382"/>
        <v>0</v>
      </c>
      <c r="BW166" s="210"/>
      <c r="BX166" s="237">
        <f t="shared" si="383"/>
        <v>0</v>
      </c>
      <c r="BY166" s="236">
        <v>35</v>
      </c>
      <c r="BZ166" s="237">
        <f t="shared" si="384"/>
        <v>48</v>
      </c>
      <c r="CA166" s="253">
        <f t="shared" si="385"/>
        <v>3.0748170731707316</v>
      </c>
      <c r="CB166" s="253" cm="1">
        <f t="array" ref="CB166">$BC166 * SUMPRODUCT(INDEX($AL$77:$AN$82,,$AE166),INDEX($AO$77:$AU$82,,$AD166), N($AK$77:$AK$82&gt;$AI166)) / CA166 / 1000</f>
        <v>0</v>
      </c>
      <c r="CC166" s="250">
        <f t="shared" si="257"/>
        <v>30</v>
      </c>
      <c r="CD166" s="237">
        <f t="shared" si="386"/>
        <v>43</v>
      </c>
      <c r="CE166" s="253">
        <f t="shared" si="387"/>
        <v>3.5018750000000001</v>
      </c>
      <c r="CF166" s="253" cm="1">
        <f t="array" ref="CF166">$BC166 * IF($AD166&lt;=2,
SUMPRODUCT(INDEX($AL$72:$AN$76,,$AE166), INDEX($AO$72:$AU$76,,$AD166), 1 / ($AV$72:$AV$76*CE166 + (1-$AV$72:$AV$76)*CA166), N($AK$72:$AK$76&gt;$AI166)),
SUMPRODUCT(INDEX($AL$67:$AN$76,,$AE166), INDEX($AO$67:$AU$76,,$AD166), 1 / ($AW$67:$AW$76*CE166 + (1-$AW$67:$AW$76)*CA166), N($AK$67:$AK$76&gt;$AI166))
) / 1000</f>
        <v>0</v>
      </c>
      <c r="CG166" s="250">
        <f t="shared" si="260"/>
        <v>25</v>
      </c>
      <c r="CH166" s="237">
        <f t="shared" si="388"/>
        <v>38</v>
      </c>
      <c r="CI166" s="253">
        <f t="shared" si="389"/>
        <v>4.0666935483870965</v>
      </c>
      <c r="CJ166" s="253" cm="1">
        <f t="array" ref="CJ166">$BC166 * IF($AD166&lt;=2,
SUMPRODUCT(INDEX($AL$67:$AN$71,,$AE166), INDEX($AO$67:$AU$71,,$AD166), 1 / ($AV$67:$AV$71*CI166 + (1-$AV$67:$AV$71)*CE166), N($AK$67:$AK$71&gt;$AI166)),
SUMPRODUCT(INDEX($AL$57:$AN$66,,$AE166), INDEX($AO$57:$AU$66,,$AD166), 1 / ($AW$57:$AW$66*CI166 + (1-$AW$57:$AW$66)*CE166), N($AK$57:$AK$66&gt;$AI166))
) / 1000</f>
        <v>0</v>
      </c>
      <c r="CK166" s="250">
        <f t="shared" si="263"/>
        <v>20</v>
      </c>
      <c r="CL166" s="237">
        <f t="shared" si="390"/>
        <v>33</v>
      </c>
      <c r="CM166" s="253">
        <f t="shared" si="391"/>
        <v>4.8487499999999999</v>
      </c>
      <c r="CN166" s="253" cm="1">
        <f t="array" ref="CN166">$BC166 * IF($AD166&lt;=2,
SUMPRODUCT(INDEX($AL$62:$AN$66,,$AE166), INDEX($AO$62:$AU$66,,$AD166), 1 / ($AV$62:$AV$66*CM166 + (1-$AV$62:$AV$66)*CI166), N($AK$62:$AK$66&gt;$AI166)),
SUMPRODUCT(INDEX($AL$47:$AN$56,,$AE166), INDEX($AO$47:$AU$56,,$AD166), 1 / ($AW$47:$AW$56*CM166 + (1-$AW$47:$AW$56)*CI166), N($AK$47:$AK$56&gt;$AI166))
) / 1000</f>
        <v>0</v>
      </c>
      <c r="CO166" s="253" cm="1">
        <f t="array" ref="CO166">$BC166 * IF($AD166&lt;=2,
SUMPRODUCT(INDEX($AL$23:$AN$61,,$AE166), INDEX($AO$23:$AU$61,,$AD166), 1 / ($AV$23:$AV$61*CM166), N($AK$23:$AK$61&gt;$AI166)),
SUMPRODUCT(INDEX($AL$23:$AN$46,,$AE166), INDEX($AO$23:$AU$46,,$AD166), 1 / ($AW$23:$AW$46*CM166), N($AK$23:$AK$46&gt;$AI166))
) / 1000</f>
        <v>0</v>
      </c>
      <c r="CP166" s="237">
        <f t="shared" si="392"/>
        <v>0</v>
      </c>
      <c r="CQ166" s="210"/>
    </row>
    <row r="167" spans="1:95" s="76" customFormat="1" ht="14.25" customHeight="1" x14ac:dyDescent="0.2">
      <c r="A167" s="238" t="b">
        <f t="shared" si="227"/>
        <v>0</v>
      </c>
      <c r="B167" s="239">
        <v>145</v>
      </c>
      <c r="C167" s="258"/>
      <c r="D167" s="258"/>
      <c r="E167" s="240"/>
      <c r="F167" s="241" t="str">
        <f>IF(ISBLANK(E167), "", VLOOKUP(E167, Z!$A$2:$C$4127, 3, FALSE))</f>
        <v/>
      </c>
      <c r="G167" s="242"/>
      <c r="H167" s="242"/>
      <c r="I167" s="243"/>
      <c r="J167" s="244"/>
      <c r="K167" s="259"/>
      <c r="L167" s="260"/>
      <c r="M167" s="247" t="str" cm="1">
        <f t="array" ref="M167">IF($K167&gt;0, INDEX(Clean,1+AG167,$C$1), "")</f>
        <v/>
      </c>
      <c r="N167" s="245"/>
      <c r="O167" s="245"/>
      <c r="P167" s="246"/>
      <c r="Q167" s="248">
        <f t="shared" si="369"/>
        <v>0</v>
      </c>
      <c r="R167" s="247" t="str" cm="1">
        <f t="array" ref="R167">IF($K167&gt;0, INDEX(Clean,1+AH167,$C$1), "")</f>
        <v/>
      </c>
      <c r="S167" s="245"/>
      <c r="T167" s="245"/>
      <c r="U167" s="246"/>
      <c r="V167" s="248">
        <f t="shared" si="370"/>
        <v>0</v>
      </c>
      <c r="W167" s="261"/>
      <c r="X167" s="258"/>
      <c r="Y167" s="240"/>
      <c r="Z167" s="241" t="str">
        <f>IF(ISBLANK(Y167), "", VLOOKUP(Y167, Z!$A$2:$C$4127, 3, FALSE))</f>
        <v/>
      </c>
      <c r="AA167" s="262"/>
      <c r="AB167" s="249">
        <f t="shared" si="396"/>
        <v>0</v>
      </c>
      <c r="AC167" s="210"/>
      <c r="AD167" s="236">
        <f t="shared" si="393"/>
        <v>1</v>
      </c>
      <c r="AE167" s="236">
        <f t="shared" si="394"/>
        <v>1</v>
      </c>
      <c r="AF167" s="236">
        <f t="shared" si="395"/>
        <v>0</v>
      </c>
      <c r="AG167" s="236">
        <v>1</v>
      </c>
      <c r="AH167" s="236">
        <v>0</v>
      </c>
      <c r="AI167" s="236">
        <f t="shared" si="371"/>
        <v>-100</v>
      </c>
      <c r="AJ167" s="210"/>
      <c r="AK167" s="254"/>
      <c r="AL167" s="254"/>
      <c r="AM167" s="255"/>
      <c r="AN167" s="255"/>
      <c r="AO167" s="255"/>
      <c r="AP167" s="255"/>
      <c r="AQ167" s="255"/>
      <c r="AR167" s="255"/>
      <c r="AS167" s="255"/>
      <c r="AT167" s="255"/>
      <c r="AU167" s="255"/>
      <c r="AV167" s="255"/>
      <c r="AW167" s="255"/>
      <c r="AX167" s="210"/>
      <c r="AY167" s="236" cm="1">
        <f t="array" ref="AY167">INDEX(Use, $AD167, 4)</f>
        <v>7</v>
      </c>
      <c r="AZ167" s="236">
        <f t="shared" si="372"/>
        <v>32</v>
      </c>
      <c r="BA167" s="236">
        <f t="shared" si="239"/>
        <v>13</v>
      </c>
      <c r="BB167" s="236">
        <f t="shared" si="240"/>
        <v>0</v>
      </c>
      <c r="BC167" s="252" cm="1">
        <f t="array" ref="BC167">K167/IF($L167&gt;0, INDEX($AO$23:$AU$77, $L167+20, $AD167), 1)</f>
        <v>0</v>
      </c>
      <c r="BD167" s="237">
        <f t="shared" si="373"/>
        <v>0</v>
      </c>
      <c r="BE167" s="236">
        <v>35</v>
      </c>
      <c r="BF167" s="237">
        <f t="shared" si="374"/>
        <v>52.55</v>
      </c>
      <c r="BG167" s="253">
        <f t="shared" si="375"/>
        <v>2.7676728869374316</v>
      </c>
      <c r="BH167" s="253" cm="1">
        <f t="array" ref="BH167">$BC167 * SUMPRODUCT(INDEX($AL$77:$AN$82,,$AE167),INDEX($AO$77:$AU$82,,$AD167), N($AK$77:$AK$82&gt;$AI167)) / BG167 / 1000</f>
        <v>0</v>
      </c>
      <c r="BI167" s="250">
        <f t="shared" si="244"/>
        <v>30</v>
      </c>
      <c r="BJ167" s="237">
        <f t="shared" si="376"/>
        <v>46.033333333333331</v>
      </c>
      <c r="BK167" s="253">
        <f t="shared" si="377"/>
        <v>3.2297395388556791</v>
      </c>
      <c r="BL167" s="253" cm="1">
        <f t="array" ref="BL167">$BC167 * IF($AD167&lt;=2,
SUMPRODUCT(INDEX($AL$72:$AN$76,,$AE167), INDEX($AO$72:$AU$76,,$AD167), 1 / ($AV$72:$AV$76*BK167 + (1-$AV$72:$AV$76)*BG167), N($AK$72:$AK$76&gt;$AI167)),
SUMPRODUCT(INDEX($AL$67:$AN$76,,$AE167), INDEX($AO$67:$AU$76,,$AD167), 1 / ($AW$67:$AW$76*BK167 + (1-$AW$67:$AW$76)*BG167), N($AK$67:$AK$76&gt;$AI167))
) / 1000</f>
        <v>0</v>
      </c>
      <c r="BM167" s="250">
        <f t="shared" si="247"/>
        <v>25</v>
      </c>
      <c r="BN167" s="237">
        <f t="shared" si="378"/>
        <v>39.516666666666666</v>
      </c>
      <c r="BO167" s="253">
        <f t="shared" si="379"/>
        <v>3.877011788826243</v>
      </c>
      <c r="BP167" s="253" cm="1">
        <f t="array" ref="BP167">$BC167 * IF($AD167&lt;=2,
SUMPRODUCT(INDEX($AL$67:$AN$71,,$AE167), INDEX($AO$67:$AU$71,,$AD167), 1 / ($AV$67:$AV$71*BO167 + (1-$AV$67:$AV$71)*BK167), N($AK$67:$AK$71&gt;$AI167)),
SUMPRODUCT(INDEX($AL$57:$AN$66,,$AE167), INDEX($AO$57:$AU$66,,$AD167), 1 / ($AW$57:$AW$66*BO167 + (1-$AW$57:$AW$66)*BK167), N($AK$57:$AK$66&gt;$AI167))
) / 1000</f>
        <v>0</v>
      </c>
      <c r="BQ167" s="250">
        <f t="shared" si="250"/>
        <v>20</v>
      </c>
      <c r="BR167" s="237">
        <f t="shared" si="380"/>
        <v>33</v>
      </c>
      <c r="BS167" s="253">
        <f t="shared" si="381"/>
        <v>4.8487499999999999</v>
      </c>
      <c r="BT167" s="253" cm="1">
        <f t="array" ref="BT167">$BC167 * IF($AD167&lt;=2,
SUMPRODUCT(INDEX($AL$62:$AN$66,,$AE167), INDEX($AO$62:$AU$66,,$AD167), 1 / ($AV$62:$AV$66*BS167 + (1-$AV$62:$AV$66)*BO167), N($AK$62:$AK$66&gt;$AI167)),
SUMPRODUCT(INDEX($AL$47:$AN$56,,$AE167), INDEX($AO$47:$AU$56,,$AD167), 1 / ($AW$47:$AW$56*BS167 + (1-$AW$47:$AW$56)*BO167), N($AK$47:$AK$56&gt;$AI167))
) / 1000</f>
        <v>0</v>
      </c>
      <c r="BU167" s="253" cm="1">
        <f t="array" ref="BU167">$BC167 * IF($AD167&lt;=2,
SUMPRODUCT(INDEX($AL$23:$AN$61,,$AE167), INDEX($AO$23:$AU$61,,$AD167), 1 / ($AV$23:$AV$61*BS167), N($AK$23:$AK$61&gt;$AI167)),
SUMPRODUCT(INDEX($AL$23:$AN$46,,$AE167), INDEX($AO$23:$AU$46,,$AD167), 1 / ($AW$23:$AW$46*BS167), N($AK$23:$AK$46&gt;$AI167))
) / 1000</f>
        <v>0</v>
      </c>
      <c r="BV167" s="237">
        <f t="shared" si="382"/>
        <v>0</v>
      </c>
      <c r="BW167" s="210"/>
      <c r="BX167" s="237">
        <f t="shared" si="383"/>
        <v>0</v>
      </c>
      <c r="BY167" s="236">
        <v>35</v>
      </c>
      <c r="BZ167" s="237">
        <f t="shared" si="384"/>
        <v>48</v>
      </c>
      <c r="CA167" s="253">
        <f t="shared" si="385"/>
        <v>3.0748170731707316</v>
      </c>
      <c r="CB167" s="253" cm="1">
        <f t="array" ref="CB167">$BC167 * SUMPRODUCT(INDEX($AL$77:$AN$82,,$AE167),INDEX($AO$77:$AU$82,,$AD167), N($AK$77:$AK$82&gt;$AI167)) / CA167 / 1000</f>
        <v>0</v>
      </c>
      <c r="CC167" s="250">
        <f t="shared" si="257"/>
        <v>30</v>
      </c>
      <c r="CD167" s="237">
        <f t="shared" si="386"/>
        <v>43</v>
      </c>
      <c r="CE167" s="253">
        <f t="shared" si="387"/>
        <v>3.5018750000000001</v>
      </c>
      <c r="CF167" s="253" cm="1">
        <f t="array" ref="CF167">$BC167 * IF($AD167&lt;=2,
SUMPRODUCT(INDEX($AL$72:$AN$76,,$AE167), INDEX($AO$72:$AU$76,,$AD167), 1 / ($AV$72:$AV$76*CE167 + (1-$AV$72:$AV$76)*CA167), N($AK$72:$AK$76&gt;$AI167)),
SUMPRODUCT(INDEX($AL$67:$AN$76,,$AE167), INDEX($AO$67:$AU$76,,$AD167), 1 / ($AW$67:$AW$76*CE167 + (1-$AW$67:$AW$76)*CA167), N($AK$67:$AK$76&gt;$AI167))
) / 1000</f>
        <v>0</v>
      </c>
      <c r="CG167" s="250">
        <f t="shared" si="260"/>
        <v>25</v>
      </c>
      <c r="CH167" s="237">
        <f t="shared" si="388"/>
        <v>38</v>
      </c>
      <c r="CI167" s="253">
        <f t="shared" si="389"/>
        <v>4.0666935483870965</v>
      </c>
      <c r="CJ167" s="253" cm="1">
        <f t="array" ref="CJ167">$BC167 * IF($AD167&lt;=2,
SUMPRODUCT(INDEX($AL$67:$AN$71,,$AE167), INDEX($AO$67:$AU$71,,$AD167), 1 / ($AV$67:$AV$71*CI167 + (1-$AV$67:$AV$71)*CE167), N($AK$67:$AK$71&gt;$AI167)),
SUMPRODUCT(INDEX($AL$57:$AN$66,,$AE167), INDEX($AO$57:$AU$66,,$AD167), 1 / ($AW$57:$AW$66*CI167 + (1-$AW$57:$AW$66)*CE167), N($AK$57:$AK$66&gt;$AI167))
) / 1000</f>
        <v>0</v>
      </c>
      <c r="CK167" s="250">
        <f t="shared" si="263"/>
        <v>20</v>
      </c>
      <c r="CL167" s="237">
        <f t="shared" si="390"/>
        <v>33</v>
      </c>
      <c r="CM167" s="253">
        <f t="shared" si="391"/>
        <v>4.8487499999999999</v>
      </c>
      <c r="CN167" s="253" cm="1">
        <f t="array" ref="CN167">$BC167 * IF($AD167&lt;=2,
SUMPRODUCT(INDEX($AL$62:$AN$66,,$AE167), INDEX($AO$62:$AU$66,,$AD167), 1 / ($AV$62:$AV$66*CM167 + (1-$AV$62:$AV$66)*CI167), N($AK$62:$AK$66&gt;$AI167)),
SUMPRODUCT(INDEX($AL$47:$AN$56,,$AE167), INDEX($AO$47:$AU$56,,$AD167), 1 / ($AW$47:$AW$56*CM167 + (1-$AW$47:$AW$56)*CI167), N($AK$47:$AK$56&gt;$AI167))
) / 1000</f>
        <v>0</v>
      </c>
      <c r="CO167" s="253" cm="1">
        <f t="array" ref="CO167">$BC167 * IF($AD167&lt;=2,
SUMPRODUCT(INDEX($AL$23:$AN$61,,$AE167), INDEX($AO$23:$AU$61,,$AD167), 1 / ($AV$23:$AV$61*CM167), N($AK$23:$AK$61&gt;$AI167)),
SUMPRODUCT(INDEX($AL$23:$AN$46,,$AE167), INDEX($AO$23:$AU$46,,$AD167), 1 / ($AW$23:$AW$46*CM167), N($AK$23:$AK$46&gt;$AI167))
) / 1000</f>
        <v>0</v>
      </c>
      <c r="CP167" s="237">
        <f t="shared" si="392"/>
        <v>0</v>
      </c>
      <c r="CQ167" s="210"/>
    </row>
    <row r="168" spans="1:95" s="76" customFormat="1" ht="14.25" customHeight="1" x14ac:dyDescent="0.2">
      <c r="A168" s="238" t="b">
        <f t="shared" si="227"/>
        <v>0</v>
      </c>
      <c r="B168" s="239">
        <v>146</v>
      </c>
      <c r="C168" s="258"/>
      <c r="D168" s="258"/>
      <c r="E168" s="240"/>
      <c r="F168" s="241" t="str">
        <f>IF(ISBLANK(E168), "", VLOOKUP(E168, Z!$A$2:$C$4127, 3, FALSE))</f>
        <v/>
      </c>
      <c r="G168" s="242"/>
      <c r="H168" s="242"/>
      <c r="I168" s="243"/>
      <c r="J168" s="244"/>
      <c r="K168" s="259"/>
      <c r="L168" s="260"/>
      <c r="M168" s="247" t="str" cm="1">
        <f t="array" ref="M168">IF($K168&gt;0, INDEX(Clean,1+AG168,$C$1), "")</f>
        <v/>
      </c>
      <c r="N168" s="245"/>
      <c r="O168" s="245"/>
      <c r="P168" s="246"/>
      <c r="Q168" s="248">
        <f t="shared" si="369"/>
        <v>0</v>
      </c>
      <c r="R168" s="247" t="str" cm="1">
        <f t="array" ref="R168">IF($K168&gt;0, INDEX(Clean,1+AH168,$C$1), "")</f>
        <v/>
      </c>
      <c r="S168" s="245"/>
      <c r="T168" s="245"/>
      <c r="U168" s="246"/>
      <c r="V168" s="248">
        <f t="shared" si="370"/>
        <v>0</v>
      </c>
      <c r="W168" s="261"/>
      <c r="X168" s="258"/>
      <c r="Y168" s="240"/>
      <c r="Z168" s="241" t="str">
        <f>IF(ISBLANK(Y168), "", VLOOKUP(Y168, Z!$A$2:$C$4127, 3, FALSE))</f>
        <v/>
      </c>
      <c r="AA168" s="262"/>
      <c r="AB168" s="249">
        <f t="shared" si="396"/>
        <v>0</v>
      </c>
      <c r="AC168" s="210"/>
      <c r="AD168" s="236">
        <f t="shared" si="393"/>
        <v>1</v>
      </c>
      <c r="AE168" s="236">
        <f t="shared" si="394"/>
        <v>1</v>
      </c>
      <c r="AF168" s="236">
        <f t="shared" si="395"/>
        <v>0</v>
      </c>
      <c r="AG168" s="236">
        <v>1</v>
      </c>
      <c r="AH168" s="236">
        <v>0</v>
      </c>
      <c r="AI168" s="236">
        <f t="shared" si="371"/>
        <v>-100</v>
      </c>
      <c r="AJ168" s="210"/>
      <c r="AK168" s="254"/>
      <c r="AL168" s="254"/>
      <c r="AM168" s="255"/>
      <c r="AN168" s="255"/>
      <c r="AO168" s="255"/>
      <c r="AP168" s="255"/>
      <c r="AQ168" s="255"/>
      <c r="AR168" s="255"/>
      <c r="AS168" s="255"/>
      <c r="AT168" s="255"/>
      <c r="AU168" s="255"/>
      <c r="AV168" s="255"/>
      <c r="AW168" s="255"/>
      <c r="AX168" s="210"/>
      <c r="AY168" s="236" cm="1">
        <f t="array" ref="AY168">INDEX(Use, $AD168, 4)</f>
        <v>7</v>
      </c>
      <c r="AZ168" s="236">
        <f t="shared" si="372"/>
        <v>32</v>
      </c>
      <c r="BA168" s="236">
        <f t="shared" si="239"/>
        <v>13</v>
      </c>
      <c r="BB168" s="236">
        <f t="shared" si="240"/>
        <v>0</v>
      </c>
      <c r="BC168" s="252" cm="1">
        <f t="array" ref="BC168">K168/IF($L168&gt;0, INDEX($AO$23:$AU$77, $L168+20, $AD168), 1)</f>
        <v>0</v>
      </c>
      <c r="BD168" s="237">
        <f t="shared" si="373"/>
        <v>0</v>
      </c>
      <c r="BE168" s="236">
        <v>35</v>
      </c>
      <c r="BF168" s="237">
        <f t="shared" si="374"/>
        <v>52.55</v>
      </c>
      <c r="BG168" s="253">
        <f t="shared" si="375"/>
        <v>2.7676728869374316</v>
      </c>
      <c r="BH168" s="253" cm="1">
        <f t="array" ref="BH168">$BC168 * SUMPRODUCT(INDEX($AL$77:$AN$82,,$AE168),INDEX($AO$77:$AU$82,,$AD168), N($AK$77:$AK$82&gt;$AI168)) / BG168 / 1000</f>
        <v>0</v>
      </c>
      <c r="BI168" s="250">
        <f t="shared" si="244"/>
        <v>30</v>
      </c>
      <c r="BJ168" s="237">
        <f t="shared" si="376"/>
        <v>46.033333333333331</v>
      </c>
      <c r="BK168" s="253">
        <f t="shared" si="377"/>
        <v>3.2297395388556791</v>
      </c>
      <c r="BL168" s="253" cm="1">
        <f t="array" ref="BL168">$BC168 * IF($AD168&lt;=2,
SUMPRODUCT(INDEX($AL$72:$AN$76,,$AE168), INDEX($AO$72:$AU$76,,$AD168), 1 / ($AV$72:$AV$76*BK168 + (1-$AV$72:$AV$76)*BG168), N($AK$72:$AK$76&gt;$AI168)),
SUMPRODUCT(INDEX($AL$67:$AN$76,,$AE168), INDEX($AO$67:$AU$76,,$AD168), 1 / ($AW$67:$AW$76*BK168 + (1-$AW$67:$AW$76)*BG168), N($AK$67:$AK$76&gt;$AI168))
) / 1000</f>
        <v>0</v>
      </c>
      <c r="BM168" s="250">
        <f t="shared" si="247"/>
        <v>25</v>
      </c>
      <c r="BN168" s="237">
        <f t="shared" si="378"/>
        <v>39.516666666666666</v>
      </c>
      <c r="BO168" s="253">
        <f t="shared" si="379"/>
        <v>3.877011788826243</v>
      </c>
      <c r="BP168" s="253" cm="1">
        <f t="array" ref="BP168">$BC168 * IF($AD168&lt;=2,
SUMPRODUCT(INDEX($AL$67:$AN$71,,$AE168), INDEX($AO$67:$AU$71,,$AD168), 1 / ($AV$67:$AV$71*BO168 + (1-$AV$67:$AV$71)*BK168), N($AK$67:$AK$71&gt;$AI168)),
SUMPRODUCT(INDEX($AL$57:$AN$66,,$AE168), INDEX($AO$57:$AU$66,,$AD168), 1 / ($AW$57:$AW$66*BO168 + (1-$AW$57:$AW$66)*BK168), N($AK$57:$AK$66&gt;$AI168))
) / 1000</f>
        <v>0</v>
      </c>
      <c r="BQ168" s="250">
        <f t="shared" si="250"/>
        <v>20</v>
      </c>
      <c r="BR168" s="237">
        <f t="shared" si="380"/>
        <v>33</v>
      </c>
      <c r="BS168" s="253">
        <f t="shared" si="381"/>
        <v>4.8487499999999999</v>
      </c>
      <c r="BT168" s="253" cm="1">
        <f t="array" ref="BT168">$BC168 * IF($AD168&lt;=2,
SUMPRODUCT(INDEX($AL$62:$AN$66,,$AE168), INDEX($AO$62:$AU$66,,$AD168), 1 / ($AV$62:$AV$66*BS168 + (1-$AV$62:$AV$66)*BO168), N($AK$62:$AK$66&gt;$AI168)),
SUMPRODUCT(INDEX($AL$47:$AN$56,,$AE168), INDEX($AO$47:$AU$56,,$AD168), 1 / ($AW$47:$AW$56*BS168 + (1-$AW$47:$AW$56)*BO168), N($AK$47:$AK$56&gt;$AI168))
) / 1000</f>
        <v>0</v>
      </c>
      <c r="BU168" s="253" cm="1">
        <f t="array" ref="BU168">$BC168 * IF($AD168&lt;=2,
SUMPRODUCT(INDEX($AL$23:$AN$61,,$AE168), INDEX($AO$23:$AU$61,,$AD168), 1 / ($AV$23:$AV$61*BS168), N($AK$23:$AK$61&gt;$AI168)),
SUMPRODUCT(INDEX($AL$23:$AN$46,,$AE168), INDEX($AO$23:$AU$46,,$AD168), 1 / ($AW$23:$AW$46*BS168), N($AK$23:$AK$46&gt;$AI168))
) / 1000</f>
        <v>0</v>
      </c>
      <c r="BV168" s="237">
        <f t="shared" si="382"/>
        <v>0</v>
      </c>
      <c r="BW168" s="210"/>
      <c r="BX168" s="237">
        <f t="shared" si="383"/>
        <v>0</v>
      </c>
      <c r="BY168" s="236">
        <v>35</v>
      </c>
      <c r="BZ168" s="237">
        <f t="shared" si="384"/>
        <v>48</v>
      </c>
      <c r="CA168" s="253">
        <f t="shared" si="385"/>
        <v>3.0748170731707316</v>
      </c>
      <c r="CB168" s="253" cm="1">
        <f t="array" ref="CB168">$BC168 * SUMPRODUCT(INDEX($AL$77:$AN$82,,$AE168),INDEX($AO$77:$AU$82,,$AD168), N($AK$77:$AK$82&gt;$AI168)) / CA168 / 1000</f>
        <v>0</v>
      </c>
      <c r="CC168" s="250">
        <f t="shared" si="257"/>
        <v>30</v>
      </c>
      <c r="CD168" s="237">
        <f t="shared" si="386"/>
        <v>43</v>
      </c>
      <c r="CE168" s="253">
        <f t="shared" si="387"/>
        <v>3.5018750000000001</v>
      </c>
      <c r="CF168" s="253" cm="1">
        <f t="array" ref="CF168">$BC168 * IF($AD168&lt;=2,
SUMPRODUCT(INDEX($AL$72:$AN$76,,$AE168), INDEX($AO$72:$AU$76,,$AD168), 1 / ($AV$72:$AV$76*CE168 + (1-$AV$72:$AV$76)*CA168), N($AK$72:$AK$76&gt;$AI168)),
SUMPRODUCT(INDEX($AL$67:$AN$76,,$AE168), INDEX($AO$67:$AU$76,,$AD168), 1 / ($AW$67:$AW$76*CE168 + (1-$AW$67:$AW$76)*CA168), N($AK$67:$AK$76&gt;$AI168))
) / 1000</f>
        <v>0</v>
      </c>
      <c r="CG168" s="250">
        <f t="shared" si="260"/>
        <v>25</v>
      </c>
      <c r="CH168" s="237">
        <f t="shared" si="388"/>
        <v>38</v>
      </c>
      <c r="CI168" s="253">
        <f t="shared" si="389"/>
        <v>4.0666935483870965</v>
      </c>
      <c r="CJ168" s="253" cm="1">
        <f t="array" ref="CJ168">$BC168 * IF($AD168&lt;=2,
SUMPRODUCT(INDEX($AL$67:$AN$71,,$AE168), INDEX($AO$67:$AU$71,,$AD168), 1 / ($AV$67:$AV$71*CI168 + (1-$AV$67:$AV$71)*CE168), N($AK$67:$AK$71&gt;$AI168)),
SUMPRODUCT(INDEX($AL$57:$AN$66,,$AE168), INDEX($AO$57:$AU$66,,$AD168), 1 / ($AW$57:$AW$66*CI168 + (1-$AW$57:$AW$66)*CE168), N($AK$57:$AK$66&gt;$AI168))
) / 1000</f>
        <v>0</v>
      </c>
      <c r="CK168" s="250">
        <f t="shared" si="263"/>
        <v>20</v>
      </c>
      <c r="CL168" s="237">
        <f t="shared" si="390"/>
        <v>33</v>
      </c>
      <c r="CM168" s="253">
        <f t="shared" si="391"/>
        <v>4.8487499999999999</v>
      </c>
      <c r="CN168" s="253" cm="1">
        <f t="array" ref="CN168">$BC168 * IF($AD168&lt;=2,
SUMPRODUCT(INDEX($AL$62:$AN$66,,$AE168), INDEX($AO$62:$AU$66,,$AD168), 1 / ($AV$62:$AV$66*CM168 + (1-$AV$62:$AV$66)*CI168), N($AK$62:$AK$66&gt;$AI168)),
SUMPRODUCT(INDEX($AL$47:$AN$56,,$AE168), INDEX($AO$47:$AU$56,,$AD168), 1 / ($AW$47:$AW$56*CM168 + (1-$AW$47:$AW$56)*CI168), N($AK$47:$AK$56&gt;$AI168))
) / 1000</f>
        <v>0</v>
      </c>
      <c r="CO168" s="253" cm="1">
        <f t="array" ref="CO168">$BC168 * IF($AD168&lt;=2,
SUMPRODUCT(INDEX($AL$23:$AN$61,,$AE168), INDEX($AO$23:$AU$61,,$AD168), 1 / ($AV$23:$AV$61*CM168), N($AK$23:$AK$61&gt;$AI168)),
SUMPRODUCT(INDEX($AL$23:$AN$46,,$AE168), INDEX($AO$23:$AU$46,,$AD168), 1 / ($AW$23:$AW$46*CM168), N($AK$23:$AK$46&gt;$AI168))
) / 1000</f>
        <v>0</v>
      </c>
      <c r="CP168" s="237">
        <f t="shared" si="392"/>
        <v>0</v>
      </c>
      <c r="CQ168" s="210"/>
    </row>
    <row r="169" spans="1:95" s="76" customFormat="1" ht="14.25" customHeight="1" x14ac:dyDescent="0.2">
      <c r="A169" s="238" t="b">
        <f t="shared" si="227"/>
        <v>0</v>
      </c>
      <c r="B169" s="239">
        <v>147</v>
      </c>
      <c r="C169" s="258"/>
      <c r="D169" s="258"/>
      <c r="E169" s="240"/>
      <c r="F169" s="241" t="str">
        <f>IF(ISBLANK(E169), "", VLOOKUP(E169, Z!$A$2:$C$4127, 3, FALSE))</f>
        <v/>
      </c>
      <c r="G169" s="242"/>
      <c r="H169" s="242"/>
      <c r="I169" s="243"/>
      <c r="J169" s="244"/>
      <c r="K169" s="259"/>
      <c r="L169" s="260"/>
      <c r="M169" s="247" t="str" cm="1">
        <f t="array" ref="M169">IF($K169&gt;0, INDEX(Clean,1+AG169,$C$1), "")</f>
        <v/>
      </c>
      <c r="N169" s="245"/>
      <c r="O169" s="245"/>
      <c r="P169" s="246"/>
      <c r="Q169" s="248">
        <f t="shared" si="369"/>
        <v>0</v>
      </c>
      <c r="R169" s="247" t="str" cm="1">
        <f t="array" ref="R169">IF($K169&gt;0, INDEX(Clean,1+AH169,$C$1), "")</f>
        <v/>
      </c>
      <c r="S169" s="245"/>
      <c r="T169" s="245"/>
      <c r="U169" s="246"/>
      <c r="V169" s="248">
        <f t="shared" si="370"/>
        <v>0</v>
      </c>
      <c r="W169" s="261"/>
      <c r="X169" s="258"/>
      <c r="Y169" s="240"/>
      <c r="Z169" s="241" t="str">
        <f>IF(ISBLANK(Y169), "", VLOOKUP(Y169, Z!$A$2:$C$4127, 3, FALSE))</f>
        <v/>
      </c>
      <c r="AA169" s="262"/>
      <c r="AB169" s="249">
        <f t="shared" si="396"/>
        <v>0</v>
      </c>
      <c r="AC169" s="210"/>
      <c r="AD169" s="236">
        <f t="shared" si="393"/>
        <v>1</v>
      </c>
      <c r="AE169" s="236">
        <f t="shared" si="394"/>
        <v>1</v>
      </c>
      <c r="AF169" s="236">
        <f t="shared" si="395"/>
        <v>0</v>
      </c>
      <c r="AG169" s="236">
        <v>1</v>
      </c>
      <c r="AH169" s="236">
        <v>0</v>
      </c>
      <c r="AI169" s="236">
        <f t="shared" si="371"/>
        <v>-100</v>
      </c>
      <c r="AJ169" s="210"/>
      <c r="AK169" s="254"/>
      <c r="AL169" s="254"/>
      <c r="AM169" s="255"/>
      <c r="AN169" s="255"/>
      <c r="AO169" s="255"/>
      <c r="AP169" s="255"/>
      <c r="AQ169" s="255"/>
      <c r="AR169" s="255"/>
      <c r="AS169" s="255"/>
      <c r="AT169" s="255"/>
      <c r="AU169" s="255"/>
      <c r="AV169" s="255"/>
      <c r="AW169" s="255"/>
      <c r="AX169" s="210"/>
      <c r="AY169" s="236" cm="1">
        <f t="array" ref="AY169">INDEX(Use, $AD169, 4)</f>
        <v>7</v>
      </c>
      <c r="AZ169" s="236">
        <f t="shared" si="372"/>
        <v>32</v>
      </c>
      <c r="BA169" s="236">
        <f t="shared" si="239"/>
        <v>13</v>
      </c>
      <c r="BB169" s="236">
        <f t="shared" si="240"/>
        <v>0</v>
      </c>
      <c r="BC169" s="252" cm="1">
        <f t="array" ref="BC169">K169/IF($L169&gt;0, INDEX($AO$23:$AU$77, $L169+20, $AD169), 1)</f>
        <v>0</v>
      </c>
      <c r="BD169" s="237">
        <f t="shared" si="373"/>
        <v>0</v>
      </c>
      <c r="BE169" s="236">
        <v>35</v>
      </c>
      <c r="BF169" s="237">
        <f t="shared" si="374"/>
        <v>52.55</v>
      </c>
      <c r="BG169" s="253">
        <f t="shared" si="375"/>
        <v>2.7676728869374316</v>
      </c>
      <c r="BH169" s="253" cm="1">
        <f t="array" ref="BH169">$BC169 * SUMPRODUCT(INDEX($AL$77:$AN$82,,$AE169),INDEX($AO$77:$AU$82,,$AD169), N($AK$77:$AK$82&gt;$AI169)) / BG169 / 1000</f>
        <v>0</v>
      </c>
      <c r="BI169" s="250">
        <f t="shared" si="244"/>
        <v>30</v>
      </c>
      <c r="BJ169" s="237">
        <f t="shared" si="376"/>
        <v>46.033333333333331</v>
      </c>
      <c r="BK169" s="253">
        <f t="shared" si="377"/>
        <v>3.2297395388556791</v>
      </c>
      <c r="BL169" s="253" cm="1">
        <f t="array" ref="BL169">$BC169 * IF($AD169&lt;=2,
SUMPRODUCT(INDEX($AL$72:$AN$76,,$AE169), INDEX($AO$72:$AU$76,,$AD169), 1 / ($AV$72:$AV$76*BK169 + (1-$AV$72:$AV$76)*BG169), N($AK$72:$AK$76&gt;$AI169)),
SUMPRODUCT(INDEX($AL$67:$AN$76,,$AE169), INDEX($AO$67:$AU$76,,$AD169), 1 / ($AW$67:$AW$76*BK169 + (1-$AW$67:$AW$76)*BG169), N($AK$67:$AK$76&gt;$AI169))
) / 1000</f>
        <v>0</v>
      </c>
      <c r="BM169" s="250">
        <f t="shared" si="247"/>
        <v>25</v>
      </c>
      <c r="BN169" s="237">
        <f t="shared" si="378"/>
        <v>39.516666666666666</v>
      </c>
      <c r="BO169" s="253">
        <f t="shared" si="379"/>
        <v>3.877011788826243</v>
      </c>
      <c r="BP169" s="253" cm="1">
        <f t="array" ref="BP169">$BC169 * IF($AD169&lt;=2,
SUMPRODUCT(INDEX($AL$67:$AN$71,,$AE169), INDEX($AO$67:$AU$71,,$AD169), 1 / ($AV$67:$AV$71*BO169 + (1-$AV$67:$AV$71)*BK169), N($AK$67:$AK$71&gt;$AI169)),
SUMPRODUCT(INDEX($AL$57:$AN$66,,$AE169), INDEX($AO$57:$AU$66,,$AD169), 1 / ($AW$57:$AW$66*BO169 + (1-$AW$57:$AW$66)*BK169), N($AK$57:$AK$66&gt;$AI169))
) / 1000</f>
        <v>0</v>
      </c>
      <c r="BQ169" s="250">
        <f t="shared" si="250"/>
        <v>20</v>
      </c>
      <c r="BR169" s="237">
        <f t="shared" si="380"/>
        <v>33</v>
      </c>
      <c r="BS169" s="253">
        <f t="shared" si="381"/>
        <v>4.8487499999999999</v>
      </c>
      <c r="BT169" s="253" cm="1">
        <f t="array" ref="BT169">$BC169 * IF($AD169&lt;=2,
SUMPRODUCT(INDEX($AL$62:$AN$66,,$AE169), INDEX($AO$62:$AU$66,,$AD169), 1 / ($AV$62:$AV$66*BS169 + (1-$AV$62:$AV$66)*BO169), N($AK$62:$AK$66&gt;$AI169)),
SUMPRODUCT(INDEX($AL$47:$AN$56,,$AE169), INDEX($AO$47:$AU$56,,$AD169), 1 / ($AW$47:$AW$56*BS169 + (1-$AW$47:$AW$56)*BO169), N($AK$47:$AK$56&gt;$AI169))
) / 1000</f>
        <v>0</v>
      </c>
      <c r="BU169" s="253" cm="1">
        <f t="array" ref="BU169">$BC169 * IF($AD169&lt;=2,
SUMPRODUCT(INDEX($AL$23:$AN$61,,$AE169), INDEX($AO$23:$AU$61,,$AD169), 1 / ($AV$23:$AV$61*BS169), N($AK$23:$AK$61&gt;$AI169)),
SUMPRODUCT(INDEX($AL$23:$AN$46,,$AE169), INDEX($AO$23:$AU$46,,$AD169), 1 / ($AW$23:$AW$46*BS169), N($AK$23:$AK$46&gt;$AI169))
) / 1000</f>
        <v>0</v>
      </c>
      <c r="BV169" s="237">
        <f t="shared" si="382"/>
        <v>0</v>
      </c>
      <c r="BW169" s="210"/>
      <c r="BX169" s="237">
        <f t="shared" si="383"/>
        <v>0</v>
      </c>
      <c r="BY169" s="236">
        <v>35</v>
      </c>
      <c r="BZ169" s="237">
        <f t="shared" si="384"/>
        <v>48</v>
      </c>
      <c r="CA169" s="253">
        <f t="shared" si="385"/>
        <v>3.0748170731707316</v>
      </c>
      <c r="CB169" s="253" cm="1">
        <f t="array" ref="CB169">$BC169 * SUMPRODUCT(INDEX($AL$77:$AN$82,,$AE169),INDEX($AO$77:$AU$82,,$AD169), N($AK$77:$AK$82&gt;$AI169)) / CA169 / 1000</f>
        <v>0</v>
      </c>
      <c r="CC169" s="250">
        <f t="shared" si="257"/>
        <v>30</v>
      </c>
      <c r="CD169" s="237">
        <f t="shared" si="386"/>
        <v>43</v>
      </c>
      <c r="CE169" s="253">
        <f t="shared" si="387"/>
        <v>3.5018750000000001</v>
      </c>
      <c r="CF169" s="253" cm="1">
        <f t="array" ref="CF169">$BC169 * IF($AD169&lt;=2,
SUMPRODUCT(INDEX($AL$72:$AN$76,,$AE169), INDEX($AO$72:$AU$76,,$AD169), 1 / ($AV$72:$AV$76*CE169 + (1-$AV$72:$AV$76)*CA169), N($AK$72:$AK$76&gt;$AI169)),
SUMPRODUCT(INDEX($AL$67:$AN$76,,$AE169), INDEX($AO$67:$AU$76,,$AD169), 1 / ($AW$67:$AW$76*CE169 + (1-$AW$67:$AW$76)*CA169), N($AK$67:$AK$76&gt;$AI169))
) / 1000</f>
        <v>0</v>
      </c>
      <c r="CG169" s="250">
        <f t="shared" si="260"/>
        <v>25</v>
      </c>
      <c r="CH169" s="237">
        <f t="shared" si="388"/>
        <v>38</v>
      </c>
      <c r="CI169" s="253">
        <f t="shared" si="389"/>
        <v>4.0666935483870965</v>
      </c>
      <c r="CJ169" s="253" cm="1">
        <f t="array" ref="CJ169">$BC169 * IF($AD169&lt;=2,
SUMPRODUCT(INDEX($AL$67:$AN$71,,$AE169), INDEX($AO$67:$AU$71,,$AD169), 1 / ($AV$67:$AV$71*CI169 + (1-$AV$67:$AV$71)*CE169), N($AK$67:$AK$71&gt;$AI169)),
SUMPRODUCT(INDEX($AL$57:$AN$66,,$AE169), INDEX($AO$57:$AU$66,,$AD169), 1 / ($AW$57:$AW$66*CI169 + (1-$AW$57:$AW$66)*CE169), N($AK$57:$AK$66&gt;$AI169))
) / 1000</f>
        <v>0</v>
      </c>
      <c r="CK169" s="250">
        <f t="shared" si="263"/>
        <v>20</v>
      </c>
      <c r="CL169" s="237">
        <f t="shared" si="390"/>
        <v>33</v>
      </c>
      <c r="CM169" s="253">
        <f t="shared" si="391"/>
        <v>4.8487499999999999</v>
      </c>
      <c r="CN169" s="253" cm="1">
        <f t="array" ref="CN169">$BC169 * IF($AD169&lt;=2,
SUMPRODUCT(INDEX($AL$62:$AN$66,,$AE169), INDEX($AO$62:$AU$66,,$AD169), 1 / ($AV$62:$AV$66*CM169 + (1-$AV$62:$AV$66)*CI169), N($AK$62:$AK$66&gt;$AI169)),
SUMPRODUCT(INDEX($AL$47:$AN$56,,$AE169), INDEX($AO$47:$AU$56,,$AD169), 1 / ($AW$47:$AW$56*CM169 + (1-$AW$47:$AW$56)*CI169), N($AK$47:$AK$56&gt;$AI169))
) / 1000</f>
        <v>0</v>
      </c>
      <c r="CO169" s="253" cm="1">
        <f t="array" ref="CO169">$BC169 * IF($AD169&lt;=2,
SUMPRODUCT(INDEX($AL$23:$AN$61,,$AE169), INDEX($AO$23:$AU$61,,$AD169), 1 / ($AV$23:$AV$61*CM169), N($AK$23:$AK$61&gt;$AI169)),
SUMPRODUCT(INDEX($AL$23:$AN$46,,$AE169), INDEX($AO$23:$AU$46,,$AD169), 1 / ($AW$23:$AW$46*CM169), N($AK$23:$AK$46&gt;$AI169))
) / 1000</f>
        <v>0</v>
      </c>
      <c r="CP169" s="237">
        <f t="shared" si="392"/>
        <v>0</v>
      </c>
      <c r="CQ169" s="210"/>
    </row>
    <row r="170" spans="1:95" s="76" customFormat="1" ht="14.25" customHeight="1" x14ac:dyDescent="0.2">
      <c r="A170" s="238" t="b">
        <f t="shared" si="227"/>
        <v>0</v>
      </c>
      <c r="B170" s="239">
        <v>148</v>
      </c>
      <c r="C170" s="258"/>
      <c r="D170" s="258"/>
      <c r="E170" s="240"/>
      <c r="F170" s="241" t="str">
        <f>IF(ISBLANK(E170), "", VLOOKUP(E170, Z!$A$2:$C$4127, 3, FALSE))</f>
        <v/>
      </c>
      <c r="G170" s="242"/>
      <c r="H170" s="242"/>
      <c r="I170" s="243"/>
      <c r="J170" s="244"/>
      <c r="K170" s="259"/>
      <c r="L170" s="260"/>
      <c r="M170" s="247" t="str" cm="1">
        <f t="array" ref="M170">IF($K170&gt;0, INDEX(Clean,1+AG170,$C$1), "")</f>
        <v/>
      </c>
      <c r="N170" s="245"/>
      <c r="O170" s="245"/>
      <c r="P170" s="246"/>
      <c r="Q170" s="248">
        <f t="shared" si="369"/>
        <v>0</v>
      </c>
      <c r="R170" s="247" t="str" cm="1">
        <f t="array" ref="R170">IF($K170&gt;0, INDEX(Clean,1+AH170,$C$1), "")</f>
        <v/>
      </c>
      <c r="S170" s="245"/>
      <c r="T170" s="245"/>
      <c r="U170" s="246"/>
      <c r="V170" s="248">
        <f t="shared" si="370"/>
        <v>0</v>
      </c>
      <c r="W170" s="261"/>
      <c r="X170" s="258"/>
      <c r="Y170" s="240"/>
      <c r="Z170" s="241" t="str">
        <f>IF(ISBLANK(Y170), "", VLOOKUP(Y170, Z!$A$2:$C$4127, 3, FALSE))</f>
        <v/>
      </c>
      <c r="AA170" s="262"/>
      <c r="AB170" s="249">
        <f t="shared" si="396"/>
        <v>0</v>
      </c>
      <c r="AC170" s="210"/>
      <c r="AD170" s="236">
        <f t="shared" si="393"/>
        <v>1</v>
      </c>
      <c r="AE170" s="236">
        <f t="shared" si="394"/>
        <v>1</v>
      </c>
      <c r="AF170" s="236">
        <f t="shared" si="395"/>
        <v>0</v>
      </c>
      <c r="AG170" s="236">
        <v>1</v>
      </c>
      <c r="AH170" s="236">
        <v>0</v>
      </c>
      <c r="AI170" s="236">
        <f t="shared" si="371"/>
        <v>-100</v>
      </c>
      <c r="AJ170" s="210"/>
      <c r="AK170" s="254"/>
      <c r="AL170" s="254"/>
      <c r="AM170" s="255"/>
      <c r="AN170" s="255"/>
      <c r="AO170" s="255"/>
      <c r="AP170" s="255"/>
      <c r="AQ170" s="255"/>
      <c r="AR170" s="255"/>
      <c r="AS170" s="255"/>
      <c r="AT170" s="255"/>
      <c r="AU170" s="255"/>
      <c r="AV170" s="255"/>
      <c r="AW170" s="255"/>
      <c r="AX170" s="210"/>
      <c r="AY170" s="236" cm="1">
        <f t="array" ref="AY170">INDEX(Use, $AD170, 4)</f>
        <v>7</v>
      </c>
      <c r="AZ170" s="236">
        <f t="shared" si="372"/>
        <v>32</v>
      </c>
      <c r="BA170" s="236">
        <f t="shared" si="239"/>
        <v>13</v>
      </c>
      <c r="BB170" s="236">
        <f t="shared" si="240"/>
        <v>0</v>
      </c>
      <c r="BC170" s="252" cm="1">
        <f t="array" ref="BC170">K170/IF($L170&gt;0, INDEX($AO$23:$AU$77, $L170+20, $AD170), 1)</f>
        <v>0</v>
      </c>
      <c r="BD170" s="237">
        <f t="shared" si="373"/>
        <v>0</v>
      </c>
      <c r="BE170" s="236">
        <v>35</v>
      </c>
      <c r="BF170" s="237">
        <f t="shared" si="374"/>
        <v>52.55</v>
      </c>
      <c r="BG170" s="253">
        <f t="shared" si="375"/>
        <v>2.7676728869374316</v>
      </c>
      <c r="BH170" s="253" cm="1">
        <f t="array" ref="BH170">$BC170 * SUMPRODUCT(INDEX($AL$77:$AN$82,,$AE170),INDEX($AO$77:$AU$82,,$AD170), N($AK$77:$AK$82&gt;$AI170)) / BG170 / 1000</f>
        <v>0</v>
      </c>
      <c r="BI170" s="250">
        <f t="shared" si="244"/>
        <v>30</v>
      </c>
      <c r="BJ170" s="237">
        <f t="shared" si="376"/>
        <v>46.033333333333331</v>
      </c>
      <c r="BK170" s="253">
        <f t="shared" si="377"/>
        <v>3.2297395388556791</v>
      </c>
      <c r="BL170" s="253" cm="1">
        <f t="array" ref="BL170">$BC170 * IF($AD170&lt;=2,
SUMPRODUCT(INDEX($AL$72:$AN$76,,$AE170), INDEX($AO$72:$AU$76,,$AD170), 1 / ($AV$72:$AV$76*BK170 + (1-$AV$72:$AV$76)*BG170), N($AK$72:$AK$76&gt;$AI170)),
SUMPRODUCT(INDEX($AL$67:$AN$76,,$AE170), INDEX($AO$67:$AU$76,,$AD170), 1 / ($AW$67:$AW$76*BK170 + (1-$AW$67:$AW$76)*BG170), N($AK$67:$AK$76&gt;$AI170))
) / 1000</f>
        <v>0</v>
      </c>
      <c r="BM170" s="250">
        <f t="shared" si="247"/>
        <v>25</v>
      </c>
      <c r="BN170" s="237">
        <f t="shared" si="378"/>
        <v>39.516666666666666</v>
      </c>
      <c r="BO170" s="253">
        <f t="shared" si="379"/>
        <v>3.877011788826243</v>
      </c>
      <c r="BP170" s="253" cm="1">
        <f t="array" ref="BP170">$BC170 * IF($AD170&lt;=2,
SUMPRODUCT(INDEX($AL$67:$AN$71,,$AE170), INDEX($AO$67:$AU$71,,$AD170), 1 / ($AV$67:$AV$71*BO170 + (1-$AV$67:$AV$71)*BK170), N($AK$67:$AK$71&gt;$AI170)),
SUMPRODUCT(INDEX($AL$57:$AN$66,,$AE170), INDEX($AO$57:$AU$66,,$AD170), 1 / ($AW$57:$AW$66*BO170 + (1-$AW$57:$AW$66)*BK170), N($AK$57:$AK$66&gt;$AI170))
) / 1000</f>
        <v>0</v>
      </c>
      <c r="BQ170" s="250">
        <f t="shared" si="250"/>
        <v>20</v>
      </c>
      <c r="BR170" s="237">
        <f t="shared" si="380"/>
        <v>33</v>
      </c>
      <c r="BS170" s="253">
        <f t="shared" si="381"/>
        <v>4.8487499999999999</v>
      </c>
      <c r="BT170" s="253" cm="1">
        <f t="array" ref="BT170">$BC170 * IF($AD170&lt;=2,
SUMPRODUCT(INDEX($AL$62:$AN$66,,$AE170), INDEX($AO$62:$AU$66,,$AD170), 1 / ($AV$62:$AV$66*BS170 + (1-$AV$62:$AV$66)*BO170), N($AK$62:$AK$66&gt;$AI170)),
SUMPRODUCT(INDEX($AL$47:$AN$56,,$AE170), INDEX($AO$47:$AU$56,,$AD170), 1 / ($AW$47:$AW$56*BS170 + (1-$AW$47:$AW$56)*BO170), N($AK$47:$AK$56&gt;$AI170))
) / 1000</f>
        <v>0</v>
      </c>
      <c r="BU170" s="253" cm="1">
        <f t="array" ref="BU170">$BC170 * IF($AD170&lt;=2,
SUMPRODUCT(INDEX($AL$23:$AN$61,,$AE170), INDEX($AO$23:$AU$61,,$AD170), 1 / ($AV$23:$AV$61*BS170), N($AK$23:$AK$61&gt;$AI170)),
SUMPRODUCT(INDEX($AL$23:$AN$46,,$AE170), INDEX($AO$23:$AU$46,,$AD170), 1 / ($AW$23:$AW$46*BS170), N($AK$23:$AK$46&gt;$AI170))
) / 1000</f>
        <v>0</v>
      </c>
      <c r="BV170" s="237">
        <f t="shared" si="382"/>
        <v>0</v>
      </c>
      <c r="BW170" s="210"/>
      <c r="BX170" s="237">
        <f t="shared" si="383"/>
        <v>0</v>
      </c>
      <c r="BY170" s="236">
        <v>35</v>
      </c>
      <c r="BZ170" s="237">
        <f t="shared" si="384"/>
        <v>48</v>
      </c>
      <c r="CA170" s="253">
        <f t="shared" si="385"/>
        <v>3.0748170731707316</v>
      </c>
      <c r="CB170" s="253" cm="1">
        <f t="array" ref="CB170">$BC170 * SUMPRODUCT(INDEX($AL$77:$AN$82,,$AE170),INDEX($AO$77:$AU$82,,$AD170), N($AK$77:$AK$82&gt;$AI170)) / CA170 / 1000</f>
        <v>0</v>
      </c>
      <c r="CC170" s="250">
        <f t="shared" si="257"/>
        <v>30</v>
      </c>
      <c r="CD170" s="237">
        <f t="shared" si="386"/>
        <v>43</v>
      </c>
      <c r="CE170" s="253">
        <f t="shared" si="387"/>
        <v>3.5018750000000001</v>
      </c>
      <c r="CF170" s="253" cm="1">
        <f t="array" ref="CF170">$BC170 * IF($AD170&lt;=2,
SUMPRODUCT(INDEX($AL$72:$AN$76,,$AE170), INDEX($AO$72:$AU$76,,$AD170), 1 / ($AV$72:$AV$76*CE170 + (1-$AV$72:$AV$76)*CA170), N($AK$72:$AK$76&gt;$AI170)),
SUMPRODUCT(INDEX($AL$67:$AN$76,,$AE170), INDEX($AO$67:$AU$76,,$AD170), 1 / ($AW$67:$AW$76*CE170 + (1-$AW$67:$AW$76)*CA170), N($AK$67:$AK$76&gt;$AI170))
) / 1000</f>
        <v>0</v>
      </c>
      <c r="CG170" s="250">
        <f t="shared" si="260"/>
        <v>25</v>
      </c>
      <c r="CH170" s="237">
        <f t="shared" si="388"/>
        <v>38</v>
      </c>
      <c r="CI170" s="253">
        <f t="shared" si="389"/>
        <v>4.0666935483870965</v>
      </c>
      <c r="CJ170" s="253" cm="1">
        <f t="array" ref="CJ170">$BC170 * IF($AD170&lt;=2,
SUMPRODUCT(INDEX($AL$67:$AN$71,,$AE170), INDEX($AO$67:$AU$71,,$AD170), 1 / ($AV$67:$AV$71*CI170 + (1-$AV$67:$AV$71)*CE170), N($AK$67:$AK$71&gt;$AI170)),
SUMPRODUCT(INDEX($AL$57:$AN$66,,$AE170), INDEX($AO$57:$AU$66,,$AD170), 1 / ($AW$57:$AW$66*CI170 + (1-$AW$57:$AW$66)*CE170), N($AK$57:$AK$66&gt;$AI170))
) / 1000</f>
        <v>0</v>
      </c>
      <c r="CK170" s="250">
        <f t="shared" si="263"/>
        <v>20</v>
      </c>
      <c r="CL170" s="237">
        <f t="shared" si="390"/>
        <v>33</v>
      </c>
      <c r="CM170" s="253">
        <f t="shared" si="391"/>
        <v>4.8487499999999999</v>
      </c>
      <c r="CN170" s="253" cm="1">
        <f t="array" ref="CN170">$BC170 * IF($AD170&lt;=2,
SUMPRODUCT(INDEX($AL$62:$AN$66,,$AE170), INDEX($AO$62:$AU$66,,$AD170), 1 / ($AV$62:$AV$66*CM170 + (1-$AV$62:$AV$66)*CI170), N($AK$62:$AK$66&gt;$AI170)),
SUMPRODUCT(INDEX($AL$47:$AN$56,,$AE170), INDEX($AO$47:$AU$56,,$AD170), 1 / ($AW$47:$AW$56*CM170 + (1-$AW$47:$AW$56)*CI170), N($AK$47:$AK$56&gt;$AI170))
) / 1000</f>
        <v>0</v>
      </c>
      <c r="CO170" s="253" cm="1">
        <f t="array" ref="CO170">$BC170 * IF($AD170&lt;=2,
SUMPRODUCT(INDEX($AL$23:$AN$61,,$AE170), INDEX($AO$23:$AU$61,,$AD170), 1 / ($AV$23:$AV$61*CM170), N($AK$23:$AK$61&gt;$AI170)),
SUMPRODUCT(INDEX($AL$23:$AN$46,,$AE170), INDEX($AO$23:$AU$46,,$AD170), 1 / ($AW$23:$AW$46*CM170), N($AK$23:$AK$46&gt;$AI170))
) / 1000</f>
        <v>0</v>
      </c>
      <c r="CP170" s="237">
        <f t="shared" si="392"/>
        <v>0</v>
      </c>
      <c r="CQ170" s="210"/>
    </row>
    <row r="171" spans="1:95" s="76" customFormat="1" ht="14.25" customHeight="1" x14ac:dyDescent="0.2">
      <c r="A171" s="238" t="b">
        <f t="shared" si="227"/>
        <v>0</v>
      </c>
      <c r="B171" s="239">
        <v>149</v>
      </c>
      <c r="C171" s="258"/>
      <c r="D171" s="258"/>
      <c r="E171" s="240"/>
      <c r="F171" s="241" t="str">
        <f>IF(ISBLANK(E171), "", VLOOKUP(E171, Z!$A$2:$C$4127, 3, FALSE))</f>
        <v/>
      </c>
      <c r="G171" s="242"/>
      <c r="H171" s="242"/>
      <c r="I171" s="243"/>
      <c r="J171" s="244"/>
      <c r="K171" s="259"/>
      <c r="L171" s="260"/>
      <c r="M171" s="247" t="str" cm="1">
        <f t="array" ref="M171">IF($K171&gt;0, INDEX(Clean,1+AG171,$C$1), "")</f>
        <v/>
      </c>
      <c r="N171" s="245"/>
      <c r="O171" s="245"/>
      <c r="P171" s="246"/>
      <c r="Q171" s="248">
        <f t="shared" si="369"/>
        <v>0</v>
      </c>
      <c r="R171" s="247" t="str" cm="1">
        <f t="array" ref="R171">IF($K171&gt;0, INDEX(Clean,1+AH171,$C$1), "")</f>
        <v/>
      </c>
      <c r="S171" s="245"/>
      <c r="T171" s="245"/>
      <c r="U171" s="246"/>
      <c r="V171" s="248">
        <f t="shared" si="370"/>
        <v>0</v>
      </c>
      <c r="W171" s="261"/>
      <c r="X171" s="258"/>
      <c r="Y171" s="240"/>
      <c r="Z171" s="241" t="str">
        <f>IF(ISBLANK(Y171), "", VLOOKUP(Y171, Z!$A$2:$C$4127, 3, FALSE))</f>
        <v/>
      </c>
      <c r="AA171" s="262"/>
      <c r="AB171" s="249">
        <f t="shared" si="396"/>
        <v>0</v>
      </c>
      <c r="AC171" s="210"/>
      <c r="AD171" s="236">
        <f t="shared" si="393"/>
        <v>1</v>
      </c>
      <c r="AE171" s="236">
        <f t="shared" si="394"/>
        <v>1</v>
      </c>
      <c r="AF171" s="236">
        <f t="shared" si="395"/>
        <v>0</v>
      </c>
      <c r="AG171" s="236">
        <v>1</v>
      </c>
      <c r="AH171" s="236">
        <v>0</v>
      </c>
      <c r="AI171" s="236">
        <f t="shared" si="371"/>
        <v>-100</v>
      </c>
      <c r="AJ171" s="210"/>
      <c r="AK171" s="254"/>
      <c r="AL171" s="254"/>
      <c r="AM171" s="255"/>
      <c r="AN171" s="255"/>
      <c r="AO171" s="255"/>
      <c r="AP171" s="255"/>
      <c r="AQ171" s="255"/>
      <c r="AR171" s="255"/>
      <c r="AS171" s="255"/>
      <c r="AT171" s="255"/>
      <c r="AU171" s="255"/>
      <c r="AV171" s="255"/>
      <c r="AW171" s="255"/>
      <c r="AX171" s="210"/>
      <c r="AY171" s="236" cm="1">
        <f t="array" ref="AY171">INDEX(Use, $AD171, 4)</f>
        <v>7</v>
      </c>
      <c r="AZ171" s="236">
        <f t="shared" si="372"/>
        <v>32</v>
      </c>
      <c r="BA171" s="236">
        <f t="shared" si="239"/>
        <v>13</v>
      </c>
      <c r="BB171" s="236">
        <f t="shared" si="240"/>
        <v>0</v>
      </c>
      <c r="BC171" s="252" cm="1">
        <f t="array" ref="BC171">K171/IF($L171&gt;0, INDEX($AO$23:$AU$77, $L171+20, $AD171), 1)</f>
        <v>0</v>
      </c>
      <c r="BD171" s="237">
        <f t="shared" si="373"/>
        <v>0</v>
      </c>
      <c r="BE171" s="236">
        <v>35</v>
      </c>
      <c r="BF171" s="237">
        <f t="shared" si="374"/>
        <v>52.55</v>
      </c>
      <c r="BG171" s="253">
        <f t="shared" si="375"/>
        <v>2.7676728869374316</v>
      </c>
      <c r="BH171" s="253" cm="1">
        <f t="array" ref="BH171">$BC171 * SUMPRODUCT(INDEX($AL$77:$AN$82,,$AE171),INDEX($AO$77:$AU$82,,$AD171), N($AK$77:$AK$82&gt;$AI171)) / BG171 / 1000</f>
        <v>0</v>
      </c>
      <c r="BI171" s="250">
        <f t="shared" si="244"/>
        <v>30</v>
      </c>
      <c r="BJ171" s="237">
        <f t="shared" si="376"/>
        <v>46.033333333333331</v>
      </c>
      <c r="BK171" s="253">
        <f t="shared" si="377"/>
        <v>3.2297395388556791</v>
      </c>
      <c r="BL171" s="253" cm="1">
        <f t="array" ref="BL171">$BC171 * IF($AD171&lt;=2,
SUMPRODUCT(INDEX($AL$72:$AN$76,,$AE171), INDEX($AO$72:$AU$76,,$AD171), 1 / ($AV$72:$AV$76*BK171 + (1-$AV$72:$AV$76)*BG171), N($AK$72:$AK$76&gt;$AI171)),
SUMPRODUCT(INDEX($AL$67:$AN$76,,$AE171), INDEX($AO$67:$AU$76,,$AD171), 1 / ($AW$67:$AW$76*BK171 + (1-$AW$67:$AW$76)*BG171), N($AK$67:$AK$76&gt;$AI171))
) / 1000</f>
        <v>0</v>
      </c>
      <c r="BM171" s="250">
        <f t="shared" si="247"/>
        <v>25</v>
      </c>
      <c r="BN171" s="237">
        <f t="shared" si="378"/>
        <v>39.516666666666666</v>
      </c>
      <c r="BO171" s="253">
        <f t="shared" si="379"/>
        <v>3.877011788826243</v>
      </c>
      <c r="BP171" s="253" cm="1">
        <f t="array" ref="BP171">$BC171 * IF($AD171&lt;=2,
SUMPRODUCT(INDEX($AL$67:$AN$71,,$AE171), INDEX($AO$67:$AU$71,,$AD171), 1 / ($AV$67:$AV$71*BO171 + (1-$AV$67:$AV$71)*BK171), N($AK$67:$AK$71&gt;$AI171)),
SUMPRODUCT(INDEX($AL$57:$AN$66,,$AE171), INDEX($AO$57:$AU$66,,$AD171), 1 / ($AW$57:$AW$66*BO171 + (1-$AW$57:$AW$66)*BK171), N($AK$57:$AK$66&gt;$AI171))
) / 1000</f>
        <v>0</v>
      </c>
      <c r="BQ171" s="250">
        <f t="shared" si="250"/>
        <v>20</v>
      </c>
      <c r="BR171" s="237">
        <f t="shared" si="380"/>
        <v>33</v>
      </c>
      <c r="BS171" s="253">
        <f t="shared" si="381"/>
        <v>4.8487499999999999</v>
      </c>
      <c r="BT171" s="253" cm="1">
        <f t="array" ref="BT171">$BC171 * IF($AD171&lt;=2,
SUMPRODUCT(INDEX($AL$62:$AN$66,,$AE171), INDEX($AO$62:$AU$66,,$AD171), 1 / ($AV$62:$AV$66*BS171 + (1-$AV$62:$AV$66)*BO171), N($AK$62:$AK$66&gt;$AI171)),
SUMPRODUCT(INDEX($AL$47:$AN$56,,$AE171), INDEX($AO$47:$AU$56,,$AD171), 1 / ($AW$47:$AW$56*BS171 + (1-$AW$47:$AW$56)*BO171), N($AK$47:$AK$56&gt;$AI171))
) / 1000</f>
        <v>0</v>
      </c>
      <c r="BU171" s="253" cm="1">
        <f t="array" ref="BU171">$BC171 * IF($AD171&lt;=2,
SUMPRODUCT(INDEX($AL$23:$AN$61,,$AE171), INDEX($AO$23:$AU$61,,$AD171), 1 / ($AV$23:$AV$61*BS171), N($AK$23:$AK$61&gt;$AI171)),
SUMPRODUCT(INDEX($AL$23:$AN$46,,$AE171), INDEX($AO$23:$AU$46,,$AD171), 1 / ($AW$23:$AW$46*BS171), N($AK$23:$AK$46&gt;$AI171))
) / 1000</f>
        <v>0</v>
      </c>
      <c r="BV171" s="237">
        <f t="shared" si="382"/>
        <v>0</v>
      </c>
      <c r="BW171" s="210"/>
      <c r="BX171" s="237">
        <f t="shared" si="383"/>
        <v>0</v>
      </c>
      <c r="BY171" s="236">
        <v>35</v>
      </c>
      <c r="BZ171" s="237">
        <f t="shared" si="384"/>
        <v>48</v>
      </c>
      <c r="CA171" s="253">
        <f t="shared" si="385"/>
        <v>3.0748170731707316</v>
      </c>
      <c r="CB171" s="253" cm="1">
        <f t="array" ref="CB171">$BC171 * SUMPRODUCT(INDEX($AL$77:$AN$82,,$AE171),INDEX($AO$77:$AU$82,,$AD171), N($AK$77:$AK$82&gt;$AI171)) / CA171 / 1000</f>
        <v>0</v>
      </c>
      <c r="CC171" s="250">
        <f t="shared" si="257"/>
        <v>30</v>
      </c>
      <c r="CD171" s="237">
        <f t="shared" si="386"/>
        <v>43</v>
      </c>
      <c r="CE171" s="253">
        <f t="shared" si="387"/>
        <v>3.5018750000000001</v>
      </c>
      <c r="CF171" s="253" cm="1">
        <f t="array" ref="CF171">$BC171 * IF($AD171&lt;=2,
SUMPRODUCT(INDEX($AL$72:$AN$76,,$AE171), INDEX($AO$72:$AU$76,,$AD171), 1 / ($AV$72:$AV$76*CE171 + (1-$AV$72:$AV$76)*CA171), N($AK$72:$AK$76&gt;$AI171)),
SUMPRODUCT(INDEX($AL$67:$AN$76,,$AE171), INDEX($AO$67:$AU$76,,$AD171), 1 / ($AW$67:$AW$76*CE171 + (1-$AW$67:$AW$76)*CA171), N($AK$67:$AK$76&gt;$AI171))
) / 1000</f>
        <v>0</v>
      </c>
      <c r="CG171" s="250">
        <f t="shared" si="260"/>
        <v>25</v>
      </c>
      <c r="CH171" s="237">
        <f t="shared" si="388"/>
        <v>38</v>
      </c>
      <c r="CI171" s="253">
        <f t="shared" si="389"/>
        <v>4.0666935483870965</v>
      </c>
      <c r="CJ171" s="253" cm="1">
        <f t="array" ref="CJ171">$BC171 * IF($AD171&lt;=2,
SUMPRODUCT(INDEX($AL$67:$AN$71,,$AE171), INDEX($AO$67:$AU$71,,$AD171), 1 / ($AV$67:$AV$71*CI171 + (1-$AV$67:$AV$71)*CE171), N($AK$67:$AK$71&gt;$AI171)),
SUMPRODUCT(INDEX($AL$57:$AN$66,,$AE171), INDEX($AO$57:$AU$66,,$AD171), 1 / ($AW$57:$AW$66*CI171 + (1-$AW$57:$AW$66)*CE171), N($AK$57:$AK$66&gt;$AI171))
) / 1000</f>
        <v>0</v>
      </c>
      <c r="CK171" s="250">
        <f t="shared" si="263"/>
        <v>20</v>
      </c>
      <c r="CL171" s="237">
        <f t="shared" si="390"/>
        <v>33</v>
      </c>
      <c r="CM171" s="253">
        <f t="shared" si="391"/>
        <v>4.8487499999999999</v>
      </c>
      <c r="CN171" s="253" cm="1">
        <f t="array" ref="CN171">$BC171 * IF($AD171&lt;=2,
SUMPRODUCT(INDEX($AL$62:$AN$66,,$AE171), INDEX($AO$62:$AU$66,,$AD171), 1 / ($AV$62:$AV$66*CM171 + (1-$AV$62:$AV$66)*CI171), N($AK$62:$AK$66&gt;$AI171)),
SUMPRODUCT(INDEX($AL$47:$AN$56,,$AE171), INDEX($AO$47:$AU$56,,$AD171), 1 / ($AW$47:$AW$56*CM171 + (1-$AW$47:$AW$56)*CI171), N($AK$47:$AK$56&gt;$AI171))
) / 1000</f>
        <v>0</v>
      </c>
      <c r="CO171" s="253" cm="1">
        <f t="array" ref="CO171">$BC171 * IF($AD171&lt;=2,
SUMPRODUCT(INDEX($AL$23:$AN$61,,$AE171), INDEX($AO$23:$AU$61,,$AD171), 1 / ($AV$23:$AV$61*CM171), N($AK$23:$AK$61&gt;$AI171)),
SUMPRODUCT(INDEX($AL$23:$AN$46,,$AE171), INDEX($AO$23:$AU$46,,$AD171), 1 / ($AW$23:$AW$46*CM171), N($AK$23:$AK$46&gt;$AI171))
) / 1000</f>
        <v>0</v>
      </c>
      <c r="CP171" s="237">
        <f t="shared" si="392"/>
        <v>0</v>
      </c>
      <c r="CQ171" s="210"/>
    </row>
    <row r="172" spans="1:95" s="76" customFormat="1" ht="14.25" customHeight="1" x14ac:dyDescent="0.2">
      <c r="A172" s="238" t="b">
        <f t="shared" si="227"/>
        <v>0</v>
      </c>
      <c r="B172" s="239">
        <v>150</v>
      </c>
      <c r="C172" s="258"/>
      <c r="D172" s="258"/>
      <c r="E172" s="240"/>
      <c r="F172" s="241" t="str">
        <f>IF(ISBLANK(E172), "", VLOOKUP(E172, Z!$A$2:$C$4127, 3, FALSE))</f>
        <v/>
      </c>
      <c r="G172" s="242"/>
      <c r="H172" s="242"/>
      <c r="I172" s="243"/>
      <c r="J172" s="244"/>
      <c r="K172" s="259"/>
      <c r="L172" s="260"/>
      <c r="M172" s="247" t="str" cm="1">
        <f t="array" ref="M172">IF($K172&gt;0, INDEX(Clean,1+AG172,$C$1), "")</f>
        <v/>
      </c>
      <c r="N172" s="245"/>
      <c r="O172" s="245"/>
      <c r="P172" s="246"/>
      <c r="Q172" s="248">
        <f t="shared" si="369"/>
        <v>0</v>
      </c>
      <c r="R172" s="247" t="str" cm="1">
        <f t="array" ref="R172">IF($K172&gt;0, INDEX(Clean,1+AH172,$C$1), "")</f>
        <v/>
      </c>
      <c r="S172" s="245"/>
      <c r="T172" s="245"/>
      <c r="U172" s="246"/>
      <c r="V172" s="248">
        <f t="shared" si="370"/>
        <v>0</v>
      </c>
      <c r="W172" s="261"/>
      <c r="X172" s="258"/>
      <c r="Y172" s="240"/>
      <c r="Z172" s="241" t="str">
        <f>IF(ISBLANK(Y172), "", VLOOKUP(Y172, Z!$A$2:$C$4127, 3, FALSE))</f>
        <v/>
      </c>
      <c r="AA172" s="262"/>
      <c r="AB172" s="249">
        <f t="shared" si="396"/>
        <v>0</v>
      </c>
      <c r="AC172" s="210"/>
      <c r="AD172" s="236">
        <f t="shared" si="393"/>
        <v>1</v>
      </c>
      <c r="AE172" s="236">
        <f t="shared" si="394"/>
        <v>1</v>
      </c>
      <c r="AF172" s="236">
        <f t="shared" si="395"/>
        <v>0</v>
      </c>
      <c r="AG172" s="236">
        <v>1</v>
      </c>
      <c r="AH172" s="236">
        <v>0</v>
      </c>
      <c r="AI172" s="236">
        <f t="shared" si="371"/>
        <v>-100</v>
      </c>
      <c r="AJ172" s="210"/>
      <c r="AK172" s="254"/>
      <c r="AL172" s="254"/>
      <c r="AM172" s="255"/>
      <c r="AN172" s="255"/>
      <c r="AO172" s="255"/>
      <c r="AP172" s="255"/>
      <c r="AQ172" s="255"/>
      <c r="AR172" s="255"/>
      <c r="AS172" s="255"/>
      <c r="AT172" s="255"/>
      <c r="AU172" s="255"/>
      <c r="AV172" s="255"/>
      <c r="AW172" s="255"/>
      <c r="AX172" s="210"/>
      <c r="AY172" s="236" cm="1">
        <f t="array" ref="AY172">INDEX(Use, $AD172, 4)</f>
        <v>7</v>
      </c>
      <c r="AZ172" s="236">
        <f t="shared" si="372"/>
        <v>32</v>
      </c>
      <c r="BA172" s="236">
        <f t="shared" si="239"/>
        <v>13</v>
      </c>
      <c r="BB172" s="236">
        <f t="shared" si="240"/>
        <v>0</v>
      </c>
      <c r="BC172" s="252" cm="1">
        <f t="array" ref="BC172">K172/IF($L172&gt;0, INDEX($AO$23:$AU$77, $L172+20, $AD172), 1)</f>
        <v>0</v>
      </c>
      <c r="BD172" s="237">
        <f t="shared" si="373"/>
        <v>0</v>
      </c>
      <c r="BE172" s="236">
        <v>35</v>
      </c>
      <c r="BF172" s="237">
        <f t="shared" si="374"/>
        <v>52.55</v>
      </c>
      <c r="BG172" s="253">
        <f t="shared" si="375"/>
        <v>2.7676728869374316</v>
      </c>
      <c r="BH172" s="253" cm="1">
        <f t="array" ref="BH172">$BC172 * SUMPRODUCT(INDEX($AL$77:$AN$82,,$AE172),INDEX($AO$77:$AU$82,,$AD172), N($AK$77:$AK$82&gt;$AI172)) / BG172 / 1000</f>
        <v>0</v>
      </c>
      <c r="BI172" s="250">
        <f t="shared" si="244"/>
        <v>30</v>
      </c>
      <c r="BJ172" s="237">
        <f t="shared" si="376"/>
        <v>46.033333333333331</v>
      </c>
      <c r="BK172" s="253">
        <f t="shared" si="377"/>
        <v>3.2297395388556791</v>
      </c>
      <c r="BL172" s="253" cm="1">
        <f t="array" ref="BL172">$BC172 * IF($AD172&lt;=2,
SUMPRODUCT(INDEX($AL$72:$AN$76,,$AE172), INDEX($AO$72:$AU$76,,$AD172), 1 / ($AV$72:$AV$76*BK172 + (1-$AV$72:$AV$76)*BG172), N($AK$72:$AK$76&gt;$AI172)),
SUMPRODUCT(INDEX($AL$67:$AN$76,,$AE172), INDEX($AO$67:$AU$76,,$AD172), 1 / ($AW$67:$AW$76*BK172 + (1-$AW$67:$AW$76)*BG172), N($AK$67:$AK$76&gt;$AI172))
) / 1000</f>
        <v>0</v>
      </c>
      <c r="BM172" s="250">
        <f t="shared" si="247"/>
        <v>25</v>
      </c>
      <c r="BN172" s="237">
        <f t="shared" si="378"/>
        <v>39.516666666666666</v>
      </c>
      <c r="BO172" s="253">
        <f t="shared" si="379"/>
        <v>3.877011788826243</v>
      </c>
      <c r="BP172" s="253" cm="1">
        <f t="array" ref="BP172">$BC172 * IF($AD172&lt;=2,
SUMPRODUCT(INDEX($AL$67:$AN$71,,$AE172), INDEX($AO$67:$AU$71,,$AD172), 1 / ($AV$67:$AV$71*BO172 + (1-$AV$67:$AV$71)*BK172), N($AK$67:$AK$71&gt;$AI172)),
SUMPRODUCT(INDEX($AL$57:$AN$66,,$AE172), INDEX($AO$57:$AU$66,,$AD172), 1 / ($AW$57:$AW$66*BO172 + (1-$AW$57:$AW$66)*BK172), N($AK$57:$AK$66&gt;$AI172))
) / 1000</f>
        <v>0</v>
      </c>
      <c r="BQ172" s="250">
        <f t="shared" si="250"/>
        <v>20</v>
      </c>
      <c r="BR172" s="237">
        <f t="shared" si="380"/>
        <v>33</v>
      </c>
      <c r="BS172" s="253">
        <f t="shared" si="381"/>
        <v>4.8487499999999999</v>
      </c>
      <c r="BT172" s="253" cm="1">
        <f t="array" ref="BT172">$BC172 * IF($AD172&lt;=2,
SUMPRODUCT(INDEX($AL$62:$AN$66,,$AE172), INDEX($AO$62:$AU$66,,$AD172), 1 / ($AV$62:$AV$66*BS172 + (1-$AV$62:$AV$66)*BO172), N($AK$62:$AK$66&gt;$AI172)),
SUMPRODUCT(INDEX($AL$47:$AN$56,,$AE172), INDEX($AO$47:$AU$56,,$AD172), 1 / ($AW$47:$AW$56*BS172 + (1-$AW$47:$AW$56)*BO172), N($AK$47:$AK$56&gt;$AI172))
) / 1000</f>
        <v>0</v>
      </c>
      <c r="BU172" s="253" cm="1">
        <f t="array" ref="BU172">$BC172 * IF($AD172&lt;=2,
SUMPRODUCT(INDEX($AL$23:$AN$61,,$AE172), INDEX($AO$23:$AU$61,,$AD172), 1 / ($AV$23:$AV$61*BS172), N($AK$23:$AK$61&gt;$AI172)),
SUMPRODUCT(INDEX($AL$23:$AN$46,,$AE172), INDEX($AO$23:$AU$46,,$AD172), 1 / ($AW$23:$AW$46*BS172), N($AK$23:$AK$46&gt;$AI172))
) / 1000</f>
        <v>0</v>
      </c>
      <c r="BV172" s="237">
        <f t="shared" si="382"/>
        <v>0</v>
      </c>
      <c r="BW172" s="210"/>
      <c r="BX172" s="237">
        <f t="shared" si="383"/>
        <v>0</v>
      </c>
      <c r="BY172" s="236">
        <v>35</v>
      </c>
      <c r="BZ172" s="237">
        <f t="shared" si="384"/>
        <v>48</v>
      </c>
      <c r="CA172" s="253">
        <f t="shared" si="385"/>
        <v>3.0748170731707316</v>
      </c>
      <c r="CB172" s="253" cm="1">
        <f t="array" ref="CB172">$BC172 * SUMPRODUCT(INDEX($AL$77:$AN$82,,$AE172),INDEX($AO$77:$AU$82,,$AD172), N($AK$77:$AK$82&gt;$AI172)) / CA172 / 1000</f>
        <v>0</v>
      </c>
      <c r="CC172" s="250">
        <f t="shared" si="257"/>
        <v>30</v>
      </c>
      <c r="CD172" s="237">
        <f t="shared" si="386"/>
        <v>43</v>
      </c>
      <c r="CE172" s="253">
        <f t="shared" si="387"/>
        <v>3.5018750000000001</v>
      </c>
      <c r="CF172" s="253" cm="1">
        <f t="array" ref="CF172">$BC172 * IF($AD172&lt;=2,
SUMPRODUCT(INDEX($AL$72:$AN$76,,$AE172), INDEX($AO$72:$AU$76,,$AD172), 1 / ($AV$72:$AV$76*CE172 + (1-$AV$72:$AV$76)*CA172), N($AK$72:$AK$76&gt;$AI172)),
SUMPRODUCT(INDEX($AL$67:$AN$76,,$AE172), INDEX($AO$67:$AU$76,,$AD172), 1 / ($AW$67:$AW$76*CE172 + (1-$AW$67:$AW$76)*CA172), N($AK$67:$AK$76&gt;$AI172))
) / 1000</f>
        <v>0</v>
      </c>
      <c r="CG172" s="250">
        <f t="shared" si="260"/>
        <v>25</v>
      </c>
      <c r="CH172" s="237">
        <f t="shared" si="388"/>
        <v>38</v>
      </c>
      <c r="CI172" s="253">
        <f t="shared" si="389"/>
        <v>4.0666935483870965</v>
      </c>
      <c r="CJ172" s="253" cm="1">
        <f t="array" ref="CJ172">$BC172 * IF($AD172&lt;=2,
SUMPRODUCT(INDEX($AL$67:$AN$71,,$AE172), INDEX($AO$67:$AU$71,,$AD172), 1 / ($AV$67:$AV$71*CI172 + (1-$AV$67:$AV$71)*CE172), N($AK$67:$AK$71&gt;$AI172)),
SUMPRODUCT(INDEX($AL$57:$AN$66,,$AE172), INDEX($AO$57:$AU$66,,$AD172), 1 / ($AW$57:$AW$66*CI172 + (1-$AW$57:$AW$66)*CE172), N($AK$57:$AK$66&gt;$AI172))
) / 1000</f>
        <v>0</v>
      </c>
      <c r="CK172" s="250">
        <f t="shared" si="263"/>
        <v>20</v>
      </c>
      <c r="CL172" s="237">
        <f t="shared" si="390"/>
        <v>33</v>
      </c>
      <c r="CM172" s="253">
        <f t="shared" si="391"/>
        <v>4.8487499999999999</v>
      </c>
      <c r="CN172" s="253" cm="1">
        <f t="array" ref="CN172">$BC172 * IF($AD172&lt;=2,
SUMPRODUCT(INDEX($AL$62:$AN$66,,$AE172), INDEX($AO$62:$AU$66,,$AD172), 1 / ($AV$62:$AV$66*CM172 + (1-$AV$62:$AV$66)*CI172), N($AK$62:$AK$66&gt;$AI172)),
SUMPRODUCT(INDEX($AL$47:$AN$56,,$AE172), INDEX($AO$47:$AU$56,,$AD172), 1 / ($AW$47:$AW$56*CM172 + (1-$AW$47:$AW$56)*CI172), N($AK$47:$AK$56&gt;$AI172))
) / 1000</f>
        <v>0</v>
      </c>
      <c r="CO172" s="253" cm="1">
        <f t="array" ref="CO172">$BC172 * IF($AD172&lt;=2,
SUMPRODUCT(INDEX($AL$23:$AN$61,,$AE172), INDEX($AO$23:$AU$61,,$AD172), 1 / ($AV$23:$AV$61*CM172), N($AK$23:$AK$61&gt;$AI172)),
SUMPRODUCT(INDEX($AL$23:$AN$46,,$AE172), INDEX($AO$23:$AU$46,,$AD172), 1 / ($AW$23:$AW$46*CM172), N($AK$23:$AK$46&gt;$AI172))
) / 1000</f>
        <v>0</v>
      </c>
      <c r="CP172" s="237">
        <f t="shared" si="392"/>
        <v>0</v>
      </c>
      <c r="CQ172" s="210"/>
    </row>
    <row r="173" spans="1:95" s="76" customFormat="1" ht="14.25" customHeight="1" x14ac:dyDescent="0.2">
      <c r="A173" s="238" t="b">
        <f t="shared" si="227"/>
        <v>0</v>
      </c>
      <c r="B173" s="239">
        <v>151</v>
      </c>
      <c r="C173" s="258"/>
      <c r="D173" s="258"/>
      <c r="E173" s="240"/>
      <c r="F173" s="241" t="str">
        <f>IF(ISBLANK(E173), "", VLOOKUP(E173, Z!$A$2:$C$4127, 3, FALSE))</f>
        <v/>
      </c>
      <c r="G173" s="242"/>
      <c r="H173" s="242"/>
      <c r="I173" s="243"/>
      <c r="J173" s="244"/>
      <c r="K173" s="259"/>
      <c r="L173" s="260"/>
      <c r="M173" s="247" t="str" cm="1">
        <f t="array" ref="M173">IF($K173&gt;0, INDEX(Clean,1+AG173,$C$1), "")</f>
        <v/>
      </c>
      <c r="N173" s="245"/>
      <c r="O173" s="245"/>
      <c r="P173" s="246"/>
      <c r="Q173" s="248">
        <f t="shared" si="369"/>
        <v>0</v>
      </c>
      <c r="R173" s="247" t="str" cm="1">
        <f t="array" ref="R173">IF($K173&gt;0, INDEX(Clean,1+AH173,$C$1), "")</f>
        <v/>
      </c>
      <c r="S173" s="245"/>
      <c r="T173" s="245"/>
      <c r="U173" s="246"/>
      <c r="V173" s="248">
        <f t="shared" si="370"/>
        <v>0</v>
      </c>
      <c r="W173" s="261"/>
      <c r="X173" s="258"/>
      <c r="Y173" s="240"/>
      <c r="Z173" s="241" t="str">
        <f>IF(ISBLANK(Y173), "", VLOOKUP(Y173, Z!$A$2:$C$4127, 3, FALSE))</f>
        <v/>
      </c>
      <c r="AA173" s="262"/>
      <c r="AB173" s="249">
        <f t="shared" si="396"/>
        <v>0</v>
      </c>
      <c r="AC173" s="210"/>
      <c r="AD173" s="236">
        <f t="shared" si="393"/>
        <v>1</v>
      </c>
      <c r="AE173" s="236">
        <f t="shared" si="394"/>
        <v>1</v>
      </c>
      <c r="AF173" s="236">
        <f t="shared" si="395"/>
        <v>0</v>
      </c>
      <c r="AG173" s="236">
        <v>1</v>
      </c>
      <c r="AH173" s="236">
        <v>0</v>
      </c>
      <c r="AI173" s="236">
        <f t="shared" si="371"/>
        <v>-100</v>
      </c>
      <c r="AJ173" s="210"/>
      <c r="AK173" s="254"/>
      <c r="AL173" s="254"/>
      <c r="AM173" s="255"/>
      <c r="AN173" s="255"/>
      <c r="AO173" s="255"/>
      <c r="AP173" s="255"/>
      <c r="AQ173" s="255"/>
      <c r="AR173" s="255"/>
      <c r="AS173" s="255"/>
      <c r="AT173" s="255"/>
      <c r="AU173" s="255"/>
      <c r="AV173" s="255"/>
      <c r="AW173" s="255"/>
      <c r="AX173" s="210"/>
      <c r="AY173" s="236" cm="1">
        <f t="array" ref="AY173">INDEX(Use, $AD173, 4)</f>
        <v>7</v>
      </c>
      <c r="AZ173" s="236">
        <f t="shared" si="372"/>
        <v>32</v>
      </c>
      <c r="BA173" s="236">
        <f t="shared" si="239"/>
        <v>13</v>
      </c>
      <c r="BB173" s="236">
        <f t="shared" si="240"/>
        <v>0</v>
      </c>
      <c r="BC173" s="252" cm="1">
        <f t="array" ref="BC173">K173/IF($L173&gt;0, INDEX($AO$23:$AU$77, $L173+20, $AD173), 1)</f>
        <v>0</v>
      </c>
      <c r="BD173" s="237">
        <f t="shared" si="373"/>
        <v>0</v>
      </c>
      <c r="BE173" s="236">
        <v>35</v>
      </c>
      <c r="BF173" s="237">
        <f t="shared" si="374"/>
        <v>52.55</v>
      </c>
      <c r="BG173" s="253">
        <f t="shared" si="375"/>
        <v>2.7676728869374316</v>
      </c>
      <c r="BH173" s="253" cm="1">
        <f t="array" ref="BH173">$BC173 * SUMPRODUCT(INDEX($AL$77:$AN$82,,$AE173),INDEX($AO$77:$AU$82,,$AD173), N($AK$77:$AK$82&gt;$AI173)) / BG173 / 1000</f>
        <v>0</v>
      </c>
      <c r="BI173" s="250">
        <f t="shared" si="244"/>
        <v>30</v>
      </c>
      <c r="BJ173" s="237">
        <f t="shared" si="376"/>
        <v>46.033333333333331</v>
      </c>
      <c r="BK173" s="253">
        <f t="shared" si="377"/>
        <v>3.2297395388556791</v>
      </c>
      <c r="BL173" s="253" cm="1">
        <f t="array" ref="BL173">$BC173 * IF($AD173&lt;=2,
SUMPRODUCT(INDEX($AL$72:$AN$76,,$AE173), INDEX($AO$72:$AU$76,,$AD173), 1 / ($AV$72:$AV$76*BK173 + (1-$AV$72:$AV$76)*BG173), N($AK$72:$AK$76&gt;$AI173)),
SUMPRODUCT(INDEX($AL$67:$AN$76,,$AE173), INDEX($AO$67:$AU$76,,$AD173), 1 / ($AW$67:$AW$76*BK173 + (1-$AW$67:$AW$76)*BG173), N($AK$67:$AK$76&gt;$AI173))
) / 1000</f>
        <v>0</v>
      </c>
      <c r="BM173" s="250">
        <f t="shared" si="247"/>
        <v>25</v>
      </c>
      <c r="BN173" s="237">
        <f t="shared" si="378"/>
        <v>39.516666666666666</v>
      </c>
      <c r="BO173" s="253">
        <f t="shared" si="379"/>
        <v>3.877011788826243</v>
      </c>
      <c r="BP173" s="253" cm="1">
        <f t="array" ref="BP173">$BC173 * IF($AD173&lt;=2,
SUMPRODUCT(INDEX($AL$67:$AN$71,,$AE173), INDEX($AO$67:$AU$71,,$AD173), 1 / ($AV$67:$AV$71*BO173 + (1-$AV$67:$AV$71)*BK173), N($AK$67:$AK$71&gt;$AI173)),
SUMPRODUCT(INDEX($AL$57:$AN$66,,$AE173), INDEX($AO$57:$AU$66,,$AD173), 1 / ($AW$57:$AW$66*BO173 + (1-$AW$57:$AW$66)*BK173), N($AK$57:$AK$66&gt;$AI173))
) / 1000</f>
        <v>0</v>
      </c>
      <c r="BQ173" s="250">
        <f t="shared" si="250"/>
        <v>20</v>
      </c>
      <c r="BR173" s="237">
        <f t="shared" si="380"/>
        <v>33</v>
      </c>
      <c r="BS173" s="253">
        <f t="shared" si="381"/>
        <v>4.8487499999999999</v>
      </c>
      <c r="BT173" s="253" cm="1">
        <f t="array" ref="BT173">$BC173 * IF($AD173&lt;=2,
SUMPRODUCT(INDEX($AL$62:$AN$66,,$AE173), INDEX($AO$62:$AU$66,,$AD173), 1 / ($AV$62:$AV$66*BS173 + (1-$AV$62:$AV$66)*BO173), N($AK$62:$AK$66&gt;$AI173)),
SUMPRODUCT(INDEX($AL$47:$AN$56,,$AE173), INDEX($AO$47:$AU$56,,$AD173), 1 / ($AW$47:$AW$56*BS173 + (1-$AW$47:$AW$56)*BO173), N($AK$47:$AK$56&gt;$AI173))
) / 1000</f>
        <v>0</v>
      </c>
      <c r="BU173" s="253" cm="1">
        <f t="array" ref="BU173">$BC173 * IF($AD173&lt;=2,
SUMPRODUCT(INDEX($AL$23:$AN$61,,$AE173), INDEX($AO$23:$AU$61,,$AD173), 1 / ($AV$23:$AV$61*BS173), N($AK$23:$AK$61&gt;$AI173)),
SUMPRODUCT(INDEX($AL$23:$AN$46,,$AE173), INDEX($AO$23:$AU$46,,$AD173), 1 / ($AW$23:$AW$46*BS173), N($AK$23:$AK$46&gt;$AI173))
) / 1000</f>
        <v>0</v>
      </c>
      <c r="BV173" s="237">
        <f t="shared" si="382"/>
        <v>0</v>
      </c>
      <c r="BW173" s="210"/>
      <c r="BX173" s="237">
        <f t="shared" si="383"/>
        <v>0</v>
      </c>
      <c r="BY173" s="236">
        <v>35</v>
      </c>
      <c r="BZ173" s="237">
        <f t="shared" si="384"/>
        <v>48</v>
      </c>
      <c r="CA173" s="253">
        <f t="shared" si="385"/>
        <v>3.0748170731707316</v>
      </c>
      <c r="CB173" s="253" cm="1">
        <f t="array" ref="CB173">$BC173 * SUMPRODUCT(INDEX($AL$77:$AN$82,,$AE173),INDEX($AO$77:$AU$82,,$AD173), N($AK$77:$AK$82&gt;$AI173)) / CA173 / 1000</f>
        <v>0</v>
      </c>
      <c r="CC173" s="250">
        <f t="shared" si="257"/>
        <v>30</v>
      </c>
      <c r="CD173" s="237">
        <f t="shared" si="386"/>
        <v>43</v>
      </c>
      <c r="CE173" s="253">
        <f t="shared" si="387"/>
        <v>3.5018750000000001</v>
      </c>
      <c r="CF173" s="253" cm="1">
        <f t="array" ref="CF173">$BC173 * IF($AD173&lt;=2,
SUMPRODUCT(INDEX($AL$72:$AN$76,,$AE173), INDEX($AO$72:$AU$76,,$AD173), 1 / ($AV$72:$AV$76*CE173 + (1-$AV$72:$AV$76)*CA173), N($AK$72:$AK$76&gt;$AI173)),
SUMPRODUCT(INDEX($AL$67:$AN$76,,$AE173), INDEX($AO$67:$AU$76,,$AD173), 1 / ($AW$67:$AW$76*CE173 + (1-$AW$67:$AW$76)*CA173), N($AK$67:$AK$76&gt;$AI173))
) / 1000</f>
        <v>0</v>
      </c>
      <c r="CG173" s="250">
        <f t="shared" si="260"/>
        <v>25</v>
      </c>
      <c r="CH173" s="237">
        <f t="shared" si="388"/>
        <v>38</v>
      </c>
      <c r="CI173" s="253">
        <f t="shared" si="389"/>
        <v>4.0666935483870965</v>
      </c>
      <c r="CJ173" s="253" cm="1">
        <f t="array" ref="CJ173">$BC173 * IF($AD173&lt;=2,
SUMPRODUCT(INDEX($AL$67:$AN$71,,$AE173), INDEX($AO$67:$AU$71,,$AD173), 1 / ($AV$67:$AV$71*CI173 + (1-$AV$67:$AV$71)*CE173), N($AK$67:$AK$71&gt;$AI173)),
SUMPRODUCT(INDEX($AL$57:$AN$66,,$AE173), INDEX($AO$57:$AU$66,,$AD173), 1 / ($AW$57:$AW$66*CI173 + (1-$AW$57:$AW$66)*CE173), N($AK$57:$AK$66&gt;$AI173))
) / 1000</f>
        <v>0</v>
      </c>
      <c r="CK173" s="250">
        <f t="shared" si="263"/>
        <v>20</v>
      </c>
      <c r="CL173" s="237">
        <f t="shared" si="390"/>
        <v>33</v>
      </c>
      <c r="CM173" s="253">
        <f t="shared" si="391"/>
        <v>4.8487499999999999</v>
      </c>
      <c r="CN173" s="253" cm="1">
        <f t="array" ref="CN173">$BC173 * IF($AD173&lt;=2,
SUMPRODUCT(INDEX($AL$62:$AN$66,,$AE173), INDEX($AO$62:$AU$66,,$AD173), 1 / ($AV$62:$AV$66*CM173 + (1-$AV$62:$AV$66)*CI173), N($AK$62:$AK$66&gt;$AI173)),
SUMPRODUCT(INDEX($AL$47:$AN$56,,$AE173), INDEX($AO$47:$AU$56,,$AD173), 1 / ($AW$47:$AW$56*CM173 + (1-$AW$47:$AW$56)*CI173), N($AK$47:$AK$56&gt;$AI173))
) / 1000</f>
        <v>0</v>
      </c>
      <c r="CO173" s="253" cm="1">
        <f t="array" ref="CO173">$BC173 * IF($AD173&lt;=2,
SUMPRODUCT(INDEX($AL$23:$AN$61,,$AE173), INDEX($AO$23:$AU$61,,$AD173), 1 / ($AV$23:$AV$61*CM173), N($AK$23:$AK$61&gt;$AI173)),
SUMPRODUCT(INDEX($AL$23:$AN$46,,$AE173), INDEX($AO$23:$AU$46,,$AD173), 1 / ($AW$23:$AW$46*CM173), N($AK$23:$AK$46&gt;$AI173))
) / 1000</f>
        <v>0</v>
      </c>
      <c r="CP173" s="237">
        <f t="shared" si="392"/>
        <v>0</v>
      </c>
      <c r="CQ173" s="210"/>
    </row>
    <row r="174" spans="1:95" s="76" customFormat="1" ht="14.25" customHeight="1" x14ac:dyDescent="0.2">
      <c r="A174" s="238" t="b">
        <f t="shared" si="227"/>
        <v>0</v>
      </c>
      <c r="B174" s="239">
        <v>152</v>
      </c>
      <c r="C174" s="258"/>
      <c r="D174" s="258"/>
      <c r="E174" s="240"/>
      <c r="F174" s="241" t="str">
        <f>IF(ISBLANK(E174), "", VLOOKUP(E174, Z!$A$2:$C$4127, 3, FALSE))</f>
        <v/>
      </c>
      <c r="G174" s="242"/>
      <c r="H174" s="242"/>
      <c r="I174" s="243"/>
      <c r="J174" s="244"/>
      <c r="K174" s="259"/>
      <c r="L174" s="260"/>
      <c r="M174" s="247" t="str" cm="1">
        <f t="array" ref="M174">IF($K174&gt;0, INDEX(Clean,1+AG174,$C$1), "")</f>
        <v/>
      </c>
      <c r="N174" s="245"/>
      <c r="O174" s="245"/>
      <c r="P174" s="246"/>
      <c r="Q174" s="248">
        <f t="shared" si="369"/>
        <v>0</v>
      </c>
      <c r="R174" s="247" t="str" cm="1">
        <f t="array" ref="R174">IF($K174&gt;0, INDEX(Clean,1+AH174,$C$1), "")</f>
        <v/>
      </c>
      <c r="S174" s="245"/>
      <c r="T174" s="245"/>
      <c r="U174" s="246"/>
      <c r="V174" s="248">
        <f t="shared" si="370"/>
        <v>0</v>
      </c>
      <c r="W174" s="261"/>
      <c r="X174" s="258"/>
      <c r="Y174" s="240"/>
      <c r="Z174" s="241" t="str">
        <f>IF(ISBLANK(Y174), "", VLOOKUP(Y174, Z!$A$2:$C$4127, 3, FALSE))</f>
        <v/>
      </c>
      <c r="AA174" s="262"/>
      <c r="AB174" s="249">
        <f t="shared" si="396"/>
        <v>0</v>
      </c>
      <c r="AC174" s="210"/>
      <c r="AD174" s="236">
        <f t="shared" si="393"/>
        <v>1</v>
      </c>
      <c r="AE174" s="236">
        <f t="shared" si="394"/>
        <v>1</v>
      </c>
      <c r="AF174" s="236">
        <f t="shared" si="395"/>
        <v>0</v>
      </c>
      <c r="AG174" s="236">
        <v>1</v>
      </c>
      <c r="AH174" s="236">
        <v>0</v>
      </c>
      <c r="AI174" s="236">
        <f t="shared" si="371"/>
        <v>-100</v>
      </c>
      <c r="AJ174" s="210"/>
      <c r="AK174" s="254"/>
      <c r="AL174" s="254"/>
      <c r="AM174" s="255"/>
      <c r="AN174" s="255"/>
      <c r="AO174" s="255"/>
      <c r="AP174" s="255"/>
      <c r="AQ174" s="255"/>
      <c r="AR174" s="255"/>
      <c r="AS174" s="255"/>
      <c r="AT174" s="255"/>
      <c r="AU174" s="255"/>
      <c r="AV174" s="255"/>
      <c r="AW174" s="255"/>
      <c r="AX174" s="210"/>
      <c r="AY174" s="236" cm="1">
        <f t="array" ref="AY174">INDEX(Use, $AD174, 4)</f>
        <v>7</v>
      </c>
      <c r="AZ174" s="236">
        <f t="shared" si="372"/>
        <v>32</v>
      </c>
      <c r="BA174" s="236">
        <f t="shared" si="239"/>
        <v>13</v>
      </c>
      <c r="BB174" s="236">
        <f t="shared" si="240"/>
        <v>0</v>
      </c>
      <c r="BC174" s="252" cm="1">
        <f t="array" ref="BC174">K174/IF($L174&gt;0, INDEX($AO$23:$AU$77, $L174+20, $AD174), 1)</f>
        <v>0</v>
      </c>
      <c r="BD174" s="237">
        <f t="shared" si="373"/>
        <v>0</v>
      </c>
      <c r="BE174" s="236">
        <v>35</v>
      </c>
      <c r="BF174" s="237">
        <f t="shared" si="374"/>
        <v>52.55</v>
      </c>
      <c r="BG174" s="253">
        <f t="shared" si="375"/>
        <v>2.7676728869374316</v>
      </c>
      <c r="BH174" s="253" cm="1">
        <f t="array" ref="BH174">$BC174 * SUMPRODUCT(INDEX($AL$77:$AN$82,,$AE174),INDEX($AO$77:$AU$82,,$AD174), N($AK$77:$AK$82&gt;$AI174)) / BG174 / 1000</f>
        <v>0</v>
      </c>
      <c r="BI174" s="250">
        <f t="shared" si="244"/>
        <v>30</v>
      </c>
      <c r="BJ174" s="237">
        <f t="shared" si="376"/>
        <v>46.033333333333331</v>
      </c>
      <c r="BK174" s="253">
        <f t="shared" si="377"/>
        <v>3.2297395388556791</v>
      </c>
      <c r="BL174" s="253" cm="1">
        <f t="array" ref="BL174">$BC174 * IF($AD174&lt;=2,
SUMPRODUCT(INDEX($AL$72:$AN$76,,$AE174), INDEX($AO$72:$AU$76,,$AD174), 1 / ($AV$72:$AV$76*BK174 + (1-$AV$72:$AV$76)*BG174), N($AK$72:$AK$76&gt;$AI174)),
SUMPRODUCT(INDEX($AL$67:$AN$76,,$AE174), INDEX($AO$67:$AU$76,,$AD174), 1 / ($AW$67:$AW$76*BK174 + (1-$AW$67:$AW$76)*BG174), N($AK$67:$AK$76&gt;$AI174))
) / 1000</f>
        <v>0</v>
      </c>
      <c r="BM174" s="250">
        <f t="shared" si="247"/>
        <v>25</v>
      </c>
      <c r="BN174" s="237">
        <f t="shared" si="378"/>
        <v>39.516666666666666</v>
      </c>
      <c r="BO174" s="253">
        <f t="shared" si="379"/>
        <v>3.877011788826243</v>
      </c>
      <c r="BP174" s="253" cm="1">
        <f t="array" ref="BP174">$BC174 * IF($AD174&lt;=2,
SUMPRODUCT(INDEX($AL$67:$AN$71,,$AE174), INDEX($AO$67:$AU$71,,$AD174), 1 / ($AV$67:$AV$71*BO174 + (1-$AV$67:$AV$71)*BK174), N($AK$67:$AK$71&gt;$AI174)),
SUMPRODUCT(INDEX($AL$57:$AN$66,,$AE174), INDEX($AO$57:$AU$66,,$AD174), 1 / ($AW$57:$AW$66*BO174 + (1-$AW$57:$AW$66)*BK174), N($AK$57:$AK$66&gt;$AI174))
) / 1000</f>
        <v>0</v>
      </c>
      <c r="BQ174" s="250">
        <f t="shared" si="250"/>
        <v>20</v>
      </c>
      <c r="BR174" s="237">
        <f t="shared" si="380"/>
        <v>33</v>
      </c>
      <c r="BS174" s="253">
        <f t="shared" si="381"/>
        <v>4.8487499999999999</v>
      </c>
      <c r="BT174" s="253" cm="1">
        <f t="array" ref="BT174">$BC174 * IF($AD174&lt;=2,
SUMPRODUCT(INDEX($AL$62:$AN$66,,$AE174), INDEX($AO$62:$AU$66,,$AD174), 1 / ($AV$62:$AV$66*BS174 + (1-$AV$62:$AV$66)*BO174), N($AK$62:$AK$66&gt;$AI174)),
SUMPRODUCT(INDEX($AL$47:$AN$56,,$AE174), INDEX($AO$47:$AU$56,,$AD174), 1 / ($AW$47:$AW$56*BS174 + (1-$AW$47:$AW$56)*BO174), N($AK$47:$AK$56&gt;$AI174))
) / 1000</f>
        <v>0</v>
      </c>
      <c r="BU174" s="253" cm="1">
        <f t="array" ref="BU174">$BC174 * IF($AD174&lt;=2,
SUMPRODUCT(INDEX($AL$23:$AN$61,,$AE174), INDEX($AO$23:$AU$61,,$AD174), 1 / ($AV$23:$AV$61*BS174), N($AK$23:$AK$61&gt;$AI174)),
SUMPRODUCT(INDEX($AL$23:$AN$46,,$AE174), INDEX($AO$23:$AU$46,,$AD174), 1 / ($AW$23:$AW$46*BS174), N($AK$23:$AK$46&gt;$AI174))
) / 1000</f>
        <v>0</v>
      </c>
      <c r="BV174" s="237">
        <f t="shared" si="382"/>
        <v>0</v>
      </c>
      <c r="BW174" s="210"/>
      <c r="BX174" s="237">
        <f t="shared" si="383"/>
        <v>0</v>
      </c>
      <c r="BY174" s="236">
        <v>35</v>
      </c>
      <c r="BZ174" s="237">
        <f t="shared" si="384"/>
        <v>48</v>
      </c>
      <c r="CA174" s="253">
        <f t="shared" si="385"/>
        <v>3.0748170731707316</v>
      </c>
      <c r="CB174" s="253" cm="1">
        <f t="array" ref="CB174">$BC174 * SUMPRODUCT(INDEX($AL$77:$AN$82,,$AE174),INDEX($AO$77:$AU$82,,$AD174), N($AK$77:$AK$82&gt;$AI174)) / CA174 / 1000</f>
        <v>0</v>
      </c>
      <c r="CC174" s="250">
        <f t="shared" si="257"/>
        <v>30</v>
      </c>
      <c r="CD174" s="237">
        <f t="shared" si="386"/>
        <v>43</v>
      </c>
      <c r="CE174" s="253">
        <f t="shared" si="387"/>
        <v>3.5018750000000001</v>
      </c>
      <c r="CF174" s="253" cm="1">
        <f t="array" ref="CF174">$BC174 * IF($AD174&lt;=2,
SUMPRODUCT(INDEX($AL$72:$AN$76,,$AE174), INDEX($AO$72:$AU$76,,$AD174), 1 / ($AV$72:$AV$76*CE174 + (1-$AV$72:$AV$76)*CA174), N($AK$72:$AK$76&gt;$AI174)),
SUMPRODUCT(INDEX($AL$67:$AN$76,,$AE174), INDEX($AO$67:$AU$76,,$AD174), 1 / ($AW$67:$AW$76*CE174 + (1-$AW$67:$AW$76)*CA174), N($AK$67:$AK$76&gt;$AI174))
) / 1000</f>
        <v>0</v>
      </c>
      <c r="CG174" s="250">
        <f t="shared" si="260"/>
        <v>25</v>
      </c>
      <c r="CH174" s="237">
        <f t="shared" si="388"/>
        <v>38</v>
      </c>
      <c r="CI174" s="253">
        <f t="shared" si="389"/>
        <v>4.0666935483870965</v>
      </c>
      <c r="CJ174" s="253" cm="1">
        <f t="array" ref="CJ174">$BC174 * IF($AD174&lt;=2,
SUMPRODUCT(INDEX($AL$67:$AN$71,,$AE174), INDEX($AO$67:$AU$71,,$AD174), 1 / ($AV$67:$AV$71*CI174 + (1-$AV$67:$AV$71)*CE174), N($AK$67:$AK$71&gt;$AI174)),
SUMPRODUCT(INDEX($AL$57:$AN$66,,$AE174), INDEX($AO$57:$AU$66,,$AD174), 1 / ($AW$57:$AW$66*CI174 + (1-$AW$57:$AW$66)*CE174), N($AK$57:$AK$66&gt;$AI174))
) / 1000</f>
        <v>0</v>
      </c>
      <c r="CK174" s="250">
        <f t="shared" si="263"/>
        <v>20</v>
      </c>
      <c r="CL174" s="237">
        <f t="shared" si="390"/>
        <v>33</v>
      </c>
      <c r="CM174" s="253">
        <f t="shared" si="391"/>
        <v>4.8487499999999999</v>
      </c>
      <c r="CN174" s="253" cm="1">
        <f t="array" ref="CN174">$BC174 * IF($AD174&lt;=2,
SUMPRODUCT(INDEX($AL$62:$AN$66,,$AE174), INDEX($AO$62:$AU$66,,$AD174), 1 / ($AV$62:$AV$66*CM174 + (1-$AV$62:$AV$66)*CI174), N($AK$62:$AK$66&gt;$AI174)),
SUMPRODUCT(INDEX($AL$47:$AN$56,,$AE174), INDEX($AO$47:$AU$56,,$AD174), 1 / ($AW$47:$AW$56*CM174 + (1-$AW$47:$AW$56)*CI174), N($AK$47:$AK$56&gt;$AI174))
) / 1000</f>
        <v>0</v>
      </c>
      <c r="CO174" s="253" cm="1">
        <f t="array" ref="CO174">$BC174 * IF($AD174&lt;=2,
SUMPRODUCT(INDEX($AL$23:$AN$61,,$AE174), INDEX($AO$23:$AU$61,,$AD174), 1 / ($AV$23:$AV$61*CM174), N($AK$23:$AK$61&gt;$AI174)),
SUMPRODUCT(INDEX($AL$23:$AN$46,,$AE174), INDEX($AO$23:$AU$46,,$AD174), 1 / ($AW$23:$AW$46*CM174), N($AK$23:$AK$46&gt;$AI174))
) / 1000</f>
        <v>0</v>
      </c>
      <c r="CP174" s="237">
        <f t="shared" si="392"/>
        <v>0</v>
      </c>
      <c r="CQ174" s="210"/>
    </row>
    <row r="175" spans="1:95" s="76" customFormat="1" ht="14.25" customHeight="1" x14ac:dyDescent="0.2">
      <c r="A175" s="238" t="b">
        <f t="shared" si="227"/>
        <v>0</v>
      </c>
      <c r="B175" s="239">
        <v>153</v>
      </c>
      <c r="C175" s="258"/>
      <c r="D175" s="258"/>
      <c r="E175" s="240"/>
      <c r="F175" s="241" t="str">
        <f>IF(ISBLANK(E175), "", VLOOKUP(E175, Z!$A$2:$C$4127, 3, FALSE))</f>
        <v/>
      </c>
      <c r="G175" s="242"/>
      <c r="H175" s="242"/>
      <c r="I175" s="243"/>
      <c r="J175" s="244"/>
      <c r="K175" s="259"/>
      <c r="L175" s="260"/>
      <c r="M175" s="247" t="str" cm="1">
        <f t="array" ref="M175">IF($K175&gt;0, INDEX(Clean,1+AG175,$C$1), "")</f>
        <v/>
      </c>
      <c r="N175" s="245"/>
      <c r="O175" s="245"/>
      <c r="P175" s="246"/>
      <c r="Q175" s="248">
        <f t="shared" si="369"/>
        <v>0</v>
      </c>
      <c r="R175" s="247" t="str" cm="1">
        <f t="array" ref="R175">IF($K175&gt;0, INDEX(Clean,1+AH175,$C$1), "")</f>
        <v/>
      </c>
      <c r="S175" s="245"/>
      <c r="T175" s="245"/>
      <c r="U175" s="246"/>
      <c r="V175" s="248">
        <f t="shared" si="370"/>
        <v>0</v>
      </c>
      <c r="W175" s="261"/>
      <c r="X175" s="258"/>
      <c r="Y175" s="240"/>
      <c r="Z175" s="241" t="str">
        <f>IF(ISBLANK(Y175), "", VLOOKUP(Y175, Z!$A$2:$C$4127, 3, FALSE))</f>
        <v/>
      </c>
      <c r="AA175" s="262"/>
      <c r="AB175" s="249">
        <f t="shared" si="396"/>
        <v>0</v>
      </c>
      <c r="AC175" s="210"/>
      <c r="AD175" s="236">
        <f t="shared" si="393"/>
        <v>1</v>
      </c>
      <c r="AE175" s="236">
        <f t="shared" si="394"/>
        <v>1</v>
      </c>
      <c r="AF175" s="236">
        <f t="shared" si="395"/>
        <v>0</v>
      </c>
      <c r="AG175" s="236">
        <v>1</v>
      </c>
      <c r="AH175" s="236">
        <v>0</v>
      </c>
      <c r="AI175" s="236">
        <f t="shared" si="371"/>
        <v>-100</v>
      </c>
      <c r="AJ175" s="210"/>
      <c r="AK175" s="254"/>
      <c r="AL175" s="254"/>
      <c r="AM175" s="255"/>
      <c r="AN175" s="255"/>
      <c r="AO175" s="255"/>
      <c r="AP175" s="255"/>
      <c r="AQ175" s="255"/>
      <c r="AR175" s="255"/>
      <c r="AS175" s="255"/>
      <c r="AT175" s="255"/>
      <c r="AU175" s="255"/>
      <c r="AV175" s="255"/>
      <c r="AW175" s="255"/>
      <c r="AX175" s="210"/>
      <c r="AY175" s="236" cm="1">
        <f t="array" ref="AY175">INDEX(Use, $AD175, 4)</f>
        <v>7</v>
      </c>
      <c r="AZ175" s="236">
        <f t="shared" si="372"/>
        <v>32</v>
      </c>
      <c r="BA175" s="236">
        <f t="shared" si="239"/>
        <v>13</v>
      </c>
      <c r="BB175" s="236">
        <f t="shared" si="240"/>
        <v>0</v>
      </c>
      <c r="BC175" s="252" cm="1">
        <f t="array" ref="BC175">K175/IF($L175&gt;0, INDEX($AO$23:$AU$77, $L175+20, $AD175), 1)</f>
        <v>0</v>
      </c>
      <c r="BD175" s="237">
        <f t="shared" si="373"/>
        <v>0</v>
      </c>
      <c r="BE175" s="236">
        <v>35</v>
      </c>
      <c r="BF175" s="237">
        <f t="shared" si="374"/>
        <v>52.55</v>
      </c>
      <c r="BG175" s="253">
        <f t="shared" si="375"/>
        <v>2.7676728869374316</v>
      </c>
      <c r="BH175" s="253" cm="1">
        <f t="array" ref="BH175">$BC175 * SUMPRODUCT(INDEX($AL$77:$AN$82,,$AE175),INDEX($AO$77:$AU$82,,$AD175), N($AK$77:$AK$82&gt;$AI175)) / BG175 / 1000</f>
        <v>0</v>
      </c>
      <c r="BI175" s="250">
        <f t="shared" si="244"/>
        <v>30</v>
      </c>
      <c r="BJ175" s="237">
        <f t="shared" si="376"/>
        <v>46.033333333333331</v>
      </c>
      <c r="BK175" s="253">
        <f t="shared" si="377"/>
        <v>3.2297395388556791</v>
      </c>
      <c r="BL175" s="253" cm="1">
        <f t="array" ref="BL175">$BC175 * IF($AD175&lt;=2,
SUMPRODUCT(INDEX($AL$72:$AN$76,,$AE175), INDEX($AO$72:$AU$76,,$AD175), 1 / ($AV$72:$AV$76*BK175 + (1-$AV$72:$AV$76)*BG175), N($AK$72:$AK$76&gt;$AI175)),
SUMPRODUCT(INDEX($AL$67:$AN$76,,$AE175), INDEX($AO$67:$AU$76,,$AD175), 1 / ($AW$67:$AW$76*BK175 + (1-$AW$67:$AW$76)*BG175), N($AK$67:$AK$76&gt;$AI175))
) / 1000</f>
        <v>0</v>
      </c>
      <c r="BM175" s="250">
        <f t="shared" si="247"/>
        <v>25</v>
      </c>
      <c r="BN175" s="237">
        <f t="shared" si="378"/>
        <v>39.516666666666666</v>
      </c>
      <c r="BO175" s="253">
        <f t="shared" si="379"/>
        <v>3.877011788826243</v>
      </c>
      <c r="BP175" s="253" cm="1">
        <f t="array" ref="BP175">$BC175 * IF($AD175&lt;=2,
SUMPRODUCT(INDEX($AL$67:$AN$71,,$AE175), INDEX($AO$67:$AU$71,,$AD175), 1 / ($AV$67:$AV$71*BO175 + (1-$AV$67:$AV$71)*BK175), N($AK$67:$AK$71&gt;$AI175)),
SUMPRODUCT(INDEX($AL$57:$AN$66,,$AE175), INDEX($AO$57:$AU$66,,$AD175), 1 / ($AW$57:$AW$66*BO175 + (1-$AW$57:$AW$66)*BK175), N($AK$57:$AK$66&gt;$AI175))
) / 1000</f>
        <v>0</v>
      </c>
      <c r="BQ175" s="250">
        <f t="shared" si="250"/>
        <v>20</v>
      </c>
      <c r="BR175" s="237">
        <f t="shared" si="380"/>
        <v>33</v>
      </c>
      <c r="BS175" s="253">
        <f t="shared" si="381"/>
        <v>4.8487499999999999</v>
      </c>
      <c r="BT175" s="253" cm="1">
        <f t="array" ref="BT175">$BC175 * IF($AD175&lt;=2,
SUMPRODUCT(INDEX($AL$62:$AN$66,,$AE175), INDEX($AO$62:$AU$66,,$AD175), 1 / ($AV$62:$AV$66*BS175 + (1-$AV$62:$AV$66)*BO175), N($AK$62:$AK$66&gt;$AI175)),
SUMPRODUCT(INDEX($AL$47:$AN$56,,$AE175), INDEX($AO$47:$AU$56,,$AD175), 1 / ($AW$47:$AW$56*BS175 + (1-$AW$47:$AW$56)*BO175), N($AK$47:$AK$56&gt;$AI175))
) / 1000</f>
        <v>0</v>
      </c>
      <c r="BU175" s="253" cm="1">
        <f t="array" ref="BU175">$BC175 * IF($AD175&lt;=2,
SUMPRODUCT(INDEX($AL$23:$AN$61,,$AE175), INDEX($AO$23:$AU$61,,$AD175), 1 / ($AV$23:$AV$61*BS175), N($AK$23:$AK$61&gt;$AI175)),
SUMPRODUCT(INDEX($AL$23:$AN$46,,$AE175), INDEX($AO$23:$AU$46,,$AD175), 1 / ($AW$23:$AW$46*BS175), N($AK$23:$AK$46&gt;$AI175))
) / 1000</f>
        <v>0</v>
      </c>
      <c r="BV175" s="237">
        <f t="shared" si="382"/>
        <v>0</v>
      </c>
      <c r="BW175" s="210"/>
      <c r="BX175" s="237">
        <f t="shared" si="383"/>
        <v>0</v>
      </c>
      <c r="BY175" s="236">
        <v>35</v>
      </c>
      <c r="BZ175" s="237">
        <f t="shared" si="384"/>
        <v>48</v>
      </c>
      <c r="CA175" s="253">
        <f t="shared" si="385"/>
        <v>3.0748170731707316</v>
      </c>
      <c r="CB175" s="253" cm="1">
        <f t="array" ref="CB175">$BC175 * SUMPRODUCT(INDEX($AL$77:$AN$82,,$AE175),INDEX($AO$77:$AU$82,,$AD175), N($AK$77:$AK$82&gt;$AI175)) / CA175 / 1000</f>
        <v>0</v>
      </c>
      <c r="CC175" s="250">
        <f t="shared" si="257"/>
        <v>30</v>
      </c>
      <c r="CD175" s="237">
        <f t="shared" si="386"/>
        <v>43</v>
      </c>
      <c r="CE175" s="253">
        <f t="shared" si="387"/>
        <v>3.5018750000000001</v>
      </c>
      <c r="CF175" s="253" cm="1">
        <f t="array" ref="CF175">$BC175 * IF($AD175&lt;=2,
SUMPRODUCT(INDEX($AL$72:$AN$76,,$AE175), INDEX($AO$72:$AU$76,,$AD175), 1 / ($AV$72:$AV$76*CE175 + (1-$AV$72:$AV$76)*CA175), N($AK$72:$AK$76&gt;$AI175)),
SUMPRODUCT(INDEX($AL$67:$AN$76,,$AE175), INDEX($AO$67:$AU$76,,$AD175), 1 / ($AW$67:$AW$76*CE175 + (1-$AW$67:$AW$76)*CA175), N($AK$67:$AK$76&gt;$AI175))
) / 1000</f>
        <v>0</v>
      </c>
      <c r="CG175" s="250">
        <f t="shared" si="260"/>
        <v>25</v>
      </c>
      <c r="CH175" s="237">
        <f t="shared" si="388"/>
        <v>38</v>
      </c>
      <c r="CI175" s="253">
        <f t="shared" si="389"/>
        <v>4.0666935483870965</v>
      </c>
      <c r="CJ175" s="253" cm="1">
        <f t="array" ref="CJ175">$BC175 * IF($AD175&lt;=2,
SUMPRODUCT(INDEX($AL$67:$AN$71,,$AE175), INDEX($AO$67:$AU$71,,$AD175), 1 / ($AV$67:$AV$71*CI175 + (1-$AV$67:$AV$71)*CE175), N($AK$67:$AK$71&gt;$AI175)),
SUMPRODUCT(INDEX($AL$57:$AN$66,,$AE175), INDEX($AO$57:$AU$66,,$AD175), 1 / ($AW$57:$AW$66*CI175 + (1-$AW$57:$AW$66)*CE175), N($AK$57:$AK$66&gt;$AI175))
) / 1000</f>
        <v>0</v>
      </c>
      <c r="CK175" s="250">
        <f t="shared" si="263"/>
        <v>20</v>
      </c>
      <c r="CL175" s="237">
        <f t="shared" si="390"/>
        <v>33</v>
      </c>
      <c r="CM175" s="253">
        <f t="shared" si="391"/>
        <v>4.8487499999999999</v>
      </c>
      <c r="CN175" s="253" cm="1">
        <f t="array" ref="CN175">$BC175 * IF($AD175&lt;=2,
SUMPRODUCT(INDEX($AL$62:$AN$66,,$AE175), INDEX($AO$62:$AU$66,,$AD175), 1 / ($AV$62:$AV$66*CM175 + (1-$AV$62:$AV$66)*CI175), N($AK$62:$AK$66&gt;$AI175)),
SUMPRODUCT(INDEX($AL$47:$AN$56,,$AE175), INDEX($AO$47:$AU$56,,$AD175), 1 / ($AW$47:$AW$56*CM175 + (1-$AW$47:$AW$56)*CI175), N($AK$47:$AK$56&gt;$AI175))
) / 1000</f>
        <v>0</v>
      </c>
      <c r="CO175" s="253" cm="1">
        <f t="array" ref="CO175">$BC175 * IF($AD175&lt;=2,
SUMPRODUCT(INDEX($AL$23:$AN$61,,$AE175), INDEX($AO$23:$AU$61,,$AD175), 1 / ($AV$23:$AV$61*CM175), N($AK$23:$AK$61&gt;$AI175)),
SUMPRODUCT(INDEX($AL$23:$AN$46,,$AE175), INDEX($AO$23:$AU$46,,$AD175), 1 / ($AW$23:$AW$46*CM175), N($AK$23:$AK$46&gt;$AI175))
) / 1000</f>
        <v>0</v>
      </c>
      <c r="CP175" s="237">
        <f t="shared" si="392"/>
        <v>0</v>
      </c>
      <c r="CQ175" s="210"/>
    </row>
    <row r="176" spans="1:95" s="76" customFormat="1" ht="14.25" customHeight="1" x14ac:dyDescent="0.2">
      <c r="A176" s="238" t="b">
        <f t="shared" si="227"/>
        <v>0</v>
      </c>
      <c r="B176" s="239">
        <v>154</v>
      </c>
      <c r="C176" s="258"/>
      <c r="D176" s="258"/>
      <c r="E176" s="240"/>
      <c r="F176" s="241" t="str">
        <f>IF(ISBLANK(E176), "", VLOOKUP(E176, Z!$A$2:$C$4127, 3, FALSE))</f>
        <v/>
      </c>
      <c r="G176" s="242"/>
      <c r="H176" s="242"/>
      <c r="I176" s="243"/>
      <c r="J176" s="244"/>
      <c r="K176" s="259"/>
      <c r="L176" s="260"/>
      <c r="M176" s="247" t="str" cm="1">
        <f t="array" ref="M176">IF($K176&gt;0, INDEX(Clean,1+AG176,$C$1), "")</f>
        <v/>
      </c>
      <c r="N176" s="245"/>
      <c r="O176" s="245"/>
      <c r="P176" s="246"/>
      <c r="Q176" s="248">
        <f t="shared" si="369"/>
        <v>0</v>
      </c>
      <c r="R176" s="247" t="str" cm="1">
        <f t="array" ref="R176">IF($K176&gt;0, INDEX(Clean,1+AH176,$C$1), "")</f>
        <v/>
      </c>
      <c r="S176" s="245"/>
      <c r="T176" s="245"/>
      <c r="U176" s="246"/>
      <c r="V176" s="248">
        <f t="shared" si="370"/>
        <v>0</v>
      </c>
      <c r="W176" s="261"/>
      <c r="X176" s="258"/>
      <c r="Y176" s="240"/>
      <c r="Z176" s="241" t="str">
        <f>IF(ISBLANK(Y176), "", VLOOKUP(Y176, Z!$A$2:$C$4127, 3, FALSE))</f>
        <v/>
      </c>
      <c r="AA176" s="262"/>
      <c r="AB176" s="249">
        <f t="shared" si="396"/>
        <v>0</v>
      </c>
      <c r="AC176" s="210"/>
      <c r="AD176" s="236">
        <f t="shared" si="393"/>
        <v>1</v>
      </c>
      <c r="AE176" s="236">
        <f t="shared" si="394"/>
        <v>1</v>
      </c>
      <c r="AF176" s="236">
        <f t="shared" si="395"/>
        <v>0</v>
      </c>
      <c r="AG176" s="236">
        <v>1</v>
      </c>
      <c r="AH176" s="236">
        <v>0</v>
      </c>
      <c r="AI176" s="236">
        <f t="shared" si="371"/>
        <v>-100</v>
      </c>
      <c r="AJ176" s="210"/>
      <c r="AK176" s="254"/>
      <c r="AL176" s="254"/>
      <c r="AM176" s="255"/>
      <c r="AN176" s="255"/>
      <c r="AO176" s="255"/>
      <c r="AP176" s="255"/>
      <c r="AQ176" s="255"/>
      <c r="AR176" s="255"/>
      <c r="AS176" s="255"/>
      <c r="AT176" s="255"/>
      <c r="AU176" s="255"/>
      <c r="AV176" s="255"/>
      <c r="AW176" s="255"/>
      <c r="AX176" s="210"/>
      <c r="AY176" s="236" cm="1">
        <f t="array" ref="AY176">INDEX(Use, $AD176, 4)</f>
        <v>7</v>
      </c>
      <c r="AZ176" s="236">
        <f t="shared" si="372"/>
        <v>32</v>
      </c>
      <c r="BA176" s="236">
        <f t="shared" si="239"/>
        <v>13</v>
      </c>
      <c r="BB176" s="236">
        <f t="shared" si="240"/>
        <v>0</v>
      </c>
      <c r="BC176" s="252" cm="1">
        <f t="array" ref="BC176">K176/IF($L176&gt;0, INDEX($AO$23:$AU$77, $L176+20, $AD176), 1)</f>
        <v>0</v>
      </c>
      <c r="BD176" s="237">
        <f t="shared" si="373"/>
        <v>0</v>
      </c>
      <c r="BE176" s="236">
        <v>35</v>
      </c>
      <c r="BF176" s="237">
        <f t="shared" si="374"/>
        <v>52.55</v>
      </c>
      <c r="BG176" s="253">
        <f t="shared" si="375"/>
        <v>2.7676728869374316</v>
      </c>
      <c r="BH176" s="253" cm="1">
        <f t="array" ref="BH176">$BC176 * SUMPRODUCT(INDEX($AL$77:$AN$82,,$AE176),INDEX($AO$77:$AU$82,,$AD176), N($AK$77:$AK$82&gt;$AI176)) / BG176 / 1000</f>
        <v>0</v>
      </c>
      <c r="BI176" s="250">
        <f t="shared" si="244"/>
        <v>30</v>
      </c>
      <c r="BJ176" s="237">
        <f t="shared" si="376"/>
        <v>46.033333333333331</v>
      </c>
      <c r="BK176" s="253">
        <f t="shared" si="377"/>
        <v>3.2297395388556791</v>
      </c>
      <c r="BL176" s="253" cm="1">
        <f t="array" ref="BL176">$BC176 * IF($AD176&lt;=2,
SUMPRODUCT(INDEX($AL$72:$AN$76,,$AE176), INDEX($AO$72:$AU$76,,$AD176), 1 / ($AV$72:$AV$76*BK176 + (1-$AV$72:$AV$76)*BG176), N($AK$72:$AK$76&gt;$AI176)),
SUMPRODUCT(INDEX($AL$67:$AN$76,,$AE176), INDEX($AO$67:$AU$76,,$AD176), 1 / ($AW$67:$AW$76*BK176 + (1-$AW$67:$AW$76)*BG176), N($AK$67:$AK$76&gt;$AI176))
) / 1000</f>
        <v>0</v>
      </c>
      <c r="BM176" s="250">
        <f t="shared" si="247"/>
        <v>25</v>
      </c>
      <c r="BN176" s="237">
        <f t="shared" si="378"/>
        <v>39.516666666666666</v>
      </c>
      <c r="BO176" s="253">
        <f t="shared" si="379"/>
        <v>3.877011788826243</v>
      </c>
      <c r="BP176" s="253" cm="1">
        <f t="array" ref="BP176">$BC176 * IF($AD176&lt;=2,
SUMPRODUCT(INDEX($AL$67:$AN$71,,$AE176), INDEX($AO$67:$AU$71,,$AD176), 1 / ($AV$67:$AV$71*BO176 + (1-$AV$67:$AV$71)*BK176), N($AK$67:$AK$71&gt;$AI176)),
SUMPRODUCT(INDEX($AL$57:$AN$66,,$AE176), INDEX($AO$57:$AU$66,,$AD176), 1 / ($AW$57:$AW$66*BO176 + (1-$AW$57:$AW$66)*BK176), N($AK$57:$AK$66&gt;$AI176))
) / 1000</f>
        <v>0</v>
      </c>
      <c r="BQ176" s="250">
        <f t="shared" si="250"/>
        <v>20</v>
      </c>
      <c r="BR176" s="237">
        <f t="shared" si="380"/>
        <v>33</v>
      </c>
      <c r="BS176" s="253">
        <f t="shared" si="381"/>
        <v>4.8487499999999999</v>
      </c>
      <c r="BT176" s="253" cm="1">
        <f t="array" ref="BT176">$BC176 * IF($AD176&lt;=2,
SUMPRODUCT(INDEX($AL$62:$AN$66,,$AE176), INDEX($AO$62:$AU$66,,$AD176), 1 / ($AV$62:$AV$66*BS176 + (1-$AV$62:$AV$66)*BO176), N($AK$62:$AK$66&gt;$AI176)),
SUMPRODUCT(INDEX($AL$47:$AN$56,,$AE176), INDEX($AO$47:$AU$56,,$AD176), 1 / ($AW$47:$AW$56*BS176 + (1-$AW$47:$AW$56)*BO176), N($AK$47:$AK$56&gt;$AI176))
) / 1000</f>
        <v>0</v>
      </c>
      <c r="BU176" s="253" cm="1">
        <f t="array" ref="BU176">$BC176 * IF($AD176&lt;=2,
SUMPRODUCT(INDEX($AL$23:$AN$61,,$AE176), INDEX($AO$23:$AU$61,,$AD176), 1 / ($AV$23:$AV$61*BS176), N($AK$23:$AK$61&gt;$AI176)),
SUMPRODUCT(INDEX($AL$23:$AN$46,,$AE176), INDEX($AO$23:$AU$46,,$AD176), 1 / ($AW$23:$AW$46*BS176), N($AK$23:$AK$46&gt;$AI176))
) / 1000</f>
        <v>0</v>
      </c>
      <c r="BV176" s="237">
        <f t="shared" si="382"/>
        <v>0</v>
      </c>
      <c r="BW176" s="210"/>
      <c r="BX176" s="237">
        <f t="shared" si="383"/>
        <v>0</v>
      </c>
      <c r="BY176" s="236">
        <v>35</v>
      </c>
      <c r="BZ176" s="237">
        <f t="shared" si="384"/>
        <v>48</v>
      </c>
      <c r="CA176" s="253">
        <f t="shared" si="385"/>
        <v>3.0748170731707316</v>
      </c>
      <c r="CB176" s="253" cm="1">
        <f t="array" ref="CB176">$BC176 * SUMPRODUCT(INDEX($AL$77:$AN$82,,$AE176),INDEX($AO$77:$AU$82,,$AD176), N($AK$77:$AK$82&gt;$AI176)) / CA176 / 1000</f>
        <v>0</v>
      </c>
      <c r="CC176" s="250">
        <f t="shared" si="257"/>
        <v>30</v>
      </c>
      <c r="CD176" s="237">
        <f t="shared" si="386"/>
        <v>43</v>
      </c>
      <c r="CE176" s="253">
        <f t="shared" si="387"/>
        <v>3.5018750000000001</v>
      </c>
      <c r="CF176" s="253" cm="1">
        <f t="array" ref="CF176">$BC176 * IF($AD176&lt;=2,
SUMPRODUCT(INDEX($AL$72:$AN$76,,$AE176), INDEX($AO$72:$AU$76,,$AD176), 1 / ($AV$72:$AV$76*CE176 + (1-$AV$72:$AV$76)*CA176), N($AK$72:$AK$76&gt;$AI176)),
SUMPRODUCT(INDEX($AL$67:$AN$76,,$AE176), INDEX($AO$67:$AU$76,,$AD176), 1 / ($AW$67:$AW$76*CE176 + (1-$AW$67:$AW$76)*CA176), N($AK$67:$AK$76&gt;$AI176))
) / 1000</f>
        <v>0</v>
      </c>
      <c r="CG176" s="250">
        <f t="shared" si="260"/>
        <v>25</v>
      </c>
      <c r="CH176" s="237">
        <f t="shared" si="388"/>
        <v>38</v>
      </c>
      <c r="CI176" s="253">
        <f t="shared" si="389"/>
        <v>4.0666935483870965</v>
      </c>
      <c r="CJ176" s="253" cm="1">
        <f t="array" ref="CJ176">$BC176 * IF($AD176&lt;=2,
SUMPRODUCT(INDEX($AL$67:$AN$71,,$AE176), INDEX($AO$67:$AU$71,,$AD176), 1 / ($AV$67:$AV$71*CI176 + (1-$AV$67:$AV$71)*CE176), N($AK$67:$AK$71&gt;$AI176)),
SUMPRODUCT(INDEX($AL$57:$AN$66,,$AE176), INDEX($AO$57:$AU$66,,$AD176), 1 / ($AW$57:$AW$66*CI176 + (1-$AW$57:$AW$66)*CE176), N($AK$57:$AK$66&gt;$AI176))
) / 1000</f>
        <v>0</v>
      </c>
      <c r="CK176" s="250">
        <f t="shared" si="263"/>
        <v>20</v>
      </c>
      <c r="CL176" s="237">
        <f t="shared" si="390"/>
        <v>33</v>
      </c>
      <c r="CM176" s="253">
        <f t="shared" si="391"/>
        <v>4.8487499999999999</v>
      </c>
      <c r="CN176" s="253" cm="1">
        <f t="array" ref="CN176">$BC176 * IF($AD176&lt;=2,
SUMPRODUCT(INDEX($AL$62:$AN$66,,$AE176), INDEX($AO$62:$AU$66,,$AD176), 1 / ($AV$62:$AV$66*CM176 + (1-$AV$62:$AV$66)*CI176), N($AK$62:$AK$66&gt;$AI176)),
SUMPRODUCT(INDEX($AL$47:$AN$56,,$AE176), INDEX($AO$47:$AU$56,,$AD176), 1 / ($AW$47:$AW$56*CM176 + (1-$AW$47:$AW$56)*CI176), N($AK$47:$AK$56&gt;$AI176))
) / 1000</f>
        <v>0</v>
      </c>
      <c r="CO176" s="253" cm="1">
        <f t="array" ref="CO176">$BC176 * IF($AD176&lt;=2,
SUMPRODUCT(INDEX($AL$23:$AN$61,,$AE176), INDEX($AO$23:$AU$61,,$AD176), 1 / ($AV$23:$AV$61*CM176), N($AK$23:$AK$61&gt;$AI176)),
SUMPRODUCT(INDEX($AL$23:$AN$46,,$AE176), INDEX($AO$23:$AU$46,,$AD176), 1 / ($AW$23:$AW$46*CM176), N($AK$23:$AK$46&gt;$AI176))
) / 1000</f>
        <v>0</v>
      </c>
      <c r="CP176" s="237">
        <f t="shared" si="392"/>
        <v>0</v>
      </c>
      <c r="CQ176" s="210"/>
    </row>
    <row r="177" spans="1:95" s="76" customFormat="1" ht="14.25" customHeight="1" x14ac:dyDescent="0.2">
      <c r="A177" s="238" t="b">
        <f t="shared" si="227"/>
        <v>0</v>
      </c>
      <c r="B177" s="239">
        <v>155</v>
      </c>
      <c r="C177" s="258"/>
      <c r="D177" s="258"/>
      <c r="E177" s="240"/>
      <c r="F177" s="241" t="str">
        <f>IF(ISBLANK(E177), "", VLOOKUP(E177, Z!$A$2:$C$4127, 3, FALSE))</f>
        <v/>
      </c>
      <c r="G177" s="242"/>
      <c r="H177" s="242"/>
      <c r="I177" s="243"/>
      <c r="J177" s="244"/>
      <c r="K177" s="259"/>
      <c r="L177" s="260"/>
      <c r="M177" s="247" t="str" cm="1">
        <f t="array" ref="M177">IF($K177&gt;0, INDEX(Clean,1+AG177,$C$1), "")</f>
        <v/>
      </c>
      <c r="N177" s="245"/>
      <c r="O177" s="245"/>
      <c r="P177" s="246"/>
      <c r="Q177" s="248">
        <f t="shared" si="369"/>
        <v>0</v>
      </c>
      <c r="R177" s="247" t="str" cm="1">
        <f t="array" ref="R177">IF($K177&gt;0, INDEX(Clean,1+AH177,$C$1), "")</f>
        <v/>
      </c>
      <c r="S177" s="245"/>
      <c r="T177" s="245"/>
      <c r="U177" s="246"/>
      <c r="V177" s="248">
        <f t="shared" si="370"/>
        <v>0</v>
      </c>
      <c r="W177" s="261"/>
      <c r="X177" s="258"/>
      <c r="Y177" s="240"/>
      <c r="Z177" s="241" t="str">
        <f>IF(ISBLANK(Y177), "", VLOOKUP(Y177, Z!$A$2:$C$4127, 3, FALSE))</f>
        <v/>
      </c>
      <c r="AA177" s="262"/>
      <c r="AB177" s="249">
        <f t="shared" si="396"/>
        <v>0</v>
      </c>
      <c r="AC177" s="210"/>
      <c r="AD177" s="236">
        <f t="shared" si="393"/>
        <v>1</v>
      </c>
      <c r="AE177" s="236">
        <f t="shared" si="394"/>
        <v>1</v>
      </c>
      <c r="AF177" s="236">
        <f t="shared" si="395"/>
        <v>0</v>
      </c>
      <c r="AG177" s="236">
        <v>1</v>
      </c>
      <c r="AH177" s="236">
        <v>0</v>
      </c>
      <c r="AI177" s="236">
        <f t="shared" si="371"/>
        <v>-100</v>
      </c>
      <c r="AJ177" s="210"/>
      <c r="AK177" s="254"/>
      <c r="AL177" s="254"/>
      <c r="AM177" s="255"/>
      <c r="AN177" s="255"/>
      <c r="AO177" s="255"/>
      <c r="AP177" s="255"/>
      <c r="AQ177" s="255"/>
      <c r="AR177" s="255"/>
      <c r="AS177" s="255"/>
      <c r="AT177" s="255"/>
      <c r="AU177" s="255"/>
      <c r="AV177" s="255"/>
      <c r="AW177" s="255"/>
      <c r="AX177" s="210"/>
      <c r="AY177" s="236" cm="1">
        <f t="array" ref="AY177">INDEX(Use, $AD177, 4)</f>
        <v>7</v>
      </c>
      <c r="AZ177" s="236">
        <f t="shared" si="372"/>
        <v>32</v>
      </c>
      <c r="BA177" s="236">
        <f t="shared" si="239"/>
        <v>13</v>
      </c>
      <c r="BB177" s="236">
        <f t="shared" si="240"/>
        <v>0</v>
      </c>
      <c r="BC177" s="252" cm="1">
        <f t="array" ref="BC177">K177/IF($L177&gt;0, INDEX($AO$23:$AU$77, $L177+20, $AD177), 1)</f>
        <v>0</v>
      </c>
      <c r="BD177" s="237">
        <f t="shared" si="373"/>
        <v>0</v>
      </c>
      <c r="BE177" s="236">
        <v>35</v>
      </c>
      <c r="BF177" s="237">
        <f t="shared" si="374"/>
        <v>52.55</v>
      </c>
      <c r="BG177" s="253">
        <f t="shared" si="375"/>
        <v>2.7676728869374316</v>
      </c>
      <c r="BH177" s="253" cm="1">
        <f t="array" ref="BH177">$BC177 * SUMPRODUCT(INDEX($AL$77:$AN$82,,$AE177),INDEX($AO$77:$AU$82,,$AD177), N($AK$77:$AK$82&gt;$AI177)) / BG177 / 1000</f>
        <v>0</v>
      </c>
      <c r="BI177" s="250">
        <f t="shared" si="244"/>
        <v>30</v>
      </c>
      <c r="BJ177" s="237">
        <f t="shared" si="376"/>
        <v>46.033333333333331</v>
      </c>
      <c r="BK177" s="253">
        <f t="shared" si="377"/>
        <v>3.2297395388556791</v>
      </c>
      <c r="BL177" s="253" cm="1">
        <f t="array" ref="BL177">$BC177 * IF($AD177&lt;=2,
SUMPRODUCT(INDEX($AL$72:$AN$76,,$AE177), INDEX($AO$72:$AU$76,,$AD177), 1 / ($AV$72:$AV$76*BK177 + (1-$AV$72:$AV$76)*BG177), N($AK$72:$AK$76&gt;$AI177)),
SUMPRODUCT(INDEX($AL$67:$AN$76,,$AE177), INDEX($AO$67:$AU$76,,$AD177), 1 / ($AW$67:$AW$76*BK177 + (1-$AW$67:$AW$76)*BG177), N($AK$67:$AK$76&gt;$AI177))
) / 1000</f>
        <v>0</v>
      </c>
      <c r="BM177" s="250">
        <f t="shared" si="247"/>
        <v>25</v>
      </c>
      <c r="BN177" s="237">
        <f t="shared" si="378"/>
        <v>39.516666666666666</v>
      </c>
      <c r="BO177" s="253">
        <f t="shared" si="379"/>
        <v>3.877011788826243</v>
      </c>
      <c r="BP177" s="253" cm="1">
        <f t="array" ref="BP177">$BC177 * IF($AD177&lt;=2,
SUMPRODUCT(INDEX($AL$67:$AN$71,,$AE177), INDEX($AO$67:$AU$71,,$AD177), 1 / ($AV$67:$AV$71*BO177 + (1-$AV$67:$AV$71)*BK177), N($AK$67:$AK$71&gt;$AI177)),
SUMPRODUCT(INDEX($AL$57:$AN$66,,$AE177), INDEX($AO$57:$AU$66,,$AD177), 1 / ($AW$57:$AW$66*BO177 + (1-$AW$57:$AW$66)*BK177), N($AK$57:$AK$66&gt;$AI177))
) / 1000</f>
        <v>0</v>
      </c>
      <c r="BQ177" s="250">
        <f t="shared" si="250"/>
        <v>20</v>
      </c>
      <c r="BR177" s="237">
        <f t="shared" si="380"/>
        <v>33</v>
      </c>
      <c r="BS177" s="253">
        <f t="shared" si="381"/>
        <v>4.8487499999999999</v>
      </c>
      <c r="BT177" s="253" cm="1">
        <f t="array" ref="BT177">$BC177 * IF($AD177&lt;=2,
SUMPRODUCT(INDEX($AL$62:$AN$66,,$AE177), INDEX($AO$62:$AU$66,,$AD177), 1 / ($AV$62:$AV$66*BS177 + (1-$AV$62:$AV$66)*BO177), N($AK$62:$AK$66&gt;$AI177)),
SUMPRODUCT(INDEX($AL$47:$AN$56,,$AE177), INDEX($AO$47:$AU$56,,$AD177), 1 / ($AW$47:$AW$56*BS177 + (1-$AW$47:$AW$56)*BO177), N($AK$47:$AK$56&gt;$AI177))
) / 1000</f>
        <v>0</v>
      </c>
      <c r="BU177" s="253" cm="1">
        <f t="array" ref="BU177">$BC177 * IF($AD177&lt;=2,
SUMPRODUCT(INDEX($AL$23:$AN$61,,$AE177), INDEX($AO$23:$AU$61,,$AD177), 1 / ($AV$23:$AV$61*BS177), N($AK$23:$AK$61&gt;$AI177)),
SUMPRODUCT(INDEX($AL$23:$AN$46,,$AE177), INDEX($AO$23:$AU$46,,$AD177), 1 / ($AW$23:$AW$46*BS177), N($AK$23:$AK$46&gt;$AI177))
) / 1000</f>
        <v>0</v>
      </c>
      <c r="BV177" s="237">
        <f t="shared" si="382"/>
        <v>0</v>
      </c>
      <c r="BW177" s="210"/>
      <c r="BX177" s="237">
        <f t="shared" si="383"/>
        <v>0</v>
      </c>
      <c r="BY177" s="236">
        <v>35</v>
      </c>
      <c r="BZ177" s="237">
        <f t="shared" si="384"/>
        <v>48</v>
      </c>
      <c r="CA177" s="253">
        <f t="shared" si="385"/>
        <v>3.0748170731707316</v>
      </c>
      <c r="CB177" s="253" cm="1">
        <f t="array" ref="CB177">$BC177 * SUMPRODUCT(INDEX($AL$77:$AN$82,,$AE177),INDEX($AO$77:$AU$82,,$AD177), N($AK$77:$AK$82&gt;$AI177)) / CA177 / 1000</f>
        <v>0</v>
      </c>
      <c r="CC177" s="250">
        <f t="shared" si="257"/>
        <v>30</v>
      </c>
      <c r="CD177" s="237">
        <f t="shared" si="386"/>
        <v>43</v>
      </c>
      <c r="CE177" s="253">
        <f t="shared" si="387"/>
        <v>3.5018750000000001</v>
      </c>
      <c r="CF177" s="253" cm="1">
        <f t="array" ref="CF177">$BC177 * IF($AD177&lt;=2,
SUMPRODUCT(INDEX($AL$72:$AN$76,,$AE177), INDEX($AO$72:$AU$76,,$AD177), 1 / ($AV$72:$AV$76*CE177 + (1-$AV$72:$AV$76)*CA177), N($AK$72:$AK$76&gt;$AI177)),
SUMPRODUCT(INDEX($AL$67:$AN$76,,$AE177), INDEX($AO$67:$AU$76,,$AD177), 1 / ($AW$67:$AW$76*CE177 + (1-$AW$67:$AW$76)*CA177), N($AK$67:$AK$76&gt;$AI177))
) / 1000</f>
        <v>0</v>
      </c>
      <c r="CG177" s="250">
        <f t="shared" si="260"/>
        <v>25</v>
      </c>
      <c r="CH177" s="237">
        <f t="shared" si="388"/>
        <v>38</v>
      </c>
      <c r="CI177" s="253">
        <f t="shared" si="389"/>
        <v>4.0666935483870965</v>
      </c>
      <c r="CJ177" s="253" cm="1">
        <f t="array" ref="CJ177">$BC177 * IF($AD177&lt;=2,
SUMPRODUCT(INDEX($AL$67:$AN$71,,$AE177), INDEX($AO$67:$AU$71,,$AD177), 1 / ($AV$67:$AV$71*CI177 + (1-$AV$67:$AV$71)*CE177), N($AK$67:$AK$71&gt;$AI177)),
SUMPRODUCT(INDEX($AL$57:$AN$66,,$AE177), INDEX($AO$57:$AU$66,,$AD177), 1 / ($AW$57:$AW$66*CI177 + (1-$AW$57:$AW$66)*CE177), N($AK$57:$AK$66&gt;$AI177))
) / 1000</f>
        <v>0</v>
      </c>
      <c r="CK177" s="250">
        <f t="shared" si="263"/>
        <v>20</v>
      </c>
      <c r="CL177" s="237">
        <f t="shared" si="390"/>
        <v>33</v>
      </c>
      <c r="CM177" s="253">
        <f t="shared" si="391"/>
        <v>4.8487499999999999</v>
      </c>
      <c r="CN177" s="253" cm="1">
        <f t="array" ref="CN177">$BC177 * IF($AD177&lt;=2,
SUMPRODUCT(INDEX($AL$62:$AN$66,,$AE177), INDEX($AO$62:$AU$66,,$AD177), 1 / ($AV$62:$AV$66*CM177 + (1-$AV$62:$AV$66)*CI177), N($AK$62:$AK$66&gt;$AI177)),
SUMPRODUCT(INDEX($AL$47:$AN$56,,$AE177), INDEX($AO$47:$AU$56,,$AD177), 1 / ($AW$47:$AW$56*CM177 + (1-$AW$47:$AW$56)*CI177), N($AK$47:$AK$56&gt;$AI177))
) / 1000</f>
        <v>0</v>
      </c>
      <c r="CO177" s="253" cm="1">
        <f t="array" ref="CO177">$BC177 * IF($AD177&lt;=2,
SUMPRODUCT(INDEX($AL$23:$AN$61,,$AE177), INDEX($AO$23:$AU$61,,$AD177), 1 / ($AV$23:$AV$61*CM177), N($AK$23:$AK$61&gt;$AI177)),
SUMPRODUCT(INDEX($AL$23:$AN$46,,$AE177), INDEX($AO$23:$AU$46,,$AD177), 1 / ($AW$23:$AW$46*CM177), N($AK$23:$AK$46&gt;$AI177))
) / 1000</f>
        <v>0</v>
      </c>
      <c r="CP177" s="237">
        <f t="shared" si="392"/>
        <v>0</v>
      </c>
      <c r="CQ177" s="210"/>
    </row>
    <row r="178" spans="1:95" s="76" customFormat="1" ht="14.25" customHeight="1" x14ac:dyDescent="0.2">
      <c r="A178" s="238" t="b">
        <f t="shared" si="227"/>
        <v>0</v>
      </c>
      <c r="B178" s="239">
        <v>156</v>
      </c>
      <c r="C178" s="258"/>
      <c r="D178" s="258"/>
      <c r="E178" s="240"/>
      <c r="F178" s="241" t="str">
        <f>IF(ISBLANK(E178), "", VLOOKUP(E178, Z!$A$2:$C$4127, 3, FALSE))</f>
        <v/>
      </c>
      <c r="G178" s="242"/>
      <c r="H178" s="242"/>
      <c r="I178" s="243"/>
      <c r="J178" s="244"/>
      <c r="K178" s="259"/>
      <c r="L178" s="260"/>
      <c r="M178" s="247" t="str" cm="1">
        <f t="array" ref="M178">IF($K178&gt;0, INDEX(Clean,1+AG178,$C$1), "")</f>
        <v/>
      </c>
      <c r="N178" s="245"/>
      <c r="O178" s="245"/>
      <c r="P178" s="246"/>
      <c r="Q178" s="248">
        <f t="shared" si="369"/>
        <v>0</v>
      </c>
      <c r="R178" s="247" t="str" cm="1">
        <f t="array" ref="R178">IF($K178&gt;0, INDEX(Clean,1+AH178,$C$1), "")</f>
        <v/>
      </c>
      <c r="S178" s="245"/>
      <c r="T178" s="245"/>
      <c r="U178" s="246"/>
      <c r="V178" s="248">
        <f t="shared" si="370"/>
        <v>0</v>
      </c>
      <c r="W178" s="261"/>
      <c r="X178" s="258"/>
      <c r="Y178" s="240"/>
      <c r="Z178" s="241" t="str">
        <f>IF(ISBLANK(Y178), "", VLOOKUP(Y178, Z!$A$2:$C$4127, 3, FALSE))</f>
        <v/>
      </c>
      <c r="AA178" s="262"/>
      <c r="AB178" s="249">
        <f t="shared" si="396"/>
        <v>0</v>
      </c>
      <c r="AC178" s="210"/>
      <c r="AD178" s="236">
        <f t="shared" si="393"/>
        <v>1</v>
      </c>
      <c r="AE178" s="236">
        <f t="shared" si="394"/>
        <v>1</v>
      </c>
      <c r="AF178" s="236">
        <f t="shared" si="395"/>
        <v>0</v>
      </c>
      <c r="AG178" s="236">
        <v>1</v>
      </c>
      <c r="AH178" s="236">
        <v>0</v>
      </c>
      <c r="AI178" s="236">
        <f t="shared" si="371"/>
        <v>-100</v>
      </c>
      <c r="AJ178" s="210"/>
      <c r="AK178" s="254"/>
      <c r="AL178" s="254"/>
      <c r="AM178" s="255"/>
      <c r="AN178" s="255"/>
      <c r="AO178" s="255"/>
      <c r="AP178" s="255"/>
      <c r="AQ178" s="255"/>
      <c r="AR178" s="255"/>
      <c r="AS178" s="255"/>
      <c r="AT178" s="255"/>
      <c r="AU178" s="255"/>
      <c r="AV178" s="255"/>
      <c r="AW178" s="255"/>
      <c r="AX178" s="210"/>
      <c r="AY178" s="236" cm="1">
        <f t="array" ref="AY178">INDEX(Use, $AD178, 4)</f>
        <v>7</v>
      </c>
      <c r="AZ178" s="236">
        <f t="shared" si="372"/>
        <v>32</v>
      </c>
      <c r="BA178" s="236">
        <f t="shared" si="239"/>
        <v>13</v>
      </c>
      <c r="BB178" s="236">
        <f t="shared" si="240"/>
        <v>0</v>
      </c>
      <c r="BC178" s="252" cm="1">
        <f t="array" ref="BC178">K178/IF($L178&gt;0, INDEX($AO$23:$AU$77, $L178+20, $AD178), 1)</f>
        <v>0</v>
      </c>
      <c r="BD178" s="237">
        <f t="shared" si="373"/>
        <v>0</v>
      </c>
      <c r="BE178" s="236">
        <v>35</v>
      </c>
      <c r="BF178" s="237">
        <f t="shared" si="374"/>
        <v>52.55</v>
      </c>
      <c r="BG178" s="253">
        <f t="shared" si="375"/>
        <v>2.7676728869374316</v>
      </c>
      <c r="BH178" s="253" cm="1">
        <f t="array" ref="BH178">$BC178 * SUMPRODUCT(INDEX($AL$77:$AN$82,,$AE178),INDEX($AO$77:$AU$82,,$AD178), N($AK$77:$AK$82&gt;$AI178)) / BG178 / 1000</f>
        <v>0</v>
      </c>
      <c r="BI178" s="250">
        <f t="shared" si="244"/>
        <v>30</v>
      </c>
      <c r="BJ178" s="237">
        <f t="shared" si="376"/>
        <v>46.033333333333331</v>
      </c>
      <c r="BK178" s="253">
        <f t="shared" si="377"/>
        <v>3.2297395388556791</v>
      </c>
      <c r="BL178" s="253" cm="1">
        <f t="array" ref="BL178">$BC178 * IF($AD178&lt;=2,
SUMPRODUCT(INDEX($AL$72:$AN$76,,$AE178), INDEX($AO$72:$AU$76,,$AD178), 1 / ($AV$72:$AV$76*BK178 + (1-$AV$72:$AV$76)*BG178), N($AK$72:$AK$76&gt;$AI178)),
SUMPRODUCT(INDEX($AL$67:$AN$76,,$AE178), INDEX($AO$67:$AU$76,,$AD178), 1 / ($AW$67:$AW$76*BK178 + (1-$AW$67:$AW$76)*BG178), N($AK$67:$AK$76&gt;$AI178))
) / 1000</f>
        <v>0</v>
      </c>
      <c r="BM178" s="250">
        <f t="shared" si="247"/>
        <v>25</v>
      </c>
      <c r="BN178" s="237">
        <f t="shared" si="378"/>
        <v>39.516666666666666</v>
      </c>
      <c r="BO178" s="253">
        <f t="shared" si="379"/>
        <v>3.877011788826243</v>
      </c>
      <c r="BP178" s="253" cm="1">
        <f t="array" ref="BP178">$BC178 * IF($AD178&lt;=2,
SUMPRODUCT(INDEX($AL$67:$AN$71,,$AE178), INDEX($AO$67:$AU$71,,$AD178), 1 / ($AV$67:$AV$71*BO178 + (1-$AV$67:$AV$71)*BK178), N($AK$67:$AK$71&gt;$AI178)),
SUMPRODUCT(INDEX($AL$57:$AN$66,,$AE178), INDEX($AO$57:$AU$66,,$AD178), 1 / ($AW$57:$AW$66*BO178 + (1-$AW$57:$AW$66)*BK178), N($AK$57:$AK$66&gt;$AI178))
) / 1000</f>
        <v>0</v>
      </c>
      <c r="BQ178" s="250">
        <f t="shared" si="250"/>
        <v>20</v>
      </c>
      <c r="BR178" s="237">
        <f t="shared" si="380"/>
        <v>33</v>
      </c>
      <c r="BS178" s="253">
        <f t="shared" si="381"/>
        <v>4.8487499999999999</v>
      </c>
      <c r="BT178" s="253" cm="1">
        <f t="array" ref="BT178">$BC178 * IF($AD178&lt;=2,
SUMPRODUCT(INDEX($AL$62:$AN$66,,$AE178), INDEX($AO$62:$AU$66,,$AD178), 1 / ($AV$62:$AV$66*BS178 + (1-$AV$62:$AV$66)*BO178), N($AK$62:$AK$66&gt;$AI178)),
SUMPRODUCT(INDEX($AL$47:$AN$56,,$AE178), INDEX($AO$47:$AU$56,,$AD178), 1 / ($AW$47:$AW$56*BS178 + (1-$AW$47:$AW$56)*BO178), N($AK$47:$AK$56&gt;$AI178))
) / 1000</f>
        <v>0</v>
      </c>
      <c r="BU178" s="253" cm="1">
        <f t="array" ref="BU178">$BC178 * IF($AD178&lt;=2,
SUMPRODUCT(INDEX($AL$23:$AN$61,,$AE178), INDEX($AO$23:$AU$61,,$AD178), 1 / ($AV$23:$AV$61*BS178), N($AK$23:$AK$61&gt;$AI178)),
SUMPRODUCT(INDEX($AL$23:$AN$46,,$AE178), INDEX($AO$23:$AU$46,,$AD178), 1 / ($AW$23:$AW$46*BS178), N($AK$23:$AK$46&gt;$AI178))
) / 1000</f>
        <v>0</v>
      </c>
      <c r="BV178" s="237">
        <f t="shared" si="382"/>
        <v>0</v>
      </c>
      <c r="BW178" s="210"/>
      <c r="BX178" s="237">
        <f t="shared" si="383"/>
        <v>0</v>
      </c>
      <c r="BY178" s="236">
        <v>35</v>
      </c>
      <c r="BZ178" s="237">
        <f t="shared" si="384"/>
        <v>48</v>
      </c>
      <c r="CA178" s="253">
        <f t="shared" si="385"/>
        <v>3.0748170731707316</v>
      </c>
      <c r="CB178" s="253" cm="1">
        <f t="array" ref="CB178">$BC178 * SUMPRODUCT(INDEX($AL$77:$AN$82,,$AE178),INDEX($AO$77:$AU$82,,$AD178), N($AK$77:$AK$82&gt;$AI178)) / CA178 / 1000</f>
        <v>0</v>
      </c>
      <c r="CC178" s="250">
        <f t="shared" si="257"/>
        <v>30</v>
      </c>
      <c r="CD178" s="237">
        <f t="shared" si="386"/>
        <v>43</v>
      </c>
      <c r="CE178" s="253">
        <f t="shared" si="387"/>
        <v>3.5018750000000001</v>
      </c>
      <c r="CF178" s="253" cm="1">
        <f t="array" ref="CF178">$BC178 * IF($AD178&lt;=2,
SUMPRODUCT(INDEX($AL$72:$AN$76,,$AE178), INDEX($AO$72:$AU$76,,$AD178), 1 / ($AV$72:$AV$76*CE178 + (1-$AV$72:$AV$76)*CA178), N($AK$72:$AK$76&gt;$AI178)),
SUMPRODUCT(INDEX($AL$67:$AN$76,,$AE178), INDEX($AO$67:$AU$76,,$AD178), 1 / ($AW$67:$AW$76*CE178 + (1-$AW$67:$AW$76)*CA178), N($AK$67:$AK$76&gt;$AI178))
) / 1000</f>
        <v>0</v>
      </c>
      <c r="CG178" s="250">
        <f t="shared" si="260"/>
        <v>25</v>
      </c>
      <c r="CH178" s="237">
        <f t="shared" si="388"/>
        <v>38</v>
      </c>
      <c r="CI178" s="253">
        <f t="shared" si="389"/>
        <v>4.0666935483870965</v>
      </c>
      <c r="CJ178" s="253" cm="1">
        <f t="array" ref="CJ178">$BC178 * IF($AD178&lt;=2,
SUMPRODUCT(INDEX($AL$67:$AN$71,,$AE178), INDEX($AO$67:$AU$71,,$AD178), 1 / ($AV$67:$AV$71*CI178 + (1-$AV$67:$AV$71)*CE178), N($AK$67:$AK$71&gt;$AI178)),
SUMPRODUCT(INDEX($AL$57:$AN$66,,$AE178), INDEX($AO$57:$AU$66,,$AD178), 1 / ($AW$57:$AW$66*CI178 + (1-$AW$57:$AW$66)*CE178), N($AK$57:$AK$66&gt;$AI178))
) / 1000</f>
        <v>0</v>
      </c>
      <c r="CK178" s="250">
        <f t="shared" si="263"/>
        <v>20</v>
      </c>
      <c r="CL178" s="237">
        <f t="shared" si="390"/>
        <v>33</v>
      </c>
      <c r="CM178" s="253">
        <f t="shared" si="391"/>
        <v>4.8487499999999999</v>
      </c>
      <c r="CN178" s="253" cm="1">
        <f t="array" ref="CN178">$BC178 * IF($AD178&lt;=2,
SUMPRODUCT(INDEX($AL$62:$AN$66,,$AE178), INDEX($AO$62:$AU$66,,$AD178), 1 / ($AV$62:$AV$66*CM178 + (1-$AV$62:$AV$66)*CI178), N($AK$62:$AK$66&gt;$AI178)),
SUMPRODUCT(INDEX($AL$47:$AN$56,,$AE178), INDEX($AO$47:$AU$56,,$AD178), 1 / ($AW$47:$AW$56*CM178 + (1-$AW$47:$AW$56)*CI178), N($AK$47:$AK$56&gt;$AI178))
) / 1000</f>
        <v>0</v>
      </c>
      <c r="CO178" s="253" cm="1">
        <f t="array" ref="CO178">$BC178 * IF($AD178&lt;=2,
SUMPRODUCT(INDEX($AL$23:$AN$61,,$AE178), INDEX($AO$23:$AU$61,,$AD178), 1 / ($AV$23:$AV$61*CM178), N($AK$23:$AK$61&gt;$AI178)),
SUMPRODUCT(INDEX($AL$23:$AN$46,,$AE178), INDEX($AO$23:$AU$46,,$AD178), 1 / ($AW$23:$AW$46*CM178), N($AK$23:$AK$46&gt;$AI178))
) / 1000</f>
        <v>0</v>
      </c>
      <c r="CP178" s="237">
        <f t="shared" si="392"/>
        <v>0</v>
      </c>
      <c r="CQ178" s="210"/>
    </row>
    <row r="179" spans="1:95" s="76" customFormat="1" ht="14.25" customHeight="1" x14ac:dyDescent="0.2">
      <c r="A179" s="238" t="b">
        <f t="shared" si="227"/>
        <v>0</v>
      </c>
      <c r="B179" s="239">
        <v>157</v>
      </c>
      <c r="C179" s="258"/>
      <c r="D179" s="258"/>
      <c r="E179" s="240"/>
      <c r="F179" s="241" t="str">
        <f>IF(ISBLANK(E179), "", VLOOKUP(E179, Z!$A$2:$C$4127, 3, FALSE))</f>
        <v/>
      </c>
      <c r="G179" s="242"/>
      <c r="H179" s="242"/>
      <c r="I179" s="243"/>
      <c r="J179" s="244"/>
      <c r="K179" s="259"/>
      <c r="L179" s="260"/>
      <c r="M179" s="247" t="str" cm="1">
        <f t="array" ref="M179">IF($K179&gt;0, INDEX(Clean,1+AG179,$C$1), "")</f>
        <v/>
      </c>
      <c r="N179" s="245"/>
      <c r="O179" s="245"/>
      <c r="P179" s="246"/>
      <c r="Q179" s="248">
        <f t="shared" si="369"/>
        <v>0</v>
      </c>
      <c r="R179" s="247" t="str" cm="1">
        <f t="array" ref="R179">IF($K179&gt;0, INDEX(Clean,1+AH179,$C$1), "")</f>
        <v/>
      </c>
      <c r="S179" s="245"/>
      <c r="T179" s="245"/>
      <c r="U179" s="246"/>
      <c r="V179" s="248">
        <f t="shared" si="370"/>
        <v>0</v>
      </c>
      <c r="W179" s="261"/>
      <c r="X179" s="258"/>
      <c r="Y179" s="240"/>
      <c r="Z179" s="241" t="str">
        <f>IF(ISBLANK(Y179), "", VLOOKUP(Y179, Z!$A$2:$C$4127, 3, FALSE))</f>
        <v/>
      </c>
      <c r="AA179" s="262"/>
      <c r="AB179" s="249">
        <f t="shared" si="396"/>
        <v>0</v>
      </c>
      <c r="AC179" s="210"/>
      <c r="AD179" s="236">
        <f t="shared" si="393"/>
        <v>1</v>
      </c>
      <c r="AE179" s="236">
        <f t="shared" si="394"/>
        <v>1</v>
      </c>
      <c r="AF179" s="236">
        <f t="shared" si="395"/>
        <v>0</v>
      </c>
      <c r="AG179" s="236">
        <v>1</v>
      </c>
      <c r="AH179" s="236">
        <v>0</v>
      </c>
      <c r="AI179" s="236">
        <f t="shared" si="371"/>
        <v>-100</v>
      </c>
      <c r="AJ179" s="210"/>
      <c r="AK179" s="254"/>
      <c r="AL179" s="254"/>
      <c r="AM179" s="255"/>
      <c r="AN179" s="255"/>
      <c r="AO179" s="255"/>
      <c r="AP179" s="255"/>
      <c r="AQ179" s="255"/>
      <c r="AR179" s="255"/>
      <c r="AS179" s="255"/>
      <c r="AT179" s="255"/>
      <c r="AU179" s="255"/>
      <c r="AV179" s="255"/>
      <c r="AW179" s="255"/>
      <c r="AX179" s="210"/>
      <c r="AY179" s="236" cm="1">
        <f t="array" ref="AY179">INDEX(Use, $AD179, 4)</f>
        <v>7</v>
      </c>
      <c r="AZ179" s="236">
        <f t="shared" si="372"/>
        <v>32</v>
      </c>
      <c r="BA179" s="236">
        <f t="shared" si="239"/>
        <v>13</v>
      </c>
      <c r="BB179" s="236">
        <f t="shared" si="240"/>
        <v>0</v>
      </c>
      <c r="BC179" s="252" cm="1">
        <f t="array" ref="BC179">K179/IF($L179&gt;0, INDEX($AO$23:$AU$77, $L179+20, $AD179), 1)</f>
        <v>0</v>
      </c>
      <c r="BD179" s="237">
        <f t="shared" si="373"/>
        <v>0</v>
      </c>
      <c r="BE179" s="236">
        <v>35</v>
      </c>
      <c r="BF179" s="237">
        <f t="shared" si="374"/>
        <v>52.55</v>
      </c>
      <c r="BG179" s="253">
        <f t="shared" si="375"/>
        <v>2.7676728869374316</v>
      </c>
      <c r="BH179" s="253" cm="1">
        <f t="array" ref="BH179">$BC179 * SUMPRODUCT(INDEX($AL$77:$AN$82,,$AE179),INDEX($AO$77:$AU$82,,$AD179), N($AK$77:$AK$82&gt;$AI179)) / BG179 / 1000</f>
        <v>0</v>
      </c>
      <c r="BI179" s="250">
        <f t="shared" si="244"/>
        <v>30</v>
      </c>
      <c r="BJ179" s="237">
        <f t="shared" si="376"/>
        <v>46.033333333333331</v>
      </c>
      <c r="BK179" s="253">
        <f t="shared" si="377"/>
        <v>3.2297395388556791</v>
      </c>
      <c r="BL179" s="253" cm="1">
        <f t="array" ref="BL179">$BC179 * IF($AD179&lt;=2,
SUMPRODUCT(INDEX($AL$72:$AN$76,,$AE179), INDEX($AO$72:$AU$76,,$AD179), 1 / ($AV$72:$AV$76*BK179 + (1-$AV$72:$AV$76)*BG179), N($AK$72:$AK$76&gt;$AI179)),
SUMPRODUCT(INDEX($AL$67:$AN$76,,$AE179), INDEX($AO$67:$AU$76,,$AD179), 1 / ($AW$67:$AW$76*BK179 + (1-$AW$67:$AW$76)*BG179), N($AK$67:$AK$76&gt;$AI179))
) / 1000</f>
        <v>0</v>
      </c>
      <c r="BM179" s="250">
        <f t="shared" si="247"/>
        <v>25</v>
      </c>
      <c r="BN179" s="237">
        <f t="shared" si="378"/>
        <v>39.516666666666666</v>
      </c>
      <c r="BO179" s="253">
        <f t="shared" si="379"/>
        <v>3.877011788826243</v>
      </c>
      <c r="BP179" s="253" cm="1">
        <f t="array" ref="BP179">$BC179 * IF($AD179&lt;=2,
SUMPRODUCT(INDEX($AL$67:$AN$71,,$AE179), INDEX($AO$67:$AU$71,,$AD179), 1 / ($AV$67:$AV$71*BO179 + (1-$AV$67:$AV$71)*BK179), N($AK$67:$AK$71&gt;$AI179)),
SUMPRODUCT(INDEX($AL$57:$AN$66,,$AE179), INDEX($AO$57:$AU$66,,$AD179), 1 / ($AW$57:$AW$66*BO179 + (1-$AW$57:$AW$66)*BK179), N($AK$57:$AK$66&gt;$AI179))
) / 1000</f>
        <v>0</v>
      </c>
      <c r="BQ179" s="250">
        <f t="shared" si="250"/>
        <v>20</v>
      </c>
      <c r="BR179" s="237">
        <f t="shared" si="380"/>
        <v>33</v>
      </c>
      <c r="BS179" s="253">
        <f t="shared" si="381"/>
        <v>4.8487499999999999</v>
      </c>
      <c r="BT179" s="253" cm="1">
        <f t="array" ref="BT179">$BC179 * IF($AD179&lt;=2,
SUMPRODUCT(INDEX($AL$62:$AN$66,,$AE179), INDEX($AO$62:$AU$66,,$AD179), 1 / ($AV$62:$AV$66*BS179 + (1-$AV$62:$AV$66)*BO179), N($AK$62:$AK$66&gt;$AI179)),
SUMPRODUCT(INDEX($AL$47:$AN$56,,$AE179), INDEX($AO$47:$AU$56,,$AD179), 1 / ($AW$47:$AW$56*BS179 + (1-$AW$47:$AW$56)*BO179), N($AK$47:$AK$56&gt;$AI179))
) / 1000</f>
        <v>0</v>
      </c>
      <c r="BU179" s="253" cm="1">
        <f t="array" ref="BU179">$BC179 * IF($AD179&lt;=2,
SUMPRODUCT(INDEX($AL$23:$AN$61,,$AE179), INDEX($AO$23:$AU$61,,$AD179), 1 / ($AV$23:$AV$61*BS179), N($AK$23:$AK$61&gt;$AI179)),
SUMPRODUCT(INDEX($AL$23:$AN$46,,$AE179), INDEX($AO$23:$AU$46,,$AD179), 1 / ($AW$23:$AW$46*BS179), N($AK$23:$AK$46&gt;$AI179))
) / 1000</f>
        <v>0</v>
      </c>
      <c r="BV179" s="237">
        <f t="shared" si="382"/>
        <v>0</v>
      </c>
      <c r="BW179" s="210"/>
      <c r="BX179" s="237">
        <f t="shared" si="383"/>
        <v>0</v>
      </c>
      <c r="BY179" s="236">
        <v>35</v>
      </c>
      <c r="BZ179" s="237">
        <f t="shared" si="384"/>
        <v>48</v>
      </c>
      <c r="CA179" s="253">
        <f t="shared" si="385"/>
        <v>3.0748170731707316</v>
      </c>
      <c r="CB179" s="253" cm="1">
        <f t="array" ref="CB179">$BC179 * SUMPRODUCT(INDEX($AL$77:$AN$82,,$AE179),INDEX($AO$77:$AU$82,,$AD179), N($AK$77:$AK$82&gt;$AI179)) / CA179 / 1000</f>
        <v>0</v>
      </c>
      <c r="CC179" s="250">
        <f t="shared" si="257"/>
        <v>30</v>
      </c>
      <c r="CD179" s="237">
        <f t="shared" si="386"/>
        <v>43</v>
      </c>
      <c r="CE179" s="253">
        <f t="shared" si="387"/>
        <v>3.5018750000000001</v>
      </c>
      <c r="CF179" s="253" cm="1">
        <f t="array" ref="CF179">$BC179 * IF($AD179&lt;=2,
SUMPRODUCT(INDEX($AL$72:$AN$76,,$AE179), INDEX($AO$72:$AU$76,,$AD179), 1 / ($AV$72:$AV$76*CE179 + (1-$AV$72:$AV$76)*CA179), N($AK$72:$AK$76&gt;$AI179)),
SUMPRODUCT(INDEX($AL$67:$AN$76,,$AE179), INDEX($AO$67:$AU$76,,$AD179), 1 / ($AW$67:$AW$76*CE179 + (1-$AW$67:$AW$76)*CA179), N($AK$67:$AK$76&gt;$AI179))
) / 1000</f>
        <v>0</v>
      </c>
      <c r="CG179" s="250">
        <f t="shared" si="260"/>
        <v>25</v>
      </c>
      <c r="CH179" s="237">
        <f t="shared" si="388"/>
        <v>38</v>
      </c>
      <c r="CI179" s="253">
        <f t="shared" si="389"/>
        <v>4.0666935483870965</v>
      </c>
      <c r="CJ179" s="253" cm="1">
        <f t="array" ref="CJ179">$BC179 * IF($AD179&lt;=2,
SUMPRODUCT(INDEX($AL$67:$AN$71,,$AE179), INDEX($AO$67:$AU$71,,$AD179), 1 / ($AV$67:$AV$71*CI179 + (1-$AV$67:$AV$71)*CE179), N($AK$67:$AK$71&gt;$AI179)),
SUMPRODUCT(INDEX($AL$57:$AN$66,,$AE179), INDEX($AO$57:$AU$66,,$AD179), 1 / ($AW$57:$AW$66*CI179 + (1-$AW$57:$AW$66)*CE179), N($AK$57:$AK$66&gt;$AI179))
) / 1000</f>
        <v>0</v>
      </c>
      <c r="CK179" s="250">
        <f t="shared" si="263"/>
        <v>20</v>
      </c>
      <c r="CL179" s="237">
        <f t="shared" si="390"/>
        <v>33</v>
      </c>
      <c r="CM179" s="253">
        <f t="shared" si="391"/>
        <v>4.8487499999999999</v>
      </c>
      <c r="CN179" s="253" cm="1">
        <f t="array" ref="CN179">$BC179 * IF($AD179&lt;=2,
SUMPRODUCT(INDEX($AL$62:$AN$66,,$AE179), INDEX($AO$62:$AU$66,,$AD179), 1 / ($AV$62:$AV$66*CM179 + (1-$AV$62:$AV$66)*CI179), N($AK$62:$AK$66&gt;$AI179)),
SUMPRODUCT(INDEX($AL$47:$AN$56,,$AE179), INDEX($AO$47:$AU$56,,$AD179), 1 / ($AW$47:$AW$56*CM179 + (1-$AW$47:$AW$56)*CI179), N($AK$47:$AK$56&gt;$AI179))
) / 1000</f>
        <v>0</v>
      </c>
      <c r="CO179" s="253" cm="1">
        <f t="array" ref="CO179">$BC179 * IF($AD179&lt;=2,
SUMPRODUCT(INDEX($AL$23:$AN$61,,$AE179), INDEX($AO$23:$AU$61,,$AD179), 1 / ($AV$23:$AV$61*CM179), N($AK$23:$AK$61&gt;$AI179)),
SUMPRODUCT(INDEX($AL$23:$AN$46,,$AE179), INDEX($AO$23:$AU$46,,$AD179), 1 / ($AW$23:$AW$46*CM179), N($AK$23:$AK$46&gt;$AI179))
) / 1000</f>
        <v>0</v>
      </c>
      <c r="CP179" s="237">
        <f t="shared" si="392"/>
        <v>0</v>
      </c>
      <c r="CQ179" s="210"/>
    </row>
    <row r="180" spans="1:95" s="76" customFormat="1" ht="14.25" customHeight="1" x14ac:dyDescent="0.2">
      <c r="A180" s="238" t="b">
        <f t="shared" si="227"/>
        <v>0</v>
      </c>
      <c r="B180" s="239">
        <v>158</v>
      </c>
      <c r="C180" s="258"/>
      <c r="D180" s="258"/>
      <c r="E180" s="240"/>
      <c r="F180" s="241" t="str">
        <f>IF(ISBLANK(E180), "", VLOOKUP(E180, Z!$A$2:$C$4127, 3, FALSE))</f>
        <v/>
      </c>
      <c r="G180" s="242"/>
      <c r="H180" s="242"/>
      <c r="I180" s="243"/>
      <c r="J180" s="244"/>
      <c r="K180" s="259"/>
      <c r="L180" s="260"/>
      <c r="M180" s="247" t="str" cm="1">
        <f t="array" ref="M180">IF($K180&gt;0, INDEX(Clean,1+AG180,$C$1), "")</f>
        <v/>
      </c>
      <c r="N180" s="245"/>
      <c r="O180" s="245"/>
      <c r="P180" s="246"/>
      <c r="Q180" s="248">
        <f t="shared" si="369"/>
        <v>0</v>
      </c>
      <c r="R180" s="247" t="str" cm="1">
        <f t="array" ref="R180">IF($K180&gt;0, INDEX(Clean,1+AH180,$C$1), "")</f>
        <v/>
      </c>
      <c r="S180" s="245"/>
      <c r="T180" s="245"/>
      <c r="U180" s="246"/>
      <c r="V180" s="248">
        <f t="shared" si="370"/>
        <v>0</v>
      </c>
      <c r="W180" s="261"/>
      <c r="X180" s="258"/>
      <c r="Y180" s="240"/>
      <c r="Z180" s="241" t="str">
        <f>IF(ISBLANK(Y180), "", VLOOKUP(Y180, Z!$A$2:$C$4127, 3, FALSE))</f>
        <v/>
      </c>
      <c r="AA180" s="262"/>
      <c r="AB180" s="249">
        <f t="shared" si="396"/>
        <v>0</v>
      </c>
      <c r="AC180" s="210"/>
      <c r="AD180" s="236">
        <f t="shared" si="393"/>
        <v>1</v>
      </c>
      <c r="AE180" s="236">
        <f t="shared" si="394"/>
        <v>1</v>
      </c>
      <c r="AF180" s="236">
        <f t="shared" si="395"/>
        <v>0</v>
      </c>
      <c r="AG180" s="236">
        <v>1</v>
      </c>
      <c r="AH180" s="236">
        <v>0</v>
      </c>
      <c r="AI180" s="236">
        <f t="shared" si="371"/>
        <v>-100</v>
      </c>
      <c r="AJ180" s="210"/>
      <c r="AK180" s="254"/>
      <c r="AL180" s="254"/>
      <c r="AM180" s="255"/>
      <c r="AN180" s="255"/>
      <c r="AO180" s="255"/>
      <c r="AP180" s="255"/>
      <c r="AQ180" s="255"/>
      <c r="AR180" s="255"/>
      <c r="AS180" s="255"/>
      <c r="AT180" s="255"/>
      <c r="AU180" s="255"/>
      <c r="AV180" s="255"/>
      <c r="AW180" s="255"/>
      <c r="AX180" s="210"/>
      <c r="AY180" s="236" cm="1">
        <f t="array" ref="AY180">INDEX(Use, $AD180, 4)</f>
        <v>7</v>
      </c>
      <c r="AZ180" s="236">
        <f t="shared" si="372"/>
        <v>32</v>
      </c>
      <c r="BA180" s="236">
        <f t="shared" si="239"/>
        <v>13</v>
      </c>
      <c r="BB180" s="236">
        <f t="shared" si="240"/>
        <v>0</v>
      </c>
      <c r="BC180" s="252" cm="1">
        <f t="array" ref="BC180">K180/IF($L180&gt;0, INDEX($AO$23:$AU$77, $L180+20, $AD180), 1)</f>
        <v>0</v>
      </c>
      <c r="BD180" s="237">
        <f t="shared" si="373"/>
        <v>0</v>
      </c>
      <c r="BE180" s="236">
        <v>35</v>
      </c>
      <c r="BF180" s="237">
        <f t="shared" si="374"/>
        <v>52.55</v>
      </c>
      <c r="BG180" s="253">
        <f t="shared" si="375"/>
        <v>2.7676728869374316</v>
      </c>
      <c r="BH180" s="253" cm="1">
        <f t="array" ref="BH180">$BC180 * SUMPRODUCT(INDEX($AL$77:$AN$82,,$AE180),INDEX($AO$77:$AU$82,,$AD180), N($AK$77:$AK$82&gt;$AI180)) / BG180 / 1000</f>
        <v>0</v>
      </c>
      <c r="BI180" s="250">
        <f t="shared" si="244"/>
        <v>30</v>
      </c>
      <c r="BJ180" s="237">
        <f t="shared" si="376"/>
        <v>46.033333333333331</v>
      </c>
      <c r="BK180" s="253">
        <f t="shared" si="377"/>
        <v>3.2297395388556791</v>
      </c>
      <c r="BL180" s="253" cm="1">
        <f t="array" ref="BL180">$BC180 * IF($AD180&lt;=2,
SUMPRODUCT(INDEX($AL$72:$AN$76,,$AE180), INDEX($AO$72:$AU$76,,$AD180), 1 / ($AV$72:$AV$76*BK180 + (1-$AV$72:$AV$76)*BG180), N($AK$72:$AK$76&gt;$AI180)),
SUMPRODUCT(INDEX($AL$67:$AN$76,,$AE180), INDEX($AO$67:$AU$76,,$AD180), 1 / ($AW$67:$AW$76*BK180 + (1-$AW$67:$AW$76)*BG180), N($AK$67:$AK$76&gt;$AI180))
) / 1000</f>
        <v>0</v>
      </c>
      <c r="BM180" s="250">
        <f t="shared" si="247"/>
        <v>25</v>
      </c>
      <c r="BN180" s="237">
        <f t="shared" si="378"/>
        <v>39.516666666666666</v>
      </c>
      <c r="BO180" s="253">
        <f t="shared" si="379"/>
        <v>3.877011788826243</v>
      </c>
      <c r="BP180" s="253" cm="1">
        <f t="array" ref="BP180">$BC180 * IF($AD180&lt;=2,
SUMPRODUCT(INDEX($AL$67:$AN$71,,$AE180), INDEX($AO$67:$AU$71,,$AD180), 1 / ($AV$67:$AV$71*BO180 + (1-$AV$67:$AV$71)*BK180), N($AK$67:$AK$71&gt;$AI180)),
SUMPRODUCT(INDEX($AL$57:$AN$66,,$AE180), INDEX($AO$57:$AU$66,,$AD180), 1 / ($AW$57:$AW$66*BO180 + (1-$AW$57:$AW$66)*BK180), N($AK$57:$AK$66&gt;$AI180))
) / 1000</f>
        <v>0</v>
      </c>
      <c r="BQ180" s="250">
        <f t="shared" si="250"/>
        <v>20</v>
      </c>
      <c r="BR180" s="237">
        <f t="shared" si="380"/>
        <v>33</v>
      </c>
      <c r="BS180" s="253">
        <f t="shared" si="381"/>
        <v>4.8487499999999999</v>
      </c>
      <c r="BT180" s="253" cm="1">
        <f t="array" ref="BT180">$BC180 * IF($AD180&lt;=2,
SUMPRODUCT(INDEX($AL$62:$AN$66,,$AE180), INDEX($AO$62:$AU$66,,$AD180), 1 / ($AV$62:$AV$66*BS180 + (1-$AV$62:$AV$66)*BO180), N($AK$62:$AK$66&gt;$AI180)),
SUMPRODUCT(INDEX($AL$47:$AN$56,,$AE180), INDEX($AO$47:$AU$56,,$AD180), 1 / ($AW$47:$AW$56*BS180 + (1-$AW$47:$AW$56)*BO180), N($AK$47:$AK$56&gt;$AI180))
) / 1000</f>
        <v>0</v>
      </c>
      <c r="BU180" s="253" cm="1">
        <f t="array" ref="BU180">$BC180 * IF($AD180&lt;=2,
SUMPRODUCT(INDEX($AL$23:$AN$61,,$AE180), INDEX($AO$23:$AU$61,,$AD180), 1 / ($AV$23:$AV$61*BS180), N($AK$23:$AK$61&gt;$AI180)),
SUMPRODUCT(INDEX($AL$23:$AN$46,,$AE180), INDEX($AO$23:$AU$46,,$AD180), 1 / ($AW$23:$AW$46*BS180), N($AK$23:$AK$46&gt;$AI180))
) / 1000</f>
        <v>0</v>
      </c>
      <c r="BV180" s="237">
        <f t="shared" si="382"/>
        <v>0</v>
      </c>
      <c r="BW180" s="210"/>
      <c r="BX180" s="237">
        <f t="shared" si="383"/>
        <v>0</v>
      </c>
      <c r="BY180" s="236">
        <v>35</v>
      </c>
      <c r="BZ180" s="237">
        <f t="shared" si="384"/>
        <v>48</v>
      </c>
      <c r="CA180" s="253">
        <f t="shared" si="385"/>
        <v>3.0748170731707316</v>
      </c>
      <c r="CB180" s="253" cm="1">
        <f t="array" ref="CB180">$BC180 * SUMPRODUCT(INDEX($AL$77:$AN$82,,$AE180),INDEX($AO$77:$AU$82,,$AD180), N($AK$77:$AK$82&gt;$AI180)) / CA180 / 1000</f>
        <v>0</v>
      </c>
      <c r="CC180" s="250">
        <f t="shared" si="257"/>
        <v>30</v>
      </c>
      <c r="CD180" s="237">
        <f t="shared" si="386"/>
        <v>43</v>
      </c>
      <c r="CE180" s="253">
        <f t="shared" si="387"/>
        <v>3.5018750000000001</v>
      </c>
      <c r="CF180" s="253" cm="1">
        <f t="array" ref="CF180">$BC180 * IF($AD180&lt;=2,
SUMPRODUCT(INDEX($AL$72:$AN$76,,$AE180), INDEX($AO$72:$AU$76,,$AD180), 1 / ($AV$72:$AV$76*CE180 + (1-$AV$72:$AV$76)*CA180), N($AK$72:$AK$76&gt;$AI180)),
SUMPRODUCT(INDEX($AL$67:$AN$76,,$AE180), INDEX($AO$67:$AU$76,,$AD180), 1 / ($AW$67:$AW$76*CE180 + (1-$AW$67:$AW$76)*CA180), N($AK$67:$AK$76&gt;$AI180))
) / 1000</f>
        <v>0</v>
      </c>
      <c r="CG180" s="250">
        <f t="shared" si="260"/>
        <v>25</v>
      </c>
      <c r="CH180" s="237">
        <f t="shared" si="388"/>
        <v>38</v>
      </c>
      <c r="CI180" s="253">
        <f t="shared" si="389"/>
        <v>4.0666935483870965</v>
      </c>
      <c r="CJ180" s="253" cm="1">
        <f t="array" ref="CJ180">$BC180 * IF($AD180&lt;=2,
SUMPRODUCT(INDEX($AL$67:$AN$71,,$AE180), INDEX($AO$67:$AU$71,,$AD180), 1 / ($AV$67:$AV$71*CI180 + (1-$AV$67:$AV$71)*CE180), N($AK$67:$AK$71&gt;$AI180)),
SUMPRODUCT(INDEX($AL$57:$AN$66,,$AE180), INDEX($AO$57:$AU$66,,$AD180), 1 / ($AW$57:$AW$66*CI180 + (1-$AW$57:$AW$66)*CE180), N($AK$57:$AK$66&gt;$AI180))
) / 1000</f>
        <v>0</v>
      </c>
      <c r="CK180" s="250">
        <f t="shared" si="263"/>
        <v>20</v>
      </c>
      <c r="CL180" s="237">
        <f t="shared" si="390"/>
        <v>33</v>
      </c>
      <c r="CM180" s="253">
        <f t="shared" si="391"/>
        <v>4.8487499999999999</v>
      </c>
      <c r="CN180" s="253" cm="1">
        <f t="array" ref="CN180">$BC180 * IF($AD180&lt;=2,
SUMPRODUCT(INDEX($AL$62:$AN$66,,$AE180), INDEX($AO$62:$AU$66,,$AD180), 1 / ($AV$62:$AV$66*CM180 + (1-$AV$62:$AV$66)*CI180), N($AK$62:$AK$66&gt;$AI180)),
SUMPRODUCT(INDEX($AL$47:$AN$56,,$AE180), INDEX($AO$47:$AU$56,,$AD180), 1 / ($AW$47:$AW$56*CM180 + (1-$AW$47:$AW$56)*CI180), N($AK$47:$AK$56&gt;$AI180))
) / 1000</f>
        <v>0</v>
      </c>
      <c r="CO180" s="253" cm="1">
        <f t="array" ref="CO180">$BC180 * IF($AD180&lt;=2,
SUMPRODUCT(INDEX($AL$23:$AN$61,,$AE180), INDEX($AO$23:$AU$61,,$AD180), 1 / ($AV$23:$AV$61*CM180), N($AK$23:$AK$61&gt;$AI180)),
SUMPRODUCT(INDEX($AL$23:$AN$46,,$AE180), INDEX($AO$23:$AU$46,,$AD180), 1 / ($AW$23:$AW$46*CM180), N($AK$23:$AK$46&gt;$AI180))
) / 1000</f>
        <v>0</v>
      </c>
      <c r="CP180" s="237">
        <f t="shared" si="392"/>
        <v>0</v>
      </c>
      <c r="CQ180" s="210"/>
    </row>
    <row r="181" spans="1:95" s="76" customFormat="1" ht="14.25" customHeight="1" x14ac:dyDescent="0.2">
      <c r="A181" s="238" t="b">
        <f t="shared" si="227"/>
        <v>0</v>
      </c>
      <c r="B181" s="239">
        <v>159</v>
      </c>
      <c r="C181" s="258"/>
      <c r="D181" s="258"/>
      <c r="E181" s="240"/>
      <c r="F181" s="241" t="str">
        <f>IF(ISBLANK(E181), "", VLOOKUP(E181, Z!$A$2:$C$4127, 3, FALSE))</f>
        <v/>
      </c>
      <c r="G181" s="242"/>
      <c r="H181" s="242"/>
      <c r="I181" s="243"/>
      <c r="J181" s="244"/>
      <c r="K181" s="259"/>
      <c r="L181" s="260"/>
      <c r="M181" s="247" t="str" cm="1">
        <f t="array" ref="M181">IF($K181&gt;0, INDEX(Clean,1+AG181,$C$1), "")</f>
        <v/>
      </c>
      <c r="N181" s="245"/>
      <c r="O181" s="245"/>
      <c r="P181" s="246"/>
      <c r="Q181" s="248">
        <f t="shared" si="369"/>
        <v>0</v>
      </c>
      <c r="R181" s="247" t="str" cm="1">
        <f t="array" ref="R181">IF($K181&gt;0, INDEX(Clean,1+AH181,$C$1), "")</f>
        <v/>
      </c>
      <c r="S181" s="245"/>
      <c r="T181" s="245"/>
      <c r="U181" s="246"/>
      <c r="V181" s="248">
        <f t="shared" si="370"/>
        <v>0</v>
      </c>
      <c r="W181" s="261"/>
      <c r="X181" s="258"/>
      <c r="Y181" s="240"/>
      <c r="Z181" s="241" t="str">
        <f>IF(ISBLANK(Y181), "", VLOOKUP(Y181, Z!$A$2:$C$4127, 3, FALSE))</f>
        <v/>
      </c>
      <c r="AA181" s="262"/>
      <c r="AB181" s="249">
        <f t="shared" si="396"/>
        <v>0</v>
      </c>
      <c r="AC181" s="210"/>
      <c r="AD181" s="236">
        <f t="shared" si="393"/>
        <v>1</v>
      </c>
      <c r="AE181" s="236">
        <f t="shared" si="394"/>
        <v>1</v>
      </c>
      <c r="AF181" s="236">
        <f t="shared" si="395"/>
        <v>0</v>
      </c>
      <c r="AG181" s="236">
        <v>1</v>
      </c>
      <c r="AH181" s="236">
        <v>0</v>
      </c>
      <c r="AI181" s="236">
        <f t="shared" si="371"/>
        <v>-100</v>
      </c>
      <c r="AJ181" s="210"/>
      <c r="AK181" s="254"/>
      <c r="AL181" s="254"/>
      <c r="AM181" s="255"/>
      <c r="AN181" s="255"/>
      <c r="AO181" s="255"/>
      <c r="AP181" s="255"/>
      <c r="AQ181" s="255"/>
      <c r="AR181" s="255"/>
      <c r="AS181" s="255"/>
      <c r="AT181" s="255"/>
      <c r="AU181" s="255"/>
      <c r="AV181" s="255"/>
      <c r="AW181" s="255"/>
      <c r="AX181" s="210"/>
      <c r="AY181" s="236" cm="1">
        <f t="array" ref="AY181">INDEX(Use, $AD181, 4)</f>
        <v>7</v>
      </c>
      <c r="AZ181" s="236">
        <f t="shared" si="372"/>
        <v>32</v>
      </c>
      <c r="BA181" s="236">
        <f t="shared" si="239"/>
        <v>13</v>
      </c>
      <c r="BB181" s="236">
        <f t="shared" si="240"/>
        <v>0</v>
      </c>
      <c r="BC181" s="252" cm="1">
        <f t="array" ref="BC181">K181/IF($L181&gt;0, INDEX($AO$23:$AU$77, $L181+20, $AD181), 1)</f>
        <v>0</v>
      </c>
      <c r="BD181" s="237">
        <f t="shared" si="373"/>
        <v>0</v>
      </c>
      <c r="BE181" s="236">
        <v>35</v>
      </c>
      <c r="BF181" s="237">
        <f t="shared" si="374"/>
        <v>52.55</v>
      </c>
      <c r="BG181" s="253">
        <f t="shared" si="375"/>
        <v>2.7676728869374316</v>
      </c>
      <c r="BH181" s="253" cm="1">
        <f t="array" ref="BH181">$BC181 * SUMPRODUCT(INDEX($AL$77:$AN$82,,$AE181),INDEX($AO$77:$AU$82,,$AD181), N($AK$77:$AK$82&gt;$AI181)) / BG181 / 1000</f>
        <v>0</v>
      </c>
      <c r="BI181" s="250">
        <f t="shared" si="244"/>
        <v>30</v>
      </c>
      <c r="BJ181" s="237">
        <f t="shared" si="376"/>
        <v>46.033333333333331</v>
      </c>
      <c r="BK181" s="253">
        <f t="shared" si="377"/>
        <v>3.2297395388556791</v>
      </c>
      <c r="BL181" s="253" cm="1">
        <f t="array" ref="BL181">$BC181 * IF($AD181&lt;=2,
SUMPRODUCT(INDEX($AL$72:$AN$76,,$AE181), INDEX($AO$72:$AU$76,,$AD181), 1 / ($AV$72:$AV$76*BK181 + (1-$AV$72:$AV$76)*BG181), N($AK$72:$AK$76&gt;$AI181)),
SUMPRODUCT(INDEX($AL$67:$AN$76,,$AE181), INDEX($AO$67:$AU$76,,$AD181), 1 / ($AW$67:$AW$76*BK181 + (1-$AW$67:$AW$76)*BG181), N($AK$67:$AK$76&gt;$AI181))
) / 1000</f>
        <v>0</v>
      </c>
      <c r="BM181" s="250">
        <f t="shared" si="247"/>
        <v>25</v>
      </c>
      <c r="BN181" s="237">
        <f t="shared" si="378"/>
        <v>39.516666666666666</v>
      </c>
      <c r="BO181" s="253">
        <f t="shared" si="379"/>
        <v>3.877011788826243</v>
      </c>
      <c r="BP181" s="253" cm="1">
        <f t="array" ref="BP181">$BC181 * IF($AD181&lt;=2,
SUMPRODUCT(INDEX($AL$67:$AN$71,,$AE181), INDEX($AO$67:$AU$71,,$AD181), 1 / ($AV$67:$AV$71*BO181 + (1-$AV$67:$AV$71)*BK181), N($AK$67:$AK$71&gt;$AI181)),
SUMPRODUCT(INDEX($AL$57:$AN$66,,$AE181), INDEX($AO$57:$AU$66,,$AD181), 1 / ($AW$57:$AW$66*BO181 + (1-$AW$57:$AW$66)*BK181), N($AK$57:$AK$66&gt;$AI181))
) / 1000</f>
        <v>0</v>
      </c>
      <c r="BQ181" s="250">
        <f t="shared" si="250"/>
        <v>20</v>
      </c>
      <c r="BR181" s="237">
        <f t="shared" si="380"/>
        <v>33</v>
      </c>
      <c r="BS181" s="253">
        <f t="shared" si="381"/>
        <v>4.8487499999999999</v>
      </c>
      <c r="BT181" s="253" cm="1">
        <f t="array" ref="BT181">$BC181 * IF($AD181&lt;=2,
SUMPRODUCT(INDEX($AL$62:$AN$66,,$AE181), INDEX($AO$62:$AU$66,,$AD181), 1 / ($AV$62:$AV$66*BS181 + (1-$AV$62:$AV$66)*BO181), N($AK$62:$AK$66&gt;$AI181)),
SUMPRODUCT(INDEX($AL$47:$AN$56,,$AE181), INDEX($AO$47:$AU$56,,$AD181), 1 / ($AW$47:$AW$56*BS181 + (1-$AW$47:$AW$56)*BO181), N($AK$47:$AK$56&gt;$AI181))
) / 1000</f>
        <v>0</v>
      </c>
      <c r="BU181" s="253" cm="1">
        <f t="array" ref="BU181">$BC181 * IF($AD181&lt;=2,
SUMPRODUCT(INDEX($AL$23:$AN$61,,$AE181), INDEX($AO$23:$AU$61,,$AD181), 1 / ($AV$23:$AV$61*BS181), N($AK$23:$AK$61&gt;$AI181)),
SUMPRODUCT(INDEX($AL$23:$AN$46,,$AE181), INDEX($AO$23:$AU$46,,$AD181), 1 / ($AW$23:$AW$46*BS181), N($AK$23:$AK$46&gt;$AI181))
) / 1000</f>
        <v>0</v>
      </c>
      <c r="BV181" s="237">
        <f t="shared" si="382"/>
        <v>0</v>
      </c>
      <c r="BW181" s="210"/>
      <c r="BX181" s="237">
        <f t="shared" si="383"/>
        <v>0</v>
      </c>
      <c r="BY181" s="236">
        <v>35</v>
      </c>
      <c r="BZ181" s="237">
        <f t="shared" si="384"/>
        <v>48</v>
      </c>
      <c r="CA181" s="253">
        <f t="shared" si="385"/>
        <v>3.0748170731707316</v>
      </c>
      <c r="CB181" s="253" cm="1">
        <f t="array" ref="CB181">$BC181 * SUMPRODUCT(INDEX($AL$77:$AN$82,,$AE181),INDEX($AO$77:$AU$82,,$AD181), N($AK$77:$AK$82&gt;$AI181)) / CA181 / 1000</f>
        <v>0</v>
      </c>
      <c r="CC181" s="250">
        <f t="shared" si="257"/>
        <v>30</v>
      </c>
      <c r="CD181" s="237">
        <f t="shared" si="386"/>
        <v>43</v>
      </c>
      <c r="CE181" s="253">
        <f t="shared" si="387"/>
        <v>3.5018750000000001</v>
      </c>
      <c r="CF181" s="253" cm="1">
        <f t="array" ref="CF181">$BC181 * IF($AD181&lt;=2,
SUMPRODUCT(INDEX($AL$72:$AN$76,,$AE181), INDEX($AO$72:$AU$76,,$AD181), 1 / ($AV$72:$AV$76*CE181 + (1-$AV$72:$AV$76)*CA181), N($AK$72:$AK$76&gt;$AI181)),
SUMPRODUCT(INDEX($AL$67:$AN$76,,$AE181), INDEX($AO$67:$AU$76,,$AD181), 1 / ($AW$67:$AW$76*CE181 + (1-$AW$67:$AW$76)*CA181), N($AK$67:$AK$76&gt;$AI181))
) / 1000</f>
        <v>0</v>
      </c>
      <c r="CG181" s="250">
        <f t="shared" si="260"/>
        <v>25</v>
      </c>
      <c r="CH181" s="237">
        <f t="shared" si="388"/>
        <v>38</v>
      </c>
      <c r="CI181" s="253">
        <f t="shared" si="389"/>
        <v>4.0666935483870965</v>
      </c>
      <c r="CJ181" s="253" cm="1">
        <f t="array" ref="CJ181">$BC181 * IF($AD181&lt;=2,
SUMPRODUCT(INDEX($AL$67:$AN$71,,$AE181), INDEX($AO$67:$AU$71,,$AD181), 1 / ($AV$67:$AV$71*CI181 + (1-$AV$67:$AV$71)*CE181), N($AK$67:$AK$71&gt;$AI181)),
SUMPRODUCT(INDEX($AL$57:$AN$66,,$AE181), INDEX($AO$57:$AU$66,,$AD181), 1 / ($AW$57:$AW$66*CI181 + (1-$AW$57:$AW$66)*CE181), N($AK$57:$AK$66&gt;$AI181))
) / 1000</f>
        <v>0</v>
      </c>
      <c r="CK181" s="250">
        <f t="shared" si="263"/>
        <v>20</v>
      </c>
      <c r="CL181" s="237">
        <f t="shared" si="390"/>
        <v>33</v>
      </c>
      <c r="CM181" s="253">
        <f t="shared" si="391"/>
        <v>4.8487499999999999</v>
      </c>
      <c r="CN181" s="253" cm="1">
        <f t="array" ref="CN181">$BC181 * IF($AD181&lt;=2,
SUMPRODUCT(INDEX($AL$62:$AN$66,,$AE181), INDEX($AO$62:$AU$66,,$AD181), 1 / ($AV$62:$AV$66*CM181 + (1-$AV$62:$AV$66)*CI181), N($AK$62:$AK$66&gt;$AI181)),
SUMPRODUCT(INDEX($AL$47:$AN$56,,$AE181), INDEX($AO$47:$AU$56,,$AD181), 1 / ($AW$47:$AW$56*CM181 + (1-$AW$47:$AW$56)*CI181), N($AK$47:$AK$56&gt;$AI181))
) / 1000</f>
        <v>0</v>
      </c>
      <c r="CO181" s="253" cm="1">
        <f t="array" ref="CO181">$BC181 * IF($AD181&lt;=2,
SUMPRODUCT(INDEX($AL$23:$AN$61,,$AE181), INDEX($AO$23:$AU$61,,$AD181), 1 / ($AV$23:$AV$61*CM181), N($AK$23:$AK$61&gt;$AI181)),
SUMPRODUCT(INDEX($AL$23:$AN$46,,$AE181), INDEX($AO$23:$AU$46,,$AD181), 1 / ($AW$23:$AW$46*CM181), N($AK$23:$AK$46&gt;$AI181))
) / 1000</f>
        <v>0</v>
      </c>
      <c r="CP181" s="237">
        <f t="shared" si="392"/>
        <v>0</v>
      </c>
      <c r="CQ181" s="210"/>
    </row>
    <row r="182" spans="1:95" s="76" customFormat="1" ht="14.25" customHeight="1" x14ac:dyDescent="0.2">
      <c r="A182" s="238" t="b">
        <f t="shared" si="227"/>
        <v>0</v>
      </c>
      <c r="B182" s="239">
        <v>160</v>
      </c>
      <c r="C182" s="258"/>
      <c r="D182" s="258"/>
      <c r="E182" s="240"/>
      <c r="F182" s="241" t="str">
        <f>IF(ISBLANK(E182), "", VLOOKUP(E182, Z!$A$2:$C$4127, 3, FALSE))</f>
        <v/>
      </c>
      <c r="G182" s="242"/>
      <c r="H182" s="242"/>
      <c r="I182" s="243"/>
      <c r="J182" s="244"/>
      <c r="K182" s="259"/>
      <c r="L182" s="260"/>
      <c r="M182" s="247" t="str" cm="1">
        <f t="array" ref="M182">IF($K182&gt;0, INDEX(Clean,1+AG182,$C$1), "")</f>
        <v/>
      </c>
      <c r="N182" s="245"/>
      <c r="O182" s="245"/>
      <c r="P182" s="246"/>
      <c r="Q182" s="248">
        <f t="shared" si="369"/>
        <v>0</v>
      </c>
      <c r="R182" s="247" t="str" cm="1">
        <f t="array" ref="R182">IF($K182&gt;0, INDEX(Clean,1+AH182,$C$1), "")</f>
        <v/>
      </c>
      <c r="S182" s="245"/>
      <c r="T182" s="245"/>
      <c r="U182" s="246"/>
      <c r="V182" s="248">
        <f t="shared" si="370"/>
        <v>0</v>
      </c>
      <c r="W182" s="261"/>
      <c r="X182" s="258"/>
      <c r="Y182" s="240"/>
      <c r="Z182" s="241" t="str">
        <f>IF(ISBLANK(Y182), "", VLOOKUP(Y182, Z!$A$2:$C$4127, 3, FALSE))</f>
        <v/>
      </c>
      <c r="AA182" s="262"/>
      <c r="AB182" s="249">
        <f t="shared" si="396"/>
        <v>0</v>
      </c>
      <c r="AC182" s="210"/>
      <c r="AD182" s="236">
        <f t="shared" si="393"/>
        <v>1</v>
      </c>
      <c r="AE182" s="236">
        <f t="shared" si="394"/>
        <v>1</v>
      </c>
      <c r="AF182" s="236">
        <f t="shared" si="395"/>
        <v>0</v>
      </c>
      <c r="AG182" s="236">
        <v>1</v>
      </c>
      <c r="AH182" s="236">
        <v>0</v>
      </c>
      <c r="AI182" s="236">
        <f t="shared" si="371"/>
        <v>-100</v>
      </c>
      <c r="AJ182" s="210"/>
      <c r="AK182" s="254"/>
      <c r="AL182" s="254"/>
      <c r="AM182" s="255"/>
      <c r="AN182" s="255"/>
      <c r="AO182" s="255"/>
      <c r="AP182" s="255"/>
      <c r="AQ182" s="255"/>
      <c r="AR182" s="255"/>
      <c r="AS182" s="255"/>
      <c r="AT182" s="255"/>
      <c r="AU182" s="255"/>
      <c r="AV182" s="255"/>
      <c r="AW182" s="255"/>
      <c r="AX182" s="210"/>
      <c r="AY182" s="236" cm="1">
        <f t="array" ref="AY182">INDEX(Use, $AD182, 4)</f>
        <v>7</v>
      </c>
      <c r="AZ182" s="236">
        <f t="shared" si="372"/>
        <v>32</v>
      </c>
      <c r="BA182" s="236">
        <f t="shared" si="239"/>
        <v>13</v>
      </c>
      <c r="BB182" s="236">
        <f t="shared" si="240"/>
        <v>0</v>
      </c>
      <c r="BC182" s="252" cm="1">
        <f t="array" ref="BC182">K182/IF($L182&gt;0, INDEX($AO$23:$AU$77, $L182+20, $AD182), 1)</f>
        <v>0</v>
      </c>
      <c r="BD182" s="237">
        <f t="shared" si="373"/>
        <v>0</v>
      </c>
      <c r="BE182" s="236">
        <v>35</v>
      </c>
      <c r="BF182" s="237">
        <f t="shared" si="374"/>
        <v>52.55</v>
      </c>
      <c r="BG182" s="253">
        <f t="shared" si="375"/>
        <v>2.7676728869374316</v>
      </c>
      <c r="BH182" s="253" cm="1">
        <f t="array" ref="BH182">$BC182 * SUMPRODUCT(INDEX($AL$77:$AN$82,,$AE182),INDEX($AO$77:$AU$82,,$AD182), N($AK$77:$AK$82&gt;$AI182)) / BG182 / 1000</f>
        <v>0</v>
      </c>
      <c r="BI182" s="250">
        <f t="shared" si="244"/>
        <v>30</v>
      </c>
      <c r="BJ182" s="237">
        <f t="shared" si="376"/>
        <v>46.033333333333331</v>
      </c>
      <c r="BK182" s="253">
        <f t="shared" si="377"/>
        <v>3.2297395388556791</v>
      </c>
      <c r="BL182" s="253" cm="1">
        <f t="array" ref="BL182">$BC182 * IF($AD182&lt;=2,
SUMPRODUCT(INDEX($AL$72:$AN$76,,$AE182), INDEX($AO$72:$AU$76,,$AD182), 1 / ($AV$72:$AV$76*BK182 + (1-$AV$72:$AV$76)*BG182), N($AK$72:$AK$76&gt;$AI182)),
SUMPRODUCT(INDEX($AL$67:$AN$76,,$AE182), INDEX($AO$67:$AU$76,,$AD182), 1 / ($AW$67:$AW$76*BK182 + (1-$AW$67:$AW$76)*BG182), N($AK$67:$AK$76&gt;$AI182))
) / 1000</f>
        <v>0</v>
      </c>
      <c r="BM182" s="250">
        <f t="shared" si="247"/>
        <v>25</v>
      </c>
      <c r="BN182" s="237">
        <f t="shared" si="378"/>
        <v>39.516666666666666</v>
      </c>
      <c r="BO182" s="253">
        <f t="shared" si="379"/>
        <v>3.877011788826243</v>
      </c>
      <c r="BP182" s="253" cm="1">
        <f t="array" ref="BP182">$BC182 * IF($AD182&lt;=2,
SUMPRODUCT(INDEX($AL$67:$AN$71,,$AE182), INDEX($AO$67:$AU$71,,$AD182), 1 / ($AV$67:$AV$71*BO182 + (1-$AV$67:$AV$71)*BK182), N($AK$67:$AK$71&gt;$AI182)),
SUMPRODUCT(INDEX($AL$57:$AN$66,,$AE182), INDEX($AO$57:$AU$66,,$AD182), 1 / ($AW$57:$AW$66*BO182 + (1-$AW$57:$AW$66)*BK182), N($AK$57:$AK$66&gt;$AI182))
) / 1000</f>
        <v>0</v>
      </c>
      <c r="BQ182" s="250">
        <f t="shared" si="250"/>
        <v>20</v>
      </c>
      <c r="BR182" s="237">
        <f t="shared" si="380"/>
        <v>33</v>
      </c>
      <c r="BS182" s="253">
        <f t="shared" si="381"/>
        <v>4.8487499999999999</v>
      </c>
      <c r="BT182" s="253" cm="1">
        <f t="array" ref="BT182">$BC182 * IF($AD182&lt;=2,
SUMPRODUCT(INDEX($AL$62:$AN$66,,$AE182), INDEX($AO$62:$AU$66,,$AD182), 1 / ($AV$62:$AV$66*BS182 + (1-$AV$62:$AV$66)*BO182), N($AK$62:$AK$66&gt;$AI182)),
SUMPRODUCT(INDEX($AL$47:$AN$56,,$AE182), INDEX($AO$47:$AU$56,,$AD182), 1 / ($AW$47:$AW$56*BS182 + (1-$AW$47:$AW$56)*BO182), N($AK$47:$AK$56&gt;$AI182))
) / 1000</f>
        <v>0</v>
      </c>
      <c r="BU182" s="253" cm="1">
        <f t="array" ref="BU182">$BC182 * IF($AD182&lt;=2,
SUMPRODUCT(INDEX($AL$23:$AN$61,,$AE182), INDEX($AO$23:$AU$61,,$AD182), 1 / ($AV$23:$AV$61*BS182), N($AK$23:$AK$61&gt;$AI182)),
SUMPRODUCT(INDEX($AL$23:$AN$46,,$AE182), INDEX($AO$23:$AU$46,,$AD182), 1 / ($AW$23:$AW$46*BS182), N($AK$23:$AK$46&gt;$AI182))
) / 1000</f>
        <v>0</v>
      </c>
      <c r="BV182" s="237">
        <f t="shared" si="382"/>
        <v>0</v>
      </c>
      <c r="BW182" s="210"/>
      <c r="BX182" s="237">
        <f t="shared" si="383"/>
        <v>0</v>
      </c>
      <c r="BY182" s="236">
        <v>35</v>
      </c>
      <c r="BZ182" s="237">
        <f t="shared" si="384"/>
        <v>48</v>
      </c>
      <c r="CA182" s="253">
        <f t="shared" si="385"/>
        <v>3.0748170731707316</v>
      </c>
      <c r="CB182" s="253" cm="1">
        <f t="array" ref="CB182">$BC182 * SUMPRODUCT(INDEX($AL$77:$AN$82,,$AE182),INDEX($AO$77:$AU$82,,$AD182), N($AK$77:$AK$82&gt;$AI182)) / CA182 / 1000</f>
        <v>0</v>
      </c>
      <c r="CC182" s="250">
        <f t="shared" si="257"/>
        <v>30</v>
      </c>
      <c r="CD182" s="237">
        <f t="shared" si="386"/>
        <v>43</v>
      </c>
      <c r="CE182" s="253">
        <f t="shared" si="387"/>
        <v>3.5018750000000001</v>
      </c>
      <c r="CF182" s="253" cm="1">
        <f t="array" ref="CF182">$BC182 * IF($AD182&lt;=2,
SUMPRODUCT(INDEX($AL$72:$AN$76,,$AE182), INDEX($AO$72:$AU$76,,$AD182), 1 / ($AV$72:$AV$76*CE182 + (1-$AV$72:$AV$76)*CA182), N($AK$72:$AK$76&gt;$AI182)),
SUMPRODUCT(INDEX($AL$67:$AN$76,,$AE182), INDEX($AO$67:$AU$76,,$AD182), 1 / ($AW$67:$AW$76*CE182 + (1-$AW$67:$AW$76)*CA182), N($AK$67:$AK$76&gt;$AI182))
) / 1000</f>
        <v>0</v>
      </c>
      <c r="CG182" s="250">
        <f t="shared" si="260"/>
        <v>25</v>
      </c>
      <c r="CH182" s="237">
        <f t="shared" si="388"/>
        <v>38</v>
      </c>
      <c r="CI182" s="253">
        <f t="shared" si="389"/>
        <v>4.0666935483870965</v>
      </c>
      <c r="CJ182" s="253" cm="1">
        <f t="array" ref="CJ182">$BC182 * IF($AD182&lt;=2,
SUMPRODUCT(INDEX($AL$67:$AN$71,,$AE182), INDEX($AO$67:$AU$71,,$AD182), 1 / ($AV$67:$AV$71*CI182 + (1-$AV$67:$AV$71)*CE182), N($AK$67:$AK$71&gt;$AI182)),
SUMPRODUCT(INDEX($AL$57:$AN$66,,$AE182), INDEX($AO$57:$AU$66,,$AD182), 1 / ($AW$57:$AW$66*CI182 + (1-$AW$57:$AW$66)*CE182), N($AK$57:$AK$66&gt;$AI182))
) / 1000</f>
        <v>0</v>
      </c>
      <c r="CK182" s="250">
        <f t="shared" si="263"/>
        <v>20</v>
      </c>
      <c r="CL182" s="237">
        <f t="shared" si="390"/>
        <v>33</v>
      </c>
      <c r="CM182" s="253">
        <f t="shared" si="391"/>
        <v>4.8487499999999999</v>
      </c>
      <c r="CN182" s="253" cm="1">
        <f t="array" ref="CN182">$BC182 * IF($AD182&lt;=2,
SUMPRODUCT(INDEX($AL$62:$AN$66,,$AE182), INDEX($AO$62:$AU$66,,$AD182), 1 / ($AV$62:$AV$66*CM182 + (1-$AV$62:$AV$66)*CI182), N($AK$62:$AK$66&gt;$AI182)),
SUMPRODUCT(INDEX($AL$47:$AN$56,,$AE182), INDEX($AO$47:$AU$56,,$AD182), 1 / ($AW$47:$AW$56*CM182 + (1-$AW$47:$AW$56)*CI182), N($AK$47:$AK$56&gt;$AI182))
) / 1000</f>
        <v>0</v>
      </c>
      <c r="CO182" s="253" cm="1">
        <f t="array" ref="CO182">$BC182 * IF($AD182&lt;=2,
SUMPRODUCT(INDEX($AL$23:$AN$61,,$AE182), INDEX($AO$23:$AU$61,,$AD182), 1 / ($AV$23:$AV$61*CM182), N($AK$23:$AK$61&gt;$AI182)),
SUMPRODUCT(INDEX($AL$23:$AN$46,,$AE182), INDEX($AO$23:$AU$46,,$AD182), 1 / ($AW$23:$AW$46*CM182), N($AK$23:$AK$46&gt;$AI182))
) / 1000</f>
        <v>0</v>
      </c>
      <c r="CP182" s="237">
        <f t="shared" si="392"/>
        <v>0</v>
      </c>
      <c r="CQ182" s="210"/>
    </row>
    <row r="183" spans="1:95" s="76" customFormat="1" ht="14.25" customHeight="1" x14ac:dyDescent="0.2">
      <c r="A183" s="238" t="b">
        <f t="shared" si="227"/>
        <v>0</v>
      </c>
      <c r="B183" s="239">
        <v>161</v>
      </c>
      <c r="C183" s="258"/>
      <c r="D183" s="258"/>
      <c r="E183" s="240"/>
      <c r="F183" s="241" t="str">
        <f>IF(ISBLANK(E183), "", VLOOKUP(E183, Z!$A$2:$C$4127, 3, FALSE))</f>
        <v/>
      </c>
      <c r="G183" s="242"/>
      <c r="H183" s="242"/>
      <c r="I183" s="243"/>
      <c r="J183" s="244"/>
      <c r="K183" s="259"/>
      <c r="L183" s="260"/>
      <c r="M183" s="247" t="str" cm="1">
        <f t="array" ref="M183">IF($K183&gt;0, INDEX(Clean,1+AG183,$C$1), "")</f>
        <v/>
      </c>
      <c r="N183" s="245"/>
      <c r="O183" s="245"/>
      <c r="P183" s="246"/>
      <c r="Q183" s="248">
        <f t="shared" si="369"/>
        <v>0</v>
      </c>
      <c r="R183" s="247" t="str" cm="1">
        <f t="array" ref="R183">IF($K183&gt;0, INDEX(Clean,1+AH183,$C$1), "")</f>
        <v/>
      </c>
      <c r="S183" s="245"/>
      <c r="T183" s="245"/>
      <c r="U183" s="246"/>
      <c r="V183" s="248">
        <f t="shared" si="370"/>
        <v>0</v>
      </c>
      <c r="W183" s="261"/>
      <c r="X183" s="258"/>
      <c r="Y183" s="240"/>
      <c r="Z183" s="241" t="str">
        <f>IF(ISBLANK(Y183), "", VLOOKUP(Y183, Z!$A$2:$C$4127, 3, FALSE))</f>
        <v/>
      </c>
      <c r="AA183" s="262"/>
      <c r="AB183" s="249">
        <f t="shared" si="396"/>
        <v>0</v>
      </c>
      <c r="AC183" s="210"/>
      <c r="AD183" s="236">
        <f t="shared" si="393"/>
        <v>1</v>
      </c>
      <c r="AE183" s="236">
        <f t="shared" si="394"/>
        <v>1</v>
      </c>
      <c r="AF183" s="236">
        <f t="shared" si="395"/>
        <v>0</v>
      </c>
      <c r="AG183" s="236">
        <v>1</v>
      </c>
      <c r="AH183" s="236">
        <v>0</v>
      </c>
      <c r="AI183" s="236">
        <f t="shared" si="371"/>
        <v>-100</v>
      </c>
      <c r="AJ183" s="210"/>
      <c r="AK183" s="254"/>
      <c r="AL183" s="254"/>
      <c r="AM183" s="255"/>
      <c r="AN183" s="255"/>
      <c r="AO183" s="255"/>
      <c r="AP183" s="255"/>
      <c r="AQ183" s="255"/>
      <c r="AR183" s="255"/>
      <c r="AS183" s="255"/>
      <c r="AT183" s="255"/>
      <c r="AU183" s="255"/>
      <c r="AV183" s="255"/>
      <c r="AW183" s="255"/>
      <c r="AX183" s="210"/>
      <c r="AY183" s="236" cm="1">
        <f t="array" ref="AY183">INDEX(Use, $AD183, 4)</f>
        <v>7</v>
      </c>
      <c r="AZ183" s="236">
        <f t="shared" si="372"/>
        <v>32</v>
      </c>
      <c r="BA183" s="236">
        <f t="shared" si="239"/>
        <v>13</v>
      </c>
      <c r="BB183" s="236">
        <f t="shared" si="240"/>
        <v>0</v>
      </c>
      <c r="BC183" s="252" cm="1">
        <f t="array" ref="BC183">K183/IF($L183&gt;0, INDEX($AO$23:$AU$77, $L183+20, $AD183), 1)</f>
        <v>0</v>
      </c>
      <c r="BD183" s="237">
        <f t="shared" si="373"/>
        <v>0</v>
      </c>
      <c r="BE183" s="236">
        <v>35</v>
      </c>
      <c r="BF183" s="237">
        <f t="shared" si="374"/>
        <v>52.55</v>
      </c>
      <c r="BG183" s="253">
        <f t="shared" si="375"/>
        <v>2.7676728869374316</v>
      </c>
      <c r="BH183" s="253" cm="1">
        <f t="array" ref="BH183">$BC183 * SUMPRODUCT(INDEX($AL$77:$AN$82,,$AE183),INDEX($AO$77:$AU$82,,$AD183), N($AK$77:$AK$82&gt;$AI183)) / BG183 / 1000</f>
        <v>0</v>
      </c>
      <c r="BI183" s="250">
        <f t="shared" si="244"/>
        <v>30</v>
      </c>
      <c r="BJ183" s="237">
        <f t="shared" si="376"/>
        <v>46.033333333333331</v>
      </c>
      <c r="BK183" s="253">
        <f t="shared" si="377"/>
        <v>3.2297395388556791</v>
      </c>
      <c r="BL183" s="253" cm="1">
        <f t="array" ref="BL183">$BC183 * IF($AD183&lt;=2,
SUMPRODUCT(INDEX($AL$72:$AN$76,,$AE183), INDEX($AO$72:$AU$76,,$AD183), 1 / ($AV$72:$AV$76*BK183 + (1-$AV$72:$AV$76)*BG183), N($AK$72:$AK$76&gt;$AI183)),
SUMPRODUCT(INDEX($AL$67:$AN$76,,$AE183), INDEX($AO$67:$AU$76,,$AD183), 1 / ($AW$67:$AW$76*BK183 + (1-$AW$67:$AW$76)*BG183), N($AK$67:$AK$76&gt;$AI183))
) / 1000</f>
        <v>0</v>
      </c>
      <c r="BM183" s="250">
        <f t="shared" si="247"/>
        <v>25</v>
      </c>
      <c r="BN183" s="237">
        <f t="shared" si="378"/>
        <v>39.516666666666666</v>
      </c>
      <c r="BO183" s="253">
        <f t="shared" si="379"/>
        <v>3.877011788826243</v>
      </c>
      <c r="BP183" s="253" cm="1">
        <f t="array" ref="BP183">$BC183 * IF($AD183&lt;=2,
SUMPRODUCT(INDEX($AL$67:$AN$71,,$AE183), INDEX($AO$67:$AU$71,,$AD183), 1 / ($AV$67:$AV$71*BO183 + (1-$AV$67:$AV$71)*BK183), N($AK$67:$AK$71&gt;$AI183)),
SUMPRODUCT(INDEX($AL$57:$AN$66,,$AE183), INDEX($AO$57:$AU$66,,$AD183), 1 / ($AW$57:$AW$66*BO183 + (1-$AW$57:$AW$66)*BK183), N($AK$57:$AK$66&gt;$AI183))
) / 1000</f>
        <v>0</v>
      </c>
      <c r="BQ183" s="250">
        <f t="shared" si="250"/>
        <v>20</v>
      </c>
      <c r="BR183" s="237">
        <f t="shared" si="380"/>
        <v>33</v>
      </c>
      <c r="BS183" s="253">
        <f t="shared" si="381"/>
        <v>4.8487499999999999</v>
      </c>
      <c r="BT183" s="253" cm="1">
        <f t="array" ref="BT183">$BC183 * IF($AD183&lt;=2,
SUMPRODUCT(INDEX($AL$62:$AN$66,,$AE183), INDEX($AO$62:$AU$66,,$AD183), 1 / ($AV$62:$AV$66*BS183 + (1-$AV$62:$AV$66)*BO183), N($AK$62:$AK$66&gt;$AI183)),
SUMPRODUCT(INDEX($AL$47:$AN$56,,$AE183), INDEX($AO$47:$AU$56,,$AD183), 1 / ($AW$47:$AW$56*BS183 + (1-$AW$47:$AW$56)*BO183), N($AK$47:$AK$56&gt;$AI183))
) / 1000</f>
        <v>0</v>
      </c>
      <c r="BU183" s="253" cm="1">
        <f t="array" ref="BU183">$BC183 * IF($AD183&lt;=2,
SUMPRODUCT(INDEX($AL$23:$AN$61,,$AE183), INDEX($AO$23:$AU$61,,$AD183), 1 / ($AV$23:$AV$61*BS183), N($AK$23:$AK$61&gt;$AI183)),
SUMPRODUCT(INDEX($AL$23:$AN$46,,$AE183), INDEX($AO$23:$AU$46,,$AD183), 1 / ($AW$23:$AW$46*BS183), N($AK$23:$AK$46&gt;$AI183))
) / 1000</f>
        <v>0</v>
      </c>
      <c r="BV183" s="237">
        <f t="shared" si="382"/>
        <v>0</v>
      </c>
      <c r="BW183" s="210"/>
      <c r="BX183" s="237">
        <f t="shared" si="383"/>
        <v>0</v>
      </c>
      <c r="BY183" s="236">
        <v>35</v>
      </c>
      <c r="BZ183" s="237">
        <f t="shared" si="384"/>
        <v>48</v>
      </c>
      <c r="CA183" s="253">
        <f t="shared" si="385"/>
        <v>3.0748170731707316</v>
      </c>
      <c r="CB183" s="253" cm="1">
        <f t="array" ref="CB183">$BC183 * SUMPRODUCT(INDEX($AL$77:$AN$82,,$AE183),INDEX($AO$77:$AU$82,,$AD183), N($AK$77:$AK$82&gt;$AI183)) / CA183 / 1000</f>
        <v>0</v>
      </c>
      <c r="CC183" s="250">
        <f t="shared" si="257"/>
        <v>30</v>
      </c>
      <c r="CD183" s="237">
        <f t="shared" si="386"/>
        <v>43</v>
      </c>
      <c r="CE183" s="253">
        <f t="shared" si="387"/>
        <v>3.5018750000000001</v>
      </c>
      <c r="CF183" s="253" cm="1">
        <f t="array" ref="CF183">$BC183 * IF($AD183&lt;=2,
SUMPRODUCT(INDEX($AL$72:$AN$76,,$AE183), INDEX($AO$72:$AU$76,,$AD183), 1 / ($AV$72:$AV$76*CE183 + (1-$AV$72:$AV$76)*CA183), N($AK$72:$AK$76&gt;$AI183)),
SUMPRODUCT(INDEX($AL$67:$AN$76,,$AE183), INDEX($AO$67:$AU$76,,$AD183), 1 / ($AW$67:$AW$76*CE183 + (1-$AW$67:$AW$76)*CA183), N($AK$67:$AK$76&gt;$AI183))
) / 1000</f>
        <v>0</v>
      </c>
      <c r="CG183" s="250">
        <f t="shared" si="260"/>
        <v>25</v>
      </c>
      <c r="CH183" s="237">
        <f t="shared" si="388"/>
        <v>38</v>
      </c>
      <c r="CI183" s="253">
        <f t="shared" si="389"/>
        <v>4.0666935483870965</v>
      </c>
      <c r="CJ183" s="253" cm="1">
        <f t="array" ref="CJ183">$BC183 * IF($AD183&lt;=2,
SUMPRODUCT(INDEX($AL$67:$AN$71,,$AE183), INDEX($AO$67:$AU$71,,$AD183), 1 / ($AV$67:$AV$71*CI183 + (1-$AV$67:$AV$71)*CE183), N($AK$67:$AK$71&gt;$AI183)),
SUMPRODUCT(INDEX($AL$57:$AN$66,,$AE183), INDEX($AO$57:$AU$66,,$AD183), 1 / ($AW$57:$AW$66*CI183 + (1-$AW$57:$AW$66)*CE183), N($AK$57:$AK$66&gt;$AI183))
) / 1000</f>
        <v>0</v>
      </c>
      <c r="CK183" s="250">
        <f t="shared" si="263"/>
        <v>20</v>
      </c>
      <c r="CL183" s="237">
        <f t="shared" si="390"/>
        <v>33</v>
      </c>
      <c r="CM183" s="253">
        <f t="shared" si="391"/>
        <v>4.8487499999999999</v>
      </c>
      <c r="CN183" s="253" cm="1">
        <f t="array" ref="CN183">$BC183 * IF($AD183&lt;=2,
SUMPRODUCT(INDEX($AL$62:$AN$66,,$AE183), INDEX($AO$62:$AU$66,,$AD183), 1 / ($AV$62:$AV$66*CM183 + (1-$AV$62:$AV$66)*CI183), N($AK$62:$AK$66&gt;$AI183)),
SUMPRODUCT(INDEX($AL$47:$AN$56,,$AE183), INDEX($AO$47:$AU$56,,$AD183), 1 / ($AW$47:$AW$56*CM183 + (1-$AW$47:$AW$56)*CI183), N($AK$47:$AK$56&gt;$AI183))
) / 1000</f>
        <v>0</v>
      </c>
      <c r="CO183" s="253" cm="1">
        <f t="array" ref="CO183">$BC183 * IF($AD183&lt;=2,
SUMPRODUCT(INDEX($AL$23:$AN$61,,$AE183), INDEX($AO$23:$AU$61,,$AD183), 1 / ($AV$23:$AV$61*CM183), N($AK$23:$AK$61&gt;$AI183)),
SUMPRODUCT(INDEX($AL$23:$AN$46,,$AE183), INDEX($AO$23:$AU$46,,$AD183), 1 / ($AW$23:$AW$46*CM183), N($AK$23:$AK$46&gt;$AI183))
) / 1000</f>
        <v>0</v>
      </c>
      <c r="CP183" s="237">
        <f t="shared" si="392"/>
        <v>0</v>
      </c>
      <c r="CQ183" s="210"/>
    </row>
    <row r="184" spans="1:95" s="76" customFormat="1" ht="14.25" customHeight="1" x14ac:dyDescent="0.2">
      <c r="A184" s="238" t="b">
        <f t="shared" si="227"/>
        <v>0</v>
      </c>
      <c r="B184" s="239">
        <v>162</v>
      </c>
      <c r="C184" s="258"/>
      <c r="D184" s="258"/>
      <c r="E184" s="240"/>
      <c r="F184" s="241" t="str">
        <f>IF(ISBLANK(E184), "", VLOOKUP(E184, Z!$A$2:$C$4127, 3, FALSE))</f>
        <v/>
      </c>
      <c r="G184" s="242"/>
      <c r="H184" s="242"/>
      <c r="I184" s="243"/>
      <c r="J184" s="244"/>
      <c r="K184" s="259"/>
      <c r="L184" s="260"/>
      <c r="M184" s="247" t="str" cm="1">
        <f t="array" ref="M184">IF($K184&gt;0, INDEX(Clean,1+AG184,$C$1), "")</f>
        <v/>
      </c>
      <c r="N184" s="245"/>
      <c r="O184" s="245"/>
      <c r="P184" s="246"/>
      <c r="Q184" s="248">
        <f t="shared" si="369"/>
        <v>0</v>
      </c>
      <c r="R184" s="247" t="str" cm="1">
        <f t="array" ref="R184">IF($K184&gt;0, INDEX(Clean,1+AH184,$C$1), "")</f>
        <v/>
      </c>
      <c r="S184" s="245"/>
      <c r="T184" s="245"/>
      <c r="U184" s="246"/>
      <c r="V184" s="248">
        <f t="shared" si="370"/>
        <v>0</v>
      </c>
      <c r="W184" s="261"/>
      <c r="X184" s="258"/>
      <c r="Y184" s="240"/>
      <c r="Z184" s="241" t="str">
        <f>IF(ISBLANK(Y184), "", VLOOKUP(Y184, Z!$A$2:$C$4127, 3, FALSE))</f>
        <v/>
      </c>
      <c r="AA184" s="262"/>
      <c r="AB184" s="249">
        <f t="shared" si="396"/>
        <v>0</v>
      </c>
      <c r="AC184" s="210"/>
      <c r="AD184" s="236">
        <f t="shared" si="393"/>
        <v>1</v>
      </c>
      <c r="AE184" s="236">
        <f t="shared" si="394"/>
        <v>1</v>
      </c>
      <c r="AF184" s="236">
        <f t="shared" si="395"/>
        <v>0</v>
      </c>
      <c r="AG184" s="236">
        <v>1</v>
      </c>
      <c r="AH184" s="236">
        <v>0</v>
      </c>
      <c r="AI184" s="236">
        <f t="shared" si="371"/>
        <v>-100</v>
      </c>
      <c r="AJ184" s="210"/>
      <c r="AK184" s="254"/>
      <c r="AL184" s="254"/>
      <c r="AM184" s="255"/>
      <c r="AN184" s="255"/>
      <c r="AO184" s="255"/>
      <c r="AP184" s="255"/>
      <c r="AQ184" s="255"/>
      <c r="AR184" s="255"/>
      <c r="AS184" s="255"/>
      <c r="AT184" s="255"/>
      <c r="AU184" s="255"/>
      <c r="AV184" s="255"/>
      <c r="AW184" s="255"/>
      <c r="AX184" s="210"/>
      <c r="AY184" s="236" cm="1">
        <f t="array" ref="AY184">INDEX(Use, $AD184, 4)</f>
        <v>7</v>
      </c>
      <c r="AZ184" s="236">
        <f t="shared" si="372"/>
        <v>32</v>
      </c>
      <c r="BA184" s="236">
        <f t="shared" si="239"/>
        <v>13</v>
      </c>
      <c r="BB184" s="236">
        <f t="shared" si="240"/>
        <v>0</v>
      </c>
      <c r="BC184" s="252" cm="1">
        <f t="array" ref="BC184">K184/IF($L184&gt;0, INDEX($AO$23:$AU$77, $L184+20, $AD184), 1)</f>
        <v>0</v>
      </c>
      <c r="BD184" s="237">
        <f t="shared" si="373"/>
        <v>0</v>
      </c>
      <c r="BE184" s="236">
        <v>35</v>
      </c>
      <c r="BF184" s="237">
        <f t="shared" si="374"/>
        <v>52.55</v>
      </c>
      <c r="BG184" s="253">
        <f t="shared" si="375"/>
        <v>2.7676728869374316</v>
      </c>
      <c r="BH184" s="253" cm="1">
        <f t="array" ref="BH184">$BC184 * SUMPRODUCT(INDEX($AL$77:$AN$82,,$AE184),INDEX($AO$77:$AU$82,,$AD184), N($AK$77:$AK$82&gt;$AI184)) / BG184 / 1000</f>
        <v>0</v>
      </c>
      <c r="BI184" s="250">
        <f t="shared" si="244"/>
        <v>30</v>
      </c>
      <c r="BJ184" s="237">
        <f t="shared" si="376"/>
        <v>46.033333333333331</v>
      </c>
      <c r="BK184" s="253">
        <f t="shared" si="377"/>
        <v>3.2297395388556791</v>
      </c>
      <c r="BL184" s="253" cm="1">
        <f t="array" ref="BL184">$BC184 * IF($AD184&lt;=2,
SUMPRODUCT(INDEX($AL$72:$AN$76,,$AE184), INDEX($AO$72:$AU$76,,$AD184), 1 / ($AV$72:$AV$76*BK184 + (1-$AV$72:$AV$76)*BG184), N($AK$72:$AK$76&gt;$AI184)),
SUMPRODUCT(INDEX($AL$67:$AN$76,,$AE184), INDEX($AO$67:$AU$76,,$AD184), 1 / ($AW$67:$AW$76*BK184 + (1-$AW$67:$AW$76)*BG184), N($AK$67:$AK$76&gt;$AI184))
) / 1000</f>
        <v>0</v>
      </c>
      <c r="BM184" s="250">
        <f t="shared" si="247"/>
        <v>25</v>
      </c>
      <c r="BN184" s="237">
        <f t="shared" si="378"/>
        <v>39.516666666666666</v>
      </c>
      <c r="BO184" s="253">
        <f t="shared" si="379"/>
        <v>3.877011788826243</v>
      </c>
      <c r="BP184" s="253" cm="1">
        <f t="array" ref="BP184">$BC184 * IF($AD184&lt;=2,
SUMPRODUCT(INDEX($AL$67:$AN$71,,$AE184), INDEX($AO$67:$AU$71,,$AD184), 1 / ($AV$67:$AV$71*BO184 + (1-$AV$67:$AV$71)*BK184), N($AK$67:$AK$71&gt;$AI184)),
SUMPRODUCT(INDEX($AL$57:$AN$66,,$AE184), INDEX($AO$57:$AU$66,,$AD184), 1 / ($AW$57:$AW$66*BO184 + (1-$AW$57:$AW$66)*BK184), N($AK$57:$AK$66&gt;$AI184))
) / 1000</f>
        <v>0</v>
      </c>
      <c r="BQ184" s="250">
        <f t="shared" si="250"/>
        <v>20</v>
      </c>
      <c r="BR184" s="237">
        <f t="shared" si="380"/>
        <v>33</v>
      </c>
      <c r="BS184" s="253">
        <f t="shared" si="381"/>
        <v>4.8487499999999999</v>
      </c>
      <c r="BT184" s="253" cm="1">
        <f t="array" ref="BT184">$BC184 * IF($AD184&lt;=2,
SUMPRODUCT(INDEX($AL$62:$AN$66,,$AE184), INDEX($AO$62:$AU$66,,$AD184), 1 / ($AV$62:$AV$66*BS184 + (1-$AV$62:$AV$66)*BO184), N($AK$62:$AK$66&gt;$AI184)),
SUMPRODUCT(INDEX($AL$47:$AN$56,,$AE184), INDEX($AO$47:$AU$56,,$AD184), 1 / ($AW$47:$AW$56*BS184 + (1-$AW$47:$AW$56)*BO184), N($AK$47:$AK$56&gt;$AI184))
) / 1000</f>
        <v>0</v>
      </c>
      <c r="BU184" s="253" cm="1">
        <f t="array" ref="BU184">$BC184 * IF($AD184&lt;=2,
SUMPRODUCT(INDEX($AL$23:$AN$61,,$AE184), INDEX($AO$23:$AU$61,,$AD184), 1 / ($AV$23:$AV$61*BS184), N($AK$23:$AK$61&gt;$AI184)),
SUMPRODUCT(INDEX($AL$23:$AN$46,,$AE184), INDEX($AO$23:$AU$46,,$AD184), 1 / ($AW$23:$AW$46*BS184), N($AK$23:$AK$46&gt;$AI184))
) / 1000</f>
        <v>0</v>
      </c>
      <c r="BV184" s="237">
        <f t="shared" si="382"/>
        <v>0</v>
      </c>
      <c r="BW184" s="210"/>
      <c r="BX184" s="237">
        <f t="shared" si="383"/>
        <v>0</v>
      </c>
      <c r="BY184" s="236">
        <v>35</v>
      </c>
      <c r="BZ184" s="237">
        <f t="shared" si="384"/>
        <v>48</v>
      </c>
      <c r="CA184" s="253">
        <f t="shared" si="385"/>
        <v>3.0748170731707316</v>
      </c>
      <c r="CB184" s="253" cm="1">
        <f t="array" ref="CB184">$BC184 * SUMPRODUCT(INDEX($AL$77:$AN$82,,$AE184),INDEX($AO$77:$AU$82,,$AD184), N($AK$77:$AK$82&gt;$AI184)) / CA184 / 1000</f>
        <v>0</v>
      </c>
      <c r="CC184" s="250">
        <f t="shared" si="257"/>
        <v>30</v>
      </c>
      <c r="CD184" s="237">
        <f t="shared" si="386"/>
        <v>43</v>
      </c>
      <c r="CE184" s="253">
        <f t="shared" si="387"/>
        <v>3.5018750000000001</v>
      </c>
      <c r="CF184" s="253" cm="1">
        <f t="array" ref="CF184">$BC184 * IF($AD184&lt;=2,
SUMPRODUCT(INDEX($AL$72:$AN$76,,$AE184), INDEX($AO$72:$AU$76,,$AD184), 1 / ($AV$72:$AV$76*CE184 + (1-$AV$72:$AV$76)*CA184), N($AK$72:$AK$76&gt;$AI184)),
SUMPRODUCT(INDEX($AL$67:$AN$76,,$AE184), INDEX($AO$67:$AU$76,,$AD184), 1 / ($AW$67:$AW$76*CE184 + (1-$AW$67:$AW$76)*CA184), N($AK$67:$AK$76&gt;$AI184))
) / 1000</f>
        <v>0</v>
      </c>
      <c r="CG184" s="250">
        <f t="shared" si="260"/>
        <v>25</v>
      </c>
      <c r="CH184" s="237">
        <f t="shared" si="388"/>
        <v>38</v>
      </c>
      <c r="CI184" s="253">
        <f t="shared" si="389"/>
        <v>4.0666935483870965</v>
      </c>
      <c r="CJ184" s="253" cm="1">
        <f t="array" ref="CJ184">$BC184 * IF($AD184&lt;=2,
SUMPRODUCT(INDEX($AL$67:$AN$71,,$AE184), INDEX($AO$67:$AU$71,,$AD184), 1 / ($AV$67:$AV$71*CI184 + (1-$AV$67:$AV$71)*CE184), N($AK$67:$AK$71&gt;$AI184)),
SUMPRODUCT(INDEX($AL$57:$AN$66,,$AE184), INDEX($AO$57:$AU$66,,$AD184), 1 / ($AW$57:$AW$66*CI184 + (1-$AW$57:$AW$66)*CE184), N($AK$57:$AK$66&gt;$AI184))
) / 1000</f>
        <v>0</v>
      </c>
      <c r="CK184" s="250">
        <f t="shared" si="263"/>
        <v>20</v>
      </c>
      <c r="CL184" s="237">
        <f t="shared" si="390"/>
        <v>33</v>
      </c>
      <c r="CM184" s="253">
        <f t="shared" si="391"/>
        <v>4.8487499999999999</v>
      </c>
      <c r="CN184" s="253" cm="1">
        <f t="array" ref="CN184">$BC184 * IF($AD184&lt;=2,
SUMPRODUCT(INDEX($AL$62:$AN$66,,$AE184), INDEX($AO$62:$AU$66,,$AD184), 1 / ($AV$62:$AV$66*CM184 + (1-$AV$62:$AV$66)*CI184), N($AK$62:$AK$66&gt;$AI184)),
SUMPRODUCT(INDEX($AL$47:$AN$56,,$AE184), INDEX($AO$47:$AU$56,,$AD184), 1 / ($AW$47:$AW$56*CM184 + (1-$AW$47:$AW$56)*CI184), N($AK$47:$AK$56&gt;$AI184))
) / 1000</f>
        <v>0</v>
      </c>
      <c r="CO184" s="253" cm="1">
        <f t="array" ref="CO184">$BC184 * IF($AD184&lt;=2,
SUMPRODUCT(INDEX($AL$23:$AN$61,,$AE184), INDEX($AO$23:$AU$61,,$AD184), 1 / ($AV$23:$AV$61*CM184), N($AK$23:$AK$61&gt;$AI184)),
SUMPRODUCT(INDEX($AL$23:$AN$46,,$AE184), INDEX($AO$23:$AU$46,,$AD184), 1 / ($AW$23:$AW$46*CM184), N($AK$23:$AK$46&gt;$AI184))
) / 1000</f>
        <v>0</v>
      </c>
      <c r="CP184" s="237">
        <f t="shared" si="392"/>
        <v>0</v>
      </c>
      <c r="CQ184" s="210"/>
    </row>
    <row r="185" spans="1:95" s="76" customFormat="1" ht="14.25" customHeight="1" x14ac:dyDescent="0.2">
      <c r="A185" s="238" t="b">
        <f t="shared" si="227"/>
        <v>0</v>
      </c>
      <c r="B185" s="239">
        <v>163</v>
      </c>
      <c r="C185" s="258"/>
      <c r="D185" s="258"/>
      <c r="E185" s="240"/>
      <c r="F185" s="241" t="str">
        <f>IF(ISBLANK(E185), "", VLOOKUP(E185, Z!$A$2:$C$4127, 3, FALSE))</f>
        <v/>
      </c>
      <c r="G185" s="242"/>
      <c r="H185" s="242"/>
      <c r="I185" s="243"/>
      <c r="J185" s="244"/>
      <c r="K185" s="259"/>
      <c r="L185" s="260"/>
      <c r="M185" s="247" t="str" cm="1">
        <f t="array" ref="M185">IF($K185&gt;0, INDEX(Clean,1+AG185,$C$1), "")</f>
        <v/>
      </c>
      <c r="N185" s="245"/>
      <c r="O185" s="245"/>
      <c r="P185" s="246"/>
      <c r="Q185" s="248">
        <f t="shared" si="369"/>
        <v>0</v>
      </c>
      <c r="R185" s="247" t="str" cm="1">
        <f t="array" ref="R185">IF($K185&gt;0, INDEX(Clean,1+AH185,$C$1), "")</f>
        <v/>
      </c>
      <c r="S185" s="245"/>
      <c r="T185" s="245"/>
      <c r="U185" s="246"/>
      <c r="V185" s="248">
        <f t="shared" si="370"/>
        <v>0</v>
      </c>
      <c r="W185" s="261"/>
      <c r="X185" s="258"/>
      <c r="Y185" s="240"/>
      <c r="Z185" s="241" t="str">
        <f>IF(ISBLANK(Y185), "", VLOOKUP(Y185, Z!$A$2:$C$4127, 3, FALSE))</f>
        <v/>
      </c>
      <c r="AA185" s="262"/>
      <c r="AB185" s="249">
        <f t="shared" si="396"/>
        <v>0</v>
      </c>
      <c r="AC185" s="210"/>
      <c r="AD185" s="236">
        <f t="shared" si="393"/>
        <v>1</v>
      </c>
      <c r="AE185" s="236">
        <f t="shared" si="394"/>
        <v>1</v>
      </c>
      <c r="AF185" s="236">
        <f t="shared" si="395"/>
        <v>0</v>
      </c>
      <c r="AG185" s="236">
        <v>1</v>
      </c>
      <c r="AH185" s="236">
        <v>0</v>
      </c>
      <c r="AI185" s="236">
        <f t="shared" si="371"/>
        <v>-100</v>
      </c>
      <c r="AJ185" s="210"/>
      <c r="AK185" s="254"/>
      <c r="AL185" s="254"/>
      <c r="AM185" s="255"/>
      <c r="AN185" s="255"/>
      <c r="AO185" s="255"/>
      <c r="AP185" s="255"/>
      <c r="AQ185" s="255"/>
      <c r="AR185" s="255"/>
      <c r="AS185" s="255"/>
      <c r="AT185" s="255"/>
      <c r="AU185" s="255"/>
      <c r="AV185" s="255"/>
      <c r="AW185" s="255"/>
      <c r="AX185" s="210"/>
      <c r="AY185" s="236" cm="1">
        <f t="array" ref="AY185">INDEX(Use, $AD185, 4)</f>
        <v>7</v>
      </c>
      <c r="AZ185" s="236">
        <f t="shared" si="372"/>
        <v>32</v>
      </c>
      <c r="BA185" s="236">
        <f t="shared" si="239"/>
        <v>13</v>
      </c>
      <c r="BB185" s="236">
        <f t="shared" si="240"/>
        <v>0</v>
      </c>
      <c r="BC185" s="252" cm="1">
        <f t="array" ref="BC185">K185/IF($L185&gt;0, INDEX($AO$23:$AU$77, $L185+20, $AD185), 1)</f>
        <v>0</v>
      </c>
      <c r="BD185" s="237">
        <f t="shared" si="373"/>
        <v>0</v>
      </c>
      <c r="BE185" s="236">
        <v>35</v>
      </c>
      <c r="BF185" s="237">
        <f t="shared" si="374"/>
        <v>52.55</v>
      </c>
      <c r="BG185" s="253">
        <f t="shared" si="375"/>
        <v>2.7676728869374316</v>
      </c>
      <c r="BH185" s="253" cm="1">
        <f t="array" ref="BH185">$BC185 * SUMPRODUCT(INDEX($AL$77:$AN$82,,$AE185),INDEX($AO$77:$AU$82,,$AD185), N($AK$77:$AK$82&gt;$AI185)) / BG185 / 1000</f>
        <v>0</v>
      </c>
      <c r="BI185" s="250">
        <f t="shared" si="244"/>
        <v>30</v>
      </c>
      <c r="BJ185" s="237">
        <f t="shared" si="376"/>
        <v>46.033333333333331</v>
      </c>
      <c r="BK185" s="253">
        <f t="shared" si="377"/>
        <v>3.2297395388556791</v>
      </c>
      <c r="BL185" s="253" cm="1">
        <f t="array" ref="BL185">$BC185 * IF($AD185&lt;=2,
SUMPRODUCT(INDEX($AL$72:$AN$76,,$AE185), INDEX($AO$72:$AU$76,,$AD185), 1 / ($AV$72:$AV$76*BK185 + (1-$AV$72:$AV$76)*BG185), N($AK$72:$AK$76&gt;$AI185)),
SUMPRODUCT(INDEX($AL$67:$AN$76,,$AE185), INDEX($AO$67:$AU$76,,$AD185), 1 / ($AW$67:$AW$76*BK185 + (1-$AW$67:$AW$76)*BG185), N($AK$67:$AK$76&gt;$AI185))
) / 1000</f>
        <v>0</v>
      </c>
      <c r="BM185" s="250">
        <f t="shared" si="247"/>
        <v>25</v>
      </c>
      <c r="BN185" s="237">
        <f t="shared" si="378"/>
        <v>39.516666666666666</v>
      </c>
      <c r="BO185" s="253">
        <f t="shared" si="379"/>
        <v>3.877011788826243</v>
      </c>
      <c r="BP185" s="253" cm="1">
        <f t="array" ref="BP185">$BC185 * IF($AD185&lt;=2,
SUMPRODUCT(INDEX($AL$67:$AN$71,,$AE185), INDEX($AO$67:$AU$71,,$AD185), 1 / ($AV$67:$AV$71*BO185 + (1-$AV$67:$AV$71)*BK185), N($AK$67:$AK$71&gt;$AI185)),
SUMPRODUCT(INDEX($AL$57:$AN$66,,$AE185), INDEX($AO$57:$AU$66,,$AD185), 1 / ($AW$57:$AW$66*BO185 + (1-$AW$57:$AW$66)*BK185), N($AK$57:$AK$66&gt;$AI185))
) / 1000</f>
        <v>0</v>
      </c>
      <c r="BQ185" s="250">
        <f t="shared" si="250"/>
        <v>20</v>
      </c>
      <c r="BR185" s="237">
        <f t="shared" si="380"/>
        <v>33</v>
      </c>
      <c r="BS185" s="253">
        <f t="shared" si="381"/>
        <v>4.8487499999999999</v>
      </c>
      <c r="BT185" s="253" cm="1">
        <f t="array" ref="BT185">$BC185 * IF($AD185&lt;=2,
SUMPRODUCT(INDEX($AL$62:$AN$66,,$AE185), INDEX($AO$62:$AU$66,,$AD185), 1 / ($AV$62:$AV$66*BS185 + (1-$AV$62:$AV$66)*BO185), N($AK$62:$AK$66&gt;$AI185)),
SUMPRODUCT(INDEX($AL$47:$AN$56,,$AE185), INDEX($AO$47:$AU$56,,$AD185), 1 / ($AW$47:$AW$56*BS185 + (1-$AW$47:$AW$56)*BO185), N($AK$47:$AK$56&gt;$AI185))
) / 1000</f>
        <v>0</v>
      </c>
      <c r="BU185" s="253" cm="1">
        <f t="array" ref="BU185">$BC185 * IF($AD185&lt;=2,
SUMPRODUCT(INDEX($AL$23:$AN$61,,$AE185), INDEX($AO$23:$AU$61,,$AD185), 1 / ($AV$23:$AV$61*BS185), N($AK$23:$AK$61&gt;$AI185)),
SUMPRODUCT(INDEX($AL$23:$AN$46,,$AE185), INDEX($AO$23:$AU$46,,$AD185), 1 / ($AW$23:$AW$46*BS185), N($AK$23:$AK$46&gt;$AI185))
) / 1000</f>
        <v>0</v>
      </c>
      <c r="BV185" s="237">
        <f t="shared" si="382"/>
        <v>0</v>
      </c>
      <c r="BW185" s="210"/>
      <c r="BX185" s="237">
        <f t="shared" si="383"/>
        <v>0</v>
      </c>
      <c r="BY185" s="236">
        <v>35</v>
      </c>
      <c r="BZ185" s="237">
        <f t="shared" si="384"/>
        <v>48</v>
      </c>
      <c r="CA185" s="253">
        <f t="shared" si="385"/>
        <v>3.0748170731707316</v>
      </c>
      <c r="CB185" s="253" cm="1">
        <f t="array" ref="CB185">$BC185 * SUMPRODUCT(INDEX($AL$77:$AN$82,,$AE185),INDEX($AO$77:$AU$82,,$AD185), N($AK$77:$AK$82&gt;$AI185)) / CA185 / 1000</f>
        <v>0</v>
      </c>
      <c r="CC185" s="250">
        <f t="shared" si="257"/>
        <v>30</v>
      </c>
      <c r="CD185" s="237">
        <f t="shared" si="386"/>
        <v>43</v>
      </c>
      <c r="CE185" s="253">
        <f t="shared" si="387"/>
        <v>3.5018750000000001</v>
      </c>
      <c r="CF185" s="253" cm="1">
        <f t="array" ref="CF185">$BC185 * IF($AD185&lt;=2,
SUMPRODUCT(INDEX($AL$72:$AN$76,,$AE185), INDEX($AO$72:$AU$76,,$AD185), 1 / ($AV$72:$AV$76*CE185 + (1-$AV$72:$AV$76)*CA185), N($AK$72:$AK$76&gt;$AI185)),
SUMPRODUCT(INDEX($AL$67:$AN$76,,$AE185), INDEX($AO$67:$AU$76,,$AD185), 1 / ($AW$67:$AW$76*CE185 + (1-$AW$67:$AW$76)*CA185), N($AK$67:$AK$76&gt;$AI185))
) / 1000</f>
        <v>0</v>
      </c>
      <c r="CG185" s="250">
        <f t="shared" si="260"/>
        <v>25</v>
      </c>
      <c r="CH185" s="237">
        <f t="shared" si="388"/>
        <v>38</v>
      </c>
      <c r="CI185" s="253">
        <f t="shared" si="389"/>
        <v>4.0666935483870965</v>
      </c>
      <c r="CJ185" s="253" cm="1">
        <f t="array" ref="CJ185">$BC185 * IF($AD185&lt;=2,
SUMPRODUCT(INDEX($AL$67:$AN$71,,$AE185), INDEX($AO$67:$AU$71,,$AD185), 1 / ($AV$67:$AV$71*CI185 + (1-$AV$67:$AV$71)*CE185), N($AK$67:$AK$71&gt;$AI185)),
SUMPRODUCT(INDEX($AL$57:$AN$66,,$AE185), INDEX($AO$57:$AU$66,,$AD185), 1 / ($AW$57:$AW$66*CI185 + (1-$AW$57:$AW$66)*CE185), N($AK$57:$AK$66&gt;$AI185))
) / 1000</f>
        <v>0</v>
      </c>
      <c r="CK185" s="250">
        <f t="shared" si="263"/>
        <v>20</v>
      </c>
      <c r="CL185" s="237">
        <f t="shared" si="390"/>
        <v>33</v>
      </c>
      <c r="CM185" s="253">
        <f t="shared" si="391"/>
        <v>4.8487499999999999</v>
      </c>
      <c r="CN185" s="253" cm="1">
        <f t="array" ref="CN185">$BC185 * IF($AD185&lt;=2,
SUMPRODUCT(INDEX($AL$62:$AN$66,,$AE185), INDEX($AO$62:$AU$66,,$AD185), 1 / ($AV$62:$AV$66*CM185 + (1-$AV$62:$AV$66)*CI185), N($AK$62:$AK$66&gt;$AI185)),
SUMPRODUCT(INDEX($AL$47:$AN$56,,$AE185), INDEX($AO$47:$AU$56,,$AD185), 1 / ($AW$47:$AW$56*CM185 + (1-$AW$47:$AW$56)*CI185), N($AK$47:$AK$56&gt;$AI185))
) / 1000</f>
        <v>0</v>
      </c>
      <c r="CO185" s="253" cm="1">
        <f t="array" ref="CO185">$BC185 * IF($AD185&lt;=2,
SUMPRODUCT(INDEX($AL$23:$AN$61,,$AE185), INDEX($AO$23:$AU$61,,$AD185), 1 / ($AV$23:$AV$61*CM185), N($AK$23:$AK$61&gt;$AI185)),
SUMPRODUCT(INDEX($AL$23:$AN$46,,$AE185), INDEX($AO$23:$AU$46,,$AD185), 1 / ($AW$23:$AW$46*CM185), N($AK$23:$AK$46&gt;$AI185))
) / 1000</f>
        <v>0</v>
      </c>
      <c r="CP185" s="237">
        <f t="shared" si="392"/>
        <v>0</v>
      </c>
      <c r="CQ185" s="210"/>
    </row>
    <row r="186" spans="1:95" s="76" customFormat="1" ht="14.25" customHeight="1" x14ac:dyDescent="0.2">
      <c r="A186" s="238" t="b">
        <f t="shared" si="227"/>
        <v>0</v>
      </c>
      <c r="B186" s="239">
        <v>164</v>
      </c>
      <c r="C186" s="258"/>
      <c r="D186" s="258"/>
      <c r="E186" s="240"/>
      <c r="F186" s="241" t="str">
        <f>IF(ISBLANK(E186), "", VLOOKUP(E186, Z!$A$2:$C$4127, 3, FALSE))</f>
        <v/>
      </c>
      <c r="G186" s="242"/>
      <c r="H186" s="242"/>
      <c r="I186" s="243"/>
      <c r="J186" s="244"/>
      <c r="K186" s="259"/>
      <c r="L186" s="260"/>
      <c r="M186" s="247" t="str" cm="1">
        <f t="array" ref="M186">IF($K186&gt;0, INDEX(Clean,1+AG186,$C$1), "")</f>
        <v/>
      </c>
      <c r="N186" s="245"/>
      <c r="O186" s="245"/>
      <c r="P186" s="246"/>
      <c r="Q186" s="248">
        <f t="shared" si="369"/>
        <v>0</v>
      </c>
      <c r="R186" s="247" t="str" cm="1">
        <f t="array" ref="R186">IF($K186&gt;0, INDEX(Clean,1+AH186,$C$1), "")</f>
        <v/>
      </c>
      <c r="S186" s="245"/>
      <c r="T186" s="245"/>
      <c r="U186" s="246"/>
      <c r="V186" s="248">
        <f t="shared" si="370"/>
        <v>0</v>
      </c>
      <c r="W186" s="261"/>
      <c r="X186" s="258"/>
      <c r="Y186" s="240"/>
      <c r="Z186" s="241" t="str">
        <f>IF(ISBLANK(Y186), "", VLOOKUP(Y186, Z!$A$2:$C$4127, 3, FALSE))</f>
        <v/>
      </c>
      <c r="AA186" s="262"/>
      <c r="AB186" s="249">
        <f t="shared" si="396"/>
        <v>0</v>
      </c>
      <c r="AC186" s="210"/>
      <c r="AD186" s="236">
        <f t="shared" si="393"/>
        <v>1</v>
      </c>
      <c r="AE186" s="236">
        <f t="shared" si="394"/>
        <v>1</v>
      </c>
      <c r="AF186" s="236">
        <f t="shared" si="395"/>
        <v>0</v>
      </c>
      <c r="AG186" s="236">
        <v>1</v>
      </c>
      <c r="AH186" s="236">
        <v>0</v>
      </c>
      <c r="AI186" s="236">
        <f t="shared" si="371"/>
        <v>-100</v>
      </c>
      <c r="AJ186" s="210"/>
      <c r="AK186" s="254"/>
      <c r="AL186" s="254"/>
      <c r="AM186" s="255"/>
      <c r="AN186" s="255"/>
      <c r="AO186" s="255"/>
      <c r="AP186" s="255"/>
      <c r="AQ186" s="255"/>
      <c r="AR186" s="255"/>
      <c r="AS186" s="255"/>
      <c r="AT186" s="255"/>
      <c r="AU186" s="255"/>
      <c r="AV186" s="255"/>
      <c r="AW186" s="255"/>
      <c r="AX186" s="210"/>
      <c r="AY186" s="236" cm="1">
        <f t="array" ref="AY186">INDEX(Use, $AD186, 4)</f>
        <v>7</v>
      </c>
      <c r="AZ186" s="236">
        <f t="shared" si="372"/>
        <v>32</v>
      </c>
      <c r="BA186" s="236">
        <f t="shared" si="239"/>
        <v>13</v>
      </c>
      <c r="BB186" s="236">
        <f t="shared" si="240"/>
        <v>0</v>
      </c>
      <c r="BC186" s="252" cm="1">
        <f t="array" ref="BC186">K186/IF($L186&gt;0, INDEX($AO$23:$AU$77, $L186+20, $AD186), 1)</f>
        <v>0</v>
      </c>
      <c r="BD186" s="237">
        <f t="shared" si="373"/>
        <v>0</v>
      </c>
      <c r="BE186" s="236">
        <v>35</v>
      </c>
      <c r="BF186" s="237">
        <f t="shared" si="374"/>
        <v>52.55</v>
      </c>
      <c r="BG186" s="253">
        <f t="shared" si="375"/>
        <v>2.7676728869374316</v>
      </c>
      <c r="BH186" s="253" cm="1">
        <f t="array" ref="BH186">$BC186 * SUMPRODUCT(INDEX($AL$77:$AN$82,,$AE186),INDEX($AO$77:$AU$82,,$AD186), N($AK$77:$AK$82&gt;$AI186)) / BG186 / 1000</f>
        <v>0</v>
      </c>
      <c r="BI186" s="250">
        <f t="shared" si="244"/>
        <v>30</v>
      </c>
      <c r="BJ186" s="237">
        <f t="shared" si="376"/>
        <v>46.033333333333331</v>
      </c>
      <c r="BK186" s="253">
        <f t="shared" si="377"/>
        <v>3.2297395388556791</v>
      </c>
      <c r="BL186" s="253" cm="1">
        <f t="array" ref="BL186">$BC186 * IF($AD186&lt;=2,
SUMPRODUCT(INDEX($AL$72:$AN$76,,$AE186), INDEX($AO$72:$AU$76,,$AD186), 1 / ($AV$72:$AV$76*BK186 + (1-$AV$72:$AV$76)*BG186), N($AK$72:$AK$76&gt;$AI186)),
SUMPRODUCT(INDEX($AL$67:$AN$76,,$AE186), INDEX($AO$67:$AU$76,,$AD186), 1 / ($AW$67:$AW$76*BK186 + (1-$AW$67:$AW$76)*BG186), N($AK$67:$AK$76&gt;$AI186))
) / 1000</f>
        <v>0</v>
      </c>
      <c r="BM186" s="250">
        <f t="shared" si="247"/>
        <v>25</v>
      </c>
      <c r="BN186" s="237">
        <f t="shared" si="378"/>
        <v>39.516666666666666</v>
      </c>
      <c r="BO186" s="253">
        <f t="shared" si="379"/>
        <v>3.877011788826243</v>
      </c>
      <c r="BP186" s="253" cm="1">
        <f t="array" ref="BP186">$BC186 * IF($AD186&lt;=2,
SUMPRODUCT(INDEX($AL$67:$AN$71,,$AE186), INDEX($AO$67:$AU$71,,$AD186), 1 / ($AV$67:$AV$71*BO186 + (1-$AV$67:$AV$71)*BK186), N($AK$67:$AK$71&gt;$AI186)),
SUMPRODUCT(INDEX($AL$57:$AN$66,,$AE186), INDEX($AO$57:$AU$66,,$AD186), 1 / ($AW$57:$AW$66*BO186 + (1-$AW$57:$AW$66)*BK186), N($AK$57:$AK$66&gt;$AI186))
) / 1000</f>
        <v>0</v>
      </c>
      <c r="BQ186" s="250">
        <f t="shared" si="250"/>
        <v>20</v>
      </c>
      <c r="BR186" s="237">
        <f t="shared" si="380"/>
        <v>33</v>
      </c>
      <c r="BS186" s="253">
        <f t="shared" si="381"/>
        <v>4.8487499999999999</v>
      </c>
      <c r="BT186" s="253" cm="1">
        <f t="array" ref="BT186">$BC186 * IF($AD186&lt;=2,
SUMPRODUCT(INDEX($AL$62:$AN$66,,$AE186), INDEX($AO$62:$AU$66,,$AD186), 1 / ($AV$62:$AV$66*BS186 + (1-$AV$62:$AV$66)*BO186), N($AK$62:$AK$66&gt;$AI186)),
SUMPRODUCT(INDEX($AL$47:$AN$56,,$AE186), INDEX($AO$47:$AU$56,,$AD186), 1 / ($AW$47:$AW$56*BS186 + (1-$AW$47:$AW$56)*BO186), N($AK$47:$AK$56&gt;$AI186))
) / 1000</f>
        <v>0</v>
      </c>
      <c r="BU186" s="253" cm="1">
        <f t="array" ref="BU186">$BC186 * IF($AD186&lt;=2,
SUMPRODUCT(INDEX($AL$23:$AN$61,,$AE186), INDEX($AO$23:$AU$61,,$AD186), 1 / ($AV$23:$AV$61*BS186), N($AK$23:$AK$61&gt;$AI186)),
SUMPRODUCT(INDEX($AL$23:$AN$46,,$AE186), INDEX($AO$23:$AU$46,,$AD186), 1 / ($AW$23:$AW$46*BS186), N($AK$23:$AK$46&gt;$AI186))
) / 1000</f>
        <v>0</v>
      </c>
      <c r="BV186" s="237">
        <f t="shared" si="382"/>
        <v>0</v>
      </c>
      <c r="BW186" s="210"/>
      <c r="BX186" s="237">
        <f t="shared" si="383"/>
        <v>0</v>
      </c>
      <c r="BY186" s="236">
        <v>35</v>
      </c>
      <c r="BZ186" s="237">
        <f t="shared" si="384"/>
        <v>48</v>
      </c>
      <c r="CA186" s="253">
        <f t="shared" si="385"/>
        <v>3.0748170731707316</v>
      </c>
      <c r="CB186" s="253" cm="1">
        <f t="array" ref="CB186">$BC186 * SUMPRODUCT(INDEX($AL$77:$AN$82,,$AE186),INDEX($AO$77:$AU$82,,$AD186), N($AK$77:$AK$82&gt;$AI186)) / CA186 / 1000</f>
        <v>0</v>
      </c>
      <c r="CC186" s="250">
        <f t="shared" si="257"/>
        <v>30</v>
      </c>
      <c r="CD186" s="237">
        <f t="shared" si="386"/>
        <v>43</v>
      </c>
      <c r="CE186" s="253">
        <f t="shared" si="387"/>
        <v>3.5018750000000001</v>
      </c>
      <c r="CF186" s="253" cm="1">
        <f t="array" ref="CF186">$BC186 * IF($AD186&lt;=2,
SUMPRODUCT(INDEX($AL$72:$AN$76,,$AE186), INDEX($AO$72:$AU$76,,$AD186), 1 / ($AV$72:$AV$76*CE186 + (1-$AV$72:$AV$76)*CA186), N($AK$72:$AK$76&gt;$AI186)),
SUMPRODUCT(INDEX($AL$67:$AN$76,,$AE186), INDEX($AO$67:$AU$76,,$AD186), 1 / ($AW$67:$AW$76*CE186 + (1-$AW$67:$AW$76)*CA186), N($AK$67:$AK$76&gt;$AI186))
) / 1000</f>
        <v>0</v>
      </c>
      <c r="CG186" s="250">
        <f t="shared" si="260"/>
        <v>25</v>
      </c>
      <c r="CH186" s="237">
        <f t="shared" si="388"/>
        <v>38</v>
      </c>
      <c r="CI186" s="253">
        <f t="shared" si="389"/>
        <v>4.0666935483870965</v>
      </c>
      <c r="CJ186" s="253" cm="1">
        <f t="array" ref="CJ186">$BC186 * IF($AD186&lt;=2,
SUMPRODUCT(INDEX($AL$67:$AN$71,,$AE186), INDEX($AO$67:$AU$71,,$AD186), 1 / ($AV$67:$AV$71*CI186 + (1-$AV$67:$AV$71)*CE186), N($AK$67:$AK$71&gt;$AI186)),
SUMPRODUCT(INDEX($AL$57:$AN$66,,$AE186), INDEX($AO$57:$AU$66,,$AD186), 1 / ($AW$57:$AW$66*CI186 + (1-$AW$57:$AW$66)*CE186), N($AK$57:$AK$66&gt;$AI186))
) / 1000</f>
        <v>0</v>
      </c>
      <c r="CK186" s="250">
        <f t="shared" si="263"/>
        <v>20</v>
      </c>
      <c r="CL186" s="237">
        <f t="shared" si="390"/>
        <v>33</v>
      </c>
      <c r="CM186" s="253">
        <f t="shared" si="391"/>
        <v>4.8487499999999999</v>
      </c>
      <c r="CN186" s="253" cm="1">
        <f t="array" ref="CN186">$BC186 * IF($AD186&lt;=2,
SUMPRODUCT(INDEX($AL$62:$AN$66,,$AE186), INDEX($AO$62:$AU$66,,$AD186), 1 / ($AV$62:$AV$66*CM186 + (1-$AV$62:$AV$66)*CI186), N($AK$62:$AK$66&gt;$AI186)),
SUMPRODUCT(INDEX($AL$47:$AN$56,,$AE186), INDEX($AO$47:$AU$56,,$AD186), 1 / ($AW$47:$AW$56*CM186 + (1-$AW$47:$AW$56)*CI186), N($AK$47:$AK$56&gt;$AI186))
) / 1000</f>
        <v>0</v>
      </c>
      <c r="CO186" s="253" cm="1">
        <f t="array" ref="CO186">$BC186 * IF($AD186&lt;=2,
SUMPRODUCT(INDEX($AL$23:$AN$61,,$AE186), INDEX($AO$23:$AU$61,,$AD186), 1 / ($AV$23:$AV$61*CM186), N($AK$23:$AK$61&gt;$AI186)),
SUMPRODUCT(INDEX($AL$23:$AN$46,,$AE186), INDEX($AO$23:$AU$46,,$AD186), 1 / ($AW$23:$AW$46*CM186), N($AK$23:$AK$46&gt;$AI186))
) / 1000</f>
        <v>0</v>
      </c>
      <c r="CP186" s="237">
        <f t="shared" si="392"/>
        <v>0</v>
      </c>
      <c r="CQ186" s="210"/>
    </row>
    <row r="187" spans="1:95" s="76" customFormat="1" ht="14.25" customHeight="1" x14ac:dyDescent="0.2">
      <c r="A187" s="238" t="b">
        <f t="shared" si="227"/>
        <v>0</v>
      </c>
      <c r="B187" s="239">
        <v>165</v>
      </c>
      <c r="C187" s="258"/>
      <c r="D187" s="258"/>
      <c r="E187" s="240"/>
      <c r="F187" s="241" t="str">
        <f>IF(ISBLANK(E187), "", VLOOKUP(E187, Z!$A$2:$C$4127, 3, FALSE))</f>
        <v/>
      </c>
      <c r="G187" s="242"/>
      <c r="H187" s="242"/>
      <c r="I187" s="243"/>
      <c r="J187" s="244"/>
      <c r="K187" s="259"/>
      <c r="L187" s="260"/>
      <c r="M187" s="247" t="str" cm="1">
        <f t="array" ref="M187">IF($K187&gt;0, INDEX(Clean,1+AG187,$C$1), "")</f>
        <v/>
      </c>
      <c r="N187" s="245"/>
      <c r="O187" s="245"/>
      <c r="P187" s="246"/>
      <c r="Q187" s="248">
        <f t="shared" ref="Q187:Q250" si="397">BV187*1000</f>
        <v>0</v>
      </c>
      <c r="R187" s="247" t="str" cm="1">
        <f t="array" ref="R187">IF($K187&gt;0, INDEX(Clean,1+AH187,$C$1), "")</f>
        <v/>
      </c>
      <c r="S187" s="245"/>
      <c r="T187" s="245"/>
      <c r="U187" s="246"/>
      <c r="V187" s="248">
        <f t="shared" ref="V187:V250" si="398">CP187*1000</f>
        <v>0</v>
      </c>
      <c r="W187" s="261"/>
      <c r="X187" s="258"/>
      <c r="Y187" s="240"/>
      <c r="Z187" s="241" t="str">
        <f>IF(ISBLANK(Y187), "", VLOOKUP(Y187, Z!$A$2:$C$4127, 3, FALSE))</f>
        <v/>
      </c>
      <c r="AA187" s="262"/>
      <c r="AB187" s="249">
        <f t="shared" si="396"/>
        <v>0</v>
      </c>
      <c r="AC187" s="210"/>
      <c r="AD187" s="236">
        <f t="shared" si="393"/>
        <v>1</v>
      </c>
      <c r="AE187" s="236">
        <f t="shared" si="394"/>
        <v>1</v>
      </c>
      <c r="AF187" s="236">
        <f t="shared" si="395"/>
        <v>0</v>
      </c>
      <c r="AG187" s="236">
        <v>1</v>
      </c>
      <c r="AH187" s="236">
        <v>0</v>
      </c>
      <c r="AI187" s="236">
        <f t="shared" ref="AI187:AI250" si="399">IF(AND(J187="x", AD187=5), 11, IF(AND(J187="x", AD187=6), 19, -100))</f>
        <v>-100</v>
      </c>
      <c r="AJ187" s="210"/>
      <c r="AK187" s="254"/>
      <c r="AL187" s="254"/>
      <c r="AM187" s="255"/>
      <c r="AN187" s="255"/>
      <c r="AO187" s="255"/>
      <c r="AP187" s="255"/>
      <c r="AQ187" s="255"/>
      <c r="AR187" s="255"/>
      <c r="AS187" s="255"/>
      <c r="AT187" s="255"/>
      <c r="AU187" s="255"/>
      <c r="AV187" s="255"/>
      <c r="AW187" s="255"/>
      <c r="AX187" s="210"/>
      <c r="AY187" s="236" cm="1">
        <f t="array" ref="AY187">INDEX(Use, $AD187, 4)</f>
        <v>7</v>
      </c>
      <c r="AZ187" s="236">
        <f t="shared" ref="AZ187:AZ250" si="400">MAX(25, AY187+25)</f>
        <v>32</v>
      </c>
      <c r="BA187" s="236">
        <f t="shared" si="239"/>
        <v>13</v>
      </c>
      <c r="BB187" s="236">
        <f t="shared" si="240"/>
        <v>0</v>
      </c>
      <c r="BC187" s="252" cm="1">
        <f t="array" ref="BC187">K187/IF($L187&gt;0, INDEX($AO$23:$AU$77, $L187+20, $AD187), 1)</f>
        <v>0</v>
      </c>
      <c r="BD187" s="237">
        <f t="shared" ref="BD187:BD250" si="401">P187 /  IF(AD187&lt;=2, 0.7 + 0.3 * (O187-20)/(35-20), 0.4 + 0.6 * (O187-5)/(35-5))</f>
        <v>0</v>
      </c>
      <c r="BE187" s="236">
        <v>35</v>
      </c>
      <c r="BF187" s="237">
        <f t="shared" ref="BF187:BF250" si="402">MAX($N187, MAX($AZ187, $BE187 + $BA187 + $BB187 + 0.35*$AG187*$BA187 + BD187))</f>
        <v>52.55</v>
      </c>
      <c r="BG187" s="253">
        <f t="shared" ref="BG187:BG250" si="403">0.45*($AY187+273.15)/(BF187-$AY187)</f>
        <v>2.7676728869374316</v>
      </c>
      <c r="BH187" s="253" cm="1">
        <f t="array" ref="BH187">$BC187 * SUMPRODUCT(INDEX($AL$77:$AN$82,,$AE187),INDEX($AO$77:$AU$82,,$AD187), N($AK$77:$AK$82&gt;$AI187)) / BG187 / 1000</f>
        <v>0</v>
      </c>
      <c r="BI187" s="250">
        <f t="shared" si="244"/>
        <v>30</v>
      </c>
      <c r="BJ187" s="237">
        <f t="shared" ref="BJ187:BJ250" si="404">MAX($N187, MAX($AZ187, BI187 + $BA187 + $BB187 + IF($AD187&lt;=2, (BI187-20)/(35-20), 0.6+0.4*(BI187-5)/(35-5))*0.35*$AG187*$BA187) + IF($AD187&lt;=2,0.9,0.8)*$BD187)</f>
        <v>46.033333333333331</v>
      </c>
      <c r="BK187" s="253">
        <f t="shared" ref="BK187:BK250" si="405">0.45*($AY187+273.15)/(BJ187-$AY187)</f>
        <v>3.2297395388556791</v>
      </c>
      <c r="BL187" s="253" cm="1">
        <f t="array" ref="BL187">$BC187 * IF($AD187&lt;=2,
SUMPRODUCT(INDEX($AL$72:$AN$76,,$AE187), INDEX($AO$72:$AU$76,,$AD187), 1 / ($AV$72:$AV$76*BK187 + (1-$AV$72:$AV$76)*BG187), N($AK$72:$AK$76&gt;$AI187)),
SUMPRODUCT(INDEX($AL$67:$AN$76,,$AE187), INDEX($AO$67:$AU$76,,$AD187), 1 / ($AW$67:$AW$76*BK187 + (1-$AW$67:$AW$76)*BG187), N($AK$67:$AK$76&gt;$AI187))
) / 1000</f>
        <v>0</v>
      </c>
      <c r="BM187" s="250">
        <f t="shared" si="247"/>
        <v>25</v>
      </c>
      <c r="BN187" s="237">
        <f t="shared" ref="BN187:BN250" si="406">MAX($N187, MAX($AZ187, BM187 + $BA187 + $BB187 + IF($AD187&lt;=2, (BM187-20)/(35-20), 0.6+0.4*(BM187-5)/(35-5))*0.35*$AG187*$BA187) + IF($AD187&lt;=2,0.8,0.6)*$BD187)</f>
        <v>39.516666666666666</v>
      </c>
      <c r="BO187" s="253">
        <f t="shared" ref="BO187:BO250" si="407">0.45*($AY187+273.15)/(BN187-$AY187)</f>
        <v>3.877011788826243</v>
      </c>
      <c r="BP187" s="253" cm="1">
        <f t="array" ref="BP187">$BC187 * IF($AD187&lt;=2,
SUMPRODUCT(INDEX($AL$67:$AN$71,,$AE187), INDEX($AO$67:$AU$71,,$AD187), 1 / ($AV$67:$AV$71*BO187 + (1-$AV$67:$AV$71)*BK187), N($AK$67:$AK$71&gt;$AI187)),
SUMPRODUCT(INDEX($AL$57:$AN$66,,$AE187), INDEX($AO$57:$AU$66,,$AD187), 1 / ($AW$57:$AW$66*BO187 + (1-$AW$57:$AW$66)*BK187), N($AK$57:$AK$66&gt;$AI187))
) / 1000</f>
        <v>0</v>
      </c>
      <c r="BQ187" s="250">
        <f t="shared" si="250"/>
        <v>20</v>
      </c>
      <c r="BR187" s="237">
        <f t="shared" ref="BR187:BR250" si="408">MAX($N187, MAX($AZ187, BQ187 + $BA187 + $BB187 + IF($AD187&lt;=2, (BQ187-20)/(35-20), 0.6+0.4*(BQ187-5)/(35-5))*0.35*$AG187*$BA187) + IF($AD187&lt;=2,0.7,0.4)*$BD187)</f>
        <v>33</v>
      </c>
      <c r="BS187" s="253">
        <f t="shared" ref="BS187:BS250" si="409">0.45*($AY187+273.15)/(BR187-$AY187)</f>
        <v>4.8487499999999999</v>
      </c>
      <c r="BT187" s="253" cm="1">
        <f t="array" ref="BT187">$BC187 * IF($AD187&lt;=2,
SUMPRODUCT(INDEX($AL$62:$AN$66,,$AE187), INDEX($AO$62:$AU$66,,$AD187), 1 / ($AV$62:$AV$66*BS187 + (1-$AV$62:$AV$66)*BO187), N($AK$62:$AK$66&gt;$AI187)),
SUMPRODUCT(INDEX($AL$47:$AN$56,,$AE187), INDEX($AO$47:$AU$56,,$AD187), 1 / ($AW$47:$AW$56*BS187 + (1-$AW$47:$AW$56)*BO187), N($AK$47:$AK$56&gt;$AI187))
) / 1000</f>
        <v>0</v>
      </c>
      <c r="BU187" s="253" cm="1">
        <f t="array" ref="BU187">$BC187 * IF($AD187&lt;=2,
SUMPRODUCT(INDEX($AL$23:$AN$61,,$AE187), INDEX($AO$23:$AU$61,,$AD187), 1 / ($AV$23:$AV$61*BS187), N($AK$23:$AK$61&gt;$AI187)),
SUMPRODUCT(INDEX($AL$23:$AN$46,,$AE187), INDEX($AO$23:$AU$46,,$AD187), 1 / ($AW$23:$AW$46*BS187), N($AK$23:$AK$46&gt;$AI187))
) / 1000</f>
        <v>0</v>
      </c>
      <c r="BV187" s="237">
        <f t="shared" ref="BV187:BV250" si="410">BH187+BL187+BP187+BT187+BU187</f>
        <v>0</v>
      </c>
      <c r="BW187" s="210"/>
      <c r="BX187" s="237">
        <f t="shared" ref="BX187:BX250" si="411">U187 /  IF(AD187&lt;=2, 0.7 + 0.3 * (T187-20)/(35-20), 0.4 + 0.6 * (T187-5)/(35-5))</f>
        <v>0</v>
      </c>
      <c r="BY187" s="236">
        <v>35</v>
      </c>
      <c r="BZ187" s="237">
        <f t="shared" ref="BZ187:BZ250" si="412">MAX($S187, MAX($AZ187, $BE187 + $BA187 + $BB187 + 0.35*$AH187*$BA187 + BX187))</f>
        <v>48</v>
      </c>
      <c r="CA187" s="253">
        <f t="shared" ref="CA187:CA250" si="413">0.45*($AY187+273.15)/(BZ187-$AY187)</f>
        <v>3.0748170731707316</v>
      </c>
      <c r="CB187" s="253" cm="1">
        <f t="array" ref="CB187">$BC187 * SUMPRODUCT(INDEX($AL$77:$AN$82,,$AE187),INDEX($AO$77:$AU$82,,$AD187), N($AK$77:$AK$82&gt;$AI187)) / CA187 / 1000</f>
        <v>0</v>
      </c>
      <c r="CC187" s="250">
        <f t="shared" si="257"/>
        <v>30</v>
      </c>
      <c r="CD187" s="237">
        <f t="shared" ref="CD187:CD250" si="414">MAX($S187, MAX($AZ187, CC187 + $BA187 + $BB187 + IF($AD187&lt;=2, (CC187-20)/(35-20), 0.6+0.4*(CC187-5)/(35-5))*0.35*$AH187*$BA187) + IF($AD187&lt;=2,0.9,0.8)*$BX187)</f>
        <v>43</v>
      </c>
      <c r="CE187" s="253">
        <f t="shared" ref="CE187:CE250" si="415">0.45*($AY187+273.15)/(CD187-$AY187)</f>
        <v>3.5018750000000001</v>
      </c>
      <c r="CF187" s="253" cm="1">
        <f t="array" ref="CF187">$BC187 * IF($AD187&lt;=2,
SUMPRODUCT(INDEX($AL$72:$AN$76,,$AE187), INDEX($AO$72:$AU$76,,$AD187), 1 / ($AV$72:$AV$76*CE187 + (1-$AV$72:$AV$76)*CA187), N($AK$72:$AK$76&gt;$AI187)),
SUMPRODUCT(INDEX($AL$67:$AN$76,,$AE187), INDEX($AO$67:$AU$76,,$AD187), 1 / ($AW$67:$AW$76*CE187 + (1-$AW$67:$AW$76)*CA187), N($AK$67:$AK$76&gt;$AI187))
) / 1000</f>
        <v>0</v>
      </c>
      <c r="CG187" s="250">
        <f t="shared" si="260"/>
        <v>25</v>
      </c>
      <c r="CH187" s="237">
        <f t="shared" ref="CH187:CH250" si="416">MAX($S187, MAX($AZ187, CG187 + $BA187 + $BB187 + IF($AD187&lt;=2, (CG187-20)/(35-20), 0.6+0.4*(CG187-5)/(35-5))*0.35*$AH187*$BA187) + IF($AD187&lt;=2,0.8,0.6)*$BX187)</f>
        <v>38</v>
      </c>
      <c r="CI187" s="253">
        <f t="shared" ref="CI187:CI250" si="417">0.45*($AY187+273.15)/(CH187-$AY187)</f>
        <v>4.0666935483870965</v>
      </c>
      <c r="CJ187" s="253" cm="1">
        <f t="array" ref="CJ187">$BC187 * IF($AD187&lt;=2,
SUMPRODUCT(INDEX($AL$67:$AN$71,,$AE187), INDEX($AO$67:$AU$71,,$AD187), 1 / ($AV$67:$AV$71*CI187 + (1-$AV$67:$AV$71)*CE187), N($AK$67:$AK$71&gt;$AI187)),
SUMPRODUCT(INDEX($AL$57:$AN$66,,$AE187), INDEX($AO$57:$AU$66,,$AD187), 1 / ($AW$57:$AW$66*CI187 + (1-$AW$57:$AW$66)*CE187), N($AK$57:$AK$66&gt;$AI187))
) / 1000</f>
        <v>0</v>
      </c>
      <c r="CK187" s="250">
        <f t="shared" si="263"/>
        <v>20</v>
      </c>
      <c r="CL187" s="237">
        <f t="shared" ref="CL187:CL250" si="418">MAX($S187, MAX($AZ187, CK187 + $BA187 + $BB187 + IF($AD187&lt;=2, (CK187-20)/(35-20), 0.6+0.4*(CK187-5)/(35-5))*0.35*$AH187*$BA187) + IF($AD187&lt;=2,0.7,0.4)*$BX187)</f>
        <v>33</v>
      </c>
      <c r="CM187" s="253">
        <f t="shared" ref="CM187:CM250" si="419">0.45*($AY187+273.15)/(CL187-$AY187)</f>
        <v>4.8487499999999999</v>
      </c>
      <c r="CN187" s="253" cm="1">
        <f t="array" ref="CN187">$BC187 * IF($AD187&lt;=2,
SUMPRODUCT(INDEX($AL$62:$AN$66,,$AE187), INDEX($AO$62:$AU$66,,$AD187), 1 / ($AV$62:$AV$66*CM187 + (1-$AV$62:$AV$66)*CI187), N($AK$62:$AK$66&gt;$AI187)),
SUMPRODUCT(INDEX($AL$47:$AN$56,,$AE187), INDEX($AO$47:$AU$56,,$AD187), 1 / ($AW$47:$AW$56*CM187 + (1-$AW$47:$AW$56)*CI187), N($AK$47:$AK$56&gt;$AI187))
) / 1000</f>
        <v>0</v>
      </c>
      <c r="CO187" s="253" cm="1">
        <f t="array" ref="CO187">$BC187 * IF($AD187&lt;=2,
SUMPRODUCT(INDEX($AL$23:$AN$61,,$AE187), INDEX($AO$23:$AU$61,,$AD187), 1 / ($AV$23:$AV$61*CM187), N($AK$23:$AK$61&gt;$AI187)),
SUMPRODUCT(INDEX($AL$23:$AN$46,,$AE187), INDEX($AO$23:$AU$46,,$AD187), 1 / ($AW$23:$AW$46*CM187), N($AK$23:$AK$46&gt;$AI187))
) / 1000</f>
        <v>0</v>
      </c>
      <c r="CP187" s="237">
        <f t="shared" ref="CP187:CP250" si="420">CB187+CF187+CJ187+CN187+CO187</f>
        <v>0</v>
      </c>
      <c r="CQ187" s="210"/>
    </row>
    <row r="188" spans="1:95" s="76" customFormat="1" ht="14.25" customHeight="1" x14ac:dyDescent="0.2">
      <c r="A188" s="238" t="b">
        <f t="shared" si="227"/>
        <v>0</v>
      </c>
      <c r="B188" s="239">
        <v>166</v>
      </c>
      <c r="C188" s="258"/>
      <c r="D188" s="258"/>
      <c r="E188" s="240"/>
      <c r="F188" s="241" t="str">
        <f>IF(ISBLANK(E188), "", VLOOKUP(E188, Z!$A$2:$C$4127, 3, FALSE))</f>
        <v/>
      </c>
      <c r="G188" s="242"/>
      <c r="H188" s="242"/>
      <c r="I188" s="243"/>
      <c r="J188" s="244"/>
      <c r="K188" s="259"/>
      <c r="L188" s="260"/>
      <c r="M188" s="247" t="str" cm="1">
        <f t="array" ref="M188">IF($K188&gt;0, INDEX(Clean,1+AG188,$C$1), "")</f>
        <v/>
      </c>
      <c r="N188" s="245"/>
      <c r="O188" s="245"/>
      <c r="P188" s="246"/>
      <c r="Q188" s="248">
        <f t="shared" si="397"/>
        <v>0</v>
      </c>
      <c r="R188" s="247" t="str" cm="1">
        <f t="array" ref="R188">IF($K188&gt;0, INDEX(Clean,1+AH188,$C$1), "")</f>
        <v/>
      </c>
      <c r="S188" s="245"/>
      <c r="T188" s="245"/>
      <c r="U188" s="246"/>
      <c r="V188" s="248">
        <f t="shared" si="398"/>
        <v>0</v>
      </c>
      <c r="W188" s="261"/>
      <c r="X188" s="258"/>
      <c r="Y188" s="240"/>
      <c r="Z188" s="241" t="str">
        <f>IF(ISBLANK(Y188), "", VLOOKUP(Y188, Z!$A$2:$C$4127, 3, FALSE))</f>
        <v/>
      </c>
      <c r="AA188" s="262"/>
      <c r="AB188" s="249">
        <f t="shared" si="396"/>
        <v>0</v>
      </c>
      <c r="AC188" s="210"/>
      <c r="AD188" s="236">
        <f t="shared" ref="AD188:AD251" si="421">IF(ISBLANK(H188), 1, IFERROR(MATCH(H188, INDEX(Use,,1), 0), IFERROR(MATCH(H188, INDEX(Use,,2), 0), MATCH(H188, INDEX(Use,,3), 0))))</f>
        <v>1</v>
      </c>
      <c r="AE188" s="236">
        <f t="shared" ref="AE188:AE251" si="422">IF(ISBLANK(G188), 1, IFERROR(MATCH(G188, INDEX(Loc,,1), 0), IFERROR(MATCH(G188, INDEX(Loc,,2), 0), MATCH(G188, INDEX(Loc,,3), 0))))</f>
        <v>1</v>
      </c>
      <c r="AF188" s="236">
        <f t="shared" ref="AF188:AF251" si="423">_xlfn.IFNA(IF(IFERROR(MATCH(I188, INDEX(Medium,,1), 0), IFERROR(MATCH(I188, INDEX(Medium,,2), 0), MATCH(I188, INDEX(Medium,,3), 0))) = 2, 1, 0), 0)</f>
        <v>0</v>
      </c>
      <c r="AG188" s="236">
        <v>1</v>
      </c>
      <c r="AH188" s="236">
        <v>0</v>
      </c>
      <c r="AI188" s="236">
        <f t="shared" si="399"/>
        <v>-100</v>
      </c>
      <c r="AJ188" s="210"/>
      <c r="AK188" s="254"/>
      <c r="AL188" s="254"/>
      <c r="AM188" s="255"/>
      <c r="AN188" s="255"/>
      <c r="AO188" s="255"/>
      <c r="AP188" s="255"/>
      <c r="AQ188" s="255"/>
      <c r="AR188" s="255"/>
      <c r="AS188" s="255"/>
      <c r="AT188" s="255"/>
      <c r="AU188" s="255"/>
      <c r="AV188" s="255"/>
      <c r="AW188" s="255"/>
      <c r="AX188" s="210"/>
      <c r="AY188" s="236" cm="1">
        <f t="array" ref="AY188">INDEX(Use, $AD188, 4)</f>
        <v>7</v>
      </c>
      <c r="AZ188" s="236">
        <f t="shared" si="400"/>
        <v>32</v>
      </c>
      <c r="BA188" s="236">
        <f t="shared" si="239"/>
        <v>13</v>
      </c>
      <c r="BB188" s="236">
        <f t="shared" si="240"/>
        <v>0</v>
      </c>
      <c r="BC188" s="252" cm="1">
        <f t="array" ref="BC188">K188/IF($L188&gt;0, INDEX($AO$23:$AU$77, $L188+20, $AD188), 1)</f>
        <v>0</v>
      </c>
      <c r="BD188" s="237">
        <f t="shared" si="401"/>
        <v>0</v>
      </c>
      <c r="BE188" s="236">
        <v>35</v>
      </c>
      <c r="BF188" s="237">
        <f t="shared" si="402"/>
        <v>52.55</v>
      </c>
      <c r="BG188" s="253">
        <f t="shared" si="403"/>
        <v>2.7676728869374316</v>
      </c>
      <c r="BH188" s="253" cm="1">
        <f t="array" ref="BH188">$BC188 * SUMPRODUCT(INDEX($AL$77:$AN$82,,$AE188),INDEX($AO$77:$AU$82,,$AD188), N($AK$77:$AK$82&gt;$AI188)) / BG188 / 1000</f>
        <v>0</v>
      </c>
      <c r="BI188" s="250">
        <f t="shared" si="244"/>
        <v>30</v>
      </c>
      <c r="BJ188" s="237">
        <f t="shared" si="404"/>
        <v>46.033333333333331</v>
      </c>
      <c r="BK188" s="253">
        <f t="shared" si="405"/>
        <v>3.2297395388556791</v>
      </c>
      <c r="BL188" s="253" cm="1">
        <f t="array" ref="BL188">$BC188 * IF($AD188&lt;=2,
SUMPRODUCT(INDEX($AL$72:$AN$76,,$AE188), INDEX($AO$72:$AU$76,,$AD188), 1 / ($AV$72:$AV$76*BK188 + (1-$AV$72:$AV$76)*BG188), N($AK$72:$AK$76&gt;$AI188)),
SUMPRODUCT(INDEX($AL$67:$AN$76,,$AE188), INDEX($AO$67:$AU$76,,$AD188), 1 / ($AW$67:$AW$76*BK188 + (1-$AW$67:$AW$76)*BG188), N($AK$67:$AK$76&gt;$AI188))
) / 1000</f>
        <v>0</v>
      </c>
      <c r="BM188" s="250">
        <f t="shared" si="247"/>
        <v>25</v>
      </c>
      <c r="BN188" s="237">
        <f t="shared" si="406"/>
        <v>39.516666666666666</v>
      </c>
      <c r="BO188" s="253">
        <f t="shared" si="407"/>
        <v>3.877011788826243</v>
      </c>
      <c r="BP188" s="253" cm="1">
        <f t="array" ref="BP188">$BC188 * IF($AD188&lt;=2,
SUMPRODUCT(INDEX($AL$67:$AN$71,,$AE188), INDEX($AO$67:$AU$71,,$AD188), 1 / ($AV$67:$AV$71*BO188 + (1-$AV$67:$AV$71)*BK188), N($AK$67:$AK$71&gt;$AI188)),
SUMPRODUCT(INDEX($AL$57:$AN$66,,$AE188), INDEX($AO$57:$AU$66,,$AD188), 1 / ($AW$57:$AW$66*BO188 + (1-$AW$57:$AW$66)*BK188), N($AK$57:$AK$66&gt;$AI188))
) / 1000</f>
        <v>0</v>
      </c>
      <c r="BQ188" s="250">
        <f t="shared" si="250"/>
        <v>20</v>
      </c>
      <c r="BR188" s="237">
        <f t="shared" si="408"/>
        <v>33</v>
      </c>
      <c r="BS188" s="253">
        <f t="shared" si="409"/>
        <v>4.8487499999999999</v>
      </c>
      <c r="BT188" s="253" cm="1">
        <f t="array" ref="BT188">$BC188 * IF($AD188&lt;=2,
SUMPRODUCT(INDEX($AL$62:$AN$66,,$AE188), INDEX($AO$62:$AU$66,,$AD188), 1 / ($AV$62:$AV$66*BS188 + (1-$AV$62:$AV$66)*BO188), N($AK$62:$AK$66&gt;$AI188)),
SUMPRODUCT(INDEX($AL$47:$AN$56,,$AE188), INDEX($AO$47:$AU$56,,$AD188), 1 / ($AW$47:$AW$56*BS188 + (1-$AW$47:$AW$56)*BO188), N($AK$47:$AK$56&gt;$AI188))
) / 1000</f>
        <v>0</v>
      </c>
      <c r="BU188" s="253" cm="1">
        <f t="array" ref="BU188">$BC188 * IF($AD188&lt;=2,
SUMPRODUCT(INDEX($AL$23:$AN$61,,$AE188), INDEX($AO$23:$AU$61,,$AD188), 1 / ($AV$23:$AV$61*BS188), N($AK$23:$AK$61&gt;$AI188)),
SUMPRODUCT(INDEX($AL$23:$AN$46,,$AE188), INDEX($AO$23:$AU$46,,$AD188), 1 / ($AW$23:$AW$46*BS188), N($AK$23:$AK$46&gt;$AI188))
) / 1000</f>
        <v>0</v>
      </c>
      <c r="BV188" s="237">
        <f t="shared" si="410"/>
        <v>0</v>
      </c>
      <c r="BW188" s="210"/>
      <c r="BX188" s="237">
        <f t="shared" si="411"/>
        <v>0</v>
      </c>
      <c r="BY188" s="236">
        <v>35</v>
      </c>
      <c r="BZ188" s="237">
        <f t="shared" si="412"/>
        <v>48</v>
      </c>
      <c r="CA188" s="253">
        <f t="shared" si="413"/>
        <v>3.0748170731707316</v>
      </c>
      <c r="CB188" s="253" cm="1">
        <f t="array" ref="CB188">$BC188 * SUMPRODUCT(INDEX($AL$77:$AN$82,,$AE188),INDEX($AO$77:$AU$82,,$AD188), N($AK$77:$AK$82&gt;$AI188)) / CA188 / 1000</f>
        <v>0</v>
      </c>
      <c r="CC188" s="250">
        <f t="shared" si="257"/>
        <v>30</v>
      </c>
      <c r="CD188" s="237">
        <f t="shared" si="414"/>
        <v>43</v>
      </c>
      <c r="CE188" s="253">
        <f t="shared" si="415"/>
        <v>3.5018750000000001</v>
      </c>
      <c r="CF188" s="253" cm="1">
        <f t="array" ref="CF188">$BC188 * IF($AD188&lt;=2,
SUMPRODUCT(INDEX($AL$72:$AN$76,,$AE188), INDEX($AO$72:$AU$76,,$AD188), 1 / ($AV$72:$AV$76*CE188 + (1-$AV$72:$AV$76)*CA188), N($AK$72:$AK$76&gt;$AI188)),
SUMPRODUCT(INDEX($AL$67:$AN$76,,$AE188), INDEX($AO$67:$AU$76,,$AD188), 1 / ($AW$67:$AW$76*CE188 + (1-$AW$67:$AW$76)*CA188), N($AK$67:$AK$76&gt;$AI188))
) / 1000</f>
        <v>0</v>
      </c>
      <c r="CG188" s="250">
        <f t="shared" si="260"/>
        <v>25</v>
      </c>
      <c r="CH188" s="237">
        <f t="shared" si="416"/>
        <v>38</v>
      </c>
      <c r="CI188" s="253">
        <f t="shared" si="417"/>
        <v>4.0666935483870965</v>
      </c>
      <c r="CJ188" s="253" cm="1">
        <f t="array" ref="CJ188">$BC188 * IF($AD188&lt;=2,
SUMPRODUCT(INDEX($AL$67:$AN$71,,$AE188), INDEX($AO$67:$AU$71,,$AD188), 1 / ($AV$67:$AV$71*CI188 + (1-$AV$67:$AV$71)*CE188), N($AK$67:$AK$71&gt;$AI188)),
SUMPRODUCT(INDEX($AL$57:$AN$66,,$AE188), INDEX($AO$57:$AU$66,,$AD188), 1 / ($AW$57:$AW$66*CI188 + (1-$AW$57:$AW$66)*CE188), N($AK$57:$AK$66&gt;$AI188))
) / 1000</f>
        <v>0</v>
      </c>
      <c r="CK188" s="250">
        <f t="shared" si="263"/>
        <v>20</v>
      </c>
      <c r="CL188" s="237">
        <f t="shared" si="418"/>
        <v>33</v>
      </c>
      <c r="CM188" s="253">
        <f t="shared" si="419"/>
        <v>4.8487499999999999</v>
      </c>
      <c r="CN188" s="253" cm="1">
        <f t="array" ref="CN188">$BC188 * IF($AD188&lt;=2,
SUMPRODUCT(INDEX($AL$62:$AN$66,,$AE188), INDEX($AO$62:$AU$66,,$AD188), 1 / ($AV$62:$AV$66*CM188 + (1-$AV$62:$AV$66)*CI188), N($AK$62:$AK$66&gt;$AI188)),
SUMPRODUCT(INDEX($AL$47:$AN$56,,$AE188), INDEX($AO$47:$AU$56,,$AD188), 1 / ($AW$47:$AW$56*CM188 + (1-$AW$47:$AW$56)*CI188), N($AK$47:$AK$56&gt;$AI188))
) / 1000</f>
        <v>0</v>
      </c>
      <c r="CO188" s="253" cm="1">
        <f t="array" ref="CO188">$BC188 * IF($AD188&lt;=2,
SUMPRODUCT(INDEX($AL$23:$AN$61,,$AE188), INDEX($AO$23:$AU$61,,$AD188), 1 / ($AV$23:$AV$61*CM188), N($AK$23:$AK$61&gt;$AI188)),
SUMPRODUCT(INDEX($AL$23:$AN$46,,$AE188), INDEX($AO$23:$AU$46,,$AD188), 1 / ($AW$23:$AW$46*CM188), N($AK$23:$AK$46&gt;$AI188))
) / 1000</f>
        <v>0</v>
      </c>
      <c r="CP188" s="237">
        <f t="shared" si="420"/>
        <v>0</v>
      </c>
      <c r="CQ188" s="210"/>
    </row>
    <row r="189" spans="1:95" s="76" customFormat="1" ht="14.25" customHeight="1" x14ac:dyDescent="0.2">
      <c r="A189" s="238" t="b">
        <f t="shared" si="227"/>
        <v>0</v>
      </c>
      <c r="B189" s="239">
        <v>167</v>
      </c>
      <c r="C189" s="258"/>
      <c r="D189" s="258"/>
      <c r="E189" s="240"/>
      <c r="F189" s="241" t="str">
        <f>IF(ISBLANK(E189), "", VLOOKUP(E189, Z!$A$2:$C$4127, 3, FALSE))</f>
        <v/>
      </c>
      <c r="G189" s="242"/>
      <c r="H189" s="242"/>
      <c r="I189" s="243"/>
      <c r="J189" s="244"/>
      <c r="K189" s="259"/>
      <c r="L189" s="260"/>
      <c r="M189" s="247" t="str" cm="1">
        <f t="array" ref="M189">IF($K189&gt;0, INDEX(Clean,1+AG189,$C$1), "")</f>
        <v/>
      </c>
      <c r="N189" s="245"/>
      <c r="O189" s="245"/>
      <c r="P189" s="246"/>
      <c r="Q189" s="248">
        <f t="shared" si="397"/>
        <v>0</v>
      </c>
      <c r="R189" s="247" t="str" cm="1">
        <f t="array" ref="R189">IF($K189&gt;0, INDEX(Clean,1+AH189,$C$1), "")</f>
        <v/>
      </c>
      <c r="S189" s="245"/>
      <c r="T189" s="245"/>
      <c r="U189" s="246"/>
      <c r="V189" s="248">
        <f t="shared" si="398"/>
        <v>0</v>
      </c>
      <c r="W189" s="261"/>
      <c r="X189" s="258"/>
      <c r="Y189" s="240"/>
      <c r="Z189" s="241" t="str">
        <f>IF(ISBLANK(Y189), "", VLOOKUP(Y189, Z!$A$2:$C$4127, 3, FALSE))</f>
        <v/>
      </c>
      <c r="AA189" s="262"/>
      <c r="AB189" s="249">
        <f t="shared" si="396"/>
        <v>0</v>
      </c>
      <c r="AC189" s="210"/>
      <c r="AD189" s="236">
        <f t="shared" si="421"/>
        <v>1</v>
      </c>
      <c r="AE189" s="236">
        <f t="shared" si="422"/>
        <v>1</v>
      </c>
      <c r="AF189" s="236">
        <f t="shared" si="423"/>
        <v>0</v>
      </c>
      <c r="AG189" s="236">
        <v>1</v>
      </c>
      <c r="AH189" s="236">
        <v>0</v>
      </c>
      <c r="AI189" s="236">
        <f t="shared" si="399"/>
        <v>-100</v>
      </c>
      <c r="AJ189" s="210"/>
      <c r="AK189" s="254"/>
      <c r="AL189" s="254"/>
      <c r="AM189" s="255"/>
      <c r="AN189" s="255"/>
      <c r="AO189" s="255"/>
      <c r="AP189" s="255"/>
      <c r="AQ189" s="255"/>
      <c r="AR189" s="255"/>
      <c r="AS189" s="255"/>
      <c r="AT189" s="255"/>
      <c r="AU189" s="255"/>
      <c r="AV189" s="255"/>
      <c r="AW189" s="255"/>
      <c r="AX189" s="210"/>
      <c r="AY189" s="236" cm="1">
        <f t="array" ref="AY189">INDEX(Use, $AD189, 4)</f>
        <v>7</v>
      </c>
      <c r="AZ189" s="236">
        <f t="shared" si="400"/>
        <v>32</v>
      </c>
      <c r="BA189" s="236">
        <f t="shared" si="239"/>
        <v>13</v>
      </c>
      <c r="BB189" s="236">
        <f t="shared" si="240"/>
        <v>0</v>
      </c>
      <c r="BC189" s="252" cm="1">
        <f t="array" ref="BC189">K189/IF($L189&gt;0, INDEX($AO$23:$AU$77, $L189+20, $AD189), 1)</f>
        <v>0</v>
      </c>
      <c r="BD189" s="237">
        <f t="shared" si="401"/>
        <v>0</v>
      </c>
      <c r="BE189" s="236">
        <v>35</v>
      </c>
      <c r="BF189" s="237">
        <f t="shared" si="402"/>
        <v>52.55</v>
      </c>
      <c r="BG189" s="253">
        <f t="shared" si="403"/>
        <v>2.7676728869374316</v>
      </c>
      <c r="BH189" s="253" cm="1">
        <f t="array" ref="BH189">$BC189 * SUMPRODUCT(INDEX($AL$77:$AN$82,,$AE189),INDEX($AO$77:$AU$82,,$AD189), N($AK$77:$AK$82&gt;$AI189)) / BG189 / 1000</f>
        <v>0</v>
      </c>
      <c r="BI189" s="250">
        <f t="shared" si="244"/>
        <v>30</v>
      </c>
      <c r="BJ189" s="237">
        <f t="shared" si="404"/>
        <v>46.033333333333331</v>
      </c>
      <c r="BK189" s="253">
        <f t="shared" si="405"/>
        <v>3.2297395388556791</v>
      </c>
      <c r="BL189" s="253" cm="1">
        <f t="array" ref="BL189">$BC189 * IF($AD189&lt;=2,
SUMPRODUCT(INDEX($AL$72:$AN$76,,$AE189), INDEX($AO$72:$AU$76,,$AD189), 1 / ($AV$72:$AV$76*BK189 + (1-$AV$72:$AV$76)*BG189), N($AK$72:$AK$76&gt;$AI189)),
SUMPRODUCT(INDEX($AL$67:$AN$76,,$AE189), INDEX($AO$67:$AU$76,,$AD189), 1 / ($AW$67:$AW$76*BK189 + (1-$AW$67:$AW$76)*BG189), N($AK$67:$AK$76&gt;$AI189))
) / 1000</f>
        <v>0</v>
      </c>
      <c r="BM189" s="250">
        <f t="shared" si="247"/>
        <v>25</v>
      </c>
      <c r="BN189" s="237">
        <f t="shared" si="406"/>
        <v>39.516666666666666</v>
      </c>
      <c r="BO189" s="253">
        <f t="shared" si="407"/>
        <v>3.877011788826243</v>
      </c>
      <c r="BP189" s="253" cm="1">
        <f t="array" ref="BP189">$BC189 * IF($AD189&lt;=2,
SUMPRODUCT(INDEX($AL$67:$AN$71,,$AE189), INDEX($AO$67:$AU$71,,$AD189), 1 / ($AV$67:$AV$71*BO189 + (1-$AV$67:$AV$71)*BK189), N($AK$67:$AK$71&gt;$AI189)),
SUMPRODUCT(INDEX($AL$57:$AN$66,,$AE189), INDEX($AO$57:$AU$66,,$AD189), 1 / ($AW$57:$AW$66*BO189 + (1-$AW$57:$AW$66)*BK189), N($AK$57:$AK$66&gt;$AI189))
) / 1000</f>
        <v>0</v>
      </c>
      <c r="BQ189" s="250">
        <f t="shared" si="250"/>
        <v>20</v>
      </c>
      <c r="BR189" s="237">
        <f t="shared" si="408"/>
        <v>33</v>
      </c>
      <c r="BS189" s="253">
        <f t="shared" si="409"/>
        <v>4.8487499999999999</v>
      </c>
      <c r="BT189" s="253" cm="1">
        <f t="array" ref="BT189">$BC189 * IF($AD189&lt;=2,
SUMPRODUCT(INDEX($AL$62:$AN$66,,$AE189), INDEX($AO$62:$AU$66,,$AD189), 1 / ($AV$62:$AV$66*BS189 + (1-$AV$62:$AV$66)*BO189), N($AK$62:$AK$66&gt;$AI189)),
SUMPRODUCT(INDEX($AL$47:$AN$56,,$AE189), INDEX($AO$47:$AU$56,,$AD189), 1 / ($AW$47:$AW$56*BS189 + (1-$AW$47:$AW$56)*BO189), N($AK$47:$AK$56&gt;$AI189))
) / 1000</f>
        <v>0</v>
      </c>
      <c r="BU189" s="253" cm="1">
        <f t="array" ref="BU189">$BC189 * IF($AD189&lt;=2,
SUMPRODUCT(INDEX($AL$23:$AN$61,,$AE189), INDEX($AO$23:$AU$61,,$AD189), 1 / ($AV$23:$AV$61*BS189), N($AK$23:$AK$61&gt;$AI189)),
SUMPRODUCT(INDEX($AL$23:$AN$46,,$AE189), INDEX($AO$23:$AU$46,,$AD189), 1 / ($AW$23:$AW$46*BS189), N($AK$23:$AK$46&gt;$AI189))
) / 1000</f>
        <v>0</v>
      </c>
      <c r="BV189" s="237">
        <f t="shared" si="410"/>
        <v>0</v>
      </c>
      <c r="BW189" s="210"/>
      <c r="BX189" s="237">
        <f t="shared" si="411"/>
        <v>0</v>
      </c>
      <c r="BY189" s="236">
        <v>35</v>
      </c>
      <c r="BZ189" s="237">
        <f t="shared" si="412"/>
        <v>48</v>
      </c>
      <c r="CA189" s="253">
        <f t="shared" si="413"/>
        <v>3.0748170731707316</v>
      </c>
      <c r="CB189" s="253" cm="1">
        <f t="array" ref="CB189">$BC189 * SUMPRODUCT(INDEX($AL$77:$AN$82,,$AE189),INDEX($AO$77:$AU$82,,$AD189), N($AK$77:$AK$82&gt;$AI189)) / CA189 / 1000</f>
        <v>0</v>
      </c>
      <c r="CC189" s="250">
        <f t="shared" si="257"/>
        <v>30</v>
      </c>
      <c r="CD189" s="237">
        <f t="shared" si="414"/>
        <v>43</v>
      </c>
      <c r="CE189" s="253">
        <f t="shared" si="415"/>
        <v>3.5018750000000001</v>
      </c>
      <c r="CF189" s="253" cm="1">
        <f t="array" ref="CF189">$BC189 * IF($AD189&lt;=2,
SUMPRODUCT(INDEX($AL$72:$AN$76,,$AE189), INDEX($AO$72:$AU$76,,$AD189), 1 / ($AV$72:$AV$76*CE189 + (1-$AV$72:$AV$76)*CA189), N($AK$72:$AK$76&gt;$AI189)),
SUMPRODUCT(INDEX($AL$67:$AN$76,,$AE189), INDEX($AO$67:$AU$76,,$AD189), 1 / ($AW$67:$AW$76*CE189 + (1-$AW$67:$AW$76)*CA189), N($AK$67:$AK$76&gt;$AI189))
) / 1000</f>
        <v>0</v>
      </c>
      <c r="CG189" s="250">
        <f t="shared" si="260"/>
        <v>25</v>
      </c>
      <c r="CH189" s="237">
        <f t="shared" si="416"/>
        <v>38</v>
      </c>
      <c r="CI189" s="253">
        <f t="shared" si="417"/>
        <v>4.0666935483870965</v>
      </c>
      <c r="CJ189" s="253" cm="1">
        <f t="array" ref="CJ189">$BC189 * IF($AD189&lt;=2,
SUMPRODUCT(INDEX($AL$67:$AN$71,,$AE189), INDEX($AO$67:$AU$71,,$AD189), 1 / ($AV$67:$AV$71*CI189 + (1-$AV$67:$AV$71)*CE189), N($AK$67:$AK$71&gt;$AI189)),
SUMPRODUCT(INDEX($AL$57:$AN$66,,$AE189), INDEX($AO$57:$AU$66,,$AD189), 1 / ($AW$57:$AW$66*CI189 + (1-$AW$57:$AW$66)*CE189), N($AK$57:$AK$66&gt;$AI189))
) / 1000</f>
        <v>0</v>
      </c>
      <c r="CK189" s="250">
        <f t="shared" si="263"/>
        <v>20</v>
      </c>
      <c r="CL189" s="237">
        <f t="shared" si="418"/>
        <v>33</v>
      </c>
      <c r="CM189" s="253">
        <f t="shared" si="419"/>
        <v>4.8487499999999999</v>
      </c>
      <c r="CN189" s="253" cm="1">
        <f t="array" ref="CN189">$BC189 * IF($AD189&lt;=2,
SUMPRODUCT(INDEX($AL$62:$AN$66,,$AE189), INDEX($AO$62:$AU$66,,$AD189), 1 / ($AV$62:$AV$66*CM189 + (1-$AV$62:$AV$66)*CI189), N($AK$62:$AK$66&gt;$AI189)),
SUMPRODUCT(INDEX($AL$47:$AN$56,,$AE189), INDEX($AO$47:$AU$56,,$AD189), 1 / ($AW$47:$AW$56*CM189 + (1-$AW$47:$AW$56)*CI189), N($AK$47:$AK$56&gt;$AI189))
) / 1000</f>
        <v>0</v>
      </c>
      <c r="CO189" s="253" cm="1">
        <f t="array" ref="CO189">$BC189 * IF($AD189&lt;=2,
SUMPRODUCT(INDEX($AL$23:$AN$61,,$AE189), INDEX($AO$23:$AU$61,,$AD189), 1 / ($AV$23:$AV$61*CM189), N($AK$23:$AK$61&gt;$AI189)),
SUMPRODUCT(INDEX($AL$23:$AN$46,,$AE189), INDEX($AO$23:$AU$46,,$AD189), 1 / ($AW$23:$AW$46*CM189), N($AK$23:$AK$46&gt;$AI189))
) / 1000</f>
        <v>0</v>
      </c>
      <c r="CP189" s="237">
        <f t="shared" si="420"/>
        <v>0</v>
      </c>
      <c r="CQ189" s="210"/>
    </row>
    <row r="190" spans="1:95" s="76" customFormat="1" ht="14.25" customHeight="1" x14ac:dyDescent="0.2">
      <c r="A190" s="238" t="b">
        <f t="shared" si="227"/>
        <v>0</v>
      </c>
      <c r="B190" s="239">
        <v>168</v>
      </c>
      <c r="C190" s="258"/>
      <c r="D190" s="258"/>
      <c r="E190" s="240"/>
      <c r="F190" s="241" t="str">
        <f>IF(ISBLANK(E190), "", VLOOKUP(E190, Z!$A$2:$C$4127, 3, FALSE))</f>
        <v/>
      </c>
      <c r="G190" s="242"/>
      <c r="H190" s="242"/>
      <c r="I190" s="243"/>
      <c r="J190" s="244"/>
      <c r="K190" s="259"/>
      <c r="L190" s="260"/>
      <c r="M190" s="247" t="str" cm="1">
        <f t="array" ref="M190">IF($K190&gt;0, INDEX(Clean,1+AG190,$C$1), "")</f>
        <v/>
      </c>
      <c r="N190" s="245"/>
      <c r="O190" s="245"/>
      <c r="P190" s="246"/>
      <c r="Q190" s="248">
        <f t="shared" si="397"/>
        <v>0</v>
      </c>
      <c r="R190" s="247" t="str" cm="1">
        <f t="array" ref="R190">IF($K190&gt;0, INDEX(Clean,1+AH190,$C$1), "")</f>
        <v/>
      </c>
      <c r="S190" s="245"/>
      <c r="T190" s="245"/>
      <c r="U190" s="246"/>
      <c r="V190" s="248">
        <f t="shared" si="398"/>
        <v>0</v>
      </c>
      <c r="W190" s="261"/>
      <c r="X190" s="258"/>
      <c r="Y190" s="240"/>
      <c r="Z190" s="241" t="str">
        <f>IF(ISBLANK(Y190), "", VLOOKUP(Y190, Z!$A$2:$C$4127, 3, FALSE))</f>
        <v/>
      </c>
      <c r="AA190" s="262"/>
      <c r="AB190" s="249">
        <f t="shared" si="396"/>
        <v>0</v>
      </c>
      <c r="AC190" s="210"/>
      <c r="AD190" s="236">
        <f t="shared" si="421"/>
        <v>1</v>
      </c>
      <c r="AE190" s="236">
        <f t="shared" si="422"/>
        <v>1</v>
      </c>
      <c r="AF190" s="236">
        <f t="shared" si="423"/>
        <v>0</v>
      </c>
      <c r="AG190" s="236">
        <v>1</v>
      </c>
      <c r="AH190" s="236">
        <v>0</v>
      </c>
      <c r="AI190" s="236">
        <f t="shared" si="399"/>
        <v>-100</v>
      </c>
      <c r="AJ190" s="210"/>
      <c r="AK190" s="254"/>
      <c r="AL190" s="254"/>
      <c r="AM190" s="255"/>
      <c r="AN190" s="255"/>
      <c r="AO190" s="255"/>
      <c r="AP190" s="255"/>
      <c r="AQ190" s="255"/>
      <c r="AR190" s="255"/>
      <c r="AS190" s="255"/>
      <c r="AT190" s="255"/>
      <c r="AU190" s="255"/>
      <c r="AV190" s="255"/>
      <c r="AW190" s="255"/>
      <c r="AX190" s="210"/>
      <c r="AY190" s="236" cm="1">
        <f t="array" ref="AY190">INDEX(Use, $AD190, 4)</f>
        <v>7</v>
      </c>
      <c r="AZ190" s="236">
        <f t="shared" si="400"/>
        <v>32</v>
      </c>
      <c r="BA190" s="236">
        <f t="shared" si="239"/>
        <v>13</v>
      </c>
      <c r="BB190" s="236">
        <f t="shared" si="240"/>
        <v>0</v>
      </c>
      <c r="BC190" s="252" cm="1">
        <f t="array" ref="BC190">K190/IF($L190&gt;0, INDEX($AO$23:$AU$77, $L190+20, $AD190), 1)</f>
        <v>0</v>
      </c>
      <c r="BD190" s="237">
        <f t="shared" si="401"/>
        <v>0</v>
      </c>
      <c r="BE190" s="236">
        <v>35</v>
      </c>
      <c r="BF190" s="237">
        <f t="shared" si="402"/>
        <v>52.55</v>
      </c>
      <c r="BG190" s="253">
        <f t="shared" si="403"/>
        <v>2.7676728869374316</v>
      </c>
      <c r="BH190" s="253" cm="1">
        <f t="array" ref="BH190">$BC190 * SUMPRODUCT(INDEX($AL$77:$AN$82,,$AE190),INDEX($AO$77:$AU$82,,$AD190), N($AK$77:$AK$82&gt;$AI190)) / BG190 / 1000</f>
        <v>0</v>
      </c>
      <c r="BI190" s="250">
        <f t="shared" si="244"/>
        <v>30</v>
      </c>
      <c r="BJ190" s="237">
        <f t="shared" si="404"/>
        <v>46.033333333333331</v>
      </c>
      <c r="BK190" s="253">
        <f t="shared" si="405"/>
        <v>3.2297395388556791</v>
      </c>
      <c r="BL190" s="253" cm="1">
        <f t="array" ref="BL190">$BC190 * IF($AD190&lt;=2,
SUMPRODUCT(INDEX($AL$72:$AN$76,,$AE190), INDEX($AO$72:$AU$76,,$AD190), 1 / ($AV$72:$AV$76*BK190 + (1-$AV$72:$AV$76)*BG190), N($AK$72:$AK$76&gt;$AI190)),
SUMPRODUCT(INDEX($AL$67:$AN$76,,$AE190), INDEX($AO$67:$AU$76,,$AD190), 1 / ($AW$67:$AW$76*BK190 + (1-$AW$67:$AW$76)*BG190), N($AK$67:$AK$76&gt;$AI190))
) / 1000</f>
        <v>0</v>
      </c>
      <c r="BM190" s="250">
        <f t="shared" si="247"/>
        <v>25</v>
      </c>
      <c r="BN190" s="237">
        <f t="shared" si="406"/>
        <v>39.516666666666666</v>
      </c>
      <c r="BO190" s="253">
        <f t="shared" si="407"/>
        <v>3.877011788826243</v>
      </c>
      <c r="BP190" s="253" cm="1">
        <f t="array" ref="BP190">$BC190 * IF($AD190&lt;=2,
SUMPRODUCT(INDEX($AL$67:$AN$71,,$AE190), INDEX($AO$67:$AU$71,,$AD190), 1 / ($AV$67:$AV$71*BO190 + (1-$AV$67:$AV$71)*BK190), N($AK$67:$AK$71&gt;$AI190)),
SUMPRODUCT(INDEX($AL$57:$AN$66,,$AE190), INDEX($AO$57:$AU$66,,$AD190), 1 / ($AW$57:$AW$66*BO190 + (1-$AW$57:$AW$66)*BK190), N($AK$57:$AK$66&gt;$AI190))
) / 1000</f>
        <v>0</v>
      </c>
      <c r="BQ190" s="250">
        <f t="shared" si="250"/>
        <v>20</v>
      </c>
      <c r="BR190" s="237">
        <f t="shared" si="408"/>
        <v>33</v>
      </c>
      <c r="BS190" s="253">
        <f t="shared" si="409"/>
        <v>4.8487499999999999</v>
      </c>
      <c r="BT190" s="253" cm="1">
        <f t="array" ref="BT190">$BC190 * IF($AD190&lt;=2,
SUMPRODUCT(INDEX($AL$62:$AN$66,,$AE190), INDEX($AO$62:$AU$66,,$AD190), 1 / ($AV$62:$AV$66*BS190 + (1-$AV$62:$AV$66)*BO190), N($AK$62:$AK$66&gt;$AI190)),
SUMPRODUCT(INDEX($AL$47:$AN$56,,$AE190), INDEX($AO$47:$AU$56,,$AD190), 1 / ($AW$47:$AW$56*BS190 + (1-$AW$47:$AW$56)*BO190), N($AK$47:$AK$56&gt;$AI190))
) / 1000</f>
        <v>0</v>
      </c>
      <c r="BU190" s="253" cm="1">
        <f t="array" ref="BU190">$BC190 * IF($AD190&lt;=2,
SUMPRODUCT(INDEX($AL$23:$AN$61,,$AE190), INDEX($AO$23:$AU$61,,$AD190), 1 / ($AV$23:$AV$61*BS190), N($AK$23:$AK$61&gt;$AI190)),
SUMPRODUCT(INDEX($AL$23:$AN$46,,$AE190), INDEX($AO$23:$AU$46,,$AD190), 1 / ($AW$23:$AW$46*BS190), N($AK$23:$AK$46&gt;$AI190))
) / 1000</f>
        <v>0</v>
      </c>
      <c r="BV190" s="237">
        <f t="shared" si="410"/>
        <v>0</v>
      </c>
      <c r="BW190" s="210"/>
      <c r="BX190" s="237">
        <f t="shared" si="411"/>
        <v>0</v>
      </c>
      <c r="BY190" s="236">
        <v>35</v>
      </c>
      <c r="BZ190" s="237">
        <f t="shared" si="412"/>
        <v>48</v>
      </c>
      <c r="CA190" s="253">
        <f t="shared" si="413"/>
        <v>3.0748170731707316</v>
      </c>
      <c r="CB190" s="253" cm="1">
        <f t="array" ref="CB190">$BC190 * SUMPRODUCT(INDEX($AL$77:$AN$82,,$AE190),INDEX($AO$77:$AU$82,,$AD190), N($AK$77:$AK$82&gt;$AI190)) / CA190 / 1000</f>
        <v>0</v>
      </c>
      <c r="CC190" s="250">
        <f t="shared" si="257"/>
        <v>30</v>
      </c>
      <c r="CD190" s="237">
        <f t="shared" si="414"/>
        <v>43</v>
      </c>
      <c r="CE190" s="253">
        <f t="shared" si="415"/>
        <v>3.5018750000000001</v>
      </c>
      <c r="CF190" s="253" cm="1">
        <f t="array" ref="CF190">$BC190 * IF($AD190&lt;=2,
SUMPRODUCT(INDEX($AL$72:$AN$76,,$AE190), INDEX($AO$72:$AU$76,,$AD190), 1 / ($AV$72:$AV$76*CE190 + (1-$AV$72:$AV$76)*CA190), N($AK$72:$AK$76&gt;$AI190)),
SUMPRODUCT(INDEX($AL$67:$AN$76,,$AE190), INDEX($AO$67:$AU$76,,$AD190), 1 / ($AW$67:$AW$76*CE190 + (1-$AW$67:$AW$76)*CA190), N($AK$67:$AK$76&gt;$AI190))
) / 1000</f>
        <v>0</v>
      </c>
      <c r="CG190" s="250">
        <f t="shared" si="260"/>
        <v>25</v>
      </c>
      <c r="CH190" s="237">
        <f t="shared" si="416"/>
        <v>38</v>
      </c>
      <c r="CI190" s="253">
        <f t="shared" si="417"/>
        <v>4.0666935483870965</v>
      </c>
      <c r="CJ190" s="253" cm="1">
        <f t="array" ref="CJ190">$BC190 * IF($AD190&lt;=2,
SUMPRODUCT(INDEX($AL$67:$AN$71,,$AE190), INDEX($AO$67:$AU$71,,$AD190), 1 / ($AV$67:$AV$71*CI190 + (1-$AV$67:$AV$71)*CE190), N($AK$67:$AK$71&gt;$AI190)),
SUMPRODUCT(INDEX($AL$57:$AN$66,,$AE190), INDEX($AO$57:$AU$66,,$AD190), 1 / ($AW$57:$AW$66*CI190 + (1-$AW$57:$AW$66)*CE190), N($AK$57:$AK$66&gt;$AI190))
) / 1000</f>
        <v>0</v>
      </c>
      <c r="CK190" s="250">
        <f t="shared" si="263"/>
        <v>20</v>
      </c>
      <c r="CL190" s="237">
        <f t="shared" si="418"/>
        <v>33</v>
      </c>
      <c r="CM190" s="253">
        <f t="shared" si="419"/>
        <v>4.8487499999999999</v>
      </c>
      <c r="CN190" s="253" cm="1">
        <f t="array" ref="CN190">$BC190 * IF($AD190&lt;=2,
SUMPRODUCT(INDEX($AL$62:$AN$66,,$AE190), INDEX($AO$62:$AU$66,,$AD190), 1 / ($AV$62:$AV$66*CM190 + (1-$AV$62:$AV$66)*CI190), N($AK$62:$AK$66&gt;$AI190)),
SUMPRODUCT(INDEX($AL$47:$AN$56,,$AE190), INDEX($AO$47:$AU$56,,$AD190), 1 / ($AW$47:$AW$56*CM190 + (1-$AW$47:$AW$56)*CI190), N($AK$47:$AK$56&gt;$AI190))
) / 1000</f>
        <v>0</v>
      </c>
      <c r="CO190" s="253" cm="1">
        <f t="array" ref="CO190">$BC190 * IF($AD190&lt;=2,
SUMPRODUCT(INDEX($AL$23:$AN$61,,$AE190), INDEX($AO$23:$AU$61,,$AD190), 1 / ($AV$23:$AV$61*CM190), N($AK$23:$AK$61&gt;$AI190)),
SUMPRODUCT(INDEX($AL$23:$AN$46,,$AE190), INDEX($AO$23:$AU$46,,$AD190), 1 / ($AW$23:$AW$46*CM190), N($AK$23:$AK$46&gt;$AI190))
) / 1000</f>
        <v>0</v>
      </c>
      <c r="CP190" s="237">
        <f t="shared" si="420"/>
        <v>0</v>
      </c>
      <c r="CQ190" s="210"/>
    </row>
    <row r="191" spans="1:95" s="76" customFormat="1" ht="14.25" customHeight="1" x14ac:dyDescent="0.2">
      <c r="A191" s="238" t="b">
        <f t="shared" si="227"/>
        <v>0</v>
      </c>
      <c r="B191" s="239">
        <v>169</v>
      </c>
      <c r="C191" s="258"/>
      <c r="D191" s="258"/>
      <c r="E191" s="240"/>
      <c r="F191" s="241" t="str">
        <f>IF(ISBLANK(E191), "", VLOOKUP(E191, Z!$A$2:$C$4127, 3, FALSE))</f>
        <v/>
      </c>
      <c r="G191" s="242"/>
      <c r="H191" s="242"/>
      <c r="I191" s="243"/>
      <c r="J191" s="244"/>
      <c r="K191" s="259"/>
      <c r="L191" s="260"/>
      <c r="M191" s="247" t="str" cm="1">
        <f t="array" ref="M191">IF($K191&gt;0, INDEX(Clean,1+AG191,$C$1), "")</f>
        <v/>
      </c>
      <c r="N191" s="245"/>
      <c r="O191" s="245"/>
      <c r="P191" s="246"/>
      <c r="Q191" s="248">
        <f t="shared" si="397"/>
        <v>0</v>
      </c>
      <c r="R191" s="247" t="str" cm="1">
        <f t="array" ref="R191">IF($K191&gt;0, INDEX(Clean,1+AH191,$C$1), "")</f>
        <v/>
      </c>
      <c r="S191" s="245"/>
      <c r="T191" s="245"/>
      <c r="U191" s="246"/>
      <c r="V191" s="248">
        <f t="shared" si="398"/>
        <v>0</v>
      </c>
      <c r="W191" s="261"/>
      <c r="X191" s="258"/>
      <c r="Y191" s="240"/>
      <c r="Z191" s="241" t="str">
        <f>IF(ISBLANK(Y191), "", VLOOKUP(Y191, Z!$A$2:$C$4127, 3, FALSE))</f>
        <v/>
      </c>
      <c r="AA191" s="262"/>
      <c r="AB191" s="249">
        <f t="shared" si="396"/>
        <v>0</v>
      </c>
      <c r="AC191" s="210"/>
      <c r="AD191" s="236">
        <f t="shared" si="421"/>
        <v>1</v>
      </c>
      <c r="AE191" s="236">
        <f t="shared" si="422"/>
        <v>1</v>
      </c>
      <c r="AF191" s="236">
        <f t="shared" si="423"/>
        <v>0</v>
      </c>
      <c r="AG191" s="236">
        <v>1</v>
      </c>
      <c r="AH191" s="236">
        <v>0</v>
      </c>
      <c r="AI191" s="236">
        <f t="shared" si="399"/>
        <v>-100</v>
      </c>
      <c r="AJ191" s="210"/>
      <c r="AK191" s="254"/>
      <c r="AL191" s="254"/>
      <c r="AM191" s="255"/>
      <c r="AN191" s="255"/>
      <c r="AO191" s="255"/>
      <c r="AP191" s="255"/>
      <c r="AQ191" s="255"/>
      <c r="AR191" s="255"/>
      <c r="AS191" s="255"/>
      <c r="AT191" s="255"/>
      <c r="AU191" s="255"/>
      <c r="AV191" s="255"/>
      <c r="AW191" s="255"/>
      <c r="AX191" s="210"/>
      <c r="AY191" s="236" cm="1">
        <f t="array" ref="AY191">INDEX(Use, $AD191, 4)</f>
        <v>7</v>
      </c>
      <c r="AZ191" s="236">
        <f t="shared" si="400"/>
        <v>32</v>
      </c>
      <c r="BA191" s="236">
        <f t="shared" si="239"/>
        <v>13</v>
      </c>
      <c r="BB191" s="236">
        <f t="shared" si="240"/>
        <v>0</v>
      </c>
      <c r="BC191" s="252" cm="1">
        <f t="array" ref="BC191">K191/IF($L191&gt;0, INDEX($AO$23:$AU$77, $L191+20, $AD191), 1)</f>
        <v>0</v>
      </c>
      <c r="BD191" s="237">
        <f t="shared" si="401"/>
        <v>0</v>
      </c>
      <c r="BE191" s="236">
        <v>35</v>
      </c>
      <c r="BF191" s="237">
        <f t="shared" si="402"/>
        <v>52.55</v>
      </c>
      <c r="BG191" s="253">
        <f t="shared" si="403"/>
        <v>2.7676728869374316</v>
      </c>
      <c r="BH191" s="253" cm="1">
        <f t="array" ref="BH191">$BC191 * SUMPRODUCT(INDEX($AL$77:$AN$82,,$AE191),INDEX($AO$77:$AU$82,,$AD191), N($AK$77:$AK$82&gt;$AI191)) / BG191 / 1000</f>
        <v>0</v>
      </c>
      <c r="BI191" s="250">
        <f t="shared" si="244"/>
        <v>30</v>
      </c>
      <c r="BJ191" s="237">
        <f t="shared" si="404"/>
        <v>46.033333333333331</v>
      </c>
      <c r="BK191" s="253">
        <f t="shared" si="405"/>
        <v>3.2297395388556791</v>
      </c>
      <c r="BL191" s="253" cm="1">
        <f t="array" ref="BL191">$BC191 * IF($AD191&lt;=2,
SUMPRODUCT(INDEX($AL$72:$AN$76,,$AE191), INDEX($AO$72:$AU$76,,$AD191), 1 / ($AV$72:$AV$76*BK191 + (1-$AV$72:$AV$76)*BG191), N($AK$72:$AK$76&gt;$AI191)),
SUMPRODUCT(INDEX($AL$67:$AN$76,,$AE191), INDEX($AO$67:$AU$76,,$AD191), 1 / ($AW$67:$AW$76*BK191 + (1-$AW$67:$AW$76)*BG191), N($AK$67:$AK$76&gt;$AI191))
) / 1000</f>
        <v>0</v>
      </c>
      <c r="BM191" s="250">
        <f t="shared" si="247"/>
        <v>25</v>
      </c>
      <c r="BN191" s="237">
        <f t="shared" si="406"/>
        <v>39.516666666666666</v>
      </c>
      <c r="BO191" s="253">
        <f t="shared" si="407"/>
        <v>3.877011788826243</v>
      </c>
      <c r="BP191" s="253" cm="1">
        <f t="array" ref="BP191">$BC191 * IF($AD191&lt;=2,
SUMPRODUCT(INDEX($AL$67:$AN$71,,$AE191), INDEX($AO$67:$AU$71,,$AD191), 1 / ($AV$67:$AV$71*BO191 + (1-$AV$67:$AV$71)*BK191), N($AK$67:$AK$71&gt;$AI191)),
SUMPRODUCT(INDEX($AL$57:$AN$66,,$AE191), INDEX($AO$57:$AU$66,,$AD191), 1 / ($AW$57:$AW$66*BO191 + (1-$AW$57:$AW$66)*BK191), N($AK$57:$AK$66&gt;$AI191))
) / 1000</f>
        <v>0</v>
      </c>
      <c r="BQ191" s="250">
        <f t="shared" si="250"/>
        <v>20</v>
      </c>
      <c r="BR191" s="237">
        <f t="shared" si="408"/>
        <v>33</v>
      </c>
      <c r="BS191" s="253">
        <f t="shared" si="409"/>
        <v>4.8487499999999999</v>
      </c>
      <c r="BT191" s="253" cm="1">
        <f t="array" ref="BT191">$BC191 * IF($AD191&lt;=2,
SUMPRODUCT(INDEX($AL$62:$AN$66,,$AE191), INDEX($AO$62:$AU$66,,$AD191), 1 / ($AV$62:$AV$66*BS191 + (1-$AV$62:$AV$66)*BO191), N($AK$62:$AK$66&gt;$AI191)),
SUMPRODUCT(INDEX($AL$47:$AN$56,,$AE191), INDEX($AO$47:$AU$56,,$AD191), 1 / ($AW$47:$AW$56*BS191 + (1-$AW$47:$AW$56)*BO191), N($AK$47:$AK$56&gt;$AI191))
) / 1000</f>
        <v>0</v>
      </c>
      <c r="BU191" s="253" cm="1">
        <f t="array" ref="BU191">$BC191 * IF($AD191&lt;=2,
SUMPRODUCT(INDEX($AL$23:$AN$61,,$AE191), INDEX($AO$23:$AU$61,,$AD191), 1 / ($AV$23:$AV$61*BS191), N($AK$23:$AK$61&gt;$AI191)),
SUMPRODUCT(INDEX($AL$23:$AN$46,,$AE191), INDEX($AO$23:$AU$46,,$AD191), 1 / ($AW$23:$AW$46*BS191), N($AK$23:$AK$46&gt;$AI191))
) / 1000</f>
        <v>0</v>
      </c>
      <c r="BV191" s="237">
        <f t="shared" si="410"/>
        <v>0</v>
      </c>
      <c r="BW191" s="210"/>
      <c r="BX191" s="237">
        <f t="shared" si="411"/>
        <v>0</v>
      </c>
      <c r="BY191" s="236">
        <v>35</v>
      </c>
      <c r="BZ191" s="237">
        <f t="shared" si="412"/>
        <v>48</v>
      </c>
      <c r="CA191" s="253">
        <f t="shared" si="413"/>
        <v>3.0748170731707316</v>
      </c>
      <c r="CB191" s="253" cm="1">
        <f t="array" ref="CB191">$BC191 * SUMPRODUCT(INDEX($AL$77:$AN$82,,$AE191),INDEX($AO$77:$AU$82,,$AD191), N($AK$77:$AK$82&gt;$AI191)) / CA191 / 1000</f>
        <v>0</v>
      </c>
      <c r="CC191" s="250">
        <f t="shared" si="257"/>
        <v>30</v>
      </c>
      <c r="CD191" s="237">
        <f t="shared" si="414"/>
        <v>43</v>
      </c>
      <c r="CE191" s="253">
        <f t="shared" si="415"/>
        <v>3.5018750000000001</v>
      </c>
      <c r="CF191" s="253" cm="1">
        <f t="array" ref="CF191">$BC191 * IF($AD191&lt;=2,
SUMPRODUCT(INDEX($AL$72:$AN$76,,$AE191), INDEX($AO$72:$AU$76,,$AD191), 1 / ($AV$72:$AV$76*CE191 + (1-$AV$72:$AV$76)*CA191), N($AK$72:$AK$76&gt;$AI191)),
SUMPRODUCT(INDEX($AL$67:$AN$76,,$AE191), INDEX($AO$67:$AU$76,,$AD191), 1 / ($AW$67:$AW$76*CE191 + (1-$AW$67:$AW$76)*CA191), N($AK$67:$AK$76&gt;$AI191))
) / 1000</f>
        <v>0</v>
      </c>
      <c r="CG191" s="250">
        <f t="shared" si="260"/>
        <v>25</v>
      </c>
      <c r="CH191" s="237">
        <f t="shared" si="416"/>
        <v>38</v>
      </c>
      <c r="CI191" s="253">
        <f t="shared" si="417"/>
        <v>4.0666935483870965</v>
      </c>
      <c r="CJ191" s="253" cm="1">
        <f t="array" ref="CJ191">$BC191 * IF($AD191&lt;=2,
SUMPRODUCT(INDEX($AL$67:$AN$71,,$AE191), INDEX($AO$67:$AU$71,,$AD191), 1 / ($AV$67:$AV$71*CI191 + (1-$AV$67:$AV$71)*CE191), N($AK$67:$AK$71&gt;$AI191)),
SUMPRODUCT(INDEX($AL$57:$AN$66,,$AE191), INDEX($AO$57:$AU$66,,$AD191), 1 / ($AW$57:$AW$66*CI191 + (1-$AW$57:$AW$66)*CE191), N($AK$57:$AK$66&gt;$AI191))
) / 1000</f>
        <v>0</v>
      </c>
      <c r="CK191" s="250">
        <f t="shared" si="263"/>
        <v>20</v>
      </c>
      <c r="CL191" s="237">
        <f t="shared" si="418"/>
        <v>33</v>
      </c>
      <c r="CM191" s="253">
        <f t="shared" si="419"/>
        <v>4.8487499999999999</v>
      </c>
      <c r="CN191" s="253" cm="1">
        <f t="array" ref="CN191">$BC191 * IF($AD191&lt;=2,
SUMPRODUCT(INDEX($AL$62:$AN$66,,$AE191), INDEX($AO$62:$AU$66,,$AD191), 1 / ($AV$62:$AV$66*CM191 + (1-$AV$62:$AV$66)*CI191), N($AK$62:$AK$66&gt;$AI191)),
SUMPRODUCT(INDEX($AL$47:$AN$56,,$AE191), INDEX($AO$47:$AU$56,,$AD191), 1 / ($AW$47:$AW$56*CM191 + (1-$AW$47:$AW$56)*CI191), N($AK$47:$AK$56&gt;$AI191))
) / 1000</f>
        <v>0</v>
      </c>
      <c r="CO191" s="253" cm="1">
        <f t="array" ref="CO191">$BC191 * IF($AD191&lt;=2,
SUMPRODUCT(INDEX($AL$23:$AN$61,,$AE191), INDEX($AO$23:$AU$61,,$AD191), 1 / ($AV$23:$AV$61*CM191), N($AK$23:$AK$61&gt;$AI191)),
SUMPRODUCT(INDEX($AL$23:$AN$46,,$AE191), INDEX($AO$23:$AU$46,,$AD191), 1 / ($AW$23:$AW$46*CM191), N($AK$23:$AK$46&gt;$AI191))
) / 1000</f>
        <v>0</v>
      </c>
      <c r="CP191" s="237">
        <f t="shared" si="420"/>
        <v>0</v>
      </c>
      <c r="CQ191" s="210"/>
    </row>
    <row r="192" spans="1:95" s="76" customFormat="1" ht="14.25" customHeight="1" x14ac:dyDescent="0.2">
      <c r="A192" s="238" t="b">
        <f t="shared" si="227"/>
        <v>0</v>
      </c>
      <c r="B192" s="239">
        <v>170</v>
      </c>
      <c r="C192" s="258"/>
      <c r="D192" s="258"/>
      <c r="E192" s="240"/>
      <c r="F192" s="241" t="str">
        <f>IF(ISBLANK(E192), "", VLOOKUP(E192, Z!$A$2:$C$4127, 3, FALSE))</f>
        <v/>
      </c>
      <c r="G192" s="242"/>
      <c r="H192" s="242"/>
      <c r="I192" s="243"/>
      <c r="J192" s="244"/>
      <c r="K192" s="259"/>
      <c r="L192" s="260"/>
      <c r="M192" s="247" t="str" cm="1">
        <f t="array" ref="M192">IF($K192&gt;0, INDEX(Clean,1+AG192,$C$1), "")</f>
        <v/>
      </c>
      <c r="N192" s="245"/>
      <c r="O192" s="245"/>
      <c r="P192" s="246"/>
      <c r="Q192" s="248">
        <f t="shared" si="397"/>
        <v>0</v>
      </c>
      <c r="R192" s="247" t="str" cm="1">
        <f t="array" ref="R192">IF($K192&gt;0, INDEX(Clean,1+AH192,$C$1), "")</f>
        <v/>
      </c>
      <c r="S192" s="245"/>
      <c r="T192" s="245"/>
      <c r="U192" s="246"/>
      <c r="V192" s="248">
        <f t="shared" si="398"/>
        <v>0</v>
      </c>
      <c r="W192" s="261"/>
      <c r="X192" s="258"/>
      <c r="Y192" s="240"/>
      <c r="Z192" s="241" t="str">
        <f>IF(ISBLANK(Y192), "", VLOOKUP(Y192, Z!$A$2:$C$4127, 3, FALSE))</f>
        <v/>
      </c>
      <c r="AA192" s="262"/>
      <c r="AB192" s="249">
        <f t="shared" si="396"/>
        <v>0</v>
      </c>
      <c r="AC192" s="210"/>
      <c r="AD192" s="236">
        <f t="shared" si="421"/>
        <v>1</v>
      </c>
      <c r="AE192" s="236">
        <f t="shared" si="422"/>
        <v>1</v>
      </c>
      <c r="AF192" s="236">
        <f t="shared" si="423"/>
        <v>0</v>
      </c>
      <c r="AG192" s="236">
        <v>1</v>
      </c>
      <c r="AH192" s="236">
        <v>0</v>
      </c>
      <c r="AI192" s="236">
        <f t="shared" si="399"/>
        <v>-100</v>
      </c>
      <c r="AJ192" s="210"/>
      <c r="AK192" s="254"/>
      <c r="AL192" s="254"/>
      <c r="AM192" s="255"/>
      <c r="AN192" s="255"/>
      <c r="AO192" s="255"/>
      <c r="AP192" s="255"/>
      <c r="AQ192" s="255"/>
      <c r="AR192" s="255"/>
      <c r="AS192" s="255"/>
      <c r="AT192" s="255"/>
      <c r="AU192" s="255"/>
      <c r="AV192" s="255"/>
      <c r="AW192" s="255"/>
      <c r="AX192" s="210"/>
      <c r="AY192" s="236" cm="1">
        <f t="array" ref="AY192">INDEX(Use, $AD192, 4)</f>
        <v>7</v>
      </c>
      <c r="AZ192" s="236">
        <f t="shared" si="400"/>
        <v>32</v>
      </c>
      <c r="BA192" s="236">
        <f t="shared" si="239"/>
        <v>13</v>
      </c>
      <c r="BB192" s="236">
        <f t="shared" si="240"/>
        <v>0</v>
      </c>
      <c r="BC192" s="252" cm="1">
        <f t="array" ref="BC192">K192/IF($L192&gt;0, INDEX($AO$23:$AU$77, $L192+20, $AD192), 1)</f>
        <v>0</v>
      </c>
      <c r="BD192" s="237">
        <f t="shared" si="401"/>
        <v>0</v>
      </c>
      <c r="BE192" s="236">
        <v>35</v>
      </c>
      <c r="BF192" s="237">
        <f t="shared" si="402"/>
        <v>52.55</v>
      </c>
      <c r="BG192" s="253">
        <f t="shared" si="403"/>
        <v>2.7676728869374316</v>
      </c>
      <c r="BH192" s="253" cm="1">
        <f t="array" ref="BH192">$BC192 * SUMPRODUCT(INDEX($AL$77:$AN$82,,$AE192),INDEX($AO$77:$AU$82,,$AD192), N($AK$77:$AK$82&gt;$AI192)) / BG192 / 1000</f>
        <v>0</v>
      </c>
      <c r="BI192" s="250">
        <f t="shared" si="244"/>
        <v>30</v>
      </c>
      <c r="BJ192" s="237">
        <f t="shared" si="404"/>
        <v>46.033333333333331</v>
      </c>
      <c r="BK192" s="253">
        <f t="shared" si="405"/>
        <v>3.2297395388556791</v>
      </c>
      <c r="BL192" s="253" cm="1">
        <f t="array" ref="BL192">$BC192 * IF($AD192&lt;=2,
SUMPRODUCT(INDEX($AL$72:$AN$76,,$AE192), INDEX($AO$72:$AU$76,,$AD192), 1 / ($AV$72:$AV$76*BK192 + (1-$AV$72:$AV$76)*BG192), N($AK$72:$AK$76&gt;$AI192)),
SUMPRODUCT(INDEX($AL$67:$AN$76,,$AE192), INDEX($AO$67:$AU$76,,$AD192), 1 / ($AW$67:$AW$76*BK192 + (1-$AW$67:$AW$76)*BG192), N($AK$67:$AK$76&gt;$AI192))
) / 1000</f>
        <v>0</v>
      </c>
      <c r="BM192" s="250">
        <f t="shared" si="247"/>
        <v>25</v>
      </c>
      <c r="BN192" s="237">
        <f t="shared" si="406"/>
        <v>39.516666666666666</v>
      </c>
      <c r="BO192" s="253">
        <f t="shared" si="407"/>
        <v>3.877011788826243</v>
      </c>
      <c r="BP192" s="253" cm="1">
        <f t="array" ref="BP192">$BC192 * IF($AD192&lt;=2,
SUMPRODUCT(INDEX($AL$67:$AN$71,,$AE192), INDEX($AO$67:$AU$71,,$AD192), 1 / ($AV$67:$AV$71*BO192 + (1-$AV$67:$AV$71)*BK192), N($AK$67:$AK$71&gt;$AI192)),
SUMPRODUCT(INDEX($AL$57:$AN$66,,$AE192), INDEX($AO$57:$AU$66,,$AD192), 1 / ($AW$57:$AW$66*BO192 + (1-$AW$57:$AW$66)*BK192), N($AK$57:$AK$66&gt;$AI192))
) / 1000</f>
        <v>0</v>
      </c>
      <c r="BQ192" s="250">
        <f t="shared" si="250"/>
        <v>20</v>
      </c>
      <c r="BR192" s="237">
        <f t="shared" si="408"/>
        <v>33</v>
      </c>
      <c r="BS192" s="253">
        <f t="shared" si="409"/>
        <v>4.8487499999999999</v>
      </c>
      <c r="BT192" s="253" cm="1">
        <f t="array" ref="BT192">$BC192 * IF($AD192&lt;=2,
SUMPRODUCT(INDEX($AL$62:$AN$66,,$AE192), INDEX($AO$62:$AU$66,,$AD192), 1 / ($AV$62:$AV$66*BS192 + (1-$AV$62:$AV$66)*BO192), N($AK$62:$AK$66&gt;$AI192)),
SUMPRODUCT(INDEX($AL$47:$AN$56,,$AE192), INDEX($AO$47:$AU$56,,$AD192), 1 / ($AW$47:$AW$56*BS192 + (1-$AW$47:$AW$56)*BO192), N($AK$47:$AK$56&gt;$AI192))
) / 1000</f>
        <v>0</v>
      </c>
      <c r="BU192" s="253" cm="1">
        <f t="array" ref="BU192">$BC192 * IF($AD192&lt;=2,
SUMPRODUCT(INDEX($AL$23:$AN$61,,$AE192), INDEX($AO$23:$AU$61,,$AD192), 1 / ($AV$23:$AV$61*BS192), N($AK$23:$AK$61&gt;$AI192)),
SUMPRODUCT(INDEX($AL$23:$AN$46,,$AE192), INDEX($AO$23:$AU$46,,$AD192), 1 / ($AW$23:$AW$46*BS192), N($AK$23:$AK$46&gt;$AI192))
) / 1000</f>
        <v>0</v>
      </c>
      <c r="BV192" s="237">
        <f t="shared" si="410"/>
        <v>0</v>
      </c>
      <c r="BW192" s="210"/>
      <c r="BX192" s="237">
        <f t="shared" si="411"/>
        <v>0</v>
      </c>
      <c r="BY192" s="236">
        <v>35</v>
      </c>
      <c r="BZ192" s="237">
        <f t="shared" si="412"/>
        <v>48</v>
      </c>
      <c r="CA192" s="253">
        <f t="shared" si="413"/>
        <v>3.0748170731707316</v>
      </c>
      <c r="CB192" s="253" cm="1">
        <f t="array" ref="CB192">$BC192 * SUMPRODUCT(INDEX($AL$77:$AN$82,,$AE192),INDEX($AO$77:$AU$82,,$AD192), N($AK$77:$AK$82&gt;$AI192)) / CA192 / 1000</f>
        <v>0</v>
      </c>
      <c r="CC192" s="250">
        <f t="shared" si="257"/>
        <v>30</v>
      </c>
      <c r="CD192" s="237">
        <f t="shared" si="414"/>
        <v>43</v>
      </c>
      <c r="CE192" s="253">
        <f t="shared" si="415"/>
        <v>3.5018750000000001</v>
      </c>
      <c r="CF192" s="253" cm="1">
        <f t="array" ref="CF192">$BC192 * IF($AD192&lt;=2,
SUMPRODUCT(INDEX($AL$72:$AN$76,,$AE192), INDEX($AO$72:$AU$76,,$AD192), 1 / ($AV$72:$AV$76*CE192 + (1-$AV$72:$AV$76)*CA192), N($AK$72:$AK$76&gt;$AI192)),
SUMPRODUCT(INDEX($AL$67:$AN$76,,$AE192), INDEX($AO$67:$AU$76,,$AD192), 1 / ($AW$67:$AW$76*CE192 + (1-$AW$67:$AW$76)*CA192), N($AK$67:$AK$76&gt;$AI192))
) / 1000</f>
        <v>0</v>
      </c>
      <c r="CG192" s="250">
        <f t="shared" si="260"/>
        <v>25</v>
      </c>
      <c r="CH192" s="237">
        <f t="shared" si="416"/>
        <v>38</v>
      </c>
      <c r="CI192" s="253">
        <f t="shared" si="417"/>
        <v>4.0666935483870965</v>
      </c>
      <c r="CJ192" s="253" cm="1">
        <f t="array" ref="CJ192">$BC192 * IF($AD192&lt;=2,
SUMPRODUCT(INDEX($AL$67:$AN$71,,$AE192), INDEX($AO$67:$AU$71,,$AD192), 1 / ($AV$67:$AV$71*CI192 + (1-$AV$67:$AV$71)*CE192), N($AK$67:$AK$71&gt;$AI192)),
SUMPRODUCT(INDEX($AL$57:$AN$66,,$AE192), INDEX($AO$57:$AU$66,,$AD192), 1 / ($AW$57:$AW$66*CI192 + (1-$AW$57:$AW$66)*CE192), N($AK$57:$AK$66&gt;$AI192))
) / 1000</f>
        <v>0</v>
      </c>
      <c r="CK192" s="250">
        <f t="shared" si="263"/>
        <v>20</v>
      </c>
      <c r="CL192" s="237">
        <f t="shared" si="418"/>
        <v>33</v>
      </c>
      <c r="CM192" s="253">
        <f t="shared" si="419"/>
        <v>4.8487499999999999</v>
      </c>
      <c r="CN192" s="253" cm="1">
        <f t="array" ref="CN192">$BC192 * IF($AD192&lt;=2,
SUMPRODUCT(INDEX($AL$62:$AN$66,,$AE192), INDEX($AO$62:$AU$66,,$AD192), 1 / ($AV$62:$AV$66*CM192 + (1-$AV$62:$AV$66)*CI192), N($AK$62:$AK$66&gt;$AI192)),
SUMPRODUCT(INDEX($AL$47:$AN$56,,$AE192), INDEX($AO$47:$AU$56,,$AD192), 1 / ($AW$47:$AW$56*CM192 + (1-$AW$47:$AW$56)*CI192), N($AK$47:$AK$56&gt;$AI192))
) / 1000</f>
        <v>0</v>
      </c>
      <c r="CO192" s="253" cm="1">
        <f t="array" ref="CO192">$BC192 * IF($AD192&lt;=2,
SUMPRODUCT(INDEX($AL$23:$AN$61,,$AE192), INDEX($AO$23:$AU$61,,$AD192), 1 / ($AV$23:$AV$61*CM192), N($AK$23:$AK$61&gt;$AI192)),
SUMPRODUCT(INDEX($AL$23:$AN$46,,$AE192), INDEX($AO$23:$AU$46,,$AD192), 1 / ($AW$23:$AW$46*CM192), N($AK$23:$AK$46&gt;$AI192))
) / 1000</f>
        <v>0</v>
      </c>
      <c r="CP192" s="237">
        <f t="shared" si="420"/>
        <v>0</v>
      </c>
      <c r="CQ192" s="210"/>
    </row>
    <row r="193" spans="1:95" s="76" customFormat="1" ht="14.25" customHeight="1" x14ac:dyDescent="0.2">
      <c r="A193" s="238" t="b">
        <f t="shared" si="227"/>
        <v>0</v>
      </c>
      <c r="B193" s="239">
        <v>171</v>
      </c>
      <c r="C193" s="258"/>
      <c r="D193" s="258"/>
      <c r="E193" s="240"/>
      <c r="F193" s="241" t="str">
        <f>IF(ISBLANK(E193), "", VLOOKUP(E193, Z!$A$2:$C$4127, 3, FALSE))</f>
        <v/>
      </c>
      <c r="G193" s="242"/>
      <c r="H193" s="242"/>
      <c r="I193" s="243"/>
      <c r="J193" s="244"/>
      <c r="K193" s="259"/>
      <c r="L193" s="260"/>
      <c r="M193" s="247" t="str" cm="1">
        <f t="array" ref="M193">IF($K193&gt;0, INDEX(Clean,1+AG193,$C$1), "")</f>
        <v/>
      </c>
      <c r="N193" s="245"/>
      <c r="O193" s="245"/>
      <c r="P193" s="246"/>
      <c r="Q193" s="248">
        <f t="shared" si="397"/>
        <v>0</v>
      </c>
      <c r="R193" s="247" t="str" cm="1">
        <f t="array" ref="R193">IF($K193&gt;0, INDEX(Clean,1+AH193,$C$1), "")</f>
        <v/>
      </c>
      <c r="S193" s="245"/>
      <c r="T193" s="245"/>
      <c r="U193" s="246"/>
      <c r="V193" s="248">
        <f t="shared" si="398"/>
        <v>0</v>
      </c>
      <c r="W193" s="261"/>
      <c r="X193" s="258"/>
      <c r="Y193" s="240"/>
      <c r="Z193" s="241" t="str">
        <f>IF(ISBLANK(Y193), "", VLOOKUP(Y193, Z!$A$2:$C$4127, 3, FALSE))</f>
        <v/>
      </c>
      <c r="AA193" s="262"/>
      <c r="AB193" s="249">
        <f t="shared" si="396"/>
        <v>0</v>
      </c>
      <c r="AC193" s="210"/>
      <c r="AD193" s="236">
        <f t="shared" si="421"/>
        <v>1</v>
      </c>
      <c r="AE193" s="236">
        <f t="shared" si="422"/>
        <v>1</v>
      </c>
      <c r="AF193" s="236">
        <f t="shared" si="423"/>
        <v>0</v>
      </c>
      <c r="AG193" s="236">
        <v>1</v>
      </c>
      <c r="AH193" s="236">
        <v>0</v>
      </c>
      <c r="AI193" s="236">
        <f t="shared" si="399"/>
        <v>-100</v>
      </c>
      <c r="AJ193" s="210"/>
      <c r="AK193" s="254"/>
      <c r="AL193" s="254"/>
      <c r="AM193" s="255"/>
      <c r="AN193" s="255"/>
      <c r="AO193" s="255"/>
      <c r="AP193" s="255"/>
      <c r="AQ193" s="255"/>
      <c r="AR193" s="255"/>
      <c r="AS193" s="255"/>
      <c r="AT193" s="255"/>
      <c r="AU193" s="255"/>
      <c r="AV193" s="255"/>
      <c r="AW193" s="255"/>
      <c r="AX193" s="210"/>
      <c r="AY193" s="236" cm="1">
        <f t="array" ref="AY193">INDEX(Use, $AD193, 4)</f>
        <v>7</v>
      </c>
      <c r="AZ193" s="236">
        <f t="shared" si="400"/>
        <v>32</v>
      </c>
      <c r="BA193" s="236">
        <f t="shared" si="239"/>
        <v>13</v>
      </c>
      <c r="BB193" s="236">
        <f t="shared" si="240"/>
        <v>0</v>
      </c>
      <c r="BC193" s="252" cm="1">
        <f t="array" ref="BC193">K193/IF($L193&gt;0, INDEX($AO$23:$AU$77, $L193+20, $AD193), 1)</f>
        <v>0</v>
      </c>
      <c r="BD193" s="237">
        <f t="shared" si="401"/>
        <v>0</v>
      </c>
      <c r="BE193" s="236">
        <v>35</v>
      </c>
      <c r="BF193" s="237">
        <f t="shared" si="402"/>
        <v>52.55</v>
      </c>
      <c r="BG193" s="253">
        <f t="shared" si="403"/>
        <v>2.7676728869374316</v>
      </c>
      <c r="BH193" s="253" cm="1">
        <f t="array" ref="BH193">$BC193 * SUMPRODUCT(INDEX($AL$77:$AN$82,,$AE193),INDEX($AO$77:$AU$82,,$AD193), N($AK$77:$AK$82&gt;$AI193)) / BG193 / 1000</f>
        <v>0</v>
      </c>
      <c r="BI193" s="250">
        <f t="shared" si="244"/>
        <v>30</v>
      </c>
      <c r="BJ193" s="237">
        <f t="shared" si="404"/>
        <v>46.033333333333331</v>
      </c>
      <c r="BK193" s="253">
        <f t="shared" si="405"/>
        <v>3.2297395388556791</v>
      </c>
      <c r="BL193" s="253" cm="1">
        <f t="array" ref="BL193">$BC193 * IF($AD193&lt;=2,
SUMPRODUCT(INDEX($AL$72:$AN$76,,$AE193), INDEX($AO$72:$AU$76,,$AD193), 1 / ($AV$72:$AV$76*BK193 + (1-$AV$72:$AV$76)*BG193), N($AK$72:$AK$76&gt;$AI193)),
SUMPRODUCT(INDEX($AL$67:$AN$76,,$AE193), INDEX($AO$67:$AU$76,,$AD193), 1 / ($AW$67:$AW$76*BK193 + (1-$AW$67:$AW$76)*BG193), N($AK$67:$AK$76&gt;$AI193))
) / 1000</f>
        <v>0</v>
      </c>
      <c r="BM193" s="250">
        <f t="shared" si="247"/>
        <v>25</v>
      </c>
      <c r="BN193" s="237">
        <f t="shared" si="406"/>
        <v>39.516666666666666</v>
      </c>
      <c r="BO193" s="253">
        <f t="shared" si="407"/>
        <v>3.877011788826243</v>
      </c>
      <c r="BP193" s="253" cm="1">
        <f t="array" ref="BP193">$BC193 * IF($AD193&lt;=2,
SUMPRODUCT(INDEX($AL$67:$AN$71,,$AE193), INDEX($AO$67:$AU$71,,$AD193), 1 / ($AV$67:$AV$71*BO193 + (1-$AV$67:$AV$71)*BK193), N($AK$67:$AK$71&gt;$AI193)),
SUMPRODUCT(INDEX($AL$57:$AN$66,,$AE193), INDEX($AO$57:$AU$66,,$AD193), 1 / ($AW$57:$AW$66*BO193 + (1-$AW$57:$AW$66)*BK193), N($AK$57:$AK$66&gt;$AI193))
) / 1000</f>
        <v>0</v>
      </c>
      <c r="BQ193" s="250">
        <f t="shared" si="250"/>
        <v>20</v>
      </c>
      <c r="BR193" s="237">
        <f t="shared" si="408"/>
        <v>33</v>
      </c>
      <c r="BS193" s="253">
        <f t="shared" si="409"/>
        <v>4.8487499999999999</v>
      </c>
      <c r="BT193" s="253" cm="1">
        <f t="array" ref="BT193">$BC193 * IF($AD193&lt;=2,
SUMPRODUCT(INDEX($AL$62:$AN$66,,$AE193), INDEX($AO$62:$AU$66,,$AD193), 1 / ($AV$62:$AV$66*BS193 + (1-$AV$62:$AV$66)*BO193), N($AK$62:$AK$66&gt;$AI193)),
SUMPRODUCT(INDEX($AL$47:$AN$56,,$AE193), INDEX($AO$47:$AU$56,,$AD193), 1 / ($AW$47:$AW$56*BS193 + (1-$AW$47:$AW$56)*BO193), N($AK$47:$AK$56&gt;$AI193))
) / 1000</f>
        <v>0</v>
      </c>
      <c r="BU193" s="253" cm="1">
        <f t="array" ref="BU193">$BC193 * IF($AD193&lt;=2,
SUMPRODUCT(INDEX($AL$23:$AN$61,,$AE193), INDEX($AO$23:$AU$61,,$AD193), 1 / ($AV$23:$AV$61*BS193), N($AK$23:$AK$61&gt;$AI193)),
SUMPRODUCT(INDEX($AL$23:$AN$46,,$AE193), INDEX($AO$23:$AU$46,,$AD193), 1 / ($AW$23:$AW$46*BS193), N($AK$23:$AK$46&gt;$AI193))
) / 1000</f>
        <v>0</v>
      </c>
      <c r="BV193" s="237">
        <f t="shared" si="410"/>
        <v>0</v>
      </c>
      <c r="BW193" s="210"/>
      <c r="BX193" s="237">
        <f t="shared" si="411"/>
        <v>0</v>
      </c>
      <c r="BY193" s="236">
        <v>35</v>
      </c>
      <c r="BZ193" s="237">
        <f t="shared" si="412"/>
        <v>48</v>
      </c>
      <c r="CA193" s="253">
        <f t="shared" si="413"/>
        <v>3.0748170731707316</v>
      </c>
      <c r="CB193" s="253" cm="1">
        <f t="array" ref="CB193">$BC193 * SUMPRODUCT(INDEX($AL$77:$AN$82,,$AE193),INDEX($AO$77:$AU$82,,$AD193), N($AK$77:$AK$82&gt;$AI193)) / CA193 / 1000</f>
        <v>0</v>
      </c>
      <c r="CC193" s="250">
        <f t="shared" si="257"/>
        <v>30</v>
      </c>
      <c r="CD193" s="237">
        <f t="shared" si="414"/>
        <v>43</v>
      </c>
      <c r="CE193" s="253">
        <f t="shared" si="415"/>
        <v>3.5018750000000001</v>
      </c>
      <c r="CF193" s="253" cm="1">
        <f t="array" ref="CF193">$BC193 * IF($AD193&lt;=2,
SUMPRODUCT(INDEX($AL$72:$AN$76,,$AE193), INDEX($AO$72:$AU$76,,$AD193), 1 / ($AV$72:$AV$76*CE193 + (1-$AV$72:$AV$76)*CA193), N($AK$72:$AK$76&gt;$AI193)),
SUMPRODUCT(INDEX($AL$67:$AN$76,,$AE193), INDEX($AO$67:$AU$76,,$AD193), 1 / ($AW$67:$AW$76*CE193 + (1-$AW$67:$AW$76)*CA193), N($AK$67:$AK$76&gt;$AI193))
) / 1000</f>
        <v>0</v>
      </c>
      <c r="CG193" s="250">
        <f t="shared" si="260"/>
        <v>25</v>
      </c>
      <c r="CH193" s="237">
        <f t="shared" si="416"/>
        <v>38</v>
      </c>
      <c r="CI193" s="253">
        <f t="shared" si="417"/>
        <v>4.0666935483870965</v>
      </c>
      <c r="CJ193" s="253" cm="1">
        <f t="array" ref="CJ193">$BC193 * IF($AD193&lt;=2,
SUMPRODUCT(INDEX($AL$67:$AN$71,,$AE193), INDEX($AO$67:$AU$71,,$AD193), 1 / ($AV$67:$AV$71*CI193 + (1-$AV$67:$AV$71)*CE193), N($AK$67:$AK$71&gt;$AI193)),
SUMPRODUCT(INDEX($AL$57:$AN$66,,$AE193), INDEX($AO$57:$AU$66,,$AD193), 1 / ($AW$57:$AW$66*CI193 + (1-$AW$57:$AW$66)*CE193), N($AK$57:$AK$66&gt;$AI193))
) / 1000</f>
        <v>0</v>
      </c>
      <c r="CK193" s="250">
        <f t="shared" si="263"/>
        <v>20</v>
      </c>
      <c r="CL193" s="237">
        <f t="shared" si="418"/>
        <v>33</v>
      </c>
      <c r="CM193" s="253">
        <f t="shared" si="419"/>
        <v>4.8487499999999999</v>
      </c>
      <c r="CN193" s="253" cm="1">
        <f t="array" ref="CN193">$BC193 * IF($AD193&lt;=2,
SUMPRODUCT(INDEX($AL$62:$AN$66,,$AE193), INDEX($AO$62:$AU$66,,$AD193), 1 / ($AV$62:$AV$66*CM193 + (1-$AV$62:$AV$66)*CI193), N($AK$62:$AK$66&gt;$AI193)),
SUMPRODUCT(INDEX($AL$47:$AN$56,,$AE193), INDEX($AO$47:$AU$56,,$AD193), 1 / ($AW$47:$AW$56*CM193 + (1-$AW$47:$AW$56)*CI193), N($AK$47:$AK$56&gt;$AI193))
) / 1000</f>
        <v>0</v>
      </c>
      <c r="CO193" s="253" cm="1">
        <f t="array" ref="CO193">$BC193 * IF($AD193&lt;=2,
SUMPRODUCT(INDEX($AL$23:$AN$61,,$AE193), INDEX($AO$23:$AU$61,,$AD193), 1 / ($AV$23:$AV$61*CM193), N($AK$23:$AK$61&gt;$AI193)),
SUMPRODUCT(INDEX($AL$23:$AN$46,,$AE193), INDEX($AO$23:$AU$46,,$AD193), 1 / ($AW$23:$AW$46*CM193), N($AK$23:$AK$46&gt;$AI193))
) / 1000</f>
        <v>0</v>
      </c>
      <c r="CP193" s="237">
        <f t="shared" si="420"/>
        <v>0</v>
      </c>
      <c r="CQ193" s="210"/>
    </row>
    <row r="194" spans="1:95" s="76" customFormat="1" ht="14.25" customHeight="1" x14ac:dyDescent="0.2">
      <c r="A194" s="238" t="b">
        <f t="shared" si="227"/>
        <v>0</v>
      </c>
      <c r="B194" s="239">
        <v>172</v>
      </c>
      <c r="C194" s="258"/>
      <c r="D194" s="258"/>
      <c r="E194" s="240"/>
      <c r="F194" s="241" t="str">
        <f>IF(ISBLANK(E194), "", VLOOKUP(E194, Z!$A$2:$C$4127, 3, FALSE))</f>
        <v/>
      </c>
      <c r="G194" s="242"/>
      <c r="H194" s="242"/>
      <c r="I194" s="243"/>
      <c r="J194" s="244"/>
      <c r="K194" s="259"/>
      <c r="L194" s="260"/>
      <c r="M194" s="247" t="str" cm="1">
        <f t="array" ref="M194">IF($K194&gt;0, INDEX(Clean,1+AG194,$C$1), "")</f>
        <v/>
      </c>
      <c r="N194" s="245"/>
      <c r="O194" s="245"/>
      <c r="P194" s="246"/>
      <c r="Q194" s="248">
        <f t="shared" si="397"/>
        <v>0</v>
      </c>
      <c r="R194" s="247" t="str" cm="1">
        <f t="array" ref="R194">IF($K194&gt;0, INDEX(Clean,1+AH194,$C$1), "")</f>
        <v/>
      </c>
      <c r="S194" s="245"/>
      <c r="T194" s="245"/>
      <c r="U194" s="246"/>
      <c r="V194" s="248">
        <f t="shared" si="398"/>
        <v>0</v>
      </c>
      <c r="W194" s="261"/>
      <c r="X194" s="258"/>
      <c r="Y194" s="240"/>
      <c r="Z194" s="241" t="str">
        <f>IF(ISBLANK(Y194), "", VLOOKUP(Y194, Z!$A$2:$C$4127, 3, FALSE))</f>
        <v/>
      </c>
      <c r="AA194" s="262"/>
      <c r="AB194" s="249">
        <f t="shared" si="396"/>
        <v>0</v>
      </c>
      <c r="AC194" s="210"/>
      <c r="AD194" s="236">
        <f t="shared" si="421"/>
        <v>1</v>
      </c>
      <c r="AE194" s="236">
        <f t="shared" si="422"/>
        <v>1</v>
      </c>
      <c r="AF194" s="236">
        <f t="shared" si="423"/>
        <v>0</v>
      </c>
      <c r="AG194" s="236">
        <v>1</v>
      </c>
      <c r="AH194" s="236">
        <v>0</v>
      </c>
      <c r="AI194" s="236">
        <f t="shared" si="399"/>
        <v>-100</v>
      </c>
      <c r="AJ194" s="210"/>
      <c r="AK194" s="254"/>
      <c r="AL194" s="254"/>
      <c r="AM194" s="255"/>
      <c r="AN194" s="255"/>
      <c r="AO194" s="255"/>
      <c r="AP194" s="255"/>
      <c r="AQ194" s="255"/>
      <c r="AR194" s="255"/>
      <c r="AS194" s="255"/>
      <c r="AT194" s="255"/>
      <c r="AU194" s="255"/>
      <c r="AV194" s="255"/>
      <c r="AW194" s="255"/>
      <c r="AX194" s="210"/>
      <c r="AY194" s="236" cm="1">
        <f t="array" ref="AY194">INDEX(Use, $AD194, 4)</f>
        <v>7</v>
      </c>
      <c r="AZ194" s="236">
        <f t="shared" si="400"/>
        <v>32</v>
      </c>
      <c r="BA194" s="236">
        <f t="shared" si="239"/>
        <v>13</v>
      </c>
      <c r="BB194" s="236">
        <f t="shared" si="240"/>
        <v>0</v>
      </c>
      <c r="BC194" s="252" cm="1">
        <f t="array" ref="BC194">K194/IF($L194&gt;0, INDEX($AO$23:$AU$77, $L194+20, $AD194), 1)</f>
        <v>0</v>
      </c>
      <c r="BD194" s="237">
        <f t="shared" si="401"/>
        <v>0</v>
      </c>
      <c r="BE194" s="236">
        <v>35</v>
      </c>
      <c r="BF194" s="237">
        <f t="shared" si="402"/>
        <v>52.55</v>
      </c>
      <c r="BG194" s="253">
        <f t="shared" si="403"/>
        <v>2.7676728869374316</v>
      </c>
      <c r="BH194" s="253" cm="1">
        <f t="array" ref="BH194">$BC194 * SUMPRODUCT(INDEX($AL$77:$AN$82,,$AE194),INDEX($AO$77:$AU$82,,$AD194), N($AK$77:$AK$82&gt;$AI194)) / BG194 / 1000</f>
        <v>0</v>
      </c>
      <c r="BI194" s="250">
        <f t="shared" si="244"/>
        <v>30</v>
      </c>
      <c r="BJ194" s="237">
        <f t="shared" si="404"/>
        <v>46.033333333333331</v>
      </c>
      <c r="BK194" s="253">
        <f t="shared" si="405"/>
        <v>3.2297395388556791</v>
      </c>
      <c r="BL194" s="253" cm="1">
        <f t="array" ref="BL194">$BC194 * IF($AD194&lt;=2,
SUMPRODUCT(INDEX($AL$72:$AN$76,,$AE194), INDEX($AO$72:$AU$76,,$AD194), 1 / ($AV$72:$AV$76*BK194 + (1-$AV$72:$AV$76)*BG194), N($AK$72:$AK$76&gt;$AI194)),
SUMPRODUCT(INDEX($AL$67:$AN$76,,$AE194), INDEX($AO$67:$AU$76,,$AD194), 1 / ($AW$67:$AW$76*BK194 + (1-$AW$67:$AW$76)*BG194), N($AK$67:$AK$76&gt;$AI194))
) / 1000</f>
        <v>0</v>
      </c>
      <c r="BM194" s="250">
        <f t="shared" si="247"/>
        <v>25</v>
      </c>
      <c r="BN194" s="237">
        <f t="shared" si="406"/>
        <v>39.516666666666666</v>
      </c>
      <c r="BO194" s="253">
        <f t="shared" si="407"/>
        <v>3.877011788826243</v>
      </c>
      <c r="BP194" s="253" cm="1">
        <f t="array" ref="BP194">$BC194 * IF($AD194&lt;=2,
SUMPRODUCT(INDEX($AL$67:$AN$71,,$AE194), INDEX($AO$67:$AU$71,,$AD194), 1 / ($AV$67:$AV$71*BO194 + (1-$AV$67:$AV$71)*BK194), N($AK$67:$AK$71&gt;$AI194)),
SUMPRODUCT(INDEX($AL$57:$AN$66,,$AE194), INDEX($AO$57:$AU$66,,$AD194), 1 / ($AW$57:$AW$66*BO194 + (1-$AW$57:$AW$66)*BK194), N($AK$57:$AK$66&gt;$AI194))
) / 1000</f>
        <v>0</v>
      </c>
      <c r="BQ194" s="250">
        <f t="shared" si="250"/>
        <v>20</v>
      </c>
      <c r="BR194" s="237">
        <f t="shared" si="408"/>
        <v>33</v>
      </c>
      <c r="BS194" s="253">
        <f t="shared" si="409"/>
        <v>4.8487499999999999</v>
      </c>
      <c r="BT194" s="253" cm="1">
        <f t="array" ref="BT194">$BC194 * IF($AD194&lt;=2,
SUMPRODUCT(INDEX($AL$62:$AN$66,,$AE194), INDEX($AO$62:$AU$66,,$AD194), 1 / ($AV$62:$AV$66*BS194 + (1-$AV$62:$AV$66)*BO194), N($AK$62:$AK$66&gt;$AI194)),
SUMPRODUCT(INDEX($AL$47:$AN$56,,$AE194), INDEX($AO$47:$AU$56,,$AD194), 1 / ($AW$47:$AW$56*BS194 + (1-$AW$47:$AW$56)*BO194), N($AK$47:$AK$56&gt;$AI194))
) / 1000</f>
        <v>0</v>
      </c>
      <c r="BU194" s="253" cm="1">
        <f t="array" ref="BU194">$BC194 * IF($AD194&lt;=2,
SUMPRODUCT(INDEX($AL$23:$AN$61,,$AE194), INDEX($AO$23:$AU$61,,$AD194), 1 / ($AV$23:$AV$61*BS194), N($AK$23:$AK$61&gt;$AI194)),
SUMPRODUCT(INDEX($AL$23:$AN$46,,$AE194), INDEX($AO$23:$AU$46,,$AD194), 1 / ($AW$23:$AW$46*BS194), N($AK$23:$AK$46&gt;$AI194))
) / 1000</f>
        <v>0</v>
      </c>
      <c r="BV194" s="237">
        <f t="shared" si="410"/>
        <v>0</v>
      </c>
      <c r="BW194" s="210"/>
      <c r="BX194" s="237">
        <f t="shared" si="411"/>
        <v>0</v>
      </c>
      <c r="BY194" s="236">
        <v>35</v>
      </c>
      <c r="BZ194" s="237">
        <f t="shared" si="412"/>
        <v>48</v>
      </c>
      <c r="CA194" s="253">
        <f t="shared" si="413"/>
        <v>3.0748170731707316</v>
      </c>
      <c r="CB194" s="253" cm="1">
        <f t="array" ref="CB194">$BC194 * SUMPRODUCT(INDEX($AL$77:$AN$82,,$AE194),INDEX($AO$77:$AU$82,,$AD194), N($AK$77:$AK$82&gt;$AI194)) / CA194 / 1000</f>
        <v>0</v>
      </c>
      <c r="CC194" s="250">
        <f t="shared" si="257"/>
        <v>30</v>
      </c>
      <c r="CD194" s="237">
        <f t="shared" si="414"/>
        <v>43</v>
      </c>
      <c r="CE194" s="253">
        <f t="shared" si="415"/>
        <v>3.5018750000000001</v>
      </c>
      <c r="CF194" s="253" cm="1">
        <f t="array" ref="CF194">$BC194 * IF($AD194&lt;=2,
SUMPRODUCT(INDEX($AL$72:$AN$76,,$AE194), INDEX($AO$72:$AU$76,,$AD194), 1 / ($AV$72:$AV$76*CE194 + (1-$AV$72:$AV$76)*CA194), N($AK$72:$AK$76&gt;$AI194)),
SUMPRODUCT(INDEX($AL$67:$AN$76,,$AE194), INDEX($AO$67:$AU$76,,$AD194), 1 / ($AW$67:$AW$76*CE194 + (1-$AW$67:$AW$76)*CA194), N($AK$67:$AK$76&gt;$AI194))
) / 1000</f>
        <v>0</v>
      </c>
      <c r="CG194" s="250">
        <f t="shared" si="260"/>
        <v>25</v>
      </c>
      <c r="CH194" s="237">
        <f t="shared" si="416"/>
        <v>38</v>
      </c>
      <c r="CI194" s="253">
        <f t="shared" si="417"/>
        <v>4.0666935483870965</v>
      </c>
      <c r="CJ194" s="253" cm="1">
        <f t="array" ref="CJ194">$BC194 * IF($AD194&lt;=2,
SUMPRODUCT(INDEX($AL$67:$AN$71,,$AE194), INDEX($AO$67:$AU$71,,$AD194), 1 / ($AV$67:$AV$71*CI194 + (1-$AV$67:$AV$71)*CE194), N($AK$67:$AK$71&gt;$AI194)),
SUMPRODUCT(INDEX($AL$57:$AN$66,,$AE194), INDEX($AO$57:$AU$66,,$AD194), 1 / ($AW$57:$AW$66*CI194 + (1-$AW$57:$AW$66)*CE194), N($AK$57:$AK$66&gt;$AI194))
) / 1000</f>
        <v>0</v>
      </c>
      <c r="CK194" s="250">
        <f t="shared" si="263"/>
        <v>20</v>
      </c>
      <c r="CL194" s="237">
        <f t="shared" si="418"/>
        <v>33</v>
      </c>
      <c r="CM194" s="253">
        <f t="shared" si="419"/>
        <v>4.8487499999999999</v>
      </c>
      <c r="CN194" s="253" cm="1">
        <f t="array" ref="CN194">$BC194 * IF($AD194&lt;=2,
SUMPRODUCT(INDEX($AL$62:$AN$66,,$AE194), INDEX($AO$62:$AU$66,,$AD194), 1 / ($AV$62:$AV$66*CM194 + (1-$AV$62:$AV$66)*CI194), N($AK$62:$AK$66&gt;$AI194)),
SUMPRODUCT(INDEX($AL$47:$AN$56,,$AE194), INDEX($AO$47:$AU$56,,$AD194), 1 / ($AW$47:$AW$56*CM194 + (1-$AW$47:$AW$56)*CI194), N($AK$47:$AK$56&gt;$AI194))
) / 1000</f>
        <v>0</v>
      </c>
      <c r="CO194" s="253" cm="1">
        <f t="array" ref="CO194">$BC194 * IF($AD194&lt;=2,
SUMPRODUCT(INDEX($AL$23:$AN$61,,$AE194), INDEX($AO$23:$AU$61,,$AD194), 1 / ($AV$23:$AV$61*CM194), N($AK$23:$AK$61&gt;$AI194)),
SUMPRODUCT(INDEX($AL$23:$AN$46,,$AE194), INDEX($AO$23:$AU$46,,$AD194), 1 / ($AW$23:$AW$46*CM194), N($AK$23:$AK$46&gt;$AI194))
) / 1000</f>
        <v>0</v>
      </c>
      <c r="CP194" s="237">
        <f t="shared" si="420"/>
        <v>0</v>
      </c>
      <c r="CQ194" s="210"/>
    </row>
    <row r="195" spans="1:95" s="76" customFormat="1" ht="14.25" customHeight="1" x14ac:dyDescent="0.2">
      <c r="A195" s="238" t="b">
        <f t="shared" si="227"/>
        <v>0</v>
      </c>
      <c r="B195" s="239">
        <v>173</v>
      </c>
      <c r="C195" s="258"/>
      <c r="D195" s="258"/>
      <c r="E195" s="240"/>
      <c r="F195" s="241" t="str">
        <f>IF(ISBLANK(E195), "", VLOOKUP(E195, Z!$A$2:$C$4127, 3, FALSE))</f>
        <v/>
      </c>
      <c r="G195" s="242"/>
      <c r="H195" s="242"/>
      <c r="I195" s="243"/>
      <c r="J195" s="244"/>
      <c r="K195" s="259"/>
      <c r="L195" s="260"/>
      <c r="M195" s="247" t="str" cm="1">
        <f t="array" ref="M195">IF($K195&gt;0, INDEX(Clean,1+AG195,$C$1), "")</f>
        <v/>
      </c>
      <c r="N195" s="245"/>
      <c r="O195" s="245"/>
      <c r="P195" s="246"/>
      <c r="Q195" s="248">
        <f t="shared" si="397"/>
        <v>0</v>
      </c>
      <c r="R195" s="247" t="str" cm="1">
        <f t="array" ref="R195">IF($K195&gt;0, INDEX(Clean,1+AH195,$C$1), "")</f>
        <v/>
      </c>
      <c r="S195" s="245"/>
      <c r="T195" s="245"/>
      <c r="U195" s="246"/>
      <c r="V195" s="248">
        <f t="shared" si="398"/>
        <v>0</v>
      </c>
      <c r="W195" s="261"/>
      <c r="X195" s="258"/>
      <c r="Y195" s="240"/>
      <c r="Z195" s="241" t="str">
        <f>IF(ISBLANK(Y195), "", VLOOKUP(Y195, Z!$A$2:$C$4127, 3, FALSE))</f>
        <v/>
      </c>
      <c r="AA195" s="262"/>
      <c r="AB195" s="249">
        <f t="shared" si="396"/>
        <v>0</v>
      </c>
      <c r="AC195" s="210"/>
      <c r="AD195" s="236">
        <f t="shared" si="421"/>
        <v>1</v>
      </c>
      <c r="AE195" s="236">
        <f t="shared" si="422"/>
        <v>1</v>
      </c>
      <c r="AF195" s="236">
        <f t="shared" si="423"/>
        <v>0</v>
      </c>
      <c r="AG195" s="236">
        <v>1</v>
      </c>
      <c r="AH195" s="236">
        <v>0</v>
      </c>
      <c r="AI195" s="236">
        <f t="shared" si="399"/>
        <v>-100</v>
      </c>
      <c r="AJ195" s="210"/>
      <c r="AK195" s="254"/>
      <c r="AL195" s="254"/>
      <c r="AM195" s="255"/>
      <c r="AN195" s="255"/>
      <c r="AO195" s="255"/>
      <c r="AP195" s="255"/>
      <c r="AQ195" s="255"/>
      <c r="AR195" s="255"/>
      <c r="AS195" s="255"/>
      <c r="AT195" s="255"/>
      <c r="AU195" s="255"/>
      <c r="AV195" s="255"/>
      <c r="AW195" s="255"/>
      <c r="AX195" s="210"/>
      <c r="AY195" s="236" cm="1">
        <f t="array" ref="AY195">INDEX(Use, $AD195, 4)</f>
        <v>7</v>
      </c>
      <c r="AZ195" s="236">
        <f t="shared" si="400"/>
        <v>32</v>
      </c>
      <c r="BA195" s="236">
        <f t="shared" si="239"/>
        <v>13</v>
      </c>
      <c r="BB195" s="236">
        <f t="shared" si="240"/>
        <v>0</v>
      </c>
      <c r="BC195" s="252" cm="1">
        <f t="array" ref="BC195">K195/IF($L195&gt;0, INDEX($AO$23:$AU$77, $L195+20, $AD195), 1)</f>
        <v>0</v>
      </c>
      <c r="BD195" s="237">
        <f t="shared" si="401"/>
        <v>0</v>
      </c>
      <c r="BE195" s="236">
        <v>35</v>
      </c>
      <c r="BF195" s="237">
        <f t="shared" si="402"/>
        <v>52.55</v>
      </c>
      <c r="BG195" s="253">
        <f t="shared" si="403"/>
        <v>2.7676728869374316</v>
      </c>
      <c r="BH195" s="253" cm="1">
        <f t="array" ref="BH195">$BC195 * SUMPRODUCT(INDEX($AL$77:$AN$82,,$AE195),INDEX($AO$77:$AU$82,,$AD195), N($AK$77:$AK$82&gt;$AI195)) / BG195 / 1000</f>
        <v>0</v>
      </c>
      <c r="BI195" s="250">
        <f t="shared" si="244"/>
        <v>30</v>
      </c>
      <c r="BJ195" s="237">
        <f t="shared" si="404"/>
        <v>46.033333333333331</v>
      </c>
      <c r="BK195" s="253">
        <f t="shared" si="405"/>
        <v>3.2297395388556791</v>
      </c>
      <c r="BL195" s="253" cm="1">
        <f t="array" ref="BL195">$BC195 * IF($AD195&lt;=2,
SUMPRODUCT(INDEX($AL$72:$AN$76,,$AE195), INDEX($AO$72:$AU$76,,$AD195), 1 / ($AV$72:$AV$76*BK195 + (1-$AV$72:$AV$76)*BG195), N($AK$72:$AK$76&gt;$AI195)),
SUMPRODUCT(INDEX($AL$67:$AN$76,,$AE195), INDEX($AO$67:$AU$76,,$AD195), 1 / ($AW$67:$AW$76*BK195 + (1-$AW$67:$AW$76)*BG195), N($AK$67:$AK$76&gt;$AI195))
) / 1000</f>
        <v>0</v>
      </c>
      <c r="BM195" s="250">
        <f t="shared" si="247"/>
        <v>25</v>
      </c>
      <c r="BN195" s="237">
        <f t="shared" si="406"/>
        <v>39.516666666666666</v>
      </c>
      <c r="BO195" s="253">
        <f t="shared" si="407"/>
        <v>3.877011788826243</v>
      </c>
      <c r="BP195" s="253" cm="1">
        <f t="array" ref="BP195">$BC195 * IF($AD195&lt;=2,
SUMPRODUCT(INDEX($AL$67:$AN$71,,$AE195), INDEX($AO$67:$AU$71,,$AD195), 1 / ($AV$67:$AV$71*BO195 + (1-$AV$67:$AV$71)*BK195), N($AK$67:$AK$71&gt;$AI195)),
SUMPRODUCT(INDEX($AL$57:$AN$66,,$AE195), INDEX($AO$57:$AU$66,,$AD195), 1 / ($AW$57:$AW$66*BO195 + (1-$AW$57:$AW$66)*BK195), N($AK$57:$AK$66&gt;$AI195))
) / 1000</f>
        <v>0</v>
      </c>
      <c r="BQ195" s="250">
        <f t="shared" si="250"/>
        <v>20</v>
      </c>
      <c r="BR195" s="237">
        <f t="shared" si="408"/>
        <v>33</v>
      </c>
      <c r="BS195" s="253">
        <f t="shared" si="409"/>
        <v>4.8487499999999999</v>
      </c>
      <c r="BT195" s="253" cm="1">
        <f t="array" ref="BT195">$BC195 * IF($AD195&lt;=2,
SUMPRODUCT(INDEX($AL$62:$AN$66,,$AE195), INDEX($AO$62:$AU$66,,$AD195), 1 / ($AV$62:$AV$66*BS195 + (1-$AV$62:$AV$66)*BO195), N($AK$62:$AK$66&gt;$AI195)),
SUMPRODUCT(INDEX($AL$47:$AN$56,,$AE195), INDEX($AO$47:$AU$56,,$AD195), 1 / ($AW$47:$AW$56*BS195 + (1-$AW$47:$AW$56)*BO195), N($AK$47:$AK$56&gt;$AI195))
) / 1000</f>
        <v>0</v>
      </c>
      <c r="BU195" s="253" cm="1">
        <f t="array" ref="BU195">$BC195 * IF($AD195&lt;=2,
SUMPRODUCT(INDEX($AL$23:$AN$61,,$AE195), INDEX($AO$23:$AU$61,,$AD195), 1 / ($AV$23:$AV$61*BS195), N($AK$23:$AK$61&gt;$AI195)),
SUMPRODUCT(INDEX($AL$23:$AN$46,,$AE195), INDEX($AO$23:$AU$46,,$AD195), 1 / ($AW$23:$AW$46*BS195), N($AK$23:$AK$46&gt;$AI195))
) / 1000</f>
        <v>0</v>
      </c>
      <c r="BV195" s="237">
        <f t="shared" si="410"/>
        <v>0</v>
      </c>
      <c r="BW195" s="210"/>
      <c r="BX195" s="237">
        <f t="shared" si="411"/>
        <v>0</v>
      </c>
      <c r="BY195" s="236">
        <v>35</v>
      </c>
      <c r="BZ195" s="237">
        <f t="shared" si="412"/>
        <v>48</v>
      </c>
      <c r="CA195" s="253">
        <f t="shared" si="413"/>
        <v>3.0748170731707316</v>
      </c>
      <c r="CB195" s="253" cm="1">
        <f t="array" ref="CB195">$BC195 * SUMPRODUCT(INDEX($AL$77:$AN$82,,$AE195),INDEX($AO$77:$AU$82,,$AD195), N($AK$77:$AK$82&gt;$AI195)) / CA195 / 1000</f>
        <v>0</v>
      </c>
      <c r="CC195" s="250">
        <f t="shared" si="257"/>
        <v>30</v>
      </c>
      <c r="CD195" s="237">
        <f t="shared" si="414"/>
        <v>43</v>
      </c>
      <c r="CE195" s="253">
        <f t="shared" si="415"/>
        <v>3.5018750000000001</v>
      </c>
      <c r="CF195" s="253" cm="1">
        <f t="array" ref="CF195">$BC195 * IF($AD195&lt;=2,
SUMPRODUCT(INDEX($AL$72:$AN$76,,$AE195), INDEX($AO$72:$AU$76,,$AD195), 1 / ($AV$72:$AV$76*CE195 + (1-$AV$72:$AV$76)*CA195), N($AK$72:$AK$76&gt;$AI195)),
SUMPRODUCT(INDEX($AL$67:$AN$76,,$AE195), INDEX($AO$67:$AU$76,,$AD195), 1 / ($AW$67:$AW$76*CE195 + (1-$AW$67:$AW$76)*CA195), N($AK$67:$AK$76&gt;$AI195))
) / 1000</f>
        <v>0</v>
      </c>
      <c r="CG195" s="250">
        <f t="shared" si="260"/>
        <v>25</v>
      </c>
      <c r="CH195" s="237">
        <f t="shared" si="416"/>
        <v>38</v>
      </c>
      <c r="CI195" s="253">
        <f t="shared" si="417"/>
        <v>4.0666935483870965</v>
      </c>
      <c r="CJ195" s="253" cm="1">
        <f t="array" ref="CJ195">$BC195 * IF($AD195&lt;=2,
SUMPRODUCT(INDEX($AL$67:$AN$71,,$AE195), INDEX($AO$67:$AU$71,,$AD195), 1 / ($AV$67:$AV$71*CI195 + (1-$AV$67:$AV$71)*CE195), N($AK$67:$AK$71&gt;$AI195)),
SUMPRODUCT(INDEX($AL$57:$AN$66,,$AE195), INDEX($AO$57:$AU$66,,$AD195), 1 / ($AW$57:$AW$66*CI195 + (1-$AW$57:$AW$66)*CE195), N($AK$57:$AK$66&gt;$AI195))
) / 1000</f>
        <v>0</v>
      </c>
      <c r="CK195" s="250">
        <f t="shared" si="263"/>
        <v>20</v>
      </c>
      <c r="CL195" s="237">
        <f t="shared" si="418"/>
        <v>33</v>
      </c>
      <c r="CM195" s="253">
        <f t="shared" si="419"/>
        <v>4.8487499999999999</v>
      </c>
      <c r="CN195" s="253" cm="1">
        <f t="array" ref="CN195">$BC195 * IF($AD195&lt;=2,
SUMPRODUCT(INDEX($AL$62:$AN$66,,$AE195), INDEX($AO$62:$AU$66,,$AD195), 1 / ($AV$62:$AV$66*CM195 + (1-$AV$62:$AV$66)*CI195), N($AK$62:$AK$66&gt;$AI195)),
SUMPRODUCT(INDEX($AL$47:$AN$56,,$AE195), INDEX($AO$47:$AU$56,,$AD195), 1 / ($AW$47:$AW$56*CM195 + (1-$AW$47:$AW$56)*CI195), N($AK$47:$AK$56&gt;$AI195))
) / 1000</f>
        <v>0</v>
      </c>
      <c r="CO195" s="253" cm="1">
        <f t="array" ref="CO195">$BC195 * IF($AD195&lt;=2,
SUMPRODUCT(INDEX($AL$23:$AN$61,,$AE195), INDEX($AO$23:$AU$61,,$AD195), 1 / ($AV$23:$AV$61*CM195), N($AK$23:$AK$61&gt;$AI195)),
SUMPRODUCT(INDEX($AL$23:$AN$46,,$AE195), INDEX($AO$23:$AU$46,,$AD195), 1 / ($AW$23:$AW$46*CM195), N($AK$23:$AK$46&gt;$AI195))
) / 1000</f>
        <v>0</v>
      </c>
      <c r="CP195" s="237">
        <f t="shared" si="420"/>
        <v>0</v>
      </c>
      <c r="CQ195" s="210"/>
    </row>
    <row r="196" spans="1:95" s="76" customFormat="1" ht="14.25" customHeight="1" x14ac:dyDescent="0.2">
      <c r="A196" s="238" t="b">
        <f t="shared" si="227"/>
        <v>0</v>
      </c>
      <c r="B196" s="239">
        <v>174</v>
      </c>
      <c r="C196" s="258"/>
      <c r="D196" s="258"/>
      <c r="E196" s="240"/>
      <c r="F196" s="241" t="str">
        <f>IF(ISBLANK(E196), "", VLOOKUP(E196, Z!$A$2:$C$4127, 3, FALSE))</f>
        <v/>
      </c>
      <c r="G196" s="242"/>
      <c r="H196" s="242"/>
      <c r="I196" s="243"/>
      <c r="J196" s="244"/>
      <c r="K196" s="259"/>
      <c r="L196" s="260"/>
      <c r="M196" s="247" t="str" cm="1">
        <f t="array" ref="M196">IF($K196&gt;0, INDEX(Clean,1+AG196,$C$1), "")</f>
        <v/>
      </c>
      <c r="N196" s="245"/>
      <c r="O196" s="245"/>
      <c r="P196" s="246"/>
      <c r="Q196" s="248">
        <f t="shared" si="397"/>
        <v>0</v>
      </c>
      <c r="R196" s="247" t="str" cm="1">
        <f t="array" ref="R196">IF($K196&gt;0, INDEX(Clean,1+AH196,$C$1), "")</f>
        <v/>
      </c>
      <c r="S196" s="245"/>
      <c r="T196" s="245"/>
      <c r="U196" s="246"/>
      <c r="V196" s="248">
        <f t="shared" si="398"/>
        <v>0</v>
      </c>
      <c r="W196" s="261"/>
      <c r="X196" s="258"/>
      <c r="Y196" s="240"/>
      <c r="Z196" s="241" t="str">
        <f>IF(ISBLANK(Y196), "", VLOOKUP(Y196, Z!$A$2:$C$4127, 3, FALSE))</f>
        <v/>
      </c>
      <c r="AA196" s="262"/>
      <c r="AB196" s="249">
        <f t="shared" si="396"/>
        <v>0</v>
      </c>
      <c r="AC196" s="210"/>
      <c r="AD196" s="236">
        <f t="shared" si="421"/>
        <v>1</v>
      </c>
      <c r="AE196" s="236">
        <f t="shared" si="422"/>
        <v>1</v>
      </c>
      <c r="AF196" s="236">
        <f t="shared" si="423"/>
        <v>0</v>
      </c>
      <c r="AG196" s="236">
        <v>1</v>
      </c>
      <c r="AH196" s="236">
        <v>0</v>
      </c>
      <c r="AI196" s="236">
        <f t="shared" si="399"/>
        <v>-100</v>
      </c>
      <c r="AJ196" s="210"/>
      <c r="AK196" s="254"/>
      <c r="AL196" s="254"/>
      <c r="AM196" s="255"/>
      <c r="AN196" s="255"/>
      <c r="AO196" s="255"/>
      <c r="AP196" s="255"/>
      <c r="AQ196" s="255"/>
      <c r="AR196" s="255"/>
      <c r="AS196" s="255"/>
      <c r="AT196" s="255"/>
      <c r="AU196" s="255"/>
      <c r="AV196" s="255"/>
      <c r="AW196" s="255"/>
      <c r="AX196" s="210"/>
      <c r="AY196" s="236" cm="1">
        <f t="array" ref="AY196">INDEX(Use, $AD196, 4)</f>
        <v>7</v>
      </c>
      <c r="AZ196" s="236">
        <f t="shared" si="400"/>
        <v>32</v>
      </c>
      <c r="BA196" s="236">
        <f t="shared" si="239"/>
        <v>13</v>
      </c>
      <c r="BB196" s="236">
        <f t="shared" si="240"/>
        <v>0</v>
      </c>
      <c r="BC196" s="252" cm="1">
        <f t="array" ref="BC196">K196/IF($L196&gt;0, INDEX($AO$23:$AU$77, $L196+20, $AD196), 1)</f>
        <v>0</v>
      </c>
      <c r="BD196" s="237">
        <f t="shared" si="401"/>
        <v>0</v>
      </c>
      <c r="BE196" s="236">
        <v>35</v>
      </c>
      <c r="BF196" s="237">
        <f t="shared" si="402"/>
        <v>52.55</v>
      </c>
      <c r="BG196" s="253">
        <f t="shared" si="403"/>
        <v>2.7676728869374316</v>
      </c>
      <c r="BH196" s="253" cm="1">
        <f t="array" ref="BH196">$BC196 * SUMPRODUCT(INDEX($AL$77:$AN$82,,$AE196),INDEX($AO$77:$AU$82,,$AD196), N($AK$77:$AK$82&gt;$AI196)) / BG196 / 1000</f>
        <v>0</v>
      </c>
      <c r="BI196" s="250">
        <f t="shared" si="244"/>
        <v>30</v>
      </c>
      <c r="BJ196" s="237">
        <f t="shared" si="404"/>
        <v>46.033333333333331</v>
      </c>
      <c r="BK196" s="253">
        <f t="shared" si="405"/>
        <v>3.2297395388556791</v>
      </c>
      <c r="BL196" s="253" cm="1">
        <f t="array" ref="BL196">$BC196 * IF($AD196&lt;=2,
SUMPRODUCT(INDEX($AL$72:$AN$76,,$AE196), INDEX($AO$72:$AU$76,,$AD196), 1 / ($AV$72:$AV$76*BK196 + (1-$AV$72:$AV$76)*BG196), N($AK$72:$AK$76&gt;$AI196)),
SUMPRODUCT(INDEX($AL$67:$AN$76,,$AE196), INDEX($AO$67:$AU$76,,$AD196), 1 / ($AW$67:$AW$76*BK196 + (1-$AW$67:$AW$76)*BG196), N($AK$67:$AK$76&gt;$AI196))
) / 1000</f>
        <v>0</v>
      </c>
      <c r="BM196" s="250">
        <f t="shared" si="247"/>
        <v>25</v>
      </c>
      <c r="BN196" s="237">
        <f t="shared" si="406"/>
        <v>39.516666666666666</v>
      </c>
      <c r="BO196" s="253">
        <f t="shared" si="407"/>
        <v>3.877011788826243</v>
      </c>
      <c r="BP196" s="253" cm="1">
        <f t="array" ref="BP196">$BC196 * IF($AD196&lt;=2,
SUMPRODUCT(INDEX($AL$67:$AN$71,,$AE196), INDEX($AO$67:$AU$71,,$AD196), 1 / ($AV$67:$AV$71*BO196 + (1-$AV$67:$AV$71)*BK196), N($AK$67:$AK$71&gt;$AI196)),
SUMPRODUCT(INDEX($AL$57:$AN$66,,$AE196), INDEX($AO$57:$AU$66,,$AD196), 1 / ($AW$57:$AW$66*BO196 + (1-$AW$57:$AW$66)*BK196), N($AK$57:$AK$66&gt;$AI196))
) / 1000</f>
        <v>0</v>
      </c>
      <c r="BQ196" s="250">
        <f t="shared" si="250"/>
        <v>20</v>
      </c>
      <c r="BR196" s="237">
        <f t="shared" si="408"/>
        <v>33</v>
      </c>
      <c r="BS196" s="253">
        <f t="shared" si="409"/>
        <v>4.8487499999999999</v>
      </c>
      <c r="BT196" s="253" cm="1">
        <f t="array" ref="BT196">$BC196 * IF($AD196&lt;=2,
SUMPRODUCT(INDEX($AL$62:$AN$66,,$AE196), INDEX($AO$62:$AU$66,,$AD196), 1 / ($AV$62:$AV$66*BS196 + (1-$AV$62:$AV$66)*BO196), N($AK$62:$AK$66&gt;$AI196)),
SUMPRODUCT(INDEX($AL$47:$AN$56,,$AE196), INDEX($AO$47:$AU$56,,$AD196), 1 / ($AW$47:$AW$56*BS196 + (1-$AW$47:$AW$56)*BO196), N($AK$47:$AK$56&gt;$AI196))
) / 1000</f>
        <v>0</v>
      </c>
      <c r="BU196" s="253" cm="1">
        <f t="array" ref="BU196">$BC196 * IF($AD196&lt;=2,
SUMPRODUCT(INDEX($AL$23:$AN$61,,$AE196), INDEX($AO$23:$AU$61,,$AD196), 1 / ($AV$23:$AV$61*BS196), N($AK$23:$AK$61&gt;$AI196)),
SUMPRODUCT(INDEX($AL$23:$AN$46,,$AE196), INDEX($AO$23:$AU$46,,$AD196), 1 / ($AW$23:$AW$46*BS196), N($AK$23:$AK$46&gt;$AI196))
) / 1000</f>
        <v>0</v>
      </c>
      <c r="BV196" s="237">
        <f t="shared" si="410"/>
        <v>0</v>
      </c>
      <c r="BW196" s="210"/>
      <c r="BX196" s="237">
        <f t="shared" si="411"/>
        <v>0</v>
      </c>
      <c r="BY196" s="236">
        <v>35</v>
      </c>
      <c r="BZ196" s="237">
        <f t="shared" si="412"/>
        <v>48</v>
      </c>
      <c r="CA196" s="253">
        <f t="shared" si="413"/>
        <v>3.0748170731707316</v>
      </c>
      <c r="CB196" s="253" cm="1">
        <f t="array" ref="CB196">$BC196 * SUMPRODUCT(INDEX($AL$77:$AN$82,,$AE196),INDEX($AO$77:$AU$82,,$AD196), N($AK$77:$AK$82&gt;$AI196)) / CA196 / 1000</f>
        <v>0</v>
      </c>
      <c r="CC196" s="250">
        <f t="shared" si="257"/>
        <v>30</v>
      </c>
      <c r="CD196" s="237">
        <f t="shared" si="414"/>
        <v>43</v>
      </c>
      <c r="CE196" s="253">
        <f t="shared" si="415"/>
        <v>3.5018750000000001</v>
      </c>
      <c r="CF196" s="253" cm="1">
        <f t="array" ref="CF196">$BC196 * IF($AD196&lt;=2,
SUMPRODUCT(INDEX($AL$72:$AN$76,,$AE196), INDEX($AO$72:$AU$76,,$AD196), 1 / ($AV$72:$AV$76*CE196 + (1-$AV$72:$AV$76)*CA196), N($AK$72:$AK$76&gt;$AI196)),
SUMPRODUCT(INDEX($AL$67:$AN$76,,$AE196), INDEX($AO$67:$AU$76,,$AD196), 1 / ($AW$67:$AW$76*CE196 + (1-$AW$67:$AW$76)*CA196), N($AK$67:$AK$76&gt;$AI196))
) / 1000</f>
        <v>0</v>
      </c>
      <c r="CG196" s="250">
        <f t="shared" si="260"/>
        <v>25</v>
      </c>
      <c r="CH196" s="237">
        <f t="shared" si="416"/>
        <v>38</v>
      </c>
      <c r="CI196" s="253">
        <f t="shared" si="417"/>
        <v>4.0666935483870965</v>
      </c>
      <c r="CJ196" s="253" cm="1">
        <f t="array" ref="CJ196">$BC196 * IF($AD196&lt;=2,
SUMPRODUCT(INDEX($AL$67:$AN$71,,$AE196), INDEX($AO$67:$AU$71,,$AD196), 1 / ($AV$67:$AV$71*CI196 + (1-$AV$67:$AV$71)*CE196), N($AK$67:$AK$71&gt;$AI196)),
SUMPRODUCT(INDEX($AL$57:$AN$66,,$AE196), INDEX($AO$57:$AU$66,,$AD196), 1 / ($AW$57:$AW$66*CI196 + (1-$AW$57:$AW$66)*CE196), N($AK$57:$AK$66&gt;$AI196))
) / 1000</f>
        <v>0</v>
      </c>
      <c r="CK196" s="250">
        <f t="shared" si="263"/>
        <v>20</v>
      </c>
      <c r="CL196" s="237">
        <f t="shared" si="418"/>
        <v>33</v>
      </c>
      <c r="CM196" s="253">
        <f t="shared" si="419"/>
        <v>4.8487499999999999</v>
      </c>
      <c r="CN196" s="253" cm="1">
        <f t="array" ref="CN196">$BC196 * IF($AD196&lt;=2,
SUMPRODUCT(INDEX($AL$62:$AN$66,,$AE196), INDEX($AO$62:$AU$66,,$AD196), 1 / ($AV$62:$AV$66*CM196 + (1-$AV$62:$AV$66)*CI196), N($AK$62:$AK$66&gt;$AI196)),
SUMPRODUCT(INDEX($AL$47:$AN$56,,$AE196), INDEX($AO$47:$AU$56,,$AD196), 1 / ($AW$47:$AW$56*CM196 + (1-$AW$47:$AW$56)*CI196), N($AK$47:$AK$56&gt;$AI196))
) / 1000</f>
        <v>0</v>
      </c>
      <c r="CO196" s="253" cm="1">
        <f t="array" ref="CO196">$BC196 * IF($AD196&lt;=2,
SUMPRODUCT(INDEX($AL$23:$AN$61,,$AE196), INDEX($AO$23:$AU$61,,$AD196), 1 / ($AV$23:$AV$61*CM196), N($AK$23:$AK$61&gt;$AI196)),
SUMPRODUCT(INDEX($AL$23:$AN$46,,$AE196), INDEX($AO$23:$AU$46,,$AD196), 1 / ($AW$23:$AW$46*CM196), N($AK$23:$AK$46&gt;$AI196))
) / 1000</f>
        <v>0</v>
      </c>
      <c r="CP196" s="237">
        <f t="shared" si="420"/>
        <v>0</v>
      </c>
      <c r="CQ196" s="210"/>
    </row>
    <row r="197" spans="1:95" s="76" customFormat="1" ht="14.25" customHeight="1" x14ac:dyDescent="0.2">
      <c r="A197" s="238" t="b">
        <f t="shared" si="227"/>
        <v>0</v>
      </c>
      <c r="B197" s="239">
        <v>175</v>
      </c>
      <c r="C197" s="258"/>
      <c r="D197" s="258"/>
      <c r="E197" s="240"/>
      <c r="F197" s="241" t="str">
        <f>IF(ISBLANK(E197), "", VLOOKUP(E197, Z!$A$2:$C$4127, 3, FALSE))</f>
        <v/>
      </c>
      <c r="G197" s="242"/>
      <c r="H197" s="242"/>
      <c r="I197" s="243"/>
      <c r="J197" s="244"/>
      <c r="K197" s="259"/>
      <c r="L197" s="260"/>
      <c r="M197" s="247" t="str" cm="1">
        <f t="array" ref="M197">IF($K197&gt;0, INDEX(Clean,1+AG197,$C$1), "")</f>
        <v/>
      </c>
      <c r="N197" s="245"/>
      <c r="O197" s="245"/>
      <c r="P197" s="246"/>
      <c r="Q197" s="248">
        <f t="shared" si="397"/>
        <v>0</v>
      </c>
      <c r="R197" s="247" t="str" cm="1">
        <f t="array" ref="R197">IF($K197&gt;0, INDEX(Clean,1+AH197,$C$1), "")</f>
        <v/>
      </c>
      <c r="S197" s="245"/>
      <c r="T197" s="245"/>
      <c r="U197" s="246"/>
      <c r="V197" s="248">
        <f t="shared" si="398"/>
        <v>0</v>
      </c>
      <c r="W197" s="261"/>
      <c r="X197" s="258"/>
      <c r="Y197" s="240"/>
      <c r="Z197" s="241" t="str">
        <f>IF(ISBLANK(Y197), "", VLOOKUP(Y197, Z!$A$2:$C$4127, 3, FALSE))</f>
        <v/>
      </c>
      <c r="AA197" s="262"/>
      <c r="AB197" s="249">
        <f t="shared" si="396"/>
        <v>0</v>
      </c>
      <c r="AC197" s="210"/>
      <c r="AD197" s="236">
        <f t="shared" si="421"/>
        <v>1</v>
      </c>
      <c r="AE197" s="236">
        <f t="shared" si="422"/>
        <v>1</v>
      </c>
      <c r="AF197" s="236">
        <f t="shared" si="423"/>
        <v>0</v>
      </c>
      <c r="AG197" s="236">
        <v>1</v>
      </c>
      <c r="AH197" s="236">
        <v>0</v>
      </c>
      <c r="AI197" s="236">
        <f t="shared" si="399"/>
        <v>-100</v>
      </c>
      <c r="AJ197" s="210"/>
      <c r="AK197" s="254"/>
      <c r="AL197" s="254"/>
      <c r="AM197" s="255"/>
      <c r="AN197" s="255"/>
      <c r="AO197" s="255"/>
      <c r="AP197" s="255"/>
      <c r="AQ197" s="255"/>
      <c r="AR197" s="255"/>
      <c r="AS197" s="255"/>
      <c r="AT197" s="255"/>
      <c r="AU197" s="255"/>
      <c r="AV197" s="255"/>
      <c r="AW197" s="255"/>
      <c r="AX197" s="210"/>
      <c r="AY197" s="236" cm="1">
        <f t="array" ref="AY197">INDEX(Use, $AD197, 4)</f>
        <v>7</v>
      </c>
      <c r="AZ197" s="236">
        <f t="shared" si="400"/>
        <v>32</v>
      </c>
      <c r="BA197" s="236">
        <f t="shared" si="239"/>
        <v>13</v>
      </c>
      <c r="BB197" s="236">
        <f t="shared" si="240"/>
        <v>0</v>
      </c>
      <c r="BC197" s="252" cm="1">
        <f t="array" ref="BC197">K197/IF($L197&gt;0, INDEX($AO$23:$AU$77, $L197+20, $AD197), 1)</f>
        <v>0</v>
      </c>
      <c r="BD197" s="237">
        <f t="shared" si="401"/>
        <v>0</v>
      </c>
      <c r="BE197" s="236">
        <v>35</v>
      </c>
      <c r="BF197" s="237">
        <f t="shared" si="402"/>
        <v>52.55</v>
      </c>
      <c r="BG197" s="253">
        <f t="shared" si="403"/>
        <v>2.7676728869374316</v>
      </c>
      <c r="BH197" s="253" cm="1">
        <f t="array" ref="BH197">$BC197 * SUMPRODUCT(INDEX($AL$77:$AN$82,,$AE197),INDEX($AO$77:$AU$82,,$AD197), N($AK$77:$AK$82&gt;$AI197)) / BG197 / 1000</f>
        <v>0</v>
      </c>
      <c r="BI197" s="250">
        <f t="shared" si="244"/>
        <v>30</v>
      </c>
      <c r="BJ197" s="237">
        <f t="shared" si="404"/>
        <v>46.033333333333331</v>
      </c>
      <c r="BK197" s="253">
        <f t="shared" si="405"/>
        <v>3.2297395388556791</v>
      </c>
      <c r="BL197" s="253" cm="1">
        <f t="array" ref="BL197">$BC197 * IF($AD197&lt;=2,
SUMPRODUCT(INDEX($AL$72:$AN$76,,$AE197), INDEX($AO$72:$AU$76,,$AD197), 1 / ($AV$72:$AV$76*BK197 + (1-$AV$72:$AV$76)*BG197), N($AK$72:$AK$76&gt;$AI197)),
SUMPRODUCT(INDEX($AL$67:$AN$76,,$AE197), INDEX($AO$67:$AU$76,,$AD197), 1 / ($AW$67:$AW$76*BK197 + (1-$AW$67:$AW$76)*BG197), N($AK$67:$AK$76&gt;$AI197))
) / 1000</f>
        <v>0</v>
      </c>
      <c r="BM197" s="250">
        <f t="shared" si="247"/>
        <v>25</v>
      </c>
      <c r="BN197" s="237">
        <f t="shared" si="406"/>
        <v>39.516666666666666</v>
      </c>
      <c r="BO197" s="253">
        <f t="shared" si="407"/>
        <v>3.877011788826243</v>
      </c>
      <c r="BP197" s="253" cm="1">
        <f t="array" ref="BP197">$BC197 * IF($AD197&lt;=2,
SUMPRODUCT(INDEX($AL$67:$AN$71,,$AE197), INDEX($AO$67:$AU$71,,$AD197), 1 / ($AV$67:$AV$71*BO197 + (1-$AV$67:$AV$71)*BK197), N($AK$67:$AK$71&gt;$AI197)),
SUMPRODUCT(INDEX($AL$57:$AN$66,,$AE197), INDEX($AO$57:$AU$66,,$AD197), 1 / ($AW$57:$AW$66*BO197 + (1-$AW$57:$AW$66)*BK197), N($AK$57:$AK$66&gt;$AI197))
) / 1000</f>
        <v>0</v>
      </c>
      <c r="BQ197" s="250">
        <f t="shared" si="250"/>
        <v>20</v>
      </c>
      <c r="BR197" s="237">
        <f t="shared" si="408"/>
        <v>33</v>
      </c>
      <c r="BS197" s="253">
        <f t="shared" si="409"/>
        <v>4.8487499999999999</v>
      </c>
      <c r="BT197" s="253" cm="1">
        <f t="array" ref="BT197">$BC197 * IF($AD197&lt;=2,
SUMPRODUCT(INDEX($AL$62:$AN$66,,$AE197), INDEX($AO$62:$AU$66,,$AD197), 1 / ($AV$62:$AV$66*BS197 + (1-$AV$62:$AV$66)*BO197), N($AK$62:$AK$66&gt;$AI197)),
SUMPRODUCT(INDEX($AL$47:$AN$56,,$AE197), INDEX($AO$47:$AU$56,,$AD197), 1 / ($AW$47:$AW$56*BS197 + (1-$AW$47:$AW$56)*BO197), N($AK$47:$AK$56&gt;$AI197))
) / 1000</f>
        <v>0</v>
      </c>
      <c r="BU197" s="253" cm="1">
        <f t="array" ref="BU197">$BC197 * IF($AD197&lt;=2,
SUMPRODUCT(INDEX($AL$23:$AN$61,,$AE197), INDEX($AO$23:$AU$61,,$AD197), 1 / ($AV$23:$AV$61*BS197), N($AK$23:$AK$61&gt;$AI197)),
SUMPRODUCT(INDEX($AL$23:$AN$46,,$AE197), INDEX($AO$23:$AU$46,,$AD197), 1 / ($AW$23:$AW$46*BS197), N($AK$23:$AK$46&gt;$AI197))
) / 1000</f>
        <v>0</v>
      </c>
      <c r="BV197" s="237">
        <f t="shared" si="410"/>
        <v>0</v>
      </c>
      <c r="BW197" s="210"/>
      <c r="BX197" s="237">
        <f t="shared" si="411"/>
        <v>0</v>
      </c>
      <c r="BY197" s="236">
        <v>35</v>
      </c>
      <c r="BZ197" s="237">
        <f t="shared" si="412"/>
        <v>48</v>
      </c>
      <c r="CA197" s="253">
        <f t="shared" si="413"/>
        <v>3.0748170731707316</v>
      </c>
      <c r="CB197" s="253" cm="1">
        <f t="array" ref="CB197">$BC197 * SUMPRODUCT(INDEX($AL$77:$AN$82,,$AE197),INDEX($AO$77:$AU$82,,$AD197), N($AK$77:$AK$82&gt;$AI197)) / CA197 / 1000</f>
        <v>0</v>
      </c>
      <c r="CC197" s="250">
        <f t="shared" si="257"/>
        <v>30</v>
      </c>
      <c r="CD197" s="237">
        <f t="shared" si="414"/>
        <v>43</v>
      </c>
      <c r="CE197" s="253">
        <f t="shared" si="415"/>
        <v>3.5018750000000001</v>
      </c>
      <c r="CF197" s="253" cm="1">
        <f t="array" ref="CF197">$BC197 * IF($AD197&lt;=2,
SUMPRODUCT(INDEX($AL$72:$AN$76,,$AE197), INDEX($AO$72:$AU$76,,$AD197), 1 / ($AV$72:$AV$76*CE197 + (1-$AV$72:$AV$76)*CA197), N($AK$72:$AK$76&gt;$AI197)),
SUMPRODUCT(INDEX($AL$67:$AN$76,,$AE197), INDEX($AO$67:$AU$76,,$AD197), 1 / ($AW$67:$AW$76*CE197 + (1-$AW$67:$AW$76)*CA197), N($AK$67:$AK$76&gt;$AI197))
) / 1000</f>
        <v>0</v>
      </c>
      <c r="CG197" s="250">
        <f t="shared" si="260"/>
        <v>25</v>
      </c>
      <c r="CH197" s="237">
        <f t="shared" si="416"/>
        <v>38</v>
      </c>
      <c r="CI197" s="253">
        <f t="shared" si="417"/>
        <v>4.0666935483870965</v>
      </c>
      <c r="CJ197" s="253" cm="1">
        <f t="array" ref="CJ197">$BC197 * IF($AD197&lt;=2,
SUMPRODUCT(INDEX($AL$67:$AN$71,,$AE197), INDEX($AO$67:$AU$71,,$AD197), 1 / ($AV$67:$AV$71*CI197 + (1-$AV$67:$AV$71)*CE197), N($AK$67:$AK$71&gt;$AI197)),
SUMPRODUCT(INDEX($AL$57:$AN$66,,$AE197), INDEX($AO$57:$AU$66,,$AD197), 1 / ($AW$57:$AW$66*CI197 + (1-$AW$57:$AW$66)*CE197), N($AK$57:$AK$66&gt;$AI197))
) / 1000</f>
        <v>0</v>
      </c>
      <c r="CK197" s="250">
        <f t="shared" si="263"/>
        <v>20</v>
      </c>
      <c r="CL197" s="237">
        <f t="shared" si="418"/>
        <v>33</v>
      </c>
      <c r="CM197" s="253">
        <f t="shared" si="419"/>
        <v>4.8487499999999999</v>
      </c>
      <c r="CN197" s="253" cm="1">
        <f t="array" ref="CN197">$BC197 * IF($AD197&lt;=2,
SUMPRODUCT(INDEX($AL$62:$AN$66,,$AE197), INDEX($AO$62:$AU$66,,$AD197), 1 / ($AV$62:$AV$66*CM197 + (1-$AV$62:$AV$66)*CI197), N($AK$62:$AK$66&gt;$AI197)),
SUMPRODUCT(INDEX($AL$47:$AN$56,,$AE197), INDEX($AO$47:$AU$56,,$AD197), 1 / ($AW$47:$AW$56*CM197 + (1-$AW$47:$AW$56)*CI197), N($AK$47:$AK$56&gt;$AI197))
) / 1000</f>
        <v>0</v>
      </c>
      <c r="CO197" s="253" cm="1">
        <f t="array" ref="CO197">$BC197 * IF($AD197&lt;=2,
SUMPRODUCT(INDEX($AL$23:$AN$61,,$AE197), INDEX($AO$23:$AU$61,,$AD197), 1 / ($AV$23:$AV$61*CM197), N($AK$23:$AK$61&gt;$AI197)),
SUMPRODUCT(INDEX($AL$23:$AN$46,,$AE197), INDEX($AO$23:$AU$46,,$AD197), 1 / ($AW$23:$AW$46*CM197), N($AK$23:$AK$46&gt;$AI197))
) / 1000</f>
        <v>0</v>
      </c>
      <c r="CP197" s="237">
        <f t="shared" si="420"/>
        <v>0</v>
      </c>
      <c r="CQ197" s="210"/>
    </row>
    <row r="198" spans="1:95" s="76" customFormat="1" ht="14.25" customHeight="1" x14ac:dyDescent="0.2">
      <c r="A198" s="238" t="b">
        <f t="shared" si="227"/>
        <v>0</v>
      </c>
      <c r="B198" s="239">
        <v>176</v>
      </c>
      <c r="C198" s="258"/>
      <c r="D198" s="258"/>
      <c r="E198" s="240"/>
      <c r="F198" s="241" t="str">
        <f>IF(ISBLANK(E198), "", VLOOKUP(E198, Z!$A$2:$C$4127, 3, FALSE))</f>
        <v/>
      </c>
      <c r="G198" s="242"/>
      <c r="H198" s="242"/>
      <c r="I198" s="243"/>
      <c r="J198" s="244"/>
      <c r="K198" s="259"/>
      <c r="L198" s="260"/>
      <c r="M198" s="247" t="str" cm="1">
        <f t="array" ref="M198">IF($K198&gt;0, INDEX(Clean,1+AG198,$C$1), "")</f>
        <v/>
      </c>
      <c r="N198" s="245"/>
      <c r="O198" s="245"/>
      <c r="P198" s="246"/>
      <c r="Q198" s="248">
        <f t="shared" si="397"/>
        <v>0</v>
      </c>
      <c r="R198" s="247" t="str" cm="1">
        <f t="array" ref="R198">IF($K198&gt;0, INDEX(Clean,1+AH198,$C$1), "")</f>
        <v/>
      </c>
      <c r="S198" s="245"/>
      <c r="T198" s="245"/>
      <c r="U198" s="246"/>
      <c r="V198" s="248">
        <f t="shared" si="398"/>
        <v>0</v>
      </c>
      <c r="W198" s="261"/>
      <c r="X198" s="258"/>
      <c r="Y198" s="240"/>
      <c r="Z198" s="241" t="str">
        <f>IF(ISBLANK(Y198), "", VLOOKUP(Y198, Z!$A$2:$C$4127, 3, FALSE))</f>
        <v/>
      </c>
      <c r="AA198" s="262"/>
      <c r="AB198" s="249">
        <f t="shared" si="396"/>
        <v>0</v>
      </c>
      <c r="AC198" s="210"/>
      <c r="AD198" s="236">
        <f t="shared" si="421"/>
        <v>1</v>
      </c>
      <c r="AE198" s="236">
        <f t="shared" si="422"/>
        <v>1</v>
      </c>
      <c r="AF198" s="236">
        <f t="shared" si="423"/>
        <v>0</v>
      </c>
      <c r="AG198" s="236">
        <v>1</v>
      </c>
      <c r="AH198" s="236">
        <v>0</v>
      </c>
      <c r="AI198" s="236">
        <f t="shared" si="399"/>
        <v>-100</v>
      </c>
      <c r="AJ198" s="210"/>
      <c r="AK198" s="254"/>
      <c r="AL198" s="254"/>
      <c r="AM198" s="255"/>
      <c r="AN198" s="255"/>
      <c r="AO198" s="255"/>
      <c r="AP198" s="255"/>
      <c r="AQ198" s="255"/>
      <c r="AR198" s="255"/>
      <c r="AS198" s="255"/>
      <c r="AT198" s="255"/>
      <c r="AU198" s="255"/>
      <c r="AV198" s="255"/>
      <c r="AW198" s="255"/>
      <c r="AX198" s="210"/>
      <c r="AY198" s="236" cm="1">
        <f t="array" ref="AY198">INDEX(Use, $AD198, 4)</f>
        <v>7</v>
      </c>
      <c r="AZ198" s="236">
        <f t="shared" si="400"/>
        <v>32</v>
      </c>
      <c r="BA198" s="236">
        <f t="shared" si="239"/>
        <v>13</v>
      </c>
      <c r="BB198" s="236">
        <f t="shared" si="240"/>
        <v>0</v>
      </c>
      <c r="BC198" s="252" cm="1">
        <f t="array" ref="BC198">K198/IF($L198&gt;0, INDEX($AO$23:$AU$77, $L198+20, $AD198), 1)</f>
        <v>0</v>
      </c>
      <c r="BD198" s="237">
        <f t="shared" si="401"/>
        <v>0</v>
      </c>
      <c r="BE198" s="236">
        <v>35</v>
      </c>
      <c r="BF198" s="237">
        <f t="shared" si="402"/>
        <v>52.55</v>
      </c>
      <c r="BG198" s="253">
        <f t="shared" si="403"/>
        <v>2.7676728869374316</v>
      </c>
      <c r="BH198" s="253" cm="1">
        <f t="array" ref="BH198">$BC198 * SUMPRODUCT(INDEX($AL$77:$AN$82,,$AE198),INDEX($AO$77:$AU$82,,$AD198), N($AK$77:$AK$82&gt;$AI198)) / BG198 / 1000</f>
        <v>0</v>
      </c>
      <c r="BI198" s="250">
        <f t="shared" si="244"/>
        <v>30</v>
      </c>
      <c r="BJ198" s="237">
        <f t="shared" si="404"/>
        <v>46.033333333333331</v>
      </c>
      <c r="BK198" s="253">
        <f t="shared" si="405"/>
        <v>3.2297395388556791</v>
      </c>
      <c r="BL198" s="253" cm="1">
        <f t="array" ref="BL198">$BC198 * IF($AD198&lt;=2,
SUMPRODUCT(INDEX($AL$72:$AN$76,,$AE198), INDEX($AO$72:$AU$76,,$AD198), 1 / ($AV$72:$AV$76*BK198 + (1-$AV$72:$AV$76)*BG198), N($AK$72:$AK$76&gt;$AI198)),
SUMPRODUCT(INDEX($AL$67:$AN$76,,$AE198), INDEX($AO$67:$AU$76,,$AD198), 1 / ($AW$67:$AW$76*BK198 + (1-$AW$67:$AW$76)*BG198), N($AK$67:$AK$76&gt;$AI198))
) / 1000</f>
        <v>0</v>
      </c>
      <c r="BM198" s="250">
        <f t="shared" si="247"/>
        <v>25</v>
      </c>
      <c r="BN198" s="237">
        <f t="shared" si="406"/>
        <v>39.516666666666666</v>
      </c>
      <c r="BO198" s="253">
        <f t="shared" si="407"/>
        <v>3.877011788826243</v>
      </c>
      <c r="BP198" s="253" cm="1">
        <f t="array" ref="BP198">$BC198 * IF($AD198&lt;=2,
SUMPRODUCT(INDEX($AL$67:$AN$71,,$AE198), INDEX($AO$67:$AU$71,,$AD198), 1 / ($AV$67:$AV$71*BO198 + (1-$AV$67:$AV$71)*BK198), N($AK$67:$AK$71&gt;$AI198)),
SUMPRODUCT(INDEX($AL$57:$AN$66,,$AE198), INDEX($AO$57:$AU$66,,$AD198), 1 / ($AW$57:$AW$66*BO198 + (1-$AW$57:$AW$66)*BK198), N($AK$57:$AK$66&gt;$AI198))
) / 1000</f>
        <v>0</v>
      </c>
      <c r="BQ198" s="250">
        <f t="shared" si="250"/>
        <v>20</v>
      </c>
      <c r="BR198" s="237">
        <f t="shared" si="408"/>
        <v>33</v>
      </c>
      <c r="BS198" s="253">
        <f t="shared" si="409"/>
        <v>4.8487499999999999</v>
      </c>
      <c r="BT198" s="253" cm="1">
        <f t="array" ref="BT198">$BC198 * IF($AD198&lt;=2,
SUMPRODUCT(INDEX($AL$62:$AN$66,,$AE198), INDEX($AO$62:$AU$66,,$AD198), 1 / ($AV$62:$AV$66*BS198 + (1-$AV$62:$AV$66)*BO198), N($AK$62:$AK$66&gt;$AI198)),
SUMPRODUCT(INDEX($AL$47:$AN$56,,$AE198), INDEX($AO$47:$AU$56,,$AD198), 1 / ($AW$47:$AW$56*BS198 + (1-$AW$47:$AW$56)*BO198), N($AK$47:$AK$56&gt;$AI198))
) / 1000</f>
        <v>0</v>
      </c>
      <c r="BU198" s="253" cm="1">
        <f t="array" ref="BU198">$BC198 * IF($AD198&lt;=2,
SUMPRODUCT(INDEX($AL$23:$AN$61,,$AE198), INDEX($AO$23:$AU$61,,$AD198), 1 / ($AV$23:$AV$61*BS198), N($AK$23:$AK$61&gt;$AI198)),
SUMPRODUCT(INDEX($AL$23:$AN$46,,$AE198), INDEX($AO$23:$AU$46,,$AD198), 1 / ($AW$23:$AW$46*BS198), N($AK$23:$AK$46&gt;$AI198))
) / 1000</f>
        <v>0</v>
      </c>
      <c r="BV198" s="237">
        <f t="shared" si="410"/>
        <v>0</v>
      </c>
      <c r="BW198" s="210"/>
      <c r="BX198" s="237">
        <f t="shared" si="411"/>
        <v>0</v>
      </c>
      <c r="BY198" s="236">
        <v>35</v>
      </c>
      <c r="BZ198" s="237">
        <f t="shared" si="412"/>
        <v>48</v>
      </c>
      <c r="CA198" s="253">
        <f t="shared" si="413"/>
        <v>3.0748170731707316</v>
      </c>
      <c r="CB198" s="253" cm="1">
        <f t="array" ref="CB198">$BC198 * SUMPRODUCT(INDEX($AL$77:$AN$82,,$AE198),INDEX($AO$77:$AU$82,,$AD198), N($AK$77:$AK$82&gt;$AI198)) / CA198 / 1000</f>
        <v>0</v>
      </c>
      <c r="CC198" s="250">
        <f t="shared" si="257"/>
        <v>30</v>
      </c>
      <c r="CD198" s="237">
        <f t="shared" si="414"/>
        <v>43</v>
      </c>
      <c r="CE198" s="253">
        <f t="shared" si="415"/>
        <v>3.5018750000000001</v>
      </c>
      <c r="CF198" s="253" cm="1">
        <f t="array" ref="CF198">$BC198 * IF($AD198&lt;=2,
SUMPRODUCT(INDEX($AL$72:$AN$76,,$AE198), INDEX($AO$72:$AU$76,,$AD198), 1 / ($AV$72:$AV$76*CE198 + (1-$AV$72:$AV$76)*CA198), N($AK$72:$AK$76&gt;$AI198)),
SUMPRODUCT(INDEX($AL$67:$AN$76,,$AE198), INDEX($AO$67:$AU$76,,$AD198), 1 / ($AW$67:$AW$76*CE198 + (1-$AW$67:$AW$76)*CA198), N($AK$67:$AK$76&gt;$AI198))
) / 1000</f>
        <v>0</v>
      </c>
      <c r="CG198" s="250">
        <f t="shared" si="260"/>
        <v>25</v>
      </c>
      <c r="CH198" s="237">
        <f t="shared" si="416"/>
        <v>38</v>
      </c>
      <c r="CI198" s="253">
        <f t="shared" si="417"/>
        <v>4.0666935483870965</v>
      </c>
      <c r="CJ198" s="253" cm="1">
        <f t="array" ref="CJ198">$BC198 * IF($AD198&lt;=2,
SUMPRODUCT(INDEX($AL$67:$AN$71,,$AE198), INDEX($AO$67:$AU$71,,$AD198), 1 / ($AV$67:$AV$71*CI198 + (1-$AV$67:$AV$71)*CE198), N($AK$67:$AK$71&gt;$AI198)),
SUMPRODUCT(INDEX($AL$57:$AN$66,,$AE198), INDEX($AO$57:$AU$66,,$AD198), 1 / ($AW$57:$AW$66*CI198 + (1-$AW$57:$AW$66)*CE198), N($AK$57:$AK$66&gt;$AI198))
) / 1000</f>
        <v>0</v>
      </c>
      <c r="CK198" s="250">
        <f t="shared" si="263"/>
        <v>20</v>
      </c>
      <c r="CL198" s="237">
        <f t="shared" si="418"/>
        <v>33</v>
      </c>
      <c r="CM198" s="253">
        <f t="shared" si="419"/>
        <v>4.8487499999999999</v>
      </c>
      <c r="CN198" s="253" cm="1">
        <f t="array" ref="CN198">$BC198 * IF($AD198&lt;=2,
SUMPRODUCT(INDEX($AL$62:$AN$66,,$AE198), INDEX($AO$62:$AU$66,,$AD198), 1 / ($AV$62:$AV$66*CM198 + (1-$AV$62:$AV$66)*CI198), N($AK$62:$AK$66&gt;$AI198)),
SUMPRODUCT(INDEX($AL$47:$AN$56,,$AE198), INDEX($AO$47:$AU$56,,$AD198), 1 / ($AW$47:$AW$56*CM198 + (1-$AW$47:$AW$56)*CI198), N($AK$47:$AK$56&gt;$AI198))
) / 1000</f>
        <v>0</v>
      </c>
      <c r="CO198" s="253" cm="1">
        <f t="array" ref="CO198">$BC198 * IF($AD198&lt;=2,
SUMPRODUCT(INDEX($AL$23:$AN$61,,$AE198), INDEX($AO$23:$AU$61,,$AD198), 1 / ($AV$23:$AV$61*CM198), N($AK$23:$AK$61&gt;$AI198)),
SUMPRODUCT(INDEX($AL$23:$AN$46,,$AE198), INDEX($AO$23:$AU$46,,$AD198), 1 / ($AW$23:$AW$46*CM198), N($AK$23:$AK$46&gt;$AI198))
) / 1000</f>
        <v>0</v>
      </c>
      <c r="CP198" s="237">
        <f t="shared" si="420"/>
        <v>0</v>
      </c>
      <c r="CQ198" s="210"/>
    </row>
    <row r="199" spans="1:95" s="76" customFormat="1" ht="14.25" customHeight="1" x14ac:dyDescent="0.2">
      <c r="A199" s="238" t="b">
        <f t="shared" si="227"/>
        <v>0</v>
      </c>
      <c r="B199" s="239">
        <v>177</v>
      </c>
      <c r="C199" s="258"/>
      <c r="D199" s="258"/>
      <c r="E199" s="240"/>
      <c r="F199" s="241" t="str">
        <f>IF(ISBLANK(E199), "", VLOOKUP(E199, Z!$A$2:$C$4127, 3, FALSE))</f>
        <v/>
      </c>
      <c r="G199" s="242"/>
      <c r="H199" s="242"/>
      <c r="I199" s="243"/>
      <c r="J199" s="244"/>
      <c r="K199" s="259"/>
      <c r="L199" s="260"/>
      <c r="M199" s="247" t="str" cm="1">
        <f t="array" ref="M199">IF($K199&gt;0, INDEX(Clean,1+AG199,$C$1), "")</f>
        <v/>
      </c>
      <c r="N199" s="245"/>
      <c r="O199" s="245"/>
      <c r="P199" s="246"/>
      <c r="Q199" s="248">
        <f t="shared" si="397"/>
        <v>0</v>
      </c>
      <c r="R199" s="247" t="str" cm="1">
        <f t="array" ref="R199">IF($K199&gt;0, INDEX(Clean,1+AH199,$C$1), "")</f>
        <v/>
      </c>
      <c r="S199" s="245"/>
      <c r="T199" s="245"/>
      <c r="U199" s="246"/>
      <c r="V199" s="248">
        <f t="shared" si="398"/>
        <v>0</v>
      </c>
      <c r="W199" s="261"/>
      <c r="X199" s="258"/>
      <c r="Y199" s="240"/>
      <c r="Z199" s="241" t="str">
        <f>IF(ISBLANK(Y199), "", VLOOKUP(Y199, Z!$A$2:$C$4127, 3, FALSE))</f>
        <v/>
      </c>
      <c r="AA199" s="262"/>
      <c r="AB199" s="249">
        <f t="shared" si="396"/>
        <v>0</v>
      </c>
      <c r="AC199" s="210"/>
      <c r="AD199" s="236">
        <f t="shared" si="421"/>
        <v>1</v>
      </c>
      <c r="AE199" s="236">
        <f t="shared" si="422"/>
        <v>1</v>
      </c>
      <c r="AF199" s="236">
        <f t="shared" si="423"/>
        <v>0</v>
      </c>
      <c r="AG199" s="236">
        <v>1</v>
      </c>
      <c r="AH199" s="236">
        <v>0</v>
      </c>
      <c r="AI199" s="236">
        <f t="shared" si="399"/>
        <v>-100</v>
      </c>
      <c r="AJ199" s="210"/>
      <c r="AK199" s="254"/>
      <c r="AL199" s="254"/>
      <c r="AM199" s="255"/>
      <c r="AN199" s="255"/>
      <c r="AO199" s="255"/>
      <c r="AP199" s="255"/>
      <c r="AQ199" s="255"/>
      <c r="AR199" s="255"/>
      <c r="AS199" s="255"/>
      <c r="AT199" s="255"/>
      <c r="AU199" s="255"/>
      <c r="AV199" s="255"/>
      <c r="AW199" s="255"/>
      <c r="AX199" s="210"/>
      <c r="AY199" s="236" cm="1">
        <f t="array" ref="AY199">INDEX(Use, $AD199, 4)</f>
        <v>7</v>
      </c>
      <c r="AZ199" s="236">
        <f t="shared" si="400"/>
        <v>32</v>
      </c>
      <c r="BA199" s="236">
        <f t="shared" si="239"/>
        <v>13</v>
      </c>
      <c r="BB199" s="236">
        <f t="shared" si="240"/>
        <v>0</v>
      </c>
      <c r="BC199" s="252" cm="1">
        <f t="array" ref="BC199">K199/IF($L199&gt;0, INDEX($AO$23:$AU$77, $L199+20, $AD199), 1)</f>
        <v>0</v>
      </c>
      <c r="BD199" s="237">
        <f t="shared" si="401"/>
        <v>0</v>
      </c>
      <c r="BE199" s="236">
        <v>35</v>
      </c>
      <c r="BF199" s="237">
        <f t="shared" si="402"/>
        <v>52.55</v>
      </c>
      <c r="BG199" s="253">
        <f t="shared" si="403"/>
        <v>2.7676728869374316</v>
      </c>
      <c r="BH199" s="253" cm="1">
        <f t="array" ref="BH199">$BC199 * SUMPRODUCT(INDEX($AL$77:$AN$82,,$AE199),INDEX($AO$77:$AU$82,,$AD199), N($AK$77:$AK$82&gt;$AI199)) / BG199 / 1000</f>
        <v>0</v>
      </c>
      <c r="BI199" s="250">
        <f t="shared" si="244"/>
        <v>30</v>
      </c>
      <c r="BJ199" s="237">
        <f t="shared" si="404"/>
        <v>46.033333333333331</v>
      </c>
      <c r="BK199" s="253">
        <f t="shared" si="405"/>
        <v>3.2297395388556791</v>
      </c>
      <c r="BL199" s="253" cm="1">
        <f t="array" ref="BL199">$BC199 * IF($AD199&lt;=2,
SUMPRODUCT(INDEX($AL$72:$AN$76,,$AE199), INDEX($AO$72:$AU$76,,$AD199), 1 / ($AV$72:$AV$76*BK199 + (1-$AV$72:$AV$76)*BG199), N($AK$72:$AK$76&gt;$AI199)),
SUMPRODUCT(INDEX($AL$67:$AN$76,,$AE199), INDEX($AO$67:$AU$76,,$AD199), 1 / ($AW$67:$AW$76*BK199 + (1-$AW$67:$AW$76)*BG199), N($AK$67:$AK$76&gt;$AI199))
) / 1000</f>
        <v>0</v>
      </c>
      <c r="BM199" s="250">
        <f t="shared" si="247"/>
        <v>25</v>
      </c>
      <c r="BN199" s="237">
        <f t="shared" si="406"/>
        <v>39.516666666666666</v>
      </c>
      <c r="BO199" s="253">
        <f t="shared" si="407"/>
        <v>3.877011788826243</v>
      </c>
      <c r="BP199" s="253" cm="1">
        <f t="array" ref="BP199">$BC199 * IF($AD199&lt;=2,
SUMPRODUCT(INDEX($AL$67:$AN$71,,$AE199), INDEX($AO$67:$AU$71,,$AD199), 1 / ($AV$67:$AV$71*BO199 + (1-$AV$67:$AV$71)*BK199), N($AK$67:$AK$71&gt;$AI199)),
SUMPRODUCT(INDEX($AL$57:$AN$66,,$AE199), INDEX($AO$57:$AU$66,,$AD199), 1 / ($AW$57:$AW$66*BO199 + (1-$AW$57:$AW$66)*BK199), N($AK$57:$AK$66&gt;$AI199))
) / 1000</f>
        <v>0</v>
      </c>
      <c r="BQ199" s="250">
        <f t="shared" si="250"/>
        <v>20</v>
      </c>
      <c r="BR199" s="237">
        <f t="shared" si="408"/>
        <v>33</v>
      </c>
      <c r="BS199" s="253">
        <f t="shared" si="409"/>
        <v>4.8487499999999999</v>
      </c>
      <c r="BT199" s="253" cm="1">
        <f t="array" ref="BT199">$BC199 * IF($AD199&lt;=2,
SUMPRODUCT(INDEX($AL$62:$AN$66,,$AE199), INDEX($AO$62:$AU$66,,$AD199), 1 / ($AV$62:$AV$66*BS199 + (1-$AV$62:$AV$66)*BO199), N($AK$62:$AK$66&gt;$AI199)),
SUMPRODUCT(INDEX($AL$47:$AN$56,,$AE199), INDEX($AO$47:$AU$56,,$AD199), 1 / ($AW$47:$AW$56*BS199 + (1-$AW$47:$AW$56)*BO199), N($AK$47:$AK$56&gt;$AI199))
) / 1000</f>
        <v>0</v>
      </c>
      <c r="BU199" s="253" cm="1">
        <f t="array" ref="BU199">$BC199 * IF($AD199&lt;=2,
SUMPRODUCT(INDEX($AL$23:$AN$61,,$AE199), INDEX($AO$23:$AU$61,,$AD199), 1 / ($AV$23:$AV$61*BS199), N($AK$23:$AK$61&gt;$AI199)),
SUMPRODUCT(INDEX($AL$23:$AN$46,,$AE199), INDEX($AO$23:$AU$46,,$AD199), 1 / ($AW$23:$AW$46*BS199), N($AK$23:$AK$46&gt;$AI199))
) / 1000</f>
        <v>0</v>
      </c>
      <c r="BV199" s="237">
        <f t="shared" si="410"/>
        <v>0</v>
      </c>
      <c r="BW199" s="210"/>
      <c r="BX199" s="237">
        <f t="shared" si="411"/>
        <v>0</v>
      </c>
      <c r="BY199" s="236">
        <v>35</v>
      </c>
      <c r="BZ199" s="237">
        <f t="shared" si="412"/>
        <v>48</v>
      </c>
      <c r="CA199" s="253">
        <f t="shared" si="413"/>
        <v>3.0748170731707316</v>
      </c>
      <c r="CB199" s="253" cm="1">
        <f t="array" ref="CB199">$BC199 * SUMPRODUCT(INDEX($AL$77:$AN$82,,$AE199),INDEX($AO$77:$AU$82,,$AD199), N($AK$77:$AK$82&gt;$AI199)) / CA199 / 1000</f>
        <v>0</v>
      </c>
      <c r="CC199" s="250">
        <f t="shared" si="257"/>
        <v>30</v>
      </c>
      <c r="CD199" s="237">
        <f t="shared" si="414"/>
        <v>43</v>
      </c>
      <c r="CE199" s="253">
        <f t="shared" si="415"/>
        <v>3.5018750000000001</v>
      </c>
      <c r="CF199" s="253" cm="1">
        <f t="array" ref="CF199">$BC199 * IF($AD199&lt;=2,
SUMPRODUCT(INDEX($AL$72:$AN$76,,$AE199), INDEX($AO$72:$AU$76,,$AD199), 1 / ($AV$72:$AV$76*CE199 + (1-$AV$72:$AV$76)*CA199), N($AK$72:$AK$76&gt;$AI199)),
SUMPRODUCT(INDEX($AL$67:$AN$76,,$AE199), INDEX($AO$67:$AU$76,,$AD199), 1 / ($AW$67:$AW$76*CE199 + (1-$AW$67:$AW$76)*CA199), N($AK$67:$AK$76&gt;$AI199))
) / 1000</f>
        <v>0</v>
      </c>
      <c r="CG199" s="250">
        <f t="shared" si="260"/>
        <v>25</v>
      </c>
      <c r="CH199" s="237">
        <f t="shared" si="416"/>
        <v>38</v>
      </c>
      <c r="CI199" s="253">
        <f t="shared" si="417"/>
        <v>4.0666935483870965</v>
      </c>
      <c r="CJ199" s="253" cm="1">
        <f t="array" ref="CJ199">$BC199 * IF($AD199&lt;=2,
SUMPRODUCT(INDEX($AL$67:$AN$71,,$AE199), INDEX($AO$67:$AU$71,,$AD199), 1 / ($AV$67:$AV$71*CI199 + (1-$AV$67:$AV$71)*CE199), N($AK$67:$AK$71&gt;$AI199)),
SUMPRODUCT(INDEX($AL$57:$AN$66,,$AE199), INDEX($AO$57:$AU$66,,$AD199), 1 / ($AW$57:$AW$66*CI199 + (1-$AW$57:$AW$66)*CE199), N($AK$57:$AK$66&gt;$AI199))
) / 1000</f>
        <v>0</v>
      </c>
      <c r="CK199" s="250">
        <f t="shared" si="263"/>
        <v>20</v>
      </c>
      <c r="CL199" s="237">
        <f t="shared" si="418"/>
        <v>33</v>
      </c>
      <c r="CM199" s="253">
        <f t="shared" si="419"/>
        <v>4.8487499999999999</v>
      </c>
      <c r="CN199" s="253" cm="1">
        <f t="array" ref="CN199">$BC199 * IF($AD199&lt;=2,
SUMPRODUCT(INDEX($AL$62:$AN$66,,$AE199), INDEX($AO$62:$AU$66,,$AD199), 1 / ($AV$62:$AV$66*CM199 + (1-$AV$62:$AV$66)*CI199), N($AK$62:$AK$66&gt;$AI199)),
SUMPRODUCT(INDEX($AL$47:$AN$56,,$AE199), INDEX($AO$47:$AU$56,,$AD199), 1 / ($AW$47:$AW$56*CM199 + (1-$AW$47:$AW$56)*CI199), N($AK$47:$AK$56&gt;$AI199))
) / 1000</f>
        <v>0</v>
      </c>
      <c r="CO199" s="253" cm="1">
        <f t="array" ref="CO199">$BC199 * IF($AD199&lt;=2,
SUMPRODUCT(INDEX($AL$23:$AN$61,,$AE199), INDEX($AO$23:$AU$61,,$AD199), 1 / ($AV$23:$AV$61*CM199), N($AK$23:$AK$61&gt;$AI199)),
SUMPRODUCT(INDEX($AL$23:$AN$46,,$AE199), INDEX($AO$23:$AU$46,,$AD199), 1 / ($AW$23:$AW$46*CM199), N($AK$23:$AK$46&gt;$AI199))
) / 1000</f>
        <v>0</v>
      </c>
      <c r="CP199" s="237">
        <f t="shared" si="420"/>
        <v>0</v>
      </c>
      <c r="CQ199" s="210"/>
    </row>
    <row r="200" spans="1:95" s="76" customFormat="1" ht="14.25" customHeight="1" x14ac:dyDescent="0.2">
      <c r="A200" s="238" t="b">
        <f t="shared" si="227"/>
        <v>0</v>
      </c>
      <c r="B200" s="239">
        <v>178</v>
      </c>
      <c r="C200" s="258"/>
      <c r="D200" s="258"/>
      <c r="E200" s="240"/>
      <c r="F200" s="241" t="str">
        <f>IF(ISBLANK(E200), "", VLOOKUP(E200, Z!$A$2:$C$4127, 3, FALSE))</f>
        <v/>
      </c>
      <c r="G200" s="242"/>
      <c r="H200" s="242"/>
      <c r="I200" s="243"/>
      <c r="J200" s="244"/>
      <c r="K200" s="259"/>
      <c r="L200" s="260"/>
      <c r="M200" s="247" t="str" cm="1">
        <f t="array" ref="M200">IF($K200&gt;0, INDEX(Clean,1+AG200,$C$1), "")</f>
        <v/>
      </c>
      <c r="N200" s="245"/>
      <c r="O200" s="245"/>
      <c r="P200" s="246"/>
      <c r="Q200" s="248">
        <f t="shared" si="397"/>
        <v>0</v>
      </c>
      <c r="R200" s="247" t="str" cm="1">
        <f t="array" ref="R200">IF($K200&gt;0, INDEX(Clean,1+AH200,$C$1), "")</f>
        <v/>
      </c>
      <c r="S200" s="245"/>
      <c r="T200" s="245"/>
      <c r="U200" s="246"/>
      <c r="V200" s="248">
        <f t="shared" si="398"/>
        <v>0</v>
      </c>
      <c r="W200" s="261"/>
      <c r="X200" s="258"/>
      <c r="Y200" s="240"/>
      <c r="Z200" s="241" t="str">
        <f>IF(ISBLANK(Y200), "", VLOOKUP(Y200, Z!$A$2:$C$4127, 3, FALSE))</f>
        <v/>
      </c>
      <c r="AA200" s="262"/>
      <c r="AB200" s="249">
        <f t="shared" si="396"/>
        <v>0</v>
      </c>
      <c r="AC200" s="210"/>
      <c r="AD200" s="236">
        <f t="shared" si="421"/>
        <v>1</v>
      </c>
      <c r="AE200" s="236">
        <f t="shared" si="422"/>
        <v>1</v>
      </c>
      <c r="AF200" s="236">
        <f t="shared" si="423"/>
        <v>0</v>
      </c>
      <c r="AG200" s="236">
        <v>1</v>
      </c>
      <c r="AH200" s="236">
        <v>0</v>
      </c>
      <c r="AI200" s="236">
        <f t="shared" si="399"/>
        <v>-100</v>
      </c>
      <c r="AJ200" s="210"/>
      <c r="AK200" s="254"/>
      <c r="AL200" s="254"/>
      <c r="AM200" s="255"/>
      <c r="AN200" s="255"/>
      <c r="AO200" s="255"/>
      <c r="AP200" s="255"/>
      <c r="AQ200" s="255"/>
      <c r="AR200" s="255"/>
      <c r="AS200" s="255"/>
      <c r="AT200" s="255"/>
      <c r="AU200" s="255"/>
      <c r="AV200" s="255"/>
      <c r="AW200" s="255"/>
      <c r="AX200" s="210"/>
      <c r="AY200" s="236" cm="1">
        <f t="array" ref="AY200">INDEX(Use, $AD200, 4)</f>
        <v>7</v>
      </c>
      <c r="AZ200" s="236">
        <f t="shared" si="400"/>
        <v>32</v>
      </c>
      <c r="BA200" s="236">
        <f t="shared" si="239"/>
        <v>13</v>
      </c>
      <c r="BB200" s="236">
        <f t="shared" si="240"/>
        <v>0</v>
      </c>
      <c r="BC200" s="252" cm="1">
        <f t="array" ref="BC200">K200/IF($L200&gt;0, INDEX($AO$23:$AU$77, $L200+20, $AD200), 1)</f>
        <v>0</v>
      </c>
      <c r="BD200" s="237">
        <f t="shared" si="401"/>
        <v>0</v>
      </c>
      <c r="BE200" s="236">
        <v>35</v>
      </c>
      <c r="BF200" s="237">
        <f t="shared" si="402"/>
        <v>52.55</v>
      </c>
      <c r="BG200" s="253">
        <f t="shared" si="403"/>
        <v>2.7676728869374316</v>
      </c>
      <c r="BH200" s="253" cm="1">
        <f t="array" ref="BH200">$BC200 * SUMPRODUCT(INDEX($AL$77:$AN$82,,$AE200),INDEX($AO$77:$AU$82,,$AD200), N($AK$77:$AK$82&gt;$AI200)) / BG200 / 1000</f>
        <v>0</v>
      </c>
      <c r="BI200" s="250">
        <f t="shared" si="244"/>
        <v>30</v>
      </c>
      <c r="BJ200" s="237">
        <f t="shared" si="404"/>
        <v>46.033333333333331</v>
      </c>
      <c r="BK200" s="253">
        <f t="shared" si="405"/>
        <v>3.2297395388556791</v>
      </c>
      <c r="BL200" s="253" cm="1">
        <f t="array" ref="BL200">$BC200 * IF($AD200&lt;=2,
SUMPRODUCT(INDEX($AL$72:$AN$76,,$AE200), INDEX($AO$72:$AU$76,,$AD200), 1 / ($AV$72:$AV$76*BK200 + (1-$AV$72:$AV$76)*BG200), N($AK$72:$AK$76&gt;$AI200)),
SUMPRODUCT(INDEX($AL$67:$AN$76,,$AE200), INDEX($AO$67:$AU$76,,$AD200), 1 / ($AW$67:$AW$76*BK200 + (1-$AW$67:$AW$76)*BG200), N($AK$67:$AK$76&gt;$AI200))
) / 1000</f>
        <v>0</v>
      </c>
      <c r="BM200" s="250">
        <f t="shared" si="247"/>
        <v>25</v>
      </c>
      <c r="BN200" s="237">
        <f t="shared" si="406"/>
        <v>39.516666666666666</v>
      </c>
      <c r="BO200" s="253">
        <f t="shared" si="407"/>
        <v>3.877011788826243</v>
      </c>
      <c r="BP200" s="253" cm="1">
        <f t="array" ref="BP200">$BC200 * IF($AD200&lt;=2,
SUMPRODUCT(INDEX($AL$67:$AN$71,,$AE200), INDEX($AO$67:$AU$71,,$AD200), 1 / ($AV$67:$AV$71*BO200 + (1-$AV$67:$AV$71)*BK200), N($AK$67:$AK$71&gt;$AI200)),
SUMPRODUCT(INDEX($AL$57:$AN$66,,$AE200), INDEX($AO$57:$AU$66,,$AD200), 1 / ($AW$57:$AW$66*BO200 + (1-$AW$57:$AW$66)*BK200), N($AK$57:$AK$66&gt;$AI200))
) / 1000</f>
        <v>0</v>
      </c>
      <c r="BQ200" s="250">
        <f t="shared" si="250"/>
        <v>20</v>
      </c>
      <c r="BR200" s="237">
        <f t="shared" si="408"/>
        <v>33</v>
      </c>
      <c r="BS200" s="253">
        <f t="shared" si="409"/>
        <v>4.8487499999999999</v>
      </c>
      <c r="BT200" s="253" cm="1">
        <f t="array" ref="BT200">$BC200 * IF($AD200&lt;=2,
SUMPRODUCT(INDEX($AL$62:$AN$66,,$AE200), INDEX($AO$62:$AU$66,,$AD200), 1 / ($AV$62:$AV$66*BS200 + (1-$AV$62:$AV$66)*BO200), N($AK$62:$AK$66&gt;$AI200)),
SUMPRODUCT(INDEX($AL$47:$AN$56,,$AE200), INDEX($AO$47:$AU$56,,$AD200), 1 / ($AW$47:$AW$56*BS200 + (1-$AW$47:$AW$56)*BO200), N($AK$47:$AK$56&gt;$AI200))
) / 1000</f>
        <v>0</v>
      </c>
      <c r="BU200" s="253" cm="1">
        <f t="array" ref="BU200">$BC200 * IF($AD200&lt;=2,
SUMPRODUCT(INDEX($AL$23:$AN$61,,$AE200), INDEX($AO$23:$AU$61,,$AD200), 1 / ($AV$23:$AV$61*BS200), N($AK$23:$AK$61&gt;$AI200)),
SUMPRODUCT(INDEX($AL$23:$AN$46,,$AE200), INDEX($AO$23:$AU$46,,$AD200), 1 / ($AW$23:$AW$46*BS200), N($AK$23:$AK$46&gt;$AI200))
) / 1000</f>
        <v>0</v>
      </c>
      <c r="BV200" s="237">
        <f t="shared" si="410"/>
        <v>0</v>
      </c>
      <c r="BW200" s="210"/>
      <c r="BX200" s="237">
        <f t="shared" si="411"/>
        <v>0</v>
      </c>
      <c r="BY200" s="236">
        <v>35</v>
      </c>
      <c r="BZ200" s="237">
        <f t="shared" si="412"/>
        <v>48</v>
      </c>
      <c r="CA200" s="253">
        <f t="shared" si="413"/>
        <v>3.0748170731707316</v>
      </c>
      <c r="CB200" s="253" cm="1">
        <f t="array" ref="CB200">$BC200 * SUMPRODUCT(INDEX($AL$77:$AN$82,,$AE200),INDEX($AO$77:$AU$82,,$AD200), N($AK$77:$AK$82&gt;$AI200)) / CA200 / 1000</f>
        <v>0</v>
      </c>
      <c r="CC200" s="250">
        <f t="shared" si="257"/>
        <v>30</v>
      </c>
      <c r="CD200" s="237">
        <f t="shared" si="414"/>
        <v>43</v>
      </c>
      <c r="CE200" s="253">
        <f t="shared" si="415"/>
        <v>3.5018750000000001</v>
      </c>
      <c r="CF200" s="253" cm="1">
        <f t="array" ref="CF200">$BC200 * IF($AD200&lt;=2,
SUMPRODUCT(INDEX($AL$72:$AN$76,,$AE200), INDEX($AO$72:$AU$76,,$AD200), 1 / ($AV$72:$AV$76*CE200 + (1-$AV$72:$AV$76)*CA200), N($AK$72:$AK$76&gt;$AI200)),
SUMPRODUCT(INDEX($AL$67:$AN$76,,$AE200), INDEX($AO$67:$AU$76,,$AD200), 1 / ($AW$67:$AW$76*CE200 + (1-$AW$67:$AW$76)*CA200), N($AK$67:$AK$76&gt;$AI200))
) / 1000</f>
        <v>0</v>
      </c>
      <c r="CG200" s="250">
        <f t="shared" si="260"/>
        <v>25</v>
      </c>
      <c r="CH200" s="237">
        <f t="shared" si="416"/>
        <v>38</v>
      </c>
      <c r="CI200" s="253">
        <f t="shared" si="417"/>
        <v>4.0666935483870965</v>
      </c>
      <c r="CJ200" s="253" cm="1">
        <f t="array" ref="CJ200">$BC200 * IF($AD200&lt;=2,
SUMPRODUCT(INDEX($AL$67:$AN$71,,$AE200), INDEX($AO$67:$AU$71,,$AD200), 1 / ($AV$67:$AV$71*CI200 + (1-$AV$67:$AV$71)*CE200), N($AK$67:$AK$71&gt;$AI200)),
SUMPRODUCT(INDEX($AL$57:$AN$66,,$AE200), INDEX($AO$57:$AU$66,,$AD200), 1 / ($AW$57:$AW$66*CI200 + (1-$AW$57:$AW$66)*CE200), N($AK$57:$AK$66&gt;$AI200))
) / 1000</f>
        <v>0</v>
      </c>
      <c r="CK200" s="250">
        <f t="shared" si="263"/>
        <v>20</v>
      </c>
      <c r="CL200" s="237">
        <f t="shared" si="418"/>
        <v>33</v>
      </c>
      <c r="CM200" s="253">
        <f t="shared" si="419"/>
        <v>4.8487499999999999</v>
      </c>
      <c r="CN200" s="253" cm="1">
        <f t="array" ref="CN200">$BC200 * IF($AD200&lt;=2,
SUMPRODUCT(INDEX($AL$62:$AN$66,,$AE200), INDEX($AO$62:$AU$66,,$AD200), 1 / ($AV$62:$AV$66*CM200 + (1-$AV$62:$AV$66)*CI200), N($AK$62:$AK$66&gt;$AI200)),
SUMPRODUCT(INDEX($AL$47:$AN$56,,$AE200), INDEX($AO$47:$AU$56,,$AD200), 1 / ($AW$47:$AW$56*CM200 + (1-$AW$47:$AW$56)*CI200), N($AK$47:$AK$56&gt;$AI200))
) / 1000</f>
        <v>0</v>
      </c>
      <c r="CO200" s="253" cm="1">
        <f t="array" ref="CO200">$BC200 * IF($AD200&lt;=2,
SUMPRODUCT(INDEX($AL$23:$AN$61,,$AE200), INDEX($AO$23:$AU$61,,$AD200), 1 / ($AV$23:$AV$61*CM200), N($AK$23:$AK$61&gt;$AI200)),
SUMPRODUCT(INDEX($AL$23:$AN$46,,$AE200), INDEX($AO$23:$AU$46,,$AD200), 1 / ($AW$23:$AW$46*CM200), N($AK$23:$AK$46&gt;$AI200))
) / 1000</f>
        <v>0</v>
      </c>
      <c r="CP200" s="237">
        <f t="shared" si="420"/>
        <v>0</v>
      </c>
      <c r="CQ200" s="210"/>
    </row>
    <row r="201" spans="1:95" s="76" customFormat="1" ht="14.25" customHeight="1" x14ac:dyDescent="0.2">
      <c r="A201" s="238" t="b">
        <f t="shared" si="227"/>
        <v>0</v>
      </c>
      <c r="B201" s="239">
        <v>179</v>
      </c>
      <c r="C201" s="258"/>
      <c r="D201" s="258"/>
      <c r="E201" s="240"/>
      <c r="F201" s="241" t="str">
        <f>IF(ISBLANK(E201), "", VLOOKUP(E201, Z!$A$2:$C$4127, 3, FALSE))</f>
        <v/>
      </c>
      <c r="G201" s="242"/>
      <c r="H201" s="242"/>
      <c r="I201" s="243"/>
      <c r="J201" s="244"/>
      <c r="K201" s="259"/>
      <c r="L201" s="260"/>
      <c r="M201" s="247" t="str" cm="1">
        <f t="array" ref="M201">IF($K201&gt;0, INDEX(Clean,1+AG201,$C$1), "")</f>
        <v/>
      </c>
      <c r="N201" s="245"/>
      <c r="O201" s="245"/>
      <c r="P201" s="246"/>
      <c r="Q201" s="248">
        <f t="shared" si="397"/>
        <v>0</v>
      </c>
      <c r="R201" s="247" t="str" cm="1">
        <f t="array" ref="R201">IF($K201&gt;0, INDEX(Clean,1+AH201,$C$1), "")</f>
        <v/>
      </c>
      <c r="S201" s="245"/>
      <c r="T201" s="245"/>
      <c r="U201" s="246"/>
      <c r="V201" s="248">
        <f t="shared" si="398"/>
        <v>0</v>
      </c>
      <c r="W201" s="261"/>
      <c r="X201" s="258"/>
      <c r="Y201" s="240"/>
      <c r="Z201" s="241" t="str">
        <f>IF(ISBLANK(Y201), "", VLOOKUP(Y201, Z!$A$2:$C$4127, 3, FALSE))</f>
        <v/>
      </c>
      <c r="AA201" s="262"/>
      <c r="AB201" s="249">
        <f t="shared" si="396"/>
        <v>0</v>
      </c>
      <c r="AC201" s="210"/>
      <c r="AD201" s="236">
        <f t="shared" si="421"/>
        <v>1</v>
      </c>
      <c r="AE201" s="236">
        <f t="shared" si="422"/>
        <v>1</v>
      </c>
      <c r="AF201" s="236">
        <f t="shared" si="423"/>
        <v>0</v>
      </c>
      <c r="AG201" s="236">
        <v>1</v>
      </c>
      <c r="AH201" s="236">
        <v>0</v>
      </c>
      <c r="AI201" s="236">
        <f t="shared" si="399"/>
        <v>-100</v>
      </c>
      <c r="AJ201" s="210"/>
      <c r="AK201" s="254"/>
      <c r="AL201" s="254"/>
      <c r="AM201" s="255"/>
      <c r="AN201" s="255"/>
      <c r="AO201" s="255"/>
      <c r="AP201" s="255"/>
      <c r="AQ201" s="255"/>
      <c r="AR201" s="255"/>
      <c r="AS201" s="255"/>
      <c r="AT201" s="255"/>
      <c r="AU201" s="255"/>
      <c r="AV201" s="255"/>
      <c r="AW201" s="255"/>
      <c r="AX201" s="210"/>
      <c r="AY201" s="236" cm="1">
        <f t="array" ref="AY201">INDEX(Use, $AD201, 4)</f>
        <v>7</v>
      </c>
      <c r="AZ201" s="236">
        <f t="shared" si="400"/>
        <v>32</v>
      </c>
      <c r="BA201" s="236">
        <f t="shared" si="239"/>
        <v>13</v>
      </c>
      <c r="BB201" s="236">
        <f t="shared" si="240"/>
        <v>0</v>
      </c>
      <c r="BC201" s="252" cm="1">
        <f t="array" ref="BC201">K201/IF($L201&gt;0, INDEX($AO$23:$AU$77, $L201+20, $AD201), 1)</f>
        <v>0</v>
      </c>
      <c r="BD201" s="237">
        <f t="shared" si="401"/>
        <v>0</v>
      </c>
      <c r="BE201" s="236">
        <v>35</v>
      </c>
      <c r="BF201" s="237">
        <f t="shared" si="402"/>
        <v>52.55</v>
      </c>
      <c r="BG201" s="253">
        <f t="shared" si="403"/>
        <v>2.7676728869374316</v>
      </c>
      <c r="BH201" s="253" cm="1">
        <f t="array" ref="BH201">$BC201 * SUMPRODUCT(INDEX($AL$77:$AN$82,,$AE201),INDEX($AO$77:$AU$82,,$AD201), N($AK$77:$AK$82&gt;$AI201)) / BG201 / 1000</f>
        <v>0</v>
      </c>
      <c r="BI201" s="250">
        <f t="shared" si="244"/>
        <v>30</v>
      </c>
      <c r="BJ201" s="237">
        <f t="shared" si="404"/>
        <v>46.033333333333331</v>
      </c>
      <c r="BK201" s="253">
        <f t="shared" si="405"/>
        <v>3.2297395388556791</v>
      </c>
      <c r="BL201" s="253" cm="1">
        <f t="array" ref="BL201">$BC201 * IF($AD201&lt;=2,
SUMPRODUCT(INDEX($AL$72:$AN$76,,$AE201), INDEX($AO$72:$AU$76,,$AD201), 1 / ($AV$72:$AV$76*BK201 + (1-$AV$72:$AV$76)*BG201), N($AK$72:$AK$76&gt;$AI201)),
SUMPRODUCT(INDEX($AL$67:$AN$76,,$AE201), INDEX($AO$67:$AU$76,,$AD201), 1 / ($AW$67:$AW$76*BK201 + (1-$AW$67:$AW$76)*BG201), N($AK$67:$AK$76&gt;$AI201))
) / 1000</f>
        <v>0</v>
      </c>
      <c r="BM201" s="250">
        <f t="shared" si="247"/>
        <v>25</v>
      </c>
      <c r="BN201" s="237">
        <f t="shared" si="406"/>
        <v>39.516666666666666</v>
      </c>
      <c r="BO201" s="253">
        <f t="shared" si="407"/>
        <v>3.877011788826243</v>
      </c>
      <c r="BP201" s="253" cm="1">
        <f t="array" ref="BP201">$BC201 * IF($AD201&lt;=2,
SUMPRODUCT(INDEX($AL$67:$AN$71,,$AE201), INDEX($AO$67:$AU$71,,$AD201), 1 / ($AV$67:$AV$71*BO201 + (1-$AV$67:$AV$71)*BK201), N($AK$67:$AK$71&gt;$AI201)),
SUMPRODUCT(INDEX($AL$57:$AN$66,,$AE201), INDEX($AO$57:$AU$66,,$AD201), 1 / ($AW$57:$AW$66*BO201 + (1-$AW$57:$AW$66)*BK201), N($AK$57:$AK$66&gt;$AI201))
) / 1000</f>
        <v>0</v>
      </c>
      <c r="BQ201" s="250">
        <f t="shared" si="250"/>
        <v>20</v>
      </c>
      <c r="BR201" s="237">
        <f t="shared" si="408"/>
        <v>33</v>
      </c>
      <c r="BS201" s="253">
        <f t="shared" si="409"/>
        <v>4.8487499999999999</v>
      </c>
      <c r="BT201" s="253" cm="1">
        <f t="array" ref="BT201">$BC201 * IF($AD201&lt;=2,
SUMPRODUCT(INDEX($AL$62:$AN$66,,$AE201), INDEX($AO$62:$AU$66,,$AD201), 1 / ($AV$62:$AV$66*BS201 + (1-$AV$62:$AV$66)*BO201), N($AK$62:$AK$66&gt;$AI201)),
SUMPRODUCT(INDEX($AL$47:$AN$56,,$AE201), INDEX($AO$47:$AU$56,,$AD201), 1 / ($AW$47:$AW$56*BS201 + (1-$AW$47:$AW$56)*BO201), N($AK$47:$AK$56&gt;$AI201))
) / 1000</f>
        <v>0</v>
      </c>
      <c r="BU201" s="253" cm="1">
        <f t="array" ref="BU201">$BC201 * IF($AD201&lt;=2,
SUMPRODUCT(INDEX($AL$23:$AN$61,,$AE201), INDEX($AO$23:$AU$61,,$AD201), 1 / ($AV$23:$AV$61*BS201), N($AK$23:$AK$61&gt;$AI201)),
SUMPRODUCT(INDEX($AL$23:$AN$46,,$AE201), INDEX($AO$23:$AU$46,,$AD201), 1 / ($AW$23:$AW$46*BS201), N($AK$23:$AK$46&gt;$AI201))
) / 1000</f>
        <v>0</v>
      </c>
      <c r="BV201" s="237">
        <f t="shared" si="410"/>
        <v>0</v>
      </c>
      <c r="BW201" s="210"/>
      <c r="BX201" s="237">
        <f t="shared" si="411"/>
        <v>0</v>
      </c>
      <c r="BY201" s="236">
        <v>35</v>
      </c>
      <c r="BZ201" s="237">
        <f t="shared" si="412"/>
        <v>48</v>
      </c>
      <c r="CA201" s="253">
        <f t="shared" si="413"/>
        <v>3.0748170731707316</v>
      </c>
      <c r="CB201" s="253" cm="1">
        <f t="array" ref="CB201">$BC201 * SUMPRODUCT(INDEX($AL$77:$AN$82,,$AE201),INDEX($AO$77:$AU$82,,$AD201), N($AK$77:$AK$82&gt;$AI201)) / CA201 / 1000</f>
        <v>0</v>
      </c>
      <c r="CC201" s="250">
        <f t="shared" si="257"/>
        <v>30</v>
      </c>
      <c r="CD201" s="237">
        <f t="shared" si="414"/>
        <v>43</v>
      </c>
      <c r="CE201" s="253">
        <f t="shared" si="415"/>
        <v>3.5018750000000001</v>
      </c>
      <c r="CF201" s="253" cm="1">
        <f t="array" ref="CF201">$BC201 * IF($AD201&lt;=2,
SUMPRODUCT(INDEX($AL$72:$AN$76,,$AE201), INDEX($AO$72:$AU$76,,$AD201), 1 / ($AV$72:$AV$76*CE201 + (1-$AV$72:$AV$76)*CA201), N($AK$72:$AK$76&gt;$AI201)),
SUMPRODUCT(INDEX($AL$67:$AN$76,,$AE201), INDEX($AO$67:$AU$76,,$AD201), 1 / ($AW$67:$AW$76*CE201 + (1-$AW$67:$AW$76)*CA201), N($AK$67:$AK$76&gt;$AI201))
) / 1000</f>
        <v>0</v>
      </c>
      <c r="CG201" s="250">
        <f t="shared" si="260"/>
        <v>25</v>
      </c>
      <c r="CH201" s="237">
        <f t="shared" si="416"/>
        <v>38</v>
      </c>
      <c r="CI201" s="253">
        <f t="shared" si="417"/>
        <v>4.0666935483870965</v>
      </c>
      <c r="CJ201" s="253" cm="1">
        <f t="array" ref="CJ201">$BC201 * IF($AD201&lt;=2,
SUMPRODUCT(INDEX($AL$67:$AN$71,,$AE201), INDEX($AO$67:$AU$71,,$AD201), 1 / ($AV$67:$AV$71*CI201 + (1-$AV$67:$AV$71)*CE201), N($AK$67:$AK$71&gt;$AI201)),
SUMPRODUCT(INDEX($AL$57:$AN$66,,$AE201), INDEX($AO$57:$AU$66,,$AD201), 1 / ($AW$57:$AW$66*CI201 + (1-$AW$57:$AW$66)*CE201), N($AK$57:$AK$66&gt;$AI201))
) / 1000</f>
        <v>0</v>
      </c>
      <c r="CK201" s="250">
        <f t="shared" si="263"/>
        <v>20</v>
      </c>
      <c r="CL201" s="237">
        <f t="shared" si="418"/>
        <v>33</v>
      </c>
      <c r="CM201" s="253">
        <f t="shared" si="419"/>
        <v>4.8487499999999999</v>
      </c>
      <c r="CN201" s="253" cm="1">
        <f t="array" ref="CN201">$BC201 * IF($AD201&lt;=2,
SUMPRODUCT(INDEX($AL$62:$AN$66,,$AE201), INDEX($AO$62:$AU$66,,$AD201), 1 / ($AV$62:$AV$66*CM201 + (1-$AV$62:$AV$66)*CI201), N($AK$62:$AK$66&gt;$AI201)),
SUMPRODUCT(INDEX($AL$47:$AN$56,,$AE201), INDEX($AO$47:$AU$56,,$AD201), 1 / ($AW$47:$AW$56*CM201 + (1-$AW$47:$AW$56)*CI201), N($AK$47:$AK$56&gt;$AI201))
) / 1000</f>
        <v>0</v>
      </c>
      <c r="CO201" s="253" cm="1">
        <f t="array" ref="CO201">$BC201 * IF($AD201&lt;=2,
SUMPRODUCT(INDEX($AL$23:$AN$61,,$AE201), INDEX($AO$23:$AU$61,,$AD201), 1 / ($AV$23:$AV$61*CM201), N($AK$23:$AK$61&gt;$AI201)),
SUMPRODUCT(INDEX($AL$23:$AN$46,,$AE201), INDEX($AO$23:$AU$46,,$AD201), 1 / ($AW$23:$AW$46*CM201), N($AK$23:$AK$46&gt;$AI201))
) / 1000</f>
        <v>0</v>
      </c>
      <c r="CP201" s="237">
        <f t="shared" si="420"/>
        <v>0</v>
      </c>
      <c r="CQ201" s="210"/>
    </row>
    <row r="202" spans="1:95" s="76" customFormat="1" ht="14.25" customHeight="1" x14ac:dyDescent="0.2">
      <c r="A202" s="238" t="b">
        <f t="shared" si="227"/>
        <v>0</v>
      </c>
      <c r="B202" s="239">
        <v>180</v>
      </c>
      <c r="C202" s="258"/>
      <c r="D202" s="258"/>
      <c r="E202" s="240"/>
      <c r="F202" s="241" t="str">
        <f>IF(ISBLANK(E202), "", VLOOKUP(E202, Z!$A$2:$C$4127, 3, FALSE))</f>
        <v/>
      </c>
      <c r="G202" s="242"/>
      <c r="H202" s="242"/>
      <c r="I202" s="243"/>
      <c r="J202" s="244"/>
      <c r="K202" s="259"/>
      <c r="L202" s="260"/>
      <c r="M202" s="247" t="str" cm="1">
        <f t="array" ref="M202">IF($K202&gt;0, INDEX(Clean,1+AG202,$C$1), "")</f>
        <v/>
      </c>
      <c r="N202" s="245"/>
      <c r="O202" s="245"/>
      <c r="P202" s="246"/>
      <c r="Q202" s="248">
        <f t="shared" si="397"/>
        <v>0</v>
      </c>
      <c r="R202" s="247" t="str" cm="1">
        <f t="array" ref="R202">IF($K202&gt;0, INDEX(Clean,1+AH202,$C$1), "")</f>
        <v/>
      </c>
      <c r="S202" s="245"/>
      <c r="T202" s="245"/>
      <c r="U202" s="246"/>
      <c r="V202" s="248">
        <f t="shared" si="398"/>
        <v>0</v>
      </c>
      <c r="W202" s="261"/>
      <c r="X202" s="258"/>
      <c r="Y202" s="240"/>
      <c r="Z202" s="241" t="str">
        <f>IF(ISBLANK(Y202), "", VLOOKUP(Y202, Z!$A$2:$C$4127, 3, FALSE))</f>
        <v/>
      </c>
      <c r="AA202" s="262"/>
      <c r="AB202" s="249">
        <f t="shared" si="396"/>
        <v>0</v>
      </c>
      <c r="AC202" s="210"/>
      <c r="AD202" s="236">
        <f t="shared" si="421"/>
        <v>1</v>
      </c>
      <c r="AE202" s="236">
        <f t="shared" si="422"/>
        <v>1</v>
      </c>
      <c r="AF202" s="236">
        <f t="shared" si="423"/>
        <v>0</v>
      </c>
      <c r="AG202" s="236">
        <v>1</v>
      </c>
      <c r="AH202" s="236">
        <v>0</v>
      </c>
      <c r="AI202" s="236">
        <f t="shared" si="399"/>
        <v>-100</v>
      </c>
      <c r="AJ202" s="210"/>
      <c r="AK202" s="254"/>
      <c r="AL202" s="254"/>
      <c r="AM202" s="255"/>
      <c r="AN202" s="255"/>
      <c r="AO202" s="255"/>
      <c r="AP202" s="255"/>
      <c r="AQ202" s="255"/>
      <c r="AR202" s="255"/>
      <c r="AS202" s="255"/>
      <c r="AT202" s="255"/>
      <c r="AU202" s="255"/>
      <c r="AV202" s="255"/>
      <c r="AW202" s="255"/>
      <c r="AX202" s="210"/>
      <c r="AY202" s="236" cm="1">
        <f t="array" ref="AY202">INDEX(Use, $AD202, 4)</f>
        <v>7</v>
      </c>
      <c r="AZ202" s="236">
        <f t="shared" si="400"/>
        <v>32</v>
      </c>
      <c r="BA202" s="236">
        <f t="shared" si="239"/>
        <v>13</v>
      </c>
      <c r="BB202" s="236">
        <f t="shared" si="240"/>
        <v>0</v>
      </c>
      <c r="BC202" s="252" cm="1">
        <f t="array" ref="BC202">K202/IF($L202&gt;0, INDEX($AO$23:$AU$77, $L202+20, $AD202), 1)</f>
        <v>0</v>
      </c>
      <c r="BD202" s="237">
        <f t="shared" si="401"/>
        <v>0</v>
      </c>
      <c r="BE202" s="236">
        <v>35</v>
      </c>
      <c r="BF202" s="237">
        <f t="shared" si="402"/>
        <v>52.55</v>
      </c>
      <c r="BG202" s="253">
        <f t="shared" si="403"/>
        <v>2.7676728869374316</v>
      </c>
      <c r="BH202" s="253" cm="1">
        <f t="array" ref="BH202">$BC202 * SUMPRODUCT(INDEX($AL$77:$AN$82,,$AE202),INDEX($AO$77:$AU$82,,$AD202), N($AK$77:$AK$82&gt;$AI202)) / BG202 / 1000</f>
        <v>0</v>
      </c>
      <c r="BI202" s="250">
        <f t="shared" si="244"/>
        <v>30</v>
      </c>
      <c r="BJ202" s="237">
        <f t="shared" si="404"/>
        <v>46.033333333333331</v>
      </c>
      <c r="BK202" s="253">
        <f t="shared" si="405"/>
        <v>3.2297395388556791</v>
      </c>
      <c r="BL202" s="253" cm="1">
        <f t="array" ref="BL202">$BC202 * IF($AD202&lt;=2,
SUMPRODUCT(INDEX($AL$72:$AN$76,,$AE202), INDEX($AO$72:$AU$76,,$AD202), 1 / ($AV$72:$AV$76*BK202 + (1-$AV$72:$AV$76)*BG202), N($AK$72:$AK$76&gt;$AI202)),
SUMPRODUCT(INDEX($AL$67:$AN$76,,$AE202), INDEX($AO$67:$AU$76,,$AD202), 1 / ($AW$67:$AW$76*BK202 + (1-$AW$67:$AW$76)*BG202), N($AK$67:$AK$76&gt;$AI202))
) / 1000</f>
        <v>0</v>
      </c>
      <c r="BM202" s="250">
        <f t="shared" si="247"/>
        <v>25</v>
      </c>
      <c r="BN202" s="237">
        <f t="shared" si="406"/>
        <v>39.516666666666666</v>
      </c>
      <c r="BO202" s="253">
        <f t="shared" si="407"/>
        <v>3.877011788826243</v>
      </c>
      <c r="BP202" s="253" cm="1">
        <f t="array" ref="BP202">$BC202 * IF($AD202&lt;=2,
SUMPRODUCT(INDEX($AL$67:$AN$71,,$AE202), INDEX($AO$67:$AU$71,,$AD202), 1 / ($AV$67:$AV$71*BO202 + (1-$AV$67:$AV$71)*BK202), N($AK$67:$AK$71&gt;$AI202)),
SUMPRODUCT(INDEX($AL$57:$AN$66,,$AE202), INDEX($AO$57:$AU$66,,$AD202), 1 / ($AW$57:$AW$66*BO202 + (1-$AW$57:$AW$66)*BK202), N($AK$57:$AK$66&gt;$AI202))
) / 1000</f>
        <v>0</v>
      </c>
      <c r="BQ202" s="250">
        <f t="shared" si="250"/>
        <v>20</v>
      </c>
      <c r="BR202" s="237">
        <f t="shared" si="408"/>
        <v>33</v>
      </c>
      <c r="BS202" s="253">
        <f t="shared" si="409"/>
        <v>4.8487499999999999</v>
      </c>
      <c r="BT202" s="253" cm="1">
        <f t="array" ref="BT202">$BC202 * IF($AD202&lt;=2,
SUMPRODUCT(INDEX($AL$62:$AN$66,,$AE202), INDEX($AO$62:$AU$66,,$AD202), 1 / ($AV$62:$AV$66*BS202 + (1-$AV$62:$AV$66)*BO202), N($AK$62:$AK$66&gt;$AI202)),
SUMPRODUCT(INDEX($AL$47:$AN$56,,$AE202), INDEX($AO$47:$AU$56,,$AD202), 1 / ($AW$47:$AW$56*BS202 + (1-$AW$47:$AW$56)*BO202), N($AK$47:$AK$56&gt;$AI202))
) / 1000</f>
        <v>0</v>
      </c>
      <c r="BU202" s="253" cm="1">
        <f t="array" ref="BU202">$BC202 * IF($AD202&lt;=2,
SUMPRODUCT(INDEX($AL$23:$AN$61,,$AE202), INDEX($AO$23:$AU$61,,$AD202), 1 / ($AV$23:$AV$61*BS202), N($AK$23:$AK$61&gt;$AI202)),
SUMPRODUCT(INDEX($AL$23:$AN$46,,$AE202), INDEX($AO$23:$AU$46,,$AD202), 1 / ($AW$23:$AW$46*BS202), N($AK$23:$AK$46&gt;$AI202))
) / 1000</f>
        <v>0</v>
      </c>
      <c r="BV202" s="237">
        <f t="shared" si="410"/>
        <v>0</v>
      </c>
      <c r="BW202" s="210"/>
      <c r="BX202" s="237">
        <f t="shared" si="411"/>
        <v>0</v>
      </c>
      <c r="BY202" s="236">
        <v>35</v>
      </c>
      <c r="BZ202" s="237">
        <f t="shared" si="412"/>
        <v>48</v>
      </c>
      <c r="CA202" s="253">
        <f t="shared" si="413"/>
        <v>3.0748170731707316</v>
      </c>
      <c r="CB202" s="253" cm="1">
        <f t="array" ref="CB202">$BC202 * SUMPRODUCT(INDEX($AL$77:$AN$82,,$AE202),INDEX($AO$77:$AU$82,,$AD202), N($AK$77:$AK$82&gt;$AI202)) / CA202 / 1000</f>
        <v>0</v>
      </c>
      <c r="CC202" s="250">
        <f t="shared" si="257"/>
        <v>30</v>
      </c>
      <c r="CD202" s="237">
        <f t="shared" si="414"/>
        <v>43</v>
      </c>
      <c r="CE202" s="253">
        <f t="shared" si="415"/>
        <v>3.5018750000000001</v>
      </c>
      <c r="CF202" s="253" cm="1">
        <f t="array" ref="CF202">$BC202 * IF($AD202&lt;=2,
SUMPRODUCT(INDEX($AL$72:$AN$76,,$AE202), INDEX($AO$72:$AU$76,,$AD202), 1 / ($AV$72:$AV$76*CE202 + (1-$AV$72:$AV$76)*CA202), N($AK$72:$AK$76&gt;$AI202)),
SUMPRODUCT(INDEX($AL$67:$AN$76,,$AE202), INDEX($AO$67:$AU$76,,$AD202), 1 / ($AW$67:$AW$76*CE202 + (1-$AW$67:$AW$76)*CA202), N($AK$67:$AK$76&gt;$AI202))
) / 1000</f>
        <v>0</v>
      </c>
      <c r="CG202" s="250">
        <f t="shared" si="260"/>
        <v>25</v>
      </c>
      <c r="CH202" s="237">
        <f t="shared" si="416"/>
        <v>38</v>
      </c>
      <c r="CI202" s="253">
        <f t="shared" si="417"/>
        <v>4.0666935483870965</v>
      </c>
      <c r="CJ202" s="253" cm="1">
        <f t="array" ref="CJ202">$BC202 * IF($AD202&lt;=2,
SUMPRODUCT(INDEX($AL$67:$AN$71,,$AE202), INDEX($AO$67:$AU$71,,$AD202), 1 / ($AV$67:$AV$71*CI202 + (1-$AV$67:$AV$71)*CE202), N($AK$67:$AK$71&gt;$AI202)),
SUMPRODUCT(INDEX($AL$57:$AN$66,,$AE202), INDEX($AO$57:$AU$66,,$AD202), 1 / ($AW$57:$AW$66*CI202 + (1-$AW$57:$AW$66)*CE202), N($AK$57:$AK$66&gt;$AI202))
) / 1000</f>
        <v>0</v>
      </c>
      <c r="CK202" s="250">
        <f t="shared" si="263"/>
        <v>20</v>
      </c>
      <c r="CL202" s="237">
        <f t="shared" si="418"/>
        <v>33</v>
      </c>
      <c r="CM202" s="253">
        <f t="shared" si="419"/>
        <v>4.8487499999999999</v>
      </c>
      <c r="CN202" s="253" cm="1">
        <f t="array" ref="CN202">$BC202 * IF($AD202&lt;=2,
SUMPRODUCT(INDEX($AL$62:$AN$66,,$AE202), INDEX($AO$62:$AU$66,,$AD202), 1 / ($AV$62:$AV$66*CM202 + (1-$AV$62:$AV$66)*CI202), N($AK$62:$AK$66&gt;$AI202)),
SUMPRODUCT(INDEX($AL$47:$AN$56,,$AE202), INDEX($AO$47:$AU$56,,$AD202), 1 / ($AW$47:$AW$56*CM202 + (1-$AW$47:$AW$56)*CI202), N($AK$47:$AK$56&gt;$AI202))
) / 1000</f>
        <v>0</v>
      </c>
      <c r="CO202" s="253" cm="1">
        <f t="array" ref="CO202">$BC202 * IF($AD202&lt;=2,
SUMPRODUCT(INDEX($AL$23:$AN$61,,$AE202), INDEX($AO$23:$AU$61,,$AD202), 1 / ($AV$23:$AV$61*CM202), N($AK$23:$AK$61&gt;$AI202)),
SUMPRODUCT(INDEX($AL$23:$AN$46,,$AE202), INDEX($AO$23:$AU$46,,$AD202), 1 / ($AW$23:$AW$46*CM202), N($AK$23:$AK$46&gt;$AI202))
) / 1000</f>
        <v>0</v>
      </c>
      <c r="CP202" s="237">
        <f t="shared" si="420"/>
        <v>0</v>
      </c>
      <c r="CQ202" s="210"/>
    </row>
    <row r="203" spans="1:95" s="76" customFormat="1" ht="14.25" customHeight="1" x14ac:dyDescent="0.2">
      <c r="A203" s="238" t="b">
        <f t="shared" si="227"/>
        <v>0</v>
      </c>
      <c r="B203" s="239">
        <v>181</v>
      </c>
      <c r="C203" s="258"/>
      <c r="D203" s="258"/>
      <c r="E203" s="240"/>
      <c r="F203" s="241" t="str">
        <f>IF(ISBLANK(E203), "", VLOOKUP(E203, Z!$A$2:$C$4127, 3, FALSE))</f>
        <v/>
      </c>
      <c r="G203" s="242"/>
      <c r="H203" s="242"/>
      <c r="I203" s="243"/>
      <c r="J203" s="244"/>
      <c r="K203" s="259"/>
      <c r="L203" s="260"/>
      <c r="M203" s="247" t="str" cm="1">
        <f t="array" ref="M203">IF($K203&gt;0, INDEX(Clean,1+AG203,$C$1), "")</f>
        <v/>
      </c>
      <c r="N203" s="245"/>
      <c r="O203" s="245"/>
      <c r="P203" s="246"/>
      <c r="Q203" s="248">
        <f t="shared" si="397"/>
        <v>0</v>
      </c>
      <c r="R203" s="247" t="str" cm="1">
        <f t="array" ref="R203">IF($K203&gt;0, INDEX(Clean,1+AH203,$C$1), "")</f>
        <v/>
      </c>
      <c r="S203" s="245"/>
      <c r="T203" s="245"/>
      <c r="U203" s="246"/>
      <c r="V203" s="248">
        <f t="shared" si="398"/>
        <v>0</v>
      </c>
      <c r="W203" s="261"/>
      <c r="X203" s="258"/>
      <c r="Y203" s="240"/>
      <c r="Z203" s="241" t="str">
        <f>IF(ISBLANK(Y203), "", VLOOKUP(Y203, Z!$A$2:$C$4127, 3, FALSE))</f>
        <v/>
      </c>
      <c r="AA203" s="262"/>
      <c r="AB203" s="249">
        <f t="shared" si="396"/>
        <v>0</v>
      </c>
      <c r="AC203" s="210"/>
      <c r="AD203" s="236">
        <f t="shared" si="421"/>
        <v>1</v>
      </c>
      <c r="AE203" s="236">
        <f t="shared" si="422"/>
        <v>1</v>
      </c>
      <c r="AF203" s="236">
        <f t="shared" si="423"/>
        <v>0</v>
      </c>
      <c r="AG203" s="236">
        <v>1</v>
      </c>
      <c r="AH203" s="236">
        <v>0</v>
      </c>
      <c r="AI203" s="236">
        <f t="shared" si="399"/>
        <v>-100</v>
      </c>
      <c r="AJ203" s="210"/>
      <c r="AK203" s="254"/>
      <c r="AL203" s="254"/>
      <c r="AM203" s="255"/>
      <c r="AN203" s="255"/>
      <c r="AO203" s="255"/>
      <c r="AP203" s="255"/>
      <c r="AQ203" s="255"/>
      <c r="AR203" s="255"/>
      <c r="AS203" s="255"/>
      <c r="AT203" s="255"/>
      <c r="AU203" s="255"/>
      <c r="AV203" s="255"/>
      <c r="AW203" s="255"/>
      <c r="AX203" s="210"/>
      <c r="AY203" s="236" cm="1">
        <f t="array" ref="AY203">INDEX(Use, $AD203, 4)</f>
        <v>7</v>
      </c>
      <c r="AZ203" s="236">
        <f t="shared" si="400"/>
        <v>32</v>
      </c>
      <c r="BA203" s="236">
        <f t="shared" si="239"/>
        <v>13</v>
      </c>
      <c r="BB203" s="236">
        <f t="shared" si="240"/>
        <v>0</v>
      </c>
      <c r="BC203" s="252" cm="1">
        <f t="array" ref="BC203">K203/IF($L203&gt;0, INDEX($AO$23:$AU$77, $L203+20, $AD203), 1)</f>
        <v>0</v>
      </c>
      <c r="BD203" s="237">
        <f t="shared" si="401"/>
        <v>0</v>
      </c>
      <c r="BE203" s="236">
        <v>35</v>
      </c>
      <c r="BF203" s="237">
        <f t="shared" si="402"/>
        <v>52.55</v>
      </c>
      <c r="BG203" s="253">
        <f t="shared" si="403"/>
        <v>2.7676728869374316</v>
      </c>
      <c r="BH203" s="253" cm="1">
        <f t="array" ref="BH203">$BC203 * SUMPRODUCT(INDEX($AL$77:$AN$82,,$AE203),INDEX($AO$77:$AU$82,,$AD203), N($AK$77:$AK$82&gt;$AI203)) / BG203 / 1000</f>
        <v>0</v>
      </c>
      <c r="BI203" s="250">
        <f t="shared" si="244"/>
        <v>30</v>
      </c>
      <c r="BJ203" s="237">
        <f t="shared" si="404"/>
        <v>46.033333333333331</v>
      </c>
      <c r="BK203" s="253">
        <f t="shared" si="405"/>
        <v>3.2297395388556791</v>
      </c>
      <c r="BL203" s="253" cm="1">
        <f t="array" ref="BL203">$BC203 * IF($AD203&lt;=2,
SUMPRODUCT(INDEX($AL$72:$AN$76,,$AE203), INDEX($AO$72:$AU$76,,$AD203), 1 / ($AV$72:$AV$76*BK203 + (1-$AV$72:$AV$76)*BG203), N($AK$72:$AK$76&gt;$AI203)),
SUMPRODUCT(INDEX($AL$67:$AN$76,,$AE203), INDEX($AO$67:$AU$76,,$AD203), 1 / ($AW$67:$AW$76*BK203 + (1-$AW$67:$AW$76)*BG203), N($AK$67:$AK$76&gt;$AI203))
) / 1000</f>
        <v>0</v>
      </c>
      <c r="BM203" s="250">
        <f t="shared" si="247"/>
        <v>25</v>
      </c>
      <c r="BN203" s="237">
        <f t="shared" si="406"/>
        <v>39.516666666666666</v>
      </c>
      <c r="BO203" s="253">
        <f t="shared" si="407"/>
        <v>3.877011788826243</v>
      </c>
      <c r="BP203" s="253" cm="1">
        <f t="array" ref="BP203">$BC203 * IF($AD203&lt;=2,
SUMPRODUCT(INDEX($AL$67:$AN$71,,$AE203), INDEX($AO$67:$AU$71,,$AD203), 1 / ($AV$67:$AV$71*BO203 + (1-$AV$67:$AV$71)*BK203), N($AK$67:$AK$71&gt;$AI203)),
SUMPRODUCT(INDEX($AL$57:$AN$66,,$AE203), INDEX($AO$57:$AU$66,,$AD203), 1 / ($AW$57:$AW$66*BO203 + (1-$AW$57:$AW$66)*BK203), N($AK$57:$AK$66&gt;$AI203))
) / 1000</f>
        <v>0</v>
      </c>
      <c r="BQ203" s="250">
        <f t="shared" si="250"/>
        <v>20</v>
      </c>
      <c r="BR203" s="237">
        <f t="shared" si="408"/>
        <v>33</v>
      </c>
      <c r="BS203" s="253">
        <f t="shared" si="409"/>
        <v>4.8487499999999999</v>
      </c>
      <c r="BT203" s="253" cm="1">
        <f t="array" ref="BT203">$BC203 * IF($AD203&lt;=2,
SUMPRODUCT(INDEX($AL$62:$AN$66,,$AE203), INDEX($AO$62:$AU$66,,$AD203), 1 / ($AV$62:$AV$66*BS203 + (1-$AV$62:$AV$66)*BO203), N($AK$62:$AK$66&gt;$AI203)),
SUMPRODUCT(INDEX($AL$47:$AN$56,,$AE203), INDEX($AO$47:$AU$56,,$AD203), 1 / ($AW$47:$AW$56*BS203 + (1-$AW$47:$AW$56)*BO203), N($AK$47:$AK$56&gt;$AI203))
) / 1000</f>
        <v>0</v>
      </c>
      <c r="BU203" s="253" cm="1">
        <f t="array" ref="BU203">$BC203 * IF($AD203&lt;=2,
SUMPRODUCT(INDEX($AL$23:$AN$61,,$AE203), INDEX($AO$23:$AU$61,,$AD203), 1 / ($AV$23:$AV$61*BS203), N($AK$23:$AK$61&gt;$AI203)),
SUMPRODUCT(INDEX($AL$23:$AN$46,,$AE203), INDEX($AO$23:$AU$46,,$AD203), 1 / ($AW$23:$AW$46*BS203), N($AK$23:$AK$46&gt;$AI203))
) / 1000</f>
        <v>0</v>
      </c>
      <c r="BV203" s="237">
        <f t="shared" si="410"/>
        <v>0</v>
      </c>
      <c r="BW203" s="210"/>
      <c r="BX203" s="237">
        <f t="shared" si="411"/>
        <v>0</v>
      </c>
      <c r="BY203" s="236">
        <v>35</v>
      </c>
      <c r="BZ203" s="237">
        <f t="shared" si="412"/>
        <v>48</v>
      </c>
      <c r="CA203" s="253">
        <f t="shared" si="413"/>
        <v>3.0748170731707316</v>
      </c>
      <c r="CB203" s="253" cm="1">
        <f t="array" ref="CB203">$BC203 * SUMPRODUCT(INDEX($AL$77:$AN$82,,$AE203),INDEX($AO$77:$AU$82,,$AD203), N($AK$77:$AK$82&gt;$AI203)) / CA203 / 1000</f>
        <v>0</v>
      </c>
      <c r="CC203" s="250">
        <f t="shared" si="257"/>
        <v>30</v>
      </c>
      <c r="CD203" s="237">
        <f t="shared" si="414"/>
        <v>43</v>
      </c>
      <c r="CE203" s="253">
        <f t="shared" si="415"/>
        <v>3.5018750000000001</v>
      </c>
      <c r="CF203" s="253" cm="1">
        <f t="array" ref="CF203">$BC203 * IF($AD203&lt;=2,
SUMPRODUCT(INDEX($AL$72:$AN$76,,$AE203), INDEX($AO$72:$AU$76,,$AD203), 1 / ($AV$72:$AV$76*CE203 + (1-$AV$72:$AV$76)*CA203), N($AK$72:$AK$76&gt;$AI203)),
SUMPRODUCT(INDEX($AL$67:$AN$76,,$AE203), INDEX($AO$67:$AU$76,,$AD203), 1 / ($AW$67:$AW$76*CE203 + (1-$AW$67:$AW$76)*CA203), N($AK$67:$AK$76&gt;$AI203))
) / 1000</f>
        <v>0</v>
      </c>
      <c r="CG203" s="250">
        <f t="shared" si="260"/>
        <v>25</v>
      </c>
      <c r="CH203" s="237">
        <f t="shared" si="416"/>
        <v>38</v>
      </c>
      <c r="CI203" s="253">
        <f t="shared" si="417"/>
        <v>4.0666935483870965</v>
      </c>
      <c r="CJ203" s="253" cm="1">
        <f t="array" ref="CJ203">$BC203 * IF($AD203&lt;=2,
SUMPRODUCT(INDEX($AL$67:$AN$71,,$AE203), INDEX($AO$67:$AU$71,,$AD203), 1 / ($AV$67:$AV$71*CI203 + (1-$AV$67:$AV$71)*CE203), N($AK$67:$AK$71&gt;$AI203)),
SUMPRODUCT(INDEX($AL$57:$AN$66,,$AE203), INDEX($AO$57:$AU$66,,$AD203), 1 / ($AW$57:$AW$66*CI203 + (1-$AW$57:$AW$66)*CE203), N($AK$57:$AK$66&gt;$AI203))
) / 1000</f>
        <v>0</v>
      </c>
      <c r="CK203" s="250">
        <f t="shared" si="263"/>
        <v>20</v>
      </c>
      <c r="CL203" s="237">
        <f t="shared" si="418"/>
        <v>33</v>
      </c>
      <c r="CM203" s="253">
        <f t="shared" si="419"/>
        <v>4.8487499999999999</v>
      </c>
      <c r="CN203" s="253" cm="1">
        <f t="array" ref="CN203">$BC203 * IF($AD203&lt;=2,
SUMPRODUCT(INDEX($AL$62:$AN$66,,$AE203), INDEX($AO$62:$AU$66,,$AD203), 1 / ($AV$62:$AV$66*CM203 + (1-$AV$62:$AV$66)*CI203), N($AK$62:$AK$66&gt;$AI203)),
SUMPRODUCT(INDEX($AL$47:$AN$56,,$AE203), INDEX($AO$47:$AU$56,,$AD203), 1 / ($AW$47:$AW$56*CM203 + (1-$AW$47:$AW$56)*CI203), N($AK$47:$AK$56&gt;$AI203))
) / 1000</f>
        <v>0</v>
      </c>
      <c r="CO203" s="253" cm="1">
        <f t="array" ref="CO203">$BC203 * IF($AD203&lt;=2,
SUMPRODUCT(INDEX($AL$23:$AN$61,,$AE203), INDEX($AO$23:$AU$61,,$AD203), 1 / ($AV$23:$AV$61*CM203), N($AK$23:$AK$61&gt;$AI203)),
SUMPRODUCT(INDEX($AL$23:$AN$46,,$AE203), INDEX($AO$23:$AU$46,,$AD203), 1 / ($AW$23:$AW$46*CM203), N($AK$23:$AK$46&gt;$AI203))
) / 1000</f>
        <v>0</v>
      </c>
      <c r="CP203" s="237">
        <f t="shared" si="420"/>
        <v>0</v>
      </c>
      <c r="CQ203" s="210"/>
    </row>
    <row r="204" spans="1:95" s="76" customFormat="1" ht="14.25" customHeight="1" x14ac:dyDescent="0.2">
      <c r="A204" s="238" t="b">
        <f t="shared" si="227"/>
        <v>0</v>
      </c>
      <c r="B204" s="239">
        <v>182</v>
      </c>
      <c r="C204" s="258"/>
      <c r="D204" s="258"/>
      <c r="E204" s="240"/>
      <c r="F204" s="241" t="str">
        <f>IF(ISBLANK(E204), "", VLOOKUP(E204, Z!$A$2:$C$4127, 3, FALSE))</f>
        <v/>
      </c>
      <c r="G204" s="242"/>
      <c r="H204" s="242"/>
      <c r="I204" s="243"/>
      <c r="J204" s="244"/>
      <c r="K204" s="259"/>
      <c r="L204" s="260"/>
      <c r="M204" s="247" t="str" cm="1">
        <f t="array" ref="M204">IF($K204&gt;0, INDEX(Clean,1+AG204,$C$1), "")</f>
        <v/>
      </c>
      <c r="N204" s="245"/>
      <c r="O204" s="245"/>
      <c r="P204" s="246"/>
      <c r="Q204" s="248">
        <f t="shared" si="397"/>
        <v>0</v>
      </c>
      <c r="R204" s="247" t="str" cm="1">
        <f t="array" ref="R204">IF($K204&gt;0, INDEX(Clean,1+AH204,$C$1), "")</f>
        <v/>
      </c>
      <c r="S204" s="245"/>
      <c r="T204" s="245"/>
      <c r="U204" s="246"/>
      <c r="V204" s="248">
        <f t="shared" si="398"/>
        <v>0</v>
      </c>
      <c r="W204" s="261"/>
      <c r="X204" s="258"/>
      <c r="Y204" s="240"/>
      <c r="Z204" s="241" t="str">
        <f>IF(ISBLANK(Y204), "", VLOOKUP(Y204, Z!$A$2:$C$4127, 3, FALSE))</f>
        <v/>
      </c>
      <c r="AA204" s="262"/>
      <c r="AB204" s="249">
        <f t="shared" si="396"/>
        <v>0</v>
      </c>
      <c r="AC204" s="210"/>
      <c r="AD204" s="236">
        <f t="shared" si="421"/>
        <v>1</v>
      </c>
      <c r="AE204" s="236">
        <f t="shared" si="422"/>
        <v>1</v>
      </c>
      <c r="AF204" s="236">
        <f t="shared" si="423"/>
        <v>0</v>
      </c>
      <c r="AG204" s="236">
        <v>1</v>
      </c>
      <c r="AH204" s="236">
        <v>0</v>
      </c>
      <c r="AI204" s="236">
        <f t="shared" si="399"/>
        <v>-100</v>
      </c>
      <c r="AJ204" s="210"/>
      <c r="AK204" s="254"/>
      <c r="AL204" s="254"/>
      <c r="AM204" s="255"/>
      <c r="AN204" s="255"/>
      <c r="AO204" s="255"/>
      <c r="AP204" s="255"/>
      <c r="AQ204" s="255"/>
      <c r="AR204" s="255"/>
      <c r="AS204" s="255"/>
      <c r="AT204" s="255"/>
      <c r="AU204" s="255"/>
      <c r="AV204" s="255"/>
      <c r="AW204" s="255"/>
      <c r="AX204" s="210"/>
      <c r="AY204" s="236" cm="1">
        <f t="array" ref="AY204">INDEX(Use, $AD204, 4)</f>
        <v>7</v>
      </c>
      <c r="AZ204" s="236">
        <f t="shared" si="400"/>
        <v>32</v>
      </c>
      <c r="BA204" s="236">
        <f t="shared" si="239"/>
        <v>13</v>
      </c>
      <c r="BB204" s="236">
        <f t="shared" si="240"/>
        <v>0</v>
      </c>
      <c r="BC204" s="252" cm="1">
        <f t="array" ref="BC204">K204/IF($L204&gt;0, INDEX($AO$23:$AU$77, $L204+20, $AD204), 1)</f>
        <v>0</v>
      </c>
      <c r="BD204" s="237">
        <f t="shared" si="401"/>
        <v>0</v>
      </c>
      <c r="BE204" s="236">
        <v>35</v>
      </c>
      <c r="BF204" s="237">
        <f t="shared" si="402"/>
        <v>52.55</v>
      </c>
      <c r="BG204" s="253">
        <f t="shared" si="403"/>
        <v>2.7676728869374316</v>
      </c>
      <c r="BH204" s="253" cm="1">
        <f t="array" ref="BH204">$BC204 * SUMPRODUCT(INDEX($AL$77:$AN$82,,$AE204),INDEX($AO$77:$AU$82,,$AD204), N($AK$77:$AK$82&gt;$AI204)) / BG204 / 1000</f>
        <v>0</v>
      </c>
      <c r="BI204" s="250">
        <f t="shared" si="244"/>
        <v>30</v>
      </c>
      <c r="BJ204" s="237">
        <f t="shared" si="404"/>
        <v>46.033333333333331</v>
      </c>
      <c r="BK204" s="253">
        <f t="shared" si="405"/>
        <v>3.2297395388556791</v>
      </c>
      <c r="BL204" s="253" cm="1">
        <f t="array" ref="BL204">$BC204 * IF($AD204&lt;=2,
SUMPRODUCT(INDEX($AL$72:$AN$76,,$AE204), INDEX($AO$72:$AU$76,,$AD204), 1 / ($AV$72:$AV$76*BK204 + (1-$AV$72:$AV$76)*BG204), N($AK$72:$AK$76&gt;$AI204)),
SUMPRODUCT(INDEX($AL$67:$AN$76,,$AE204), INDEX($AO$67:$AU$76,,$AD204), 1 / ($AW$67:$AW$76*BK204 + (1-$AW$67:$AW$76)*BG204), N($AK$67:$AK$76&gt;$AI204))
) / 1000</f>
        <v>0</v>
      </c>
      <c r="BM204" s="250">
        <f t="shared" si="247"/>
        <v>25</v>
      </c>
      <c r="BN204" s="237">
        <f t="shared" si="406"/>
        <v>39.516666666666666</v>
      </c>
      <c r="BO204" s="253">
        <f t="shared" si="407"/>
        <v>3.877011788826243</v>
      </c>
      <c r="BP204" s="253" cm="1">
        <f t="array" ref="BP204">$BC204 * IF($AD204&lt;=2,
SUMPRODUCT(INDEX($AL$67:$AN$71,,$AE204), INDEX($AO$67:$AU$71,,$AD204), 1 / ($AV$67:$AV$71*BO204 + (1-$AV$67:$AV$71)*BK204), N($AK$67:$AK$71&gt;$AI204)),
SUMPRODUCT(INDEX($AL$57:$AN$66,,$AE204), INDEX($AO$57:$AU$66,,$AD204), 1 / ($AW$57:$AW$66*BO204 + (1-$AW$57:$AW$66)*BK204), N($AK$57:$AK$66&gt;$AI204))
) / 1000</f>
        <v>0</v>
      </c>
      <c r="BQ204" s="250">
        <f t="shared" si="250"/>
        <v>20</v>
      </c>
      <c r="BR204" s="237">
        <f t="shared" si="408"/>
        <v>33</v>
      </c>
      <c r="BS204" s="253">
        <f t="shared" si="409"/>
        <v>4.8487499999999999</v>
      </c>
      <c r="BT204" s="253" cm="1">
        <f t="array" ref="BT204">$BC204 * IF($AD204&lt;=2,
SUMPRODUCT(INDEX($AL$62:$AN$66,,$AE204), INDEX($AO$62:$AU$66,,$AD204), 1 / ($AV$62:$AV$66*BS204 + (1-$AV$62:$AV$66)*BO204), N($AK$62:$AK$66&gt;$AI204)),
SUMPRODUCT(INDEX($AL$47:$AN$56,,$AE204), INDEX($AO$47:$AU$56,,$AD204), 1 / ($AW$47:$AW$56*BS204 + (1-$AW$47:$AW$56)*BO204), N($AK$47:$AK$56&gt;$AI204))
) / 1000</f>
        <v>0</v>
      </c>
      <c r="BU204" s="253" cm="1">
        <f t="array" ref="BU204">$BC204 * IF($AD204&lt;=2,
SUMPRODUCT(INDEX($AL$23:$AN$61,,$AE204), INDEX($AO$23:$AU$61,,$AD204), 1 / ($AV$23:$AV$61*BS204), N($AK$23:$AK$61&gt;$AI204)),
SUMPRODUCT(INDEX($AL$23:$AN$46,,$AE204), INDEX($AO$23:$AU$46,,$AD204), 1 / ($AW$23:$AW$46*BS204), N($AK$23:$AK$46&gt;$AI204))
) / 1000</f>
        <v>0</v>
      </c>
      <c r="BV204" s="237">
        <f t="shared" si="410"/>
        <v>0</v>
      </c>
      <c r="BW204" s="210"/>
      <c r="BX204" s="237">
        <f t="shared" si="411"/>
        <v>0</v>
      </c>
      <c r="BY204" s="236">
        <v>35</v>
      </c>
      <c r="BZ204" s="237">
        <f t="shared" si="412"/>
        <v>48</v>
      </c>
      <c r="CA204" s="253">
        <f t="shared" si="413"/>
        <v>3.0748170731707316</v>
      </c>
      <c r="CB204" s="253" cm="1">
        <f t="array" ref="CB204">$BC204 * SUMPRODUCT(INDEX($AL$77:$AN$82,,$AE204),INDEX($AO$77:$AU$82,,$AD204), N($AK$77:$AK$82&gt;$AI204)) / CA204 / 1000</f>
        <v>0</v>
      </c>
      <c r="CC204" s="250">
        <f t="shared" si="257"/>
        <v>30</v>
      </c>
      <c r="CD204" s="237">
        <f t="shared" si="414"/>
        <v>43</v>
      </c>
      <c r="CE204" s="253">
        <f t="shared" si="415"/>
        <v>3.5018750000000001</v>
      </c>
      <c r="CF204" s="253" cm="1">
        <f t="array" ref="CF204">$BC204 * IF($AD204&lt;=2,
SUMPRODUCT(INDEX($AL$72:$AN$76,,$AE204), INDEX($AO$72:$AU$76,,$AD204), 1 / ($AV$72:$AV$76*CE204 + (1-$AV$72:$AV$76)*CA204), N($AK$72:$AK$76&gt;$AI204)),
SUMPRODUCT(INDEX($AL$67:$AN$76,,$AE204), INDEX($AO$67:$AU$76,,$AD204), 1 / ($AW$67:$AW$76*CE204 + (1-$AW$67:$AW$76)*CA204), N($AK$67:$AK$76&gt;$AI204))
) / 1000</f>
        <v>0</v>
      </c>
      <c r="CG204" s="250">
        <f t="shared" si="260"/>
        <v>25</v>
      </c>
      <c r="CH204" s="237">
        <f t="shared" si="416"/>
        <v>38</v>
      </c>
      <c r="CI204" s="253">
        <f t="shared" si="417"/>
        <v>4.0666935483870965</v>
      </c>
      <c r="CJ204" s="253" cm="1">
        <f t="array" ref="CJ204">$BC204 * IF($AD204&lt;=2,
SUMPRODUCT(INDEX($AL$67:$AN$71,,$AE204), INDEX($AO$67:$AU$71,,$AD204), 1 / ($AV$67:$AV$71*CI204 + (1-$AV$67:$AV$71)*CE204), N($AK$67:$AK$71&gt;$AI204)),
SUMPRODUCT(INDEX($AL$57:$AN$66,,$AE204), INDEX($AO$57:$AU$66,,$AD204), 1 / ($AW$57:$AW$66*CI204 + (1-$AW$57:$AW$66)*CE204), N($AK$57:$AK$66&gt;$AI204))
) / 1000</f>
        <v>0</v>
      </c>
      <c r="CK204" s="250">
        <f t="shared" si="263"/>
        <v>20</v>
      </c>
      <c r="CL204" s="237">
        <f t="shared" si="418"/>
        <v>33</v>
      </c>
      <c r="CM204" s="253">
        <f t="shared" si="419"/>
        <v>4.8487499999999999</v>
      </c>
      <c r="CN204" s="253" cm="1">
        <f t="array" ref="CN204">$BC204 * IF($AD204&lt;=2,
SUMPRODUCT(INDEX($AL$62:$AN$66,,$AE204), INDEX($AO$62:$AU$66,,$AD204), 1 / ($AV$62:$AV$66*CM204 + (1-$AV$62:$AV$66)*CI204), N($AK$62:$AK$66&gt;$AI204)),
SUMPRODUCT(INDEX($AL$47:$AN$56,,$AE204), INDEX($AO$47:$AU$56,,$AD204), 1 / ($AW$47:$AW$56*CM204 + (1-$AW$47:$AW$56)*CI204), N($AK$47:$AK$56&gt;$AI204))
) / 1000</f>
        <v>0</v>
      </c>
      <c r="CO204" s="253" cm="1">
        <f t="array" ref="CO204">$BC204 * IF($AD204&lt;=2,
SUMPRODUCT(INDEX($AL$23:$AN$61,,$AE204), INDEX($AO$23:$AU$61,,$AD204), 1 / ($AV$23:$AV$61*CM204), N($AK$23:$AK$61&gt;$AI204)),
SUMPRODUCT(INDEX($AL$23:$AN$46,,$AE204), INDEX($AO$23:$AU$46,,$AD204), 1 / ($AW$23:$AW$46*CM204), N($AK$23:$AK$46&gt;$AI204))
) / 1000</f>
        <v>0</v>
      </c>
      <c r="CP204" s="237">
        <f t="shared" si="420"/>
        <v>0</v>
      </c>
      <c r="CQ204" s="210"/>
    </row>
    <row r="205" spans="1:95" s="76" customFormat="1" ht="14.25" customHeight="1" x14ac:dyDescent="0.2">
      <c r="A205" s="238" t="b">
        <f t="shared" si="227"/>
        <v>0</v>
      </c>
      <c r="B205" s="239">
        <v>183</v>
      </c>
      <c r="C205" s="258"/>
      <c r="D205" s="258"/>
      <c r="E205" s="240"/>
      <c r="F205" s="241" t="str">
        <f>IF(ISBLANK(E205), "", VLOOKUP(E205, Z!$A$2:$C$4127, 3, FALSE))</f>
        <v/>
      </c>
      <c r="G205" s="242"/>
      <c r="H205" s="242"/>
      <c r="I205" s="243"/>
      <c r="J205" s="244"/>
      <c r="K205" s="259"/>
      <c r="L205" s="260"/>
      <c r="M205" s="247" t="str" cm="1">
        <f t="array" ref="M205">IF($K205&gt;0, INDEX(Clean,1+AG205,$C$1), "")</f>
        <v/>
      </c>
      <c r="N205" s="245"/>
      <c r="O205" s="245"/>
      <c r="P205" s="246"/>
      <c r="Q205" s="248">
        <f t="shared" si="397"/>
        <v>0</v>
      </c>
      <c r="R205" s="247" t="str" cm="1">
        <f t="array" ref="R205">IF($K205&gt;0, INDEX(Clean,1+AH205,$C$1), "")</f>
        <v/>
      </c>
      <c r="S205" s="245"/>
      <c r="T205" s="245"/>
      <c r="U205" s="246"/>
      <c r="V205" s="248">
        <f t="shared" si="398"/>
        <v>0</v>
      </c>
      <c r="W205" s="261"/>
      <c r="X205" s="258"/>
      <c r="Y205" s="240"/>
      <c r="Z205" s="241" t="str">
        <f>IF(ISBLANK(Y205), "", VLOOKUP(Y205, Z!$A$2:$C$4127, 3, FALSE))</f>
        <v/>
      </c>
      <c r="AA205" s="262"/>
      <c r="AB205" s="249">
        <f t="shared" si="396"/>
        <v>0</v>
      </c>
      <c r="AC205" s="210"/>
      <c r="AD205" s="236">
        <f t="shared" si="421"/>
        <v>1</v>
      </c>
      <c r="AE205" s="236">
        <f t="shared" si="422"/>
        <v>1</v>
      </c>
      <c r="AF205" s="236">
        <f t="shared" si="423"/>
        <v>0</v>
      </c>
      <c r="AG205" s="236">
        <v>1</v>
      </c>
      <c r="AH205" s="236">
        <v>0</v>
      </c>
      <c r="AI205" s="236">
        <f t="shared" si="399"/>
        <v>-100</v>
      </c>
      <c r="AJ205" s="210"/>
      <c r="AK205" s="254"/>
      <c r="AL205" s="254"/>
      <c r="AM205" s="255"/>
      <c r="AN205" s="255"/>
      <c r="AO205" s="255"/>
      <c r="AP205" s="255"/>
      <c r="AQ205" s="255"/>
      <c r="AR205" s="255"/>
      <c r="AS205" s="255"/>
      <c r="AT205" s="255"/>
      <c r="AU205" s="255"/>
      <c r="AV205" s="255"/>
      <c r="AW205" s="255"/>
      <c r="AX205" s="210"/>
      <c r="AY205" s="236" cm="1">
        <f t="array" ref="AY205">INDEX(Use, $AD205, 4)</f>
        <v>7</v>
      </c>
      <c r="AZ205" s="236">
        <f t="shared" si="400"/>
        <v>32</v>
      </c>
      <c r="BA205" s="236">
        <f t="shared" si="239"/>
        <v>13</v>
      </c>
      <c r="BB205" s="236">
        <f t="shared" si="240"/>
        <v>0</v>
      </c>
      <c r="BC205" s="252" cm="1">
        <f t="array" ref="BC205">K205/IF($L205&gt;0, INDEX($AO$23:$AU$77, $L205+20, $AD205), 1)</f>
        <v>0</v>
      </c>
      <c r="BD205" s="237">
        <f t="shared" si="401"/>
        <v>0</v>
      </c>
      <c r="BE205" s="236">
        <v>35</v>
      </c>
      <c r="BF205" s="237">
        <f t="shared" si="402"/>
        <v>52.55</v>
      </c>
      <c r="BG205" s="253">
        <f t="shared" si="403"/>
        <v>2.7676728869374316</v>
      </c>
      <c r="BH205" s="253" cm="1">
        <f t="array" ref="BH205">$BC205 * SUMPRODUCT(INDEX($AL$77:$AN$82,,$AE205),INDEX($AO$77:$AU$82,,$AD205), N($AK$77:$AK$82&gt;$AI205)) / BG205 / 1000</f>
        <v>0</v>
      </c>
      <c r="BI205" s="250">
        <f t="shared" si="244"/>
        <v>30</v>
      </c>
      <c r="BJ205" s="237">
        <f t="shared" si="404"/>
        <v>46.033333333333331</v>
      </c>
      <c r="BK205" s="253">
        <f t="shared" si="405"/>
        <v>3.2297395388556791</v>
      </c>
      <c r="BL205" s="253" cm="1">
        <f t="array" ref="BL205">$BC205 * IF($AD205&lt;=2,
SUMPRODUCT(INDEX($AL$72:$AN$76,,$AE205), INDEX($AO$72:$AU$76,,$AD205), 1 / ($AV$72:$AV$76*BK205 + (1-$AV$72:$AV$76)*BG205), N($AK$72:$AK$76&gt;$AI205)),
SUMPRODUCT(INDEX($AL$67:$AN$76,,$AE205), INDEX($AO$67:$AU$76,,$AD205), 1 / ($AW$67:$AW$76*BK205 + (1-$AW$67:$AW$76)*BG205), N($AK$67:$AK$76&gt;$AI205))
) / 1000</f>
        <v>0</v>
      </c>
      <c r="BM205" s="250">
        <f t="shared" si="247"/>
        <v>25</v>
      </c>
      <c r="BN205" s="237">
        <f t="shared" si="406"/>
        <v>39.516666666666666</v>
      </c>
      <c r="BO205" s="253">
        <f t="shared" si="407"/>
        <v>3.877011788826243</v>
      </c>
      <c r="BP205" s="253" cm="1">
        <f t="array" ref="BP205">$BC205 * IF($AD205&lt;=2,
SUMPRODUCT(INDEX($AL$67:$AN$71,,$AE205), INDEX($AO$67:$AU$71,,$AD205), 1 / ($AV$67:$AV$71*BO205 + (1-$AV$67:$AV$71)*BK205), N($AK$67:$AK$71&gt;$AI205)),
SUMPRODUCT(INDEX($AL$57:$AN$66,,$AE205), INDEX($AO$57:$AU$66,,$AD205), 1 / ($AW$57:$AW$66*BO205 + (1-$AW$57:$AW$66)*BK205), N($AK$57:$AK$66&gt;$AI205))
) / 1000</f>
        <v>0</v>
      </c>
      <c r="BQ205" s="250">
        <f t="shared" si="250"/>
        <v>20</v>
      </c>
      <c r="BR205" s="237">
        <f t="shared" si="408"/>
        <v>33</v>
      </c>
      <c r="BS205" s="253">
        <f t="shared" si="409"/>
        <v>4.8487499999999999</v>
      </c>
      <c r="BT205" s="253" cm="1">
        <f t="array" ref="BT205">$BC205 * IF($AD205&lt;=2,
SUMPRODUCT(INDEX($AL$62:$AN$66,,$AE205), INDEX($AO$62:$AU$66,,$AD205), 1 / ($AV$62:$AV$66*BS205 + (1-$AV$62:$AV$66)*BO205), N($AK$62:$AK$66&gt;$AI205)),
SUMPRODUCT(INDEX($AL$47:$AN$56,,$AE205), INDEX($AO$47:$AU$56,,$AD205), 1 / ($AW$47:$AW$56*BS205 + (1-$AW$47:$AW$56)*BO205), N($AK$47:$AK$56&gt;$AI205))
) / 1000</f>
        <v>0</v>
      </c>
      <c r="BU205" s="253" cm="1">
        <f t="array" ref="BU205">$BC205 * IF($AD205&lt;=2,
SUMPRODUCT(INDEX($AL$23:$AN$61,,$AE205), INDEX($AO$23:$AU$61,,$AD205), 1 / ($AV$23:$AV$61*BS205), N($AK$23:$AK$61&gt;$AI205)),
SUMPRODUCT(INDEX($AL$23:$AN$46,,$AE205), INDEX($AO$23:$AU$46,,$AD205), 1 / ($AW$23:$AW$46*BS205), N($AK$23:$AK$46&gt;$AI205))
) / 1000</f>
        <v>0</v>
      </c>
      <c r="BV205" s="237">
        <f t="shared" si="410"/>
        <v>0</v>
      </c>
      <c r="BW205" s="210"/>
      <c r="BX205" s="237">
        <f t="shared" si="411"/>
        <v>0</v>
      </c>
      <c r="BY205" s="236">
        <v>35</v>
      </c>
      <c r="BZ205" s="237">
        <f t="shared" si="412"/>
        <v>48</v>
      </c>
      <c r="CA205" s="253">
        <f t="shared" si="413"/>
        <v>3.0748170731707316</v>
      </c>
      <c r="CB205" s="253" cm="1">
        <f t="array" ref="CB205">$BC205 * SUMPRODUCT(INDEX($AL$77:$AN$82,,$AE205),INDEX($AO$77:$AU$82,,$AD205), N($AK$77:$AK$82&gt;$AI205)) / CA205 / 1000</f>
        <v>0</v>
      </c>
      <c r="CC205" s="250">
        <f t="shared" si="257"/>
        <v>30</v>
      </c>
      <c r="CD205" s="237">
        <f t="shared" si="414"/>
        <v>43</v>
      </c>
      <c r="CE205" s="253">
        <f t="shared" si="415"/>
        <v>3.5018750000000001</v>
      </c>
      <c r="CF205" s="253" cm="1">
        <f t="array" ref="CF205">$BC205 * IF($AD205&lt;=2,
SUMPRODUCT(INDEX($AL$72:$AN$76,,$AE205), INDEX($AO$72:$AU$76,,$AD205), 1 / ($AV$72:$AV$76*CE205 + (1-$AV$72:$AV$76)*CA205), N($AK$72:$AK$76&gt;$AI205)),
SUMPRODUCT(INDEX($AL$67:$AN$76,,$AE205), INDEX($AO$67:$AU$76,,$AD205), 1 / ($AW$67:$AW$76*CE205 + (1-$AW$67:$AW$76)*CA205), N($AK$67:$AK$76&gt;$AI205))
) / 1000</f>
        <v>0</v>
      </c>
      <c r="CG205" s="250">
        <f t="shared" si="260"/>
        <v>25</v>
      </c>
      <c r="CH205" s="237">
        <f t="shared" si="416"/>
        <v>38</v>
      </c>
      <c r="CI205" s="253">
        <f t="shared" si="417"/>
        <v>4.0666935483870965</v>
      </c>
      <c r="CJ205" s="253" cm="1">
        <f t="array" ref="CJ205">$BC205 * IF($AD205&lt;=2,
SUMPRODUCT(INDEX($AL$67:$AN$71,,$AE205), INDEX($AO$67:$AU$71,,$AD205), 1 / ($AV$67:$AV$71*CI205 + (1-$AV$67:$AV$71)*CE205), N($AK$67:$AK$71&gt;$AI205)),
SUMPRODUCT(INDEX($AL$57:$AN$66,,$AE205), INDEX($AO$57:$AU$66,,$AD205), 1 / ($AW$57:$AW$66*CI205 + (1-$AW$57:$AW$66)*CE205), N($AK$57:$AK$66&gt;$AI205))
) / 1000</f>
        <v>0</v>
      </c>
      <c r="CK205" s="250">
        <f t="shared" si="263"/>
        <v>20</v>
      </c>
      <c r="CL205" s="237">
        <f t="shared" si="418"/>
        <v>33</v>
      </c>
      <c r="CM205" s="253">
        <f t="shared" si="419"/>
        <v>4.8487499999999999</v>
      </c>
      <c r="CN205" s="253" cm="1">
        <f t="array" ref="CN205">$BC205 * IF($AD205&lt;=2,
SUMPRODUCT(INDEX($AL$62:$AN$66,,$AE205), INDEX($AO$62:$AU$66,,$AD205), 1 / ($AV$62:$AV$66*CM205 + (1-$AV$62:$AV$66)*CI205), N($AK$62:$AK$66&gt;$AI205)),
SUMPRODUCT(INDEX($AL$47:$AN$56,,$AE205), INDEX($AO$47:$AU$56,,$AD205), 1 / ($AW$47:$AW$56*CM205 + (1-$AW$47:$AW$56)*CI205), N($AK$47:$AK$56&gt;$AI205))
) / 1000</f>
        <v>0</v>
      </c>
      <c r="CO205" s="253" cm="1">
        <f t="array" ref="CO205">$BC205 * IF($AD205&lt;=2,
SUMPRODUCT(INDEX($AL$23:$AN$61,,$AE205), INDEX($AO$23:$AU$61,,$AD205), 1 / ($AV$23:$AV$61*CM205), N($AK$23:$AK$61&gt;$AI205)),
SUMPRODUCT(INDEX($AL$23:$AN$46,,$AE205), INDEX($AO$23:$AU$46,,$AD205), 1 / ($AW$23:$AW$46*CM205), N($AK$23:$AK$46&gt;$AI205))
) / 1000</f>
        <v>0</v>
      </c>
      <c r="CP205" s="237">
        <f t="shared" si="420"/>
        <v>0</v>
      </c>
      <c r="CQ205" s="210"/>
    </row>
    <row r="206" spans="1:95" s="76" customFormat="1" ht="14.25" customHeight="1" x14ac:dyDescent="0.2">
      <c r="A206" s="238" t="b">
        <f t="shared" si="227"/>
        <v>0</v>
      </c>
      <c r="B206" s="239">
        <v>184</v>
      </c>
      <c r="C206" s="258"/>
      <c r="D206" s="258"/>
      <c r="E206" s="240"/>
      <c r="F206" s="241" t="str">
        <f>IF(ISBLANK(E206), "", VLOOKUP(E206, Z!$A$2:$C$4127, 3, FALSE))</f>
        <v/>
      </c>
      <c r="G206" s="242"/>
      <c r="H206" s="242"/>
      <c r="I206" s="243"/>
      <c r="J206" s="244"/>
      <c r="K206" s="259"/>
      <c r="L206" s="260"/>
      <c r="M206" s="247" t="str" cm="1">
        <f t="array" ref="M206">IF($K206&gt;0, INDEX(Clean,1+AG206,$C$1), "")</f>
        <v/>
      </c>
      <c r="N206" s="245"/>
      <c r="O206" s="245"/>
      <c r="P206" s="246"/>
      <c r="Q206" s="248">
        <f t="shared" si="397"/>
        <v>0</v>
      </c>
      <c r="R206" s="247" t="str" cm="1">
        <f t="array" ref="R206">IF($K206&gt;0, INDEX(Clean,1+AH206,$C$1), "")</f>
        <v/>
      </c>
      <c r="S206" s="245"/>
      <c r="T206" s="245"/>
      <c r="U206" s="246"/>
      <c r="V206" s="248">
        <f t="shared" si="398"/>
        <v>0</v>
      </c>
      <c r="W206" s="261"/>
      <c r="X206" s="258"/>
      <c r="Y206" s="240"/>
      <c r="Z206" s="241" t="str">
        <f>IF(ISBLANK(Y206), "", VLOOKUP(Y206, Z!$A$2:$C$4127, 3, FALSE))</f>
        <v/>
      </c>
      <c r="AA206" s="262"/>
      <c r="AB206" s="249">
        <f t="shared" si="396"/>
        <v>0</v>
      </c>
      <c r="AC206" s="210"/>
      <c r="AD206" s="236">
        <f t="shared" si="421"/>
        <v>1</v>
      </c>
      <c r="AE206" s="236">
        <f t="shared" si="422"/>
        <v>1</v>
      </c>
      <c r="AF206" s="236">
        <f t="shared" si="423"/>
        <v>0</v>
      </c>
      <c r="AG206" s="236">
        <v>1</v>
      </c>
      <c r="AH206" s="236">
        <v>0</v>
      </c>
      <c r="AI206" s="236">
        <f t="shared" si="399"/>
        <v>-100</v>
      </c>
      <c r="AJ206" s="210"/>
      <c r="AK206" s="254"/>
      <c r="AL206" s="254"/>
      <c r="AM206" s="255"/>
      <c r="AN206" s="255"/>
      <c r="AO206" s="255"/>
      <c r="AP206" s="255"/>
      <c r="AQ206" s="255"/>
      <c r="AR206" s="255"/>
      <c r="AS206" s="255"/>
      <c r="AT206" s="255"/>
      <c r="AU206" s="255"/>
      <c r="AV206" s="255"/>
      <c r="AW206" s="255"/>
      <c r="AX206" s="210"/>
      <c r="AY206" s="236" cm="1">
        <f t="array" ref="AY206">INDEX(Use, $AD206, 4)</f>
        <v>7</v>
      </c>
      <c r="AZ206" s="236">
        <f t="shared" si="400"/>
        <v>32</v>
      </c>
      <c r="BA206" s="236">
        <f t="shared" si="239"/>
        <v>13</v>
      </c>
      <c r="BB206" s="236">
        <f t="shared" si="240"/>
        <v>0</v>
      </c>
      <c r="BC206" s="252" cm="1">
        <f t="array" ref="BC206">K206/IF($L206&gt;0, INDEX($AO$23:$AU$77, $L206+20, $AD206), 1)</f>
        <v>0</v>
      </c>
      <c r="BD206" s="237">
        <f t="shared" si="401"/>
        <v>0</v>
      </c>
      <c r="BE206" s="236">
        <v>35</v>
      </c>
      <c r="BF206" s="237">
        <f t="shared" si="402"/>
        <v>52.55</v>
      </c>
      <c r="BG206" s="253">
        <f t="shared" si="403"/>
        <v>2.7676728869374316</v>
      </c>
      <c r="BH206" s="253" cm="1">
        <f t="array" ref="BH206">$BC206 * SUMPRODUCT(INDEX($AL$77:$AN$82,,$AE206),INDEX($AO$77:$AU$82,,$AD206), N($AK$77:$AK$82&gt;$AI206)) / BG206 / 1000</f>
        <v>0</v>
      </c>
      <c r="BI206" s="250">
        <f t="shared" si="244"/>
        <v>30</v>
      </c>
      <c r="BJ206" s="237">
        <f t="shared" si="404"/>
        <v>46.033333333333331</v>
      </c>
      <c r="BK206" s="253">
        <f t="shared" si="405"/>
        <v>3.2297395388556791</v>
      </c>
      <c r="BL206" s="253" cm="1">
        <f t="array" ref="BL206">$BC206 * IF($AD206&lt;=2,
SUMPRODUCT(INDEX($AL$72:$AN$76,,$AE206), INDEX($AO$72:$AU$76,,$AD206), 1 / ($AV$72:$AV$76*BK206 + (1-$AV$72:$AV$76)*BG206), N($AK$72:$AK$76&gt;$AI206)),
SUMPRODUCT(INDEX($AL$67:$AN$76,,$AE206), INDEX($AO$67:$AU$76,,$AD206), 1 / ($AW$67:$AW$76*BK206 + (1-$AW$67:$AW$76)*BG206), N($AK$67:$AK$76&gt;$AI206))
) / 1000</f>
        <v>0</v>
      </c>
      <c r="BM206" s="250">
        <f t="shared" si="247"/>
        <v>25</v>
      </c>
      <c r="BN206" s="237">
        <f t="shared" si="406"/>
        <v>39.516666666666666</v>
      </c>
      <c r="BO206" s="253">
        <f t="shared" si="407"/>
        <v>3.877011788826243</v>
      </c>
      <c r="BP206" s="253" cm="1">
        <f t="array" ref="BP206">$BC206 * IF($AD206&lt;=2,
SUMPRODUCT(INDEX($AL$67:$AN$71,,$AE206), INDEX($AO$67:$AU$71,,$AD206), 1 / ($AV$67:$AV$71*BO206 + (1-$AV$67:$AV$71)*BK206), N($AK$67:$AK$71&gt;$AI206)),
SUMPRODUCT(INDEX($AL$57:$AN$66,,$AE206), INDEX($AO$57:$AU$66,,$AD206), 1 / ($AW$57:$AW$66*BO206 + (1-$AW$57:$AW$66)*BK206), N($AK$57:$AK$66&gt;$AI206))
) / 1000</f>
        <v>0</v>
      </c>
      <c r="BQ206" s="250">
        <f t="shared" si="250"/>
        <v>20</v>
      </c>
      <c r="BR206" s="237">
        <f t="shared" si="408"/>
        <v>33</v>
      </c>
      <c r="BS206" s="253">
        <f t="shared" si="409"/>
        <v>4.8487499999999999</v>
      </c>
      <c r="BT206" s="253" cm="1">
        <f t="array" ref="BT206">$BC206 * IF($AD206&lt;=2,
SUMPRODUCT(INDEX($AL$62:$AN$66,,$AE206), INDEX($AO$62:$AU$66,,$AD206), 1 / ($AV$62:$AV$66*BS206 + (1-$AV$62:$AV$66)*BO206), N($AK$62:$AK$66&gt;$AI206)),
SUMPRODUCT(INDEX($AL$47:$AN$56,,$AE206), INDEX($AO$47:$AU$56,,$AD206), 1 / ($AW$47:$AW$56*BS206 + (1-$AW$47:$AW$56)*BO206), N($AK$47:$AK$56&gt;$AI206))
) / 1000</f>
        <v>0</v>
      </c>
      <c r="BU206" s="253" cm="1">
        <f t="array" ref="BU206">$BC206 * IF($AD206&lt;=2,
SUMPRODUCT(INDEX($AL$23:$AN$61,,$AE206), INDEX($AO$23:$AU$61,,$AD206), 1 / ($AV$23:$AV$61*BS206), N($AK$23:$AK$61&gt;$AI206)),
SUMPRODUCT(INDEX($AL$23:$AN$46,,$AE206), INDEX($AO$23:$AU$46,,$AD206), 1 / ($AW$23:$AW$46*BS206), N($AK$23:$AK$46&gt;$AI206))
) / 1000</f>
        <v>0</v>
      </c>
      <c r="BV206" s="237">
        <f t="shared" si="410"/>
        <v>0</v>
      </c>
      <c r="BW206" s="210"/>
      <c r="BX206" s="237">
        <f t="shared" si="411"/>
        <v>0</v>
      </c>
      <c r="BY206" s="236">
        <v>35</v>
      </c>
      <c r="BZ206" s="237">
        <f t="shared" si="412"/>
        <v>48</v>
      </c>
      <c r="CA206" s="253">
        <f t="shared" si="413"/>
        <v>3.0748170731707316</v>
      </c>
      <c r="CB206" s="253" cm="1">
        <f t="array" ref="CB206">$BC206 * SUMPRODUCT(INDEX($AL$77:$AN$82,,$AE206),INDEX($AO$77:$AU$82,,$AD206), N($AK$77:$AK$82&gt;$AI206)) / CA206 / 1000</f>
        <v>0</v>
      </c>
      <c r="CC206" s="250">
        <f t="shared" si="257"/>
        <v>30</v>
      </c>
      <c r="CD206" s="237">
        <f t="shared" si="414"/>
        <v>43</v>
      </c>
      <c r="CE206" s="253">
        <f t="shared" si="415"/>
        <v>3.5018750000000001</v>
      </c>
      <c r="CF206" s="253" cm="1">
        <f t="array" ref="CF206">$BC206 * IF($AD206&lt;=2,
SUMPRODUCT(INDEX($AL$72:$AN$76,,$AE206), INDEX($AO$72:$AU$76,,$AD206), 1 / ($AV$72:$AV$76*CE206 + (1-$AV$72:$AV$76)*CA206), N($AK$72:$AK$76&gt;$AI206)),
SUMPRODUCT(INDEX($AL$67:$AN$76,,$AE206), INDEX($AO$67:$AU$76,,$AD206), 1 / ($AW$67:$AW$76*CE206 + (1-$AW$67:$AW$76)*CA206), N($AK$67:$AK$76&gt;$AI206))
) / 1000</f>
        <v>0</v>
      </c>
      <c r="CG206" s="250">
        <f t="shared" si="260"/>
        <v>25</v>
      </c>
      <c r="CH206" s="237">
        <f t="shared" si="416"/>
        <v>38</v>
      </c>
      <c r="CI206" s="253">
        <f t="shared" si="417"/>
        <v>4.0666935483870965</v>
      </c>
      <c r="CJ206" s="253" cm="1">
        <f t="array" ref="CJ206">$BC206 * IF($AD206&lt;=2,
SUMPRODUCT(INDEX($AL$67:$AN$71,,$AE206), INDEX($AO$67:$AU$71,,$AD206), 1 / ($AV$67:$AV$71*CI206 + (1-$AV$67:$AV$71)*CE206), N($AK$67:$AK$71&gt;$AI206)),
SUMPRODUCT(INDEX($AL$57:$AN$66,,$AE206), INDEX($AO$57:$AU$66,,$AD206), 1 / ($AW$57:$AW$66*CI206 + (1-$AW$57:$AW$66)*CE206), N($AK$57:$AK$66&gt;$AI206))
) / 1000</f>
        <v>0</v>
      </c>
      <c r="CK206" s="250">
        <f t="shared" si="263"/>
        <v>20</v>
      </c>
      <c r="CL206" s="237">
        <f t="shared" si="418"/>
        <v>33</v>
      </c>
      <c r="CM206" s="253">
        <f t="shared" si="419"/>
        <v>4.8487499999999999</v>
      </c>
      <c r="CN206" s="253" cm="1">
        <f t="array" ref="CN206">$BC206 * IF($AD206&lt;=2,
SUMPRODUCT(INDEX($AL$62:$AN$66,,$AE206), INDEX($AO$62:$AU$66,,$AD206), 1 / ($AV$62:$AV$66*CM206 + (1-$AV$62:$AV$66)*CI206), N($AK$62:$AK$66&gt;$AI206)),
SUMPRODUCT(INDEX($AL$47:$AN$56,,$AE206), INDEX($AO$47:$AU$56,,$AD206), 1 / ($AW$47:$AW$56*CM206 + (1-$AW$47:$AW$56)*CI206), N($AK$47:$AK$56&gt;$AI206))
) / 1000</f>
        <v>0</v>
      </c>
      <c r="CO206" s="253" cm="1">
        <f t="array" ref="CO206">$BC206 * IF($AD206&lt;=2,
SUMPRODUCT(INDEX($AL$23:$AN$61,,$AE206), INDEX($AO$23:$AU$61,,$AD206), 1 / ($AV$23:$AV$61*CM206), N($AK$23:$AK$61&gt;$AI206)),
SUMPRODUCT(INDEX($AL$23:$AN$46,,$AE206), INDEX($AO$23:$AU$46,,$AD206), 1 / ($AW$23:$AW$46*CM206), N($AK$23:$AK$46&gt;$AI206))
) / 1000</f>
        <v>0</v>
      </c>
      <c r="CP206" s="237">
        <f t="shared" si="420"/>
        <v>0</v>
      </c>
      <c r="CQ206" s="210"/>
    </row>
    <row r="207" spans="1:95" s="76" customFormat="1" ht="14.25" customHeight="1" x14ac:dyDescent="0.2">
      <c r="A207" s="238" t="b">
        <f t="shared" si="227"/>
        <v>0</v>
      </c>
      <c r="B207" s="239">
        <v>185</v>
      </c>
      <c r="C207" s="258"/>
      <c r="D207" s="258"/>
      <c r="E207" s="240"/>
      <c r="F207" s="241" t="str">
        <f>IF(ISBLANK(E207), "", VLOOKUP(E207, Z!$A$2:$C$4127, 3, FALSE))</f>
        <v/>
      </c>
      <c r="G207" s="242"/>
      <c r="H207" s="242"/>
      <c r="I207" s="243"/>
      <c r="J207" s="244"/>
      <c r="K207" s="259"/>
      <c r="L207" s="260"/>
      <c r="M207" s="247" t="str" cm="1">
        <f t="array" ref="M207">IF($K207&gt;0, INDEX(Clean,1+AG207,$C$1), "")</f>
        <v/>
      </c>
      <c r="N207" s="245"/>
      <c r="O207" s="245"/>
      <c r="P207" s="246"/>
      <c r="Q207" s="248">
        <f t="shared" si="397"/>
        <v>0</v>
      </c>
      <c r="R207" s="247" t="str" cm="1">
        <f t="array" ref="R207">IF($K207&gt;0, INDEX(Clean,1+AH207,$C$1), "")</f>
        <v/>
      </c>
      <c r="S207" s="245"/>
      <c r="T207" s="245"/>
      <c r="U207" s="246"/>
      <c r="V207" s="248">
        <f t="shared" si="398"/>
        <v>0</v>
      </c>
      <c r="W207" s="261"/>
      <c r="X207" s="258"/>
      <c r="Y207" s="240"/>
      <c r="Z207" s="241" t="str">
        <f>IF(ISBLANK(Y207), "", VLOOKUP(Y207, Z!$A$2:$C$4127, 3, FALSE))</f>
        <v/>
      </c>
      <c r="AA207" s="262"/>
      <c r="AB207" s="249">
        <f t="shared" si="396"/>
        <v>0</v>
      </c>
      <c r="AC207" s="210"/>
      <c r="AD207" s="236">
        <f t="shared" si="421"/>
        <v>1</v>
      </c>
      <c r="AE207" s="236">
        <f t="shared" si="422"/>
        <v>1</v>
      </c>
      <c r="AF207" s="236">
        <f t="shared" si="423"/>
        <v>0</v>
      </c>
      <c r="AG207" s="236">
        <v>1</v>
      </c>
      <c r="AH207" s="236">
        <v>0</v>
      </c>
      <c r="AI207" s="236">
        <f t="shared" si="399"/>
        <v>-100</v>
      </c>
      <c r="AJ207" s="210"/>
      <c r="AK207" s="254"/>
      <c r="AL207" s="254"/>
      <c r="AM207" s="255"/>
      <c r="AN207" s="255"/>
      <c r="AO207" s="255"/>
      <c r="AP207" s="255"/>
      <c r="AQ207" s="255"/>
      <c r="AR207" s="255"/>
      <c r="AS207" s="255"/>
      <c r="AT207" s="255"/>
      <c r="AU207" s="255"/>
      <c r="AV207" s="255"/>
      <c r="AW207" s="255"/>
      <c r="AX207" s="210"/>
      <c r="AY207" s="236" cm="1">
        <f t="array" ref="AY207">INDEX(Use, $AD207, 4)</f>
        <v>7</v>
      </c>
      <c r="AZ207" s="236">
        <f t="shared" si="400"/>
        <v>32</v>
      </c>
      <c r="BA207" s="236">
        <f t="shared" si="239"/>
        <v>13</v>
      </c>
      <c r="BB207" s="236">
        <f t="shared" si="240"/>
        <v>0</v>
      </c>
      <c r="BC207" s="252" cm="1">
        <f t="array" ref="BC207">K207/IF($L207&gt;0, INDEX($AO$23:$AU$77, $L207+20, $AD207), 1)</f>
        <v>0</v>
      </c>
      <c r="BD207" s="237">
        <f t="shared" si="401"/>
        <v>0</v>
      </c>
      <c r="BE207" s="236">
        <v>35</v>
      </c>
      <c r="BF207" s="237">
        <f t="shared" si="402"/>
        <v>52.55</v>
      </c>
      <c r="BG207" s="253">
        <f t="shared" si="403"/>
        <v>2.7676728869374316</v>
      </c>
      <c r="BH207" s="253" cm="1">
        <f t="array" ref="BH207">$BC207 * SUMPRODUCT(INDEX($AL$77:$AN$82,,$AE207),INDEX($AO$77:$AU$82,,$AD207), N($AK$77:$AK$82&gt;$AI207)) / BG207 / 1000</f>
        <v>0</v>
      </c>
      <c r="BI207" s="250">
        <f t="shared" si="244"/>
        <v>30</v>
      </c>
      <c r="BJ207" s="237">
        <f t="shared" si="404"/>
        <v>46.033333333333331</v>
      </c>
      <c r="BK207" s="253">
        <f t="shared" si="405"/>
        <v>3.2297395388556791</v>
      </c>
      <c r="BL207" s="253" cm="1">
        <f t="array" ref="BL207">$BC207 * IF($AD207&lt;=2,
SUMPRODUCT(INDEX($AL$72:$AN$76,,$AE207), INDEX($AO$72:$AU$76,,$AD207), 1 / ($AV$72:$AV$76*BK207 + (1-$AV$72:$AV$76)*BG207), N($AK$72:$AK$76&gt;$AI207)),
SUMPRODUCT(INDEX($AL$67:$AN$76,,$AE207), INDEX($AO$67:$AU$76,,$AD207), 1 / ($AW$67:$AW$76*BK207 + (1-$AW$67:$AW$76)*BG207), N($AK$67:$AK$76&gt;$AI207))
) / 1000</f>
        <v>0</v>
      </c>
      <c r="BM207" s="250">
        <f t="shared" si="247"/>
        <v>25</v>
      </c>
      <c r="BN207" s="237">
        <f t="shared" si="406"/>
        <v>39.516666666666666</v>
      </c>
      <c r="BO207" s="253">
        <f t="shared" si="407"/>
        <v>3.877011788826243</v>
      </c>
      <c r="BP207" s="253" cm="1">
        <f t="array" ref="BP207">$BC207 * IF($AD207&lt;=2,
SUMPRODUCT(INDEX($AL$67:$AN$71,,$AE207), INDEX($AO$67:$AU$71,,$AD207), 1 / ($AV$67:$AV$71*BO207 + (1-$AV$67:$AV$71)*BK207), N($AK$67:$AK$71&gt;$AI207)),
SUMPRODUCT(INDEX($AL$57:$AN$66,,$AE207), INDEX($AO$57:$AU$66,,$AD207), 1 / ($AW$57:$AW$66*BO207 + (1-$AW$57:$AW$66)*BK207), N($AK$57:$AK$66&gt;$AI207))
) / 1000</f>
        <v>0</v>
      </c>
      <c r="BQ207" s="250">
        <f t="shared" si="250"/>
        <v>20</v>
      </c>
      <c r="BR207" s="237">
        <f t="shared" si="408"/>
        <v>33</v>
      </c>
      <c r="BS207" s="253">
        <f t="shared" si="409"/>
        <v>4.8487499999999999</v>
      </c>
      <c r="BT207" s="253" cm="1">
        <f t="array" ref="BT207">$BC207 * IF($AD207&lt;=2,
SUMPRODUCT(INDEX($AL$62:$AN$66,,$AE207), INDEX($AO$62:$AU$66,,$AD207), 1 / ($AV$62:$AV$66*BS207 + (1-$AV$62:$AV$66)*BO207), N($AK$62:$AK$66&gt;$AI207)),
SUMPRODUCT(INDEX($AL$47:$AN$56,,$AE207), INDEX($AO$47:$AU$56,,$AD207), 1 / ($AW$47:$AW$56*BS207 + (1-$AW$47:$AW$56)*BO207), N($AK$47:$AK$56&gt;$AI207))
) / 1000</f>
        <v>0</v>
      </c>
      <c r="BU207" s="253" cm="1">
        <f t="array" ref="BU207">$BC207 * IF($AD207&lt;=2,
SUMPRODUCT(INDEX($AL$23:$AN$61,,$AE207), INDEX($AO$23:$AU$61,,$AD207), 1 / ($AV$23:$AV$61*BS207), N($AK$23:$AK$61&gt;$AI207)),
SUMPRODUCT(INDEX($AL$23:$AN$46,,$AE207), INDEX($AO$23:$AU$46,,$AD207), 1 / ($AW$23:$AW$46*BS207), N($AK$23:$AK$46&gt;$AI207))
) / 1000</f>
        <v>0</v>
      </c>
      <c r="BV207" s="237">
        <f t="shared" si="410"/>
        <v>0</v>
      </c>
      <c r="BW207" s="210"/>
      <c r="BX207" s="237">
        <f t="shared" si="411"/>
        <v>0</v>
      </c>
      <c r="BY207" s="236">
        <v>35</v>
      </c>
      <c r="BZ207" s="237">
        <f t="shared" si="412"/>
        <v>48</v>
      </c>
      <c r="CA207" s="253">
        <f t="shared" si="413"/>
        <v>3.0748170731707316</v>
      </c>
      <c r="CB207" s="253" cm="1">
        <f t="array" ref="CB207">$BC207 * SUMPRODUCT(INDEX($AL$77:$AN$82,,$AE207),INDEX($AO$77:$AU$82,,$AD207), N($AK$77:$AK$82&gt;$AI207)) / CA207 / 1000</f>
        <v>0</v>
      </c>
      <c r="CC207" s="250">
        <f t="shared" si="257"/>
        <v>30</v>
      </c>
      <c r="CD207" s="237">
        <f t="shared" si="414"/>
        <v>43</v>
      </c>
      <c r="CE207" s="253">
        <f t="shared" si="415"/>
        <v>3.5018750000000001</v>
      </c>
      <c r="CF207" s="253" cm="1">
        <f t="array" ref="CF207">$BC207 * IF($AD207&lt;=2,
SUMPRODUCT(INDEX($AL$72:$AN$76,,$AE207), INDEX($AO$72:$AU$76,,$AD207), 1 / ($AV$72:$AV$76*CE207 + (1-$AV$72:$AV$76)*CA207), N($AK$72:$AK$76&gt;$AI207)),
SUMPRODUCT(INDEX($AL$67:$AN$76,,$AE207), INDEX($AO$67:$AU$76,,$AD207), 1 / ($AW$67:$AW$76*CE207 + (1-$AW$67:$AW$76)*CA207), N($AK$67:$AK$76&gt;$AI207))
) / 1000</f>
        <v>0</v>
      </c>
      <c r="CG207" s="250">
        <f t="shared" si="260"/>
        <v>25</v>
      </c>
      <c r="CH207" s="237">
        <f t="shared" si="416"/>
        <v>38</v>
      </c>
      <c r="CI207" s="253">
        <f t="shared" si="417"/>
        <v>4.0666935483870965</v>
      </c>
      <c r="CJ207" s="253" cm="1">
        <f t="array" ref="CJ207">$BC207 * IF($AD207&lt;=2,
SUMPRODUCT(INDEX($AL$67:$AN$71,,$AE207), INDEX($AO$67:$AU$71,,$AD207), 1 / ($AV$67:$AV$71*CI207 + (1-$AV$67:$AV$71)*CE207), N($AK$67:$AK$71&gt;$AI207)),
SUMPRODUCT(INDEX($AL$57:$AN$66,,$AE207), INDEX($AO$57:$AU$66,,$AD207), 1 / ($AW$57:$AW$66*CI207 + (1-$AW$57:$AW$66)*CE207), N($AK$57:$AK$66&gt;$AI207))
) / 1000</f>
        <v>0</v>
      </c>
      <c r="CK207" s="250">
        <f t="shared" si="263"/>
        <v>20</v>
      </c>
      <c r="CL207" s="237">
        <f t="shared" si="418"/>
        <v>33</v>
      </c>
      <c r="CM207" s="253">
        <f t="shared" si="419"/>
        <v>4.8487499999999999</v>
      </c>
      <c r="CN207" s="253" cm="1">
        <f t="array" ref="CN207">$BC207 * IF($AD207&lt;=2,
SUMPRODUCT(INDEX($AL$62:$AN$66,,$AE207), INDEX($AO$62:$AU$66,,$AD207), 1 / ($AV$62:$AV$66*CM207 + (1-$AV$62:$AV$66)*CI207), N($AK$62:$AK$66&gt;$AI207)),
SUMPRODUCT(INDEX($AL$47:$AN$56,,$AE207), INDEX($AO$47:$AU$56,,$AD207), 1 / ($AW$47:$AW$56*CM207 + (1-$AW$47:$AW$56)*CI207), N($AK$47:$AK$56&gt;$AI207))
) / 1000</f>
        <v>0</v>
      </c>
      <c r="CO207" s="253" cm="1">
        <f t="array" ref="CO207">$BC207 * IF($AD207&lt;=2,
SUMPRODUCT(INDEX($AL$23:$AN$61,,$AE207), INDEX($AO$23:$AU$61,,$AD207), 1 / ($AV$23:$AV$61*CM207), N($AK$23:$AK$61&gt;$AI207)),
SUMPRODUCT(INDEX($AL$23:$AN$46,,$AE207), INDEX($AO$23:$AU$46,,$AD207), 1 / ($AW$23:$AW$46*CM207), N($AK$23:$AK$46&gt;$AI207))
) / 1000</f>
        <v>0</v>
      </c>
      <c r="CP207" s="237">
        <f t="shared" si="420"/>
        <v>0</v>
      </c>
      <c r="CQ207" s="210"/>
    </row>
    <row r="208" spans="1:95" s="76" customFormat="1" ht="14.25" customHeight="1" x14ac:dyDescent="0.2">
      <c r="A208" s="238" t="b">
        <f t="shared" si="227"/>
        <v>0</v>
      </c>
      <c r="B208" s="239">
        <v>186</v>
      </c>
      <c r="C208" s="258"/>
      <c r="D208" s="258"/>
      <c r="E208" s="240"/>
      <c r="F208" s="241" t="str">
        <f>IF(ISBLANK(E208), "", VLOOKUP(E208, Z!$A$2:$C$4127, 3, FALSE))</f>
        <v/>
      </c>
      <c r="G208" s="242"/>
      <c r="H208" s="242"/>
      <c r="I208" s="243"/>
      <c r="J208" s="244"/>
      <c r="K208" s="259"/>
      <c r="L208" s="260"/>
      <c r="M208" s="247" t="str" cm="1">
        <f t="array" ref="M208">IF($K208&gt;0, INDEX(Clean,1+AG208,$C$1), "")</f>
        <v/>
      </c>
      <c r="N208" s="245"/>
      <c r="O208" s="245"/>
      <c r="P208" s="246"/>
      <c r="Q208" s="248">
        <f t="shared" si="397"/>
        <v>0</v>
      </c>
      <c r="R208" s="247" t="str" cm="1">
        <f t="array" ref="R208">IF($K208&gt;0, INDEX(Clean,1+AH208,$C$1), "")</f>
        <v/>
      </c>
      <c r="S208" s="245"/>
      <c r="T208" s="245"/>
      <c r="U208" s="246"/>
      <c r="V208" s="248">
        <f t="shared" si="398"/>
        <v>0</v>
      </c>
      <c r="W208" s="261"/>
      <c r="X208" s="258"/>
      <c r="Y208" s="240"/>
      <c r="Z208" s="241" t="str">
        <f>IF(ISBLANK(Y208), "", VLOOKUP(Y208, Z!$A$2:$C$4127, 3, FALSE))</f>
        <v/>
      </c>
      <c r="AA208" s="262"/>
      <c r="AB208" s="249">
        <f t="shared" si="396"/>
        <v>0</v>
      </c>
      <c r="AC208" s="210"/>
      <c r="AD208" s="236">
        <f t="shared" si="421"/>
        <v>1</v>
      </c>
      <c r="AE208" s="236">
        <f t="shared" si="422"/>
        <v>1</v>
      </c>
      <c r="AF208" s="236">
        <f t="shared" si="423"/>
        <v>0</v>
      </c>
      <c r="AG208" s="236">
        <v>1</v>
      </c>
      <c r="AH208" s="236">
        <v>0</v>
      </c>
      <c r="AI208" s="236">
        <f t="shared" si="399"/>
        <v>-100</v>
      </c>
      <c r="AJ208" s="210"/>
      <c r="AK208" s="254"/>
      <c r="AL208" s="254"/>
      <c r="AM208" s="255"/>
      <c r="AN208" s="255"/>
      <c r="AO208" s="255"/>
      <c r="AP208" s="255"/>
      <c r="AQ208" s="255"/>
      <c r="AR208" s="255"/>
      <c r="AS208" s="255"/>
      <c r="AT208" s="255"/>
      <c r="AU208" s="255"/>
      <c r="AV208" s="255"/>
      <c r="AW208" s="255"/>
      <c r="AX208" s="210"/>
      <c r="AY208" s="236" cm="1">
        <f t="array" ref="AY208">INDEX(Use, $AD208, 4)</f>
        <v>7</v>
      </c>
      <c r="AZ208" s="236">
        <f t="shared" si="400"/>
        <v>32</v>
      </c>
      <c r="BA208" s="236">
        <f t="shared" si="239"/>
        <v>13</v>
      </c>
      <c r="BB208" s="236">
        <f t="shared" si="240"/>
        <v>0</v>
      </c>
      <c r="BC208" s="252" cm="1">
        <f t="array" ref="BC208">K208/IF($L208&gt;0, INDEX($AO$23:$AU$77, $L208+20, $AD208), 1)</f>
        <v>0</v>
      </c>
      <c r="BD208" s="237">
        <f t="shared" si="401"/>
        <v>0</v>
      </c>
      <c r="BE208" s="236">
        <v>35</v>
      </c>
      <c r="BF208" s="237">
        <f t="shared" si="402"/>
        <v>52.55</v>
      </c>
      <c r="BG208" s="253">
        <f t="shared" si="403"/>
        <v>2.7676728869374316</v>
      </c>
      <c r="BH208" s="253" cm="1">
        <f t="array" ref="BH208">$BC208 * SUMPRODUCT(INDEX($AL$77:$AN$82,,$AE208),INDEX($AO$77:$AU$82,,$AD208), N($AK$77:$AK$82&gt;$AI208)) / BG208 / 1000</f>
        <v>0</v>
      </c>
      <c r="BI208" s="250">
        <f t="shared" si="244"/>
        <v>30</v>
      </c>
      <c r="BJ208" s="237">
        <f t="shared" si="404"/>
        <v>46.033333333333331</v>
      </c>
      <c r="BK208" s="253">
        <f t="shared" si="405"/>
        <v>3.2297395388556791</v>
      </c>
      <c r="BL208" s="253" cm="1">
        <f t="array" ref="BL208">$BC208 * IF($AD208&lt;=2,
SUMPRODUCT(INDEX($AL$72:$AN$76,,$AE208), INDEX($AO$72:$AU$76,,$AD208), 1 / ($AV$72:$AV$76*BK208 + (1-$AV$72:$AV$76)*BG208), N($AK$72:$AK$76&gt;$AI208)),
SUMPRODUCT(INDEX($AL$67:$AN$76,,$AE208), INDEX($AO$67:$AU$76,,$AD208), 1 / ($AW$67:$AW$76*BK208 + (1-$AW$67:$AW$76)*BG208), N($AK$67:$AK$76&gt;$AI208))
) / 1000</f>
        <v>0</v>
      </c>
      <c r="BM208" s="250">
        <f t="shared" si="247"/>
        <v>25</v>
      </c>
      <c r="BN208" s="237">
        <f t="shared" si="406"/>
        <v>39.516666666666666</v>
      </c>
      <c r="BO208" s="253">
        <f t="shared" si="407"/>
        <v>3.877011788826243</v>
      </c>
      <c r="BP208" s="253" cm="1">
        <f t="array" ref="BP208">$BC208 * IF($AD208&lt;=2,
SUMPRODUCT(INDEX($AL$67:$AN$71,,$AE208), INDEX($AO$67:$AU$71,,$AD208), 1 / ($AV$67:$AV$71*BO208 + (1-$AV$67:$AV$71)*BK208), N($AK$67:$AK$71&gt;$AI208)),
SUMPRODUCT(INDEX($AL$57:$AN$66,,$AE208), INDEX($AO$57:$AU$66,,$AD208), 1 / ($AW$57:$AW$66*BO208 + (1-$AW$57:$AW$66)*BK208), N($AK$57:$AK$66&gt;$AI208))
) / 1000</f>
        <v>0</v>
      </c>
      <c r="BQ208" s="250">
        <f t="shared" si="250"/>
        <v>20</v>
      </c>
      <c r="BR208" s="237">
        <f t="shared" si="408"/>
        <v>33</v>
      </c>
      <c r="BS208" s="253">
        <f t="shared" si="409"/>
        <v>4.8487499999999999</v>
      </c>
      <c r="BT208" s="253" cm="1">
        <f t="array" ref="BT208">$BC208 * IF($AD208&lt;=2,
SUMPRODUCT(INDEX($AL$62:$AN$66,,$AE208), INDEX($AO$62:$AU$66,,$AD208), 1 / ($AV$62:$AV$66*BS208 + (1-$AV$62:$AV$66)*BO208), N($AK$62:$AK$66&gt;$AI208)),
SUMPRODUCT(INDEX($AL$47:$AN$56,,$AE208), INDEX($AO$47:$AU$56,,$AD208), 1 / ($AW$47:$AW$56*BS208 + (1-$AW$47:$AW$56)*BO208), N($AK$47:$AK$56&gt;$AI208))
) / 1000</f>
        <v>0</v>
      </c>
      <c r="BU208" s="253" cm="1">
        <f t="array" ref="BU208">$BC208 * IF($AD208&lt;=2,
SUMPRODUCT(INDEX($AL$23:$AN$61,,$AE208), INDEX($AO$23:$AU$61,,$AD208), 1 / ($AV$23:$AV$61*BS208), N($AK$23:$AK$61&gt;$AI208)),
SUMPRODUCT(INDEX($AL$23:$AN$46,,$AE208), INDEX($AO$23:$AU$46,,$AD208), 1 / ($AW$23:$AW$46*BS208), N($AK$23:$AK$46&gt;$AI208))
) / 1000</f>
        <v>0</v>
      </c>
      <c r="BV208" s="237">
        <f t="shared" si="410"/>
        <v>0</v>
      </c>
      <c r="BW208" s="210"/>
      <c r="BX208" s="237">
        <f t="shared" si="411"/>
        <v>0</v>
      </c>
      <c r="BY208" s="236">
        <v>35</v>
      </c>
      <c r="BZ208" s="237">
        <f t="shared" si="412"/>
        <v>48</v>
      </c>
      <c r="CA208" s="253">
        <f t="shared" si="413"/>
        <v>3.0748170731707316</v>
      </c>
      <c r="CB208" s="253" cm="1">
        <f t="array" ref="CB208">$BC208 * SUMPRODUCT(INDEX($AL$77:$AN$82,,$AE208),INDEX($AO$77:$AU$82,,$AD208), N($AK$77:$AK$82&gt;$AI208)) / CA208 / 1000</f>
        <v>0</v>
      </c>
      <c r="CC208" s="250">
        <f t="shared" si="257"/>
        <v>30</v>
      </c>
      <c r="CD208" s="237">
        <f t="shared" si="414"/>
        <v>43</v>
      </c>
      <c r="CE208" s="253">
        <f t="shared" si="415"/>
        <v>3.5018750000000001</v>
      </c>
      <c r="CF208" s="253" cm="1">
        <f t="array" ref="CF208">$BC208 * IF($AD208&lt;=2,
SUMPRODUCT(INDEX($AL$72:$AN$76,,$AE208), INDEX($AO$72:$AU$76,,$AD208), 1 / ($AV$72:$AV$76*CE208 + (1-$AV$72:$AV$76)*CA208), N($AK$72:$AK$76&gt;$AI208)),
SUMPRODUCT(INDEX($AL$67:$AN$76,,$AE208), INDEX($AO$67:$AU$76,,$AD208), 1 / ($AW$67:$AW$76*CE208 + (1-$AW$67:$AW$76)*CA208), N($AK$67:$AK$76&gt;$AI208))
) / 1000</f>
        <v>0</v>
      </c>
      <c r="CG208" s="250">
        <f t="shared" si="260"/>
        <v>25</v>
      </c>
      <c r="CH208" s="237">
        <f t="shared" si="416"/>
        <v>38</v>
      </c>
      <c r="CI208" s="253">
        <f t="shared" si="417"/>
        <v>4.0666935483870965</v>
      </c>
      <c r="CJ208" s="253" cm="1">
        <f t="array" ref="CJ208">$BC208 * IF($AD208&lt;=2,
SUMPRODUCT(INDEX($AL$67:$AN$71,,$AE208), INDEX($AO$67:$AU$71,,$AD208), 1 / ($AV$67:$AV$71*CI208 + (1-$AV$67:$AV$71)*CE208), N($AK$67:$AK$71&gt;$AI208)),
SUMPRODUCT(INDEX($AL$57:$AN$66,,$AE208), INDEX($AO$57:$AU$66,,$AD208), 1 / ($AW$57:$AW$66*CI208 + (1-$AW$57:$AW$66)*CE208), N($AK$57:$AK$66&gt;$AI208))
) / 1000</f>
        <v>0</v>
      </c>
      <c r="CK208" s="250">
        <f t="shared" si="263"/>
        <v>20</v>
      </c>
      <c r="CL208" s="237">
        <f t="shared" si="418"/>
        <v>33</v>
      </c>
      <c r="CM208" s="253">
        <f t="shared" si="419"/>
        <v>4.8487499999999999</v>
      </c>
      <c r="CN208" s="253" cm="1">
        <f t="array" ref="CN208">$BC208 * IF($AD208&lt;=2,
SUMPRODUCT(INDEX($AL$62:$AN$66,,$AE208), INDEX($AO$62:$AU$66,,$AD208), 1 / ($AV$62:$AV$66*CM208 + (1-$AV$62:$AV$66)*CI208), N($AK$62:$AK$66&gt;$AI208)),
SUMPRODUCT(INDEX($AL$47:$AN$56,,$AE208), INDEX($AO$47:$AU$56,,$AD208), 1 / ($AW$47:$AW$56*CM208 + (1-$AW$47:$AW$56)*CI208), N($AK$47:$AK$56&gt;$AI208))
) / 1000</f>
        <v>0</v>
      </c>
      <c r="CO208" s="253" cm="1">
        <f t="array" ref="CO208">$BC208 * IF($AD208&lt;=2,
SUMPRODUCT(INDEX($AL$23:$AN$61,,$AE208), INDEX($AO$23:$AU$61,,$AD208), 1 / ($AV$23:$AV$61*CM208), N($AK$23:$AK$61&gt;$AI208)),
SUMPRODUCT(INDEX($AL$23:$AN$46,,$AE208), INDEX($AO$23:$AU$46,,$AD208), 1 / ($AW$23:$AW$46*CM208), N($AK$23:$AK$46&gt;$AI208))
) / 1000</f>
        <v>0</v>
      </c>
      <c r="CP208" s="237">
        <f t="shared" si="420"/>
        <v>0</v>
      </c>
      <c r="CQ208" s="210"/>
    </row>
    <row r="209" spans="1:95" s="76" customFormat="1" ht="14.25" customHeight="1" x14ac:dyDescent="0.2">
      <c r="A209" s="238" t="b">
        <f t="shared" si="227"/>
        <v>0</v>
      </c>
      <c r="B209" s="239">
        <v>187</v>
      </c>
      <c r="C209" s="258"/>
      <c r="D209" s="258"/>
      <c r="E209" s="240"/>
      <c r="F209" s="241" t="str">
        <f>IF(ISBLANK(E209), "", VLOOKUP(E209, Z!$A$2:$C$4127, 3, FALSE))</f>
        <v/>
      </c>
      <c r="G209" s="242"/>
      <c r="H209" s="242"/>
      <c r="I209" s="243"/>
      <c r="J209" s="244"/>
      <c r="K209" s="259"/>
      <c r="L209" s="260"/>
      <c r="M209" s="247" t="str" cm="1">
        <f t="array" ref="M209">IF($K209&gt;0, INDEX(Clean,1+AG209,$C$1), "")</f>
        <v/>
      </c>
      <c r="N209" s="245"/>
      <c r="O209" s="245"/>
      <c r="P209" s="246"/>
      <c r="Q209" s="248">
        <f t="shared" si="397"/>
        <v>0</v>
      </c>
      <c r="R209" s="247" t="str" cm="1">
        <f t="array" ref="R209">IF($K209&gt;0, INDEX(Clean,1+AH209,$C$1), "")</f>
        <v/>
      </c>
      <c r="S209" s="245"/>
      <c r="T209" s="245"/>
      <c r="U209" s="246"/>
      <c r="V209" s="248">
        <f t="shared" si="398"/>
        <v>0</v>
      </c>
      <c r="W209" s="261"/>
      <c r="X209" s="258"/>
      <c r="Y209" s="240"/>
      <c r="Z209" s="241" t="str">
        <f>IF(ISBLANK(Y209), "", VLOOKUP(Y209, Z!$A$2:$C$4127, 3, FALSE))</f>
        <v/>
      </c>
      <c r="AA209" s="262"/>
      <c r="AB209" s="249">
        <f t="shared" si="396"/>
        <v>0</v>
      </c>
      <c r="AC209" s="210"/>
      <c r="AD209" s="236">
        <f t="shared" si="421"/>
        <v>1</v>
      </c>
      <c r="AE209" s="236">
        <f t="shared" si="422"/>
        <v>1</v>
      </c>
      <c r="AF209" s="236">
        <f t="shared" si="423"/>
        <v>0</v>
      </c>
      <c r="AG209" s="236">
        <v>1</v>
      </c>
      <c r="AH209" s="236">
        <v>0</v>
      </c>
      <c r="AI209" s="236">
        <f t="shared" si="399"/>
        <v>-100</v>
      </c>
      <c r="AJ209" s="210"/>
      <c r="AK209" s="254"/>
      <c r="AL209" s="254"/>
      <c r="AM209" s="255"/>
      <c r="AN209" s="255"/>
      <c r="AO209" s="255"/>
      <c r="AP209" s="255"/>
      <c r="AQ209" s="255"/>
      <c r="AR209" s="255"/>
      <c r="AS209" s="255"/>
      <c r="AT209" s="255"/>
      <c r="AU209" s="255"/>
      <c r="AV209" s="255"/>
      <c r="AW209" s="255"/>
      <c r="AX209" s="210"/>
      <c r="AY209" s="236" cm="1">
        <f t="array" ref="AY209">INDEX(Use, $AD209, 4)</f>
        <v>7</v>
      </c>
      <c r="AZ209" s="236">
        <f t="shared" si="400"/>
        <v>32</v>
      </c>
      <c r="BA209" s="236">
        <f t="shared" si="239"/>
        <v>13</v>
      </c>
      <c r="BB209" s="236">
        <f t="shared" si="240"/>
        <v>0</v>
      </c>
      <c r="BC209" s="252" cm="1">
        <f t="array" ref="BC209">K209/IF($L209&gt;0, INDEX($AO$23:$AU$77, $L209+20, $AD209), 1)</f>
        <v>0</v>
      </c>
      <c r="BD209" s="237">
        <f t="shared" si="401"/>
        <v>0</v>
      </c>
      <c r="BE209" s="236">
        <v>35</v>
      </c>
      <c r="BF209" s="237">
        <f t="shared" si="402"/>
        <v>52.55</v>
      </c>
      <c r="BG209" s="253">
        <f t="shared" si="403"/>
        <v>2.7676728869374316</v>
      </c>
      <c r="BH209" s="253" cm="1">
        <f t="array" ref="BH209">$BC209 * SUMPRODUCT(INDEX($AL$77:$AN$82,,$AE209),INDEX($AO$77:$AU$82,,$AD209), N($AK$77:$AK$82&gt;$AI209)) / BG209 / 1000</f>
        <v>0</v>
      </c>
      <c r="BI209" s="250">
        <f t="shared" si="244"/>
        <v>30</v>
      </c>
      <c r="BJ209" s="237">
        <f t="shared" si="404"/>
        <v>46.033333333333331</v>
      </c>
      <c r="BK209" s="253">
        <f t="shared" si="405"/>
        <v>3.2297395388556791</v>
      </c>
      <c r="BL209" s="253" cm="1">
        <f t="array" ref="BL209">$BC209 * IF($AD209&lt;=2,
SUMPRODUCT(INDEX($AL$72:$AN$76,,$AE209), INDEX($AO$72:$AU$76,,$AD209), 1 / ($AV$72:$AV$76*BK209 + (1-$AV$72:$AV$76)*BG209), N($AK$72:$AK$76&gt;$AI209)),
SUMPRODUCT(INDEX($AL$67:$AN$76,,$AE209), INDEX($AO$67:$AU$76,,$AD209), 1 / ($AW$67:$AW$76*BK209 + (1-$AW$67:$AW$76)*BG209), N($AK$67:$AK$76&gt;$AI209))
) / 1000</f>
        <v>0</v>
      </c>
      <c r="BM209" s="250">
        <f t="shared" si="247"/>
        <v>25</v>
      </c>
      <c r="BN209" s="237">
        <f t="shared" si="406"/>
        <v>39.516666666666666</v>
      </c>
      <c r="BO209" s="253">
        <f t="shared" si="407"/>
        <v>3.877011788826243</v>
      </c>
      <c r="BP209" s="253" cm="1">
        <f t="array" ref="BP209">$BC209 * IF($AD209&lt;=2,
SUMPRODUCT(INDEX($AL$67:$AN$71,,$AE209), INDEX($AO$67:$AU$71,,$AD209), 1 / ($AV$67:$AV$71*BO209 + (1-$AV$67:$AV$71)*BK209), N($AK$67:$AK$71&gt;$AI209)),
SUMPRODUCT(INDEX($AL$57:$AN$66,,$AE209), INDEX($AO$57:$AU$66,,$AD209), 1 / ($AW$57:$AW$66*BO209 + (1-$AW$57:$AW$66)*BK209), N($AK$57:$AK$66&gt;$AI209))
) / 1000</f>
        <v>0</v>
      </c>
      <c r="BQ209" s="250">
        <f t="shared" si="250"/>
        <v>20</v>
      </c>
      <c r="BR209" s="237">
        <f t="shared" si="408"/>
        <v>33</v>
      </c>
      <c r="BS209" s="253">
        <f t="shared" si="409"/>
        <v>4.8487499999999999</v>
      </c>
      <c r="BT209" s="253" cm="1">
        <f t="array" ref="BT209">$BC209 * IF($AD209&lt;=2,
SUMPRODUCT(INDEX($AL$62:$AN$66,,$AE209), INDEX($AO$62:$AU$66,,$AD209), 1 / ($AV$62:$AV$66*BS209 + (1-$AV$62:$AV$66)*BO209), N($AK$62:$AK$66&gt;$AI209)),
SUMPRODUCT(INDEX($AL$47:$AN$56,,$AE209), INDEX($AO$47:$AU$56,,$AD209), 1 / ($AW$47:$AW$56*BS209 + (1-$AW$47:$AW$56)*BO209), N($AK$47:$AK$56&gt;$AI209))
) / 1000</f>
        <v>0</v>
      </c>
      <c r="BU209" s="253" cm="1">
        <f t="array" ref="BU209">$BC209 * IF($AD209&lt;=2,
SUMPRODUCT(INDEX($AL$23:$AN$61,,$AE209), INDEX($AO$23:$AU$61,,$AD209), 1 / ($AV$23:$AV$61*BS209), N($AK$23:$AK$61&gt;$AI209)),
SUMPRODUCT(INDEX($AL$23:$AN$46,,$AE209), INDEX($AO$23:$AU$46,,$AD209), 1 / ($AW$23:$AW$46*BS209), N($AK$23:$AK$46&gt;$AI209))
) / 1000</f>
        <v>0</v>
      </c>
      <c r="BV209" s="237">
        <f t="shared" si="410"/>
        <v>0</v>
      </c>
      <c r="BW209" s="210"/>
      <c r="BX209" s="237">
        <f t="shared" si="411"/>
        <v>0</v>
      </c>
      <c r="BY209" s="236">
        <v>35</v>
      </c>
      <c r="BZ209" s="237">
        <f t="shared" si="412"/>
        <v>48</v>
      </c>
      <c r="CA209" s="253">
        <f t="shared" si="413"/>
        <v>3.0748170731707316</v>
      </c>
      <c r="CB209" s="253" cm="1">
        <f t="array" ref="CB209">$BC209 * SUMPRODUCT(INDEX($AL$77:$AN$82,,$AE209),INDEX($AO$77:$AU$82,,$AD209), N($AK$77:$AK$82&gt;$AI209)) / CA209 / 1000</f>
        <v>0</v>
      </c>
      <c r="CC209" s="250">
        <f t="shared" si="257"/>
        <v>30</v>
      </c>
      <c r="CD209" s="237">
        <f t="shared" si="414"/>
        <v>43</v>
      </c>
      <c r="CE209" s="253">
        <f t="shared" si="415"/>
        <v>3.5018750000000001</v>
      </c>
      <c r="CF209" s="253" cm="1">
        <f t="array" ref="CF209">$BC209 * IF($AD209&lt;=2,
SUMPRODUCT(INDEX($AL$72:$AN$76,,$AE209), INDEX($AO$72:$AU$76,,$AD209), 1 / ($AV$72:$AV$76*CE209 + (1-$AV$72:$AV$76)*CA209), N($AK$72:$AK$76&gt;$AI209)),
SUMPRODUCT(INDEX($AL$67:$AN$76,,$AE209), INDEX($AO$67:$AU$76,,$AD209), 1 / ($AW$67:$AW$76*CE209 + (1-$AW$67:$AW$76)*CA209), N($AK$67:$AK$76&gt;$AI209))
) / 1000</f>
        <v>0</v>
      </c>
      <c r="CG209" s="250">
        <f t="shared" si="260"/>
        <v>25</v>
      </c>
      <c r="CH209" s="237">
        <f t="shared" si="416"/>
        <v>38</v>
      </c>
      <c r="CI209" s="253">
        <f t="shared" si="417"/>
        <v>4.0666935483870965</v>
      </c>
      <c r="CJ209" s="253" cm="1">
        <f t="array" ref="CJ209">$BC209 * IF($AD209&lt;=2,
SUMPRODUCT(INDEX($AL$67:$AN$71,,$AE209), INDEX($AO$67:$AU$71,,$AD209), 1 / ($AV$67:$AV$71*CI209 + (1-$AV$67:$AV$71)*CE209), N($AK$67:$AK$71&gt;$AI209)),
SUMPRODUCT(INDEX($AL$57:$AN$66,,$AE209), INDEX($AO$57:$AU$66,,$AD209), 1 / ($AW$57:$AW$66*CI209 + (1-$AW$57:$AW$66)*CE209), N($AK$57:$AK$66&gt;$AI209))
) / 1000</f>
        <v>0</v>
      </c>
      <c r="CK209" s="250">
        <f t="shared" si="263"/>
        <v>20</v>
      </c>
      <c r="CL209" s="237">
        <f t="shared" si="418"/>
        <v>33</v>
      </c>
      <c r="CM209" s="253">
        <f t="shared" si="419"/>
        <v>4.8487499999999999</v>
      </c>
      <c r="CN209" s="253" cm="1">
        <f t="array" ref="CN209">$BC209 * IF($AD209&lt;=2,
SUMPRODUCT(INDEX($AL$62:$AN$66,,$AE209), INDEX($AO$62:$AU$66,,$AD209), 1 / ($AV$62:$AV$66*CM209 + (1-$AV$62:$AV$66)*CI209), N($AK$62:$AK$66&gt;$AI209)),
SUMPRODUCT(INDEX($AL$47:$AN$56,,$AE209), INDEX($AO$47:$AU$56,,$AD209), 1 / ($AW$47:$AW$56*CM209 + (1-$AW$47:$AW$56)*CI209), N($AK$47:$AK$56&gt;$AI209))
) / 1000</f>
        <v>0</v>
      </c>
      <c r="CO209" s="253" cm="1">
        <f t="array" ref="CO209">$BC209 * IF($AD209&lt;=2,
SUMPRODUCT(INDEX($AL$23:$AN$61,,$AE209), INDEX($AO$23:$AU$61,,$AD209), 1 / ($AV$23:$AV$61*CM209), N($AK$23:$AK$61&gt;$AI209)),
SUMPRODUCT(INDEX($AL$23:$AN$46,,$AE209), INDEX($AO$23:$AU$46,,$AD209), 1 / ($AW$23:$AW$46*CM209), N($AK$23:$AK$46&gt;$AI209))
) / 1000</f>
        <v>0</v>
      </c>
      <c r="CP209" s="237">
        <f t="shared" si="420"/>
        <v>0</v>
      </c>
      <c r="CQ209" s="210"/>
    </row>
    <row r="210" spans="1:95" s="76" customFormat="1" ht="14.25" customHeight="1" x14ac:dyDescent="0.2">
      <c r="A210" s="238" t="b">
        <f t="shared" si="227"/>
        <v>0</v>
      </c>
      <c r="B210" s="239">
        <v>188</v>
      </c>
      <c r="C210" s="258"/>
      <c r="D210" s="258"/>
      <c r="E210" s="240"/>
      <c r="F210" s="241" t="str">
        <f>IF(ISBLANK(E210), "", VLOOKUP(E210, Z!$A$2:$C$4127, 3, FALSE))</f>
        <v/>
      </c>
      <c r="G210" s="242"/>
      <c r="H210" s="242"/>
      <c r="I210" s="243"/>
      <c r="J210" s="244"/>
      <c r="K210" s="259"/>
      <c r="L210" s="260"/>
      <c r="M210" s="247" t="str" cm="1">
        <f t="array" ref="M210">IF($K210&gt;0, INDEX(Clean,1+AG210,$C$1), "")</f>
        <v/>
      </c>
      <c r="N210" s="245"/>
      <c r="O210" s="245"/>
      <c r="P210" s="246"/>
      <c r="Q210" s="248">
        <f t="shared" si="397"/>
        <v>0</v>
      </c>
      <c r="R210" s="247" t="str" cm="1">
        <f t="array" ref="R210">IF($K210&gt;0, INDEX(Clean,1+AH210,$C$1), "")</f>
        <v/>
      </c>
      <c r="S210" s="245"/>
      <c r="T210" s="245"/>
      <c r="U210" s="246"/>
      <c r="V210" s="248">
        <f t="shared" si="398"/>
        <v>0</v>
      </c>
      <c r="W210" s="261"/>
      <c r="X210" s="258"/>
      <c r="Y210" s="240"/>
      <c r="Z210" s="241" t="str">
        <f>IF(ISBLANK(Y210), "", VLOOKUP(Y210, Z!$A$2:$C$4127, 3, FALSE))</f>
        <v/>
      </c>
      <c r="AA210" s="262"/>
      <c r="AB210" s="249">
        <f t="shared" si="396"/>
        <v>0</v>
      </c>
      <c r="AC210" s="210"/>
      <c r="AD210" s="236">
        <f t="shared" si="421"/>
        <v>1</v>
      </c>
      <c r="AE210" s="236">
        <f t="shared" si="422"/>
        <v>1</v>
      </c>
      <c r="AF210" s="236">
        <f t="shared" si="423"/>
        <v>0</v>
      </c>
      <c r="AG210" s="236">
        <v>1</v>
      </c>
      <c r="AH210" s="236">
        <v>0</v>
      </c>
      <c r="AI210" s="236">
        <f t="shared" si="399"/>
        <v>-100</v>
      </c>
      <c r="AJ210" s="210"/>
      <c r="AK210" s="254"/>
      <c r="AL210" s="254"/>
      <c r="AM210" s="255"/>
      <c r="AN210" s="255"/>
      <c r="AO210" s="255"/>
      <c r="AP210" s="255"/>
      <c r="AQ210" s="255"/>
      <c r="AR210" s="255"/>
      <c r="AS210" s="255"/>
      <c r="AT210" s="255"/>
      <c r="AU210" s="255"/>
      <c r="AV210" s="255"/>
      <c r="AW210" s="255"/>
      <c r="AX210" s="210"/>
      <c r="AY210" s="236" cm="1">
        <f t="array" ref="AY210">INDEX(Use, $AD210, 4)</f>
        <v>7</v>
      </c>
      <c r="AZ210" s="236">
        <f t="shared" si="400"/>
        <v>32</v>
      </c>
      <c r="BA210" s="236">
        <f t="shared" si="239"/>
        <v>13</v>
      </c>
      <c r="BB210" s="236">
        <f t="shared" si="240"/>
        <v>0</v>
      </c>
      <c r="BC210" s="252" cm="1">
        <f t="array" ref="BC210">K210/IF($L210&gt;0, INDEX($AO$23:$AU$77, $L210+20, $AD210), 1)</f>
        <v>0</v>
      </c>
      <c r="BD210" s="237">
        <f t="shared" si="401"/>
        <v>0</v>
      </c>
      <c r="BE210" s="236">
        <v>35</v>
      </c>
      <c r="BF210" s="237">
        <f t="shared" si="402"/>
        <v>52.55</v>
      </c>
      <c r="BG210" s="253">
        <f t="shared" si="403"/>
        <v>2.7676728869374316</v>
      </c>
      <c r="BH210" s="253" cm="1">
        <f t="array" ref="BH210">$BC210 * SUMPRODUCT(INDEX($AL$77:$AN$82,,$AE210),INDEX($AO$77:$AU$82,,$AD210), N($AK$77:$AK$82&gt;$AI210)) / BG210 / 1000</f>
        <v>0</v>
      </c>
      <c r="BI210" s="250">
        <f t="shared" si="244"/>
        <v>30</v>
      </c>
      <c r="BJ210" s="237">
        <f t="shared" si="404"/>
        <v>46.033333333333331</v>
      </c>
      <c r="BK210" s="253">
        <f t="shared" si="405"/>
        <v>3.2297395388556791</v>
      </c>
      <c r="BL210" s="253" cm="1">
        <f t="array" ref="BL210">$BC210 * IF($AD210&lt;=2,
SUMPRODUCT(INDEX($AL$72:$AN$76,,$AE210), INDEX($AO$72:$AU$76,,$AD210), 1 / ($AV$72:$AV$76*BK210 + (1-$AV$72:$AV$76)*BG210), N($AK$72:$AK$76&gt;$AI210)),
SUMPRODUCT(INDEX($AL$67:$AN$76,,$AE210), INDEX($AO$67:$AU$76,,$AD210), 1 / ($AW$67:$AW$76*BK210 + (1-$AW$67:$AW$76)*BG210), N($AK$67:$AK$76&gt;$AI210))
) / 1000</f>
        <v>0</v>
      </c>
      <c r="BM210" s="250">
        <f t="shared" si="247"/>
        <v>25</v>
      </c>
      <c r="BN210" s="237">
        <f t="shared" si="406"/>
        <v>39.516666666666666</v>
      </c>
      <c r="BO210" s="253">
        <f t="shared" si="407"/>
        <v>3.877011788826243</v>
      </c>
      <c r="BP210" s="253" cm="1">
        <f t="array" ref="BP210">$BC210 * IF($AD210&lt;=2,
SUMPRODUCT(INDEX($AL$67:$AN$71,,$AE210), INDEX($AO$67:$AU$71,,$AD210), 1 / ($AV$67:$AV$71*BO210 + (1-$AV$67:$AV$71)*BK210), N($AK$67:$AK$71&gt;$AI210)),
SUMPRODUCT(INDEX($AL$57:$AN$66,,$AE210), INDEX($AO$57:$AU$66,,$AD210), 1 / ($AW$57:$AW$66*BO210 + (1-$AW$57:$AW$66)*BK210), N($AK$57:$AK$66&gt;$AI210))
) / 1000</f>
        <v>0</v>
      </c>
      <c r="BQ210" s="250">
        <f t="shared" si="250"/>
        <v>20</v>
      </c>
      <c r="BR210" s="237">
        <f t="shared" si="408"/>
        <v>33</v>
      </c>
      <c r="BS210" s="253">
        <f t="shared" si="409"/>
        <v>4.8487499999999999</v>
      </c>
      <c r="BT210" s="253" cm="1">
        <f t="array" ref="BT210">$BC210 * IF($AD210&lt;=2,
SUMPRODUCT(INDEX($AL$62:$AN$66,,$AE210), INDEX($AO$62:$AU$66,,$AD210), 1 / ($AV$62:$AV$66*BS210 + (1-$AV$62:$AV$66)*BO210), N($AK$62:$AK$66&gt;$AI210)),
SUMPRODUCT(INDEX($AL$47:$AN$56,,$AE210), INDEX($AO$47:$AU$56,,$AD210), 1 / ($AW$47:$AW$56*BS210 + (1-$AW$47:$AW$56)*BO210), N($AK$47:$AK$56&gt;$AI210))
) / 1000</f>
        <v>0</v>
      </c>
      <c r="BU210" s="253" cm="1">
        <f t="array" ref="BU210">$BC210 * IF($AD210&lt;=2,
SUMPRODUCT(INDEX($AL$23:$AN$61,,$AE210), INDEX($AO$23:$AU$61,,$AD210), 1 / ($AV$23:$AV$61*BS210), N($AK$23:$AK$61&gt;$AI210)),
SUMPRODUCT(INDEX($AL$23:$AN$46,,$AE210), INDEX($AO$23:$AU$46,,$AD210), 1 / ($AW$23:$AW$46*BS210), N($AK$23:$AK$46&gt;$AI210))
) / 1000</f>
        <v>0</v>
      </c>
      <c r="BV210" s="237">
        <f t="shared" si="410"/>
        <v>0</v>
      </c>
      <c r="BW210" s="210"/>
      <c r="BX210" s="237">
        <f t="shared" si="411"/>
        <v>0</v>
      </c>
      <c r="BY210" s="236">
        <v>35</v>
      </c>
      <c r="BZ210" s="237">
        <f t="shared" si="412"/>
        <v>48</v>
      </c>
      <c r="CA210" s="253">
        <f t="shared" si="413"/>
        <v>3.0748170731707316</v>
      </c>
      <c r="CB210" s="253" cm="1">
        <f t="array" ref="CB210">$BC210 * SUMPRODUCT(INDEX($AL$77:$AN$82,,$AE210),INDEX($AO$77:$AU$82,,$AD210), N($AK$77:$AK$82&gt;$AI210)) / CA210 / 1000</f>
        <v>0</v>
      </c>
      <c r="CC210" s="250">
        <f t="shared" si="257"/>
        <v>30</v>
      </c>
      <c r="CD210" s="237">
        <f t="shared" si="414"/>
        <v>43</v>
      </c>
      <c r="CE210" s="253">
        <f t="shared" si="415"/>
        <v>3.5018750000000001</v>
      </c>
      <c r="CF210" s="253" cm="1">
        <f t="array" ref="CF210">$BC210 * IF($AD210&lt;=2,
SUMPRODUCT(INDEX($AL$72:$AN$76,,$AE210), INDEX($AO$72:$AU$76,,$AD210), 1 / ($AV$72:$AV$76*CE210 + (1-$AV$72:$AV$76)*CA210), N($AK$72:$AK$76&gt;$AI210)),
SUMPRODUCT(INDEX($AL$67:$AN$76,,$AE210), INDEX($AO$67:$AU$76,,$AD210), 1 / ($AW$67:$AW$76*CE210 + (1-$AW$67:$AW$76)*CA210), N($AK$67:$AK$76&gt;$AI210))
) / 1000</f>
        <v>0</v>
      </c>
      <c r="CG210" s="250">
        <f t="shared" si="260"/>
        <v>25</v>
      </c>
      <c r="CH210" s="237">
        <f t="shared" si="416"/>
        <v>38</v>
      </c>
      <c r="CI210" s="253">
        <f t="shared" si="417"/>
        <v>4.0666935483870965</v>
      </c>
      <c r="CJ210" s="253" cm="1">
        <f t="array" ref="CJ210">$BC210 * IF($AD210&lt;=2,
SUMPRODUCT(INDEX($AL$67:$AN$71,,$AE210), INDEX($AO$67:$AU$71,,$AD210), 1 / ($AV$67:$AV$71*CI210 + (1-$AV$67:$AV$71)*CE210), N($AK$67:$AK$71&gt;$AI210)),
SUMPRODUCT(INDEX($AL$57:$AN$66,,$AE210), INDEX($AO$57:$AU$66,,$AD210), 1 / ($AW$57:$AW$66*CI210 + (1-$AW$57:$AW$66)*CE210), N($AK$57:$AK$66&gt;$AI210))
) / 1000</f>
        <v>0</v>
      </c>
      <c r="CK210" s="250">
        <f t="shared" si="263"/>
        <v>20</v>
      </c>
      <c r="CL210" s="237">
        <f t="shared" si="418"/>
        <v>33</v>
      </c>
      <c r="CM210" s="253">
        <f t="shared" si="419"/>
        <v>4.8487499999999999</v>
      </c>
      <c r="CN210" s="253" cm="1">
        <f t="array" ref="CN210">$BC210 * IF($AD210&lt;=2,
SUMPRODUCT(INDEX($AL$62:$AN$66,,$AE210), INDEX($AO$62:$AU$66,,$AD210), 1 / ($AV$62:$AV$66*CM210 + (1-$AV$62:$AV$66)*CI210), N($AK$62:$AK$66&gt;$AI210)),
SUMPRODUCT(INDEX($AL$47:$AN$56,,$AE210), INDEX($AO$47:$AU$56,,$AD210), 1 / ($AW$47:$AW$56*CM210 + (1-$AW$47:$AW$56)*CI210), N($AK$47:$AK$56&gt;$AI210))
) / 1000</f>
        <v>0</v>
      </c>
      <c r="CO210" s="253" cm="1">
        <f t="array" ref="CO210">$BC210 * IF($AD210&lt;=2,
SUMPRODUCT(INDEX($AL$23:$AN$61,,$AE210), INDEX($AO$23:$AU$61,,$AD210), 1 / ($AV$23:$AV$61*CM210), N($AK$23:$AK$61&gt;$AI210)),
SUMPRODUCT(INDEX($AL$23:$AN$46,,$AE210), INDEX($AO$23:$AU$46,,$AD210), 1 / ($AW$23:$AW$46*CM210), N($AK$23:$AK$46&gt;$AI210))
) / 1000</f>
        <v>0</v>
      </c>
      <c r="CP210" s="237">
        <f t="shared" si="420"/>
        <v>0</v>
      </c>
      <c r="CQ210" s="210"/>
    </row>
    <row r="211" spans="1:95" s="76" customFormat="1" ht="14.25" customHeight="1" x14ac:dyDescent="0.2">
      <c r="A211" s="238" t="b">
        <f t="shared" si="227"/>
        <v>0</v>
      </c>
      <c r="B211" s="239">
        <v>189</v>
      </c>
      <c r="C211" s="258"/>
      <c r="D211" s="258"/>
      <c r="E211" s="240"/>
      <c r="F211" s="241" t="str">
        <f>IF(ISBLANK(E211), "", VLOOKUP(E211, Z!$A$2:$C$4127, 3, FALSE))</f>
        <v/>
      </c>
      <c r="G211" s="242"/>
      <c r="H211" s="242"/>
      <c r="I211" s="243"/>
      <c r="J211" s="244"/>
      <c r="K211" s="259"/>
      <c r="L211" s="260"/>
      <c r="M211" s="247" t="str" cm="1">
        <f t="array" ref="M211">IF($K211&gt;0, INDEX(Clean,1+AG211,$C$1), "")</f>
        <v/>
      </c>
      <c r="N211" s="245"/>
      <c r="O211" s="245"/>
      <c r="P211" s="246"/>
      <c r="Q211" s="248">
        <f t="shared" si="397"/>
        <v>0</v>
      </c>
      <c r="R211" s="247" t="str" cm="1">
        <f t="array" ref="R211">IF($K211&gt;0, INDEX(Clean,1+AH211,$C$1), "")</f>
        <v/>
      </c>
      <c r="S211" s="245"/>
      <c r="T211" s="245"/>
      <c r="U211" s="246"/>
      <c r="V211" s="248">
        <f t="shared" si="398"/>
        <v>0</v>
      </c>
      <c r="W211" s="261"/>
      <c r="X211" s="258"/>
      <c r="Y211" s="240"/>
      <c r="Z211" s="241" t="str">
        <f>IF(ISBLANK(Y211), "", VLOOKUP(Y211, Z!$A$2:$C$4127, 3, FALSE))</f>
        <v/>
      </c>
      <c r="AA211" s="262"/>
      <c r="AB211" s="249">
        <f t="shared" si="396"/>
        <v>0</v>
      </c>
      <c r="AC211" s="210"/>
      <c r="AD211" s="236">
        <f t="shared" si="421"/>
        <v>1</v>
      </c>
      <c r="AE211" s="236">
        <f t="shared" si="422"/>
        <v>1</v>
      </c>
      <c r="AF211" s="236">
        <f t="shared" si="423"/>
        <v>0</v>
      </c>
      <c r="AG211" s="236">
        <v>1</v>
      </c>
      <c r="AH211" s="236">
        <v>0</v>
      </c>
      <c r="AI211" s="236">
        <f t="shared" si="399"/>
        <v>-100</v>
      </c>
      <c r="AJ211" s="210"/>
      <c r="AK211" s="254"/>
      <c r="AL211" s="254"/>
      <c r="AM211" s="255"/>
      <c r="AN211" s="255"/>
      <c r="AO211" s="255"/>
      <c r="AP211" s="255"/>
      <c r="AQ211" s="255"/>
      <c r="AR211" s="255"/>
      <c r="AS211" s="255"/>
      <c r="AT211" s="255"/>
      <c r="AU211" s="255"/>
      <c r="AV211" s="255"/>
      <c r="AW211" s="255"/>
      <c r="AX211" s="210"/>
      <c r="AY211" s="236" cm="1">
        <f t="array" ref="AY211">INDEX(Use, $AD211, 4)</f>
        <v>7</v>
      </c>
      <c r="AZ211" s="236">
        <f t="shared" si="400"/>
        <v>32</v>
      </c>
      <c r="BA211" s="236">
        <f t="shared" si="239"/>
        <v>13</v>
      </c>
      <c r="BB211" s="236">
        <f t="shared" si="240"/>
        <v>0</v>
      </c>
      <c r="BC211" s="252" cm="1">
        <f t="array" ref="BC211">K211/IF($L211&gt;0, INDEX($AO$23:$AU$77, $L211+20, $AD211), 1)</f>
        <v>0</v>
      </c>
      <c r="BD211" s="237">
        <f t="shared" si="401"/>
        <v>0</v>
      </c>
      <c r="BE211" s="236">
        <v>35</v>
      </c>
      <c r="BF211" s="237">
        <f t="shared" si="402"/>
        <v>52.55</v>
      </c>
      <c r="BG211" s="253">
        <f t="shared" si="403"/>
        <v>2.7676728869374316</v>
      </c>
      <c r="BH211" s="253" cm="1">
        <f t="array" ref="BH211">$BC211 * SUMPRODUCT(INDEX($AL$77:$AN$82,,$AE211),INDEX($AO$77:$AU$82,,$AD211), N($AK$77:$AK$82&gt;$AI211)) / BG211 / 1000</f>
        <v>0</v>
      </c>
      <c r="BI211" s="250">
        <f t="shared" si="244"/>
        <v>30</v>
      </c>
      <c r="BJ211" s="237">
        <f t="shared" si="404"/>
        <v>46.033333333333331</v>
      </c>
      <c r="BK211" s="253">
        <f t="shared" si="405"/>
        <v>3.2297395388556791</v>
      </c>
      <c r="BL211" s="253" cm="1">
        <f t="array" ref="BL211">$BC211 * IF($AD211&lt;=2,
SUMPRODUCT(INDEX($AL$72:$AN$76,,$AE211), INDEX($AO$72:$AU$76,,$AD211), 1 / ($AV$72:$AV$76*BK211 + (1-$AV$72:$AV$76)*BG211), N($AK$72:$AK$76&gt;$AI211)),
SUMPRODUCT(INDEX($AL$67:$AN$76,,$AE211), INDEX($AO$67:$AU$76,,$AD211), 1 / ($AW$67:$AW$76*BK211 + (1-$AW$67:$AW$76)*BG211), N($AK$67:$AK$76&gt;$AI211))
) / 1000</f>
        <v>0</v>
      </c>
      <c r="BM211" s="250">
        <f t="shared" si="247"/>
        <v>25</v>
      </c>
      <c r="BN211" s="237">
        <f t="shared" si="406"/>
        <v>39.516666666666666</v>
      </c>
      <c r="BO211" s="253">
        <f t="shared" si="407"/>
        <v>3.877011788826243</v>
      </c>
      <c r="BP211" s="253" cm="1">
        <f t="array" ref="BP211">$BC211 * IF($AD211&lt;=2,
SUMPRODUCT(INDEX($AL$67:$AN$71,,$AE211), INDEX($AO$67:$AU$71,,$AD211), 1 / ($AV$67:$AV$71*BO211 + (1-$AV$67:$AV$71)*BK211), N($AK$67:$AK$71&gt;$AI211)),
SUMPRODUCT(INDEX($AL$57:$AN$66,,$AE211), INDEX($AO$57:$AU$66,,$AD211), 1 / ($AW$57:$AW$66*BO211 + (1-$AW$57:$AW$66)*BK211), N($AK$57:$AK$66&gt;$AI211))
) / 1000</f>
        <v>0</v>
      </c>
      <c r="BQ211" s="250">
        <f t="shared" si="250"/>
        <v>20</v>
      </c>
      <c r="BR211" s="237">
        <f t="shared" si="408"/>
        <v>33</v>
      </c>
      <c r="BS211" s="253">
        <f t="shared" si="409"/>
        <v>4.8487499999999999</v>
      </c>
      <c r="BT211" s="253" cm="1">
        <f t="array" ref="BT211">$BC211 * IF($AD211&lt;=2,
SUMPRODUCT(INDEX($AL$62:$AN$66,,$AE211), INDEX($AO$62:$AU$66,,$AD211), 1 / ($AV$62:$AV$66*BS211 + (1-$AV$62:$AV$66)*BO211), N($AK$62:$AK$66&gt;$AI211)),
SUMPRODUCT(INDEX($AL$47:$AN$56,,$AE211), INDEX($AO$47:$AU$56,,$AD211), 1 / ($AW$47:$AW$56*BS211 + (1-$AW$47:$AW$56)*BO211), N($AK$47:$AK$56&gt;$AI211))
) / 1000</f>
        <v>0</v>
      </c>
      <c r="BU211" s="253" cm="1">
        <f t="array" ref="BU211">$BC211 * IF($AD211&lt;=2,
SUMPRODUCT(INDEX($AL$23:$AN$61,,$AE211), INDEX($AO$23:$AU$61,,$AD211), 1 / ($AV$23:$AV$61*BS211), N($AK$23:$AK$61&gt;$AI211)),
SUMPRODUCT(INDEX($AL$23:$AN$46,,$AE211), INDEX($AO$23:$AU$46,,$AD211), 1 / ($AW$23:$AW$46*BS211), N($AK$23:$AK$46&gt;$AI211))
) / 1000</f>
        <v>0</v>
      </c>
      <c r="BV211" s="237">
        <f t="shared" si="410"/>
        <v>0</v>
      </c>
      <c r="BW211" s="210"/>
      <c r="BX211" s="237">
        <f t="shared" si="411"/>
        <v>0</v>
      </c>
      <c r="BY211" s="236">
        <v>35</v>
      </c>
      <c r="BZ211" s="237">
        <f t="shared" si="412"/>
        <v>48</v>
      </c>
      <c r="CA211" s="253">
        <f t="shared" si="413"/>
        <v>3.0748170731707316</v>
      </c>
      <c r="CB211" s="253" cm="1">
        <f t="array" ref="CB211">$BC211 * SUMPRODUCT(INDEX($AL$77:$AN$82,,$AE211),INDEX($AO$77:$AU$82,,$AD211), N($AK$77:$AK$82&gt;$AI211)) / CA211 / 1000</f>
        <v>0</v>
      </c>
      <c r="CC211" s="250">
        <f t="shared" si="257"/>
        <v>30</v>
      </c>
      <c r="CD211" s="237">
        <f t="shared" si="414"/>
        <v>43</v>
      </c>
      <c r="CE211" s="253">
        <f t="shared" si="415"/>
        <v>3.5018750000000001</v>
      </c>
      <c r="CF211" s="253" cm="1">
        <f t="array" ref="CF211">$BC211 * IF($AD211&lt;=2,
SUMPRODUCT(INDEX($AL$72:$AN$76,,$AE211), INDEX($AO$72:$AU$76,,$AD211), 1 / ($AV$72:$AV$76*CE211 + (1-$AV$72:$AV$76)*CA211), N($AK$72:$AK$76&gt;$AI211)),
SUMPRODUCT(INDEX($AL$67:$AN$76,,$AE211), INDEX($AO$67:$AU$76,,$AD211), 1 / ($AW$67:$AW$76*CE211 + (1-$AW$67:$AW$76)*CA211), N($AK$67:$AK$76&gt;$AI211))
) / 1000</f>
        <v>0</v>
      </c>
      <c r="CG211" s="250">
        <f t="shared" si="260"/>
        <v>25</v>
      </c>
      <c r="CH211" s="237">
        <f t="shared" si="416"/>
        <v>38</v>
      </c>
      <c r="CI211" s="253">
        <f t="shared" si="417"/>
        <v>4.0666935483870965</v>
      </c>
      <c r="CJ211" s="253" cm="1">
        <f t="array" ref="CJ211">$BC211 * IF($AD211&lt;=2,
SUMPRODUCT(INDEX($AL$67:$AN$71,,$AE211), INDEX($AO$67:$AU$71,,$AD211), 1 / ($AV$67:$AV$71*CI211 + (1-$AV$67:$AV$71)*CE211), N($AK$67:$AK$71&gt;$AI211)),
SUMPRODUCT(INDEX($AL$57:$AN$66,,$AE211), INDEX($AO$57:$AU$66,,$AD211), 1 / ($AW$57:$AW$66*CI211 + (1-$AW$57:$AW$66)*CE211), N($AK$57:$AK$66&gt;$AI211))
) / 1000</f>
        <v>0</v>
      </c>
      <c r="CK211" s="250">
        <f t="shared" si="263"/>
        <v>20</v>
      </c>
      <c r="CL211" s="237">
        <f t="shared" si="418"/>
        <v>33</v>
      </c>
      <c r="CM211" s="253">
        <f t="shared" si="419"/>
        <v>4.8487499999999999</v>
      </c>
      <c r="CN211" s="253" cm="1">
        <f t="array" ref="CN211">$BC211 * IF($AD211&lt;=2,
SUMPRODUCT(INDEX($AL$62:$AN$66,,$AE211), INDEX($AO$62:$AU$66,,$AD211), 1 / ($AV$62:$AV$66*CM211 + (1-$AV$62:$AV$66)*CI211), N($AK$62:$AK$66&gt;$AI211)),
SUMPRODUCT(INDEX($AL$47:$AN$56,,$AE211), INDEX($AO$47:$AU$56,,$AD211), 1 / ($AW$47:$AW$56*CM211 + (1-$AW$47:$AW$56)*CI211), N($AK$47:$AK$56&gt;$AI211))
) / 1000</f>
        <v>0</v>
      </c>
      <c r="CO211" s="253" cm="1">
        <f t="array" ref="CO211">$BC211 * IF($AD211&lt;=2,
SUMPRODUCT(INDEX($AL$23:$AN$61,,$AE211), INDEX($AO$23:$AU$61,,$AD211), 1 / ($AV$23:$AV$61*CM211), N($AK$23:$AK$61&gt;$AI211)),
SUMPRODUCT(INDEX($AL$23:$AN$46,,$AE211), INDEX($AO$23:$AU$46,,$AD211), 1 / ($AW$23:$AW$46*CM211), N($AK$23:$AK$46&gt;$AI211))
) / 1000</f>
        <v>0</v>
      </c>
      <c r="CP211" s="237">
        <f t="shared" si="420"/>
        <v>0</v>
      </c>
      <c r="CQ211" s="210"/>
    </row>
    <row r="212" spans="1:95" s="76" customFormat="1" ht="14.25" customHeight="1" x14ac:dyDescent="0.2">
      <c r="A212" s="238" t="b">
        <f t="shared" si="227"/>
        <v>0</v>
      </c>
      <c r="B212" s="239">
        <v>190</v>
      </c>
      <c r="C212" s="258"/>
      <c r="D212" s="258"/>
      <c r="E212" s="240"/>
      <c r="F212" s="241" t="str">
        <f>IF(ISBLANK(E212), "", VLOOKUP(E212, Z!$A$2:$C$4127, 3, FALSE))</f>
        <v/>
      </c>
      <c r="G212" s="242"/>
      <c r="H212" s="242"/>
      <c r="I212" s="243"/>
      <c r="J212" s="244"/>
      <c r="K212" s="259"/>
      <c r="L212" s="260"/>
      <c r="M212" s="247" t="str" cm="1">
        <f t="array" ref="M212">IF($K212&gt;0, INDEX(Clean,1+AG212,$C$1), "")</f>
        <v/>
      </c>
      <c r="N212" s="245"/>
      <c r="O212" s="245"/>
      <c r="P212" s="246"/>
      <c r="Q212" s="248">
        <f t="shared" si="397"/>
        <v>0</v>
      </c>
      <c r="R212" s="247" t="str" cm="1">
        <f t="array" ref="R212">IF($K212&gt;0, INDEX(Clean,1+AH212,$C$1), "")</f>
        <v/>
      </c>
      <c r="S212" s="245"/>
      <c r="T212" s="245"/>
      <c r="U212" s="246"/>
      <c r="V212" s="248">
        <f t="shared" si="398"/>
        <v>0</v>
      </c>
      <c r="W212" s="261"/>
      <c r="X212" s="258"/>
      <c r="Y212" s="240"/>
      <c r="Z212" s="241" t="str">
        <f>IF(ISBLANK(Y212), "", VLOOKUP(Y212, Z!$A$2:$C$4127, 3, FALSE))</f>
        <v/>
      </c>
      <c r="AA212" s="262"/>
      <c r="AB212" s="249">
        <f t="shared" si="396"/>
        <v>0</v>
      </c>
      <c r="AC212" s="210"/>
      <c r="AD212" s="236">
        <f t="shared" si="421"/>
        <v>1</v>
      </c>
      <c r="AE212" s="236">
        <f t="shared" si="422"/>
        <v>1</v>
      </c>
      <c r="AF212" s="236">
        <f t="shared" si="423"/>
        <v>0</v>
      </c>
      <c r="AG212" s="236">
        <v>1</v>
      </c>
      <c r="AH212" s="236">
        <v>0</v>
      </c>
      <c r="AI212" s="236">
        <f t="shared" si="399"/>
        <v>-100</v>
      </c>
      <c r="AJ212" s="210"/>
      <c r="AK212" s="254"/>
      <c r="AL212" s="254"/>
      <c r="AM212" s="255"/>
      <c r="AN212" s="255"/>
      <c r="AO212" s="255"/>
      <c r="AP212" s="255"/>
      <c r="AQ212" s="255"/>
      <c r="AR212" s="255"/>
      <c r="AS212" s="255"/>
      <c r="AT212" s="255"/>
      <c r="AU212" s="255"/>
      <c r="AV212" s="255"/>
      <c r="AW212" s="255"/>
      <c r="AX212" s="210"/>
      <c r="AY212" s="236" cm="1">
        <f t="array" ref="AY212">INDEX(Use, $AD212, 4)</f>
        <v>7</v>
      </c>
      <c r="AZ212" s="236">
        <f t="shared" si="400"/>
        <v>32</v>
      </c>
      <c r="BA212" s="236">
        <f t="shared" si="239"/>
        <v>13</v>
      </c>
      <c r="BB212" s="236">
        <f t="shared" si="240"/>
        <v>0</v>
      </c>
      <c r="BC212" s="252" cm="1">
        <f t="array" ref="BC212">K212/IF($L212&gt;0, INDEX($AO$23:$AU$77, $L212+20, $AD212), 1)</f>
        <v>0</v>
      </c>
      <c r="BD212" s="237">
        <f t="shared" si="401"/>
        <v>0</v>
      </c>
      <c r="BE212" s="236">
        <v>35</v>
      </c>
      <c r="BF212" s="237">
        <f t="shared" si="402"/>
        <v>52.55</v>
      </c>
      <c r="BG212" s="253">
        <f t="shared" si="403"/>
        <v>2.7676728869374316</v>
      </c>
      <c r="BH212" s="253" cm="1">
        <f t="array" ref="BH212">$BC212 * SUMPRODUCT(INDEX($AL$77:$AN$82,,$AE212),INDEX($AO$77:$AU$82,,$AD212), N($AK$77:$AK$82&gt;$AI212)) / BG212 / 1000</f>
        <v>0</v>
      </c>
      <c r="BI212" s="250">
        <f t="shared" si="244"/>
        <v>30</v>
      </c>
      <c r="BJ212" s="237">
        <f t="shared" si="404"/>
        <v>46.033333333333331</v>
      </c>
      <c r="BK212" s="253">
        <f t="shared" si="405"/>
        <v>3.2297395388556791</v>
      </c>
      <c r="BL212" s="253" cm="1">
        <f t="array" ref="BL212">$BC212 * IF($AD212&lt;=2,
SUMPRODUCT(INDEX($AL$72:$AN$76,,$AE212), INDEX($AO$72:$AU$76,,$AD212), 1 / ($AV$72:$AV$76*BK212 + (1-$AV$72:$AV$76)*BG212), N($AK$72:$AK$76&gt;$AI212)),
SUMPRODUCT(INDEX($AL$67:$AN$76,,$AE212), INDEX($AO$67:$AU$76,,$AD212), 1 / ($AW$67:$AW$76*BK212 + (1-$AW$67:$AW$76)*BG212), N($AK$67:$AK$76&gt;$AI212))
) / 1000</f>
        <v>0</v>
      </c>
      <c r="BM212" s="250">
        <f t="shared" si="247"/>
        <v>25</v>
      </c>
      <c r="BN212" s="237">
        <f t="shared" si="406"/>
        <v>39.516666666666666</v>
      </c>
      <c r="BO212" s="253">
        <f t="shared" si="407"/>
        <v>3.877011788826243</v>
      </c>
      <c r="BP212" s="253" cm="1">
        <f t="array" ref="BP212">$BC212 * IF($AD212&lt;=2,
SUMPRODUCT(INDEX($AL$67:$AN$71,,$AE212), INDEX($AO$67:$AU$71,,$AD212), 1 / ($AV$67:$AV$71*BO212 + (1-$AV$67:$AV$71)*BK212), N($AK$67:$AK$71&gt;$AI212)),
SUMPRODUCT(INDEX($AL$57:$AN$66,,$AE212), INDEX($AO$57:$AU$66,,$AD212), 1 / ($AW$57:$AW$66*BO212 + (1-$AW$57:$AW$66)*BK212), N($AK$57:$AK$66&gt;$AI212))
) / 1000</f>
        <v>0</v>
      </c>
      <c r="BQ212" s="250">
        <f t="shared" si="250"/>
        <v>20</v>
      </c>
      <c r="BR212" s="237">
        <f t="shared" si="408"/>
        <v>33</v>
      </c>
      <c r="BS212" s="253">
        <f t="shared" si="409"/>
        <v>4.8487499999999999</v>
      </c>
      <c r="BT212" s="253" cm="1">
        <f t="array" ref="BT212">$BC212 * IF($AD212&lt;=2,
SUMPRODUCT(INDEX($AL$62:$AN$66,,$AE212), INDEX($AO$62:$AU$66,,$AD212), 1 / ($AV$62:$AV$66*BS212 + (1-$AV$62:$AV$66)*BO212), N($AK$62:$AK$66&gt;$AI212)),
SUMPRODUCT(INDEX($AL$47:$AN$56,,$AE212), INDEX($AO$47:$AU$56,,$AD212), 1 / ($AW$47:$AW$56*BS212 + (1-$AW$47:$AW$56)*BO212), N($AK$47:$AK$56&gt;$AI212))
) / 1000</f>
        <v>0</v>
      </c>
      <c r="BU212" s="253" cm="1">
        <f t="array" ref="BU212">$BC212 * IF($AD212&lt;=2,
SUMPRODUCT(INDEX($AL$23:$AN$61,,$AE212), INDEX($AO$23:$AU$61,,$AD212), 1 / ($AV$23:$AV$61*BS212), N($AK$23:$AK$61&gt;$AI212)),
SUMPRODUCT(INDEX($AL$23:$AN$46,,$AE212), INDEX($AO$23:$AU$46,,$AD212), 1 / ($AW$23:$AW$46*BS212), N($AK$23:$AK$46&gt;$AI212))
) / 1000</f>
        <v>0</v>
      </c>
      <c r="BV212" s="237">
        <f t="shared" si="410"/>
        <v>0</v>
      </c>
      <c r="BW212" s="210"/>
      <c r="BX212" s="237">
        <f t="shared" si="411"/>
        <v>0</v>
      </c>
      <c r="BY212" s="236">
        <v>35</v>
      </c>
      <c r="BZ212" s="237">
        <f t="shared" si="412"/>
        <v>48</v>
      </c>
      <c r="CA212" s="253">
        <f t="shared" si="413"/>
        <v>3.0748170731707316</v>
      </c>
      <c r="CB212" s="253" cm="1">
        <f t="array" ref="CB212">$BC212 * SUMPRODUCT(INDEX($AL$77:$AN$82,,$AE212),INDEX($AO$77:$AU$82,,$AD212), N($AK$77:$AK$82&gt;$AI212)) / CA212 / 1000</f>
        <v>0</v>
      </c>
      <c r="CC212" s="250">
        <f t="shared" si="257"/>
        <v>30</v>
      </c>
      <c r="CD212" s="237">
        <f t="shared" si="414"/>
        <v>43</v>
      </c>
      <c r="CE212" s="253">
        <f t="shared" si="415"/>
        <v>3.5018750000000001</v>
      </c>
      <c r="CF212" s="253" cm="1">
        <f t="array" ref="CF212">$BC212 * IF($AD212&lt;=2,
SUMPRODUCT(INDEX($AL$72:$AN$76,,$AE212), INDEX($AO$72:$AU$76,,$AD212), 1 / ($AV$72:$AV$76*CE212 + (1-$AV$72:$AV$76)*CA212), N($AK$72:$AK$76&gt;$AI212)),
SUMPRODUCT(INDEX($AL$67:$AN$76,,$AE212), INDEX($AO$67:$AU$76,,$AD212), 1 / ($AW$67:$AW$76*CE212 + (1-$AW$67:$AW$76)*CA212), N($AK$67:$AK$76&gt;$AI212))
) / 1000</f>
        <v>0</v>
      </c>
      <c r="CG212" s="250">
        <f t="shared" si="260"/>
        <v>25</v>
      </c>
      <c r="CH212" s="237">
        <f t="shared" si="416"/>
        <v>38</v>
      </c>
      <c r="CI212" s="253">
        <f t="shared" si="417"/>
        <v>4.0666935483870965</v>
      </c>
      <c r="CJ212" s="253" cm="1">
        <f t="array" ref="CJ212">$BC212 * IF($AD212&lt;=2,
SUMPRODUCT(INDEX($AL$67:$AN$71,,$AE212), INDEX($AO$67:$AU$71,,$AD212), 1 / ($AV$67:$AV$71*CI212 + (1-$AV$67:$AV$71)*CE212), N($AK$67:$AK$71&gt;$AI212)),
SUMPRODUCT(INDEX($AL$57:$AN$66,,$AE212), INDEX($AO$57:$AU$66,,$AD212), 1 / ($AW$57:$AW$66*CI212 + (1-$AW$57:$AW$66)*CE212), N($AK$57:$AK$66&gt;$AI212))
) / 1000</f>
        <v>0</v>
      </c>
      <c r="CK212" s="250">
        <f t="shared" si="263"/>
        <v>20</v>
      </c>
      <c r="CL212" s="237">
        <f t="shared" si="418"/>
        <v>33</v>
      </c>
      <c r="CM212" s="253">
        <f t="shared" si="419"/>
        <v>4.8487499999999999</v>
      </c>
      <c r="CN212" s="253" cm="1">
        <f t="array" ref="CN212">$BC212 * IF($AD212&lt;=2,
SUMPRODUCT(INDEX($AL$62:$AN$66,,$AE212), INDEX($AO$62:$AU$66,,$AD212), 1 / ($AV$62:$AV$66*CM212 + (1-$AV$62:$AV$66)*CI212), N($AK$62:$AK$66&gt;$AI212)),
SUMPRODUCT(INDEX($AL$47:$AN$56,,$AE212), INDEX($AO$47:$AU$56,,$AD212), 1 / ($AW$47:$AW$56*CM212 + (1-$AW$47:$AW$56)*CI212), N($AK$47:$AK$56&gt;$AI212))
) / 1000</f>
        <v>0</v>
      </c>
      <c r="CO212" s="253" cm="1">
        <f t="array" ref="CO212">$BC212 * IF($AD212&lt;=2,
SUMPRODUCT(INDEX($AL$23:$AN$61,,$AE212), INDEX($AO$23:$AU$61,,$AD212), 1 / ($AV$23:$AV$61*CM212), N($AK$23:$AK$61&gt;$AI212)),
SUMPRODUCT(INDEX($AL$23:$AN$46,,$AE212), INDEX($AO$23:$AU$46,,$AD212), 1 / ($AW$23:$AW$46*CM212), N($AK$23:$AK$46&gt;$AI212))
) / 1000</f>
        <v>0</v>
      </c>
      <c r="CP212" s="237">
        <f t="shared" si="420"/>
        <v>0</v>
      </c>
      <c r="CQ212" s="210"/>
    </row>
    <row r="213" spans="1:95" s="76" customFormat="1" ht="14.25" customHeight="1" x14ac:dyDescent="0.2">
      <c r="A213" s="238" t="b">
        <f t="shared" si="227"/>
        <v>0</v>
      </c>
      <c r="B213" s="239">
        <v>191</v>
      </c>
      <c r="C213" s="258"/>
      <c r="D213" s="258"/>
      <c r="E213" s="240"/>
      <c r="F213" s="241" t="str">
        <f>IF(ISBLANK(E213), "", VLOOKUP(E213, Z!$A$2:$C$4127, 3, FALSE))</f>
        <v/>
      </c>
      <c r="G213" s="242"/>
      <c r="H213" s="242"/>
      <c r="I213" s="243"/>
      <c r="J213" s="244"/>
      <c r="K213" s="259"/>
      <c r="L213" s="260"/>
      <c r="M213" s="247" t="str" cm="1">
        <f t="array" ref="M213">IF($K213&gt;0, INDEX(Clean,1+AG213,$C$1), "")</f>
        <v/>
      </c>
      <c r="N213" s="245"/>
      <c r="O213" s="245"/>
      <c r="P213" s="246"/>
      <c r="Q213" s="248">
        <f t="shared" si="397"/>
        <v>0</v>
      </c>
      <c r="R213" s="247" t="str" cm="1">
        <f t="array" ref="R213">IF($K213&gt;0, INDEX(Clean,1+AH213,$C$1), "")</f>
        <v/>
      </c>
      <c r="S213" s="245"/>
      <c r="T213" s="245"/>
      <c r="U213" s="246"/>
      <c r="V213" s="248">
        <f t="shared" si="398"/>
        <v>0</v>
      </c>
      <c r="W213" s="261"/>
      <c r="X213" s="258"/>
      <c r="Y213" s="240"/>
      <c r="Z213" s="241" t="str">
        <f>IF(ISBLANK(Y213), "", VLOOKUP(Y213, Z!$A$2:$C$4127, 3, FALSE))</f>
        <v/>
      </c>
      <c r="AA213" s="262"/>
      <c r="AB213" s="249">
        <f t="shared" si="396"/>
        <v>0</v>
      </c>
      <c r="AC213" s="210"/>
      <c r="AD213" s="236">
        <f t="shared" si="421"/>
        <v>1</v>
      </c>
      <c r="AE213" s="236">
        <f t="shared" si="422"/>
        <v>1</v>
      </c>
      <c r="AF213" s="236">
        <f t="shared" si="423"/>
        <v>0</v>
      </c>
      <c r="AG213" s="236">
        <v>1</v>
      </c>
      <c r="AH213" s="236">
        <v>0</v>
      </c>
      <c r="AI213" s="236">
        <f t="shared" si="399"/>
        <v>-100</v>
      </c>
      <c r="AJ213" s="210"/>
      <c r="AK213" s="254"/>
      <c r="AL213" s="254"/>
      <c r="AM213" s="255"/>
      <c r="AN213" s="255"/>
      <c r="AO213" s="255"/>
      <c r="AP213" s="255"/>
      <c r="AQ213" s="255"/>
      <c r="AR213" s="255"/>
      <c r="AS213" s="255"/>
      <c r="AT213" s="255"/>
      <c r="AU213" s="255"/>
      <c r="AV213" s="255"/>
      <c r="AW213" s="255"/>
      <c r="AX213" s="210"/>
      <c r="AY213" s="236" cm="1">
        <f t="array" ref="AY213">INDEX(Use, $AD213, 4)</f>
        <v>7</v>
      </c>
      <c r="AZ213" s="236">
        <f t="shared" si="400"/>
        <v>32</v>
      </c>
      <c r="BA213" s="236">
        <f t="shared" si="239"/>
        <v>13</v>
      </c>
      <c r="BB213" s="236">
        <f t="shared" si="240"/>
        <v>0</v>
      </c>
      <c r="BC213" s="252" cm="1">
        <f t="array" ref="BC213">K213/IF($L213&gt;0, INDEX($AO$23:$AU$77, $L213+20, $AD213), 1)</f>
        <v>0</v>
      </c>
      <c r="BD213" s="237">
        <f t="shared" si="401"/>
        <v>0</v>
      </c>
      <c r="BE213" s="236">
        <v>35</v>
      </c>
      <c r="BF213" s="237">
        <f t="shared" si="402"/>
        <v>52.55</v>
      </c>
      <c r="BG213" s="253">
        <f t="shared" si="403"/>
        <v>2.7676728869374316</v>
      </c>
      <c r="BH213" s="253" cm="1">
        <f t="array" ref="BH213">$BC213 * SUMPRODUCT(INDEX($AL$77:$AN$82,,$AE213),INDEX($AO$77:$AU$82,,$AD213), N($AK$77:$AK$82&gt;$AI213)) / BG213 / 1000</f>
        <v>0</v>
      </c>
      <c r="BI213" s="250">
        <f t="shared" si="244"/>
        <v>30</v>
      </c>
      <c r="BJ213" s="237">
        <f t="shared" si="404"/>
        <v>46.033333333333331</v>
      </c>
      <c r="BK213" s="253">
        <f t="shared" si="405"/>
        <v>3.2297395388556791</v>
      </c>
      <c r="BL213" s="253" cm="1">
        <f t="array" ref="BL213">$BC213 * IF($AD213&lt;=2,
SUMPRODUCT(INDEX($AL$72:$AN$76,,$AE213), INDEX($AO$72:$AU$76,,$AD213), 1 / ($AV$72:$AV$76*BK213 + (1-$AV$72:$AV$76)*BG213), N($AK$72:$AK$76&gt;$AI213)),
SUMPRODUCT(INDEX($AL$67:$AN$76,,$AE213), INDEX($AO$67:$AU$76,,$AD213), 1 / ($AW$67:$AW$76*BK213 + (1-$AW$67:$AW$76)*BG213), N($AK$67:$AK$76&gt;$AI213))
) / 1000</f>
        <v>0</v>
      </c>
      <c r="BM213" s="250">
        <f t="shared" si="247"/>
        <v>25</v>
      </c>
      <c r="BN213" s="237">
        <f t="shared" si="406"/>
        <v>39.516666666666666</v>
      </c>
      <c r="BO213" s="253">
        <f t="shared" si="407"/>
        <v>3.877011788826243</v>
      </c>
      <c r="BP213" s="253" cm="1">
        <f t="array" ref="BP213">$BC213 * IF($AD213&lt;=2,
SUMPRODUCT(INDEX($AL$67:$AN$71,,$AE213), INDEX($AO$67:$AU$71,,$AD213), 1 / ($AV$67:$AV$71*BO213 + (1-$AV$67:$AV$71)*BK213), N($AK$67:$AK$71&gt;$AI213)),
SUMPRODUCT(INDEX($AL$57:$AN$66,,$AE213), INDEX($AO$57:$AU$66,,$AD213), 1 / ($AW$57:$AW$66*BO213 + (1-$AW$57:$AW$66)*BK213), N($AK$57:$AK$66&gt;$AI213))
) / 1000</f>
        <v>0</v>
      </c>
      <c r="BQ213" s="250">
        <f t="shared" si="250"/>
        <v>20</v>
      </c>
      <c r="BR213" s="237">
        <f t="shared" si="408"/>
        <v>33</v>
      </c>
      <c r="BS213" s="253">
        <f t="shared" si="409"/>
        <v>4.8487499999999999</v>
      </c>
      <c r="BT213" s="253" cm="1">
        <f t="array" ref="BT213">$BC213 * IF($AD213&lt;=2,
SUMPRODUCT(INDEX($AL$62:$AN$66,,$AE213), INDEX($AO$62:$AU$66,,$AD213), 1 / ($AV$62:$AV$66*BS213 + (1-$AV$62:$AV$66)*BO213), N($AK$62:$AK$66&gt;$AI213)),
SUMPRODUCT(INDEX($AL$47:$AN$56,,$AE213), INDEX($AO$47:$AU$56,,$AD213), 1 / ($AW$47:$AW$56*BS213 + (1-$AW$47:$AW$56)*BO213), N($AK$47:$AK$56&gt;$AI213))
) / 1000</f>
        <v>0</v>
      </c>
      <c r="BU213" s="253" cm="1">
        <f t="array" ref="BU213">$BC213 * IF($AD213&lt;=2,
SUMPRODUCT(INDEX($AL$23:$AN$61,,$AE213), INDEX($AO$23:$AU$61,,$AD213), 1 / ($AV$23:$AV$61*BS213), N($AK$23:$AK$61&gt;$AI213)),
SUMPRODUCT(INDEX($AL$23:$AN$46,,$AE213), INDEX($AO$23:$AU$46,,$AD213), 1 / ($AW$23:$AW$46*BS213), N($AK$23:$AK$46&gt;$AI213))
) / 1000</f>
        <v>0</v>
      </c>
      <c r="BV213" s="237">
        <f t="shared" si="410"/>
        <v>0</v>
      </c>
      <c r="BW213" s="210"/>
      <c r="BX213" s="237">
        <f t="shared" si="411"/>
        <v>0</v>
      </c>
      <c r="BY213" s="236">
        <v>35</v>
      </c>
      <c r="BZ213" s="237">
        <f t="shared" si="412"/>
        <v>48</v>
      </c>
      <c r="CA213" s="253">
        <f t="shared" si="413"/>
        <v>3.0748170731707316</v>
      </c>
      <c r="CB213" s="253" cm="1">
        <f t="array" ref="CB213">$BC213 * SUMPRODUCT(INDEX($AL$77:$AN$82,,$AE213),INDEX($AO$77:$AU$82,,$AD213), N($AK$77:$AK$82&gt;$AI213)) / CA213 / 1000</f>
        <v>0</v>
      </c>
      <c r="CC213" s="250">
        <f t="shared" si="257"/>
        <v>30</v>
      </c>
      <c r="CD213" s="237">
        <f t="shared" si="414"/>
        <v>43</v>
      </c>
      <c r="CE213" s="253">
        <f t="shared" si="415"/>
        <v>3.5018750000000001</v>
      </c>
      <c r="CF213" s="253" cm="1">
        <f t="array" ref="CF213">$BC213 * IF($AD213&lt;=2,
SUMPRODUCT(INDEX($AL$72:$AN$76,,$AE213), INDEX($AO$72:$AU$76,,$AD213), 1 / ($AV$72:$AV$76*CE213 + (1-$AV$72:$AV$76)*CA213), N($AK$72:$AK$76&gt;$AI213)),
SUMPRODUCT(INDEX($AL$67:$AN$76,,$AE213), INDEX($AO$67:$AU$76,,$AD213), 1 / ($AW$67:$AW$76*CE213 + (1-$AW$67:$AW$76)*CA213), N($AK$67:$AK$76&gt;$AI213))
) / 1000</f>
        <v>0</v>
      </c>
      <c r="CG213" s="250">
        <f t="shared" si="260"/>
        <v>25</v>
      </c>
      <c r="CH213" s="237">
        <f t="shared" si="416"/>
        <v>38</v>
      </c>
      <c r="CI213" s="253">
        <f t="shared" si="417"/>
        <v>4.0666935483870965</v>
      </c>
      <c r="CJ213" s="253" cm="1">
        <f t="array" ref="CJ213">$BC213 * IF($AD213&lt;=2,
SUMPRODUCT(INDEX($AL$67:$AN$71,,$AE213), INDEX($AO$67:$AU$71,,$AD213), 1 / ($AV$67:$AV$71*CI213 + (1-$AV$67:$AV$71)*CE213), N($AK$67:$AK$71&gt;$AI213)),
SUMPRODUCT(INDEX($AL$57:$AN$66,,$AE213), INDEX($AO$57:$AU$66,,$AD213), 1 / ($AW$57:$AW$66*CI213 + (1-$AW$57:$AW$66)*CE213), N($AK$57:$AK$66&gt;$AI213))
) / 1000</f>
        <v>0</v>
      </c>
      <c r="CK213" s="250">
        <f t="shared" si="263"/>
        <v>20</v>
      </c>
      <c r="CL213" s="237">
        <f t="shared" si="418"/>
        <v>33</v>
      </c>
      <c r="CM213" s="253">
        <f t="shared" si="419"/>
        <v>4.8487499999999999</v>
      </c>
      <c r="CN213" s="253" cm="1">
        <f t="array" ref="CN213">$BC213 * IF($AD213&lt;=2,
SUMPRODUCT(INDEX($AL$62:$AN$66,,$AE213), INDEX($AO$62:$AU$66,,$AD213), 1 / ($AV$62:$AV$66*CM213 + (1-$AV$62:$AV$66)*CI213), N($AK$62:$AK$66&gt;$AI213)),
SUMPRODUCT(INDEX($AL$47:$AN$56,,$AE213), INDEX($AO$47:$AU$56,,$AD213), 1 / ($AW$47:$AW$56*CM213 + (1-$AW$47:$AW$56)*CI213), N($AK$47:$AK$56&gt;$AI213))
) / 1000</f>
        <v>0</v>
      </c>
      <c r="CO213" s="253" cm="1">
        <f t="array" ref="CO213">$BC213 * IF($AD213&lt;=2,
SUMPRODUCT(INDEX($AL$23:$AN$61,,$AE213), INDEX($AO$23:$AU$61,,$AD213), 1 / ($AV$23:$AV$61*CM213), N($AK$23:$AK$61&gt;$AI213)),
SUMPRODUCT(INDEX($AL$23:$AN$46,,$AE213), INDEX($AO$23:$AU$46,,$AD213), 1 / ($AW$23:$AW$46*CM213), N($AK$23:$AK$46&gt;$AI213))
) / 1000</f>
        <v>0</v>
      </c>
      <c r="CP213" s="237">
        <f t="shared" si="420"/>
        <v>0</v>
      </c>
      <c r="CQ213" s="210"/>
    </row>
    <row r="214" spans="1:95" s="76" customFormat="1" ht="14.25" customHeight="1" x14ac:dyDescent="0.2">
      <c r="A214" s="238" t="b">
        <f t="shared" si="227"/>
        <v>0</v>
      </c>
      <c r="B214" s="239">
        <v>192</v>
      </c>
      <c r="C214" s="258"/>
      <c r="D214" s="258"/>
      <c r="E214" s="240"/>
      <c r="F214" s="241" t="str">
        <f>IF(ISBLANK(E214), "", VLOOKUP(E214, Z!$A$2:$C$4127, 3, FALSE))</f>
        <v/>
      </c>
      <c r="G214" s="242"/>
      <c r="H214" s="242"/>
      <c r="I214" s="243"/>
      <c r="J214" s="244"/>
      <c r="K214" s="259"/>
      <c r="L214" s="260"/>
      <c r="M214" s="247" t="str" cm="1">
        <f t="array" ref="M214">IF($K214&gt;0, INDEX(Clean,1+AG214,$C$1), "")</f>
        <v/>
      </c>
      <c r="N214" s="245"/>
      <c r="O214" s="245"/>
      <c r="P214" s="246"/>
      <c r="Q214" s="248">
        <f t="shared" si="397"/>
        <v>0</v>
      </c>
      <c r="R214" s="247" t="str" cm="1">
        <f t="array" ref="R214">IF($K214&gt;0, INDEX(Clean,1+AH214,$C$1), "")</f>
        <v/>
      </c>
      <c r="S214" s="245"/>
      <c r="T214" s="245"/>
      <c r="U214" s="246"/>
      <c r="V214" s="248">
        <f t="shared" si="398"/>
        <v>0</v>
      </c>
      <c r="W214" s="261"/>
      <c r="X214" s="258"/>
      <c r="Y214" s="240"/>
      <c r="Z214" s="241" t="str">
        <f>IF(ISBLANK(Y214), "", VLOOKUP(Y214, Z!$A$2:$C$4127, 3, FALSE))</f>
        <v/>
      </c>
      <c r="AA214" s="262"/>
      <c r="AB214" s="249">
        <f t="shared" si="396"/>
        <v>0</v>
      </c>
      <c r="AC214" s="210"/>
      <c r="AD214" s="236">
        <f t="shared" si="421"/>
        <v>1</v>
      </c>
      <c r="AE214" s="236">
        <f t="shared" si="422"/>
        <v>1</v>
      </c>
      <c r="AF214" s="236">
        <f t="shared" si="423"/>
        <v>0</v>
      </c>
      <c r="AG214" s="236">
        <v>1</v>
      </c>
      <c r="AH214" s="236">
        <v>0</v>
      </c>
      <c r="AI214" s="236">
        <f t="shared" si="399"/>
        <v>-100</v>
      </c>
      <c r="AJ214" s="210"/>
      <c r="AK214" s="254"/>
      <c r="AL214" s="254"/>
      <c r="AM214" s="255"/>
      <c r="AN214" s="255"/>
      <c r="AO214" s="255"/>
      <c r="AP214" s="255"/>
      <c r="AQ214" s="255"/>
      <c r="AR214" s="255"/>
      <c r="AS214" s="255"/>
      <c r="AT214" s="255"/>
      <c r="AU214" s="255"/>
      <c r="AV214" s="255"/>
      <c r="AW214" s="255"/>
      <c r="AX214" s="210"/>
      <c r="AY214" s="236" cm="1">
        <f t="array" ref="AY214">INDEX(Use, $AD214, 4)</f>
        <v>7</v>
      </c>
      <c r="AZ214" s="236">
        <f t="shared" si="400"/>
        <v>32</v>
      </c>
      <c r="BA214" s="236">
        <f t="shared" si="239"/>
        <v>13</v>
      </c>
      <c r="BB214" s="236">
        <f t="shared" si="240"/>
        <v>0</v>
      </c>
      <c r="BC214" s="252" cm="1">
        <f t="array" ref="BC214">K214/IF($L214&gt;0, INDEX($AO$23:$AU$77, $L214+20, $AD214), 1)</f>
        <v>0</v>
      </c>
      <c r="BD214" s="237">
        <f t="shared" si="401"/>
        <v>0</v>
      </c>
      <c r="BE214" s="236">
        <v>35</v>
      </c>
      <c r="BF214" s="237">
        <f t="shared" si="402"/>
        <v>52.55</v>
      </c>
      <c r="BG214" s="253">
        <f t="shared" si="403"/>
        <v>2.7676728869374316</v>
      </c>
      <c r="BH214" s="253" cm="1">
        <f t="array" ref="BH214">$BC214 * SUMPRODUCT(INDEX($AL$77:$AN$82,,$AE214),INDEX($AO$77:$AU$82,,$AD214), N($AK$77:$AK$82&gt;$AI214)) / BG214 / 1000</f>
        <v>0</v>
      </c>
      <c r="BI214" s="250">
        <f t="shared" si="244"/>
        <v>30</v>
      </c>
      <c r="BJ214" s="237">
        <f t="shared" si="404"/>
        <v>46.033333333333331</v>
      </c>
      <c r="BK214" s="253">
        <f t="shared" si="405"/>
        <v>3.2297395388556791</v>
      </c>
      <c r="BL214" s="253" cm="1">
        <f t="array" ref="BL214">$BC214 * IF($AD214&lt;=2,
SUMPRODUCT(INDEX($AL$72:$AN$76,,$AE214), INDEX($AO$72:$AU$76,,$AD214), 1 / ($AV$72:$AV$76*BK214 + (1-$AV$72:$AV$76)*BG214), N($AK$72:$AK$76&gt;$AI214)),
SUMPRODUCT(INDEX($AL$67:$AN$76,,$AE214), INDEX($AO$67:$AU$76,,$AD214), 1 / ($AW$67:$AW$76*BK214 + (1-$AW$67:$AW$76)*BG214), N($AK$67:$AK$76&gt;$AI214))
) / 1000</f>
        <v>0</v>
      </c>
      <c r="BM214" s="250">
        <f t="shared" si="247"/>
        <v>25</v>
      </c>
      <c r="BN214" s="237">
        <f t="shared" si="406"/>
        <v>39.516666666666666</v>
      </c>
      <c r="BO214" s="253">
        <f t="shared" si="407"/>
        <v>3.877011788826243</v>
      </c>
      <c r="BP214" s="253" cm="1">
        <f t="array" ref="BP214">$BC214 * IF($AD214&lt;=2,
SUMPRODUCT(INDEX($AL$67:$AN$71,,$AE214), INDEX($AO$67:$AU$71,,$AD214), 1 / ($AV$67:$AV$71*BO214 + (1-$AV$67:$AV$71)*BK214), N($AK$67:$AK$71&gt;$AI214)),
SUMPRODUCT(INDEX($AL$57:$AN$66,,$AE214), INDEX($AO$57:$AU$66,,$AD214), 1 / ($AW$57:$AW$66*BO214 + (1-$AW$57:$AW$66)*BK214), N($AK$57:$AK$66&gt;$AI214))
) / 1000</f>
        <v>0</v>
      </c>
      <c r="BQ214" s="250">
        <f t="shared" si="250"/>
        <v>20</v>
      </c>
      <c r="BR214" s="237">
        <f t="shared" si="408"/>
        <v>33</v>
      </c>
      <c r="BS214" s="253">
        <f t="shared" si="409"/>
        <v>4.8487499999999999</v>
      </c>
      <c r="BT214" s="253" cm="1">
        <f t="array" ref="BT214">$BC214 * IF($AD214&lt;=2,
SUMPRODUCT(INDEX($AL$62:$AN$66,,$AE214), INDEX($AO$62:$AU$66,,$AD214), 1 / ($AV$62:$AV$66*BS214 + (1-$AV$62:$AV$66)*BO214), N($AK$62:$AK$66&gt;$AI214)),
SUMPRODUCT(INDEX($AL$47:$AN$56,,$AE214), INDEX($AO$47:$AU$56,,$AD214), 1 / ($AW$47:$AW$56*BS214 + (1-$AW$47:$AW$56)*BO214), N($AK$47:$AK$56&gt;$AI214))
) / 1000</f>
        <v>0</v>
      </c>
      <c r="BU214" s="253" cm="1">
        <f t="array" ref="BU214">$BC214 * IF($AD214&lt;=2,
SUMPRODUCT(INDEX($AL$23:$AN$61,,$AE214), INDEX($AO$23:$AU$61,,$AD214), 1 / ($AV$23:$AV$61*BS214), N($AK$23:$AK$61&gt;$AI214)),
SUMPRODUCT(INDEX($AL$23:$AN$46,,$AE214), INDEX($AO$23:$AU$46,,$AD214), 1 / ($AW$23:$AW$46*BS214), N($AK$23:$AK$46&gt;$AI214))
) / 1000</f>
        <v>0</v>
      </c>
      <c r="BV214" s="237">
        <f t="shared" si="410"/>
        <v>0</v>
      </c>
      <c r="BW214" s="210"/>
      <c r="BX214" s="237">
        <f t="shared" si="411"/>
        <v>0</v>
      </c>
      <c r="BY214" s="236">
        <v>35</v>
      </c>
      <c r="BZ214" s="237">
        <f t="shared" si="412"/>
        <v>48</v>
      </c>
      <c r="CA214" s="253">
        <f t="shared" si="413"/>
        <v>3.0748170731707316</v>
      </c>
      <c r="CB214" s="253" cm="1">
        <f t="array" ref="CB214">$BC214 * SUMPRODUCT(INDEX($AL$77:$AN$82,,$AE214),INDEX($AO$77:$AU$82,,$AD214), N($AK$77:$AK$82&gt;$AI214)) / CA214 / 1000</f>
        <v>0</v>
      </c>
      <c r="CC214" s="250">
        <f t="shared" si="257"/>
        <v>30</v>
      </c>
      <c r="CD214" s="237">
        <f t="shared" si="414"/>
        <v>43</v>
      </c>
      <c r="CE214" s="253">
        <f t="shared" si="415"/>
        <v>3.5018750000000001</v>
      </c>
      <c r="CF214" s="253" cm="1">
        <f t="array" ref="CF214">$BC214 * IF($AD214&lt;=2,
SUMPRODUCT(INDEX($AL$72:$AN$76,,$AE214), INDEX($AO$72:$AU$76,,$AD214), 1 / ($AV$72:$AV$76*CE214 + (1-$AV$72:$AV$76)*CA214), N($AK$72:$AK$76&gt;$AI214)),
SUMPRODUCT(INDEX($AL$67:$AN$76,,$AE214), INDEX($AO$67:$AU$76,,$AD214), 1 / ($AW$67:$AW$76*CE214 + (1-$AW$67:$AW$76)*CA214), N($AK$67:$AK$76&gt;$AI214))
) / 1000</f>
        <v>0</v>
      </c>
      <c r="CG214" s="250">
        <f t="shared" si="260"/>
        <v>25</v>
      </c>
      <c r="CH214" s="237">
        <f t="shared" si="416"/>
        <v>38</v>
      </c>
      <c r="CI214" s="253">
        <f t="shared" si="417"/>
        <v>4.0666935483870965</v>
      </c>
      <c r="CJ214" s="253" cm="1">
        <f t="array" ref="CJ214">$BC214 * IF($AD214&lt;=2,
SUMPRODUCT(INDEX($AL$67:$AN$71,,$AE214), INDEX($AO$67:$AU$71,,$AD214), 1 / ($AV$67:$AV$71*CI214 + (1-$AV$67:$AV$71)*CE214), N($AK$67:$AK$71&gt;$AI214)),
SUMPRODUCT(INDEX($AL$57:$AN$66,,$AE214), INDEX($AO$57:$AU$66,,$AD214), 1 / ($AW$57:$AW$66*CI214 + (1-$AW$57:$AW$66)*CE214), N($AK$57:$AK$66&gt;$AI214))
) / 1000</f>
        <v>0</v>
      </c>
      <c r="CK214" s="250">
        <f t="shared" si="263"/>
        <v>20</v>
      </c>
      <c r="CL214" s="237">
        <f t="shared" si="418"/>
        <v>33</v>
      </c>
      <c r="CM214" s="253">
        <f t="shared" si="419"/>
        <v>4.8487499999999999</v>
      </c>
      <c r="CN214" s="253" cm="1">
        <f t="array" ref="CN214">$BC214 * IF($AD214&lt;=2,
SUMPRODUCT(INDEX($AL$62:$AN$66,,$AE214), INDEX($AO$62:$AU$66,,$AD214), 1 / ($AV$62:$AV$66*CM214 + (1-$AV$62:$AV$66)*CI214), N($AK$62:$AK$66&gt;$AI214)),
SUMPRODUCT(INDEX($AL$47:$AN$56,,$AE214), INDEX($AO$47:$AU$56,,$AD214), 1 / ($AW$47:$AW$56*CM214 + (1-$AW$47:$AW$56)*CI214), N($AK$47:$AK$56&gt;$AI214))
) / 1000</f>
        <v>0</v>
      </c>
      <c r="CO214" s="253" cm="1">
        <f t="array" ref="CO214">$BC214 * IF($AD214&lt;=2,
SUMPRODUCT(INDEX($AL$23:$AN$61,,$AE214), INDEX($AO$23:$AU$61,,$AD214), 1 / ($AV$23:$AV$61*CM214), N($AK$23:$AK$61&gt;$AI214)),
SUMPRODUCT(INDEX($AL$23:$AN$46,,$AE214), INDEX($AO$23:$AU$46,,$AD214), 1 / ($AW$23:$AW$46*CM214), N($AK$23:$AK$46&gt;$AI214))
) / 1000</f>
        <v>0</v>
      </c>
      <c r="CP214" s="237">
        <f t="shared" si="420"/>
        <v>0</v>
      </c>
      <c r="CQ214" s="210"/>
    </row>
    <row r="215" spans="1:95" s="76" customFormat="1" ht="14.25" customHeight="1" x14ac:dyDescent="0.2">
      <c r="A215" s="238" t="b">
        <f t="shared" si="227"/>
        <v>0</v>
      </c>
      <c r="B215" s="239">
        <v>193</v>
      </c>
      <c r="C215" s="258"/>
      <c r="D215" s="258"/>
      <c r="E215" s="240"/>
      <c r="F215" s="241" t="str">
        <f>IF(ISBLANK(E215), "", VLOOKUP(E215, Z!$A$2:$C$4127, 3, FALSE))</f>
        <v/>
      </c>
      <c r="G215" s="242"/>
      <c r="H215" s="242"/>
      <c r="I215" s="243"/>
      <c r="J215" s="244"/>
      <c r="K215" s="259"/>
      <c r="L215" s="260"/>
      <c r="M215" s="247" t="str" cm="1">
        <f t="array" ref="M215">IF($K215&gt;0, INDEX(Clean,1+AG215,$C$1), "")</f>
        <v/>
      </c>
      <c r="N215" s="245"/>
      <c r="O215" s="245"/>
      <c r="P215" s="246"/>
      <c r="Q215" s="248">
        <f t="shared" si="397"/>
        <v>0</v>
      </c>
      <c r="R215" s="247" t="str" cm="1">
        <f t="array" ref="R215">IF($K215&gt;0, INDEX(Clean,1+AH215,$C$1), "")</f>
        <v/>
      </c>
      <c r="S215" s="245"/>
      <c r="T215" s="245"/>
      <c r="U215" s="246"/>
      <c r="V215" s="248">
        <f t="shared" si="398"/>
        <v>0</v>
      </c>
      <c r="W215" s="261"/>
      <c r="X215" s="258"/>
      <c r="Y215" s="240"/>
      <c r="Z215" s="241" t="str">
        <f>IF(ISBLANK(Y215), "", VLOOKUP(Y215, Z!$A$2:$C$4127, 3, FALSE))</f>
        <v/>
      </c>
      <c r="AA215" s="262"/>
      <c r="AB215" s="249">
        <f t="shared" si="396"/>
        <v>0</v>
      </c>
      <c r="AC215" s="210"/>
      <c r="AD215" s="236">
        <f t="shared" si="421"/>
        <v>1</v>
      </c>
      <c r="AE215" s="236">
        <f t="shared" si="422"/>
        <v>1</v>
      </c>
      <c r="AF215" s="236">
        <f t="shared" si="423"/>
        <v>0</v>
      </c>
      <c r="AG215" s="236">
        <v>1</v>
      </c>
      <c r="AH215" s="236">
        <v>0</v>
      </c>
      <c r="AI215" s="236">
        <f t="shared" si="399"/>
        <v>-100</v>
      </c>
      <c r="AJ215" s="210"/>
      <c r="AK215" s="254"/>
      <c r="AL215" s="254"/>
      <c r="AM215" s="255"/>
      <c r="AN215" s="255"/>
      <c r="AO215" s="255"/>
      <c r="AP215" s="255"/>
      <c r="AQ215" s="255"/>
      <c r="AR215" s="255"/>
      <c r="AS215" s="255"/>
      <c r="AT215" s="255"/>
      <c r="AU215" s="255"/>
      <c r="AV215" s="255"/>
      <c r="AW215" s="255"/>
      <c r="AX215" s="210"/>
      <c r="AY215" s="236" cm="1">
        <f t="array" ref="AY215">INDEX(Use, $AD215, 4)</f>
        <v>7</v>
      </c>
      <c r="AZ215" s="236">
        <f t="shared" si="400"/>
        <v>32</v>
      </c>
      <c r="BA215" s="236">
        <f t="shared" si="239"/>
        <v>13</v>
      </c>
      <c r="BB215" s="236">
        <f t="shared" si="240"/>
        <v>0</v>
      </c>
      <c r="BC215" s="252" cm="1">
        <f t="array" ref="BC215">K215/IF($L215&gt;0, INDEX($AO$23:$AU$77, $L215+20, $AD215), 1)</f>
        <v>0</v>
      </c>
      <c r="BD215" s="237">
        <f t="shared" si="401"/>
        <v>0</v>
      </c>
      <c r="BE215" s="236">
        <v>35</v>
      </c>
      <c r="BF215" s="237">
        <f t="shared" si="402"/>
        <v>52.55</v>
      </c>
      <c r="BG215" s="253">
        <f t="shared" si="403"/>
        <v>2.7676728869374316</v>
      </c>
      <c r="BH215" s="253" cm="1">
        <f t="array" ref="BH215">$BC215 * SUMPRODUCT(INDEX($AL$77:$AN$82,,$AE215),INDEX($AO$77:$AU$82,,$AD215), N($AK$77:$AK$82&gt;$AI215)) / BG215 / 1000</f>
        <v>0</v>
      </c>
      <c r="BI215" s="250">
        <f t="shared" si="244"/>
        <v>30</v>
      </c>
      <c r="BJ215" s="237">
        <f t="shared" si="404"/>
        <v>46.033333333333331</v>
      </c>
      <c r="BK215" s="253">
        <f t="shared" si="405"/>
        <v>3.2297395388556791</v>
      </c>
      <c r="BL215" s="253" cm="1">
        <f t="array" ref="BL215">$BC215 * IF($AD215&lt;=2,
SUMPRODUCT(INDEX($AL$72:$AN$76,,$AE215), INDEX($AO$72:$AU$76,,$AD215), 1 / ($AV$72:$AV$76*BK215 + (1-$AV$72:$AV$76)*BG215), N($AK$72:$AK$76&gt;$AI215)),
SUMPRODUCT(INDEX($AL$67:$AN$76,,$AE215), INDEX($AO$67:$AU$76,,$AD215), 1 / ($AW$67:$AW$76*BK215 + (1-$AW$67:$AW$76)*BG215), N($AK$67:$AK$76&gt;$AI215))
) / 1000</f>
        <v>0</v>
      </c>
      <c r="BM215" s="250">
        <f t="shared" si="247"/>
        <v>25</v>
      </c>
      <c r="BN215" s="237">
        <f t="shared" si="406"/>
        <v>39.516666666666666</v>
      </c>
      <c r="BO215" s="253">
        <f t="shared" si="407"/>
        <v>3.877011788826243</v>
      </c>
      <c r="BP215" s="253" cm="1">
        <f t="array" ref="BP215">$BC215 * IF($AD215&lt;=2,
SUMPRODUCT(INDEX($AL$67:$AN$71,,$AE215), INDEX($AO$67:$AU$71,,$AD215), 1 / ($AV$67:$AV$71*BO215 + (1-$AV$67:$AV$71)*BK215), N($AK$67:$AK$71&gt;$AI215)),
SUMPRODUCT(INDEX($AL$57:$AN$66,,$AE215), INDEX($AO$57:$AU$66,,$AD215), 1 / ($AW$57:$AW$66*BO215 + (1-$AW$57:$AW$66)*BK215), N($AK$57:$AK$66&gt;$AI215))
) / 1000</f>
        <v>0</v>
      </c>
      <c r="BQ215" s="250">
        <f t="shared" si="250"/>
        <v>20</v>
      </c>
      <c r="BR215" s="237">
        <f t="shared" si="408"/>
        <v>33</v>
      </c>
      <c r="BS215" s="253">
        <f t="shared" si="409"/>
        <v>4.8487499999999999</v>
      </c>
      <c r="BT215" s="253" cm="1">
        <f t="array" ref="BT215">$BC215 * IF($AD215&lt;=2,
SUMPRODUCT(INDEX($AL$62:$AN$66,,$AE215), INDEX($AO$62:$AU$66,,$AD215), 1 / ($AV$62:$AV$66*BS215 + (1-$AV$62:$AV$66)*BO215), N($AK$62:$AK$66&gt;$AI215)),
SUMPRODUCT(INDEX($AL$47:$AN$56,,$AE215), INDEX($AO$47:$AU$56,,$AD215), 1 / ($AW$47:$AW$56*BS215 + (1-$AW$47:$AW$56)*BO215), N($AK$47:$AK$56&gt;$AI215))
) / 1000</f>
        <v>0</v>
      </c>
      <c r="BU215" s="253" cm="1">
        <f t="array" ref="BU215">$BC215 * IF($AD215&lt;=2,
SUMPRODUCT(INDEX($AL$23:$AN$61,,$AE215), INDEX($AO$23:$AU$61,,$AD215), 1 / ($AV$23:$AV$61*BS215), N($AK$23:$AK$61&gt;$AI215)),
SUMPRODUCT(INDEX($AL$23:$AN$46,,$AE215), INDEX($AO$23:$AU$46,,$AD215), 1 / ($AW$23:$AW$46*BS215), N($AK$23:$AK$46&gt;$AI215))
) / 1000</f>
        <v>0</v>
      </c>
      <c r="BV215" s="237">
        <f t="shared" si="410"/>
        <v>0</v>
      </c>
      <c r="BW215" s="210"/>
      <c r="BX215" s="237">
        <f t="shared" si="411"/>
        <v>0</v>
      </c>
      <c r="BY215" s="236">
        <v>35</v>
      </c>
      <c r="BZ215" s="237">
        <f t="shared" si="412"/>
        <v>48</v>
      </c>
      <c r="CA215" s="253">
        <f t="shared" si="413"/>
        <v>3.0748170731707316</v>
      </c>
      <c r="CB215" s="253" cm="1">
        <f t="array" ref="CB215">$BC215 * SUMPRODUCT(INDEX($AL$77:$AN$82,,$AE215),INDEX($AO$77:$AU$82,,$AD215), N($AK$77:$AK$82&gt;$AI215)) / CA215 / 1000</f>
        <v>0</v>
      </c>
      <c r="CC215" s="250">
        <f t="shared" si="257"/>
        <v>30</v>
      </c>
      <c r="CD215" s="237">
        <f t="shared" si="414"/>
        <v>43</v>
      </c>
      <c r="CE215" s="253">
        <f t="shared" si="415"/>
        <v>3.5018750000000001</v>
      </c>
      <c r="CF215" s="253" cm="1">
        <f t="array" ref="CF215">$BC215 * IF($AD215&lt;=2,
SUMPRODUCT(INDEX($AL$72:$AN$76,,$AE215), INDEX($AO$72:$AU$76,,$AD215), 1 / ($AV$72:$AV$76*CE215 + (1-$AV$72:$AV$76)*CA215), N($AK$72:$AK$76&gt;$AI215)),
SUMPRODUCT(INDEX($AL$67:$AN$76,,$AE215), INDEX($AO$67:$AU$76,,$AD215), 1 / ($AW$67:$AW$76*CE215 + (1-$AW$67:$AW$76)*CA215), N($AK$67:$AK$76&gt;$AI215))
) / 1000</f>
        <v>0</v>
      </c>
      <c r="CG215" s="250">
        <f t="shared" si="260"/>
        <v>25</v>
      </c>
      <c r="CH215" s="237">
        <f t="shared" si="416"/>
        <v>38</v>
      </c>
      <c r="CI215" s="253">
        <f t="shared" si="417"/>
        <v>4.0666935483870965</v>
      </c>
      <c r="CJ215" s="253" cm="1">
        <f t="array" ref="CJ215">$BC215 * IF($AD215&lt;=2,
SUMPRODUCT(INDEX($AL$67:$AN$71,,$AE215), INDEX($AO$67:$AU$71,,$AD215), 1 / ($AV$67:$AV$71*CI215 + (1-$AV$67:$AV$71)*CE215), N($AK$67:$AK$71&gt;$AI215)),
SUMPRODUCT(INDEX($AL$57:$AN$66,,$AE215), INDEX($AO$57:$AU$66,,$AD215), 1 / ($AW$57:$AW$66*CI215 + (1-$AW$57:$AW$66)*CE215), N($AK$57:$AK$66&gt;$AI215))
) / 1000</f>
        <v>0</v>
      </c>
      <c r="CK215" s="250">
        <f t="shared" si="263"/>
        <v>20</v>
      </c>
      <c r="CL215" s="237">
        <f t="shared" si="418"/>
        <v>33</v>
      </c>
      <c r="CM215" s="253">
        <f t="shared" si="419"/>
        <v>4.8487499999999999</v>
      </c>
      <c r="CN215" s="253" cm="1">
        <f t="array" ref="CN215">$BC215 * IF($AD215&lt;=2,
SUMPRODUCT(INDEX($AL$62:$AN$66,,$AE215), INDEX($AO$62:$AU$66,,$AD215), 1 / ($AV$62:$AV$66*CM215 + (1-$AV$62:$AV$66)*CI215), N($AK$62:$AK$66&gt;$AI215)),
SUMPRODUCT(INDEX($AL$47:$AN$56,,$AE215), INDEX($AO$47:$AU$56,,$AD215), 1 / ($AW$47:$AW$56*CM215 + (1-$AW$47:$AW$56)*CI215), N($AK$47:$AK$56&gt;$AI215))
) / 1000</f>
        <v>0</v>
      </c>
      <c r="CO215" s="253" cm="1">
        <f t="array" ref="CO215">$BC215 * IF($AD215&lt;=2,
SUMPRODUCT(INDEX($AL$23:$AN$61,,$AE215), INDEX($AO$23:$AU$61,,$AD215), 1 / ($AV$23:$AV$61*CM215), N($AK$23:$AK$61&gt;$AI215)),
SUMPRODUCT(INDEX($AL$23:$AN$46,,$AE215), INDEX($AO$23:$AU$46,,$AD215), 1 / ($AW$23:$AW$46*CM215), N($AK$23:$AK$46&gt;$AI215))
) / 1000</f>
        <v>0</v>
      </c>
      <c r="CP215" s="237">
        <f t="shared" si="420"/>
        <v>0</v>
      </c>
      <c r="CQ215" s="210"/>
    </row>
    <row r="216" spans="1:95" s="76" customFormat="1" ht="14.25" customHeight="1" x14ac:dyDescent="0.2">
      <c r="A216" s="238" t="b">
        <f t="shared" si="227"/>
        <v>0</v>
      </c>
      <c r="B216" s="239">
        <v>194</v>
      </c>
      <c r="C216" s="258"/>
      <c r="D216" s="258"/>
      <c r="E216" s="240"/>
      <c r="F216" s="241" t="str">
        <f>IF(ISBLANK(E216), "", VLOOKUP(E216, Z!$A$2:$C$4127, 3, FALSE))</f>
        <v/>
      </c>
      <c r="G216" s="242"/>
      <c r="H216" s="242"/>
      <c r="I216" s="243"/>
      <c r="J216" s="244"/>
      <c r="K216" s="259"/>
      <c r="L216" s="260"/>
      <c r="M216" s="247" t="str" cm="1">
        <f t="array" ref="M216">IF($K216&gt;0, INDEX(Clean,1+AG216,$C$1), "")</f>
        <v/>
      </c>
      <c r="N216" s="245"/>
      <c r="O216" s="245"/>
      <c r="P216" s="246"/>
      <c r="Q216" s="248">
        <f t="shared" si="397"/>
        <v>0</v>
      </c>
      <c r="R216" s="247" t="str" cm="1">
        <f t="array" ref="R216">IF($K216&gt;0, INDEX(Clean,1+AH216,$C$1), "")</f>
        <v/>
      </c>
      <c r="S216" s="245"/>
      <c r="T216" s="245"/>
      <c r="U216" s="246"/>
      <c r="V216" s="248">
        <f t="shared" si="398"/>
        <v>0</v>
      </c>
      <c r="W216" s="261"/>
      <c r="X216" s="258"/>
      <c r="Y216" s="240"/>
      <c r="Z216" s="241" t="str">
        <f>IF(ISBLANK(Y216), "", VLOOKUP(Y216, Z!$A$2:$C$4127, 3, FALSE))</f>
        <v/>
      </c>
      <c r="AA216" s="262"/>
      <c r="AB216" s="249">
        <f t="shared" ref="AB216:AB279" si="424">0.75*$AJ$22*(Q216-V216)</f>
        <v>0</v>
      </c>
      <c r="AC216" s="210"/>
      <c r="AD216" s="236">
        <f t="shared" si="421"/>
        <v>1</v>
      </c>
      <c r="AE216" s="236">
        <f t="shared" si="422"/>
        <v>1</v>
      </c>
      <c r="AF216" s="236">
        <f t="shared" si="423"/>
        <v>0</v>
      </c>
      <c r="AG216" s="236">
        <v>1</v>
      </c>
      <c r="AH216" s="236">
        <v>0</v>
      </c>
      <c r="AI216" s="236">
        <f t="shared" si="399"/>
        <v>-100</v>
      </c>
      <c r="AJ216" s="210"/>
      <c r="AK216" s="254"/>
      <c r="AL216" s="254"/>
      <c r="AM216" s="255"/>
      <c r="AN216" s="255"/>
      <c r="AO216" s="255"/>
      <c r="AP216" s="255"/>
      <c r="AQ216" s="255"/>
      <c r="AR216" s="255"/>
      <c r="AS216" s="255"/>
      <c r="AT216" s="255"/>
      <c r="AU216" s="255"/>
      <c r="AV216" s="255"/>
      <c r="AW216" s="255"/>
      <c r="AX216" s="210"/>
      <c r="AY216" s="236" cm="1">
        <f t="array" ref="AY216">INDEX(Use, $AD216, 4)</f>
        <v>7</v>
      </c>
      <c r="AZ216" s="236">
        <f t="shared" si="400"/>
        <v>32</v>
      </c>
      <c r="BA216" s="236">
        <f t="shared" si="239"/>
        <v>13</v>
      </c>
      <c r="BB216" s="236">
        <f t="shared" si="240"/>
        <v>0</v>
      </c>
      <c r="BC216" s="252" cm="1">
        <f t="array" ref="BC216">K216/IF($L216&gt;0, INDEX($AO$23:$AU$77, $L216+20, $AD216), 1)</f>
        <v>0</v>
      </c>
      <c r="BD216" s="237">
        <f t="shared" si="401"/>
        <v>0</v>
      </c>
      <c r="BE216" s="236">
        <v>35</v>
      </c>
      <c r="BF216" s="237">
        <f t="shared" si="402"/>
        <v>52.55</v>
      </c>
      <c r="BG216" s="253">
        <f t="shared" si="403"/>
        <v>2.7676728869374316</v>
      </c>
      <c r="BH216" s="253" cm="1">
        <f t="array" ref="BH216">$BC216 * SUMPRODUCT(INDEX($AL$77:$AN$82,,$AE216),INDEX($AO$77:$AU$82,,$AD216), N($AK$77:$AK$82&gt;$AI216)) / BG216 / 1000</f>
        <v>0</v>
      </c>
      <c r="BI216" s="250">
        <f t="shared" si="244"/>
        <v>30</v>
      </c>
      <c r="BJ216" s="237">
        <f t="shared" si="404"/>
        <v>46.033333333333331</v>
      </c>
      <c r="BK216" s="253">
        <f t="shared" si="405"/>
        <v>3.2297395388556791</v>
      </c>
      <c r="BL216" s="253" cm="1">
        <f t="array" ref="BL216">$BC216 * IF($AD216&lt;=2,
SUMPRODUCT(INDEX($AL$72:$AN$76,,$AE216), INDEX($AO$72:$AU$76,,$AD216), 1 / ($AV$72:$AV$76*BK216 + (1-$AV$72:$AV$76)*BG216), N($AK$72:$AK$76&gt;$AI216)),
SUMPRODUCT(INDEX($AL$67:$AN$76,,$AE216), INDEX($AO$67:$AU$76,,$AD216), 1 / ($AW$67:$AW$76*BK216 + (1-$AW$67:$AW$76)*BG216), N($AK$67:$AK$76&gt;$AI216))
) / 1000</f>
        <v>0</v>
      </c>
      <c r="BM216" s="250">
        <f t="shared" si="247"/>
        <v>25</v>
      </c>
      <c r="BN216" s="237">
        <f t="shared" si="406"/>
        <v>39.516666666666666</v>
      </c>
      <c r="BO216" s="253">
        <f t="shared" si="407"/>
        <v>3.877011788826243</v>
      </c>
      <c r="BP216" s="253" cm="1">
        <f t="array" ref="BP216">$BC216 * IF($AD216&lt;=2,
SUMPRODUCT(INDEX($AL$67:$AN$71,,$AE216), INDEX($AO$67:$AU$71,,$AD216), 1 / ($AV$67:$AV$71*BO216 + (1-$AV$67:$AV$71)*BK216), N($AK$67:$AK$71&gt;$AI216)),
SUMPRODUCT(INDEX($AL$57:$AN$66,,$AE216), INDEX($AO$57:$AU$66,,$AD216), 1 / ($AW$57:$AW$66*BO216 + (1-$AW$57:$AW$66)*BK216), N($AK$57:$AK$66&gt;$AI216))
) / 1000</f>
        <v>0</v>
      </c>
      <c r="BQ216" s="250">
        <f t="shared" si="250"/>
        <v>20</v>
      </c>
      <c r="BR216" s="237">
        <f t="shared" si="408"/>
        <v>33</v>
      </c>
      <c r="BS216" s="253">
        <f t="shared" si="409"/>
        <v>4.8487499999999999</v>
      </c>
      <c r="BT216" s="253" cm="1">
        <f t="array" ref="BT216">$BC216 * IF($AD216&lt;=2,
SUMPRODUCT(INDEX($AL$62:$AN$66,,$AE216), INDEX($AO$62:$AU$66,,$AD216), 1 / ($AV$62:$AV$66*BS216 + (1-$AV$62:$AV$66)*BO216), N($AK$62:$AK$66&gt;$AI216)),
SUMPRODUCT(INDEX($AL$47:$AN$56,,$AE216), INDEX($AO$47:$AU$56,,$AD216), 1 / ($AW$47:$AW$56*BS216 + (1-$AW$47:$AW$56)*BO216), N($AK$47:$AK$56&gt;$AI216))
) / 1000</f>
        <v>0</v>
      </c>
      <c r="BU216" s="253" cm="1">
        <f t="array" ref="BU216">$BC216 * IF($AD216&lt;=2,
SUMPRODUCT(INDEX($AL$23:$AN$61,,$AE216), INDEX($AO$23:$AU$61,,$AD216), 1 / ($AV$23:$AV$61*BS216), N($AK$23:$AK$61&gt;$AI216)),
SUMPRODUCT(INDEX($AL$23:$AN$46,,$AE216), INDEX($AO$23:$AU$46,,$AD216), 1 / ($AW$23:$AW$46*BS216), N($AK$23:$AK$46&gt;$AI216))
) / 1000</f>
        <v>0</v>
      </c>
      <c r="BV216" s="237">
        <f t="shared" si="410"/>
        <v>0</v>
      </c>
      <c r="BW216" s="210"/>
      <c r="BX216" s="237">
        <f t="shared" si="411"/>
        <v>0</v>
      </c>
      <c r="BY216" s="236">
        <v>35</v>
      </c>
      <c r="BZ216" s="237">
        <f t="shared" si="412"/>
        <v>48</v>
      </c>
      <c r="CA216" s="253">
        <f t="shared" si="413"/>
        <v>3.0748170731707316</v>
      </c>
      <c r="CB216" s="253" cm="1">
        <f t="array" ref="CB216">$BC216 * SUMPRODUCT(INDEX($AL$77:$AN$82,,$AE216),INDEX($AO$77:$AU$82,,$AD216), N($AK$77:$AK$82&gt;$AI216)) / CA216 / 1000</f>
        <v>0</v>
      </c>
      <c r="CC216" s="250">
        <f t="shared" si="257"/>
        <v>30</v>
      </c>
      <c r="CD216" s="237">
        <f t="shared" si="414"/>
        <v>43</v>
      </c>
      <c r="CE216" s="253">
        <f t="shared" si="415"/>
        <v>3.5018750000000001</v>
      </c>
      <c r="CF216" s="253" cm="1">
        <f t="array" ref="CF216">$BC216 * IF($AD216&lt;=2,
SUMPRODUCT(INDEX($AL$72:$AN$76,,$AE216), INDEX($AO$72:$AU$76,,$AD216), 1 / ($AV$72:$AV$76*CE216 + (1-$AV$72:$AV$76)*CA216), N($AK$72:$AK$76&gt;$AI216)),
SUMPRODUCT(INDEX($AL$67:$AN$76,,$AE216), INDEX($AO$67:$AU$76,,$AD216), 1 / ($AW$67:$AW$76*CE216 + (1-$AW$67:$AW$76)*CA216), N($AK$67:$AK$76&gt;$AI216))
) / 1000</f>
        <v>0</v>
      </c>
      <c r="CG216" s="250">
        <f t="shared" si="260"/>
        <v>25</v>
      </c>
      <c r="CH216" s="237">
        <f t="shared" si="416"/>
        <v>38</v>
      </c>
      <c r="CI216" s="253">
        <f t="shared" si="417"/>
        <v>4.0666935483870965</v>
      </c>
      <c r="CJ216" s="253" cm="1">
        <f t="array" ref="CJ216">$BC216 * IF($AD216&lt;=2,
SUMPRODUCT(INDEX($AL$67:$AN$71,,$AE216), INDEX($AO$67:$AU$71,,$AD216), 1 / ($AV$67:$AV$71*CI216 + (1-$AV$67:$AV$71)*CE216), N($AK$67:$AK$71&gt;$AI216)),
SUMPRODUCT(INDEX($AL$57:$AN$66,,$AE216), INDEX($AO$57:$AU$66,,$AD216), 1 / ($AW$57:$AW$66*CI216 + (1-$AW$57:$AW$66)*CE216), N($AK$57:$AK$66&gt;$AI216))
) / 1000</f>
        <v>0</v>
      </c>
      <c r="CK216" s="250">
        <f t="shared" si="263"/>
        <v>20</v>
      </c>
      <c r="CL216" s="237">
        <f t="shared" si="418"/>
        <v>33</v>
      </c>
      <c r="CM216" s="253">
        <f t="shared" si="419"/>
        <v>4.8487499999999999</v>
      </c>
      <c r="CN216" s="253" cm="1">
        <f t="array" ref="CN216">$BC216 * IF($AD216&lt;=2,
SUMPRODUCT(INDEX($AL$62:$AN$66,,$AE216), INDEX($AO$62:$AU$66,,$AD216), 1 / ($AV$62:$AV$66*CM216 + (1-$AV$62:$AV$66)*CI216), N($AK$62:$AK$66&gt;$AI216)),
SUMPRODUCT(INDEX($AL$47:$AN$56,,$AE216), INDEX($AO$47:$AU$56,,$AD216), 1 / ($AW$47:$AW$56*CM216 + (1-$AW$47:$AW$56)*CI216), N($AK$47:$AK$56&gt;$AI216))
) / 1000</f>
        <v>0</v>
      </c>
      <c r="CO216" s="253" cm="1">
        <f t="array" ref="CO216">$BC216 * IF($AD216&lt;=2,
SUMPRODUCT(INDEX($AL$23:$AN$61,,$AE216), INDEX($AO$23:$AU$61,,$AD216), 1 / ($AV$23:$AV$61*CM216), N($AK$23:$AK$61&gt;$AI216)),
SUMPRODUCT(INDEX($AL$23:$AN$46,,$AE216), INDEX($AO$23:$AU$46,,$AD216), 1 / ($AW$23:$AW$46*CM216), N($AK$23:$AK$46&gt;$AI216))
) / 1000</f>
        <v>0</v>
      </c>
      <c r="CP216" s="237">
        <f t="shared" si="420"/>
        <v>0</v>
      </c>
      <c r="CQ216" s="210"/>
    </row>
    <row r="217" spans="1:95" s="76" customFormat="1" ht="14.25" customHeight="1" x14ac:dyDescent="0.2">
      <c r="A217" s="238" t="b">
        <f t="shared" si="227"/>
        <v>0</v>
      </c>
      <c r="B217" s="239">
        <v>195</v>
      </c>
      <c r="C217" s="258"/>
      <c r="D217" s="258"/>
      <c r="E217" s="240"/>
      <c r="F217" s="241" t="str">
        <f>IF(ISBLANK(E217), "", VLOOKUP(E217, Z!$A$2:$C$4127, 3, FALSE))</f>
        <v/>
      </c>
      <c r="G217" s="242"/>
      <c r="H217" s="242"/>
      <c r="I217" s="243"/>
      <c r="J217" s="244"/>
      <c r="K217" s="259"/>
      <c r="L217" s="260"/>
      <c r="M217" s="247" t="str" cm="1">
        <f t="array" ref="M217">IF($K217&gt;0, INDEX(Clean,1+AG217,$C$1), "")</f>
        <v/>
      </c>
      <c r="N217" s="245"/>
      <c r="O217" s="245"/>
      <c r="P217" s="246"/>
      <c r="Q217" s="248">
        <f t="shared" si="397"/>
        <v>0</v>
      </c>
      <c r="R217" s="247" t="str" cm="1">
        <f t="array" ref="R217">IF($K217&gt;0, INDEX(Clean,1+AH217,$C$1), "")</f>
        <v/>
      </c>
      <c r="S217" s="245"/>
      <c r="T217" s="245"/>
      <c r="U217" s="246"/>
      <c r="V217" s="248">
        <f t="shared" si="398"/>
        <v>0</v>
      </c>
      <c r="W217" s="261"/>
      <c r="X217" s="258"/>
      <c r="Y217" s="240"/>
      <c r="Z217" s="241" t="str">
        <f>IF(ISBLANK(Y217), "", VLOOKUP(Y217, Z!$A$2:$C$4127, 3, FALSE))</f>
        <v/>
      </c>
      <c r="AA217" s="262"/>
      <c r="AB217" s="249">
        <f t="shared" si="424"/>
        <v>0</v>
      </c>
      <c r="AC217" s="210"/>
      <c r="AD217" s="236">
        <f t="shared" si="421"/>
        <v>1</v>
      </c>
      <c r="AE217" s="236">
        <f t="shared" si="422"/>
        <v>1</v>
      </c>
      <c r="AF217" s="236">
        <f t="shared" si="423"/>
        <v>0</v>
      </c>
      <c r="AG217" s="236">
        <v>1</v>
      </c>
      <c r="AH217" s="236">
        <v>0</v>
      </c>
      <c r="AI217" s="236">
        <f t="shared" si="399"/>
        <v>-100</v>
      </c>
      <c r="AJ217" s="210"/>
      <c r="AK217" s="254"/>
      <c r="AL217" s="254"/>
      <c r="AM217" s="255"/>
      <c r="AN217" s="255"/>
      <c r="AO217" s="255"/>
      <c r="AP217" s="255"/>
      <c r="AQ217" s="255"/>
      <c r="AR217" s="255"/>
      <c r="AS217" s="255"/>
      <c r="AT217" s="255"/>
      <c r="AU217" s="255"/>
      <c r="AV217" s="255"/>
      <c r="AW217" s="255"/>
      <c r="AX217" s="210"/>
      <c r="AY217" s="236" cm="1">
        <f t="array" ref="AY217">INDEX(Use, $AD217, 4)</f>
        <v>7</v>
      </c>
      <c r="AZ217" s="236">
        <f t="shared" si="400"/>
        <v>32</v>
      </c>
      <c r="BA217" s="236">
        <f t="shared" si="239"/>
        <v>13</v>
      </c>
      <c r="BB217" s="236">
        <f t="shared" si="240"/>
        <v>0</v>
      </c>
      <c r="BC217" s="252" cm="1">
        <f t="array" ref="BC217">K217/IF($L217&gt;0, INDEX($AO$23:$AU$77, $L217+20, $AD217), 1)</f>
        <v>0</v>
      </c>
      <c r="BD217" s="237">
        <f t="shared" si="401"/>
        <v>0</v>
      </c>
      <c r="BE217" s="236">
        <v>35</v>
      </c>
      <c r="BF217" s="237">
        <f t="shared" si="402"/>
        <v>52.55</v>
      </c>
      <c r="BG217" s="253">
        <f t="shared" si="403"/>
        <v>2.7676728869374316</v>
      </c>
      <c r="BH217" s="253" cm="1">
        <f t="array" ref="BH217">$BC217 * SUMPRODUCT(INDEX($AL$77:$AN$82,,$AE217),INDEX($AO$77:$AU$82,,$AD217), N($AK$77:$AK$82&gt;$AI217)) / BG217 / 1000</f>
        <v>0</v>
      </c>
      <c r="BI217" s="250">
        <f t="shared" si="244"/>
        <v>30</v>
      </c>
      <c r="BJ217" s="237">
        <f t="shared" si="404"/>
        <v>46.033333333333331</v>
      </c>
      <c r="BK217" s="253">
        <f t="shared" si="405"/>
        <v>3.2297395388556791</v>
      </c>
      <c r="BL217" s="253" cm="1">
        <f t="array" ref="BL217">$BC217 * IF($AD217&lt;=2,
SUMPRODUCT(INDEX($AL$72:$AN$76,,$AE217), INDEX($AO$72:$AU$76,,$AD217), 1 / ($AV$72:$AV$76*BK217 + (1-$AV$72:$AV$76)*BG217), N($AK$72:$AK$76&gt;$AI217)),
SUMPRODUCT(INDEX($AL$67:$AN$76,,$AE217), INDEX($AO$67:$AU$76,,$AD217), 1 / ($AW$67:$AW$76*BK217 + (1-$AW$67:$AW$76)*BG217), N($AK$67:$AK$76&gt;$AI217))
) / 1000</f>
        <v>0</v>
      </c>
      <c r="BM217" s="250">
        <f t="shared" si="247"/>
        <v>25</v>
      </c>
      <c r="BN217" s="237">
        <f t="shared" si="406"/>
        <v>39.516666666666666</v>
      </c>
      <c r="BO217" s="253">
        <f t="shared" si="407"/>
        <v>3.877011788826243</v>
      </c>
      <c r="BP217" s="253" cm="1">
        <f t="array" ref="BP217">$BC217 * IF($AD217&lt;=2,
SUMPRODUCT(INDEX($AL$67:$AN$71,,$AE217), INDEX($AO$67:$AU$71,,$AD217), 1 / ($AV$67:$AV$71*BO217 + (1-$AV$67:$AV$71)*BK217), N($AK$67:$AK$71&gt;$AI217)),
SUMPRODUCT(INDEX($AL$57:$AN$66,,$AE217), INDEX($AO$57:$AU$66,,$AD217), 1 / ($AW$57:$AW$66*BO217 + (1-$AW$57:$AW$66)*BK217), N($AK$57:$AK$66&gt;$AI217))
) / 1000</f>
        <v>0</v>
      </c>
      <c r="BQ217" s="250">
        <f t="shared" si="250"/>
        <v>20</v>
      </c>
      <c r="BR217" s="237">
        <f t="shared" si="408"/>
        <v>33</v>
      </c>
      <c r="BS217" s="253">
        <f t="shared" si="409"/>
        <v>4.8487499999999999</v>
      </c>
      <c r="BT217" s="253" cm="1">
        <f t="array" ref="BT217">$BC217 * IF($AD217&lt;=2,
SUMPRODUCT(INDEX($AL$62:$AN$66,,$AE217), INDEX($AO$62:$AU$66,,$AD217), 1 / ($AV$62:$AV$66*BS217 + (1-$AV$62:$AV$66)*BO217), N($AK$62:$AK$66&gt;$AI217)),
SUMPRODUCT(INDEX($AL$47:$AN$56,,$AE217), INDEX($AO$47:$AU$56,,$AD217), 1 / ($AW$47:$AW$56*BS217 + (1-$AW$47:$AW$56)*BO217), N($AK$47:$AK$56&gt;$AI217))
) / 1000</f>
        <v>0</v>
      </c>
      <c r="BU217" s="253" cm="1">
        <f t="array" ref="BU217">$BC217 * IF($AD217&lt;=2,
SUMPRODUCT(INDEX($AL$23:$AN$61,,$AE217), INDEX($AO$23:$AU$61,,$AD217), 1 / ($AV$23:$AV$61*BS217), N($AK$23:$AK$61&gt;$AI217)),
SUMPRODUCT(INDEX($AL$23:$AN$46,,$AE217), INDEX($AO$23:$AU$46,,$AD217), 1 / ($AW$23:$AW$46*BS217), N($AK$23:$AK$46&gt;$AI217))
) / 1000</f>
        <v>0</v>
      </c>
      <c r="BV217" s="237">
        <f t="shared" si="410"/>
        <v>0</v>
      </c>
      <c r="BW217" s="210"/>
      <c r="BX217" s="237">
        <f t="shared" si="411"/>
        <v>0</v>
      </c>
      <c r="BY217" s="236">
        <v>35</v>
      </c>
      <c r="BZ217" s="237">
        <f t="shared" si="412"/>
        <v>48</v>
      </c>
      <c r="CA217" s="253">
        <f t="shared" si="413"/>
        <v>3.0748170731707316</v>
      </c>
      <c r="CB217" s="253" cm="1">
        <f t="array" ref="CB217">$BC217 * SUMPRODUCT(INDEX($AL$77:$AN$82,,$AE217),INDEX($AO$77:$AU$82,,$AD217), N($AK$77:$AK$82&gt;$AI217)) / CA217 / 1000</f>
        <v>0</v>
      </c>
      <c r="CC217" s="250">
        <f t="shared" si="257"/>
        <v>30</v>
      </c>
      <c r="CD217" s="237">
        <f t="shared" si="414"/>
        <v>43</v>
      </c>
      <c r="CE217" s="253">
        <f t="shared" si="415"/>
        <v>3.5018750000000001</v>
      </c>
      <c r="CF217" s="253" cm="1">
        <f t="array" ref="CF217">$BC217 * IF($AD217&lt;=2,
SUMPRODUCT(INDEX($AL$72:$AN$76,,$AE217), INDEX($AO$72:$AU$76,,$AD217), 1 / ($AV$72:$AV$76*CE217 + (1-$AV$72:$AV$76)*CA217), N($AK$72:$AK$76&gt;$AI217)),
SUMPRODUCT(INDEX($AL$67:$AN$76,,$AE217), INDEX($AO$67:$AU$76,,$AD217), 1 / ($AW$67:$AW$76*CE217 + (1-$AW$67:$AW$76)*CA217), N($AK$67:$AK$76&gt;$AI217))
) / 1000</f>
        <v>0</v>
      </c>
      <c r="CG217" s="250">
        <f t="shared" si="260"/>
        <v>25</v>
      </c>
      <c r="CH217" s="237">
        <f t="shared" si="416"/>
        <v>38</v>
      </c>
      <c r="CI217" s="253">
        <f t="shared" si="417"/>
        <v>4.0666935483870965</v>
      </c>
      <c r="CJ217" s="253" cm="1">
        <f t="array" ref="CJ217">$BC217 * IF($AD217&lt;=2,
SUMPRODUCT(INDEX($AL$67:$AN$71,,$AE217), INDEX($AO$67:$AU$71,,$AD217), 1 / ($AV$67:$AV$71*CI217 + (1-$AV$67:$AV$71)*CE217), N($AK$67:$AK$71&gt;$AI217)),
SUMPRODUCT(INDEX($AL$57:$AN$66,,$AE217), INDEX($AO$57:$AU$66,,$AD217), 1 / ($AW$57:$AW$66*CI217 + (1-$AW$57:$AW$66)*CE217), N($AK$57:$AK$66&gt;$AI217))
) / 1000</f>
        <v>0</v>
      </c>
      <c r="CK217" s="250">
        <f t="shared" si="263"/>
        <v>20</v>
      </c>
      <c r="CL217" s="237">
        <f t="shared" si="418"/>
        <v>33</v>
      </c>
      <c r="CM217" s="253">
        <f t="shared" si="419"/>
        <v>4.8487499999999999</v>
      </c>
      <c r="CN217" s="253" cm="1">
        <f t="array" ref="CN217">$BC217 * IF($AD217&lt;=2,
SUMPRODUCT(INDEX($AL$62:$AN$66,,$AE217), INDEX($AO$62:$AU$66,,$AD217), 1 / ($AV$62:$AV$66*CM217 + (1-$AV$62:$AV$66)*CI217), N($AK$62:$AK$66&gt;$AI217)),
SUMPRODUCT(INDEX($AL$47:$AN$56,,$AE217), INDEX($AO$47:$AU$56,,$AD217), 1 / ($AW$47:$AW$56*CM217 + (1-$AW$47:$AW$56)*CI217), N($AK$47:$AK$56&gt;$AI217))
) / 1000</f>
        <v>0</v>
      </c>
      <c r="CO217" s="253" cm="1">
        <f t="array" ref="CO217">$BC217 * IF($AD217&lt;=2,
SUMPRODUCT(INDEX($AL$23:$AN$61,,$AE217), INDEX($AO$23:$AU$61,,$AD217), 1 / ($AV$23:$AV$61*CM217), N($AK$23:$AK$61&gt;$AI217)),
SUMPRODUCT(INDEX($AL$23:$AN$46,,$AE217), INDEX($AO$23:$AU$46,,$AD217), 1 / ($AW$23:$AW$46*CM217), N($AK$23:$AK$46&gt;$AI217))
) / 1000</f>
        <v>0</v>
      </c>
      <c r="CP217" s="237">
        <f t="shared" si="420"/>
        <v>0</v>
      </c>
      <c r="CQ217" s="210"/>
    </row>
    <row r="218" spans="1:95" s="76" customFormat="1" ht="14.25" customHeight="1" x14ac:dyDescent="0.2">
      <c r="A218" s="238" t="b">
        <f t="shared" si="227"/>
        <v>0</v>
      </c>
      <c r="B218" s="239">
        <v>196</v>
      </c>
      <c r="C218" s="258"/>
      <c r="D218" s="258"/>
      <c r="E218" s="240"/>
      <c r="F218" s="241" t="str">
        <f>IF(ISBLANK(E218), "", VLOOKUP(E218, Z!$A$2:$C$4127, 3, FALSE))</f>
        <v/>
      </c>
      <c r="G218" s="242"/>
      <c r="H218" s="242"/>
      <c r="I218" s="243"/>
      <c r="J218" s="244"/>
      <c r="K218" s="259"/>
      <c r="L218" s="260"/>
      <c r="M218" s="247" t="str" cm="1">
        <f t="array" ref="M218">IF($K218&gt;0, INDEX(Clean,1+AG218,$C$1), "")</f>
        <v/>
      </c>
      <c r="N218" s="245"/>
      <c r="O218" s="245"/>
      <c r="P218" s="246"/>
      <c r="Q218" s="248">
        <f t="shared" si="397"/>
        <v>0</v>
      </c>
      <c r="R218" s="247" t="str" cm="1">
        <f t="array" ref="R218">IF($K218&gt;0, INDEX(Clean,1+AH218,$C$1), "")</f>
        <v/>
      </c>
      <c r="S218" s="245"/>
      <c r="T218" s="245"/>
      <c r="U218" s="246"/>
      <c r="V218" s="248">
        <f t="shared" si="398"/>
        <v>0</v>
      </c>
      <c r="W218" s="261"/>
      <c r="X218" s="258"/>
      <c r="Y218" s="240"/>
      <c r="Z218" s="241" t="str">
        <f>IF(ISBLANK(Y218), "", VLOOKUP(Y218, Z!$A$2:$C$4127, 3, FALSE))</f>
        <v/>
      </c>
      <c r="AA218" s="262"/>
      <c r="AB218" s="249">
        <f t="shared" si="424"/>
        <v>0</v>
      </c>
      <c r="AC218" s="210"/>
      <c r="AD218" s="236">
        <f t="shared" si="421"/>
        <v>1</v>
      </c>
      <c r="AE218" s="236">
        <f t="shared" si="422"/>
        <v>1</v>
      </c>
      <c r="AF218" s="236">
        <f t="shared" si="423"/>
        <v>0</v>
      </c>
      <c r="AG218" s="236">
        <v>1</v>
      </c>
      <c r="AH218" s="236">
        <v>0</v>
      </c>
      <c r="AI218" s="236">
        <f t="shared" si="399"/>
        <v>-100</v>
      </c>
      <c r="AJ218" s="210"/>
      <c r="AK218" s="254"/>
      <c r="AL218" s="254"/>
      <c r="AM218" s="255"/>
      <c r="AN218" s="255"/>
      <c r="AO218" s="255"/>
      <c r="AP218" s="255"/>
      <c r="AQ218" s="255"/>
      <c r="AR218" s="255"/>
      <c r="AS218" s="255"/>
      <c r="AT218" s="255"/>
      <c r="AU218" s="255"/>
      <c r="AV218" s="255"/>
      <c r="AW218" s="255"/>
      <c r="AX218" s="210"/>
      <c r="AY218" s="236" cm="1">
        <f t="array" ref="AY218">INDEX(Use, $AD218, 4)</f>
        <v>7</v>
      </c>
      <c r="AZ218" s="236">
        <f t="shared" si="400"/>
        <v>32</v>
      </c>
      <c r="BA218" s="236">
        <f t="shared" si="239"/>
        <v>13</v>
      </c>
      <c r="BB218" s="236">
        <f t="shared" si="240"/>
        <v>0</v>
      </c>
      <c r="BC218" s="252" cm="1">
        <f t="array" ref="BC218">K218/IF($L218&gt;0, INDEX($AO$23:$AU$77, $L218+20, $AD218), 1)</f>
        <v>0</v>
      </c>
      <c r="BD218" s="237">
        <f t="shared" si="401"/>
        <v>0</v>
      </c>
      <c r="BE218" s="236">
        <v>35</v>
      </c>
      <c r="BF218" s="237">
        <f t="shared" si="402"/>
        <v>52.55</v>
      </c>
      <c r="BG218" s="253">
        <f t="shared" si="403"/>
        <v>2.7676728869374316</v>
      </c>
      <c r="BH218" s="253" cm="1">
        <f t="array" ref="BH218">$BC218 * SUMPRODUCT(INDEX($AL$77:$AN$82,,$AE218),INDEX($AO$77:$AU$82,,$AD218), N($AK$77:$AK$82&gt;$AI218)) / BG218 / 1000</f>
        <v>0</v>
      </c>
      <c r="BI218" s="250">
        <f t="shared" si="244"/>
        <v>30</v>
      </c>
      <c r="BJ218" s="237">
        <f t="shared" si="404"/>
        <v>46.033333333333331</v>
      </c>
      <c r="BK218" s="253">
        <f t="shared" si="405"/>
        <v>3.2297395388556791</v>
      </c>
      <c r="BL218" s="253" cm="1">
        <f t="array" ref="BL218">$BC218 * IF($AD218&lt;=2,
SUMPRODUCT(INDEX($AL$72:$AN$76,,$AE218), INDEX($AO$72:$AU$76,,$AD218), 1 / ($AV$72:$AV$76*BK218 + (1-$AV$72:$AV$76)*BG218), N($AK$72:$AK$76&gt;$AI218)),
SUMPRODUCT(INDEX($AL$67:$AN$76,,$AE218), INDEX($AO$67:$AU$76,,$AD218), 1 / ($AW$67:$AW$76*BK218 + (1-$AW$67:$AW$76)*BG218), N($AK$67:$AK$76&gt;$AI218))
) / 1000</f>
        <v>0</v>
      </c>
      <c r="BM218" s="250">
        <f t="shared" si="247"/>
        <v>25</v>
      </c>
      <c r="BN218" s="237">
        <f t="shared" si="406"/>
        <v>39.516666666666666</v>
      </c>
      <c r="BO218" s="253">
        <f t="shared" si="407"/>
        <v>3.877011788826243</v>
      </c>
      <c r="BP218" s="253" cm="1">
        <f t="array" ref="BP218">$BC218 * IF($AD218&lt;=2,
SUMPRODUCT(INDEX($AL$67:$AN$71,,$AE218), INDEX($AO$67:$AU$71,,$AD218), 1 / ($AV$67:$AV$71*BO218 + (1-$AV$67:$AV$71)*BK218), N($AK$67:$AK$71&gt;$AI218)),
SUMPRODUCT(INDEX($AL$57:$AN$66,,$AE218), INDEX($AO$57:$AU$66,,$AD218), 1 / ($AW$57:$AW$66*BO218 + (1-$AW$57:$AW$66)*BK218), N($AK$57:$AK$66&gt;$AI218))
) / 1000</f>
        <v>0</v>
      </c>
      <c r="BQ218" s="250">
        <f t="shared" si="250"/>
        <v>20</v>
      </c>
      <c r="BR218" s="237">
        <f t="shared" si="408"/>
        <v>33</v>
      </c>
      <c r="BS218" s="253">
        <f t="shared" si="409"/>
        <v>4.8487499999999999</v>
      </c>
      <c r="BT218" s="253" cm="1">
        <f t="array" ref="BT218">$BC218 * IF($AD218&lt;=2,
SUMPRODUCT(INDEX($AL$62:$AN$66,,$AE218), INDEX($AO$62:$AU$66,,$AD218), 1 / ($AV$62:$AV$66*BS218 + (1-$AV$62:$AV$66)*BO218), N($AK$62:$AK$66&gt;$AI218)),
SUMPRODUCT(INDEX($AL$47:$AN$56,,$AE218), INDEX($AO$47:$AU$56,,$AD218), 1 / ($AW$47:$AW$56*BS218 + (1-$AW$47:$AW$56)*BO218), N($AK$47:$AK$56&gt;$AI218))
) / 1000</f>
        <v>0</v>
      </c>
      <c r="BU218" s="253" cm="1">
        <f t="array" ref="BU218">$BC218 * IF($AD218&lt;=2,
SUMPRODUCT(INDEX($AL$23:$AN$61,,$AE218), INDEX($AO$23:$AU$61,,$AD218), 1 / ($AV$23:$AV$61*BS218), N($AK$23:$AK$61&gt;$AI218)),
SUMPRODUCT(INDEX($AL$23:$AN$46,,$AE218), INDEX($AO$23:$AU$46,,$AD218), 1 / ($AW$23:$AW$46*BS218), N($AK$23:$AK$46&gt;$AI218))
) / 1000</f>
        <v>0</v>
      </c>
      <c r="BV218" s="237">
        <f t="shared" si="410"/>
        <v>0</v>
      </c>
      <c r="BW218" s="210"/>
      <c r="BX218" s="237">
        <f t="shared" si="411"/>
        <v>0</v>
      </c>
      <c r="BY218" s="236">
        <v>35</v>
      </c>
      <c r="BZ218" s="237">
        <f t="shared" si="412"/>
        <v>48</v>
      </c>
      <c r="CA218" s="253">
        <f t="shared" si="413"/>
        <v>3.0748170731707316</v>
      </c>
      <c r="CB218" s="253" cm="1">
        <f t="array" ref="CB218">$BC218 * SUMPRODUCT(INDEX($AL$77:$AN$82,,$AE218),INDEX($AO$77:$AU$82,,$AD218), N($AK$77:$AK$82&gt;$AI218)) / CA218 / 1000</f>
        <v>0</v>
      </c>
      <c r="CC218" s="250">
        <f t="shared" si="257"/>
        <v>30</v>
      </c>
      <c r="CD218" s="237">
        <f t="shared" si="414"/>
        <v>43</v>
      </c>
      <c r="CE218" s="253">
        <f t="shared" si="415"/>
        <v>3.5018750000000001</v>
      </c>
      <c r="CF218" s="253" cm="1">
        <f t="array" ref="CF218">$BC218 * IF($AD218&lt;=2,
SUMPRODUCT(INDEX($AL$72:$AN$76,,$AE218), INDEX($AO$72:$AU$76,,$AD218), 1 / ($AV$72:$AV$76*CE218 + (1-$AV$72:$AV$76)*CA218), N($AK$72:$AK$76&gt;$AI218)),
SUMPRODUCT(INDEX($AL$67:$AN$76,,$AE218), INDEX($AO$67:$AU$76,,$AD218), 1 / ($AW$67:$AW$76*CE218 + (1-$AW$67:$AW$76)*CA218), N($AK$67:$AK$76&gt;$AI218))
) / 1000</f>
        <v>0</v>
      </c>
      <c r="CG218" s="250">
        <f t="shared" si="260"/>
        <v>25</v>
      </c>
      <c r="CH218" s="237">
        <f t="shared" si="416"/>
        <v>38</v>
      </c>
      <c r="CI218" s="253">
        <f t="shared" si="417"/>
        <v>4.0666935483870965</v>
      </c>
      <c r="CJ218" s="253" cm="1">
        <f t="array" ref="CJ218">$BC218 * IF($AD218&lt;=2,
SUMPRODUCT(INDEX($AL$67:$AN$71,,$AE218), INDEX($AO$67:$AU$71,,$AD218), 1 / ($AV$67:$AV$71*CI218 + (1-$AV$67:$AV$71)*CE218), N($AK$67:$AK$71&gt;$AI218)),
SUMPRODUCT(INDEX($AL$57:$AN$66,,$AE218), INDEX($AO$57:$AU$66,,$AD218), 1 / ($AW$57:$AW$66*CI218 + (1-$AW$57:$AW$66)*CE218), N($AK$57:$AK$66&gt;$AI218))
) / 1000</f>
        <v>0</v>
      </c>
      <c r="CK218" s="250">
        <f t="shared" si="263"/>
        <v>20</v>
      </c>
      <c r="CL218" s="237">
        <f t="shared" si="418"/>
        <v>33</v>
      </c>
      <c r="CM218" s="253">
        <f t="shared" si="419"/>
        <v>4.8487499999999999</v>
      </c>
      <c r="CN218" s="253" cm="1">
        <f t="array" ref="CN218">$BC218 * IF($AD218&lt;=2,
SUMPRODUCT(INDEX($AL$62:$AN$66,,$AE218), INDEX($AO$62:$AU$66,,$AD218), 1 / ($AV$62:$AV$66*CM218 + (1-$AV$62:$AV$66)*CI218), N($AK$62:$AK$66&gt;$AI218)),
SUMPRODUCT(INDEX($AL$47:$AN$56,,$AE218), INDEX($AO$47:$AU$56,,$AD218), 1 / ($AW$47:$AW$56*CM218 + (1-$AW$47:$AW$56)*CI218), N($AK$47:$AK$56&gt;$AI218))
) / 1000</f>
        <v>0</v>
      </c>
      <c r="CO218" s="253" cm="1">
        <f t="array" ref="CO218">$BC218 * IF($AD218&lt;=2,
SUMPRODUCT(INDEX($AL$23:$AN$61,,$AE218), INDEX($AO$23:$AU$61,,$AD218), 1 / ($AV$23:$AV$61*CM218), N($AK$23:$AK$61&gt;$AI218)),
SUMPRODUCT(INDEX($AL$23:$AN$46,,$AE218), INDEX($AO$23:$AU$46,,$AD218), 1 / ($AW$23:$AW$46*CM218), N($AK$23:$AK$46&gt;$AI218))
) / 1000</f>
        <v>0</v>
      </c>
      <c r="CP218" s="237">
        <f t="shared" si="420"/>
        <v>0</v>
      </c>
      <c r="CQ218" s="210"/>
    </row>
    <row r="219" spans="1:95" s="76" customFormat="1" ht="14.25" customHeight="1" x14ac:dyDescent="0.2">
      <c r="A219" s="238" t="b">
        <f t="shared" si="227"/>
        <v>0</v>
      </c>
      <c r="B219" s="239">
        <v>197</v>
      </c>
      <c r="C219" s="258"/>
      <c r="D219" s="258"/>
      <c r="E219" s="240"/>
      <c r="F219" s="241" t="str">
        <f>IF(ISBLANK(E219), "", VLOOKUP(E219, Z!$A$2:$C$4127, 3, FALSE))</f>
        <v/>
      </c>
      <c r="G219" s="242"/>
      <c r="H219" s="242"/>
      <c r="I219" s="243"/>
      <c r="J219" s="244"/>
      <c r="K219" s="259"/>
      <c r="L219" s="260"/>
      <c r="M219" s="247" t="str" cm="1">
        <f t="array" ref="M219">IF($K219&gt;0, INDEX(Clean,1+AG219,$C$1), "")</f>
        <v/>
      </c>
      <c r="N219" s="245"/>
      <c r="O219" s="245"/>
      <c r="P219" s="246"/>
      <c r="Q219" s="248">
        <f t="shared" si="397"/>
        <v>0</v>
      </c>
      <c r="R219" s="247" t="str" cm="1">
        <f t="array" ref="R219">IF($K219&gt;0, INDEX(Clean,1+AH219,$C$1), "")</f>
        <v/>
      </c>
      <c r="S219" s="245"/>
      <c r="T219" s="245"/>
      <c r="U219" s="246"/>
      <c r="V219" s="248">
        <f t="shared" si="398"/>
        <v>0</v>
      </c>
      <c r="W219" s="261"/>
      <c r="X219" s="258"/>
      <c r="Y219" s="240"/>
      <c r="Z219" s="241" t="str">
        <f>IF(ISBLANK(Y219), "", VLOOKUP(Y219, Z!$A$2:$C$4127, 3, FALSE))</f>
        <v/>
      </c>
      <c r="AA219" s="262"/>
      <c r="AB219" s="249">
        <f t="shared" si="424"/>
        <v>0</v>
      </c>
      <c r="AC219" s="210"/>
      <c r="AD219" s="236">
        <f t="shared" si="421"/>
        <v>1</v>
      </c>
      <c r="AE219" s="236">
        <f t="shared" si="422"/>
        <v>1</v>
      </c>
      <c r="AF219" s="236">
        <f t="shared" si="423"/>
        <v>0</v>
      </c>
      <c r="AG219" s="236">
        <v>1</v>
      </c>
      <c r="AH219" s="236">
        <v>0</v>
      </c>
      <c r="AI219" s="236">
        <f t="shared" si="399"/>
        <v>-100</v>
      </c>
      <c r="AJ219" s="210"/>
      <c r="AK219" s="254"/>
      <c r="AL219" s="254"/>
      <c r="AM219" s="255"/>
      <c r="AN219" s="255"/>
      <c r="AO219" s="255"/>
      <c r="AP219" s="255"/>
      <c r="AQ219" s="255"/>
      <c r="AR219" s="255"/>
      <c r="AS219" s="255"/>
      <c r="AT219" s="255"/>
      <c r="AU219" s="255"/>
      <c r="AV219" s="255"/>
      <c r="AW219" s="255"/>
      <c r="AX219" s="210"/>
      <c r="AY219" s="236" cm="1">
        <f t="array" ref="AY219">INDEX(Use, $AD219, 4)</f>
        <v>7</v>
      </c>
      <c r="AZ219" s="236">
        <f t="shared" si="400"/>
        <v>32</v>
      </c>
      <c r="BA219" s="236">
        <f t="shared" si="239"/>
        <v>13</v>
      </c>
      <c r="BB219" s="236">
        <f t="shared" si="240"/>
        <v>0</v>
      </c>
      <c r="BC219" s="252" cm="1">
        <f t="array" ref="BC219">K219/IF($L219&gt;0, INDEX($AO$23:$AU$77, $L219+20, $AD219), 1)</f>
        <v>0</v>
      </c>
      <c r="BD219" s="237">
        <f t="shared" si="401"/>
        <v>0</v>
      </c>
      <c r="BE219" s="236">
        <v>35</v>
      </c>
      <c r="BF219" s="237">
        <f t="shared" si="402"/>
        <v>52.55</v>
      </c>
      <c r="BG219" s="253">
        <f t="shared" si="403"/>
        <v>2.7676728869374316</v>
      </c>
      <c r="BH219" s="253" cm="1">
        <f t="array" ref="BH219">$BC219 * SUMPRODUCT(INDEX($AL$77:$AN$82,,$AE219),INDEX($AO$77:$AU$82,,$AD219), N($AK$77:$AK$82&gt;$AI219)) / BG219 / 1000</f>
        <v>0</v>
      </c>
      <c r="BI219" s="250">
        <f t="shared" si="244"/>
        <v>30</v>
      </c>
      <c r="BJ219" s="237">
        <f t="shared" si="404"/>
        <v>46.033333333333331</v>
      </c>
      <c r="BK219" s="253">
        <f t="shared" si="405"/>
        <v>3.2297395388556791</v>
      </c>
      <c r="BL219" s="253" cm="1">
        <f t="array" ref="BL219">$BC219 * IF($AD219&lt;=2,
SUMPRODUCT(INDEX($AL$72:$AN$76,,$AE219), INDEX($AO$72:$AU$76,,$AD219), 1 / ($AV$72:$AV$76*BK219 + (1-$AV$72:$AV$76)*BG219), N($AK$72:$AK$76&gt;$AI219)),
SUMPRODUCT(INDEX($AL$67:$AN$76,,$AE219), INDEX($AO$67:$AU$76,,$AD219), 1 / ($AW$67:$AW$76*BK219 + (1-$AW$67:$AW$76)*BG219), N($AK$67:$AK$76&gt;$AI219))
) / 1000</f>
        <v>0</v>
      </c>
      <c r="BM219" s="250">
        <f t="shared" si="247"/>
        <v>25</v>
      </c>
      <c r="BN219" s="237">
        <f t="shared" si="406"/>
        <v>39.516666666666666</v>
      </c>
      <c r="BO219" s="253">
        <f t="shared" si="407"/>
        <v>3.877011788826243</v>
      </c>
      <c r="BP219" s="253" cm="1">
        <f t="array" ref="BP219">$BC219 * IF($AD219&lt;=2,
SUMPRODUCT(INDEX($AL$67:$AN$71,,$AE219), INDEX($AO$67:$AU$71,,$AD219), 1 / ($AV$67:$AV$71*BO219 + (1-$AV$67:$AV$71)*BK219), N($AK$67:$AK$71&gt;$AI219)),
SUMPRODUCT(INDEX($AL$57:$AN$66,,$AE219), INDEX($AO$57:$AU$66,,$AD219), 1 / ($AW$57:$AW$66*BO219 + (1-$AW$57:$AW$66)*BK219), N($AK$57:$AK$66&gt;$AI219))
) / 1000</f>
        <v>0</v>
      </c>
      <c r="BQ219" s="250">
        <f t="shared" si="250"/>
        <v>20</v>
      </c>
      <c r="BR219" s="237">
        <f t="shared" si="408"/>
        <v>33</v>
      </c>
      <c r="BS219" s="253">
        <f t="shared" si="409"/>
        <v>4.8487499999999999</v>
      </c>
      <c r="BT219" s="253" cm="1">
        <f t="array" ref="BT219">$BC219 * IF($AD219&lt;=2,
SUMPRODUCT(INDEX($AL$62:$AN$66,,$AE219), INDEX($AO$62:$AU$66,,$AD219), 1 / ($AV$62:$AV$66*BS219 + (1-$AV$62:$AV$66)*BO219), N($AK$62:$AK$66&gt;$AI219)),
SUMPRODUCT(INDEX($AL$47:$AN$56,,$AE219), INDEX($AO$47:$AU$56,,$AD219), 1 / ($AW$47:$AW$56*BS219 + (1-$AW$47:$AW$56)*BO219), N($AK$47:$AK$56&gt;$AI219))
) / 1000</f>
        <v>0</v>
      </c>
      <c r="BU219" s="253" cm="1">
        <f t="array" ref="BU219">$BC219 * IF($AD219&lt;=2,
SUMPRODUCT(INDEX($AL$23:$AN$61,,$AE219), INDEX($AO$23:$AU$61,,$AD219), 1 / ($AV$23:$AV$61*BS219), N($AK$23:$AK$61&gt;$AI219)),
SUMPRODUCT(INDEX($AL$23:$AN$46,,$AE219), INDEX($AO$23:$AU$46,,$AD219), 1 / ($AW$23:$AW$46*BS219), N($AK$23:$AK$46&gt;$AI219))
) / 1000</f>
        <v>0</v>
      </c>
      <c r="BV219" s="237">
        <f t="shared" si="410"/>
        <v>0</v>
      </c>
      <c r="BW219" s="210"/>
      <c r="BX219" s="237">
        <f t="shared" si="411"/>
        <v>0</v>
      </c>
      <c r="BY219" s="236">
        <v>35</v>
      </c>
      <c r="BZ219" s="237">
        <f t="shared" si="412"/>
        <v>48</v>
      </c>
      <c r="CA219" s="253">
        <f t="shared" si="413"/>
        <v>3.0748170731707316</v>
      </c>
      <c r="CB219" s="253" cm="1">
        <f t="array" ref="CB219">$BC219 * SUMPRODUCT(INDEX($AL$77:$AN$82,,$AE219),INDEX($AO$77:$AU$82,,$AD219), N($AK$77:$AK$82&gt;$AI219)) / CA219 / 1000</f>
        <v>0</v>
      </c>
      <c r="CC219" s="250">
        <f t="shared" si="257"/>
        <v>30</v>
      </c>
      <c r="CD219" s="237">
        <f t="shared" si="414"/>
        <v>43</v>
      </c>
      <c r="CE219" s="253">
        <f t="shared" si="415"/>
        <v>3.5018750000000001</v>
      </c>
      <c r="CF219" s="253" cm="1">
        <f t="array" ref="CF219">$BC219 * IF($AD219&lt;=2,
SUMPRODUCT(INDEX($AL$72:$AN$76,,$AE219), INDEX($AO$72:$AU$76,,$AD219), 1 / ($AV$72:$AV$76*CE219 + (1-$AV$72:$AV$76)*CA219), N($AK$72:$AK$76&gt;$AI219)),
SUMPRODUCT(INDEX($AL$67:$AN$76,,$AE219), INDEX($AO$67:$AU$76,,$AD219), 1 / ($AW$67:$AW$76*CE219 + (1-$AW$67:$AW$76)*CA219), N($AK$67:$AK$76&gt;$AI219))
) / 1000</f>
        <v>0</v>
      </c>
      <c r="CG219" s="250">
        <f t="shared" si="260"/>
        <v>25</v>
      </c>
      <c r="CH219" s="237">
        <f t="shared" si="416"/>
        <v>38</v>
      </c>
      <c r="CI219" s="253">
        <f t="shared" si="417"/>
        <v>4.0666935483870965</v>
      </c>
      <c r="CJ219" s="253" cm="1">
        <f t="array" ref="CJ219">$BC219 * IF($AD219&lt;=2,
SUMPRODUCT(INDEX($AL$67:$AN$71,,$AE219), INDEX($AO$67:$AU$71,,$AD219), 1 / ($AV$67:$AV$71*CI219 + (1-$AV$67:$AV$71)*CE219), N($AK$67:$AK$71&gt;$AI219)),
SUMPRODUCT(INDEX($AL$57:$AN$66,,$AE219), INDEX($AO$57:$AU$66,,$AD219), 1 / ($AW$57:$AW$66*CI219 + (1-$AW$57:$AW$66)*CE219), N($AK$57:$AK$66&gt;$AI219))
) / 1000</f>
        <v>0</v>
      </c>
      <c r="CK219" s="250">
        <f t="shared" si="263"/>
        <v>20</v>
      </c>
      <c r="CL219" s="237">
        <f t="shared" si="418"/>
        <v>33</v>
      </c>
      <c r="CM219" s="253">
        <f t="shared" si="419"/>
        <v>4.8487499999999999</v>
      </c>
      <c r="CN219" s="253" cm="1">
        <f t="array" ref="CN219">$BC219 * IF($AD219&lt;=2,
SUMPRODUCT(INDEX($AL$62:$AN$66,,$AE219), INDEX($AO$62:$AU$66,,$AD219), 1 / ($AV$62:$AV$66*CM219 + (1-$AV$62:$AV$66)*CI219), N($AK$62:$AK$66&gt;$AI219)),
SUMPRODUCT(INDEX($AL$47:$AN$56,,$AE219), INDEX($AO$47:$AU$56,,$AD219), 1 / ($AW$47:$AW$56*CM219 + (1-$AW$47:$AW$56)*CI219), N($AK$47:$AK$56&gt;$AI219))
) / 1000</f>
        <v>0</v>
      </c>
      <c r="CO219" s="253" cm="1">
        <f t="array" ref="CO219">$BC219 * IF($AD219&lt;=2,
SUMPRODUCT(INDEX($AL$23:$AN$61,,$AE219), INDEX($AO$23:$AU$61,,$AD219), 1 / ($AV$23:$AV$61*CM219), N($AK$23:$AK$61&gt;$AI219)),
SUMPRODUCT(INDEX($AL$23:$AN$46,,$AE219), INDEX($AO$23:$AU$46,,$AD219), 1 / ($AW$23:$AW$46*CM219), N($AK$23:$AK$46&gt;$AI219))
) / 1000</f>
        <v>0</v>
      </c>
      <c r="CP219" s="237">
        <f t="shared" si="420"/>
        <v>0</v>
      </c>
      <c r="CQ219" s="210"/>
    </row>
    <row r="220" spans="1:95" s="76" customFormat="1" ht="14.25" customHeight="1" x14ac:dyDescent="0.2">
      <c r="A220" s="238" t="b">
        <f t="shared" si="227"/>
        <v>0</v>
      </c>
      <c r="B220" s="239">
        <v>198</v>
      </c>
      <c r="C220" s="258"/>
      <c r="D220" s="258"/>
      <c r="E220" s="240"/>
      <c r="F220" s="241" t="str">
        <f>IF(ISBLANK(E220), "", VLOOKUP(E220, Z!$A$2:$C$4127, 3, FALSE))</f>
        <v/>
      </c>
      <c r="G220" s="242"/>
      <c r="H220" s="242"/>
      <c r="I220" s="243"/>
      <c r="J220" s="244"/>
      <c r="K220" s="259"/>
      <c r="L220" s="260"/>
      <c r="M220" s="247" t="str" cm="1">
        <f t="array" ref="M220">IF($K220&gt;0, INDEX(Clean,1+AG220,$C$1), "")</f>
        <v/>
      </c>
      <c r="N220" s="245"/>
      <c r="O220" s="245"/>
      <c r="P220" s="246"/>
      <c r="Q220" s="248">
        <f t="shared" si="397"/>
        <v>0</v>
      </c>
      <c r="R220" s="247" t="str" cm="1">
        <f t="array" ref="R220">IF($K220&gt;0, INDEX(Clean,1+AH220,$C$1), "")</f>
        <v/>
      </c>
      <c r="S220" s="245"/>
      <c r="T220" s="245"/>
      <c r="U220" s="246"/>
      <c r="V220" s="248">
        <f t="shared" si="398"/>
        <v>0</v>
      </c>
      <c r="W220" s="261"/>
      <c r="X220" s="258"/>
      <c r="Y220" s="240"/>
      <c r="Z220" s="241" t="str">
        <f>IF(ISBLANK(Y220), "", VLOOKUP(Y220, Z!$A$2:$C$4127, 3, FALSE))</f>
        <v/>
      </c>
      <c r="AA220" s="262"/>
      <c r="AB220" s="249">
        <f t="shared" si="424"/>
        <v>0</v>
      </c>
      <c r="AC220" s="210"/>
      <c r="AD220" s="236">
        <f t="shared" si="421"/>
        <v>1</v>
      </c>
      <c r="AE220" s="236">
        <f t="shared" si="422"/>
        <v>1</v>
      </c>
      <c r="AF220" s="236">
        <f t="shared" si="423"/>
        <v>0</v>
      </c>
      <c r="AG220" s="236">
        <v>1</v>
      </c>
      <c r="AH220" s="236">
        <v>0</v>
      </c>
      <c r="AI220" s="236">
        <f t="shared" si="399"/>
        <v>-100</v>
      </c>
      <c r="AJ220" s="210"/>
      <c r="AK220" s="254"/>
      <c r="AL220" s="254"/>
      <c r="AM220" s="255"/>
      <c r="AN220" s="255"/>
      <c r="AO220" s="255"/>
      <c r="AP220" s="255"/>
      <c r="AQ220" s="255"/>
      <c r="AR220" s="255"/>
      <c r="AS220" s="255"/>
      <c r="AT220" s="255"/>
      <c r="AU220" s="255"/>
      <c r="AV220" s="255"/>
      <c r="AW220" s="255"/>
      <c r="AX220" s="210"/>
      <c r="AY220" s="236" cm="1">
        <f t="array" ref="AY220">INDEX(Use, $AD220, 4)</f>
        <v>7</v>
      </c>
      <c r="AZ220" s="236">
        <f t="shared" si="400"/>
        <v>32</v>
      </c>
      <c r="BA220" s="236">
        <f t="shared" si="239"/>
        <v>13</v>
      </c>
      <c r="BB220" s="236">
        <f t="shared" si="240"/>
        <v>0</v>
      </c>
      <c r="BC220" s="252" cm="1">
        <f t="array" ref="BC220">K220/IF($L220&gt;0, INDEX($AO$23:$AU$77, $L220+20, $AD220), 1)</f>
        <v>0</v>
      </c>
      <c r="BD220" s="237">
        <f t="shared" si="401"/>
        <v>0</v>
      </c>
      <c r="BE220" s="236">
        <v>35</v>
      </c>
      <c r="BF220" s="237">
        <f t="shared" si="402"/>
        <v>52.55</v>
      </c>
      <c r="BG220" s="253">
        <f t="shared" si="403"/>
        <v>2.7676728869374316</v>
      </c>
      <c r="BH220" s="253" cm="1">
        <f t="array" ref="BH220">$BC220 * SUMPRODUCT(INDEX($AL$77:$AN$82,,$AE220),INDEX($AO$77:$AU$82,,$AD220), N($AK$77:$AK$82&gt;$AI220)) / BG220 / 1000</f>
        <v>0</v>
      </c>
      <c r="BI220" s="250">
        <f t="shared" si="244"/>
        <v>30</v>
      </c>
      <c r="BJ220" s="237">
        <f t="shared" si="404"/>
        <v>46.033333333333331</v>
      </c>
      <c r="BK220" s="253">
        <f t="shared" si="405"/>
        <v>3.2297395388556791</v>
      </c>
      <c r="BL220" s="253" cm="1">
        <f t="array" ref="BL220">$BC220 * IF($AD220&lt;=2,
SUMPRODUCT(INDEX($AL$72:$AN$76,,$AE220), INDEX($AO$72:$AU$76,,$AD220), 1 / ($AV$72:$AV$76*BK220 + (1-$AV$72:$AV$76)*BG220), N($AK$72:$AK$76&gt;$AI220)),
SUMPRODUCT(INDEX($AL$67:$AN$76,,$AE220), INDEX($AO$67:$AU$76,,$AD220), 1 / ($AW$67:$AW$76*BK220 + (1-$AW$67:$AW$76)*BG220), N($AK$67:$AK$76&gt;$AI220))
) / 1000</f>
        <v>0</v>
      </c>
      <c r="BM220" s="250">
        <f t="shared" si="247"/>
        <v>25</v>
      </c>
      <c r="BN220" s="237">
        <f t="shared" si="406"/>
        <v>39.516666666666666</v>
      </c>
      <c r="BO220" s="253">
        <f t="shared" si="407"/>
        <v>3.877011788826243</v>
      </c>
      <c r="BP220" s="253" cm="1">
        <f t="array" ref="BP220">$BC220 * IF($AD220&lt;=2,
SUMPRODUCT(INDEX($AL$67:$AN$71,,$AE220), INDEX($AO$67:$AU$71,,$AD220), 1 / ($AV$67:$AV$71*BO220 + (1-$AV$67:$AV$71)*BK220), N($AK$67:$AK$71&gt;$AI220)),
SUMPRODUCT(INDEX($AL$57:$AN$66,,$AE220), INDEX($AO$57:$AU$66,,$AD220), 1 / ($AW$57:$AW$66*BO220 + (1-$AW$57:$AW$66)*BK220), N($AK$57:$AK$66&gt;$AI220))
) / 1000</f>
        <v>0</v>
      </c>
      <c r="BQ220" s="250">
        <f t="shared" si="250"/>
        <v>20</v>
      </c>
      <c r="BR220" s="237">
        <f t="shared" si="408"/>
        <v>33</v>
      </c>
      <c r="BS220" s="253">
        <f t="shared" si="409"/>
        <v>4.8487499999999999</v>
      </c>
      <c r="BT220" s="253" cm="1">
        <f t="array" ref="BT220">$BC220 * IF($AD220&lt;=2,
SUMPRODUCT(INDEX($AL$62:$AN$66,,$AE220), INDEX($AO$62:$AU$66,,$AD220), 1 / ($AV$62:$AV$66*BS220 + (1-$AV$62:$AV$66)*BO220), N($AK$62:$AK$66&gt;$AI220)),
SUMPRODUCT(INDEX($AL$47:$AN$56,,$AE220), INDEX($AO$47:$AU$56,,$AD220), 1 / ($AW$47:$AW$56*BS220 + (1-$AW$47:$AW$56)*BO220), N($AK$47:$AK$56&gt;$AI220))
) / 1000</f>
        <v>0</v>
      </c>
      <c r="BU220" s="253" cm="1">
        <f t="array" ref="BU220">$BC220 * IF($AD220&lt;=2,
SUMPRODUCT(INDEX($AL$23:$AN$61,,$AE220), INDEX($AO$23:$AU$61,,$AD220), 1 / ($AV$23:$AV$61*BS220), N($AK$23:$AK$61&gt;$AI220)),
SUMPRODUCT(INDEX($AL$23:$AN$46,,$AE220), INDEX($AO$23:$AU$46,,$AD220), 1 / ($AW$23:$AW$46*BS220), N($AK$23:$AK$46&gt;$AI220))
) / 1000</f>
        <v>0</v>
      </c>
      <c r="BV220" s="237">
        <f t="shared" si="410"/>
        <v>0</v>
      </c>
      <c r="BW220" s="210"/>
      <c r="BX220" s="237">
        <f t="shared" si="411"/>
        <v>0</v>
      </c>
      <c r="BY220" s="236">
        <v>35</v>
      </c>
      <c r="BZ220" s="237">
        <f t="shared" si="412"/>
        <v>48</v>
      </c>
      <c r="CA220" s="253">
        <f t="shared" si="413"/>
        <v>3.0748170731707316</v>
      </c>
      <c r="CB220" s="253" cm="1">
        <f t="array" ref="CB220">$BC220 * SUMPRODUCT(INDEX($AL$77:$AN$82,,$AE220),INDEX($AO$77:$AU$82,,$AD220), N($AK$77:$AK$82&gt;$AI220)) / CA220 / 1000</f>
        <v>0</v>
      </c>
      <c r="CC220" s="250">
        <f t="shared" si="257"/>
        <v>30</v>
      </c>
      <c r="CD220" s="237">
        <f t="shared" si="414"/>
        <v>43</v>
      </c>
      <c r="CE220" s="253">
        <f t="shared" si="415"/>
        <v>3.5018750000000001</v>
      </c>
      <c r="CF220" s="253" cm="1">
        <f t="array" ref="CF220">$BC220 * IF($AD220&lt;=2,
SUMPRODUCT(INDEX($AL$72:$AN$76,,$AE220), INDEX($AO$72:$AU$76,,$AD220), 1 / ($AV$72:$AV$76*CE220 + (1-$AV$72:$AV$76)*CA220), N($AK$72:$AK$76&gt;$AI220)),
SUMPRODUCT(INDEX($AL$67:$AN$76,,$AE220), INDEX($AO$67:$AU$76,,$AD220), 1 / ($AW$67:$AW$76*CE220 + (1-$AW$67:$AW$76)*CA220), N($AK$67:$AK$76&gt;$AI220))
) / 1000</f>
        <v>0</v>
      </c>
      <c r="CG220" s="250">
        <f t="shared" si="260"/>
        <v>25</v>
      </c>
      <c r="CH220" s="237">
        <f t="shared" si="416"/>
        <v>38</v>
      </c>
      <c r="CI220" s="253">
        <f t="shared" si="417"/>
        <v>4.0666935483870965</v>
      </c>
      <c r="CJ220" s="253" cm="1">
        <f t="array" ref="CJ220">$BC220 * IF($AD220&lt;=2,
SUMPRODUCT(INDEX($AL$67:$AN$71,,$AE220), INDEX($AO$67:$AU$71,,$AD220), 1 / ($AV$67:$AV$71*CI220 + (1-$AV$67:$AV$71)*CE220), N($AK$67:$AK$71&gt;$AI220)),
SUMPRODUCT(INDEX($AL$57:$AN$66,,$AE220), INDEX($AO$57:$AU$66,,$AD220), 1 / ($AW$57:$AW$66*CI220 + (1-$AW$57:$AW$66)*CE220), N($AK$57:$AK$66&gt;$AI220))
) / 1000</f>
        <v>0</v>
      </c>
      <c r="CK220" s="250">
        <f t="shared" si="263"/>
        <v>20</v>
      </c>
      <c r="CL220" s="237">
        <f t="shared" si="418"/>
        <v>33</v>
      </c>
      <c r="CM220" s="253">
        <f t="shared" si="419"/>
        <v>4.8487499999999999</v>
      </c>
      <c r="CN220" s="253" cm="1">
        <f t="array" ref="CN220">$BC220 * IF($AD220&lt;=2,
SUMPRODUCT(INDEX($AL$62:$AN$66,,$AE220), INDEX($AO$62:$AU$66,,$AD220), 1 / ($AV$62:$AV$66*CM220 + (1-$AV$62:$AV$66)*CI220), N($AK$62:$AK$66&gt;$AI220)),
SUMPRODUCT(INDEX($AL$47:$AN$56,,$AE220), INDEX($AO$47:$AU$56,,$AD220), 1 / ($AW$47:$AW$56*CM220 + (1-$AW$47:$AW$56)*CI220), N($AK$47:$AK$56&gt;$AI220))
) / 1000</f>
        <v>0</v>
      </c>
      <c r="CO220" s="253" cm="1">
        <f t="array" ref="CO220">$BC220 * IF($AD220&lt;=2,
SUMPRODUCT(INDEX($AL$23:$AN$61,,$AE220), INDEX($AO$23:$AU$61,,$AD220), 1 / ($AV$23:$AV$61*CM220), N($AK$23:$AK$61&gt;$AI220)),
SUMPRODUCT(INDEX($AL$23:$AN$46,,$AE220), INDEX($AO$23:$AU$46,,$AD220), 1 / ($AW$23:$AW$46*CM220), N($AK$23:$AK$46&gt;$AI220))
) / 1000</f>
        <v>0</v>
      </c>
      <c r="CP220" s="237">
        <f t="shared" si="420"/>
        <v>0</v>
      </c>
      <c r="CQ220" s="210"/>
    </row>
    <row r="221" spans="1:95" s="76" customFormat="1" ht="14.25" customHeight="1" x14ac:dyDescent="0.2">
      <c r="A221" s="238" t="b">
        <f t="shared" si="227"/>
        <v>0</v>
      </c>
      <c r="B221" s="239">
        <v>199</v>
      </c>
      <c r="C221" s="258"/>
      <c r="D221" s="258"/>
      <c r="E221" s="240"/>
      <c r="F221" s="241" t="str">
        <f>IF(ISBLANK(E221), "", VLOOKUP(E221, Z!$A$2:$C$4127, 3, FALSE))</f>
        <v/>
      </c>
      <c r="G221" s="242"/>
      <c r="H221" s="242"/>
      <c r="I221" s="243"/>
      <c r="J221" s="244"/>
      <c r="K221" s="259"/>
      <c r="L221" s="260"/>
      <c r="M221" s="247" t="str" cm="1">
        <f t="array" ref="M221">IF($K221&gt;0, INDEX(Clean,1+AG221,$C$1), "")</f>
        <v/>
      </c>
      <c r="N221" s="245"/>
      <c r="O221" s="245"/>
      <c r="P221" s="246"/>
      <c r="Q221" s="248">
        <f t="shared" si="397"/>
        <v>0</v>
      </c>
      <c r="R221" s="247" t="str" cm="1">
        <f t="array" ref="R221">IF($K221&gt;0, INDEX(Clean,1+AH221,$C$1), "")</f>
        <v/>
      </c>
      <c r="S221" s="245"/>
      <c r="T221" s="245"/>
      <c r="U221" s="246"/>
      <c r="V221" s="248">
        <f t="shared" si="398"/>
        <v>0</v>
      </c>
      <c r="W221" s="261"/>
      <c r="X221" s="258"/>
      <c r="Y221" s="240"/>
      <c r="Z221" s="241" t="str">
        <f>IF(ISBLANK(Y221), "", VLOOKUP(Y221, Z!$A$2:$C$4127, 3, FALSE))</f>
        <v/>
      </c>
      <c r="AA221" s="262"/>
      <c r="AB221" s="249">
        <f t="shared" si="424"/>
        <v>0</v>
      </c>
      <c r="AC221" s="210"/>
      <c r="AD221" s="236">
        <f t="shared" si="421"/>
        <v>1</v>
      </c>
      <c r="AE221" s="236">
        <f t="shared" si="422"/>
        <v>1</v>
      </c>
      <c r="AF221" s="236">
        <f t="shared" si="423"/>
        <v>0</v>
      </c>
      <c r="AG221" s="236">
        <v>1</v>
      </c>
      <c r="AH221" s="236">
        <v>0</v>
      </c>
      <c r="AI221" s="236">
        <f t="shared" si="399"/>
        <v>-100</v>
      </c>
      <c r="AJ221" s="210"/>
      <c r="AK221" s="254"/>
      <c r="AL221" s="254"/>
      <c r="AM221" s="255"/>
      <c r="AN221" s="255"/>
      <c r="AO221" s="255"/>
      <c r="AP221" s="255"/>
      <c r="AQ221" s="255"/>
      <c r="AR221" s="255"/>
      <c r="AS221" s="255"/>
      <c r="AT221" s="255"/>
      <c r="AU221" s="255"/>
      <c r="AV221" s="255"/>
      <c r="AW221" s="255"/>
      <c r="AX221" s="210"/>
      <c r="AY221" s="236" cm="1">
        <f t="array" ref="AY221">INDEX(Use, $AD221, 4)</f>
        <v>7</v>
      </c>
      <c r="AZ221" s="236">
        <f t="shared" si="400"/>
        <v>32</v>
      </c>
      <c r="BA221" s="236">
        <f t="shared" si="239"/>
        <v>13</v>
      </c>
      <c r="BB221" s="236">
        <f t="shared" si="240"/>
        <v>0</v>
      </c>
      <c r="BC221" s="252" cm="1">
        <f t="array" ref="BC221">K221/IF($L221&gt;0, INDEX($AO$23:$AU$77, $L221+20, $AD221), 1)</f>
        <v>0</v>
      </c>
      <c r="BD221" s="237">
        <f t="shared" si="401"/>
        <v>0</v>
      </c>
      <c r="BE221" s="236">
        <v>35</v>
      </c>
      <c r="BF221" s="237">
        <f t="shared" si="402"/>
        <v>52.55</v>
      </c>
      <c r="BG221" s="253">
        <f t="shared" si="403"/>
        <v>2.7676728869374316</v>
      </c>
      <c r="BH221" s="253" cm="1">
        <f t="array" ref="BH221">$BC221 * SUMPRODUCT(INDEX($AL$77:$AN$82,,$AE221),INDEX($AO$77:$AU$82,,$AD221), N($AK$77:$AK$82&gt;$AI221)) / BG221 / 1000</f>
        <v>0</v>
      </c>
      <c r="BI221" s="250">
        <f t="shared" si="244"/>
        <v>30</v>
      </c>
      <c r="BJ221" s="237">
        <f t="shared" si="404"/>
        <v>46.033333333333331</v>
      </c>
      <c r="BK221" s="253">
        <f t="shared" si="405"/>
        <v>3.2297395388556791</v>
      </c>
      <c r="BL221" s="253" cm="1">
        <f t="array" ref="BL221">$BC221 * IF($AD221&lt;=2,
SUMPRODUCT(INDEX($AL$72:$AN$76,,$AE221), INDEX($AO$72:$AU$76,,$AD221), 1 / ($AV$72:$AV$76*BK221 + (1-$AV$72:$AV$76)*BG221), N($AK$72:$AK$76&gt;$AI221)),
SUMPRODUCT(INDEX($AL$67:$AN$76,,$AE221), INDEX($AO$67:$AU$76,,$AD221), 1 / ($AW$67:$AW$76*BK221 + (1-$AW$67:$AW$76)*BG221), N($AK$67:$AK$76&gt;$AI221))
) / 1000</f>
        <v>0</v>
      </c>
      <c r="BM221" s="250">
        <f t="shared" si="247"/>
        <v>25</v>
      </c>
      <c r="BN221" s="237">
        <f t="shared" si="406"/>
        <v>39.516666666666666</v>
      </c>
      <c r="BO221" s="253">
        <f t="shared" si="407"/>
        <v>3.877011788826243</v>
      </c>
      <c r="BP221" s="253" cm="1">
        <f t="array" ref="BP221">$BC221 * IF($AD221&lt;=2,
SUMPRODUCT(INDEX($AL$67:$AN$71,,$AE221), INDEX($AO$67:$AU$71,,$AD221), 1 / ($AV$67:$AV$71*BO221 + (1-$AV$67:$AV$71)*BK221), N($AK$67:$AK$71&gt;$AI221)),
SUMPRODUCT(INDEX($AL$57:$AN$66,,$AE221), INDEX($AO$57:$AU$66,,$AD221), 1 / ($AW$57:$AW$66*BO221 + (1-$AW$57:$AW$66)*BK221), N($AK$57:$AK$66&gt;$AI221))
) / 1000</f>
        <v>0</v>
      </c>
      <c r="BQ221" s="250">
        <f t="shared" si="250"/>
        <v>20</v>
      </c>
      <c r="BR221" s="237">
        <f t="shared" si="408"/>
        <v>33</v>
      </c>
      <c r="BS221" s="253">
        <f t="shared" si="409"/>
        <v>4.8487499999999999</v>
      </c>
      <c r="BT221" s="253" cm="1">
        <f t="array" ref="BT221">$BC221 * IF($AD221&lt;=2,
SUMPRODUCT(INDEX($AL$62:$AN$66,,$AE221), INDEX($AO$62:$AU$66,,$AD221), 1 / ($AV$62:$AV$66*BS221 + (1-$AV$62:$AV$66)*BO221), N($AK$62:$AK$66&gt;$AI221)),
SUMPRODUCT(INDEX($AL$47:$AN$56,,$AE221), INDEX($AO$47:$AU$56,,$AD221), 1 / ($AW$47:$AW$56*BS221 + (1-$AW$47:$AW$56)*BO221), N($AK$47:$AK$56&gt;$AI221))
) / 1000</f>
        <v>0</v>
      </c>
      <c r="BU221" s="253" cm="1">
        <f t="array" ref="BU221">$BC221 * IF($AD221&lt;=2,
SUMPRODUCT(INDEX($AL$23:$AN$61,,$AE221), INDEX($AO$23:$AU$61,,$AD221), 1 / ($AV$23:$AV$61*BS221), N($AK$23:$AK$61&gt;$AI221)),
SUMPRODUCT(INDEX($AL$23:$AN$46,,$AE221), INDEX($AO$23:$AU$46,,$AD221), 1 / ($AW$23:$AW$46*BS221), N($AK$23:$AK$46&gt;$AI221))
) / 1000</f>
        <v>0</v>
      </c>
      <c r="BV221" s="237">
        <f t="shared" si="410"/>
        <v>0</v>
      </c>
      <c r="BW221" s="210"/>
      <c r="BX221" s="237">
        <f t="shared" si="411"/>
        <v>0</v>
      </c>
      <c r="BY221" s="236">
        <v>35</v>
      </c>
      <c r="BZ221" s="237">
        <f t="shared" si="412"/>
        <v>48</v>
      </c>
      <c r="CA221" s="253">
        <f t="shared" si="413"/>
        <v>3.0748170731707316</v>
      </c>
      <c r="CB221" s="253" cm="1">
        <f t="array" ref="CB221">$BC221 * SUMPRODUCT(INDEX($AL$77:$AN$82,,$AE221),INDEX($AO$77:$AU$82,,$AD221), N($AK$77:$AK$82&gt;$AI221)) / CA221 / 1000</f>
        <v>0</v>
      </c>
      <c r="CC221" s="250">
        <f t="shared" si="257"/>
        <v>30</v>
      </c>
      <c r="CD221" s="237">
        <f t="shared" si="414"/>
        <v>43</v>
      </c>
      <c r="CE221" s="253">
        <f t="shared" si="415"/>
        <v>3.5018750000000001</v>
      </c>
      <c r="CF221" s="253" cm="1">
        <f t="array" ref="CF221">$BC221 * IF($AD221&lt;=2,
SUMPRODUCT(INDEX($AL$72:$AN$76,,$AE221), INDEX($AO$72:$AU$76,,$AD221), 1 / ($AV$72:$AV$76*CE221 + (1-$AV$72:$AV$76)*CA221), N($AK$72:$AK$76&gt;$AI221)),
SUMPRODUCT(INDEX($AL$67:$AN$76,,$AE221), INDEX($AO$67:$AU$76,,$AD221), 1 / ($AW$67:$AW$76*CE221 + (1-$AW$67:$AW$76)*CA221), N($AK$67:$AK$76&gt;$AI221))
) / 1000</f>
        <v>0</v>
      </c>
      <c r="CG221" s="250">
        <f t="shared" si="260"/>
        <v>25</v>
      </c>
      <c r="CH221" s="237">
        <f t="shared" si="416"/>
        <v>38</v>
      </c>
      <c r="CI221" s="253">
        <f t="shared" si="417"/>
        <v>4.0666935483870965</v>
      </c>
      <c r="CJ221" s="253" cm="1">
        <f t="array" ref="CJ221">$BC221 * IF($AD221&lt;=2,
SUMPRODUCT(INDEX($AL$67:$AN$71,,$AE221), INDEX($AO$67:$AU$71,,$AD221), 1 / ($AV$67:$AV$71*CI221 + (1-$AV$67:$AV$71)*CE221), N($AK$67:$AK$71&gt;$AI221)),
SUMPRODUCT(INDEX($AL$57:$AN$66,,$AE221), INDEX($AO$57:$AU$66,,$AD221), 1 / ($AW$57:$AW$66*CI221 + (1-$AW$57:$AW$66)*CE221), N($AK$57:$AK$66&gt;$AI221))
) / 1000</f>
        <v>0</v>
      </c>
      <c r="CK221" s="250">
        <f t="shared" si="263"/>
        <v>20</v>
      </c>
      <c r="CL221" s="237">
        <f t="shared" si="418"/>
        <v>33</v>
      </c>
      <c r="CM221" s="253">
        <f t="shared" si="419"/>
        <v>4.8487499999999999</v>
      </c>
      <c r="CN221" s="253" cm="1">
        <f t="array" ref="CN221">$BC221 * IF($AD221&lt;=2,
SUMPRODUCT(INDEX($AL$62:$AN$66,,$AE221), INDEX($AO$62:$AU$66,,$AD221), 1 / ($AV$62:$AV$66*CM221 + (1-$AV$62:$AV$66)*CI221), N($AK$62:$AK$66&gt;$AI221)),
SUMPRODUCT(INDEX($AL$47:$AN$56,,$AE221), INDEX($AO$47:$AU$56,,$AD221), 1 / ($AW$47:$AW$56*CM221 + (1-$AW$47:$AW$56)*CI221), N($AK$47:$AK$56&gt;$AI221))
) / 1000</f>
        <v>0</v>
      </c>
      <c r="CO221" s="253" cm="1">
        <f t="array" ref="CO221">$BC221 * IF($AD221&lt;=2,
SUMPRODUCT(INDEX($AL$23:$AN$61,,$AE221), INDEX($AO$23:$AU$61,,$AD221), 1 / ($AV$23:$AV$61*CM221), N($AK$23:$AK$61&gt;$AI221)),
SUMPRODUCT(INDEX($AL$23:$AN$46,,$AE221), INDEX($AO$23:$AU$46,,$AD221), 1 / ($AW$23:$AW$46*CM221), N($AK$23:$AK$46&gt;$AI221))
) / 1000</f>
        <v>0</v>
      </c>
      <c r="CP221" s="237">
        <f t="shared" si="420"/>
        <v>0</v>
      </c>
      <c r="CQ221" s="210"/>
    </row>
    <row r="222" spans="1:95" s="76" customFormat="1" ht="14.25" customHeight="1" x14ac:dyDescent="0.2">
      <c r="A222" s="238" t="b">
        <f t="shared" si="227"/>
        <v>0</v>
      </c>
      <c r="B222" s="239">
        <v>200</v>
      </c>
      <c r="C222" s="258"/>
      <c r="D222" s="258"/>
      <c r="E222" s="240"/>
      <c r="F222" s="241" t="str">
        <f>IF(ISBLANK(E222), "", VLOOKUP(E222, Z!$A$2:$C$4127, 3, FALSE))</f>
        <v/>
      </c>
      <c r="G222" s="242"/>
      <c r="H222" s="242"/>
      <c r="I222" s="243"/>
      <c r="J222" s="244"/>
      <c r="K222" s="259"/>
      <c r="L222" s="260"/>
      <c r="M222" s="247" t="str" cm="1">
        <f t="array" ref="M222">IF($K222&gt;0, INDEX(Clean,1+AG222,$C$1), "")</f>
        <v/>
      </c>
      <c r="N222" s="245"/>
      <c r="O222" s="245"/>
      <c r="P222" s="246"/>
      <c r="Q222" s="248">
        <f t="shared" si="397"/>
        <v>0</v>
      </c>
      <c r="R222" s="247" t="str" cm="1">
        <f t="array" ref="R222">IF($K222&gt;0, INDEX(Clean,1+AH222,$C$1), "")</f>
        <v/>
      </c>
      <c r="S222" s="245"/>
      <c r="T222" s="245"/>
      <c r="U222" s="246"/>
      <c r="V222" s="248">
        <f t="shared" si="398"/>
        <v>0</v>
      </c>
      <c r="W222" s="261"/>
      <c r="X222" s="258"/>
      <c r="Y222" s="240"/>
      <c r="Z222" s="241" t="str">
        <f>IF(ISBLANK(Y222), "", VLOOKUP(Y222, Z!$A$2:$C$4127, 3, FALSE))</f>
        <v/>
      </c>
      <c r="AA222" s="262"/>
      <c r="AB222" s="249">
        <f t="shared" si="424"/>
        <v>0</v>
      </c>
      <c r="AC222" s="210"/>
      <c r="AD222" s="236">
        <f t="shared" si="421"/>
        <v>1</v>
      </c>
      <c r="AE222" s="236">
        <f t="shared" si="422"/>
        <v>1</v>
      </c>
      <c r="AF222" s="236">
        <f t="shared" si="423"/>
        <v>0</v>
      </c>
      <c r="AG222" s="236">
        <v>1</v>
      </c>
      <c r="AH222" s="236">
        <v>0</v>
      </c>
      <c r="AI222" s="236">
        <f t="shared" si="399"/>
        <v>-100</v>
      </c>
      <c r="AJ222" s="210"/>
      <c r="AK222" s="254"/>
      <c r="AL222" s="254"/>
      <c r="AM222" s="255"/>
      <c r="AN222" s="255"/>
      <c r="AO222" s="255"/>
      <c r="AP222" s="255"/>
      <c r="AQ222" s="255"/>
      <c r="AR222" s="255"/>
      <c r="AS222" s="255"/>
      <c r="AT222" s="255"/>
      <c r="AU222" s="255"/>
      <c r="AV222" s="255"/>
      <c r="AW222" s="255"/>
      <c r="AX222" s="210"/>
      <c r="AY222" s="236" cm="1">
        <f t="array" ref="AY222">INDEX(Use, $AD222, 4)</f>
        <v>7</v>
      </c>
      <c r="AZ222" s="236">
        <f t="shared" si="400"/>
        <v>32</v>
      </c>
      <c r="BA222" s="236">
        <f t="shared" si="239"/>
        <v>13</v>
      </c>
      <c r="BB222" s="236">
        <f t="shared" si="240"/>
        <v>0</v>
      </c>
      <c r="BC222" s="252" cm="1">
        <f t="array" ref="BC222">K222/IF($L222&gt;0, INDEX($AO$23:$AU$77, $L222+20, $AD222), 1)</f>
        <v>0</v>
      </c>
      <c r="BD222" s="237">
        <f t="shared" si="401"/>
        <v>0</v>
      </c>
      <c r="BE222" s="236">
        <v>35</v>
      </c>
      <c r="BF222" s="237">
        <f t="shared" si="402"/>
        <v>52.55</v>
      </c>
      <c r="BG222" s="253">
        <f t="shared" si="403"/>
        <v>2.7676728869374316</v>
      </c>
      <c r="BH222" s="253" cm="1">
        <f t="array" ref="BH222">$BC222 * SUMPRODUCT(INDEX($AL$77:$AN$82,,$AE222),INDEX($AO$77:$AU$82,,$AD222), N($AK$77:$AK$82&gt;$AI222)) / BG222 / 1000</f>
        <v>0</v>
      </c>
      <c r="BI222" s="250">
        <f t="shared" si="244"/>
        <v>30</v>
      </c>
      <c r="BJ222" s="237">
        <f t="shared" si="404"/>
        <v>46.033333333333331</v>
      </c>
      <c r="BK222" s="253">
        <f t="shared" si="405"/>
        <v>3.2297395388556791</v>
      </c>
      <c r="BL222" s="253" cm="1">
        <f t="array" ref="BL222">$BC222 * IF($AD222&lt;=2,
SUMPRODUCT(INDEX($AL$72:$AN$76,,$AE222), INDEX($AO$72:$AU$76,,$AD222), 1 / ($AV$72:$AV$76*BK222 + (1-$AV$72:$AV$76)*BG222), N($AK$72:$AK$76&gt;$AI222)),
SUMPRODUCT(INDEX($AL$67:$AN$76,,$AE222), INDEX($AO$67:$AU$76,,$AD222), 1 / ($AW$67:$AW$76*BK222 + (1-$AW$67:$AW$76)*BG222), N($AK$67:$AK$76&gt;$AI222))
) / 1000</f>
        <v>0</v>
      </c>
      <c r="BM222" s="250">
        <f t="shared" si="247"/>
        <v>25</v>
      </c>
      <c r="BN222" s="237">
        <f t="shared" si="406"/>
        <v>39.516666666666666</v>
      </c>
      <c r="BO222" s="253">
        <f t="shared" si="407"/>
        <v>3.877011788826243</v>
      </c>
      <c r="BP222" s="253" cm="1">
        <f t="array" ref="BP222">$BC222 * IF($AD222&lt;=2,
SUMPRODUCT(INDEX($AL$67:$AN$71,,$AE222), INDEX($AO$67:$AU$71,,$AD222), 1 / ($AV$67:$AV$71*BO222 + (1-$AV$67:$AV$71)*BK222), N($AK$67:$AK$71&gt;$AI222)),
SUMPRODUCT(INDEX($AL$57:$AN$66,,$AE222), INDEX($AO$57:$AU$66,,$AD222), 1 / ($AW$57:$AW$66*BO222 + (1-$AW$57:$AW$66)*BK222), N($AK$57:$AK$66&gt;$AI222))
) / 1000</f>
        <v>0</v>
      </c>
      <c r="BQ222" s="250">
        <f t="shared" si="250"/>
        <v>20</v>
      </c>
      <c r="BR222" s="237">
        <f t="shared" si="408"/>
        <v>33</v>
      </c>
      <c r="BS222" s="253">
        <f t="shared" si="409"/>
        <v>4.8487499999999999</v>
      </c>
      <c r="BT222" s="253" cm="1">
        <f t="array" ref="BT222">$BC222 * IF($AD222&lt;=2,
SUMPRODUCT(INDEX($AL$62:$AN$66,,$AE222), INDEX($AO$62:$AU$66,,$AD222), 1 / ($AV$62:$AV$66*BS222 + (1-$AV$62:$AV$66)*BO222), N($AK$62:$AK$66&gt;$AI222)),
SUMPRODUCT(INDEX($AL$47:$AN$56,,$AE222), INDEX($AO$47:$AU$56,,$AD222), 1 / ($AW$47:$AW$56*BS222 + (1-$AW$47:$AW$56)*BO222), N($AK$47:$AK$56&gt;$AI222))
) / 1000</f>
        <v>0</v>
      </c>
      <c r="BU222" s="253" cm="1">
        <f t="array" ref="BU222">$BC222 * IF($AD222&lt;=2,
SUMPRODUCT(INDEX($AL$23:$AN$61,,$AE222), INDEX($AO$23:$AU$61,,$AD222), 1 / ($AV$23:$AV$61*BS222), N($AK$23:$AK$61&gt;$AI222)),
SUMPRODUCT(INDEX($AL$23:$AN$46,,$AE222), INDEX($AO$23:$AU$46,,$AD222), 1 / ($AW$23:$AW$46*BS222), N($AK$23:$AK$46&gt;$AI222))
) / 1000</f>
        <v>0</v>
      </c>
      <c r="BV222" s="237">
        <f t="shared" si="410"/>
        <v>0</v>
      </c>
      <c r="BW222" s="210"/>
      <c r="BX222" s="237">
        <f t="shared" si="411"/>
        <v>0</v>
      </c>
      <c r="BY222" s="236">
        <v>35</v>
      </c>
      <c r="BZ222" s="237">
        <f t="shared" si="412"/>
        <v>48</v>
      </c>
      <c r="CA222" s="253">
        <f t="shared" si="413"/>
        <v>3.0748170731707316</v>
      </c>
      <c r="CB222" s="253" cm="1">
        <f t="array" ref="CB222">$BC222 * SUMPRODUCT(INDEX($AL$77:$AN$82,,$AE222),INDEX($AO$77:$AU$82,,$AD222), N($AK$77:$AK$82&gt;$AI222)) / CA222 / 1000</f>
        <v>0</v>
      </c>
      <c r="CC222" s="250">
        <f t="shared" si="257"/>
        <v>30</v>
      </c>
      <c r="CD222" s="237">
        <f t="shared" si="414"/>
        <v>43</v>
      </c>
      <c r="CE222" s="253">
        <f t="shared" si="415"/>
        <v>3.5018750000000001</v>
      </c>
      <c r="CF222" s="253" cm="1">
        <f t="array" ref="CF222">$BC222 * IF($AD222&lt;=2,
SUMPRODUCT(INDEX($AL$72:$AN$76,,$AE222), INDEX($AO$72:$AU$76,,$AD222), 1 / ($AV$72:$AV$76*CE222 + (1-$AV$72:$AV$76)*CA222), N($AK$72:$AK$76&gt;$AI222)),
SUMPRODUCT(INDEX($AL$67:$AN$76,,$AE222), INDEX($AO$67:$AU$76,,$AD222), 1 / ($AW$67:$AW$76*CE222 + (1-$AW$67:$AW$76)*CA222), N($AK$67:$AK$76&gt;$AI222))
) / 1000</f>
        <v>0</v>
      </c>
      <c r="CG222" s="250">
        <f t="shared" si="260"/>
        <v>25</v>
      </c>
      <c r="CH222" s="237">
        <f t="shared" si="416"/>
        <v>38</v>
      </c>
      <c r="CI222" s="253">
        <f t="shared" si="417"/>
        <v>4.0666935483870965</v>
      </c>
      <c r="CJ222" s="253" cm="1">
        <f t="array" ref="CJ222">$BC222 * IF($AD222&lt;=2,
SUMPRODUCT(INDEX($AL$67:$AN$71,,$AE222), INDEX($AO$67:$AU$71,,$AD222), 1 / ($AV$67:$AV$71*CI222 + (1-$AV$67:$AV$71)*CE222), N($AK$67:$AK$71&gt;$AI222)),
SUMPRODUCT(INDEX($AL$57:$AN$66,,$AE222), INDEX($AO$57:$AU$66,,$AD222), 1 / ($AW$57:$AW$66*CI222 + (1-$AW$57:$AW$66)*CE222), N($AK$57:$AK$66&gt;$AI222))
) / 1000</f>
        <v>0</v>
      </c>
      <c r="CK222" s="250">
        <f t="shared" si="263"/>
        <v>20</v>
      </c>
      <c r="CL222" s="237">
        <f t="shared" si="418"/>
        <v>33</v>
      </c>
      <c r="CM222" s="253">
        <f t="shared" si="419"/>
        <v>4.8487499999999999</v>
      </c>
      <c r="CN222" s="253" cm="1">
        <f t="array" ref="CN222">$BC222 * IF($AD222&lt;=2,
SUMPRODUCT(INDEX($AL$62:$AN$66,,$AE222), INDEX($AO$62:$AU$66,,$AD222), 1 / ($AV$62:$AV$66*CM222 + (1-$AV$62:$AV$66)*CI222), N($AK$62:$AK$66&gt;$AI222)),
SUMPRODUCT(INDEX($AL$47:$AN$56,,$AE222), INDEX($AO$47:$AU$56,,$AD222), 1 / ($AW$47:$AW$56*CM222 + (1-$AW$47:$AW$56)*CI222), N($AK$47:$AK$56&gt;$AI222))
) / 1000</f>
        <v>0</v>
      </c>
      <c r="CO222" s="253" cm="1">
        <f t="array" ref="CO222">$BC222 * IF($AD222&lt;=2,
SUMPRODUCT(INDEX($AL$23:$AN$61,,$AE222), INDEX($AO$23:$AU$61,,$AD222), 1 / ($AV$23:$AV$61*CM222), N($AK$23:$AK$61&gt;$AI222)),
SUMPRODUCT(INDEX($AL$23:$AN$46,,$AE222), INDEX($AO$23:$AU$46,,$AD222), 1 / ($AW$23:$AW$46*CM222), N($AK$23:$AK$46&gt;$AI222))
) / 1000</f>
        <v>0</v>
      </c>
      <c r="CP222" s="237">
        <f t="shared" si="420"/>
        <v>0</v>
      </c>
      <c r="CQ222" s="210"/>
    </row>
    <row r="223" spans="1:95" s="76" customFormat="1" ht="14.25" customHeight="1" x14ac:dyDescent="0.2">
      <c r="A223" s="238" t="b">
        <f t="shared" si="227"/>
        <v>0</v>
      </c>
      <c r="B223" s="239">
        <v>201</v>
      </c>
      <c r="C223" s="258"/>
      <c r="D223" s="258"/>
      <c r="E223" s="240"/>
      <c r="F223" s="241" t="str">
        <f>IF(ISBLANK(E223), "", VLOOKUP(E223, Z!$A$2:$C$4127, 3, FALSE))</f>
        <v/>
      </c>
      <c r="G223" s="242"/>
      <c r="H223" s="242"/>
      <c r="I223" s="243"/>
      <c r="J223" s="244"/>
      <c r="K223" s="259"/>
      <c r="L223" s="260"/>
      <c r="M223" s="247" t="str" cm="1">
        <f t="array" ref="M223">IF($K223&gt;0, INDEX(Clean,1+AG223,$C$1), "")</f>
        <v/>
      </c>
      <c r="N223" s="245"/>
      <c r="O223" s="245"/>
      <c r="P223" s="246"/>
      <c r="Q223" s="248">
        <f t="shared" si="397"/>
        <v>0</v>
      </c>
      <c r="R223" s="247" t="str" cm="1">
        <f t="array" ref="R223">IF($K223&gt;0, INDEX(Clean,1+AH223,$C$1), "")</f>
        <v/>
      </c>
      <c r="S223" s="245"/>
      <c r="T223" s="245"/>
      <c r="U223" s="246"/>
      <c r="V223" s="248">
        <f t="shared" si="398"/>
        <v>0</v>
      </c>
      <c r="W223" s="261"/>
      <c r="X223" s="258"/>
      <c r="Y223" s="240"/>
      <c r="Z223" s="241" t="str">
        <f>IF(ISBLANK(Y223), "", VLOOKUP(Y223, Z!$A$2:$C$4127, 3, FALSE))</f>
        <v/>
      </c>
      <c r="AA223" s="262"/>
      <c r="AB223" s="249">
        <f t="shared" si="424"/>
        <v>0</v>
      </c>
      <c r="AC223" s="210"/>
      <c r="AD223" s="236">
        <f t="shared" si="421"/>
        <v>1</v>
      </c>
      <c r="AE223" s="236">
        <f t="shared" si="422"/>
        <v>1</v>
      </c>
      <c r="AF223" s="236">
        <f t="shared" si="423"/>
        <v>0</v>
      </c>
      <c r="AG223" s="236">
        <v>1</v>
      </c>
      <c r="AH223" s="236">
        <v>0</v>
      </c>
      <c r="AI223" s="236">
        <f t="shared" si="399"/>
        <v>-100</v>
      </c>
      <c r="AJ223" s="210"/>
      <c r="AK223" s="254"/>
      <c r="AL223" s="254"/>
      <c r="AM223" s="255"/>
      <c r="AN223" s="255"/>
      <c r="AO223" s="255"/>
      <c r="AP223" s="255"/>
      <c r="AQ223" s="255"/>
      <c r="AR223" s="255"/>
      <c r="AS223" s="255"/>
      <c r="AT223" s="255"/>
      <c r="AU223" s="255"/>
      <c r="AV223" s="255"/>
      <c r="AW223" s="255"/>
      <c r="AX223" s="210"/>
      <c r="AY223" s="236" cm="1">
        <f t="array" ref="AY223">INDEX(Use, $AD223, 4)</f>
        <v>7</v>
      </c>
      <c r="AZ223" s="236">
        <f t="shared" si="400"/>
        <v>32</v>
      </c>
      <c r="BA223" s="236">
        <f t="shared" si="239"/>
        <v>13</v>
      </c>
      <c r="BB223" s="236">
        <f t="shared" si="240"/>
        <v>0</v>
      </c>
      <c r="BC223" s="252" cm="1">
        <f t="array" ref="BC223">K223/IF($L223&gt;0, INDEX($AO$23:$AU$77, $L223+20, $AD223), 1)</f>
        <v>0</v>
      </c>
      <c r="BD223" s="237">
        <f t="shared" si="401"/>
        <v>0</v>
      </c>
      <c r="BE223" s="236">
        <v>35</v>
      </c>
      <c r="BF223" s="237">
        <f t="shared" si="402"/>
        <v>52.55</v>
      </c>
      <c r="BG223" s="253">
        <f t="shared" si="403"/>
        <v>2.7676728869374316</v>
      </c>
      <c r="BH223" s="253" cm="1">
        <f t="array" ref="BH223">$BC223 * SUMPRODUCT(INDEX($AL$77:$AN$82,,$AE223),INDEX($AO$77:$AU$82,,$AD223), N($AK$77:$AK$82&gt;$AI223)) / BG223 / 1000</f>
        <v>0</v>
      </c>
      <c r="BI223" s="250">
        <f t="shared" si="244"/>
        <v>30</v>
      </c>
      <c r="BJ223" s="237">
        <f t="shared" si="404"/>
        <v>46.033333333333331</v>
      </c>
      <c r="BK223" s="253">
        <f t="shared" si="405"/>
        <v>3.2297395388556791</v>
      </c>
      <c r="BL223" s="253" cm="1">
        <f t="array" ref="BL223">$BC223 * IF($AD223&lt;=2,
SUMPRODUCT(INDEX($AL$72:$AN$76,,$AE223), INDEX($AO$72:$AU$76,,$AD223), 1 / ($AV$72:$AV$76*BK223 + (1-$AV$72:$AV$76)*BG223), N($AK$72:$AK$76&gt;$AI223)),
SUMPRODUCT(INDEX($AL$67:$AN$76,,$AE223), INDEX($AO$67:$AU$76,,$AD223), 1 / ($AW$67:$AW$76*BK223 + (1-$AW$67:$AW$76)*BG223), N($AK$67:$AK$76&gt;$AI223))
) / 1000</f>
        <v>0</v>
      </c>
      <c r="BM223" s="250">
        <f t="shared" si="247"/>
        <v>25</v>
      </c>
      <c r="BN223" s="237">
        <f t="shared" si="406"/>
        <v>39.516666666666666</v>
      </c>
      <c r="BO223" s="253">
        <f t="shared" si="407"/>
        <v>3.877011788826243</v>
      </c>
      <c r="BP223" s="253" cm="1">
        <f t="array" ref="BP223">$BC223 * IF($AD223&lt;=2,
SUMPRODUCT(INDEX($AL$67:$AN$71,,$AE223), INDEX($AO$67:$AU$71,,$AD223), 1 / ($AV$67:$AV$71*BO223 + (1-$AV$67:$AV$71)*BK223), N($AK$67:$AK$71&gt;$AI223)),
SUMPRODUCT(INDEX($AL$57:$AN$66,,$AE223), INDEX($AO$57:$AU$66,,$AD223), 1 / ($AW$57:$AW$66*BO223 + (1-$AW$57:$AW$66)*BK223), N($AK$57:$AK$66&gt;$AI223))
) / 1000</f>
        <v>0</v>
      </c>
      <c r="BQ223" s="250">
        <f t="shared" si="250"/>
        <v>20</v>
      </c>
      <c r="BR223" s="237">
        <f t="shared" si="408"/>
        <v>33</v>
      </c>
      <c r="BS223" s="253">
        <f t="shared" si="409"/>
        <v>4.8487499999999999</v>
      </c>
      <c r="BT223" s="253" cm="1">
        <f t="array" ref="BT223">$BC223 * IF($AD223&lt;=2,
SUMPRODUCT(INDEX($AL$62:$AN$66,,$AE223), INDEX($AO$62:$AU$66,,$AD223), 1 / ($AV$62:$AV$66*BS223 + (1-$AV$62:$AV$66)*BO223), N($AK$62:$AK$66&gt;$AI223)),
SUMPRODUCT(INDEX($AL$47:$AN$56,,$AE223), INDEX($AO$47:$AU$56,,$AD223), 1 / ($AW$47:$AW$56*BS223 + (1-$AW$47:$AW$56)*BO223), N($AK$47:$AK$56&gt;$AI223))
) / 1000</f>
        <v>0</v>
      </c>
      <c r="BU223" s="253" cm="1">
        <f t="array" ref="BU223">$BC223 * IF($AD223&lt;=2,
SUMPRODUCT(INDEX($AL$23:$AN$61,,$AE223), INDEX($AO$23:$AU$61,,$AD223), 1 / ($AV$23:$AV$61*BS223), N($AK$23:$AK$61&gt;$AI223)),
SUMPRODUCT(INDEX($AL$23:$AN$46,,$AE223), INDEX($AO$23:$AU$46,,$AD223), 1 / ($AW$23:$AW$46*BS223), N($AK$23:$AK$46&gt;$AI223))
) / 1000</f>
        <v>0</v>
      </c>
      <c r="BV223" s="237">
        <f t="shared" si="410"/>
        <v>0</v>
      </c>
      <c r="BW223" s="210"/>
      <c r="BX223" s="237">
        <f t="shared" si="411"/>
        <v>0</v>
      </c>
      <c r="BY223" s="236">
        <v>35</v>
      </c>
      <c r="BZ223" s="237">
        <f t="shared" si="412"/>
        <v>48</v>
      </c>
      <c r="CA223" s="253">
        <f t="shared" si="413"/>
        <v>3.0748170731707316</v>
      </c>
      <c r="CB223" s="253" cm="1">
        <f t="array" ref="CB223">$BC223 * SUMPRODUCT(INDEX($AL$77:$AN$82,,$AE223),INDEX($AO$77:$AU$82,,$AD223), N($AK$77:$AK$82&gt;$AI223)) / CA223 / 1000</f>
        <v>0</v>
      </c>
      <c r="CC223" s="250">
        <f t="shared" si="257"/>
        <v>30</v>
      </c>
      <c r="CD223" s="237">
        <f t="shared" si="414"/>
        <v>43</v>
      </c>
      <c r="CE223" s="253">
        <f t="shared" si="415"/>
        <v>3.5018750000000001</v>
      </c>
      <c r="CF223" s="253" cm="1">
        <f t="array" ref="CF223">$BC223 * IF($AD223&lt;=2,
SUMPRODUCT(INDEX($AL$72:$AN$76,,$AE223), INDEX($AO$72:$AU$76,,$AD223), 1 / ($AV$72:$AV$76*CE223 + (1-$AV$72:$AV$76)*CA223), N($AK$72:$AK$76&gt;$AI223)),
SUMPRODUCT(INDEX($AL$67:$AN$76,,$AE223), INDEX($AO$67:$AU$76,,$AD223), 1 / ($AW$67:$AW$76*CE223 + (1-$AW$67:$AW$76)*CA223), N($AK$67:$AK$76&gt;$AI223))
) / 1000</f>
        <v>0</v>
      </c>
      <c r="CG223" s="250">
        <f t="shared" si="260"/>
        <v>25</v>
      </c>
      <c r="CH223" s="237">
        <f t="shared" si="416"/>
        <v>38</v>
      </c>
      <c r="CI223" s="253">
        <f t="shared" si="417"/>
        <v>4.0666935483870965</v>
      </c>
      <c r="CJ223" s="253" cm="1">
        <f t="array" ref="CJ223">$BC223 * IF($AD223&lt;=2,
SUMPRODUCT(INDEX($AL$67:$AN$71,,$AE223), INDEX($AO$67:$AU$71,,$AD223), 1 / ($AV$67:$AV$71*CI223 + (1-$AV$67:$AV$71)*CE223), N($AK$67:$AK$71&gt;$AI223)),
SUMPRODUCT(INDEX($AL$57:$AN$66,,$AE223), INDEX($AO$57:$AU$66,,$AD223), 1 / ($AW$57:$AW$66*CI223 + (1-$AW$57:$AW$66)*CE223), N($AK$57:$AK$66&gt;$AI223))
) / 1000</f>
        <v>0</v>
      </c>
      <c r="CK223" s="250">
        <f t="shared" si="263"/>
        <v>20</v>
      </c>
      <c r="CL223" s="237">
        <f t="shared" si="418"/>
        <v>33</v>
      </c>
      <c r="CM223" s="253">
        <f t="shared" si="419"/>
        <v>4.8487499999999999</v>
      </c>
      <c r="CN223" s="253" cm="1">
        <f t="array" ref="CN223">$BC223 * IF($AD223&lt;=2,
SUMPRODUCT(INDEX($AL$62:$AN$66,,$AE223), INDEX($AO$62:$AU$66,,$AD223), 1 / ($AV$62:$AV$66*CM223 + (1-$AV$62:$AV$66)*CI223), N($AK$62:$AK$66&gt;$AI223)),
SUMPRODUCT(INDEX($AL$47:$AN$56,,$AE223), INDEX($AO$47:$AU$56,,$AD223), 1 / ($AW$47:$AW$56*CM223 + (1-$AW$47:$AW$56)*CI223), N($AK$47:$AK$56&gt;$AI223))
) / 1000</f>
        <v>0</v>
      </c>
      <c r="CO223" s="253" cm="1">
        <f t="array" ref="CO223">$BC223 * IF($AD223&lt;=2,
SUMPRODUCT(INDEX($AL$23:$AN$61,,$AE223), INDEX($AO$23:$AU$61,,$AD223), 1 / ($AV$23:$AV$61*CM223), N($AK$23:$AK$61&gt;$AI223)),
SUMPRODUCT(INDEX($AL$23:$AN$46,,$AE223), INDEX($AO$23:$AU$46,,$AD223), 1 / ($AW$23:$AW$46*CM223), N($AK$23:$AK$46&gt;$AI223))
) / 1000</f>
        <v>0</v>
      </c>
      <c r="CP223" s="237">
        <f t="shared" si="420"/>
        <v>0</v>
      </c>
      <c r="CQ223" s="210"/>
    </row>
    <row r="224" spans="1:95" s="76" customFormat="1" ht="14.25" customHeight="1" x14ac:dyDescent="0.2">
      <c r="A224" s="238" t="b">
        <f t="shared" si="227"/>
        <v>0</v>
      </c>
      <c r="B224" s="239">
        <v>202</v>
      </c>
      <c r="C224" s="258"/>
      <c r="D224" s="258"/>
      <c r="E224" s="240"/>
      <c r="F224" s="241" t="str">
        <f>IF(ISBLANK(E224), "", VLOOKUP(E224, Z!$A$2:$C$4127, 3, FALSE))</f>
        <v/>
      </c>
      <c r="G224" s="242"/>
      <c r="H224" s="242"/>
      <c r="I224" s="243"/>
      <c r="J224" s="244"/>
      <c r="K224" s="259"/>
      <c r="L224" s="260"/>
      <c r="M224" s="247" t="str" cm="1">
        <f t="array" ref="M224">IF($K224&gt;0, INDEX(Clean,1+AG224,$C$1), "")</f>
        <v/>
      </c>
      <c r="N224" s="245"/>
      <c r="O224" s="245"/>
      <c r="P224" s="246"/>
      <c r="Q224" s="248">
        <f t="shared" si="397"/>
        <v>0</v>
      </c>
      <c r="R224" s="247" t="str" cm="1">
        <f t="array" ref="R224">IF($K224&gt;0, INDEX(Clean,1+AH224,$C$1), "")</f>
        <v/>
      </c>
      <c r="S224" s="245"/>
      <c r="T224" s="245"/>
      <c r="U224" s="246"/>
      <c r="V224" s="248">
        <f t="shared" si="398"/>
        <v>0</v>
      </c>
      <c r="W224" s="261"/>
      <c r="X224" s="258"/>
      <c r="Y224" s="240"/>
      <c r="Z224" s="241" t="str">
        <f>IF(ISBLANK(Y224), "", VLOOKUP(Y224, Z!$A$2:$C$4127, 3, FALSE))</f>
        <v/>
      </c>
      <c r="AA224" s="262"/>
      <c r="AB224" s="249">
        <f t="shared" si="424"/>
        <v>0</v>
      </c>
      <c r="AC224" s="210"/>
      <c r="AD224" s="236">
        <f t="shared" si="421"/>
        <v>1</v>
      </c>
      <c r="AE224" s="236">
        <f t="shared" si="422"/>
        <v>1</v>
      </c>
      <c r="AF224" s="236">
        <f t="shared" si="423"/>
        <v>0</v>
      </c>
      <c r="AG224" s="236">
        <v>1</v>
      </c>
      <c r="AH224" s="236">
        <v>0</v>
      </c>
      <c r="AI224" s="236">
        <f t="shared" si="399"/>
        <v>-100</v>
      </c>
      <c r="AJ224" s="210"/>
      <c r="AK224" s="254"/>
      <c r="AL224" s="254"/>
      <c r="AM224" s="255"/>
      <c r="AN224" s="255"/>
      <c r="AO224" s="255"/>
      <c r="AP224" s="255"/>
      <c r="AQ224" s="255"/>
      <c r="AR224" s="255"/>
      <c r="AS224" s="255"/>
      <c r="AT224" s="255"/>
      <c r="AU224" s="255"/>
      <c r="AV224" s="255"/>
      <c r="AW224" s="255"/>
      <c r="AX224" s="210"/>
      <c r="AY224" s="236" cm="1">
        <f t="array" ref="AY224">INDEX(Use, $AD224, 4)</f>
        <v>7</v>
      </c>
      <c r="AZ224" s="236">
        <f t="shared" si="400"/>
        <v>32</v>
      </c>
      <c r="BA224" s="236">
        <f t="shared" si="239"/>
        <v>13</v>
      </c>
      <c r="BB224" s="236">
        <f t="shared" si="240"/>
        <v>0</v>
      </c>
      <c r="BC224" s="252" cm="1">
        <f t="array" ref="BC224">K224/IF($L224&gt;0, INDEX($AO$23:$AU$77, $L224+20, $AD224), 1)</f>
        <v>0</v>
      </c>
      <c r="BD224" s="237">
        <f t="shared" si="401"/>
        <v>0</v>
      </c>
      <c r="BE224" s="236">
        <v>35</v>
      </c>
      <c r="BF224" s="237">
        <f t="shared" si="402"/>
        <v>52.55</v>
      </c>
      <c r="BG224" s="253">
        <f t="shared" si="403"/>
        <v>2.7676728869374316</v>
      </c>
      <c r="BH224" s="253" cm="1">
        <f t="array" ref="BH224">$BC224 * SUMPRODUCT(INDEX($AL$77:$AN$82,,$AE224),INDEX($AO$77:$AU$82,,$AD224), N($AK$77:$AK$82&gt;$AI224)) / BG224 / 1000</f>
        <v>0</v>
      </c>
      <c r="BI224" s="250">
        <f t="shared" si="244"/>
        <v>30</v>
      </c>
      <c r="BJ224" s="237">
        <f t="shared" si="404"/>
        <v>46.033333333333331</v>
      </c>
      <c r="BK224" s="253">
        <f t="shared" si="405"/>
        <v>3.2297395388556791</v>
      </c>
      <c r="BL224" s="253" cm="1">
        <f t="array" ref="BL224">$BC224 * IF($AD224&lt;=2,
SUMPRODUCT(INDEX($AL$72:$AN$76,,$AE224), INDEX($AO$72:$AU$76,,$AD224), 1 / ($AV$72:$AV$76*BK224 + (1-$AV$72:$AV$76)*BG224), N($AK$72:$AK$76&gt;$AI224)),
SUMPRODUCT(INDEX($AL$67:$AN$76,,$AE224), INDEX($AO$67:$AU$76,,$AD224), 1 / ($AW$67:$AW$76*BK224 + (1-$AW$67:$AW$76)*BG224), N($AK$67:$AK$76&gt;$AI224))
) / 1000</f>
        <v>0</v>
      </c>
      <c r="BM224" s="250">
        <f t="shared" si="247"/>
        <v>25</v>
      </c>
      <c r="BN224" s="237">
        <f t="shared" si="406"/>
        <v>39.516666666666666</v>
      </c>
      <c r="BO224" s="253">
        <f t="shared" si="407"/>
        <v>3.877011788826243</v>
      </c>
      <c r="BP224" s="253" cm="1">
        <f t="array" ref="BP224">$BC224 * IF($AD224&lt;=2,
SUMPRODUCT(INDEX($AL$67:$AN$71,,$AE224), INDEX($AO$67:$AU$71,,$AD224), 1 / ($AV$67:$AV$71*BO224 + (1-$AV$67:$AV$71)*BK224), N($AK$67:$AK$71&gt;$AI224)),
SUMPRODUCT(INDEX($AL$57:$AN$66,,$AE224), INDEX($AO$57:$AU$66,,$AD224), 1 / ($AW$57:$AW$66*BO224 + (1-$AW$57:$AW$66)*BK224), N($AK$57:$AK$66&gt;$AI224))
) / 1000</f>
        <v>0</v>
      </c>
      <c r="BQ224" s="250">
        <f t="shared" si="250"/>
        <v>20</v>
      </c>
      <c r="BR224" s="237">
        <f t="shared" si="408"/>
        <v>33</v>
      </c>
      <c r="BS224" s="253">
        <f t="shared" si="409"/>
        <v>4.8487499999999999</v>
      </c>
      <c r="BT224" s="253" cm="1">
        <f t="array" ref="BT224">$BC224 * IF($AD224&lt;=2,
SUMPRODUCT(INDEX($AL$62:$AN$66,,$AE224), INDEX($AO$62:$AU$66,,$AD224), 1 / ($AV$62:$AV$66*BS224 + (1-$AV$62:$AV$66)*BO224), N($AK$62:$AK$66&gt;$AI224)),
SUMPRODUCT(INDEX($AL$47:$AN$56,,$AE224), INDEX($AO$47:$AU$56,,$AD224), 1 / ($AW$47:$AW$56*BS224 + (1-$AW$47:$AW$56)*BO224), N($AK$47:$AK$56&gt;$AI224))
) / 1000</f>
        <v>0</v>
      </c>
      <c r="BU224" s="253" cm="1">
        <f t="array" ref="BU224">$BC224 * IF($AD224&lt;=2,
SUMPRODUCT(INDEX($AL$23:$AN$61,,$AE224), INDEX($AO$23:$AU$61,,$AD224), 1 / ($AV$23:$AV$61*BS224), N($AK$23:$AK$61&gt;$AI224)),
SUMPRODUCT(INDEX($AL$23:$AN$46,,$AE224), INDEX($AO$23:$AU$46,,$AD224), 1 / ($AW$23:$AW$46*BS224), N($AK$23:$AK$46&gt;$AI224))
) / 1000</f>
        <v>0</v>
      </c>
      <c r="BV224" s="237">
        <f t="shared" si="410"/>
        <v>0</v>
      </c>
      <c r="BW224" s="210"/>
      <c r="BX224" s="237">
        <f t="shared" si="411"/>
        <v>0</v>
      </c>
      <c r="BY224" s="236">
        <v>35</v>
      </c>
      <c r="BZ224" s="237">
        <f t="shared" si="412"/>
        <v>48</v>
      </c>
      <c r="CA224" s="253">
        <f t="shared" si="413"/>
        <v>3.0748170731707316</v>
      </c>
      <c r="CB224" s="253" cm="1">
        <f t="array" ref="CB224">$BC224 * SUMPRODUCT(INDEX($AL$77:$AN$82,,$AE224),INDEX($AO$77:$AU$82,,$AD224), N($AK$77:$AK$82&gt;$AI224)) / CA224 / 1000</f>
        <v>0</v>
      </c>
      <c r="CC224" s="250">
        <f t="shared" si="257"/>
        <v>30</v>
      </c>
      <c r="CD224" s="237">
        <f t="shared" si="414"/>
        <v>43</v>
      </c>
      <c r="CE224" s="253">
        <f t="shared" si="415"/>
        <v>3.5018750000000001</v>
      </c>
      <c r="CF224" s="253" cm="1">
        <f t="array" ref="CF224">$BC224 * IF($AD224&lt;=2,
SUMPRODUCT(INDEX($AL$72:$AN$76,,$AE224), INDEX($AO$72:$AU$76,,$AD224), 1 / ($AV$72:$AV$76*CE224 + (1-$AV$72:$AV$76)*CA224), N($AK$72:$AK$76&gt;$AI224)),
SUMPRODUCT(INDEX($AL$67:$AN$76,,$AE224), INDEX($AO$67:$AU$76,,$AD224), 1 / ($AW$67:$AW$76*CE224 + (1-$AW$67:$AW$76)*CA224), N($AK$67:$AK$76&gt;$AI224))
) / 1000</f>
        <v>0</v>
      </c>
      <c r="CG224" s="250">
        <f t="shared" si="260"/>
        <v>25</v>
      </c>
      <c r="CH224" s="237">
        <f t="shared" si="416"/>
        <v>38</v>
      </c>
      <c r="CI224" s="253">
        <f t="shared" si="417"/>
        <v>4.0666935483870965</v>
      </c>
      <c r="CJ224" s="253" cm="1">
        <f t="array" ref="CJ224">$BC224 * IF($AD224&lt;=2,
SUMPRODUCT(INDEX($AL$67:$AN$71,,$AE224), INDEX($AO$67:$AU$71,,$AD224), 1 / ($AV$67:$AV$71*CI224 + (1-$AV$67:$AV$71)*CE224), N($AK$67:$AK$71&gt;$AI224)),
SUMPRODUCT(INDEX($AL$57:$AN$66,,$AE224), INDEX($AO$57:$AU$66,,$AD224), 1 / ($AW$57:$AW$66*CI224 + (1-$AW$57:$AW$66)*CE224), N($AK$57:$AK$66&gt;$AI224))
) / 1000</f>
        <v>0</v>
      </c>
      <c r="CK224" s="250">
        <f t="shared" si="263"/>
        <v>20</v>
      </c>
      <c r="CL224" s="237">
        <f t="shared" si="418"/>
        <v>33</v>
      </c>
      <c r="CM224" s="253">
        <f t="shared" si="419"/>
        <v>4.8487499999999999</v>
      </c>
      <c r="CN224" s="253" cm="1">
        <f t="array" ref="CN224">$BC224 * IF($AD224&lt;=2,
SUMPRODUCT(INDEX($AL$62:$AN$66,,$AE224), INDEX($AO$62:$AU$66,,$AD224), 1 / ($AV$62:$AV$66*CM224 + (1-$AV$62:$AV$66)*CI224), N($AK$62:$AK$66&gt;$AI224)),
SUMPRODUCT(INDEX($AL$47:$AN$56,,$AE224), INDEX($AO$47:$AU$56,,$AD224), 1 / ($AW$47:$AW$56*CM224 + (1-$AW$47:$AW$56)*CI224), N($AK$47:$AK$56&gt;$AI224))
) / 1000</f>
        <v>0</v>
      </c>
      <c r="CO224" s="253" cm="1">
        <f t="array" ref="CO224">$BC224 * IF($AD224&lt;=2,
SUMPRODUCT(INDEX($AL$23:$AN$61,,$AE224), INDEX($AO$23:$AU$61,,$AD224), 1 / ($AV$23:$AV$61*CM224), N($AK$23:$AK$61&gt;$AI224)),
SUMPRODUCT(INDEX($AL$23:$AN$46,,$AE224), INDEX($AO$23:$AU$46,,$AD224), 1 / ($AW$23:$AW$46*CM224), N($AK$23:$AK$46&gt;$AI224))
) / 1000</f>
        <v>0</v>
      </c>
      <c r="CP224" s="237">
        <f t="shared" si="420"/>
        <v>0</v>
      </c>
      <c r="CQ224" s="210"/>
    </row>
    <row r="225" spans="1:95" s="76" customFormat="1" ht="14.25" customHeight="1" x14ac:dyDescent="0.2">
      <c r="A225" s="238" t="b">
        <f t="shared" si="227"/>
        <v>0</v>
      </c>
      <c r="B225" s="239">
        <v>203</v>
      </c>
      <c r="C225" s="258"/>
      <c r="D225" s="258"/>
      <c r="E225" s="240"/>
      <c r="F225" s="241" t="str">
        <f>IF(ISBLANK(E225), "", VLOOKUP(E225, Z!$A$2:$C$4127, 3, FALSE))</f>
        <v/>
      </c>
      <c r="G225" s="242"/>
      <c r="H225" s="242"/>
      <c r="I225" s="243"/>
      <c r="J225" s="244"/>
      <c r="K225" s="259"/>
      <c r="L225" s="260"/>
      <c r="M225" s="247" t="str" cm="1">
        <f t="array" ref="M225">IF($K225&gt;0, INDEX(Clean,1+AG225,$C$1), "")</f>
        <v/>
      </c>
      <c r="N225" s="245"/>
      <c r="O225" s="245"/>
      <c r="P225" s="246"/>
      <c r="Q225" s="248">
        <f t="shared" si="397"/>
        <v>0</v>
      </c>
      <c r="R225" s="247" t="str" cm="1">
        <f t="array" ref="R225">IF($K225&gt;0, INDEX(Clean,1+AH225,$C$1), "")</f>
        <v/>
      </c>
      <c r="S225" s="245"/>
      <c r="T225" s="245"/>
      <c r="U225" s="246"/>
      <c r="V225" s="248">
        <f t="shared" si="398"/>
        <v>0</v>
      </c>
      <c r="W225" s="261"/>
      <c r="X225" s="258"/>
      <c r="Y225" s="240"/>
      <c r="Z225" s="241" t="str">
        <f>IF(ISBLANK(Y225), "", VLOOKUP(Y225, Z!$A$2:$C$4127, 3, FALSE))</f>
        <v/>
      </c>
      <c r="AA225" s="262"/>
      <c r="AB225" s="249">
        <f t="shared" si="424"/>
        <v>0</v>
      </c>
      <c r="AC225" s="210"/>
      <c r="AD225" s="236">
        <f t="shared" si="421"/>
        <v>1</v>
      </c>
      <c r="AE225" s="236">
        <f t="shared" si="422"/>
        <v>1</v>
      </c>
      <c r="AF225" s="236">
        <f t="shared" si="423"/>
        <v>0</v>
      </c>
      <c r="AG225" s="236">
        <v>1</v>
      </c>
      <c r="AH225" s="236">
        <v>0</v>
      </c>
      <c r="AI225" s="236">
        <f t="shared" si="399"/>
        <v>-100</v>
      </c>
      <c r="AJ225" s="210"/>
      <c r="AK225" s="254"/>
      <c r="AL225" s="254"/>
      <c r="AM225" s="255"/>
      <c r="AN225" s="255"/>
      <c r="AO225" s="255"/>
      <c r="AP225" s="255"/>
      <c r="AQ225" s="255"/>
      <c r="AR225" s="255"/>
      <c r="AS225" s="255"/>
      <c r="AT225" s="255"/>
      <c r="AU225" s="255"/>
      <c r="AV225" s="255"/>
      <c r="AW225" s="255"/>
      <c r="AX225" s="210"/>
      <c r="AY225" s="236" cm="1">
        <f t="array" ref="AY225">INDEX(Use, $AD225, 4)</f>
        <v>7</v>
      </c>
      <c r="AZ225" s="236">
        <f t="shared" si="400"/>
        <v>32</v>
      </c>
      <c r="BA225" s="236">
        <f t="shared" si="239"/>
        <v>13</v>
      </c>
      <c r="BB225" s="236">
        <f t="shared" si="240"/>
        <v>0</v>
      </c>
      <c r="BC225" s="252" cm="1">
        <f t="array" ref="BC225">K225/IF($L225&gt;0, INDEX($AO$23:$AU$77, $L225+20, $AD225), 1)</f>
        <v>0</v>
      </c>
      <c r="BD225" s="237">
        <f t="shared" si="401"/>
        <v>0</v>
      </c>
      <c r="BE225" s="236">
        <v>35</v>
      </c>
      <c r="BF225" s="237">
        <f t="shared" si="402"/>
        <v>52.55</v>
      </c>
      <c r="BG225" s="253">
        <f t="shared" si="403"/>
        <v>2.7676728869374316</v>
      </c>
      <c r="BH225" s="253" cm="1">
        <f t="array" ref="BH225">$BC225 * SUMPRODUCT(INDEX($AL$77:$AN$82,,$AE225),INDEX($AO$77:$AU$82,,$AD225), N($AK$77:$AK$82&gt;$AI225)) / BG225 / 1000</f>
        <v>0</v>
      </c>
      <c r="BI225" s="250">
        <f t="shared" si="244"/>
        <v>30</v>
      </c>
      <c r="BJ225" s="237">
        <f t="shared" si="404"/>
        <v>46.033333333333331</v>
      </c>
      <c r="BK225" s="253">
        <f t="shared" si="405"/>
        <v>3.2297395388556791</v>
      </c>
      <c r="BL225" s="253" cm="1">
        <f t="array" ref="BL225">$BC225 * IF($AD225&lt;=2,
SUMPRODUCT(INDEX($AL$72:$AN$76,,$AE225), INDEX($AO$72:$AU$76,,$AD225), 1 / ($AV$72:$AV$76*BK225 + (1-$AV$72:$AV$76)*BG225), N($AK$72:$AK$76&gt;$AI225)),
SUMPRODUCT(INDEX($AL$67:$AN$76,,$AE225), INDEX($AO$67:$AU$76,,$AD225), 1 / ($AW$67:$AW$76*BK225 + (1-$AW$67:$AW$76)*BG225), N($AK$67:$AK$76&gt;$AI225))
) / 1000</f>
        <v>0</v>
      </c>
      <c r="BM225" s="250">
        <f t="shared" si="247"/>
        <v>25</v>
      </c>
      <c r="BN225" s="237">
        <f t="shared" si="406"/>
        <v>39.516666666666666</v>
      </c>
      <c r="BO225" s="253">
        <f t="shared" si="407"/>
        <v>3.877011788826243</v>
      </c>
      <c r="BP225" s="253" cm="1">
        <f t="array" ref="BP225">$BC225 * IF($AD225&lt;=2,
SUMPRODUCT(INDEX($AL$67:$AN$71,,$AE225), INDEX($AO$67:$AU$71,,$AD225), 1 / ($AV$67:$AV$71*BO225 + (1-$AV$67:$AV$71)*BK225), N($AK$67:$AK$71&gt;$AI225)),
SUMPRODUCT(INDEX($AL$57:$AN$66,,$AE225), INDEX($AO$57:$AU$66,,$AD225), 1 / ($AW$57:$AW$66*BO225 + (1-$AW$57:$AW$66)*BK225), N($AK$57:$AK$66&gt;$AI225))
) / 1000</f>
        <v>0</v>
      </c>
      <c r="BQ225" s="250">
        <f t="shared" si="250"/>
        <v>20</v>
      </c>
      <c r="BR225" s="237">
        <f t="shared" si="408"/>
        <v>33</v>
      </c>
      <c r="BS225" s="253">
        <f t="shared" si="409"/>
        <v>4.8487499999999999</v>
      </c>
      <c r="BT225" s="253" cm="1">
        <f t="array" ref="BT225">$BC225 * IF($AD225&lt;=2,
SUMPRODUCT(INDEX($AL$62:$AN$66,,$AE225), INDEX($AO$62:$AU$66,,$AD225), 1 / ($AV$62:$AV$66*BS225 + (1-$AV$62:$AV$66)*BO225), N($AK$62:$AK$66&gt;$AI225)),
SUMPRODUCT(INDEX($AL$47:$AN$56,,$AE225), INDEX($AO$47:$AU$56,,$AD225), 1 / ($AW$47:$AW$56*BS225 + (1-$AW$47:$AW$56)*BO225), N($AK$47:$AK$56&gt;$AI225))
) / 1000</f>
        <v>0</v>
      </c>
      <c r="BU225" s="253" cm="1">
        <f t="array" ref="BU225">$BC225 * IF($AD225&lt;=2,
SUMPRODUCT(INDEX($AL$23:$AN$61,,$AE225), INDEX($AO$23:$AU$61,,$AD225), 1 / ($AV$23:$AV$61*BS225), N($AK$23:$AK$61&gt;$AI225)),
SUMPRODUCT(INDEX($AL$23:$AN$46,,$AE225), INDEX($AO$23:$AU$46,,$AD225), 1 / ($AW$23:$AW$46*BS225), N($AK$23:$AK$46&gt;$AI225))
) / 1000</f>
        <v>0</v>
      </c>
      <c r="BV225" s="237">
        <f t="shared" si="410"/>
        <v>0</v>
      </c>
      <c r="BW225" s="210"/>
      <c r="BX225" s="237">
        <f t="shared" si="411"/>
        <v>0</v>
      </c>
      <c r="BY225" s="236">
        <v>35</v>
      </c>
      <c r="BZ225" s="237">
        <f t="shared" si="412"/>
        <v>48</v>
      </c>
      <c r="CA225" s="253">
        <f t="shared" si="413"/>
        <v>3.0748170731707316</v>
      </c>
      <c r="CB225" s="253" cm="1">
        <f t="array" ref="CB225">$BC225 * SUMPRODUCT(INDEX($AL$77:$AN$82,,$AE225),INDEX($AO$77:$AU$82,,$AD225), N($AK$77:$AK$82&gt;$AI225)) / CA225 / 1000</f>
        <v>0</v>
      </c>
      <c r="CC225" s="250">
        <f t="shared" si="257"/>
        <v>30</v>
      </c>
      <c r="CD225" s="237">
        <f t="shared" si="414"/>
        <v>43</v>
      </c>
      <c r="CE225" s="253">
        <f t="shared" si="415"/>
        <v>3.5018750000000001</v>
      </c>
      <c r="CF225" s="253" cm="1">
        <f t="array" ref="CF225">$BC225 * IF($AD225&lt;=2,
SUMPRODUCT(INDEX($AL$72:$AN$76,,$AE225), INDEX($AO$72:$AU$76,,$AD225), 1 / ($AV$72:$AV$76*CE225 + (1-$AV$72:$AV$76)*CA225), N($AK$72:$AK$76&gt;$AI225)),
SUMPRODUCT(INDEX($AL$67:$AN$76,,$AE225), INDEX($AO$67:$AU$76,,$AD225), 1 / ($AW$67:$AW$76*CE225 + (1-$AW$67:$AW$76)*CA225), N($AK$67:$AK$76&gt;$AI225))
) / 1000</f>
        <v>0</v>
      </c>
      <c r="CG225" s="250">
        <f t="shared" si="260"/>
        <v>25</v>
      </c>
      <c r="CH225" s="237">
        <f t="shared" si="416"/>
        <v>38</v>
      </c>
      <c r="CI225" s="253">
        <f t="shared" si="417"/>
        <v>4.0666935483870965</v>
      </c>
      <c r="CJ225" s="253" cm="1">
        <f t="array" ref="CJ225">$BC225 * IF($AD225&lt;=2,
SUMPRODUCT(INDEX($AL$67:$AN$71,,$AE225), INDEX($AO$67:$AU$71,,$AD225), 1 / ($AV$67:$AV$71*CI225 + (1-$AV$67:$AV$71)*CE225), N($AK$67:$AK$71&gt;$AI225)),
SUMPRODUCT(INDEX($AL$57:$AN$66,,$AE225), INDEX($AO$57:$AU$66,,$AD225), 1 / ($AW$57:$AW$66*CI225 + (1-$AW$57:$AW$66)*CE225), N($AK$57:$AK$66&gt;$AI225))
) / 1000</f>
        <v>0</v>
      </c>
      <c r="CK225" s="250">
        <f t="shared" si="263"/>
        <v>20</v>
      </c>
      <c r="CL225" s="237">
        <f t="shared" si="418"/>
        <v>33</v>
      </c>
      <c r="CM225" s="253">
        <f t="shared" si="419"/>
        <v>4.8487499999999999</v>
      </c>
      <c r="CN225" s="253" cm="1">
        <f t="array" ref="CN225">$BC225 * IF($AD225&lt;=2,
SUMPRODUCT(INDEX($AL$62:$AN$66,,$AE225), INDEX($AO$62:$AU$66,,$AD225), 1 / ($AV$62:$AV$66*CM225 + (1-$AV$62:$AV$66)*CI225), N($AK$62:$AK$66&gt;$AI225)),
SUMPRODUCT(INDEX($AL$47:$AN$56,,$AE225), INDEX($AO$47:$AU$56,,$AD225), 1 / ($AW$47:$AW$56*CM225 + (1-$AW$47:$AW$56)*CI225), N($AK$47:$AK$56&gt;$AI225))
) / 1000</f>
        <v>0</v>
      </c>
      <c r="CO225" s="253" cm="1">
        <f t="array" ref="CO225">$BC225 * IF($AD225&lt;=2,
SUMPRODUCT(INDEX($AL$23:$AN$61,,$AE225), INDEX($AO$23:$AU$61,,$AD225), 1 / ($AV$23:$AV$61*CM225), N($AK$23:$AK$61&gt;$AI225)),
SUMPRODUCT(INDEX($AL$23:$AN$46,,$AE225), INDEX($AO$23:$AU$46,,$AD225), 1 / ($AW$23:$AW$46*CM225), N($AK$23:$AK$46&gt;$AI225))
) / 1000</f>
        <v>0</v>
      </c>
      <c r="CP225" s="237">
        <f t="shared" si="420"/>
        <v>0</v>
      </c>
      <c r="CQ225" s="210"/>
    </row>
    <row r="226" spans="1:95" s="76" customFormat="1" ht="14.25" customHeight="1" x14ac:dyDescent="0.2">
      <c r="A226" s="238" t="b">
        <f t="shared" si="227"/>
        <v>0</v>
      </c>
      <c r="B226" s="239">
        <v>204</v>
      </c>
      <c r="C226" s="258"/>
      <c r="D226" s="258"/>
      <c r="E226" s="240"/>
      <c r="F226" s="241" t="str">
        <f>IF(ISBLANK(E226), "", VLOOKUP(E226, Z!$A$2:$C$4127, 3, FALSE))</f>
        <v/>
      </c>
      <c r="G226" s="242"/>
      <c r="H226" s="242"/>
      <c r="I226" s="243"/>
      <c r="J226" s="244"/>
      <c r="K226" s="259"/>
      <c r="L226" s="260"/>
      <c r="M226" s="247" t="str" cm="1">
        <f t="array" ref="M226">IF($K226&gt;0, INDEX(Clean,1+AG226,$C$1), "")</f>
        <v/>
      </c>
      <c r="N226" s="245"/>
      <c r="O226" s="245"/>
      <c r="P226" s="246"/>
      <c r="Q226" s="248">
        <f t="shared" si="397"/>
        <v>0</v>
      </c>
      <c r="R226" s="247" t="str" cm="1">
        <f t="array" ref="R226">IF($K226&gt;0, INDEX(Clean,1+AH226,$C$1), "")</f>
        <v/>
      </c>
      <c r="S226" s="245"/>
      <c r="T226" s="245"/>
      <c r="U226" s="246"/>
      <c r="V226" s="248">
        <f t="shared" si="398"/>
        <v>0</v>
      </c>
      <c r="W226" s="261"/>
      <c r="X226" s="258"/>
      <c r="Y226" s="240"/>
      <c r="Z226" s="241" t="str">
        <f>IF(ISBLANK(Y226), "", VLOOKUP(Y226, Z!$A$2:$C$4127, 3, FALSE))</f>
        <v/>
      </c>
      <c r="AA226" s="262"/>
      <c r="AB226" s="249">
        <f t="shared" si="424"/>
        <v>0</v>
      </c>
      <c r="AC226" s="210"/>
      <c r="AD226" s="236">
        <f t="shared" si="421"/>
        <v>1</v>
      </c>
      <c r="AE226" s="236">
        <f t="shared" si="422"/>
        <v>1</v>
      </c>
      <c r="AF226" s="236">
        <f t="shared" si="423"/>
        <v>0</v>
      </c>
      <c r="AG226" s="236">
        <v>1</v>
      </c>
      <c r="AH226" s="236">
        <v>0</v>
      </c>
      <c r="AI226" s="236">
        <f t="shared" si="399"/>
        <v>-100</v>
      </c>
      <c r="AJ226" s="210"/>
      <c r="AK226" s="254"/>
      <c r="AL226" s="254"/>
      <c r="AM226" s="255"/>
      <c r="AN226" s="255"/>
      <c r="AO226" s="255"/>
      <c r="AP226" s="255"/>
      <c r="AQ226" s="255"/>
      <c r="AR226" s="255"/>
      <c r="AS226" s="255"/>
      <c r="AT226" s="255"/>
      <c r="AU226" s="255"/>
      <c r="AV226" s="255"/>
      <c r="AW226" s="255"/>
      <c r="AX226" s="210"/>
      <c r="AY226" s="236" cm="1">
        <f t="array" ref="AY226">INDEX(Use, $AD226, 4)</f>
        <v>7</v>
      </c>
      <c r="AZ226" s="236">
        <f t="shared" si="400"/>
        <v>32</v>
      </c>
      <c r="BA226" s="236">
        <f t="shared" si="239"/>
        <v>13</v>
      </c>
      <c r="BB226" s="236">
        <f t="shared" si="240"/>
        <v>0</v>
      </c>
      <c r="BC226" s="252" cm="1">
        <f t="array" ref="BC226">K226/IF($L226&gt;0, INDEX($AO$23:$AU$77, $L226+20, $AD226), 1)</f>
        <v>0</v>
      </c>
      <c r="BD226" s="237">
        <f t="shared" si="401"/>
        <v>0</v>
      </c>
      <c r="BE226" s="236">
        <v>35</v>
      </c>
      <c r="BF226" s="237">
        <f t="shared" si="402"/>
        <v>52.55</v>
      </c>
      <c r="BG226" s="253">
        <f t="shared" si="403"/>
        <v>2.7676728869374316</v>
      </c>
      <c r="BH226" s="253" cm="1">
        <f t="array" ref="BH226">$BC226 * SUMPRODUCT(INDEX($AL$77:$AN$82,,$AE226),INDEX($AO$77:$AU$82,,$AD226), N($AK$77:$AK$82&gt;$AI226)) / BG226 / 1000</f>
        <v>0</v>
      </c>
      <c r="BI226" s="250">
        <f t="shared" si="244"/>
        <v>30</v>
      </c>
      <c r="BJ226" s="237">
        <f t="shared" si="404"/>
        <v>46.033333333333331</v>
      </c>
      <c r="BK226" s="253">
        <f t="shared" si="405"/>
        <v>3.2297395388556791</v>
      </c>
      <c r="BL226" s="253" cm="1">
        <f t="array" ref="BL226">$BC226 * IF($AD226&lt;=2,
SUMPRODUCT(INDEX($AL$72:$AN$76,,$AE226), INDEX($AO$72:$AU$76,,$AD226), 1 / ($AV$72:$AV$76*BK226 + (1-$AV$72:$AV$76)*BG226), N($AK$72:$AK$76&gt;$AI226)),
SUMPRODUCT(INDEX($AL$67:$AN$76,,$AE226), INDEX($AO$67:$AU$76,,$AD226), 1 / ($AW$67:$AW$76*BK226 + (1-$AW$67:$AW$76)*BG226), N($AK$67:$AK$76&gt;$AI226))
) / 1000</f>
        <v>0</v>
      </c>
      <c r="BM226" s="250">
        <f t="shared" si="247"/>
        <v>25</v>
      </c>
      <c r="BN226" s="237">
        <f t="shared" si="406"/>
        <v>39.516666666666666</v>
      </c>
      <c r="BO226" s="253">
        <f t="shared" si="407"/>
        <v>3.877011788826243</v>
      </c>
      <c r="BP226" s="253" cm="1">
        <f t="array" ref="BP226">$BC226 * IF($AD226&lt;=2,
SUMPRODUCT(INDEX($AL$67:$AN$71,,$AE226), INDEX($AO$67:$AU$71,,$AD226), 1 / ($AV$67:$AV$71*BO226 + (1-$AV$67:$AV$71)*BK226), N($AK$67:$AK$71&gt;$AI226)),
SUMPRODUCT(INDEX($AL$57:$AN$66,,$AE226), INDEX($AO$57:$AU$66,,$AD226), 1 / ($AW$57:$AW$66*BO226 + (1-$AW$57:$AW$66)*BK226), N($AK$57:$AK$66&gt;$AI226))
) / 1000</f>
        <v>0</v>
      </c>
      <c r="BQ226" s="250">
        <f t="shared" si="250"/>
        <v>20</v>
      </c>
      <c r="BR226" s="237">
        <f t="shared" si="408"/>
        <v>33</v>
      </c>
      <c r="BS226" s="253">
        <f t="shared" si="409"/>
        <v>4.8487499999999999</v>
      </c>
      <c r="BT226" s="253" cm="1">
        <f t="array" ref="BT226">$BC226 * IF($AD226&lt;=2,
SUMPRODUCT(INDEX($AL$62:$AN$66,,$AE226), INDEX($AO$62:$AU$66,,$AD226), 1 / ($AV$62:$AV$66*BS226 + (1-$AV$62:$AV$66)*BO226), N($AK$62:$AK$66&gt;$AI226)),
SUMPRODUCT(INDEX($AL$47:$AN$56,,$AE226), INDEX($AO$47:$AU$56,,$AD226), 1 / ($AW$47:$AW$56*BS226 + (1-$AW$47:$AW$56)*BO226), N($AK$47:$AK$56&gt;$AI226))
) / 1000</f>
        <v>0</v>
      </c>
      <c r="BU226" s="253" cm="1">
        <f t="array" ref="BU226">$BC226 * IF($AD226&lt;=2,
SUMPRODUCT(INDEX($AL$23:$AN$61,,$AE226), INDEX($AO$23:$AU$61,,$AD226), 1 / ($AV$23:$AV$61*BS226), N($AK$23:$AK$61&gt;$AI226)),
SUMPRODUCT(INDEX($AL$23:$AN$46,,$AE226), INDEX($AO$23:$AU$46,,$AD226), 1 / ($AW$23:$AW$46*BS226), N($AK$23:$AK$46&gt;$AI226))
) / 1000</f>
        <v>0</v>
      </c>
      <c r="BV226" s="237">
        <f t="shared" si="410"/>
        <v>0</v>
      </c>
      <c r="BW226" s="210"/>
      <c r="BX226" s="237">
        <f t="shared" si="411"/>
        <v>0</v>
      </c>
      <c r="BY226" s="236">
        <v>35</v>
      </c>
      <c r="BZ226" s="237">
        <f t="shared" si="412"/>
        <v>48</v>
      </c>
      <c r="CA226" s="253">
        <f t="shared" si="413"/>
        <v>3.0748170731707316</v>
      </c>
      <c r="CB226" s="253" cm="1">
        <f t="array" ref="CB226">$BC226 * SUMPRODUCT(INDEX($AL$77:$AN$82,,$AE226),INDEX($AO$77:$AU$82,,$AD226), N($AK$77:$AK$82&gt;$AI226)) / CA226 / 1000</f>
        <v>0</v>
      </c>
      <c r="CC226" s="250">
        <f t="shared" si="257"/>
        <v>30</v>
      </c>
      <c r="CD226" s="237">
        <f t="shared" si="414"/>
        <v>43</v>
      </c>
      <c r="CE226" s="253">
        <f t="shared" si="415"/>
        <v>3.5018750000000001</v>
      </c>
      <c r="CF226" s="253" cm="1">
        <f t="array" ref="CF226">$BC226 * IF($AD226&lt;=2,
SUMPRODUCT(INDEX($AL$72:$AN$76,,$AE226), INDEX($AO$72:$AU$76,,$AD226), 1 / ($AV$72:$AV$76*CE226 + (1-$AV$72:$AV$76)*CA226), N($AK$72:$AK$76&gt;$AI226)),
SUMPRODUCT(INDEX($AL$67:$AN$76,,$AE226), INDEX($AO$67:$AU$76,,$AD226), 1 / ($AW$67:$AW$76*CE226 + (1-$AW$67:$AW$76)*CA226), N($AK$67:$AK$76&gt;$AI226))
) / 1000</f>
        <v>0</v>
      </c>
      <c r="CG226" s="250">
        <f t="shared" si="260"/>
        <v>25</v>
      </c>
      <c r="CH226" s="237">
        <f t="shared" si="416"/>
        <v>38</v>
      </c>
      <c r="CI226" s="253">
        <f t="shared" si="417"/>
        <v>4.0666935483870965</v>
      </c>
      <c r="CJ226" s="253" cm="1">
        <f t="array" ref="CJ226">$BC226 * IF($AD226&lt;=2,
SUMPRODUCT(INDEX($AL$67:$AN$71,,$AE226), INDEX($AO$67:$AU$71,,$AD226), 1 / ($AV$67:$AV$71*CI226 + (1-$AV$67:$AV$71)*CE226), N($AK$67:$AK$71&gt;$AI226)),
SUMPRODUCT(INDEX($AL$57:$AN$66,,$AE226), INDEX($AO$57:$AU$66,,$AD226), 1 / ($AW$57:$AW$66*CI226 + (1-$AW$57:$AW$66)*CE226), N($AK$57:$AK$66&gt;$AI226))
) / 1000</f>
        <v>0</v>
      </c>
      <c r="CK226" s="250">
        <f t="shared" si="263"/>
        <v>20</v>
      </c>
      <c r="CL226" s="237">
        <f t="shared" si="418"/>
        <v>33</v>
      </c>
      <c r="CM226" s="253">
        <f t="shared" si="419"/>
        <v>4.8487499999999999</v>
      </c>
      <c r="CN226" s="253" cm="1">
        <f t="array" ref="CN226">$BC226 * IF($AD226&lt;=2,
SUMPRODUCT(INDEX($AL$62:$AN$66,,$AE226), INDEX($AO$62:$AU$66,,$AD226), 1 / ($AV$62:$AV$66*CM226 + (1-$AV$62:$AV$66)*CI226), N($AK$62:$AK$66&gt;$AI226)),
SUMPRODUCT(INDEX($AL$47:$AN$56,,$AE226), INDEX($AO$47:$AU$56,,$AD226), 1 / ($AW$47:$AW$56*CM226 + (1-$AW$47:$AW$56)*CI226), N($AK$47:$AK$56&gt;$AI226))
) / 1000</f>
        <v>0</v>
      </c>
      <c r="CO226" s="253" cm="1">
        <f t="array" ref="CO226">$BC226 * IF($AD226&lt;=2,
SUMPRODUCT(INDEX($AL$23:$AN$61,,$AE226), INDEX($AO$23:$AU$61,,$AD226), 1 / ($AV$23:$AV$61*CM226), N($AK$23:$AK$61&gt;$AI226)),
SUMPRODUCT(INDEX($AL$23:$AN$46,,$AE226), INDEX($AO$23:$AU$46,,$AD226), 1 / ($AW$23:$AW$46*CM226), N($AK$23:$AK$46&gt;$AI226))
) / 1000</f>
        <v>0</v>
      </c>
      <c r="CP226" s="237">
        <f t="shared" si="420"/>
        <v>0</v>
      </c>
      <c r="CQ226" s="210"/>
    </row>
    <row r="227" spans="1:95" s="76" customFormat="1" ht="14.25" customHeight="1" x14ac:dyDescent="0.2">
      <c r="A227" s="238" t="b">
        <f t="shared" si="227"/>
        <v>0</v>
      </c>
      <c r="B227" s="239">
        <v>205</v>
      </c>
      <c r="C227" s="258"/>
      <c r="D227" s="258"/>
      <c r="E227" s="240"/>
      <c r="F227" s="241" t="str">
        <f>IF(ISBLANK(E227), "", VLOOKUP(E227, Z!$A$2:$C$4127, 3, FALSE))</f>
        <v/>
      </c>
      <c r="G227" s="242"/>
      <c r="H227" s="242"/>
      <c r="I227" s="243"/>
      <c r="J227" s="244"/>
      <c r="K227" s="259"/>
      <c r="L227" s="260"/>
      <c r="M227" s="247" t="str" cm="1">
        <f t="array" ref="M227">IF($K227&gt;0, INDEX(Clean,1+AG227,$C$1), "")</f>
        <v/>
      </c>
      <c r="N227" s="245"/>
      <c r="O227" s="245"/>
      <c r="P227" s="246"/>
      <c r="Q227" s="248">
        <f t="shared" si="397"/>
        <v>0</v>
      </c>
      <c r="R227" s="247" t="str" cm="1">
        <f t="array" ref="R227">IF($K227&gt;0, INDEX(Clean,1+AH227,$C$1), "")</f>
        <v/>
      </c>
      <c r="S227" s="245"/>
      <c r="T227" s="245"/>
      <c r="U227" s="246"/>
      <c r="V227" s="248">
        <f t="shared" si="398"/>
        <v>0</v>
      </c>
      <c r="W227" s="261"/>
      <c r="X227" s="258"/>
      <c r="Y227" s="240"/>
      <c r="Z227" s="241" t="str">
        <f>IF(ISBLANK(Y227), "", VLOOKUP(Y227, Z!$A$2:$C$4127, 3, FALSE))</f>
        <v/>
      </c>
      <c r="AA227" s="262"/>
      <c r="AB227" s="249">
        <f t="shared" si="424"/>
        <v>0</v>
      </c>
      <c r="AC227" s="210"/>
      <c r="AD227" s="236">
        <f t="shared" si="421"/>
        <v>1</v>
      </c>
      <c r="AE227" s="236">
        <f t="shared" si="422"/>
        <v>1</v>
      </c>
      <c r="AF227" s="236">
        <f t="shared" si="423"/>
        <v>0</v>
      </c>
      <c r="AG227" s="236">
        <v>1</v>
      </c>
      <c r="AH227" s="236">
        <v>0</v>
      </c>
      <c r="AI227" s="236">
        <f t="shared" si="399"/>
        <v>-100</v>
      </c>
      <c r="AJ227" s="210"/>
      <c r="AK227" s="254"/>
      <c r="AL227" s="254"/>
      <c r="AM227" s="255"/>
      <c r="AN227" s="255"/>
      <c r="AO227" s="255"/>
      <c r="AP227" s="255"/>
      <c r="AQ227" s="255"/>
      <c r="AR227" s="255"/>
      <c r="AS227" s="255"/>
      <c r="AT227" s="255"/>
      <c r="AU227" s="255"/>
      <c r="AV227" s="255"/>
      <c r="AW227" s="255"/>
      <c r="AX227" s="210"/>
      <c r="AY227" s="236" cm="1">
        <f t="array" ref="AY227">INDEX(Use, $AD227, 4)</f>
        <v>7</v>
      </c>
      <c r="AZ227" s="236">
        <f t="shared" si="400"/>
        <v>32</v>
      </c>
      <c r="BA227" s="236">
        <f t="shared" si="239"/>
        <v>13</v>
      </c>
      <c r="BB227" s="236">
        <f t="shared" si="240"/>
        <v>0</v>
      </c>
      <c r="BC227" s="252" cm="1">
        <f t="array" ref="BC227">K227/IF($L227&gt;0, INDEX($AO$23:$AU$77, $L227+20, $AD227), 1)</f>
        <v>0</v>
      </c>
      <c r="BD227" s="237">
        <f t="shared" si="401"/>
        <v>0</v>
      </c>
      <c r="BE227" s="236">
        <v>35</v>
      </c>
      <c r="BF227" s="237">
        <f t="shared" si="402"/>
        <v>52.55</v>
      </c>
      <c r="BG227" s="253">
        <f t="shared" si="403"/>
        <v>2.7676728869374316</v>
      </c>
      <c r="BH227" s="253" cm="1">
        <f t="array" ref="BH227">$BC227 * SUMPRODUCT(INDEX($AL$77:$AN$82,,$AE227),INDEX($AO$77:$AU$82,,$AD227), N($AK$77:$AK$82&gt;$AI227)) / BG227 / 1000</f>
        <v>0</v>
      </c>
      <c r="BI227" s="250">
        <f t="shared" si="244"/>
        <v>30</v>
      </c>
      <c r="BJ227" s="237">
        <f t="shared" si="404"/>
        <v>46.033333333333331</v>
      </c>
      <c r="BK227" s="253">
        <f t="shared" si="405"/>
        <v>3.2297395388556791</v>
      </c>
      <c r="BL227" s="253" cm="1">
        <f t="array" ref="BL227">$BC227 * IF($AD227&lt;=2,
SUMPRODUCT(INDEX($AL$72:$AN$76,,$AE227), INDEX($AO$72:$AU$76,,$AD227), 1 / ($AV$72:$AV$76*BK227 + (1-$AV$72:$AV$76)*BG227), N($AK$72:$AK$76&gt;$AI227)),
SUMPRODUCT(INDEX($AL$67:$AN$76,,$AE227), INDEX($AO$67:$AU$76,,$AD227), 1 / ($AW$67:$AW$76*BK227 + (1-$AW$67:$AW$76)*BG227), N($AK$67:$AK$76&gt;$AI227))
) / 1000</f>
        <v>0</v>
      </c>
      <c r="BM227" s="250">
        <f t="shared" si="247"/>
        <v>25</v>
      </c>
      <c r="BN227" s="237">
        <f t="shared" si="406"/>
        <v>39.516666666666666</v>
      </c>
      <c r="BO227" s="253">
        <f t="shared" si="407"/>
        <v>3.877011788826243</v>
      </c>
      <c r="BP227" s="253" cm="1">
        <f t="array" ref="BP227">$BC227 * IF($AD227&lt;=2,
SUMPRODUCT(INDEX($AL$67:$AN$71,,$AE227), INDEX($AO$67:$AU$71,,$AD227), 1 / ($AV$67:$AV$71*BO227 + (1-$AV$67:$AV$71)*BK227), N($AK$67:$AK$71&gt;$AI227)),
SUMPRODUCT(INDEX($AL$57:$AN$66,,$AE227), INDEX($AO$57:$AU$66,,$AD227), 1 / ($AW$57:$AW$66*BO227 + (1-$AW$57:$AW$66)*BK227), N($AK$57:$AK$66&gt;$AI227))
) / 1000</f>
        <v>0</v>
      </c>
      <c r="BQ227" s="250">
        <f t="shared" si="250"/>
        <v>20</v>
      </c>
      <c r="BR227" s="237">
        <f t="shared" si="408"/>
        <v>33</v>
      </c>
      <c r="BS227" s="253">
        <f t="shared" si="409"/>
        <v>4.8487499999999999</v>
      </c>
      <c r="BT227" s="253" cm="1">
        <f t="array" ref="BT227">$BC227 * IF($AD227&lt;=2,
SUMPRODUCT(INDEX($AL$62:$AN$66,,$AE227), INDEX($AO$62:$AU$66,,$AD227), 1 / ($AV$62:$AV$66*BS227 + (1-$AV$62:$AV$66)*BO227), N($AK$62:$AK$66&gt;$AI227)),
SUMPRODUCT(INDEX($AL$47:$AN$56,,$AE227), INDEX($AO$47:$AU$56,,$AD227), 1 / ($AW$47:$AW$56*BS227 + (1-$AW$47:$AW$56)*BO227), N($AK$47:$AK$56&gt;$AI227))
) / 1000</f>
        <v>0</v>
      </c>
      <c r="BU227" s="253" cm="1">
        <f t="array" ref="BU227">$BC227 * IF($AD227&lt;=2,
SUMPRODUCT(INDEX($AL$23:$AN$61,,$AE227), INDEX($AO$23:$AU$61,,$AD227), 1 / ($AV$23:$AV$61*BS227), N($AK$23:$AK$61&gt;$AI227)),
SUMPRODUCT(INDEX($AL$23:$AN$46,,$AE227), INDEX($AO$23:$AU$46,,$AD227), 1 / ($AW$23:$AW$46*BS227), N($AK$23:$AK$46&gt;$AI227))
) / 1000</f>
        <v>0</v>
      </c>
      <c r="BV227" s="237">
        <f t="shared" si="410"/>
        <v>0</v>
      </c>
      <c r="BW227" s="210"/>
      <c r="BX227" s="237">
        <f t="shared" si="411"/>
        <v>0</v>
      </c>
      <c r="BY227" s="236">
        <v>35</v>
      </c>
      <c r="BZ227" s="237">
        <f t="shared" si="412"/>
        <v>48</v>
      </c>
      <c r="CA227" s="253">
        <f t="shared" si="413"/>
        <v>3.0748170731707316</v>
      </c>
      <c r="CB227" s="253" cm="1">
        <f t="array" ref="CB227">$BC227 * SUMPRODUCT(INDEX($AL$77:$AN$82,,$AE227),INDEX($AO$77:$AU$82,,$AD227), N($AK$77:$AK$82&gt;$AI227)) / CA227 / 1000</f>
        <v>0</v>
      </c>
      <c r="CC227" s="250">
        <f t="shared" si="257"/>
        <v>30</v>
      </c>
      <c r="CD227" s="237">
        <f t="shared" si="414"/>
        <v>43</v>
      </c>
      <c r="CE227" s="253">
        <f t="shared" si="415"/>
        <v>3.5018750000000001</v>
      </c>
      <c r="CF227" s="253" cm="1">
        <f t="array" ref="CF227">$BC227 * IF($AD227&lt;=2,
SUMPRODUCT(INDEX($AL$72:$AN$76,,$AE227), INDEX($AO$72:$AU$76,,$AD227), 1 / ($AV$72:$AV$76*CE227 + (1-$AV$72:$AV$76)*CA227), N($AK$72:$AK$76&gt;$AI227)),
SUMPRODUCT(INDEX($AL$67:$AN$76,,$AE227), INDEX($AO$67:$AU$76,,$AD227), 1 / ($AW$67:$AW$76*CE227 + (1-$AW$67:$AW$76)*CA227), N($AK$67:$AK$76&gt;$AI227))
) / 1000</f>
        <v>0</v>
      </c>
      <c r="CG227" s="250">
        <f t="shared" si="260"/>
        <v>25</v>
      </c>
      <c r="CH227" s="237">
        <f t="shared" si="416"/>
        <v>38</v>
      </c>
      <c r="CI227" s="253">
        <f t="shared" si="417"/>
        <v>4.0666935483870965</v>
      </c>
      <c r="CJ227" s="253" cm="1">
        <f t="array" ref="CJ227">$BC227 * IF($AD227&lt;=2,
SUMPRODUCT(INDEX($AL$67:$AN$71,,$AE227), INDEX($AO$67:$AU$71,,$AD227), 1 / ($AV$67:$AV$71*CI227 + (1-$AV$67:$AV$71)*CE227), N($AK$67:$AK$71&gt;$AI227)),
SUMPRODUCT(INDEX($AL$57:$AN$66,,$AE227), INDEX($AO$57:$AU$66,,$AD227), 1 / ($AW$57:$AW$66*CI227 + (1-$AW$57:$AW$66)*CE227), N($AK$57:$AK$66&gt;$AI227))
) / 1000</f>
        <v>0</v>
      </c>
      <c r="CK227" s="250">
        <f t="shared" si="263"/>
        <v>20</v>
      </c>
      <c r="CL227" s="237">
        <f t="shared" si="418"/>
        <v>33</v>
      </c>
      <c r="CM227" s="253">
        <f t="shared" si="419"/>
        <v>4.8487499999999999</v>
      </c>
      <c r="CN227" s="253" cm="1">
        <f t="array" ref="CN227">$BC227 * IF($AD227&lt;=2,
SUMPRODUCT(INDEX($AL$62:$AN$66,,$AE227), INDEX($AO$62:$AU$66,,$AD227), 1 / ($AV$62:$AV$66*CM227 + (1-$AV$62:$AV$66)*CI227), N($AK$62:$AK$66&gt;$AI227)),
SUMPRODUCT(INDEX($AL$47:$AN$56,,$AE227), INDEX($AO$47:$AU$56,,$AD227), 1 / ($AW$47:$AW$56*CM227 + (1-$AW$47:$AW$56)*CI227), N($AK$47:$AK$56&gt;$AI227))
) / 1000</f>
        <v>0</v>
      </c>
      <c r="CO227" s="253" cm="1">
        <f t="array" ref="CO227">$BC227 * IF($AD227&lt;=2,
SUMPRODUCT(INDEX($AL$23:$AN$61,,$AE227), INDEX($AO$23:$AU$61,,$AD227), 1 / ($AV$23:$AV$61*CM227), N($AK$23:$AK$61&gt;$AI227)),
SUMPRODUCT(INDEX($AL$23:$AN$46,,$AE227), INDEX($AO$23:$AU$46,,$AD227), 1 / ($AW$23:$AW$46*CM227), N($AK$23:$AK$46&gt;$AI227))
) / 1000</f>
        <v>0</v>
      </c>
      <c r="CP227" s="237">
        <f t="shared" si="420"/>
        <v>0</v>
      </c>
      <c r="CQ227" s="210"/>
    </row>
    <row r="228" spans="1:95" s="76" customFormat="1" ht="14.25" customHeight="1" x14ac:dyDescent="0.2">
      <c r="A228" s="238" t="b">
        <f t="shared" si="227"/>
        <v>0</v>
      </c>
      <c r="B228" s="239">
        <v>206</v>
      </c>
      <c r="C228" s="258"/>
      <c r="D228" s="258"/>
      <c r="E228" s="240"/>
      <c r="F228" s="241" t="str">
        <f>IF(ISBLANK(E228), "", VLOOKUP(E228, Z!$A$2:$C$4127, 3, FALSE))</f>
        <v/>
      </c>
      <c r="G228" s="242"/>
      <c r="H228" s="242"/>
      <c r="I228" s="243"/>
      <c r="J228" s="244"/>
      <c r="K228" s="259"/>
      <c r="L228" s="260"/>
      <c r="M228" s="247" t="str" cm="1">
        <f t="array" ref="M228">IF($K228&gt;0, INDEX(Clean,1+AG228,$C$1), "")</f>
        <v/>
      </c>
      <c r="N228" s="245"/>
      <c r="O228" s="245"/>
      <c r="P228" s="246"/>
      <c r="Q228" s="248">
        <f t="shared" si="397"/>
        <v>0</v>
      </c>
      <c r="R228" s="247" t="str" cm="1">
        <f t="array" ref="R228">IF($K228&gt;0, INDEX(Clean,1+AH228,$C$1), "")</f>
        <v/>
      </c>
      <c r="S228" s="245"/>
      <c r="T228" s="245"/>
      <c r="U228" s="246"/>
      <c r="V228" s="248">
        <f t="shared" si="398"/>
        <v>0</v>
      </c>
      <c r="W228" s="261"/>
      <c r="X228" s="258"/>
      <c r="Y228" s="240"/>
      <c r="Z228" s="241" t="str">
        <f>IF(ISBLANK(Y228), "", VLOOKUP(Y228, Z!$A$2:$C$4127, 3, FALSE))</f>
        <v/>
      </c>
      <c r="AA228" s="262"/>
      <c r="AB228" s="249">
        <f t="shared" si="424"/>
        <v>0</v>
      </c>
      <c r="AC228" s="210"/>
      <c r="AD228" s="236">
        <f t="shared" si="421"/>
        <v>1</v>
      </c>
      <c r="AE228" s="236">
        <f t="shared" si="422"/>
        <v>1</v>
      </c>
      <c r="AF228" s="236">
        <f t="shared" si="423"/>
        <v>0</v>
      </c>
      <c r="AG228" s="236">
        <v>1</v>
      </c>
      <c r="AH228" s="236">
        <v>0</v>
      </c>
      <c r="AI228" s="236">
        <f t="shared" si="399"/>
        <v>-100</v>
      </c>
      <c r="AJ228" s="210"/>
      <c r="AK228" s="254"/>
      <c r="AL228" s="254"/>
      <c r="AM228" s="255"/>
      <c r="AN228" s="255"/>
      <c r="AO228" s="255"/>
      <c r="AP228" s="255"/>
      <c r="AQ228" s="255"/>
      <c r="AR228" s="255"/>
      <c r="AS228" s="255"/>
      <c r="AT228" s="255"/>
      <c r="AU228" s="255"/>
      <c r="AV228" s="255"/>
      <c r="AW228" s="255"/>
      <c r="AX228" s="210"/>
      <c r="AY228" s="236" cm="1">
        <f t="array" ref="AY228">INDEX(Use, $AD228, 4)</f>
        <v>7</v>
      </c>
      <c r="AZ228" s="236">
        <f t="shared" si="400"/>
        <v>32</v>
      </c>
      <c r="BA228" s="236">
        <f t="shared" si="239"/>
        <v>13</v>
      </c>
      <c r="BB228" s="236">
        <f t="shared" si="240"/>
        <v>0</v>
      </c>
      <c r="BC228" s="252" cm="1">
        <f t="array" ref="BC228">K228/IF($L228&gt;0, INDEX($AO$23:$AU$77, $L228+20, $AD228), 1)</f>
        <v>0</v>
      </c>
      <c r="BD228" s="237">
        <f t="shared" si="401"/>
        <v>0</v>
      </c>
      <c r="BE228" s="236">
        <v>35</v>
      </c>
      <c r="BF228" s="237">
        <f t="shared" si="402"/>
        <v>52.55</v>
      </c>
      <c r="BG228" s="253">
        <f t="shared" si="403"/>
        <v>2.7676728869374316</v>
      </c>
      <c r="BH228" s="253" cm="1">
        <f t="array" ref="BH228">$BC228 * SUMPRODUCT(INDEX($AL$77:$AN$82,,$AE228),INDEX($AO$77:$AU$82,,$AD228), N($AK$77:$AK$82&gt;$AI228)) / BG228 / 1000</f>
        <v>0</v>
      </c>
      <c r="BI228" s="250">
        <f t="shared" si="244"/>
        <v>30</v>
      </c>
      <c r="BJ228" s="237">
        <f t="shared" si="404"/>
        <v>46.033333333333331</v>
      </c>
      <c r="BK228" s="253">
        <f t="shared" si="405"/>
        <v>3.2297395388556791</v>
      </c>
      <c r="BL228" s="253" cm="1">
        <f t="array" ref="BL228">$BC228 * IF($AD228&lt;=2,
SUMPRODUCT(INDEX($AL$72:$AN$76,,$AE228), INDEX($AO$72:$AU$76,,$AD228), 1 / ($AV$72:$AV$76*BK228 + (1-$AV$72:$AV$76)*BG228), N($AK$72:$AK$76&gt;$AI228)),
SUMPRODUCT(INDEX($AL$67:$AN$76,,$AE228), INDEX($AO$67:$AU$76,,$AD228), 1 / ($AW$67:$AW$76*BK228 + (1-$AW$67:$AW$76)*BG228), N($AK$67:$AK$76&gt;$AI228))
) / 1000</f>
        <v>0</v>
      </c>
      <c r="BM228" s="250">
        <f t="shared" si="247"/>
        <v>25</v>
      </c>
      <c r="BN228" s="237">
        <f t="shared" si="406"/>
        <v>39.516666666666666</v>
      </c>
      <c r="BO228" s="253">
        <f t="shared" si="407"/>
        <v>3.877011788826243</v>
      </c>
      <c r="BP228" s="253" cm="1">
        <f t="array" ref="BP228">$BC228 * IF($AD228&lt;=2,
SUMPRODUCT(INDEX($AL$67:$AN$71,,$AE228), INDEX($AO$67:$AU$71,,$AD228), 1 / ($AV$67:$AV$71*BO228 + (1-$AV$67:$AV$71)*BK228), N($AK$67:$AK$71&gt;$AI228)),
SUMPRODUCT(INDEX($AL$57:$AN$66,,$AE228), INDEX($AO$57:$AU$66,,$AD228), 1 / ($AW$57:$AW$66*BO228 + (1-$AW$57:$AW$66)*BK228), N($AK$57:$AK$66&gt;$AI228))
) / 1000</f>
        <v>0</v>
      </c>
      <c r="BQ228" s="250">
        <f t="shared" si="250"/>
        <v>20</v>
      </c>
      <c r="BR228" s="237">
        <f t="shared" si="408"/>
        <v>33</v>
      </c>
      <c r="BS228" s="253">
        <f t="shared" si="409"/>
        <v>4.8487499999999999</v>
      </c>
      <c r="BT228" s="253" cm="1">
        <f t="array" ref="BT228">$BC228 * IF($AD228&lt;=2,
SUMPRODUCT(INDEX($AL$62:$AN$66,,$AE228), INDEX($AO$62:$AU$66,,$AD228), 1 / ($AV$62:$AV$66*BS228 + (1-$AV$62:$AV$66)*BO228), N($AK$62:$AK$66&gt;$AI228)),
SUMPRODUCT(INDEX($AL$47:$AN$56,,$AE228), INDEX($AO$47:$AU$56,,$AD228), 1 / ($AW$47:$AW$56*BS228 + (1-$AW$47:$AW$56)*BO228), N($AK$47:$AK$56&gt;$AI228))
) / 1000</f>
        <v>0</v>
      </c>
      <c r="BU228" s="253" cm="1">
        <f t="array" ref="BU228">$BC228 * IF($AD228&lt;=2,
SUMPRODUCT(INDEX($AL$23:$AN$61,,$AE228), INDEX($AO$23:$AU$61,,$AD228), 1 / ($AV$23:$AV$61*BS228), N($AK$23:$AK$61&gt;$AI228)),
SUMPRODUCT(INDEX($AL$23:$AN$46,,$AE228), INDEX($AO$23:$AU$46,,$AD228), 1 / ($AW$23:$AW$46*BS228), N($AK$23:$AK$46&gt;$AI228))
) / 1000</f>
        <v>0</v>
      </c>
      <c r="BV228" s="237">
        <f t="shared" si="410"/>
        <v>0</v>
      </c>
      <c r="BW228" s="210"/>
      <c r="BX228" s="237">
        <f t="shared" si="411"/>
        <v>0</v>
      </c>
      <c r="BY228" s="236">
        <v>35</v>
      </c>
      <c r="BZ228" s="237">
        <f t="shared" si="412"/>
        <v>48</v>
      </c>
      <c r="CA228" s="253">
        <f t="shared" si="413"/>
        <v>3.0748170731707316</v>
      </c>
      <c r="CB228" s="253" cm="1">
        <f t="array" ref="CB228">$BC228 * SUMPRODUCT(INDEX($AL$77:$AN$82,,$AE228),INDEX($AO$77:$AU$82,,$AD228), N($AK$77:$AK$82&gt;$AI228)) / CA228 / 1000</f>
        <v>0</v>
      </c>
      <c r="CC228" s="250">
        <f t="shared" si="257"/>
        <v>30</v>
      </c>
      <c r="CD228" s="237">
        <f t="shared" si="414"/>
        <v>43</v>
      </c>
      <c r="CE228" s="253">
        <f t="shared" si="415"/>
        <v>3.5018750000000001</v>
      </c>
      <c r="CF228" s="253" cm="1">
        <f t="array" ref="CF228">$BC228 * IF($AD228&lt;=2,
SUMPRODUCT(INDEX($AL$72:$AN$76,,$AE228), INDEX($AO$72:$AU$76,,$AD228), 1 / ($AV$72:$AV$76*CE228 + (1-$AV$72:$AV$76)*CA228), N($AK$72:$AK$76&gt;$AI228)),
SUMPRODUCT(INDEX($AL$67:$AN$76,,$AE228), INDEX($AO$67:$AU$76,,$AD228), 1 / ($AW$67:$AW$76*CE228 + (1-$AW$67:$AW$76)*CA228), N($AK$67:$AK$76&gt;$AI228))
) / 1000</f>
        <v>0</v>
      </c>
      <c r="CG228" s="250">
        <f t="shared" si="260"/>
        <v>25</v>
      </c>
      <c r="CH228" s="237">
        <f t="shared" si="416"/>
        <v>38</v>
      </c>
      <c r="CI228" s="253">
        <f t="shared" si="417"/>
        <v>4.0666935483870965</v>
      </c>
      <c r="CJ228" s="253" cm="1">
        <f t="array" ref="CJ228">$BC228 * IF($AD228&lt;=2,
SUMPRODUCT(INDEX($AL$67:$AN$71,,$AE228), INDEX($AO$67:$AU$71,,$AD228), 1 / ($AV$67:$AV$71*CI228 + (1-$AV$67:$AV$71)*CE228), N($AK$67:$AK$71&gt;$AI228)),
SUMPRODUCT(INDEX($AL$57:$AN$66,,$AE228), INDEX($AO$57:$AU$66,,$AD228), 1 / ($AW$57:$AW$66*CI228 + (1-$AW$57:$AW$66)*CE228), N($AK$57:$AK$66&gt;$AI228))
) / 1000</f>
        <v>0</v>
      </c>
      <c r="CK228" s="250">
        <f t="shared" si="263"/>
        <v>20</v>
      </c>
      <c r="CL228" s="237">
        <f t="shared" si="418"/>
        <v>33</v>
      </c>
      <c r="CM228" s="253">
        <f t="shared" si="419"/>
        <v>4.8487499999999999</v>
      </c>
      <c r="CN228" s="253" cm="1">
        <f t="array" ref="CN228">$BC228 * IF($AD228&lt;=2,
SUMPRODUCT(INDEX($AL$62:$AN$66,,$AE228), INDEX($AO$62:$AU$66,,$AD228), 1 / ($AV$62:$AV$66*CM228 + (1-$AV$62:$AV$66)*CI228), N($AK$62:$AK$66&gt;$AI228)),
SUMPRODUCT(INDEX($AL$47:$AN$56,,$AE228), INDEX($AO$47:$AU$56,,$AD228), 1 / ($AW$47:$AW$56*CM228 + (1-$AW$47:$AW$56)*CI228), N($AK$47:$AK$56&gt;$AI228))
) / 1000</f>
        <v>0</v>
      </c>
      <c r="CO228" s="253" cm="1">
        <f t="array" ref="CO228">$BC228 * IF($AD228&lt;=2,
SUMPRODUCT(INDEX($AL$23:$AN$61,,$AE228), INDEX($AO$23:$AU$61,,$AD228), 1 / ($AV$23:$AV$61*CM228), N($AK$23:$AK$61&gt;$AI228)),
SUMPRODUCT(INDEX($AL$23:$AN$46,,$AE228), INDEX($AO$23:$AU$46,,$AD228), 1 / ($AW$23:$AW$46*CM228), N($AK$23:$AK$46&gt;$AI228))
) / 1000</f>
        <v>0</v>
      </c>
      <c r="CP228" s="237">
        <f t="shared" si="420"/>
        <v>0</v>
      </c>
      <c r="CQ228" s="210"/>
    </row>
    <row r="229" spans="1:95" s="76" customFormat="1" ht="14.25" customHeight="1" x14ac:dyDescent="0.2">
      <c r="A229" s="238" t="b">
        <f t="shared" si="227"/>
        <v>0</v>
      </c>
      <c r="B229" s="239">
        <v>207</v>
      </c>
      <c r="C229" s="258"/>
      <c r="D229" s="258"/>
      <c r="E229" s="240"/>
      <c r="F229" s="241" t="str">
        <f>IF(ISBLANK(E229), "", VLOOKUP(E229, Z!$A$2:$C$4127, 3, FALSE))</f>
        <v/>
      </c>
      <c r="G229" s="242"/>
      <c r="H229" s="242"/>
      <c r="I229" s="243"/>
      <c r="J229" s="244"/>
      <c r="K229" s="259"/>
      <c r="L229" s="260"/>
      <c r="M229" s="247" t="str" cm="1">
        <f t="array" ref="M229">IF($K229&gt;0, INDEX(Clean,1+AG229,$C$1), "")</f>
        <v/>
      </c>
      <c r="N229" s="245"/>
      <c r="O229" s="245"/>
      <c r="P229" s="246"/>
      <c r="Q229" s="248">
        <f t="shared" si="397"/>
        <v>0</v>
      </c>
      <c r="R229" s="247" t="str" cm="1">
        <f t="array" ref="R229">IF($K229&gt;0, INDEX(Clean,1+AH229,$C$1), "")</f>
        <v/>
      </c>
      <c r="S229" s="245"/>
      <c r="T229" s="245"/>
      <c r="U229" s="246"/>
      <c r="V229" s="248">
        <f t="shared" si="398"/>
        <v>0</v>
      </c>
      <c r="W229" s="261"/>
      <c r="X229" s="258"/>
      <c r="Y229" s="240"/>
      <c r="Z229" s="241" t="str">
        <f>IF(ISBLANK(Y229), "", VLOOKUP(Y229, Z!$A$2:$C$4127, 3, FALSE))</f>
        <v/>
      </c>
      <c r="AA229" s="262"/>
      <c r="AB229" s="249">
        <f t="shared" si="424"/>
        <v>0</v>
      </c>
      <c r="AC229" s="210"/>
      <c r="AD229" s="236">
        <f t="shared" si="421"/>
        <v>1</v>
      </c>
      <c r="AE229" s="236">
        <f t="shared" si="422"/>
        <v>1</v>
      </c>
      <c r="AF229" s="236">
        <f t="shared" si="423"/>
        <v>0</v>
      </c>
      <c r="AG229" s="236">
        <v>1</v>
      </c>
      <c r="AH229" s="236">
        <v>0</v>
      </c>
      <c r="AI229" s="236">
        <f t="shared" si="399"/>
        <v>-100</v>
      </c>
      <c r="AJ229" s="210"/>
      <c r="AK229" s="254"/>
      <c r="AL229" s="254"/>
      <c r="AM229" s="255"/>
      <c r="AN229" s="255"/>
      <c r="AO229" s="255"/>
      <c r="AP229" s="255"/>
      <c r="AQ229" s="255"/>
      <c r="AR229" s="255"/>
      <c r="AS229" s="255"/>
      <c r="AT229" s="255"/>
      <c r="AU229" s="255"/>
      <c r="AV229" s="255"/>
      <c r="AW229" s="255"/>
      <c r="AX229" s="210"/>
      <c r="AY229" s="236" cm="1">
        <f t="array" ref="AY229">INDEX(Use, $AD229, 4)</f>
        <v>7</v>
      </c>
      <c r="AZ229" s="236">
        <f t="shared" si="400"/>
        <v>32</v>
      </c>
      <c r="BA229" s="236">
        <f t="shared" si="239"/>
        <v>13</v>
      </c>
      <c r="BB229" s="236">
        <f t="shared" si="240"/>
        <v>0</v>
      </c>
      <c r="BC229" s="252" cm="1">
        <f t="array" ref="BC229">K229/IF($L229&gt;0, INDEX($AO$23:$AU$77, $L229+20, $AD229), 1)</f>
        <v>0</v>
      </c>
      <c r="BD229" s="237">
        <f t="shared" si="401"/>
        <v>0</v>
      </c>
      <c r="BE229" s="236">
        <v>35</v>
      </c>
      <c r="BF229" s="237">
        <f t="shared" si="402"/>
        <v>52.55</v>
      </c>
      <c r="BG229" s="253">
        <f t="shared" si="403"/>
        <v>2.7676728869374316</v>
      </c>
      <c r="BH229" s="253" cm="1">
        <f t="array" ref="BH229">$BC229 * SUMPRODUCT(INDEX($AL$77:$AN$82,,$AE229),INDEX($AO$77:$AU$82,,$AD229), N($AK$77:$AK$82&gt;$AI229)) / BG229 / 1000</f>
        <v>0</v>
      </c>
      <c r="BI229" s="250">
        <f t="shared" si="244"/>
        <v>30</v>
      </c>
      <c r="BJ229" s="237">
        <f t="shared" si="404"/>
        <v>46.033333333333331</v>
      </c>
      <c r="BK229" s="253">
        <f t="shared" si="405"/>
        <v>3.2297395388556791</v>
      </c>
      <c r="BL229" s="253" cm="1">
        <f t="array" ref="BL229">$BC229 * IF($AD229&lt;=2,
SUMPRODUCT(INDEX($AL$72:$AN$76,,$AE229), INDEX($AO$72:$AU$76,,$AD229), 1 / ($AV$72:$AV$76*BK229 + (1-$AV$72:$AV$76)*BG229), N($AK$72:$AK$76&gt;$AI229)),
SUMPRODUCT(INDEX($AL$67:$AN$76,,$AE229), INDEX($AO$67:$AU$76,,$AD229), 1 / ($AW$67:$AW$76*BK229 + (1-$AW$67:$AW$76)*BG229), N($AK$67:$AK$76&gt;$AI229))
) / 1000</f>
        <v>0</v>
      </c>
      <c r="BM229" s="250">
        <f t="shared" si="247"/>
        <v>25</v>
      </c>
      <c r="BN229" s="237">
        <f t="shared" si="406"/>
        <v>39.516666666666666</v>
      </c>
      <c r="BO229" s="253">
        <f t="shared" si="407"/>
        <v>3.877011788826243</v>
      </c>
      <c r="BP229" s="253" cm="1">
        <f t="array" ref="BP229">$BC229 * IF($AD229&lt;=2,
SUMPRODUCT(INDEX($AL$67:$AN$71,,$AE229), INDEX($AO$67:$AU$71,,$AD229), 1 / ($AV$67:$AV$71*BO229 + (1-$AV$67:$AV$71)*BK229), N($AK$67:$AK$71&gt;$AI229)),
SUMPRODUCT(INDEX($AL$57:$AN$66,,$AE229), INDEX($AO$57:$AU$66,,$AD229), 1 / ($AW$57:$AW$66*BO229 + (1-$AW$57:$AW$66)*BK229), N($AK$57:$AK$66&gt;$AI229))
) / 1000</f>
        <v>0</v>
      </c>
      <c r="BQ229" s="250">
        <f t="shared" si="250"/>
        <v>20</v>
      </c>
      <c r="BR229" s="237">
        <f t="shared" si="408"/>
        <v>33</v>
      </c>
      <c r="BS229" s="253">
        <f t="shared" si="409"/>
        <v>4.8487499999999999</v>
      </c>
      <c r="BT229" s="253" cm="1">
        <f t="array" ref="BT229">$BC229 * IF($AD229&lt;=2,
SUMPRODUCT(INDEX($AL$62:$AN$66,,$AE229), INDEX($AO$62:$AU$66,,$AD229), 1 / ($AV$62:$AV$66*BS229 + (1-$AV$62:$AV$66)*BO229), N($AK$62:$AK$66&gt;$AI229)),
SUMPRODUCT(INDEX($AL$47:$AN$56,,$AE229), INDEX($AO$47:$AU$56,,$AD229), 1 / ($AW$47:$AW$56*BS229 + (1-$AW$47:$AW$56)*BO229), N($AK$47:$AK$56&gt;$AI229))
) / 1000</f>
        <v>0</v>
      </c>
      <c r="BU229" s="253" cm="1">
        <f t="array" ref="BU229">$BC229 * IF($AD229&lt;=2,
SUMPRODUCT(INDEX($AL$23:$AN$61,,$AE229), INDEX($AO$23:$AU$61,,$AD229), 1 / ($AV$23:$AV$61*BS229), N($AK$23:$AK$61&gt;$AI229)),
SUMPRODUCT(INDEX($AL$23:$AN$46,,$AE229), INDEX($AO$23:$AU$46,,$AD229), 1 / ($AW$23:$AW$46*BS229), N($AK$23:$AK$46&gt;$AI229))
) / 1000</f>
        <v>0</v>
      </c>
      <c r="BV229" s="237">
        <f t="shared" si="410"/>
        <v>0</v>
      </c>
      <c r="BW229" s="210"/>
      <c r="BX229" s="237">
        <f t="shared" si="411"/>
        <v>0</v>
      </c>
      <c r="BY229" s="236">
        <v>35</v>
      </c>
      <c r="BZ229" s="237">
        <f t="shared" si="412"/>
        <v>48</v>
      </c>
      <c r="CA229" s="253">
        <f t="shared" si="413"/>
        <v>3.0748170731707316</v>
      </c>
      <c r="CB229" s="253" cm="1">
        <f t="array" ref="CB229">$BC229 * SUMPRODUCT(INDEX($AL$77:$AN$82,,$AE229),INDEX($AO$77:$AU$82,,$AD229), N($AK$77:$AK$82&gt;$AI229)) / CA229 / 1000</f>
        <v>0</v>
      </c>
      <c r="CC229" s="250">
        <f t="shared" si="257"/>
        <v>30</v>
      </c>
      <c r="CD229" s="237">
        <f t="shared" si="414"/>
        <v>43</v>
      </c>
      <c r="CE229" s="253">
        <f t="shared" si="415"/>
        <v>3.5018750000000001</v>
      </c>
      <c r="CF229" s="253" cm="1">
        <f t="array" ref="CF229">$BC229 * IF($AD229&lt;=2,
SUMPRODUCT(INDEX($AL$72:$AN$76,,$AE229), INDEX($AO$72:$AU$76,,$AD229), 1 / ($AV$72:$AV$76*CE229 + (1-$AV$72:$AV$76)*CA229), N($AK$72:$AK$76&gt;$AI229)),
SUMPRODUCT(INDEX($AL$67:$AN$76,,$AE229), INDEX($AO$67:$AU$76,,$AD229), 1 / ($AW$67:$AW$76*CE229 + (1-$AW$67:$AW$76)*CA229), N($AK$67:$AK$76&gt;$AI229))
) / 1000</f>
        <v>0</v>
      </c>
      <c r="CG229" s="250">
        <f t="shared" si="260"/>
        <v>25</v>
      </c>
      <c r="CH229" s="237">
        <f t="shared" si="416"/>
        <v>38</v>
      </c>
      <c r="CI229" s="253">
        <f t="shared" si="417"/>
        <v>4.0666935483870965</v>
      </c>
      <c r="CJ229" s="253" cm="1">
        <f t="array" ref="CJ229">$BC229 * IF($AD229&lt;=2,
SUMPRODUCT(INDEX($AL$67:$AN$71,,$AE229), INDEX($AO$67:$AU$71,,$AD229), 1 / ($AV$67:$AV$71*CI229 + (1-$AV$67:$AV$71)*CE229), N($AK$67:$AK$71&gt;$AI229)),
SUMPRODUCT(INDEX($AL$57:$AN$66,,$AE229), INDEX($AO$57:$AU$66,,$AD229), 1 / ($AW$57:$AW$66*CI229 + (1-$AW$57:$AW$66)*CE229), N($AK$57:$AK$66&gt;$AI229))
) / 1000</f>
        <v>0</v>
      </c>
      <c r="CK229" s="250">
        <f t="shared" si="263"/>
        <v>20</v>
      </c>
      <c r="CL229" s="237">
        <f t="shared" si="418"/>
        <v>33</v>
      </c>
      <c r="CM229" s="253">
        <f t="shared" si="419"/>
        <v>4.8487499999999999</v>
      </c>
      <c r="CN229" s="253" cm="1">
        <f t="array" ref="CN229">$BC229 * IF($AD229&lt;=2,
SUMPRODUCT(INDEX($AL$62:$AN$66,,$AE229), INDEX($AO$62:$AU$66,,$AD229), 1 / ($AV$62:$AV$66*CM229 + (1-$AV$62:$AV$66)*CI229), N($AK$62:$AK$66&gt;$AI229)),
SUMPRODUCT(INDEX($AL$47:$AN$56,,$AE229), INDEX($AO$47:$AU$56,,$AD229), 1 / ($AW$47:$AW$56*CM229 + (1-$AW$47:$AW$56)*CI229), N($AK$47:$AK$56&gt;$AI229))
) / 1000</f>
        <v>0</v>
      </c>
      <c r="CO229" s="253" cm="1">
        <f t="array" ref="CO229">$BC229 * IF($AD229&lt;=2,
SUMPRODUCT(INDEX($AL$23:$AN$61,,$AE229), INDEX($AO$23:$AU$61,,$AD229), 1 / ($AV$23:$AV$61*CM229), N($AK$23:$AK$61&gt;$AI229)),
SUMPRODUCT(INDEX($AL$23:$AN$46,,$AE229), INDEX($AO$23:$AU$46,,$AD229), 1 / ($AW$23:$AW$46*CM229), N($AK$23:$AK$46&gt;$AI229))
) / 1000</f>
        <v>0</v>
      </c>
      <c r="CP229" s="237">
        <f t="shared" si="420"/>
        <v>0</v>
      </c>
      <c r="CQ229" s="210"/>
    </row>
    <row r="230" spans="1:95" s="76" customFormat="1" ht="14.25" customHeight="1" x14ac:dyDescent="0.2">
      <c r="A230" s="238" t="b">
        <f t="shared" si="227"/>
        <v>0</v>
      </c>
      <c r="B230" s="239">
        <v>208</v>
      </c>
      <c r="C230" s="258"/>
      <c r="D230" s="258"/>
      <c r="E230" s="240"/>
      <c r="F230" s="241" t="str">
        <f>IF(ISBLANK(E230), "", VLOOKUP(E230, Z!$A$2:$C$4127, 3, FALSE))</f>
        <v/>
      </c>
      <c r="G230" s="242"/>
      <c r="H230" s="242"/>
      <c r="I230" s="243"/>
      <c r="J230" s="244"/>
      <c r="K230" s="259"/>
      <c r="L230" s="260"/>
      <c r="M230" s="247" t="str" cm="1">
        <f t="array" ref="M230">IF($K230&gt;0, INDEX(Clean,1+AG230,$C$1), "")</f>
        <v/>
      </c>
      <c r="N230" s="245"/>
      <c r="O230" s="245"/>
      <c r="P230" s="246"/>
      <c r="Q230" s="248">
        <f t="shared" si="397"/>
        <v>0</v>
      </c>
      <c r="R230" s="247" t="str" cm="1">
        <f t="array" ref="R230">IF($K230&gt;0, INDEX(Clean,1+AH230,$C$1), "")</f>
        <v/>
      </c>
      <c r="S230" s="245"/>
      <c r="T230" s="245"/>
      <c r="U230" s="246"/>
      <c r="V230" s="248">
        <f t="shared" si="398"/>
        <v>0</v>
      </c>
      <c r="W230" s="261"/>
      <c r="X230" s="258"/>
      <c r="Y230" s="240"/>
      <c r="Z230" s="241" t="str">
        <f>IF(ISBLANK(Y230), "", VLOOKUP(Y230, Z!$A$2:$C$4127, 3, FALSE))</f>
        <v/>
      </c>
      <c r="AA230" s="262"/>
      <c r="AB230" s="249">
        <f t="shared" si="424"/>
        <v>0</v>
      </c>
      <c r="AC230" s="210"/>
      <c r="AD230" s="236">
        <f t="shared" si="421"/>
        <v>1</v>
      </c>
      <c r="AE230" s="236">
        <f t="shared" si="422"/>
        <v>1</v>
      </c>
      <c r="AF230" s="236">
        <f t="shared" si="423"/>
        <v>0</v>
      </c>
      <c r="AG230" s="236">
        <v>1</v>
      </c>
      <c r="AH230" s="236">
        <v>0</v>
      </c>
      <c r="AI230" s="236">
        <f t="shared" si="399"/>
        <v>-100</v>
      </c>
      <c r="AJ230" s="210"/>
      <c r="AK230" s="254"/>
      <c r="AL230" s="254"/>
      <c r="AM230" s="255"/>
      <c r="AN230" s="255"/>
      <c r="AO230" s="255"/>
      <c r="AP230" s="255"/>
      <c r="AQ230" s="255"/>
      <c r="AR230" s="255"/>
      <c r="AS230" s="255"/>
      <c r="AT230" s="255"/>
      <c r="AU230" s="255"/>
      <c r="AV230" s="255"/>
      <c r="AW230" s="255"/>
      <c r="AX230" s="210"/>
      <c r="AY230" s="236" cm="1">
        <f t="array" ref="AY230">INDEX(Use, $AD230, 4)</f>
        <v>7</v>
      </c>
      <c r="AZ230" s="236">
        <f t="shared" si="400"/>
        <v>32</v>
      </c>
      <c r="BA230" s="236">
        <f t="shared" si="239"/>
        <v>13</v>
      </c>
      <c r="BB230" s="236">
        <f t="shared" si="240"/>
        <v>0</v>
      </c>
      <c r="BC230" s="252" cm="1">
        <f t="array" ref="BC230">K230/IF($L230&gt;0, INDEX($AO$23:$AU$77, $L230+20, $AD230), 1)</f>
        <v>0</v>
      </c>
      <c r="BD230" s="237">
        <f t="shared" si="401"/>
        <v>0</v>
      </c>
      <c r="BE230" s="236">
        <v>35</v>
      </c>
      <c r="BF230" s="237">
        <f t="shared" si="402"/>
        <v>52.55</v>
      </c>
      <c r="BG230" s="253">
        <f t="shared" si="403"/>
        <v>2.7676728869374316</v>
      </c>
      <c r="BH230" s="253" cm="1">
        <f t="array" ref="BH230">$BC230 * SUMPRODUCT(INDEX($AL$77:$AN$82,,$AE230),INDEX($AO$77:$AU$82,,$AD230), N($AK$77:$AK$82&gt;$AI230)) / BG230 / 1000</f>
        <v>0</v>
      </c>
      <c r="BI230" s="250">
        <f t="shared" si="244"/>
        <v>30</v>
      </c>
      <c r="BJ230" s="237">
        <f t="shared" si="404"/>
        <v>46.033333333333331</v>
      </c>
      <c r="BK230" s="253">
        <f t="shared" si="405"/>
        <v>3.2297395388556791</v>
      </c>
      <c r="BL230" s="253" cm="1">
        <f t="array" ref="BL230">$BC230 * IF($AD230&lt;=2,
SUMPRODUCT(INDEX($AL$72:$AN$76,,$AE230), INDEX($AO$72:$AU$76,,$AD230), 1 / ($AV$72:$AV$76*BK230 + (1-$AV$72:$AV$76)*BG230), N($AK$72:$AK$76&gt;$AI230)),
SUMPRODUCT(INDEX($AL$67:$AN$76,,$AE230), INDEX($AO$67:$AU$76,,$AD230), 1 / ($AW$67:$AW$76*BK230 + (1-$AW$67:$AW$76)*BG230), N($AK$67:$AK$76&gt;$AI230))
) / 1000</f>
        <v>0</v>
      </c>
      <c r="BM230" s="250">
        <f t="shared" si="247"/>
        <v>25</v>
      </c>
      <c r="BN230" s="237">
        <f t="shared" si="406"/>
        <v>39.516666666666666</v>
      </c>
      <c r="BO230" s="253">
        <f t="shared" si="407"/>
        <v>3.877011788826243</v>
      </c>
      <c r="BP230" s="253" cm="1">
        <f t="array" ref="BP230">$BC230 * IF($AD230&lt;=2,
SUMPRODUCT(INDEX($AL$67:$AN$71,,$AE230), INDEX($AO$67:$AU$71,,$AD230), 1 / ($AV$67:$AV$71*BO230 + (1-$AV$67:$AV$71)*BK230), N($AK$67:$AK$71&gt;$AI230)),
SUMPRODUCT(INDEX($AL$57:$AN$66,,$AE230), INDEX($AO$57:$AU$66,,$AD230), 1 / ($AW$57:$AW$66*BO230 + (1-$AW$57:$AW$66)*BK230), N($AK$57:$AK$66&gt;$AI230))
) / 1000</f>
        <v>0</v>
      </c>
      <c r="BQ230" s="250">
        <f t="shared" si="250"/>
        <v>20</v>
      </c>
      <c r="BR230" s="237">
        <f t="shared" si="408"/>
        <v>33</v>
      </c>
      <c r="BS230" s="253">
        <f t="shared" si="409"/>
        <v>4.8487499999999999</v>
      </c>
      <c r="BT230" s="253" cm="1">
        <f t="array" ref="BT230">$BC230 * IF($AD230&lt;=2,
SUMPRODUCT(INDEX($AL$62:$AN$66,,$AE230), INDEX($AO$62:$AU$66,,$AD230), 1 / ($AV$62:$AV$66*BS230 + (1-$AV$62:$AV$66)*BO230), N($AK$62:$AK$66&gt;$AI230)),
SUMPRODUCT(INDEX($AL$47:$AN$56,,$AE230), INDEX($AO$47:$AU$56,,$AD230), 1 / ($AW$47:$AW$56*BS230 + (1-$AW$47:$AW$56)*BO230), N($AK$47:$AK$56&gt;$AI230))
) / 1000</f>
        <v>0</v>
      </c>
      <c r="BU230" s="253" cm="1">
        <f t="array" ref="BU230">$BC230 * IF($AD230&lt;=2,
SUMPRODUCT(INDEX($AL$23:$AN$61,,$AE230), INDEX($AO$23:$AU$61,,$AD230), 1 / ($AV$23:$AV$61*BS230), N($AK$23:$AK$61&gt;$AI230)),
SUMPRODUCT(INDEX($AL$23:$AN$46,,$AE230), INDEX($AO$23:$AU$46,,$AD230), 1 / ($AW$23:$AW$46*BS230), N($AK$23:$AK$46&gt;$AI230))
) / 1000</f>
        <v>0</v>
      </c>
      <c r="BV230" s="237">
        <f t="shared" si="410"/>
        <v>0</v>
      </c>
      <c r="BW230" s="210"/>
      <c r="BX230" s="237">
        <f t="shared" si="411"/>
        <v>0</v>
      </c>
      <c r="BY230" s="236">
        <v>35</v>
      </c>
      <c r="BZ230" s="237">
        <f t="shared" si="412"/>
        <v>48</v>
      </c>
      <c r="CA230" s="253">
        <f t="shared" si="413"/>
        <v>3.0748170731707316</v>
      </c>
      <c r="CB230" s="253" cm="1">
        <f t="array" ref="CB230">$BC230 * SUMPRODUCT(INDEX($AL$77:$AN$82,,$AE230),INDEX($AO$77:$AU$82,,$AD230), N($AK$77:$AK$82&gt;$AI230)) / CA230 / 1000</f>
        <v>0</v>
      </c>
      <c r="CC230" s="250">
        <f t="shared" si="257"/>
        <v>30</v>
      </c>
      <c r="CD230" s="237">
        <f t="shared" si="414"/>
        <v>43</v>
      </c>
      <c r="CE230" s="253">
        <f t="shared" si="415"/>
        <v>3.5018750000000001</v>
      </c>
      <c r="CF230" s="253" cm="1">
        <f t="array" ref="CF230">$BC230 * IF($AD230&lt;=2,
SUMPRODUCT(INDEX($AL$72:$AN$76,,$AE230), INDEX($AO$72:$AU$76,,$AD230), 1 / ($AV$72:$AV$76*CE230 + (1-$AV$72:$AV$76)*CA230), N($AK$72:$AK$76&gt;$AI230)),
SUMPRODUCT(INDEX($AL$67:$AN$76,,$AE230), INDEX($AO$67:$AU$76,,$AD230), 1 / ($AW$67:$AW$76*CE230 + (1-$AW$67:$AW$76)*CA230), N($AK$67:$AK$76&gt;$AI230))
) / 1000</f>
        <v>0</v>
      </c>
      <c r="CG230" s="250">
        <f t="shared" si="260"/>
        <v>25</v>
      </c>
      <c r="CH230" s="237">
        <f t="shared" si="416"/>
        <v>38</v>
      </c>
      <c r="CI230" s="253">
        <f t="shared" si="417"/>
        <v>4.0666935483870965</v>
      </c>
      <c r="CJ230" s="253" cm="1">
        <f t="array" ref="CJ230">$BC230 * IF($AD230&lt;=2,
SUMPRODUCT(INDEX($AL$67:$AN$71,,$AE230), INDEX($AO$67:$AU$71,,$AD230), 1 / ($AV$67:$AV$71*CI230 + (1-$AV$67:$AV$71)*CE230), N($AK$67:$AK$71&gt;$AI230)),
SUMPRODUCT(INDEX($AL$57:$AN$66,,$AE230), INDEX($AO$57:$AU$66,,$AD230), 1 / ($AW$57:$AW$66*CI230 + (1-$AW$57:$AW$66)*CE230), N($AK$57:$AK$66&gt;$AI230))
) / 1000</f>
        <v>0</v>
      </c>
      <c r="CK230" s="250">
        <f t="shared" si="263"/>
        <v>20</v>
      </c>
      <c r="CL230" s="237">
        <f t="shared" si="418"/>
        <v>33</v>
      </c>
      <c r="CM230" s="253">
        <f t="shared" si="419"/>
        <v>4.8487499999999999</v>
      </c>
      <c r="CN230" s="253" cm="1">
        <f t="array" ref="CN230">$BC230 * IF($AD230&lt;=2,
SUMPRODUCT(INDEX($AL$62:$AN$66,,$AE230), INDEX($AO$62:$AU$66,,$AD230), 1 / ($AV$62:$AV$66*CM230 + (1-$AV$62:$AV$66)*CI230), N($AK$62:$AK$66&gt;$AI230)),
SUMPRODUCT(INDEX($AL$47:$AN$56,,$AE230), INDEX($AO$47:$AU$56,,$AD230), 1 / ($AW$47:$AW$56*CM230 + (1-$AW$47:$AW$56)*CI230), N($AK$47:$AK$56&gt;$AI230))
) / 1000</f>
        <v>0</v>
      </c>
      <c r="CO230" s="253" cm="1">
        <f t="array" ref="CO230">$BC230 * IF($AD230&lt;=2,
SUMPRODUCT(INDEX($AL$23:$AN$61,,$AE230), INDEX($AO$23:$AU$61,,$AD230), 1 / ($AV$23:$AV$61*CM230), N($AK$23:$AK$61&gt;$AI230)),
SUMPRODUCT(INDEX($AL$23:$AN$46,,$AE230), INDEX($AO$23:$AU$46,,$AD230), 1 / ($AW$23:$AW$46*CM230), N($AK$23:$AK$46&gt;$AI230))
) / 1000</f>
        <v>0</v>
      </c>
      <c r="CP230" s="237">
        <f t="shared" si="420"/>
        <v>0</v>
      </c>
      <c r="CQ230" s="210"/>
    </row>
    <row r="231" spans="1:95" s="76" customFormat="1" ht="14.25" customHeight="1" x14ac:dyDescent="0.2">
      <c r="A231" s="238" t="b">
        <f t="shared" si="227"/>
        <v>0</v>
      </c>
      <c r="B231" s="239">
        <v>209</v>
      </c>
      <c r="C231" s="258"/>
      <c r="D231" s="258"/>
      <c r="E231" s="240"/>
      <c r="F231" s="241" t="str">
        <f>IF(ISBLANK(E231), "", VLOOKUP(E231, Z!$A$2:$C$4127, 3, FALSE))</f>
        <v/>
      </c>
      <c r="G231" s="242"/>
      <c r="H231" s="242"/>
      <c r="I231" s="243"/>
      <c r="J231" s="244"/>
      <c r="K231" s="259"/>
      <c r="L231" s="260"/>
      <c r="M231" s="247" t="str" cm="1">
        <f t="array" ref="M231">IF($K231&gt;0, INDEX(Clean,1+AG231,$C$1), "")</f>
        <v/>
      </c>
      <c r="N231" s="245"/>
      <c r="O231" s="245"/>
      <c r="P231" s="246"/>
      <c r="Q231" s="248">
        <f t="shared" si="397"/>
        <v>0</v>
      </c>
      <c r="R231" s="247" t="str" cm="1">
        <f t="array" ref="R231">IF($K231&gt;0, INDEX(Clean,1+AH231,$C$1), "")</f>
        <v/>
      </c>
      <c r="S231" s="245"/>
      <c r="T231" s="245"/>
      <c r="U231" s="246"/>
      <c r="V231" s="248">
        <f t="shared" si="398"/>
        <v>0</v>
      </c>
      <c r="W231" s="261"/>
      <c r="X231" s="258"/>
      <c r="Y231" s="240"/>
      <c r="Z231" s="241" t="str">
        <f>IF(ISBLANK(Y231), "", VLOOKUP(Y231, Z!$A$2:$C$4127, 3, FALSE))</f>
        <v/>
      </c>
      <c r="AA231" s="262"/>
      <c r="AB231" s="249">
        <f t="shared" si="424"/>
        <v>0</v>
      </c>
      <c r="AC231" s="210"/>
      <c r="AD231" s="236">
        <f t="shared" si="421"/>
        <v>1</v>
      </c>
      <c r="AE231" s="236">
        <f t="shared" si="422"/>
        <v>1</v>
      </c>
      <c r="AF231" s="236">
        <f t="shared" si="423"/>
        <v>0</v>
      </c>
      <c r="AG231" s="236">
        <v>1</v>
      </c>
      <c r="AH231" s="236">
        <v>0</v>
      </c>
      <c r="AI231" s="236">
        <f t="shared" si="399"/>
        <v>-100</v>
      </c>
      <c r="AJ231" s="210"/>
      <c r="AK231" s="254"/>
      <c r="AL231" s="254"/>
      <c r="AM231" s="255"/>
      <c r="AN231" s="255"/>
      <c r="AO231" s="255"/>
      <c r="AP231" s="255"/>
      <c r="AQ231" s="255"/>
      <c r="AR231" s="255"/>
      <c r="AS231" s="255"/>
      <c r="AT231" s="255"/>
      <c r="AU231" s="255"/>
      <c r="AV231" s="255"/>
      <c r="AW231" s="255"/>
      <c r="AX231" s="210"/>
      <c r="AY231" s="236" cm="1">
        <f t="array" ref="AY231">INDEX(Use, $AD231, 4)</f>
        <v>7</v>
      </c>
      <c r="AZ231" s="236">
        <f t="shared" si="400"/>
        <v>32</v>
      </c>
      <c r="BA231" s="236">
        <f t="shared" si="239"/>
        <v>13</v>
      </c>
      <c r="BB231" s="236">
        <f t="shared" si="240"/>
        <v>0</v>
      </c>
      <c r="BC231" s="252" cm="1">
        <f t="array" ref="BC231">K231/IF($L231&gt;0, INDEX($AO$23:$AU$77, $L231+20, $AD231), 1)</f>
        <v>0</v>
      </c>
      <c r="BD231" s="237">
        <f t="shared" si="401"/>
        <v>0</v>
      </c>
      <c r="BE231" s="236">
        <v>35</v>
      </c>
      <c r="BF231" s="237">
        <f t="shared" si="402"/>
        <v>52.55</v>
      </c>
      <c r="BG231" s="253">
        <f t="shared" si="403"/>
        <v>2.7676728869374316</v>
      </c>
      <c r="BH231" s="253" cm="1">
        <f t="array" ref="BH231">$BC231 * SUMPRODUCT(INDEX($AL$77:$AN$82,,$AE231),INDEX($AO$77:$AU$82,,$AD231), N($AK$77:$AK$82&gt;$AI231)) / BG231 / 1000</f>
        <v>0</v>
      </c>
      <c r="BI231" s="250">
        <f t="shared" si="244"/>
        <v>30</v>
      </c>
      <c r="BJ231" s="237">
        <f t="shared" si="404"/>
        <v>46.033333333333331</v>
      </c>
      <c r="BK231" s="253">
        <f t="shared" si="405"/>
        <v>3.2297395388556791</v>
      </c>
      <c r="BL231" s="253" cm="1">
        <f t="array" ref="BL231">$BC231 * IF($AD231&lt;=2,
SUMPRODUCT(INDEX($AL$72:$AN$76,,$AE231), INDEX($AO$72:$AU$76,,$AD231), 1 / ($AV$72:$AV$76*BK231 + (1-$AV$72:$AV$76)*BG231), N($AK$72:$AK$76&gt;$AI231)),
SUMPRODUCT(INDEX($AL$67:$AN$76,,$AE231), INDEX($AO$67:$AU$76,,$AD231), 1 / ($AW$67:$AW$76*BK231 + (1-$AW$67:$AW$76)*BG231), N($AK$67:$AK$76&gt;$AI231))
) / 1000</f>
        <v>0</v>
      </c>
      <c r="BM231" s="250">
        <f t="shared" si="247"/>
        <v>25</v>
      </c>
      <c r="BN231" s="237">
        <f t="shared" si="406"/>
        <v>39.516666666666666</v>
      </c>
      <c r="BO231" s="253">
        <f t="shared" si="407"/>
        <v>3.877011788826243</v>
      </c>
      <c r="BP231" s="253" cm="1">
        <f t="array" ref="BP231">$BC231 * IF($AD231&lt;=2,
SUMPRODUCT(INDEX($AL$67:$AN$71,,$AE231), INDEX($AO$67:$AU$71,,$AD231), 1 / ($AV$67:$AV$71*BO231 + (1-$AV$67:$AV$71)*BK231), N($AK$67:$AK$71&gt;$AI231)),
SUMPRODUCT(INDEX($AL$57:$AN$66,,$AE231), INDEX($AO$57:$AU$66,,$AD231), 1 / ($AW$57:$AW$66*BO231 + (1-$AW$57:$AW$66)*BK231), N($AK$57:$AK$66&gt;$AI231))
) / 1000</f>
        <v>0</v>
      </c>
      <c r="BQ231" s="250">
        <f t="shared" si="250"/>
        <v>20</v>
      </c>
      <c r="BR231" s="237">
        <f t="shared" si="408"/>
        <v>33</v>
      </c>
      <c r="BS231" s="253">
        <f t="shared" si="409"/>
        <v>4.8487499999999999</v>
      </c>
      <c r="BT231" s="253" cm="1">
        <f t="array" ref="BT231">$BC231 * IF($AD231&lt;=2,
SUMPRODUCT(INDEX($AL$62:$AN$66,,$AE231), INDEX($AO$62:$AU$66,,$AD231), 1 / ($AV$62:$AV$66*BS231 + (1-$AV$62:$AV$66)*BO231), N($AK$62:$AK$66&gt;$AI231)),
SUMPRODUCT(INDEX($AL$47:$AN$56,,$AE231), INDEX($AO$47:$AU$56,,$AD231), 1 / ($AW$47:$AW$56*BS231 + (1-$AW$47:$AW$56)*BO231), N($AK$47:$AK$56&gt;$AI231))
) / 1000</f>
        <v>0</v>
      </c>
      <c r="BU231" s="253" cm="1">
        <f t="array" ref="BU231">$BC231 * IF($AD231&lt;=2,
SUMPRODUCT(INDEX($AL$23:$AN$61,,$AE231), INDEX($AO$23:$AU$61,,$AD231), 1 / ($AV$23:$AV$61*BS231), N($AK$23:$AK$61&gt;$AI231)),
SUMPRODUCT(INDEX($AL$23:$AN$46,,$AE231), INDEX($AO$23:$AU$46,,$AD231), 1 / ($AW$23:$AW$46*BS231), N($AK$23:$AK$46&gt;$AI231))
) / 1000</f>
        <v>0</v>
      </c>
      <c r="BV231" s="237">
        <f t="shared" si="410"/>
        <v>0</v>
      </c>
      <c r="BW231" s="210"/>
      <c r="BX231" s="237">
        <f t="shared" si="411"/>
        <v>0</v>
      </c>
      <c r="BY231" s="236">
        <v>35</v>
      </c>
      <c r="BZ231" s="237">
        <f t="shared" si="412"/>
        <v>48</v>
      </c>
      <c r="CA231" s="253">
        <f t="shared" si="413"/>
        <v>3.0748170731707316</v>
      </c>
      <c r="CB231" s="253" cm="1">
        <f t="array" ref="CB231">$BC231 * SUMPRODUCT(INDEX($AL$77:$AN$82,,$AE231),INDEX($AO$77:$AU$82,,$AD231), N($AK$77:$AK$82&gt;$AI231)) / CA231 / 1000</f>
        <v>0</v>
      </c>
      <c r="CC231" s="250">
        <f t="shared" si="257"/>
        <v>30</v>
      </c>
      <c r="CD231" s="237">
        <f t="shared" si="414"/>
        <v>43</v>
      </c>
      <c r="CE231" s="253">
        <f t="shared" si="415"/>
        <v>3.5018750000000001</v>
      </c>
      <c r="CF231" s="253" cm="1">
        <f t="array" ref="CF231">$BC231 * IF($AD231&lt;=2,
SUMPRODUCT(INDEX($AL$72:$AN$76,,$AE231), INDEX($AO$72:$AU$76,,$AD231), 1 / ($AV$72:$AV$76*CE231 + (1-$AV$72:$AV$76)*CA231), N($AK$72:$AK$76&gt;$AI231)),
SUMPRODUCT(INDEX($AL$67:$AN$76,,$AE231), INDEX($AO$67:$AU$76,,$AD231), 1 / ($AW$67:$AW$76*CE231 + (1-$AW$67:$AW$76)*CA231), N($AK$67:$AK$76&gt;$AI231))
) / 1000</f>
        <v>0</v>
      </c>
      <c r="CG231" s="250">
        <f t="shared" si="260"/>
        <v>25</v>
      </c>
      <c r="CH231" s="237">
        <f t="shared" si="416"/>
        <v>38</v>
      </c>
      <c r="CI231" s="253">
        <f t="shared" si="417"/>
        <v>4.0666935483870965</v>
      </c>
      <c r="CJ231" s="253" cm="1">
        <f t="array" ref="CJ231">$BC231 * IF($AD231&lt;=2,
SUMPRODUCT(INDEX($AL$67:$AN$71,,$AE231), INDEX($AO$67:$AU$71,,$AD231), 1 / ($AV$67:$AV$71*CI231 + (1-$AV$67:$AV$71)*CE231), N($AK$67:$AK$71&gt;$AI231)),
SUMPRODUCT(INDEX($AL$57:$AN$66,,$AE231), INDEX($AO$57:$AU$66,,$AD231), 1 / ($AW$57:$AW$66*CI231 + (1-$AW$57:$AW$66)*CE231), N($AK$57:$AK$66&gt;$AI231))
) / 1000</f>
        <v>0</v>
      </c>
      <c r="CK231" s="250">
        <f t="shared" si="263"/>
        <v>20</v>
      </c>
      <c r="CL231" s="237">
        <f t="shared" si="418"/>
        <v>33</v>
      </c>
      <c r="CM231" s="253">
        <f t="shared" si="419"/>
        <v>4.8487499999999999</v>
      </c>
      <c r="CN231" s="253" cm="1">
        <f t="array" ref="CN231">$BC231 * IF($AD231&lt;=2,
SUMPRODUCT(INDEX($AL$62:$AN$66,,$AE231), INDEX($AO$62:$AU$66,,$AD231), 1 / ($AV$62:$AV$66*CM231 + (1-$AV$62:$AV$66)*CI231), N($AK$62:$AK$66&gt;$AI231)),
SUMPRODUCT(INDEX($AL$47:$AN$56,,$AE231), INDEX($AO$47:$AU$56,,$AD231), 1 / ($AW$47:$AW$56*CM231 + (1-$AW$47:$AW$56)*CI231), N($AK$47:$AK$56&gt;$AI231))
) / 1000</f>
        <v>0</v>
      </c>
      <c r="CO231" s="253" cm="1">
        <f t="array" ref="CO231">$BC231 * IF($AD231&lt;=2,
SUMPRODUCT(INDEX($AL$23:$AN$61,,$AE231), INDEX($AO$23:$AU$61,,$AD231), 1 / ($AV$23:$AV$61*CM231), N($AK$23:$AK$61&gt;$AI231)),
SUMPRODUCT(INDEX($AL$23:$AN$46,,$AE231), INDEX($AO$23:$AU$46,,$AD231), 1 / ($AW$23:$AW$46*CM231), N($AK$23:$AK$46&gt;$AI231))
) / 1000</f>
        <v>0</v>
      </c>
      <c r="CP231" s="237">
        <f t="shared" si="420"/>
        <v>0</v>
      </c>
      <c r="CQ231" s="210"/>
    </row>
    <row r="232" spans="1:95" s="76" customFormat="1" ht="14.25" customHeight="1" x14ac:dyDescent="0.2">
      <c r="A232" s="238" t="b">
        <f t="shared" si="227"/>
        <v>0</v>
      </c>
      <c r="B232" s="239">
        <v>210</v>
      </c>
      <c r="C232" s="258"/>
      <c r="D232" s="258"/>
      <c r="E232" s="240"/>
      <c r="F232" s="241" t="str">
        <f>IF(ISBLANK(E232), "", VLOOKUP(E232, Z!$A$2:$C$4127, 3, FALSE))</f>
        <v/>
      </c>
      <c r="G232" s="242"/>
      <c r="H232" s="242"/>
      <c r="I232" s="243"/>
      <c r="J232" s="244"/>
      <c r="K232" s="259"/>
      <c r="L232" s="260"/>
      <c r="M232" s="247" t="str" cm="1">
        <f t="array" ref="M232">IF($K232&gt;0, INDEX(Clean,1+AG232,$C$1), "")</f>
        <v/>
      </c>
      <c r="N232" s="245"/>
      <c r="O232" s="245"/>
      <c r="P232" s="246"/>
      <c r="Q232" s="248">
        <f t="shared" si="397"/>
        <v>0</v>
      </c>
      <c r="R232" s="247" t="str" cm="1">
        <f t="array" ref="R232">IF($K232&gt;0, INDEX(Clean,1+AH232,$C$1), "")</f>
        <v/>
      </c>
      <c r="S232" s="245"/>
      <c r="T232" s="245"/>
      <c r="U232" s="246"/>
      <c r="V232" s="248">
        <f t="shared" si="398"/>
        <v>0</v>
      </c>
      <c r="W232" s="261"/>
      <c r="X232" s="258"/>
      <c r="Y232" s="240"/>
      <c r="Z232" s="241" t="str">
        <f>IF(ISBLANK(Y232), "", VLOOKUP(Y232, Z!$A$2:$C$4127, 3, FALSE))</f>
        <v/>
      </c>
      <c r="AA232" s="262"/>
      <c r="AB232" s="249">
        <f t="shared" si="424"/>
        <v>0</v>
      </c>
      <c r="AC232" s="210"/>
      <c r="AD232" s="236">
        <f t="shared" si="421"/>
        <v>1</v>
      </c>
      <c r="AE232" s="236">
        <f t="shared" si="422"/>
        <v>1</v>
      </c>
      <c r="AF232" s="236">
        <f t="shared" si="423"/>
        <v>0</v>
      </c>
      <c r="AG232" s="236">
        <v>1</v>
      </c>
      <c r="AH232" s="236">
        <v>0</v>
      </c>
      <c r="AI232" s="236">
        <f t="shared" si="399"/>
        <v>-100</v>
      </c>
      <c r="AJ232" s="210"/>
      <c r="AK232" s="254"/>
      <c r="AL232" s="254"/>
      <c r="AM232" s="255"/>
      <c r="AN232" s="255"/>
      <c r="AO232" s="255"/>
      <c r="AP232" s="255"/>
      <c r="AQ232" s="255"/>
      <c r="AR232" s="255"/>
      <c r="AS232" s="255"/>
      <c r="AT232" s="255"/>
      <c r="AU232" s="255"/>
      <c r="AV232" s="255"/>
      <c r="AW232" s="255"/>
      <c r="AX232" s="210"/>
      <c r="AY232" s="236" cm="1">
        <f t="array" ref="AY232">INDEX(Use, $AD232, 4)</f>
        <v>7</v>
      </c>
      <c r="AZ232" s="236">
        <f t="shared" si="400"/>
        <v>32</v>
      </c>
      <c r="BA232" s="236">
        <f t="shared" si="239"/>
        <v>13</v>
      </c>
      <c r="BB232" s="236">
        <f t="shared" si="240"/>
        <v>0</v>
      </c>
      <c r="BC232" s="252" cm="1">
        <f t="array" ref="BC232">K232/IF($L232&gt;0, INDEX($AO$23:$AU$77, $L232+20, $AD232), 1)</f>
        <v>0</v>
      </c>
      <c r="BD232" s="237">
        <f t="shared" si="401"/>
        <v>0</v>
      </c>
      <c r="BE232" s="236">
        <v>35</v>
      </c>
      <c r="BF232" s="237">
        <f t="shared" si="402"/>
        <v>52.55</v>
      </c>
      <c r="BG232" s="253">
        <f t="shared" si="403"/>
        <v>2.7676728869374316</v>
      </c>
      <c r="BH232" s="253" cm="1">
        <f t="array" ref="BH232">$BC232 * SUMPRODUCT(INDEX($AL$77:$AN$82,,$AE232),INDEX($AO$77:$AU$82,,$AD232), N($AK$77:$AK$82&gt;$AI232)) / BG232 / 1000</f>
        <v>0</v>
      </c>
      <c r="BI232" s="250">
        <f t="shared" si="244"/>
        <v>30</v>
      </c>
      <c r="BJ232" s="237">
        <f t="shared" si="404"/>
        <v>46.033333333333331</v>
      </c>
      <c r="BK232" s="253">
        <f t="shared" si="405"/>
        <v>3.2297395388556791</v>
      </c>
      <c r="BL232" s="253" cm="1">
        <f t="array" ref="BL232">$BC232 * IF($AD232&lt;=2,
SUMPRODUCT(INDEX($AL$72:$AN$76,,$AE232), INDEX($AO$72:$AU$76,,$AD232), 1 / ($AV$72:$AV$76*BK232 + (1-$AV$72:$AV$76)*BG232), N($AK$72:$AK$76&gt;$AI232)),
SUMPRODUCT(INDEX($AL$67:$AN$76,,$AE232), INDEX($AO$67:$AU$76,,$AD232), 1 / ($AW$67:$AW$76*BK232 + (1-$AW$67:$AW$76)*BG232), N($AK$67:$AK$76&gt;$AI232))
) / 1000</f>
        <v>0</v>
      </c>
      <c r="BM232" s="250">
        <f t="shared" si="247"/>
        <v>25</v>
      </c>
      <c r="BN232" s="237">
        <f t="shared" si="406"/>
        <v>39.516666666666666</v>
      </c>
      <c r="BO232" s="253">
        <f t="shared" si="407"/>
        <v>3.877011788826243</v>
      </c>
      <c r="BP232" s="253" cm="1">
        <f t="array" ref="BP232">$BC232 * IF($AD232&lt;=2,
SUMPRODUCT(INDEX($AL$67:$AN$71,,$AE232), INDEX($AO$67:$AU$71,,$AD232), 1 / ($AV$67:$AV$71*BO232 + (1-$AV$67:$AV$71)*BK232), N($AK$67:$AK$71&gt;$AI232)),
SUMPRODUCT(INDEX($AL$57:$AN$66,,$AE232), INDEX($AO$57:$AU$66,,$AD232), 1 / ($AW$57:$AW$66*BO232 + (1-$AW$57:$AW$66)*BK232), N($AK$57:$AK$66&gt;$AI232))
) / 1000</f>
        <v>0</v>
      </c>
      <c r="BQ232" s="250">
        <f t="shared" si="250"/>
        <v>20</v>
      </c>
      <c r="BR232" s="237">
        <f t="shared" si="408"/>
        <v>33</v>
      </c>
      <c r="BS232" s="253">
        <f t="shared" si="409"/>
        <v>4.8487499999999999</v>
      </c>
      <c r="BT232" s="253" cm="1">
        <f t="array" ref="BT232">$BC232 * IF($AD232&lt;=2,
SUMPRODUCT(INDEX($AL$62:$AN$66,,$AE232), INDEX($AO$62:$AU$66,,$AD232), 1 / ($AV$62:$AV$66*BS232 + (1-$AV$62:$AV$66)*BO232), N($AK$62:$AK$66&gt;$AI232)),
SUMPRODUCT(INDEX($AL$47:$AN$56,,$AE232), INDEX($AO$47:$AU$56,,$AD232), 1 / ($AW$47:$AW$56*BS232 + (1-$AW$47:$AW$56)*BO232), N($AK$47:$AK$56&gt;$AI232))
) / 1000</f>
        <v>0</v>
      </c>
      <c r="BU232" s="253" cm="1">
        <f t="array" ref="BU232">$BC232 * IF($AD232&lt;=2,
SUMPRODUCT(INDEX($AL$23:$AN$61,,$AE232), INDEX($AO$23:$AU$61,,$AD232), 1 / ($AV$23:$AV$61*BS232), N($AK$23:$AK$61&gt;$AI232)),
SUMPRODUCT(INDEX($AL$23:$AN$46,,$AE232), INDEX($AO$23:$AU$46,,$AD232), 1 / ($AW$23:$AW$46*BS232), N($AK$23:$AK$46&gt;$AI232))
) / 1000</f>
        <v>0</v>
      </c>
      <c r="BV232" s="237">
        <f t="shared" si="410"/>
        <v>0</v>
      </c>
      <c r="BW232" s="210"/>
      <c r="BX232" s="237">
        <f t="shared" si="411"/>
        <v>0</v>
      </c>
      <c r="BY232" s="236">
        <v>35</v>
      </c>
      <c r="BZ232" s="237">
        <f t="shared" si="412"/>
        <v>48</v>
      </c>
      <c r="CA232" s="253">
        <f t="shared" si="413"/>
        <v>3.0748170731707316</v>
      </c>
      <c r="CB232" s="253" cm="1">
        <f t="array" ref="CB232">$BC232 * SUMPRODUCT(INDEX($AL$77:$AN$82,,$AE232),INDEX($AO$77:$AU$82,,$AD232), N($AK$77:$AK$82&gt;$AI232)) / CA232 / 1000</f>
        <v>0</v>
      </c>
      <c r="CC232" s="250">
        <f t="shared" si="257"/>
        <v>30</v>
      </c>
      <c r="CD232" s="237">
        <f t="shared" si="414"/>
        <v>43</v>
      </c>
      <c r="CE232" s="253">
        <f t="shared" si="415"/>
        <v>3.5018750000000001</v>
      </c>
      <c r="CF232" s="253" cm="1">
        <f t="array" ref="CF232">$BC232 * IF($AD232&lt;=2,
SUMPRODUCT(INDEX($AL$72:$AN$76,,$AE232), INDEX($AO$72:$AU$76,,$AD232), 1 / ($AV$72:$AV$76*CE232 + (1-$AV$72:$AV$76)*CA232), N($AK$72:$AK$76&gt;$AI232)),
SUMPRODUCT(INDEX($AL$67:$AN$76,,$AE232), INDEX($AO$67:$AU$76,,$AD232), 1 / ($AW$67:$AW$76*CE232 + (1-$AW$67:$AW$76)*CA232), N($AK$67:$AK$76&gt;$AI232))
) / 1000</f>
        <v>0</v>
      </c>
      <c r="CG232" s="250">
        <f t="shared" si="260"/>
        <v>25</v>
      </c>
      <c r="CH232" s="237">
        <f t="shared" si="416"/>
        <v>38</v>
      </c>
      <c r="CI232" s="253">
        <f t="shared" si="417"/>
        <v>4.0666935483870965</v>
      </c>
      <c r="CJ232" s="253" cm="1">
        <f t="array" ref="CJ232">$BC232 * IF($AD232&lt;=2,
SUMPRODUCT(INDEX($AL$67:$AN$71,,$AE232), INDEX($AO$67:$AU$71,,$AD232), 1 / ($AV$67:$AV$71*CI232 + (1-$AV$67:$AV$71)*CE232), N($AK$67:$AK$71&gt;$AI232)),
SUMPRODUCT(INDEX($AL$57:$AN$66,,$AE232), INDEX($AO$57:$AU$66,,$AD232), 1 / ($AW$57:$AW$66*CI232 + (1-$AW$57:$AW$66)*CE232), N($AK$57:$AK$66&gt;$AI232))
) / 1000</f>
        <v>0</v>
      </c>
      <c r="CK232" s="250">
        <f t="shared" si="263"/>
        <v>20</v>
      </c>
      <c r="CL232" s="237">
        <f t="shared" si="418"/>
        <v>33</v>
      </c>
      <c r="CM232" s="253">
        <f t="shared" si="419"/>
        <v>4.8487499999999999</v>
      </c>
      <c r="CN232" s="253" cm="1">
        <f t="array" ref="CN232">$BC232 * IF($AD232&lt;=2,
SUMPRODUCT(INDEX($AL$62:$AN$66,,$AE232), INDEX($AO$62:$AU$66,,$AD232), 1 / ($AV$62:$AV$66*CM232 + (1-$AV$62:$AV$66)*CI232), N($AK$62:$AK$66&gt;$AI232)),
SUMPRODUCT(INDEX($AL$47:$AN$56,,$AE232), INDEX($AO$47:$AU$56,,$AD232), 1 / ($AW$47:$AW$56*CM232 + (1-$AW$47:$AW$56)*CI232), N($AK$47:$AK$56&gt;$AI232))
) / 1000</f>
        <v>0</v>
      </c>
      <c r="CO232" s="253" cm="1">
        <f t="array" ref="CO232">$BC232 * IF($AD232&lt;=2,
SUMPRODUCT(INDEX($AL$23:$AN$61,,$AE232), INDEX($AO$23:$AU$61,,$AD232), 1 / ($AV$23:$AV$61*CM232), N($AK$23:$AK$61&gt;$AI232)),
SUMPRODUCT(INDEX($AL$23:$AN$46,,$AE232), INDEX($AO$23:$AU$46,,$AD232), 1 / ($AW$23:$AW$46*CM232), N($AK$23:$AK$46&gt;$AI232))
) / 1000</f>
        <v>0</v>
      </c>
      <c r="CP232" s="237">
        <f t="shared" si="420"/>
        <v>0</v>
      </c>
      <c r="CQ232" s="210"/>
    </row>
    <row r="233" spans="1:95" s="76" customFormat="1" ht="14.25" customHeight="1" x14ac:dyDescent="0.2">
      <c r="A233" s="238" t="b">
        <f t="shared" si="227"/>
        <v>0</v>
      </c>
      <c r="B233" s="239">
        <v>211</v>
      </c>
      <c r="C233" s="258"/>
      <c r="D233" s="258"/>
      <c r="E233" s="240"/>
      <c r="F233" s="241" t="str">
        <f>IF(ISBLANK(E233), "", VLOOKUP(E233, Z!$A$2:$C$4127, 3, FALSE))</f>
        <v/>
      </c>
      <c r="G233" s="242"/>
      <c r="H233" s="242"/>
      <c r="I233" s="243"/>
      <c r="J233" s="244"/>
      <c r="K233" s="259"/>
      <c r="L233" s="260"/>
      <c r="M233" s="247" t="str" cm="1">
        <f t="array" ref="M233">IF($K233&gt;0, INDEX(Clean,1+AG233,$C$1), "")</f>
        <v/>
      </c>
      <c r="N233" s="245"/>
      <c r="O233" s="245"/>
      <c r="P233" s="246"/>
      <c r="Q233" s="248">
        <f t="shared" si="397"/>
        <v>0</v>
      </c>
      <c r="R233" s="247" t="str" cm="1">
        <f t="array" ref="R233">IF($K233&gt;0, INDEX(Clean,1+AH233,$C$1), "")</f>
        <v/>
      </c>
      <c r="S233" s="245"/>
      <c r="T233" s="245"/>
      <c r="U233" s="246"/>
      <c r="V233" s="248">
        <f t="shared" si="398"/>
        <v>0</v>
      </c>
      <c r="W233" s="261"/>
      <c r="X233" s="258"/>
      <c r="Y233" s="240"/>
      <c r="Z233" s="241" t="str">
        <f>IF(ISBLANK(Y233), "", VLOOKUP(Y233, Z!$A$2:$C$4127, 3, FALSE))</f>
        <v/>
      </c>
      <c r="AA233" s="262"/>
      <c r="AB233" s="249">
        <f t="shared" si="424"/>
        <v>0</v>
      </c>
      <c r="AC233" s="210"/>
      <c r="AD233" s="236">
        <f t="shared" si="421"/>
        <v>1</v>
      </c>
      <c r="AE233" s="236">
        <f t="shared" si="422"/>
        <v>1</v>
      </c>
      <c r="AF233" s="236">
        <f t="shared" si="423"/>
        <v>0</v>
      </c>
      <c r="AG233" s="236">
        <v>1</v>
      </c>
      <c r="AH233" s="236">
        <v>0</v>
      </c>
      <c r="AI233" s="236">
        <f t="shared" si="399"/>
        <v>-100</v>
      </c>
      <c r="AJ233" s="210"/>
      <c r="AK233" s="254"/>
      <c r="AL233" s="254"/>
      <c r="AM233" s="255"/>
      <c r="AN233" s="255"/>
      <c r="AO233" s="255"/>
      <c r="AP233" s="255"/>
      <c r="AQ233" s="255"/>
      <c r="AR233" s="255"/>
      <c r="AS233" s="255"/>
      <c r="AT233" s="255"/>
      <c r="AU233" s="255"/>
      <c r="AV233" s="255"/>
      <c r="AW233" s="255"/>
      <c r="AX233" s="210"/>
      <c r="AY233" s="236" cm="1">
        <f t="array" ref="AY233">INDEX(Use, $AD233, 4)</f>
        <v>7</v>
      </c>
      <c r="AZ233" s="236">
        <f t="shared" si="400"/>
        <v>32</v>
      </c>
      <c r="BA233" s="236">
        <f t="shared" si="239"/>
        <v>13</v>
      </c>
      <c r="BB233" s="236">
        <f t="shared" si="240"/>
        <v>0</v>
      </c>
      <c r="BC233" s="252" cm="1">
        <f t="array" ref="BC233">K233/IF($L233&gt;0, INDEX($AO$23:$AU$77, $L233+20, $AD233), 1)</f>
        <v>0</v>
      </c>
      <c r="BD233" s="237">
        <f t="shared" si="401"/>
        <v>0</v>
      </c>
      <c r="BE233" s="236">
        <v>35</v>
      </c>
      <c r="BF233" s="237">
        <f t="shared" si="402"/>
        <v>52.55</v>
      </c>
      <c r="BG233" s="253">
        <f t="shared" si="403"/>
        <v>2.7676728869374316</v>
      </c>
      <c r="BH233" s="253" cm="1">
        <f t="array" ref="BH233">$BC233 * SUMPRODUCT(INDEX($AL$77:$AN$82,,$AE233),INDEX($AO$77:$AU$82,,$AD233), N($AK$77:$AK$82&gt;$AI233)) / BG233 / 1000</f>
        <v>0</v>
      </c>
      <c r="BI233" s="250">
        <f t="shared" si="244"/>
        <v>30</v>
      </c>
      <c r="BJ233" s="237">
        <f t="shared" si="404"/>
        <v>46.033333333333331</v>
      </c>
      <c r="BK233" s="253">
        <f t="shared" si="405"/>
        <v>3.2297395388556791</v>
      </c>
      <c r="BL233" s="253" cm="1">
        <f t="array" ref="BL233">$BC233 * IF($AD233&lt;=2,
SUMPRODUCT(INDEX($AL$72:$AN$76,,$AE233), INDEX($AO$72:$AU$76,,$AD233), 1 / ($AV$72:$AV$76*BK233 + (1-$AV$72:$AV$76)*BG233), N($AK$72:$AK$76&gt;$AI233)),
SUMPRODUCT(INDEX($AL$67:$AN$76,,$AE233), INDEX($AO$67:$AU$76,,$AD233), 1 / ($AW$67:$AW$76*BK233 + (1-$AW$67:$AW$76)*BG233), N($AK$67:$AK$76&gt;$AI233))
) / 1000</f>
        <v>0</v>
      </c>
      <c r="BM233" s="250">
        <f t="shared" si="247"/>
        <v>25</v>
      </c>
      <c r="BN233" s="237">
        <f t="shared" si="406"/>
        <v>39.516666666666666</v>
      </c>
      <c r="BO233" s="253">
        <f t="shared" si="407"/>
        <v>3.877011788826243</v>
      </c>
      <c r="BP233" s="253" cm="1">
        <f t="array" ref="BP233">$BC233 * IF($AD233&lt;=2,
SUMPRODUCT(INDEX($AL$67:$AN$71,,$AE233), INDEX($AO$67:$AU$71,,$AD233), 1 / ($AV$67:$AV$71*BO233 + (1-$AV$67:$AV$71)*BK233), N($AK$67:$AK$71&gt;$AI233)),
SUMPRODUCT(INDEX($AL$57:$AN$66,,$AE233), INDEX($AO$57:$AU$66,,$AD233), 1 / ($AW$57:$AW$66*BO233 + (1-$AW$57:$AW$66)*BK233), N($AK$57:$AK$66&gt;$AI233))
) / 1000</f>
        <v>0</v>
      </c>
      <c r="BQ233" s="250">
        <f t="shared" si="250"/>
        <v>20</v>
      </c>
      <c r="BR233" s="237">
        <f t="shared" si="408"/>
        <v>33</v>
      </c>
      <c r="BS233" s="253">
        <f t="shared" si="409"/>
        <v>4.8487499999999999</v>
      </c>
      <c r="BT233" s="253" cm="1">
        <f t="array" ref="BT233">$BC233 * IF($AD233&lt;=2,
SUMPRODUCT(INDEX($AL$62:$AN$66,,$AE233), INDEX($AO$62:$AU$66,,$AD233), 1 / ($AV$62:$AV$66*BS233 + (1-$AV$62:$AV$66)*BO233), N($AK$62:$AK$66&gt;$AI233)),
SUMPRODUCT(INDEX($AL$47:$AN$56,,$AE233), INDEX($AO$47:$AU$56,,$AD233), 1 / ($AW$47:$AW$56*BS233 + (1-$AW$47:$AW$56)*BO233), N($AK$47:$AK$56&gt;$AI233))
) / 1000</f>
        <v>0</v>
      </c>
      <c r="BU233" s="253" cm="1">
        <f t="array" ref="BU233">$BC233 * IF($AD233&lt;=2,
SUMPRODUCT(INDEX($AL$23:$AN$61,,$AE233), INDEX($AO$23:$AU$61,,$AD233), 1 / ($AV$23:$AV$61*BS233), N($AK$23:$AK$61&gt;$AI233)),
SUMPRODUCT(INDEX($AL$23:$AN$46,,$AE233), INDEX($AO$23:$AU$46,,$AD233), 1 / ($AW$23:$AW$46*BS233), N($AK$23:$AK$46&gt;$AI233))
) / 1000</f>
        <v>0</v>
      </c>
      <c r="BV233" s="237">
        <f t="shared" si="410"/>
        <v>0</v>
      </c>
      <c r="BW233" s="210"/>
      <c r="BX233" s="237">
        <f t="shared" si="411"/>
        <v>0</v>
      </c>
      <c r="BY233" s="236">
        <v>35</v>
      </c>
      <c r="BZ233" s="237">
        <f t="shared" si="412"/>
        <v>48</v>
      </c>
      <c r="CA233" s="253">
        <f t="shared" si="413"/>
        <v>3.0748170731707316</v>
      </c>
      <c r="CB233" s="253" cm="1">
        <f t="array" ref="CB233">$BC233 * SUMPRODUCT(INDEX($AL$77:$AN$82,,$AE233),INDEX($AO$77:$AU$82,,$AD233), N($AK$77:$AK$82&gt;$AI233)) / CA233 / 1000</f>
        <v>0</v>
      </c>
      <c r="CC233" s="250">
        <f t="shared" si="257"/>
        <v>30</v>
      </c>
      <c r="CD233" s="237">
        <f t="shared" si="414"/>
        <v>43</v>
      </c>
      <c r="CE233" s="253">
        <f t="shared" si="415"/>
        <v>3.5018750000000001</v>
      </c>
      <c r="CF233" s="253" cm="1">
        <f t="array" ref="CF233">$BC233 * IF($AD233&lt;=2,
SUMPRODUCT(INDEX($AL$72:$AN$76,,$AE233), INDEX($AO$72:$AU$76,,$AD233), 1 / ($AV$72:$AV$76*CE233 + (1-$AV$72:$AV$76)*CA233), N($AK$72:$AK$76&gt;$AI233)),
SUMPRODUCT(INDEX($AL$67:$AN$76,,$AE233), INDEX($AO$67:$AU$76,,$AD233), 1 / ($AW$67:$AW$76*CE233 + (1-$AW$67:$AW$76)*CA233), N($AK$67:$AK$76&gt;$AI233))
) / 1000</f>
        <v>0</v>
      </c>
      <c r="CG233" s="250">
        <f t="shared" si="260"/>
        <v>25</v>
      </c>
      <c r="CH233" s="237">
        <f t="shared" si="416"/>
        <v>38</v>
      </c>
      <c r="CI233" s="253">
        <f t="shared" si="417"/>
        <v>4.0666935483870965</v>
      </c>
      <c r="CJ233" s="253" cm="1">
        <f t="array" ref="CJ233">$BC233 * IF($AD233&lt;=2,
SUMPRODUCT(INDEX($AL$67:$AN$71,,$AE233), INDEX($AO$67:$AU$71,,$AD233), 1 / ($AV$67:$AV$71*CI233 + (1-$AV$67:$AV$71)*CE233), N($AK$67:$AK$71&gt;$AI233)),
SUMPRODUCT(INDEX($AL$57:$AN$66,,$AE233), INDEX($AO$57:$AU$66,,$AD233), 1 / ($AW$57:$AW$66*CI233 + (1-$AW$57:$AW$66)*CE233), N($AK$57:$AK$66&gt;$AI233))
) / 1000</f>
        <v>0</v>
      </c>
      <c r="CK233" s="250">
        <f t="shared" si="263"/>
        <v>20</v>
      </c>
      <c r="CL233" s="237">
        <f t="shared" si="418"/>
        <v>33</v>
      </c>
      <c r="CM233" s="253">
        <f t="shared" si="419"/>
        <v>4.8487499999999999</v>
      </c>
      <c r="CN233" s="253" cm="1">
        <f t="array" ref="CN233">$BC233 * IF($AD233&lt;=2,
SUMPRODUCT(INDEX($AL$62:$AN$66,,$AE233), INDEX($AO$62:$AU$66,,$AD233), 1 / ($AV$62:$AV$66*CM233 + (1-$AV$62:$AV$66)*CI233), N($AK$62:$AK$66&gt;$AI233)),
SUMPRODUCT(INDEX($AL$47:$AN$56,,$AE233), INDEX($AO$47:$AU$56,,$AD233), 1 / ($AW$47:$AW$56*CM233 + (1-$AW$47:$AW$56)*CI233), N($AK$47:$AK$56&gt;$AI233))
) / 1000</f>
        <v>0</v>
      </c>
      <c r="CO233" s="253" cm="1">
        <f t="array" ref="CO233">$BC233 * IF($AD233&lt;=2,
SUMPRODUCT(INDEX($AL$23:$AN$61,,$AE233), INDEX($AO$23:$AU$61,,$AD233), 1 / ($AV$23:$AV$61*CM233), N($AK$23:$AK$61&gt;$AI233)),
SUMPRODUCT(INDEX($AL$23:$AN$46,,$AE233), INDEX($AO$23:$AU$46,,$AD233), 1 / ($AW$23:$AW$46*CM233), N($AK$23:$AK$46&gt;$AI233))
) / 1000</f>
        <v>0</v>
      </c>
      <c r="CP233" s="237">
        <f t="shared" si="420"/>
        <v>0</v>
      </c>
      <c r="CQ233" s="210"/>
    </row>
    <row r="234" spans="1:95" s="76" customFormat="1" ht="14.25" customHeight="1" x14ac:dyDescent="0.2">
      <c r="A234" s="238" t="b">
        <f t="shared" si="227"/>
        <v>0</v>
      </c>
      <c r="B234" s="239">
        <v>212</v>
      </c>
      <c r="C234" s="258"/>
      <c r="D234" s="258"/>
      <c r="E234" s="240"/>
      <c r="F234" s="241" t="str">
        <f>IF(ISBLANK(E234), "", VLOOKUP(E234, Z!$A$2:$C$4127, 3, FALSE))</f>
        <v/>
      </c>
      <c r="G234" s="242"/>
      <c r="H234" s="242"/>
      <c r="I234" s="243"/>
      <c r="J234" s="244"/>
      <c r="K234" s="259"/>
      <c r="L234" s="260"/>
      <c r="M234" s="247" t="str" cm="1">
        <f t="array" ref="M234">IF($K234&gt;0, INDEX(Clean,1+AG234,$C$1), "")</f>
        <v/>
      </c>
      <c r="N234" s="245"/>
      <c r="O234" s="245"/>
      <c r="P234" s="246"/>
      <c r="Q234" s="248">
        <f t="shared" si="397"/>
        <v>0</v>
      </c>
      <c r="R234" s="247" t="str" cm="1">
        <f t="array" ref="R234">IF($K234&gt;0, INDEX(Clean,1+AH234,$C$1), "")</f>
        <v/>
      </c>
      <c r="S234" s="245"/>
      <c r="T234" s="245"/>
      <c r="U234" s="246"/>
      <c r="V234" s="248">
        <f t="shared" si="398"/>
        <v>0</v>
      </c>
      <c r="W234" s="261"/>
      <c r="X234" s="258"/>
      <c r="Y234" s="240"/>
      <c r="Z234" s="241" t="str">
        <f>IF(ISBLANK(Y234), "", VLOOKUP(Y234, Z!$A$2:$C$4127, 3, FALSE))</f>
        <v/>
      </c>
      <c r="AA234" s="262"/>
      <c r="AB234" s="249">
        <f t="shared" si="424"/>
        <v>0</v>
      </c>
      <c r="AC234" s="210"/>
      <c r="AD234" s="236">
        <f t="shared" si="421"/>
        <v>1</v>
      </c>
      <c r="AE234" s="236">
        <f t="shared" si="422"/>
        <v>1</v>
      </c>
      <c r="AF234" s="236">
        <f t="shared" si="423"/>
        <v>0</v>
      </c>
      <c r="AG234" s="236">
        <v>1</v>
      </c>
      <c r="AH234" s="236">
        <v>0</v>
      </c>
      <c r="AI234" s="236">
        <f t="shared" si="399"/>
        <v>-100</v>
      </c>
      <c r="AJ234" s="210"/>
      <c r="AK234" s="254"/>
      <c r="AL234" s="254"/>
      <c r="AM234" s="255"/>
      <c r="AN234" s="255"/>
      <c r="AO234" s="255"/>
      <c r="AP234" s="255"/>
      <c r="AQ234" s="255"/>
      <c r="AR234" s="255"/>
      <c r="AS234" s="255"/>
      <c r="AT234" s="255"/>
      <c r="AU234" s="255"/>
      <c r="AV234" s="255"/>
      <c r="AW234" s="255"/>
      <c r="AX234" s="210"/>
      <c r="AY234" s="236" cm="1">
        <f t="array" ref="AY234">INDEX(Use, $AD234, 4)</f>
        <v>7</v>
      </c>
      <c r="AZ234" s="236">
        <f t="shared" si="400"/>
        <v>32</v>
      </c>
      <c r="BA234" s="236">
        <f t="shared" si="239"/>
        <v>13</v>
      </c>
      <c r="BB234" s="236">
        <f t="shared" si="240"/>
        <v>0</v>
      </c>
      <c r="BC234" s="252" cm="1">
        <f t="array" ref="BC234">K234/IF($L234&gt;0, INDEX($AO$23:$AU$77, $L234+20, $AD234), 1)</f>
        <v>0</v>
      </c>
      <c r="BD234" s="237">
        <f t="shared" si="401"/>
        <v>0</v>
      </c>
      <c r="BE234" s="236">
        <v>35</v>
      </c>
      <c r="BF234" s="237">
        <f t="shared" si="402"/>
        <v>52.55</v>
      </c>
      <c r="BG234" s="253">
        <f t="shared" si="403"/>
        <v>2.7676728869374316</v>
      </c>
      <c r="BH234" s="253" cm="1">
        <f t="array" ref="BH234">$BC234 * SUMPRODUCT(INDEX($AL$77:$AN$82,,$AE234),INDEX($AO$77:$AU$82,,$AD234), N($AK$77:$AK$82&gt;$AI234)) / BG234 / 1000</f>
        <v>0</v>
      </c>
      <c r="BI234" s="250">
        <f t="shared" si="244"/>
        <v>30</v>
      </c>
      <c r="BJ234" s="237">
        <f t="shared" si="404"/>
        <v>46.033333333333331</v>
      </c>
      <c r="BK234" s="253">
        <f t="shared" si="405"/>
        <v>3.2297395388556791</v>
      </c>
      <c r="BL234" s="253" cm="1">
        <f t="array" ref="BL234">$BC234 * IF($AD234&lt;=2,
SUMPRODUCT(INDEX($AL$72:$AN$76,,$AE234), INDEX($AO$72:$AU$76,,$AD234), 1 / ($AV$72:$AV$76*BK234 + (1-$AV$72:$AV$76)*BG234), N($AK$72:$AK$76&gt;$AI234)),
SUMPRODUCT(INDEX($AL$67:$AN$76,,$AE234), INDEX($AO$67:$AU$76,,$AD234), 1 / ($AW$67:$AW$76*BK234 + (1-$AW$67:$AW$76)*BG234), N($AK$67:$AK$76&gt;$AI234))
) / 1000</f>
        <v>0</v>
      </c>
      <c r="BM234" s="250">
        <f t="shared" si="247"/>
        <v>25</v>
      </c>
      <c r="BN234" s="237">
        <f t="shared" si="406"/>
        <v>39.516666666666666</v>
      </c>
      <c r="BO234" s="253">
        <f t="shared" si="407"/>
        <v>3.877011788826243</v>
      </c>
      <c r="BP234" s="253" cm="1">
        <f t="array" ref="BP234">$BC234 * IF($AD234&lt;=2,
SUMPRODUCT(INDEX($AL$67:$AN$71,,$AE234), INDEX($AO$67:$AU$71,,$AD234), 1 / ($AV$67:$AV$71*BO234 + (1-$AV$67:$AV$71)*BK234), N($AK$67:$AK$71&gt;$AI234)),
SUMPRODUCT(INDEX($AL$57:$AN$66,,$AE234), INDEX($AO$57:$AU$66,,$AD234), 1 / ($AW$57:$AW$66*BO234 + (1-$AW$57:$AW$66)*BK234), N($AK$57:$AK$66&gt;$AI234))
) / 1000</f>
        <v>0</v>
      </c>
      <c r="BQ234" s="250">
        <f t="shared" si="250"/>
        <v>20</v>
      </c>
      <c r="BR234" s="237">
        <f t="shared" si="408"/>
        <v>33</v>
      </c>
      <c r="BS234" s="253">
        <f t="shared" si="409"/>
        <v>4.8487499999999999</v>
      </c>
      <c r="BT234" s="253" cm="1">
        <f t="array" ref="BT234">$BC234 * IF($AD234&lt;=2,
SUMPRODUCT(INDEX($AL$62:$AN$66,,$AE234), INDEX($AO$62:$AU$66,,$AD234), 1 / ($AV$62:$AV$66*BS234 + (1-$AV$62:$AV$66)*BO234), N($AK$62:$AK$66&gt;$AI234)),
SUMPRODUCT(INDEX($AL$47:$AN$56,,$AE234), INDEX($AO$47:$AU$56,,$AD234), 1 / ($AW$47:$AW$56*BS234 + (1-$AW$47:$AW$56)*BO234), N($AK$47:$AK$56&gt;$AI234))
) / 1000</f>
        <v>0</v>
      </c>
      <c r="BU234" s="253" cm="1">
        <f t="array" ref="BU234">$BC234 * IF($AD234&lt;=2,
SUMPRODUCT(INDEX($AL$23:$AN$61,,$AE234), INDEX($AO$23:$AU$61,,$AD234), 1 / ($AV$23:$AV$61*BS234), N($AK$23:$AK$61&gt;$AI234)),
SUMPRODUCT(INDEX($AL$23:$AN$46,,$AE234), INDEX($AO$23:$AU$46,,$AD234), 1 / ($AW$23:$AW$46*BS234), N($AK$23:$AK$46&gt;$AI234))
) / 1000</f>
        <v>0</v>
      </c>
      <c r="BV234" s="237">
        <f t="shared" si="410"/>
        <v>0</v>
      </c>
      <c r="BW234" s="210"/>
      <c r="BX234" s="237">
        <f t="shared" si="411"/>
        <v>0</v>
      </c>
      <c r="BY234" s="236">
        <v>35</v>
      </c>
      <c r="BZ234" s="237">
        <f t="shared" si="412"/>
        <v>48</v>
      </c>
      <c r="CA234" s="253">
        <f t="shared" si="413"/>
        <v>3.0748170731707316</v>
      </c>
      <c r="CB234" s="253" cm="1">
        <f t="array" ref="CB234">$BC234 * SUMPRODUCT(INDEX($AL$77:$AN$82,,$AE234),INDEX($AO$77:$AU$82,,$AD234), N($AK$77:$AK$82&gt;$AI234)) / CA234 / 1000</f>
        <v>0</v>
      </c>
      <c r="CC234" s="250">
        <f t="shared" si="257"/>
        <v>30</v>
      </c>
      <c r="CD234" s="237">
        <f t="shared" si="414"/>
        <v>43</v>
      </c>
      <c r="CE234" s="253">
        <f t="shared" si="415"/>
        <v>3.5018750000000001</v>
      </c>
      <c r="CF234" s="253" cm="1">
        <f t="array" ref="CF234">$BC234 * IF($AD234&lt;=2,
SUMPRODUCT(INDEX($AL$72:$AN$76,,$AE234), INDEX($AO$72:$AU$76,,$AD234), 1 / ($AV$72:$AV$76*CE234 + (1-$AV$72:$AV$76)*CA234), N($AK$72:$AK$76&gt;$AI234)),
SUMPRODUCT(INDEX($AL$67:$AN$76,,$AE234), INDEX($AO$67:$AU$76,,$AD234), 1 / ($AW$67:$AW$76*CE234 + (1-$AW$67:$AW$76)*CA234), N($AK$67:$AK$76&gt;$AI234))
) / 1000</f>
        <v>0</v>
      </c>
      <c r="CG234" s="250">
        <f t="shared" si="260"/>
        <v>25</v>
      </c>
      <c r="CH234" s="237">
        <f t="shared" si="416"/>
        <v>38</v>
      </c>
      <c r="CI234" s="253">
        <f t="shared" si="417"/>
        <v>4.0666935483870965</v>
      </c>
      <c r="CJ234" s="253" cm="1">
        <f t="array" ref="CJ234">$BC234 * IF($AD234&lt;=2,
SUMPRODUCT(INDEX($AL$67:$AN$71,,$AE234), INDEX($AO$67:$AU$71,,$AD234), 1 / ($AV$67:$AV$71*CI234 + (1-$AV$67:$AV$71)*CE234), N($AK$67:$AK$71&gt;$AI234)),
SUMPRODUCT(INDEX($AL$57:$AN$66,,$AE234), INDEX($AO$57:$AU$66,,$AD234), 1 / ($AW$57:$AW$66*CI234 + (1-$AW$57:$AW$66)*CE234), N($AK$57:$AK$66&gt;$AI234))
) / 1000</f>
        <v>0</v>
      </c>
      <c r="CK234" s="250">
        <f t="shared" si="263"/>
        <v>20</v>
      </c>
      <c r="CL234" s="237">
        <f t="shared" si="418"/>
        <v>33</v>
      </c>
      <c r="CM234" s="253">
        <f t="shared" si="419"/>
        <v>4.8487499999999999</v>
      </c>
      <c r="CN234" s="253" cm="1">
        <f t="array" ref="CN234">$BC234 * IF($AD234&lt;=2,
SUMPRODUCT(INDEX($AL$62:$AN$66,,$AE234), INDEX($AO$62:$AU$66,,$AD234), 1 / ($AV$62:$AV$66*CM234 + (1-$AV$62:$AV$66)*CI234), N($AK$62:$AK$66&gt;$AI234)),
SUMPRODUCT(INDEX($AL$47:$AN$56,,$AE234), INDEX($AO$47:$AU$56,,$AD234), 1 / ($AW$47:$AW$56*CM234 + (1-$AW$47:$AW$56)*CI234), N($AK$47:$AK$56&gt;$AI234))
) / 1000</f>
        <v>0</v>
      </c>
      <c r="CO234" s="253" cm="1">
        <f t="array" ref="CO234">$BC234 * IF($AD234&lt;=2,
SUMPRODUCT(INDEX($AL$23:$AN$61,,$AE234), INDEX($AO$23:$AU$61,,$AD234), 1 / ($AV$23:$AV$61*CM234), N($AK$23:$AK$61&gt;$AI234)),
SUMPRODUCT(INDEX($AL$23:$AN$46,,$AE234), INDEX($AO$23:$AU$46,,$AD234), 1 / ($AW$23:$AW$46*CM234), N($AK$23:$AK$46&gt;$AI234))
) / 1000</f>
        <v>0</v>
      </c>
      <c r="CP234" s="237">
        <f t="shared" si="420"/>
        <v>0</v>
      </c>
      <c r="CQ234" s="210"/>
    </row>
    <row r="235" spans="1:95" s="76" customFormat="1" ht="14.25" customHeight="1" x14ac:dyDescent="0.2">
      <c r="A235" s="238" t="b">
        <f t="shared" si="227"/>
        <v>0</v>
      </c>
      <c r="B235" s="239">
        <v>213</v>
      </c>
      <c r="C235" s="258"/>
      <c r="D235" s="258"/>
      <c r="E235" s="240"/>
      <c r="F235" s="241" t="str">
        <f>IF(ISBLANK(E235), "", VLOOKUP(E235, Z!$A$2:$C$4127, 3, FALSE))</f>
        <v/>
      </c>
      <c r="G235" s="242"/>
      <c r="H235" s="242"/>
      <c r="I235" s="243"/>
      <c r="J235" s="244"/>
      <c r="K235" s="259"/>
      <c r="L235" s="260"/>
      <c r="M235" s="247" t="str" cm="1">
        <f t="array" ref="M235">IF($K235&gt;0, INDEX(Clean,1+AG235,$C$1), "")</f>
        <v/>
      </c>
      <c r="N235" s="245"/>
      <c r="O235" s="245"/>
      <c r="P235" s="246"/>
      <c r="Q235" s="248">
        <f t="shared" si="397"/>
        <v>0</v>
      </c>
      <c r="R235" s="247" t="str" cm="1">
        <f t="array" ref="R235">IF($K235&gt;0, INDEX(Clean,1+AH235,$C$1), "")</f>
        <v/>
      </c>
      <c r="S235" s="245"/>
      <c r="T235" s="245"/>
      <c r="U235" s="246"/>
      <c r="V235" s="248">
        <f t="shared" si="398"/>
        <v>0</v>
      </c>
      <c r="W235" s="261"/>
      <c r="X235" s="258"/>
      <c r="Y235" s="240"/>
      <c r="Z235" s="241" t="str">
        <f>IF(ISBLANK(Y235), "", VLOOKUP(Y235, Z!$A$2:$C$4127, 3, FALSE))</f>
        <v/>
      </c>
      <c r="AA235" s="262"/>
      <c r="AB235" s="249">
        <f t="shared" si="424"/>
        <v>0</v>
      </c>
      <c r="AC235" s="210"/>
      <c r="AD235" s="236">
        <f t="shared" si="421"/>
        <v>1</v>
      </c>
      <c r="AE235" s="236">
        <f t="shared" si="422"/>
        <v>1</v>
      </c>
      <c r="AF235" s="236">
        <f t="shared" si="423"/>
        <v>0</v>
      </c>
      <c r="AG235" s="236">
        <v>1</v>
      </c>
      <c r="AH235" s="236">
        <v>0</v>
      </c>
      <c r="AI235" s="236">
        <f t="shared" si="399"/>
        <v>-100</v>
      </c>
      <c r="AJ235" s="210"/>
      <c r="AK235" s="254"/>
      <c r="AL235" s="254"/>
      <c r="AM235" s="255"/>
      <c r="AN235" s="255"/>
      <c r="AO235" s="255"/>
      <c r="AP235" s="255"/>
      <c r="AQ235" s="255"/>
      <c r="AR235" s="255"/>
      <c r="AS235" s="255"/>
      <c r="AT235" s="255"/>
      <c r="AU235" s="255"/>
      <c r="AV235" s="255"/>
      <c r="AW235" s="255"/>
      <c r="AX235" s="210"/>
      <c r="AY235" s="236" cm="1">
        <f t="array" ref="AY235">INDEX(Use, $AD235, 4)</f>
        <v>7</v>
      </c>
      <c r="AZ235" s="236">
        <f t="shared" si="400"/>
        <v>32</v>
      </c>
      <c r="BA235" s="236">
        <f t="shared" si="239"/>
        <v>13</v>
      </c>
      <c r="BB235" s="236">
        <f t="shared" si="240"/>
        <v>0</v>
      </c>
      <c r="BC235" s="252" cm="1">
        <f t="array" ref="BC235">K235/IF($L235&gt;0, INDEX($AO$23:$AU$77, $L235+20, $AD235), 1)</f>
        <v>0</v>
      </c>
      <c r="BD235" s="237">
        <f t="shared" si="401"/>
        <v>0</v>
      </c>
      <c r="BE235" s="236">
        <v>35</v>
      </c>
      <c r="BF235" s="237">
        <f t="shared" si="402"/>
        <v>52.55</v>
      </c>
      <c r="BG235" s="253">
        <f t="shared" si="403"/>
        <v>2.7676728869374316</v>
      </c>
      <c r="BH235" s="253" cm="1">
        <f t="array" ref="BH235">$BC235 * SUMPRODUCT(INDEX($AL$77:$AN$82,,$AE235),INDEX($AO$77:$AU$82,,$AD235), N($AK$77:$AK$82&gt;$AI235)) / BG235 / 1000</f>
        <v>0</v>
      </c>
      <c r="BI235" s="250">
        <f t="shared" si="244"/>
        <v>30</v>
      </c>
      <c r="BJ235" s="237">
        <f t="shared" si="404"/>
        <v>46.033333333333331</v>
      </c>
      <c r="BK235" s="253">
        <f t="shared" si="405"/>
        <v>3.2297395388556791</v>
      </c>
      <c r="BL235" s="253" cm="1">
        <f t="array" ref="BL235">$BC235 * IF($AD235&lt;=2,
SUMPRODUCT(INDEX($AL$72:$AN$76,,$AE235), INDEX($AO$72:$AU$76,,$AD235), 1 / ($AV$72:$AV$76*BK235 + (1-$AV$72:$AV$76)*BG235), N($AK$72:$AK$76&gt;$AI235)),
SUMPRODUCT(INDEX($AL$67:$AN$76,,$AE235), INDEX($AO$67:$AU$76,,$AD235), 1 / ($AW$67:$AW$76*BK235 + (1-$AW$67:$AW$76)*BG235), N($AK$67:$AK$76&gt;$AI235))
) / 1000</f>
        <v>0</v>
      </c>
      <c r="BM235" s="250">
        <f t="shared" si="247"/>
        <v>25</v>
      </c>
      <c r="BN235" s="237">
        <f t="shared" si="406"/>
        <v>39.516666666666666</v>
      </c>
      <c r="BO235" s="253">
        <f t="shared" si="407"/>
        <v>3.877011788826243</v>
      </c>
      <c r="BP235" s="253" cm="1">
        <f t="array" ref="BP235">$BC235 * IF($AD235&lt;=2,
SUMPRODUCT(INDEX($AL$67:$AN$71,,$AE235), INDEX($AO$67:$AU$71,,$AD235), 1 / ($AV$67:$AV$71*BO235 + (1-$AV$67:$AV$71)*BK235), N($AK$67:$AK$71&gt;$AI235)),
SUMPRODUCT(INDEX($AL$57:$AN$66,,$AE235), INDEX($AO$57:$AU$66,,$AD235), 1 / ($AW$57:$AW$66*BO235 + (1-$AW$57:$AW$66)*BK235), N($AK$57:$AK$66&gt;$AI235))
) / 1000</f>
        <v>0</v>
      </c>
      <c r="BQ235" s="250">
        <f t="shared" si="250"/>
        <v>20</v>
      </c>
      <c r="BR235" s="237">
        <f t="shared" si="408"/>
        <v>33</v>
      </c>
      <c r="BS235" s="253">
        <f t="shared" si="409"/>
        <v>4.8487499999999999</v>
      </c>
      <c r="BT235" s="253" cm="1">
        <f t="array" ref="BT235">$BC235 * IF($AD235&lt;=2,
SUMPRODUCT(INDEX($AL$62:$AN$66,,$AE235), INDEX($AO$62:$AU$66,,$AD235), 1 / ($AV$62:$AV$66*BS235 + (1-$AV$62:$AV$66)*BO235), N($AK$62:$AK$66&gt;$AI235)),
SUMPRODUCT(INDEX($AL$47:$AN$56,,$AE235), INDEX($AO$47:$AU$56,,$AD235), 1 / ($AW$47:$AW$56*BS235 + (1-$AW$47:$AW$56)*BO235), N($AK$47:$AK$56&gt;$AI235))
) / 1000</f>
        <v>0</v>
      </c>
      <c r="BU235" s="253" cm="1">
        <f t="array" ref="BU235">$BC235 * IF($AD235&lt;=2,
SUMPRODUCT(INDEX($AL$23:$AN$61,,$AE235), INDEX($AO$23:$AU$61,,$AD235), 1 / ($AV$23:$AV$61*BS235), N($AK$23:$AK$61&gt;$AI235)),
SUMPRODUCT(INDEX($AL$23:$AN$46,,$AE235), INDEX($AO$23:$AU$46,,$AD235), 1 / ($AW$23:$AW$46*BS235), N($AK$23:$AK$46&gt;$AI235))
) / 1000</f>
        <v>0</v>
      </c>
      <c r="BV235" s="237">
        <f t="shared" si="410"/>
        <v>0</v>
      </c>
      <c r="BW235" s="210"/>
      <c r="BX235" s="237">
        <f t="shared" si="411"/>
        <v>0</v>
      </c>
      <c r="BY235" s="236">
        <v>35</v>
      </c>
      <c r="BZ235" s="237">
        <f t="shared" si="412"/>
        <v>48</v>
      </c>
      <c r="CA235" s="253">
        <f t="shared" si="413"/>
        <v>3.0748170731707316</v>
      </c>
      <c r="CB235" s="253" cm="1">
        <f t="array" ref="CB235">$BC235 * SUMPRODUCT(INDEX($AL$77:$AN$82,,$AE235),INDEX($AO$77:$AU$82,,$AD235), N($AK$77:$AK$82&gt;$AI235)) / CA235 / 1000</f>
        <v>0</v>
      </c>
      <c r="CC235" s="250">
        <f t="shared" si="257"/>
        <v>30</v>
      </c>
      <c r="CD235" s="237">
        <f t="shared" si="414"/>
        <v>43</v>
      </c>
      <c r="CE235" s="253">
        <f t="shared" si="415"/>
        <v>3.5018750000000001</v>
      </c>
      <c r="CF235" s="253" cm="1">
        <f t="array" ref="CF235">$BC235 * IF($AD235&lt;=2,
SUMPRODUCT(INDEX($AL$72:$AN$76,,$AE235), INDEX($AO$72:$AU$76,,$AD235), 1 / ($AV$72:$AV$76*CE235 + (1-$AV$72:$AV$76)*CA235), N($AK$72:$AK$76&gt;$AI235)),
SUMPRODUCT(INDEX($AL$67:$AN$76,,$AE235), INDEX($AO$67:$AU$76,,$AD235), 1 / ($AW$67:$AW$76*CE235 + (1-$AW$67:$AW$76)*CA235), N($AK$67:$AK$76&gt;$AI235))
) / 1000</f>
        <v>0</v>
      </c>
      <c r="CG235" s="250">
        <f t="shared" si="260"/>
        <v>25</v>
      </c>
      <c r="CH235" s="237">
        <f t="shared" si="416"/>
        <v>38</v>
      </c>
      <c r="CI235" s="253">
        <f t="shared" si="417"/>
        <v>4.0666935483870965</v>
      </c>
      <c r="CJ235" s="253" cm="1">
        <f t="array" ref="CJ235">$BC235 * IF($AD235&lt;=2,
SUMPRODUCT(INDEX($AL$67:$AN$71,,$AE235), INDEX($AO$67:$AU$71,,$AD235), 1 / ($AV$67:$AV$71*CI235 + (1-$AV$67:$AV$71)*CE235), N($AK$67:$AK$71&gt;$AI235)),
SUMPRODUCT(INDEX($AL$57:$AN$66,,$AE235), INDEX($AO$57:$AU$66,,$AD235), 1 / ($AW$57:$AW$66*CI235 + (1-$AW$57:$AW$66)*CE235), N($AK$57:$AK$66&gt;$AI235))
) / 1000</f>
        <v>0</v>
      </c>
      <c r="CK235" s="250">
        <f t="shared" si="263"/>
        <v>20</v>
      </c>
      <c r="CL235" s="237">
        <f t="shared" si="418"/>
        <v>33</v>
      </c>
      <c r="CM235" s="253">
        <f t="shared" si="419"/>
        <v>4.8487499999999999</v>
      </c>
      <c r="CN235" s="253" cm="1">
        <f t="array" ref="CN235">$BC235 * IF($AD235&lt;=2,
SUMPRODUCT(INDEX($AL$62:$AN$66,,$AE235), INDEX($AO$62:$AU$66,,$AD235), 1 / ($AV$62:$AV$66*CM235 + (1-$AV$62:$AV$66)*CI235), N($AK$62:$AK$66&gt;$AI235)),
SUMPRODUCT(INDEX($AL$47:$AN$56,,$AE235), INDEX($AO$47:$AU$56,,$AD235), 1 / ($AW$47:$AW$56*CM235 + (1-$AW$47:$AW$56)*CI235), N($AK$47:$AK$56&gt;$AI235))
) / 1000</f>
        <v>0</v>
      </c>
      <c r="CO235" s="253" cm="1">
        <f t="array" ref="CO235">$BC235 * IF($AD235&lt;=2,
SUMPRODUCT(INDEX($AL$23:$AN$61,,$AE235), INDEX($AO$23:$AU$61,,$AD235), 1 / ($AV$23:$AV$61*CM235), N($AK$23:$AK$61&gt;$AI235)),
SUMPRODUCT(INDEX($AL$23:$AN$46,,$AE235), INDEX($AO$23:$AU$46,,$AD235), 1 / ($AW$23:$AW$46*CM235), N($AK$23:$AK$46&gt;$AI235))
) / 1000</f>
        <v>0</v>
      </c>
      <c r="CP235" s="237">
        <f t="shared" si="420"/>
        <v>0</v>
      </c>
      <c r="CQ235" s="210"/>
    </row>
    <row r="236" spans="1:95" s="76" customFormat="1" ht="14.25" customHeight="1" x14ac:dyDescent="0.2">
      <c r="A236" s="238" t="b">
        <f t="shared" si="227"/>
        <v>0</v>
      </c>
      <c r="B236" s="239">
        <v>214</v>
      </c>
      <c r="C236" s="258"/>
      <c r="D236" s="258"/>
      <c r="E236" s="240"/>
      <c r="F236" s="241" t="str">
        <f>IF(ISBLANK(E236), "", VLOOKUP(E236, Z!$A$2:$C$4127, 3, FALSE))</f>
        <v/>
      </c>
      <c r="G236" s="242"/>
      <c r="H236" s="242"/>
      <c r="I236" s="243"/>
      <c r="J236" s="244"/>
      <c r="K236" s="259"/>
      <c r="L236" s="260"/>
      <c r="M236" s="247" t="str" cm="1">
        <f t="array" ref="M236">IF($K236&gt;0, INDEX(Clean,1+AG236,$C$1), "")</f>
        <v/>
      </c>
      <c r="N236" s="245"/>
      <c r="O236" s="245"/>
      <c r="P236" s="246"/>
      <c r="Q236" s="248">
        <f t="shared" si="397"/>
        <v>0</v>
      </c>
      <c r="R236" s="247" t="str" cm="1">
        <f t="array" ref="R236">IF($K236&gt;0, INDEX(Clean,1+AH236,$C$1), "")</f>
        <v/>
      </c>
      <c r="S236" s="245"/>
      <c r="T236" s="245"/>
      <c r="U236" s="246"/>
      <c r="V236" s="248">
        <f t="shared" si="398"/>
        <v>0</v>
      </c>
      <c r="W236" s="261"/>
      <c r="X236" s="258"/>
      <c r="Y236" s="240"/>
      <c r="Z236" s="241" t="str">
        <f>IF(ISBLANK(Y236), "", VLOOKUP(Y236, Z!$A$2:$C$4127, 3, FALSE))</f>
        <v/>
      </c>
      <c r="AA236" s="262"/>
      <c r="AB236" s="249">
        <f t="shared" si="424"/>
        <v>0</v>
      </c>
      <c r="AC236" s="210"/>
      <c r="AD236" s="236">
        <f t="shared" si="421"/>
        <v>1</v>
      </c>
      <c r="AE236" s="236">
        <f t="shared" si="422"/>
        <v>1</v>
      </c>
      <c r="AF236" s="236">
        <f t="shared" si="423"/>
        <v>0</v>
      </c>
      <c r="AG236" s="236">
        <v>1</v>
      </c>
      <c r="AH236" s="236">
        <v>0</v>
      </c>
      <c r="AI236" s="236">
        <f t="shared" si="399"/>
        <v>-100</v>
      </c>
      <c r="AJ236" s="210"/>
      <c r="AK236" s="254"/>
      <c r="AL236" s="254"/>
      <c r="AM236" s="255"/>
      <c r="AN236" s="255"/>
      <c r="AO236" s="255"/>
      <c r="AP236" s="255"/>
      <c r="AQ236" s="255"/>
      <c r="AR236" s="255"/>
      <c r="AS236" s="255"/>
      <c r="AT236" s="255"/>
      <c r="AU236" s="255"/>
      <c r="AV236" s="255"/>
      <c r="AW236" s="255"/>
      <c r="AX236" s="210"/>
      <c r="AY236" s="236" cm="1">
        <f t="array" ref="AY236">INDEX(Use, $AD236, 4)</f>
        <v>7</v>
      </c>
      <c r="AZ236" s="236">
        <f t="shared" si="400"/>
        <v>32</v>
      </c>
      <c r="BA236" s="236">
        <f t="shared" si="239"/>
        <v>13</v>
      </c>
      <c r="BB236" s="236">
        <f t="shared" si="240"/>
        <v>0</v>
      </c>
      <c r="BC236" s="252" cm="1">
        <f t="array" ref="BC236">K236/IF($L236&gt;0, INDEX($AO$23:$AU$77, $L236+20, $AD236), 1)</f>
        <v>0</v>
      </c>
      <c r="BD236" s="237">
        <f t="shared" si="401"/>
        <v>0</v>
      </c>
      <c r="BE236" s="236">
        <v>35</v>
      </c>
      <c r="BF236" s="237">
        <f t="shared" si="402"/>
        <v>52.55</v>
      </c>
      <c r="BG236" s="253">
        <f t="shared" si="403"/>
        <v>2.7676728869374316</v>
      </c>
      <c r="BH236" s="253" cm="1">
        <f t="array" ref="BH236">$BC236 * SUMPRODUCT(INDEX($AL$77:$AN$82,,$AE236),INDEX($AO$77:$AU$82,,$AD236), N($AK$77:$AK$82&gt;$AI236)) / BG236 / 1000</f>
        <v>0</v>
      </c>
      <c r="BI236" s="250">
        <f t="shared" si="244"/>
        <v>30</v>
      </c>
      <c r="BJ236" s="237">
        <f t="shared" si="404"/>
        <v>46.033333333333331</v>
      </c>
      <c r="BK236" s="253">
        <f t="shared" si="405"/>
        <v>3.2297395388556791</v>
      </c>
      <c r="BL236" s="253" cm="1">
        <f t="array" ref="BL236">$BC236 * IF($AD236&lt;=2,
SUMPRODUCT(INDEX($AL$72:$AN$76,,$AE236), INDEX($AO$72:$AU$76,,$AD236), 1 / ($AV$72:$AV$76*BK236 + (1-$AV$72:$AV$76)*BG236), N($AK$72:$AK$76&gt;$AI236)),
SUMPRODUCT(INDEX($AL$67:$AN$76,,$AE236), INDEX($AO$67:$AU$76,,$AD236), 1 / ($AW$67:$AW$76*BK236 + (1-$AW$67:$AW$76)*BG236), N($AK$67:$AK$76&gt;$AI236))
) / 1000</f>
        <v>0</v>
      </c>
      <c r="BM236" s="250">
        <f t="shared" si="247"/>
        <v>25</v>
      </c>
      <c r="BN236" s="237">
        <f t="shared" si="406"/>
        <v>39.516666666666666</v>
      </c>
      <c r="BO236" s="253">
        <f t="shared" si="407"/>
        <v>3.877011788826243</v>
      </c>
      <c r="BP236" s="253" cm="1">
        <f t="array" ref="BP236">$BC236 * IF($AD236&lt;=2,
SUMPRODUCT(INDEX($AL$67:$AN$71,,$AE236), INDEX($AO$67:$AU$71,,$AD236), 1 / ($AV$67:$AV$71*BO236 + (1-$AV$67:$AV$71)*BK236), N($AK$67:$AK$71&gt;$AI236)),
SUMPRODUCT(INDEX($AL$57:$AN$66,,$AE236), INDEX($AO$57:$AU$66,,$AD236), 1 / ($AW$57:$AW$66*BO236 + (1-$AW$57:$AW$66)*BK236), N($AK$57:$AK$66&gt;$AI236))
) / 1000</f>
        <v>0</v>
      </c>
      <c r="BQ236" s="250">
        <f t="shared" si="250"/>
        <v>20</v>
      </c>
      <c r="BR236" s="237">
        <f t="shared" si="408"/>
        <v>33</v>
      </c>
      <c r="BS236" s="253">
        <f t="shared" si="409"/>
        <v>4.8487499999999999</v>
      </c>
      <c r="BT236" s="253" cm="1">
        <f t="array" ref="BT236">$BC236 * IF($AD236&lt;=2,
SUMPRODUCT(INDEX($AL$62:$AN$66,,$AE236), INDEX($AO$62:$AU$66,,$AD236), 1 / ($AV$62:$AV$66*BS236 + (1-$AV$62:$AV$66)*BO236), N($AK$62:$AK$66&gt;$AI236)),
SUMPRODUCT(INDEX($AL$47:$AN$56,,$AE236), INDEX($AO$47:$AU$56,,$AD236), 1 / ($AW$47:$AW$56*BS236 + (1-$AW$47:$AW$56)*BO236), N($AK$47:$AK$56&gt;$AI236))
) / 1000</f>
        <v>0</v>
      </c>
      <c r="BU236" s="253" cm="1">
        <f t="array" ref="BU236">$BC236 * IF($AD236&lt;=2,
SUMPRODUCT(INDEX($AL$23:$AN$61,,$AE236), INDEX($AO$23:$AU$61,,$AD236), 1 / ($AV$23:$AV$61*BS236), N($AK$23:$AK$61&gt;$AI236)),
SUMPRODUCT(INDEX($AL$23:$AN$46,,$AE236), INDEX($AO$23:$AU$46,,$AD236), 1 / ($AW$23:$AW$46*BS236), N($AK$23:$AK$46&gt;$AI236))
) / 1000</f>
        <v>0</v>
      </c>
      <c r="BV236" s="237">
        <f t="shared" si="410"/>
        <v>0</v>
      </c>
      <c r="BW236" s="210"/>
      <c r="BX236" s="237">
        <f t="shared" si="411"/>
        <v>0</v>
      </c>
      <c r="BY236" s="236">
        <v>35</v>
      </c>
      <c r="BZ236" s="237">
        <f t="shared" si="412"/>
        <v>48</v>
      </c>
      <c r="CA236" s="253">
        <f t="shared" si="413"/>
        <v>3.0748170731707316</v>
      </c>
      <c r="CB236" s="253" cm="1">
        <f t="array" ref="CB236">$BC236 * SUMPRODUCT(INDEX($AL$77:$AN$82,,$AE236),INDEX($AO$77:$AU$82,,$AD236), N($AK$77:$AK$82&gt;$AI236)) / CA236 / 1000</f>
        <v>0</v>
      </c>
      <c r="CC236" s="250">
        <f t="shared" si="257"/>
        <v>30</v>
      </c>
      <c r="CD236" s="237">
        <f t="shared" si="414"/>
        <v>43</v>
      </c>
      <c r="CE236" s="253">
        <f t="shared" si="415"/>
        <v>3.5018750000000001</v>
      </c>
      <c r="CF236" s="253" cm="1">
        <f t="array" ref="CF236">$BC236 * IF($AD236&lt;=2,
SUMPRODUCT(INDEX($AL$72:$AN$76,,$AE236), INDEX($AO$72:$AU$76,,$AD236), 1 / ($AV$72:$AV$76*CE236 + (1-$AV$72:$AV$76)*CA236), N($AK$72:$AK$76&gt;$AI236)),
SUMPRODUCT(INDEX($AL$67:$AN$76,,$AE236), INDEX($AO$67:$AU$76,,$AD236), 1 / ($AW$67:$AW$76*CE236 + (1-$AW$67:$AW$76)*CA236), N($AK$67:$AK$76&gt;$AI236))
) / 1000</f>
        <v>0</v>
      </c>
      <c r="CG236" s="250">
        <f t="shared" si="260"/>
        <v>25</v>
      </c>
      <c r="CH236" s="237">
        <f t="shared" si="416"/>
        <v>38</v>
      </c>
      <c r="CI236" s="253">
        <f t="shared" si="417"/>
        <v>4.0666935483870965</v>
      </c>
      <c r="CJ236" s="253" cm="1">
        <f t="array" ref="CJ236">$BC236 * IF($AD236&lt;=2,
SUMPRODUCT(INDEX($AL$67:$AN$71,,$AE236), INDEX($AO$67:$AU$71,,$AD236), 1 / ($AV$67:$AV$71*CI236 + (1-$AV$67:$AV$71)*CE236), N($AK$67:$AK$71&gt;$AI236)),
SUMPRODUCT(INDEX($AL$57:$AN$66,,$AE236), INDEX($AO$57:$AU$66,,$AD236), 1 / ($AW$57:$AW$66*CI236 + (1-$AW$57:$AW$66)*CE236), N($AK$57:$AK$66&gt;$AI236))
) / 1000</f>
        <v>0</v>
      </c>
      <c r="CK236" s="250">
        <f t="shared" si="263"/>
        <v>20</v>
      </c>
      <c r="CL236" s="237">
        <f t="shared" si="418"/>
        <v>33</v>
      </c>
      <c r="CM236" s="253">
        <f t="shared" si="419"/>
        <v>4.8487499999999999</v>
      </c>
      <c r="CN236" s="253" cm="1">
        <f t="array" ref="CN236">$BC236 * IF($AD236&lt;=2,
SUMPRODUCT(INDEX($AL$62:$AN$66,,$AE236), INDEX($AO$62:$AU$66,,$AD236), 1 / ($AV$62:$AV$66*CM236 + (1-$AV$62:$AV$66)*CI236), N($AK$62:$AK$66&gt;$AI236)),
SUMPRODUCT(INDEX($AL$47:$AN$56,,$AE236), INDEX($AO$47:$AU$56,,$AD236), 1 / ($AW$47:$AW$56*CM236 + (1-$AW$47:$AW$56)*CI236), N($AK$47:$AK$56&gt;$AI236))
) / 1000</f>
        <v>0</v>
      </c>
      <c r="CO236" s="253" cm="1">
        <f t="array" ref="CO236">$BC236 * IF($AD236&lt;=2,
SUMPRODUCT(INDEX($AL$23:$AN$61,,$AE236), INDEX($AO$23:$AU$61,,$AD236), 1 / ($AV$23:$AV$61*CM236), N($AK$23:$AK$61&gt;$AI236)),
SUMPRODUCT(INDEX($AL$23:$AN$46,,$AE236), INDEX($AO$23:$AU$46,,$AD236), 1 / ($AW$23:$AW$46*CM236), N($AK$23:$AK$46&gt;$AI236))
) / 1000</f>
        <v>0</v>
      </c>
      <c r="CP236" s="237">
        <f t="shared" si="420"/>
        <v>0</v>
      </c>
      <c r="CQ236" s="210"/>
    </row>
    <row r="237" spans="1:95" s="76" customFormat="1" ht="14.25" customHeight="1" x14ac:dyDescent="0.2">
      <c r="A237" s="238" t="b">
        <f t="shared" si="227"/>
        <v>0</v>
      </c>
      <c r="B237" s="239">
        <v>215</v>
      </c>
      <c r="C237" s="258"/>
      <c r="D237" s="258"/>
      <c r="E237" s="240"/>
      <c r="F237" s="241" t="str">
        <f>IF(ISBLANK(E237), "", VLOOKUP(E237, Z!$A$2:$C$4127, 3, FALSE))</f>
        <v/>
      </c>
      <c r="G237" s="242"/>
      <c r="H237" s="242"/>
      <c r="I237" s="243"/>
      <c r="J237" s="244"/>
      <c r="K237" s="259"/>
      <c r="L237" s="260"/>
      <c r="M237" s="247" t="str" cm="1">
        <f t="array" ref="M237">IF($K237&gt;0, INDEX(Clean,1+AG237,$C$1), "")</f>
        <v/>
      </c>
      <c r="N237" s="245"/>
      <c r="O237" s="245"/>
      <c r="P237" s="246"/>
      <c r="Q237" s="248">
        <f t="shared" si="397"/>
        <v>0</v>
      </c>
      <c r="R237" s="247" t="str" cm="1">
        <f t="array" ref="R237">IF($K237&gt;0, INDEX(Clean,1+AH237,$C$1), "")</f>
        <v/>
      </c>
      <c r="S237" s="245"/>
      <c r="T237" s="245"/>
      <c r="U237" s="246"/>
      <c r="V237" s="248">
        <f t="shared" si="398"/>
        <v>0</v>
      </c>
      <c r="W237" s="261"/>
      <c r="X237" s="258"/>
      <c r="Y237" s="240"/>
      <c r="Z237" s="241" t="str">
        <f>IF(ISBLANK(Y237), "", VLOOKUP(Y237, Z!$A$2:$C$4127, 3, FALSE))</f>
        <v/>
      </c>
      <c r="AA237" s="262"/>
      <c r="AB237" s="249">
        <f t="shared" si="424"/>
        <v>0</v>
      </c>
      <c r="AC237" s="210"/>
      <c r="AD237" s="236">
        <f t="shared" si="421"/>
        <v>1</v>
      </c>
      <c r="AE237" s="236">
        <f t="shared" si="422"/>
        <v>1</v>
      </c>
      <c r="AF237" s="236">
        <f t="shared" si="423"/>
        <v>0</v>
      </c>
      <c r="AG237" s="236">
        <v>1</v>
      </c>
      <c r="AH237" s="236">
        <v>0</v>
      </c>
      <c r="AI237" s="236">
        <f t="shared" si="399"/>
        <v>-100</v>
      </c>
      <c r="AJ237" s="210"/>
      <c r="AK237" s="254"/>
      <c r="AL237" s="254"/>
      <c r="AM237" s="255"/>
      <c r="AN237" s="255"/>
      <c r="AO237" s="255"/>
      <c r="AP237" s="255"/>
      <c r="AQ237" s="255"/>
      <c r="AR237" s="255"/>
      <c r="AS237" s="255"/>
      <c r="AT237" s="255"/>
      <c r="AU237" s="255"/>
      <c r="AV237" s="255"/>
      <c r="AW237" s="255"/>
      <c r="AX237" s="210"/>
      <c r="AY237" s="236" cm="1">
        <f t="array" ref="AY237">INDEX(Use, $AD237, 4)</f>
        <v>7</v>
      </c>
      <c r="AZ237" s="236">
        <f t="shared" si="400"/>
        <v>32</v>
      </c>
      <c r="BA237" s="236">
        <f t="shared" si="239"/>
        <v>13</v>
      </c>
      <c r="BB237" s="236">
        <f t="shared" si="240"/>
        <v>0</v>
      </c>
      <c r="BC237" s="252" cm="1">
        <f t="array" ref="BC237">K237/IF($L237&gt;0, INDEX($AO$23:$AU$77, $L237+20, $AD237), 1)</f>
        <v>0</v>
      </c>
      <c r="BD237" s="237">
        <f t="shared" si="401"/>
        <v>0</v>
      </c>
      <c r="BE237" s="236">
        <v>35</v>
      </c>
      <c r="BF237" s="237">
        <f t="shared" si="402"/>
        <v>52.55</v>
      </c>
      <c r="BG237" s="253">
        <f t="shared" si="403"/>
        <v>2.7676728869374316</v>
      </c>
      <c r="BH237" s="253" cm="1">
        <f t="array" ref="BH237">$BC237 * SUMPRODUCT(INDEX($AL$77:$AN$82,,$AE237),INDEX($AO$77:$AU$82,,$AD237), N($AK$77:$AK$82&gt;$AI237)) / BG237 / 1000</f>
        <v>0</v>
      </c>
      <c r="BI237" s="250">
        <f t="shared" si="244"/>
        <v>30</v>
      </c>
      <c r="BJ237" s="237">
        <f t="shared" si="404"/>
        <v>46.033333333333331</v>
      </c>
      <c r="BK237" s="253">
        <f t="shared" si="405"/>
        <v>3.2297395388556791</v>
      </c>
      <c r="BL237" s="253" cm="1">
        <f t="array" ref="BL237">$BC237 * IF($AD237&lt;=2,
SUMPRODUCT(INDEX($AL$72:$AN$76,,$AE237), INDEX($AO$72:$AU$76,,$AD237), 1 / ($AV$72:$AV$76*BK237 + (1-$AV$72:$AV$76)*BG237), N($AK$72:$AK$76&gt;$AI237)),
SUMPRODUCT(INDEX($AL$67:$AN$76,,$AE237), INDEX($AO$67:$AU$76,,$AD237), 1 / ($AW$67:$AW$76*BK237 + (1-$AW$67:$AW$76)*BG237), N($AK$67:$AK$76&gt;$AI237))
) / 1000</f>
        <v>0</v>
      </c>
      <c r="BM237" s="250">
        <f t="shared" si="247"/>
        <v>25</v>
      </c>
      <c r="BN237" s="237">
        <f t="shared" si="406"/>
        <v>39.516666666666666</v>
      </c>
      <c r="BO237" s="253">
        <f t="shared" si="407"/>
        <v>3.877011788826243</v>
      </c>
      <c r="BP237" s="253" cm="1">
        <f t="array" ref="BP237">$BC237 * IF($AD237&lt;=2,
SUMPRODUCT(INDEX($AL$67:$AN$71,,$AE237), INDEX($AO$67:$AU$71,,$AD237), 1 / ($AV$67:$AV$71*BO237 + (1-$AV$67:$AV$71)*BK237), N($AK$67:$AK$71&gt;$AI237)),
SUMPRODUCT(INDEX($AL$57:$AN$66,,$AE237), INDEX($AO$57:$AU$66,,$AD237), 1 / ($AW$57:$AW$66*BO237 + (1-$AW$57:$AW$66)*BK237), N($AK$57:$AK$66&gt;$AI237))
) / 1000</f>
        <v>0</v>
      </c>
      <c r="BQ237" s="250">
        <f t="shared" si="250"/>
        <v>20</v>
      </c>
      <c r="BR237" s="237">
        <f t="shared" si="408"/>
        <v>33</v>
      </c>
      <c r="BS237" s="253">
        <f t="shared" si="409"/>
        <v>4.8487499999999999</v>
      </c>
      <c r="BT237" s="253" cm="1">
        <f t="array" ref="BT237">$BC237 * IF($AD237&lt;=2,
SUMPRODUCT(INDEX($AL$62:$AN$66,,$AE237), INDEX($AO$62:$AU$66,,$AD237), 1 / ($AV$62:$AV$66*BS237 + (1-$AV$62:$AV$66)*BO237), N($AK$62:$AK$66&gt;$AI237)),
SUMPRODUCT(INDEX($AL$47:$AN$56,,$AE237), INDEX($AO$47:$AU$56,,$AD237), 1 / ($AW$47:$AW$56*BS237 + (1-$AW$47:$AW$56)*BO237), N($AK$47:$AK$56&gt;$AI237))
) / 1000</f>
        <v>0</v>
      </c>
      <c r="BU237" s="253" cm="1">
        <f t="array" ref="BU237">$BC237 * IF($AD237&lt;=2,
SUMPRODUCT(INDEX($AL$23:$AN$61,,$AE237), INDEX($AO$23:$AU$61,,$AD237), 1 / ($AV$23:$AV$61*BS237), N($AK$23:$AK$61&gt;$AI237)),
SUMPRODUCT(INDEX($AL$23:$AN$46,,$AE237), INDEX($AO$23:$AU$46,,$AD237), 1 / ($AW$23:$AW$46*BS237), N($AK$23:$AK$46&gt;$AI237))
) / 1000</f>
        <v>0</v>
      </c>
      <c r="BV237" s="237">
        <f t="shared" si="410"/>
        <v>0</v>
      </c>
      <c r="BW237" s="210"/>
      <c r="BX237" s="237">
        <f t="shared" si="411"/>
        <v>0</v>
      </c>
      <c r="BY237" s="236">
        <v>35</v>
      </c>
      <c r="BZ237" s="237">
        <f t="shared" si="412"/>
        <v>48</v>
      </c>
      <c r="CA237" s="253">
        <f t="shared" si="413"/>
        <v>3.0748170731707316</v>
      </c>
      <c r="CB237" s="253" cm="1">
        <f t="array" ref="CB237">$BC237 * SUMPRODUCT(INDEX($AL$77:$AN$82,,$AE237),INDEX($AO$77:$AU$82,,$AD237), N($AK$77:$AK$82&gt;$AI237)) / CA237 / 1000</f>
        <v>0</v>
      </c>
      <c r="CC237" s="250">
        <f t="shared" si="257"/>
        <v>30</v>
      </c>
      <c r="CD237" s="237">
        <f t="shared" si="414"/>
        <v>43</v>
      </c>
      <c r="CE237" s="253">
        <f t="shared" si="415"/>
        <v>3.5018750000000001</v>
      </c>
      <c r="CF237" s="253" cm="1">
        <f t="array" ref="CF237">$BC237 * IF($AD237&lt;=2,
SUMPRODUCT(INDEX($AL$72:$AN$76,,$AE237), INDEX($AO$72:$AU$76,,$AD237), 1 / ($AV$72:$AV$76*CE237 + (1-$AV$72:$AV$76)*CA237), N($AK$72:$AK$76&gt;$AI237)),
SUMPRODUCT(INDEX($AL$67:$AN$76,,$AE237), INDEX($AO$67:$AU$76,,$AD237), 1 / ($AW$67:$AW$76*CE237 + (1-$AW$67:$AW$76)*CA237), N($AK$67:$AK$76&gt;$AI237))
) / 1000</f>
        <v>0</v>
      </c>
      <c r="CG237" s="250">
        <f t="shared" si="260"/>
        <v>25</v>
      </c>
      <c r="CH237" s="237">
        <f t="shared" si="416"/>
        <v>38</v>
      </c>
      <c r="CI237" s="253">
        <f t="shared" si="417"/>
        <v>4.0666935483870965</v>
      </c>
      <c r="CJ237" s="253" cm="1">
        <f t="array" ref="CJ237">$BC237 * IF($AD237&lt;=2,
SUMPRODUCT(INDEX($AL$67:$AN$71,,$AE237), INDEX($AO$67:$AU$71,,$AD237), 1 / ($AV$67:$AV$71*CI237 + (1-$AV$67:$AV$71)*CE237), N($AK$67:$AK$71&gt;$AI237)),
SUMPRODUCT(INDEX($AL$57:$AN$66,,$AE237), INDEX($AO$57:$AU$66,,$AD237), 1 / ($AW$57:$AW$66*CI237 + (1-$AW$57:$AW$66)*CE237), N($AK$57:$AK$66&gt;$AI237))
) / 1000</f>
        <v>0</v>
      </c>
      <c r="CK237" s="250">
        <f t="shared" si="263"/>
        <v>20</v>
      </c>
      <c r="CL237" s="237">
        <f t="shared" si="418"/>
        <v>33</v>
      </c>
      <c r="CM237" s="253">
        <f t="shared" si="419"/>
        <v>4.8487499999999999</v>
      </c>
      <c r="CN237" s="253" cm="1">
        <f t="array" ref="CN237">$BC237 * IF($AD237&lt;=2,
SUMPRODUCT(INDEX($AL$62:$AN$66,,$AE237), INDEX($AO$62:$AU$66,,$AD237), 1 / ($AV$62:$AV$66*CM237 + (1-$AV$62:$AV$66)*CI237), N($AK$62:$AK$66&gt;$AI237)),
SUMPRODUCT(INDEX($AL$47:$AN$56,,$AE237), INDEX($AO$47:$AU$56,,$AD237), 1 / ($AW$47:$AW$56*CM237 + (1-$AW$47:$AW$56)*CI237), N($AK$47:$AK$56&gt;$AI237))
) / 1000</f>
        <v>0</v>
      </c>
      <c r="CO237" s="253" cm="1">
        <f t="array" ref="CO237">$BC237 * IF($AD237&lt;=2,
SUMPRODUCT(INDEX($AL$23:$AN$61,,$AE237), INDEX($AO$23:$AU$61,,$AD237), 1 / ($AV$23:$AV$61*CM237), N($AK$23:$AK$61&gt;$AI237)),
SUMPRODUCT(INDEX($AL$23:$AN$46,,$AE237), INDEX($AO$23:$AU$46,,$AD237), 1 / ($AW$23:$AW$46*CM237), N($AK$23:$AK$46&gt;$AI237))
) / 1000</f>
        <v>0</v>
      </c>
      <c r="CP237" s="237">
        <f t="shared" si="420"/>
        <v>0</v>
      </c>
      <c r="CQ237" s="210"/>
    </row>
    <row r="238" spans="1:95" s="76" customFormat="1" ht="14.25" customHeight="1" x14ac:dyDescent="0.2">
      <c r="A238" s="238" t="b">
        <f t="shared" si="227"/>
        <v>0</v>
      </c>
      <c r="B238" s="239">
        <v>216</v>
      </c>
      <c r="C238" s="258"/>
      <c r="D238" s="258"/>
      <c r="E238" s="240"/>
      <c r="F238" s="241" t="str">
        <f>IF(ISBLANK(E238), "", VLOOKUP(E238, Z!$A$2:$C$4127, 3, FALSE))</f>
        <v/>
      </c>
      <c r="G238" s="242"/>
      <c r="H238" s="242"/>
      <c r="I238" s="243"/>
      <c r="J238" s="244"/>
      <c r="K238" s="259"/>
      <c r="L238" s="260"/>
      <c r="M238" s="247" t="str" cm="1">
        <f t="array" ref="M238">IF($K238&gt;0, INDEX(Clean,1+AG238,$C$1), "")</f>
        <v/>
      </c>
      <c r="N238" s="245"/>
      <c r="O238" s="245"/>
      <c r="P238" s="246"/>
      <c r="Q238" s="248">
        <f t="shared" si="397"/>
        <v>0</v>
      </c>
      <c r="R238" s="247" t="str" cm="1">
        <f t="array" ref="R238">IF($K238&gt;0, INDEX(Clean,1+AH238,$C$1), "")</f>
        <v/>
      </c>
      <c r="S238" s="245"/>
      <c r="T238" s="245"/>
      <c r="U238" s="246"/>
      <c r="V238" s="248">
        <f t="shared" si="398"/>
        <v>0</v>
      </c>
      <c r="W238" s="261"/>
      <c r="X238" s="258"/>
      <c r="Y238" s="240"/>
      <c r="Z238" s="241" t="str">
        <f>IF(ISBLANK(Y238), "", VLOOKUP(Y238, Z!$A$2:$C$4127, 3, FALSE))</f>
        <v/>
      </c>
      <c r="AA238" s="262"/>
      <c r="AB238" s="249">
        <f t="shared" si="424"/>
        <v>0</v>
      </c>
      <c r="AC238" s="210"/>
      <c r="AD238" s="236">
        <f t="shared" si="421"/>
        <v>1</v>
      </c>
      <c r="AE238" s="236">
        <f t="shared" si="422"/>
        <v>1</v>
      </c>
      <c r="AF238" s="236">
        <f t="shared" si="423"/>
        <v>0</v>
      </c>
      <c r="AG238" s="236">
        <v>1</v>
      </c>
      <c r="AH238" s="236">
        <v>0</v>
      </c>
      <c r="AI238" s="236">
        <f t="shared" si="399"/>
        <v>-100</v>
      </c>
      <c r="AJ238" s="210"/>
      <c r="AK238" s="254"/>
      <c r="AL238" s="254"/>
      <c r="AM238" s="255"/>
      <c r="AN238" s="255"/>
      <c r="AO238" s="255"/>
      <c r="AP238" s="255"/>
      <c r="AQ238" s="255"/>
      <c r="AR238" s="255"/>
      <c r="AS238" s="255"/>
      <c r="AT238" s="255"/>
      <c r="AU238" s="255"/>
      <c r="AV238" s="255"/>
      <c r="AW238" s="255"/>
      <c r="AX238" s="210"/>
      <c r="AY238" s="236" cm="1">
        <f t="array" ref="AY238">INDEX(Use, $AD238, 4)</f>
        <v>7</v>
      </c>
      <c r="AZ238" s="236">
        <f t="shared" si="400"/>
        <v>32</v>
      </c>
      <c r="BA238" s="236">
        <f t="shared" si="239"/>
        <v>13</v>
      </c>
      <c r="BB238" s="236">
        <f t="shared" si="240"/>
        <v>0</v>
      </c>
      <c r="BC238" s="252" cm="1">
        <f t="array" ref="BC238">K238/IF($L238&gt;0, INDEX($AO$23:$AU$77, $L238+20, $AD238), 1)</f>
        <v>0</v>
      </c>
      <c r="BD238" s="237">
        <f t="shared" si="401"/>
        <v>0</v>
      </c>
      <c r="BE238" s="236">
        <v>35</v>
      </c>
      <c r="BF238" s="237">
        <f t="shared" si="402"/>
        <v>52.55</v>
      </c>
      <c r="BG238" s="253">
        <f t="shared" si="403"/>
        <v>2.7676728869374316</v>
      </c>
      <c r="BH238" s="253" cm="1">
        <f t="array" ref="BH238">$BC238 * SUMPRODUCT(INDEX($AL$77:$AN$82,,$AE238),INDEX($AO$77:$AU$82,,$AD238), N($AK$77:$AK$82&gt;$AI238)) / BG238 / 1000</f>
        <v>0</v>
      </c>
      <c r="BI238" s="250">
        <f t="shared" si="244"/>
        <v>30</v>
      </c>
      <c r="BJ238" s="237">
        <f t="shared" si="404"/>
        <v>46.033333333333331</v>
      </c>
      <c r="BK238" s="253">
        <f t="shared" si="405"/>
        <v>3.2297395388556791</v>
      </c>
      <c r="BL238" s="253" cm="1">
        <f t="array" ref="BL238">$BC238 * IF($AD238&lt;=2,
SUMPRODUCT(INDEX($AL$72:$AN$76,,$AE238), INDEX($AO$72:$AU$76,,$AD238), 1 / ($AV$72:$AV$76*BK238 + (1-$AV$72:$AV$76)*BG238), N($AK$72:$AK$76&gt;$AI238)),
SUMPRODUCT(INDEX($AL$67:$AN$76,,$AE238), INDEX($AO$67:$AU$76,,$AD238), 1 / ($AW$67:$AW$76*BK238 + (1-$AW$67:$AW$76)*BG238), N($AK$67:$AK$76&gt;$AI238))
) / 1000</f>
        <v>0</v>
      </c>
      <c r="BM238" s="250">
        <f t="shared" si="247"/>
        <v>25</v>
      </c>
      <c r="BN238" s="237">
        <f t="shared" si="406"/>
        <v>39.516666666666666</v>
      </c>
      <c r="BO238" s="253">
        <f t="shared" si="407"/>
        <v>3.877011788826243</v>
      </c>
      <c r="BP238" s="253" cm="1">
        <f t="array" ref="BP238">$BC238 * IF($AD238&lt;=2,
SUMPRODUCT(INDEX($AL$67:$AN$71,,$AE238), INDEX($AO$67:$AU$71,,$AD238), 1 / ($AV$67:$AV$71*BO238 + (1-$AV$67:$AV$71)*BK238), N($AK$67:$AK$71&gt;$AI238)),
SUMPRODUCT(INDEX($AL$57:$AN$66,,$AE238), INDEX($AO$57:$AU$66,,$AD238), 1 / ($AW$57:$AW$66*BO238 + (1-$AW$57:$AW$66)*BK238), N($AK$57:$AK$66&gt;$AI238))
) / 1000</f>
        <v>0</v>
      </c>
      <c r="BQ238" s="250">
        <f t="shared" si="250"/>
        <v>20</v>
      </c>
      <c r="BR238" s="237">
        <f t="shared" si="408"/>
        <v>33</v>
      </c>
      <c r="BS238" s="253">
        <f t="shared" si="409"/>
        <v>4.8487499999999999</v>
      </c>
      <c r="BT238" s="253" cm="1">
        <f t="array" ref="BT238">$BC238 * IF($AD238&lt;=2,
SUMPRODUCT(INDEX($AL$62:$AN$66,,$AE238), INDEX($AO$62:$AU$66,,$AD238), 1 / ($AV$62:$AV$66*BS238 + (1-$AV$62:$AV$66)*BO238), N($AK$62:$AK$66&gt;$AI238)),
SUMPRODUCT(INDEX($AL$47:$AN$56,,$AE238), INDEX($AO$47:$AU$56,,$AD238), 1 / ($AW$47:$AW$56*BS238 + (1-$AW$47:$AW$56)*BO238), N($AK$47:$AK$56&gt;$AI238))
) / 1000</f>
        <v>0</v>
      </c>
      <c r="BU238" s="253" cm="1">
        <f t="array" ref="BU238">$BC238 * IF($AD238&lt;=2,
SUMPRODUCT(INDEX($AL$23:$AN$61,,$AE238), INDEX($AO$23:$AU$61,,$AD238), 1 / ($AV$23:$AV$61*BS238), N($AK$23:$AK$61&gt;$AI238)),
SUMPRODUCT(INDEX($AL$23:$AN$46,,$AE238), INDEX($AO$23:$AU$46,,$AD238), 1 / ($AW$23:$AW$46*BS238), N($AK$23:$AK$46&gt;$AI238))
) / 1000</f>
        <v>0</v>
      </c>
      <c r="BV238" s="237">
        <f t="shared" si="410"/>
        <v>0</v>
      </c>
      <c r="BW238" s="210"/>
      <c r="BX238" s="237">
        <f t="shared" si="411"/>
        <v>0</v>
      </c>
      <c r="BY238" s="236">
        <v>35</v>
      </c>
      <c r="BZ238" s="237">
        <f t="shared" si="412"/>
        <v>48</v>
      </c>
      <c r="CA238" s="253">
        <f t="shared" si="413"/>
        <v>3.0748170731707316</v>
      </c>
      <c r="CB238" s="253" cm="1">
        <f t="array" ref="CB238">$BC238 * SUMPRODUCT(INDEX($AL$77:$AN$82,,$AE238),INDEX($AO$77:$AU$82,,$AD238), N($AK$77:$AK$82&gt;$AI238)) / CA238 / 1000</f>
        <v>0</v>
      </c>
      <c r="CC238" s="250">
        <f t="shared" si="257"/>
        <v>30</v>
      </c>
      <c r="CD238" s="237">
        <f t="shared" si="414"/>
        <v>43</v>
      </c>
      <c r="CE238" s="253">
        <f t="shared" si="415"/>
        <v>3.5018750000000001</v>
      </c>
      <c r="CF238" s="253" cm="1">
        <f t="array" ref="CF238">$BC238 * IF($AD238&lt;=2,
SUMPRODUCT(INDEX($AL$72:$AN$76,,$AE238), INDEX($AO$72:$AU$76,,$AD238), 1 / ($AV$72:$AV$76*CE238 + (1-$AV$72:$AV$76)*CA238), N($AK$72:$AK$76&gt;$AI238)),
SUMPRODUCT(INDEX($AL$67:$AN$76,,$AE238), INDEX($AO$67:$AU$76,,$AD238), 1 / ($AW$67:$AW$76*CE238 + (1-$AW$67:$AW$76)*CA238), N($AK$67:$AK$76&gt;$AI238))
) / 1000</f>
        <v>0</v>
      </c>
      <c r="CG238" s="250">
        <f t="shared" si="260"/>
        <v>25</v>
      </c>
      <c r="CH238" s="237">
        <f t="shared" si="416"/>
        <v>38</v>
      </c>
      <c r="CI238" s="253">
        <f t="shared" si="417"/>
        <v>4.0666935483870965</v>
      </c>
      <c r="CJ238" s="253" cm="1">
        <f t="array" ref="CJ238">$BC238 * IF($AD238&lt;=2,
SUMPRODUCT(INDEX($AL$67:$AN$71,,$AE238), INDEX($AO$67:$AU$71,,$AD238), 1 / ($AV$67:$AV$71*CI238 + (1-$AV$67:$AV$71)*CE238), N($AK$67:$AK$71&gt;$AI238)),
SUMPRODUCT(INDEX($AL$57:$AN$66,,$AE238), INDEX($AO$57:$AU$66,,$AD238), 1 / ($AW$57:$AW$66*CI238 + (1-$AW$57:$AW$66)*CE238), N($AK$57:$AK$66&gt;$AI238))
) / 1000</f>
        <v>0</v>
      </c>
      <c r="CK238" s="250">
        <f t="shared" si="263"/>
        <v>20</v>
      </c>
      <c r="CL238" s="237">
        <f t="shared" si="418"/>
        <v>33</v>
      </c>
      <c r="CM238" s="253">
        <f t="shared" si="419"/>
        <v>4.8487499999999999</v>
      </c>
      <c r="CN238" s="253" cm="1">
        <f t="array" ref="CN238">$BC238 * IF($AD238&lt;=2,
SUMPRODUCT(INDEX($AL$62:$AN$66,,$AE238), INDEX($AO$62:$AU$66,,$AD238), 1 / ($AV$62:$AV$66*CM238 + (1-$AV$62:$AV$66)*CI238), N($AK$62:$AK$66&gt;$AI238)),
SUMPRODUCT(INDEX($AL$47:$AN$56,,$AE238), INDEX($AO$47:$AU$56,,$AD238), 1 / ($AW$47:$AW$56*CM238 + (1-$AW$47:$AW$56)*CI238), N($AK$47:$AK$56&gt;$AI238))
) / 1000</f>
        <v>0</v>
      </c>
      <c r="CO238" s="253" cm="1">
        <f t="array" ref="CO238">$BC238 * IF($AD238&lt;=2,
SUMPRODUCT(INDEX($AL$23:$AN$61,,$AE238), INDEX($AO$23:$AU$61,,$AD238), 1 / ($AV$23:$AV$61*CM238), N($AK$23:$AK$61&gt;$AI238)),
SUMPRODUCT(INDEX($AL$23:$AN$46,,$AE238), INDEX($AO$23:$AU$46,,$AD238), 1 / ($AW$23:$AW$46*CM238), N($AK$23:$AK$46&gt;$AI238))
) / 1000</f>
        <v>0</v>
      </c>
      <c r="CP238" s="237">
        <f t="shared" si="420"/>
        <v>0</v>
      </c>
      <c r="CQ238" s="210"/>
    </row>
    <row r="239" spans="1:95" s="76" customFormat="1" ht="14.25" customHeight="1" x14ac:dyDescent="0.2">
      <c r="A239" s="238" t="b">
        <f t="shared" si="227"/>
        <v>0</v>
      </c>
      <c r="B239" s="239">
        <v>217</v>
      </c>
      <c r="C239" s="258"/>
      <c r="D239" s="258"/>
      <c r="E239" s="240"/>
      <c r="F239" s="241" t="str">
        <f>IF(ISBLANK(E239), "", VLOOKUP(E239, Z!$A$2:$C$4127, 3, FALSE))</f>
        <v/>
      </c>
      <c r="G239" s="242"/>
      <c r="H239" s="242"/>
      <c r="I239" s="243"/>
      <c r="J239" s="244"/>
      <c r="K239" s="259"/>
      <c r="L239" s="260"/>
      <c r="M239" s="247" t="str" cm="1">
        <f t="array" ref="M239">IF($K239&gt;0, INDEX(Clean,1+AG239,$C$1), "")</f>
        <v/>
      </c>
      <c r="N239" s="245"/>
      <c r="O239" s="245"/>
      <c r="P239" s="246"/>
      <c r="Q239" s="248">
        <f t="shared" si="397"/>
        <v>0</v>
      </c>
      <c r="R239" s="247" t="str" cm="1">
        <f t="array" ref="R239">IF($K239&gt;0, INDEX(Clean,1+AH239,$C$1), "")</f>
        <v/>
      </c>
      <c r="S239" s="245"/>
      <c r="T239" s="245"/>
      <c r="U239" s="246"/>
      <c r="V239" s="248">
        <f t="shared" si="398"/>
        <v>0</v>
      </c>
      <c r="W239" s="261"/>
      <c r="X239" s="258"/>
      <c r="Y239" s="240"/>
      <c r="Z239" s="241" t="str">
        <f>IF(ISBLANK(Y239), "", VLOOKUP(Y239, Z!$A$2:$C$4127, 3, FALSE))</f>
        <v/>
      </c>
      <c r="AA239" s="262"/>
      <c r="AB239" s="249">
        <f t="shared" si="424"/>
        <v>0</v>
      </c>
      <c r="AC239" s="210"/>
      <c r="AD239" s="236">
        <f t="shared" si="421"/>
        <v>1</v>
      </c>
      <c r="AE239" s="236">
        <f t="shared" si="422"/>
        <v>1</v>
      </c>
      <c r="AF239" s="236">
        <f t="shared" si="423"/>
        <v>0</v>
      </c>
      <c r="AG239" s="236">
        <v>1</v>
      </c>
      <c r="AH239" s="236">
        <v>0</v>
      </c>
      <c r="AI239" s="236">
        <f t="shared" si="399"/>
        <v>-100</v>
      </c>
      <c r="AJ239" s="210"/>
      <c r="AK239" s="254"/>
      <c r="AL239" s="254"/>
      <c r="AM239" s="255"/>
      <c r="AN239" s="255"/>
      <c r="AO239" s="255"/>
      <c r="AP239" s="255"/>
      <c r="AQ239" s="255"/>
      <c r="AR239" s="255"/>
      <c r="AS239" s="255"/>
      <c r="AT239" s="255"/>
      <c r="AU239" s="255"/>
      <c r="AV239" s="255"/>
      <c r="AW239" s="255"/>
      <c r="AX239" s="210"/>
      <c r="AY239" s="236" cm="1">
        <f t="array" ref="AY239">INDEX(Use, $AD239, 4)</f>
        <v>7</v>
      </c>
      <c r="AZ239" s="236">
        <f t="shared" si="400"/>
        <v>32</v>
      </c>
      <c r="BA239" s="236">
        <f t="shared" si="239"/>
        <v>13</v>
      </c>
      <c r="BB239" s="236">
        <f t="shared" si="240"/>
        <v>0</v>
      </c>
      <c r="BC239" s="252" cm="1">
        <f t="array" ref="BC239">K239/IF($L239&gt;0, INDEX($AO$23:$AU$77, $L239+20, $AD239), 1)</f>
        <v>0</v>
      </c>
      <c r="BD239" s="237">
        <f t="shared" si="401"/>
        <v>0</v>
      </c>
      <c r="BE239" s="236">
        <v>35</v>
      </c>
      <c r="BF239" s="237">
        <f t="shared" si="402"/>
        <v>52.55</v>
      </c>
      <c r="BG239" s="253">
        <f t="shared" si="403"/>
        <v>2.7676728869374316</v>
      </c>
      <c r="BH239" s="253" cm="1">
        <f t="array" ref="BH239">$BC239 * SUMPRODUCT(INDEX($AL$77:$AN$82,,$AE239),INDEX($AO$77:$AU$82,,$AD239), N($AK$77:$AK$82&gt;$AI239)) / BG239 / 1000</f>
        <v>0</v>
      </c>
      <c r="BI239" s="250">
        <f t="shared" si="244"/>
        <v>30</v>
      </c>
      <c r="BJ239" s="237">
        <f t="shared" si="404"/>
        <v>46.033333333333331</v>
      </c>
      <c r="BK239" s="253">
        <f t="shared" si="405"/>
        <v>3.2297395388556791</v>
      </c>
      <c r="BL239" s="253" cm="1">
        <f t="array" ref="BL239">$BC239 * IF($AD239&lt;=2,
SUMPRODUCT(INDEX($AL$72:$AN$76,,$AE239), INDEX($AO$72:$AU$76,,$AD239), 1 / ($AV$72:$AV$76*BK239 + (1-$AV$72:$AV$76)*BG239), N($AK$72:$AK$76&gt;$AI239)),
SUMPRODUCT(INDEX($AL$67:$AN$76,,$AE239), INDEX($AO$67:$AU$76,,$AD239), 1 / ($AW$67:$AW$76*BK239 + (1-$AW$67:$AW$76)*BG239), N($AK$67:$AK$76&gt;$AI239))
) / 1000</f>
        <v>0</v>
      </c>
      <c r="BM239" s="250">
        <f t="shared" si="247"/>
        <v>25</v>
      </c>
      <c r="BN239" s="237">
        <f t="shared" si="406"/>
        <v>39.516666666666666</v>
      </c>
      <c r="BO239" s="253">
        <f t="shared" si="407"/>
        <v>3.877011788826243</v>
      </c>
      <c r="BP239" s="253" cm="1">
        <f t="array" ref="BP239">$BC239 * IF($AD239&lt;=2,
SUMPRODUCT(INDEX($AL$67:$AN$71,,$AE239), INDEX($AO$67:$AU$71,,$AD239), 1 / ($AV$67:$AV$71*BO239 + (1-$AV$67:$AV$71)*BK239), N($AK$67:$AK$71&gt;$AI239)),
SUMPRODUCT(INDEX($AL$57:$AN$66,,$AE239), INDEX($AO$57:$AU$66,,$AD239), 1 / ($AW$57:$AW$66*BO239 + (1-$AW$57:$AW$66)*BK239), N($AK$57:$AK$66&gt;$AI239))
) / 1000</f>
        <v>0</v>
      </c>
      <c r="BQ239" s="250">
        <f t="shared" si="250"/>
        <v>20</v>
      </c>
      <c r="BR239" s="237">
        <f t="shared" si="408"/>
        <v>33</v>
      </c>
      <c r="BS239" s="253">
        <f t="shared" si="409"/>
        <v>4.8487499999999999</v>
      </c>
      <c r="BT239" s="253" cm="1">
        <f t="array" ref="BT239">$BC239 * IF($AD239&lt;=2,
SUMPRODUCT(INDEX($AL$62:$AN$66,,$AE239), INDEX($AO$62:$AU$66,,$AD239), 1 / ($AV$62:$AV$66*BS239 + (1-$AV$62:$AV$66)*BO239), N($AK$62:$AK$66&gt;$AI239)),
SUMPRODUCT(INDEX($AL$47:$AN$56,,$AE239), INDEX($AO$47:$AU$56,,$AD239), 1 / ($AW$47:$AW$56*BS239 + (1-$AW$47:$AW$56)*BO239), N($AK$47:$AK$56&gt;$AI239))
) / 1000</f>
        <v>0</v>
      </c>
      <c r="BU239" s="253" cm="1">
        <f t="array" ref="BU239">$BC239 * IF($AD239&lt;=2,
SUMPRODUCT(INDEX($AL$23:$AN$61,,$AE239), INDEX($AO$23:$AU$61,,$AD239), 1 / ($AV$23:$AV$61*BS239), N($AK$23:$AK$61&gt;$AI239)),
SUMPRODUCT(INDEX($AL$23:$AN$46,,$AE239), INDEX($AO$23:$AU$46,,$AD239), 1 / ($AW$23:$AW$46*BS239), N($AK$23:$AK$46&gt;$AI239))
) / 1000</f>
        <v>0</v>
      </c>
      <c r="BV239" s="237">
        <f t="shared" si="410"/>
        <v>0</v>
      </c>
      <c r="BW239" s="210"/>
      <c r="BX239" s="237">
        <f t="shared" si="411"/>
        <v>0</v>
      </c>
      <c r="BY239" s="236">
        <v>35</v>
      </c>
      <c r="BZ239" s="237">
        <f t="shared" si="412"/>
        <v>48</v>
      </c>
      <c r="CA239" s="253">
        <f t="shared" si="413"/>
        <v>3.0748170731707316</v>
      </c>
      <c r="CB239" s="253" cm="1">
        <f t="array" ref="CB239">$BC239 * SUMPRODUCT(INDEX($AL$77:$AN$82,,$AE239),INDEX($AO$77:$AU$82,,$AD239), N($AK$77:$AK$82&gt;$AI239)) / CA239 / 1000</f>
        <v>0</v>
      </c>
      <c r="CC239" s="250">
        <f t="shared" si="257"/>
        <v>30</v>
      </c>
      <c r="CD239" s="237">
        <f t="shared" si="414"/>
        <v>43</v>
      </c>
      <c r="CE239" s="253">
        <f t="shared" si="415"/>
        <v>3.5018750000000001</v>
      </c>
      <c r="CF239" s="253" cm="1">
        <f t="array" ref="CF239">$BC239 * IF($AD239&lt;=2,
SUMPRODUCT(INDEX($AL$72:$AN$76,,$AE239), INDEX($AO$72:$AU$76,,$AD239), 1 / ($AV$72:$AV$76*CE239 + (1-$AV$72:$AV$76)*CA239), N($AK$72:$AK$76&gt;$AI239)),
SUMPRODUCT(INDEX($AL$67:$AN$76,,$AE239), INDEX($AO$67:$AU$76,,$AD239), 1 / ($AW$67:$AW$76*CE239 + (1-$AW$67:$AW$76)*CA239), N($AK$67:$AK$76&gt;$AI239))
) / 1000</f>
        <v>0</v>
      </c>
      <c r="CG239" s="250">
        <f t="shared" si="260"/>
        <v>25</v>
      </c>
      <c r="CH239" s="237">
        <f t="shared" si="416"/>
        <v>38</v>
      </c>
      <c r="CI239" s="253">
        <f t="shared" si="417"/>
        <v>4.0666935483870965</v>
      </c>
      <c r="CJ239" s="253" cm="1">
        <f t="array" ref="CJ239">$BC239 * IF($AD239&lt;=2,
SUMPRODUCT(INDEX($AL$67:$AN$71,,$AE239), INDEX($AO$67:$AU$71,,$AD239), 1 / ($AV$67:$AV$71*CI239 + (1-$AV$67:$AV$71)*CE239), N($AK$67:$AK$71&gt;$AI239)),
SUMPRODUCT(INDEX($AL$57:$AN$66,,$AE239), INDEX($AO$57:$AU$66,,$AD239), 1 / ($AW$57:$AW$66*CI239 + (1-$AW$57:$AW$66)*CE239), N($AK$57:$AK$66&gt;$AI239))
) / 1000</f>
        <v>0</v>
      </c>
      <c r="CK239" s="250">
        <f t="shared" si="263"/>
        <v>20</v>
      </c>
      <c r="CL239" s="237">
        <f t="shared" si="418"/>
        <v>33</v>
      </c>
      <c r="CM239" s="253">
        <f t="shared" si="419"/>
        <v>4.8487499999999999</v>
      </c>
      <c r="CN239" s="253" cm="1">
        <f t="array" ref="CN239">$BC239 * IF($AD239&lt;=2,
SUMPRODUCT(INDEX($AL$62:$AN$66,,$AE239), INDEX($AO$62:$AU$66,,$AD239), 1 / ($AV$62:$AV$66*CM239 + (1-$AV$62:$AV$66)*CI239), N($AK$62:$AK$66&gt;$AI239)),
SUMPRODUCT(INDEX($AL$47:$AN$56,,$AE239), INDEX($AO$47:$AU$56,,$AD239), 1 / ($AW$47:$AW$56*CM239 + (1-$AW$47:$AW$56)*CI239), N($AK$47:$AK$56&gt;$AI239))
) / 1000</f>
        <v>0</v>
      </c>
      <c r="CO239" s="253" cm="1">
        <f t="array" ref="CO239">$BC239 * IF($AD239&lt;=2,
SUMPRODUCT(INDEX($AL$23:$AN$61,,$AE239), INDEX($AO$23:$AU$61,,$AD239), 1 / ($AV$23:$AV$61*CM239), N($AK$23:$AK$61&gt;$AI239)),
SUMPRODUCT(INDEX($AL$23:$AN$46,,$AE239), INDEX($AO$23:$AU$46,,$AD239), 1 / ($AW$23:$AW$46*CM239), N($AK$23:$AK$46&gt;$AI239))
) / 1000</f>
        <v>0</v>
      </c>
      <c r="CP239" s="237">
        <f t="shared" si="420"/>
        <v>0</v>
      </c>
      <c r="CQ239" s="210"/>
    </row>
    <row r="240" spans="1:95" s="76" customFormat="1" ht="14.25" customHeight="1" x14ac:dyDescent="0.2">
      <c r="A240" s="238" t="b">
        <f t="shared" si="227"/>
        <v>0</v>
      </c>
      <c r="B240" s="239">
        <v>218</v>
      </c>
      <c r="C240" s="258"/>
      <c r="D240" s="258"/>
      <c r="E240" s="240"/>
      <c r="F240" s="241" t="str">
        <f>IF(ISBLANK(E240), "", VLOOKUP(E240, Z!$A$2:$C$4127, 3, FALSE))</f>
        <v/>
      </c>
      <c r="G240" s="242"/>
      <c r="H240" s="242"/>
      <c r="I240" s="243"/>
      <c r="J240" s="244"/>
      <c r="K240" s="259"/>
      <c r="L240" s="260"/>
      <c r="M240" s="247" t="str" cm="1">
        <f t="array" ref="M240">IF($K240&gt;0, INDEX(Clean,1+AG240,$C$1), "")</f>
        <v/>
      </c>
      <c r="N240" s="245"/>
      <c r="O240" s="245"/>
      <c r="P240" s="246"/>
      <c r="Q240" s="248">
        <f t="shared" si="397"/>
        <v>0</v>
      </c>
      <c r="R240" s="247" t="str" cm="1">
        <f t="array" ref="R240">IF($K240&gt;0, INDEX(Clean,1+AH240,$C$1), "")</f>
        <v/>
      </c>
      <c r="S240" s="245"/>
      <c r="T240" s="245"/>
      <c r="U240" s="246"/>
      <c r="V240" s="248">
        <f t="shared" si="398"/>
        <v>0</v>
      </c>
      <c r="W240" s="261"/>
      <c r="X240" s="258"/>
      <c r="Y240" s="240"/>
      <c r="Z240" s="241" t="str">
        <f>IF(ISBLANK(Y240), "", VLOOKUP(Y240, Z!$A$2:$C$4127, 3, FALSE))</f>
        <v/>
      </c>
      <c r="AA240" s="262"/>
      <c r="AB240" s="249">
        <f t="shared" si="424"/>
        <v>0</v>
      </c>
      <c r="AC240" s="210"/>
      <c r="AD240" s="236">
        <f t="shared" si="421"/>
        <v>1</v>
      </c>
      <c r="AE240" s="236">
        <f t="shared" si="422"/>
        <v>1</v>
      </c>
      <c r="AF240" s="236">
        <f t="shared" si="423"/>
        <v>0</v>
      </c>
      <c r="AG240" s="236">
        <v>1</v>
      </c>
      <c r="AH240" s="236">
        <v>0</v>
      </c>
      <c r="AI240" s="236">
        <f t="shared" si="399"/>
        <v>-100</v>
      </c>
      <c r="AJ240" s="210"/>
      <c r="AK240" s="254"/>
      <c r="AL240" s="254"/>
      <c r="AM240" s="255"/>
      <c r="AN240" s="255"/>
      <c r="AO240" s="255"/>
      <c r="AP240" s="255"/>
      <c r="AQ240" s="255"/>
      <c r="AR240" s="255"/>
      <c r="AS240" s="255"/>
      <c r="AT240" s="255"/>
      <c r="AU240" s="255"/>
      <c r="AV240" s="255"/>
      <c r="AW240" s="255"/>
      <c r="AX240" s="210"/>
      <c r="AY240" s="236" cm="1">
        <f t="array" ref="AY240">INDEX(Use, $AD240, 4)</f>
        <v>7</v>
      </c>
      <c r="AZ240" s="236">
        <f t="shared" si="400"/>
        <v>32</v>
      </c>
      <c r="BA240" s="236">
        <f t="shared" si="239"/>
        <v>13</v>
      </c>
      <c r="BB240" s="236">
        <f t="shared" si="240"/>
        <v>0</v>
      </c>
      <c r="BC240" s="252" cm="1">
        <f t="array" ref="BC240">K240/IF($L240&gt;0, INDEX($AO$23:$AU$77, $L240+20, $AD240), 1)</f>
        <v>0</v>
      </c>
      <c r="BD240" s="237">
        <f t="shared" si="401"/>
        <v>0</v>
      </c>
      <c r="BE240" s="236">
        <v>35</v>
      </c>
      <c r="BF240" s="237">
        <f t="shared" si="402"/>
        <v>52.55</v>
      </c>
      <c r="BG240" s="253">
        <f t="shared" si="403"/>
        <v>2.7676728869374316</v>
      </c>
      <c r="BH240" s="253" cm="1">
        <f t="array" ref="BH240">$BC240 * SUMPRODUCT(INDEX($AL$77:$AN$82,,$AE240),INDEX($AO$77:$AU$82,,$AD240), N($AK$77:$AK$82&gt;$AI240)) / BG240 / 1000</f>
        <v>0</v>
      </c>
      <c r="BI240" s="250">
        <f t="shared" si="244"/>
        <v>30</v>
      </c>
      <c r="BJ240" s="237">
        <f t="shared" si="404"/>
        <v>46.033333333333331</v>
      </c>
      <c r="BK240" s="253">
        <f t="shared" si="405"/>
        <v>3.2297395388556791</v>
      </c>
      <c r="BL240" s="253" cm="1">
        <f t="array" ref="BL240">$BC240 * IF($AD240&lt;=2,
SUMPRODUCT(INDEX($AL$72:$AN$76,,$AE240), INDEX($AO$72:$AU$76,,$AD240), 1 / ($AV$72:$AV$76*BK240 + (1-$AV$72:$AV$76)*BG240), N($AK$72:$AK$76&gt;$AI240)),
SUMPRODUCT(INDEX($AL$67:$AN$76,,$AE240), INDEX($AO$67:$AU$76,,$AD240), 1 / ($AW$67:$AW$76*BK240 + (1-$AW$67:$AW$76)*BG240), N($AK$67:$AK$76&gt;$AI240))
) / 1000</f>
        <v>0</v>
      </c>
      <c r="BM240" s="250">
        <f t="shared" si="247"/>
        <v>25</v>
      </c>
      <c r="BN240" s="237">
        <f t="shared" si="406"/>
        <v>39.516666666666666</v>
      </c>
      <c r="BO240" s="253">
        <f t="shared" si="407"/>
        <v>3.877011788826243</v>
      </c>
      <c r="BP240" s="253" cm="1">
        <f t="array" ref="BP240">$BC240 * IF($AD240&lt;=2,
SUMPRODUCT(INDEX($AL$67:$AN$71,,$AE240), INDEX($AO$67:$AU$71,,$AD240), 1 / ($AV$67:$AV$71*BO240 + (1-$AV$67:$AV$71)*BK240), N($AK$67:$AK$71&gt;$AI240)),
SUMPRODUCT(INDEX($AL$57:$AN$66,,$AE240), INDEX($AO$57:$AU$66,,$AD240), 1 / ($AW$57:$AW$66*BO240 + (1-$AW$57:$AW$66)*BK240), N($AK$57:$AK$66&gt;$AI240))
) / 1000</f>
        <v>0</v>
      </c>
      <c r="BQ240" s="250">
        <f t="shared" si="250"/>
        <v>20</v>
      </c>
      <c r="BR240" s="237">
        <f t="shared" si="408"/>
        <v>33</v>
      </c>
      <c r="BS240" s="253">
        <f t="shared" si="409"/>
        <v>4.8487499999999999</v>
      </c>
      <c r="BT240" s="253" cm="1">
        <f t="array" ref="BT240">$BC240 * IF($AD240&lt;=2,
SUMPRODUCT(INDEX($AL$62:$AN$66,,$AE240), INDEX($AO$62:$AU$66,,$AD240), 1 / ($AV$62:$AV$66*BS240 + (1-$AV$62:$AV$66)*BO240), N($AK$62:$AK$66&gt;$AI240)),
SUMPRODUCT(INDEX($AL$47:$AN$56,,$AE240), INDEX($AO$47:$AU$56,,$AD240), 1 / ($AW$47:$AW$56*BS240 + (1-$AW$47:$AW$56)*BO240), N($AK$47:$AK$56&gt;$AI240))
) / 1000</f>
        <v>0</v>
      </c>
      <c r="BU240" s="253" cm="1">
        <f t="array" ref="BU240">$BC240 * IF($AD240&lt;=2,
SUMPRODUCT(INDEX($AL$23:$AN$61,,$AE240), INDEX($AO$23:$AU$61,,$AD240), 1 / ($AV$23:$AV$61*BS240), N($AK$23:$AK$61&gt;$AI240)),
SUMPRODUCT(INDEX($AL$23:$AN$46,,$AE240), INDEX($AO$23:$AU$46,,$AD240), 1 / ($AW$23:$AW$46*BS240), N($AK$23:$AK$46&gt;$AI240))
) / 1000</f>
        <v>0</v>
      </c>
      <c r="BV240" s="237">
        <f t="shared" si="410"/>
        <v>0</v>
      </c>
      <c r="BW240" s="210"/>
      <c r="BX240" s="237">
        <f t="shared" si="411"/>
        <v>0</v>
      </c>
      <c r="BY240" s="236">
        <v>35</v>
      </c>
      <c r="BZ240" s="237">
        <f t="shared" si="412"/>
        <v>48</v>
      </c>
      <c r="CA240" s="253">
        <f t="shared" si="413"/>
        <v>3.0748170731707316</v>
      </c>
      <c r="CB240" s="253" cm="1">
        <f t="array" ref="CB240">$BC240 * SUMPRODUCT(INDEX($AL$77:$AN$82,,$AE240),INDEX($AO$77:$AU$82,,$AD240), N($AK$77:$AK$82&gt;$AI240)) / CA240 / 1000</f>
        <v>0</v>
      </c>
      <c r="CC240" s="250">
        <f t="shared" si="257"/>
        <v>30</v>
      </c>
      <c r="CD240" s="237">
        <f t="shared" si="414"/>
        <v>43</v>
      </c>
      <c r="CE240" s="253">
        <f t="shared" si="415"/>
        <v>3.5018750000000001</v>
      </c>
      <c r="CF240" s="253" cm="1">
        <f t="array" ref="CF240">$BC240 * IF($AD240&lt;=2,
SUMPRODUCT(INDEX($AL$72:$AN$76,,$AE240), INDEX($AO$72:$AU$76,,$AD240), 1 / ($AV$72:$AV$76*CE240 + (1-$AV$72:$AV$76)*CA240), N($AK$72:$AK$76&gt;$AI240)),
SUMPRODUCT(INDEX($AL$67:$AN$76,,$AE240), INDEX($AO$67:$AU$76,,$AD240), 1 / ($AW$67:$AW$76*CE240 + (1-$AW$67:$AW$76)*CA240), N($AK$67:$AK$76&gt;$AI240))
) / 1000</f>
        <v>0</v>
      </c>
      <c r="CG240" s="250">
        <f t="shared" si="260"/>
        <v>25</v>
      </c>
      <c r="CH240" s="237">
        <f t="shared" si="416"/>
        <v>38</v>
      </c>
      <c r="CI240" s="253">
        <f t="shared" si="417"/>
        <v>4.0666935483870965</v>
      </c>
      <c r="CJ240" s="253" cm="1">
        <f t="array" ref="CJ240">$BC240 * IF($AD240&lt;=2,
SUMPRODUCT(INDEX($AL$67:$AN$71,,$AE240), INDEX($AO$67:$AU$71,,$AD240), 1 / ($AV$67:$AV$71*CI240 + (1-$AV$67:$AV$71)*CE240), N($AK$67:$AK$71&gt;$AI240)),
SUMPRODUCT(INDEX($AL$57:$AN$66,,$AE240), INDEX($AO$57:$AU$66,,$AD240), 1 / ($AW$57:$AW$66*CI240 + (1-$AW$57:$AW$66)*CE240), N($AK$57:$AK$66&gt;$AI240))
) / 1000</f>
        <v>0</v>
      </c>
      <c r="CK240" s="250">
        <f t="shared" si="263"/>
        <v>20</v>
      </c>
      <c r="CL240" s="237">
        <f t="shared" si="418"/>
        <v>33</v>
      </c>
      <c r="CM240" s="253">
        <f t="shared" si="419"/>
        <v>4.8487499999999999</v>
      </c>
      <c r="CN240" s="253" cm="1">
        <f t="array" ref="CN240">$BC240 * IF($AD240&lt;=2,
SUMPRODUCT(INDEX($AL$62:$AN$66,,$AE240), INDEX($AO$62:$AU$66,,$AD240), 1 / ($AV$62:$AV$66*CM240 + (1-$AV$62:$AV$66)*CI240), N($AK$62:$AK$66&gt;$AI240)),
SUMPRODUCT(INDEX($AL$47:$AN$56,,$AE240), INDEX($AO$47:$AU$56,,$AD240), 1 / ($AW$47:$AW$56*CM240 + (1-$AW$47:$AW$56)*CI240), N($AK$47:$AK$56&gt;$AI240))
) / 1000</f>
        <v>0</v>
      </c>
      <c r="CO240" s="253" cm="1">
        <f t="array" ref="CO240">$BC240 * IF($AD240&lt;=2,
SUMPRODUCT(INDEX($AL$23:$AN$61,,$AE240), INDEX($AO$23:$AU$61,,$AD240), 1 / ($AV$23:$AV$61*CM240), N($AK$23:$AK$61&gt;$AI240)),
SUMPRODUCT(INDEX($AL$23:$AN$46,,$AE240), INDEX($AO$23:$AU$46,,$AD240), 1 / ($AW$23:$AW$46*CM240), N($AK$23:$AK$46&gt;$AI240))
) / 1000</f>
        <v>0</v>
      </c>
      <c r="CP240" s="237">
        <f t="shared" si="420"/>
        <v>0</v>
      </c>
      <c r="CQ240" s="210"/>
    </row>
    <row r="241" spans="1:95" s="76" customFormat="1" ht="14.25" customHeight="1" x14ac:dyDescent="0.2">
      <c r="A241" s="238" t="b">
        <f t="shared" si="227"/>
        <v>0</v>
      </c>
      <c r="B241" s="239">
        <v>219</v>
      </c>
      <c r="C241" s="258"/>
      <c r="D241" s="258"/>
      <c r="E241" s="240"/>
      <c r="F241" s="241" t="str">
        <f>IF(ISBLANK(E241), "", VLOOKUP(E241, Z!$A$2:$C$4127, 3, FALSE))</f>
        <v/>
      </c>
      <c r="G241" s="242"/>
      <c r="H241" s="242"/>
      <c r="I241" s="243"/>
      <c r="J241" s="244"/>
      <c r="K241" s="259"/>
      <c r="L241" s="260"/>
      <c r="M241" s="247" t="str" cm="1">
        <f t="array" ref="M241">IF($K241&gt;0, INDEX(Clean,1+AG241,$C$1), "")</f>
        <v/>
      </c>
      <c r="N241" s="245"/>
      <c r="O241" s="245"/>
      <c r="P241" s="246"/>
      <c r="Q241" s="248">
        <f t="shared" si="397"/>
        <v>0</v>
      </c>
      <c r="R241" s="247" t="str" cm="1">
        <f t="array" ref="R241">IF($K241&gt;0, INDEX(Clean,1+AH241,$C$1), "")</f>
        <v/>
      </c>
      <c r="S241" s="245"/>
      <c r="T241" s="245"/>
      <c r="U241" s="246"/>
      <c r="V241" s="248">
        <f t="shared" si="398"/>
        <v>0</v>
      </c>
      <c r="W241" s="261"/>
      <c r="X241" s="258"/>
      <c r="Y241" s="240"/>
      <c r="Z241" s="241" t="str">
        <f>IF(ISBLANK(Y241), "", VLOOKUP(Y241, Z!$A$2:$C$4127, 3, FALSE))</f>
        <v/>
      </c>
      <c r="AA241" s="262"/>
      <c r="AB241" s="249">
        <f t="shared" si="424"/>
        <v>0</v>
      </c>
      <c r="AC241" s="210"/>
      <c r="AD241" s="236">
        <f t="shared" si="421"/>
        <v>1</v>
      </c>
      <c r="AE241" s="236">
        <f t="shared" si="422"/>
        <v>1</v>
      </c>
      <c r="AF241" s="236">
        <f t="shared" si="423"/>
        <v>0</v>
      </c>
      <c r="AG241" s="236">
        <v>1</v>
      </c>
      <c r="AH241" s="236">
        <v>0</v>
      </c>
      <c r="AI241" s="236">
        <f t="shared" si="399"/>
        <v>-100</v>
      </c>
      <c r="AJ241" s="210"/>
      <c r="AK241" s="254"/>
      <c r="AL241" s="254"/>
      <c r="AM241" s="255"/>
      <c r="AN241" s="255"/>
      <c r="AO241" s="255"/>
      <c r="AP241" s="255"/>
      <c r="AQ241" s="255"/>
      <c r="AR241" s="255"/>
      <c r="AS241" s="255"/>
      <c r="AT241" s="255"/>
      <c r="AU241" s="255"/>
      <c r="AV241" s="255"/>
      <c r="AW241" s="255"/>
      <c r="AX241" s="210"/>
      <c r="AY241" s="236" cm="1">
        <f t="array" ref="AY241">INDEX(Use, $AD241, 4)</f>
        <v>7</v>
      </c>
      <c r="AZ241" s="236">
        <f t="shared" si="400"/>
        <v>32</v>
      </c>
      <c r="BA241" s="236">
        <f t="shared" si="239"/>
        <v>13</v>
      </c>
      <c r="BB241" s="236">
        <f t="shared" si="240"/>
        <v>0</v>
      </c>
      <c r="BC241" s="252" cm="1">
        <f t="array" ref="BC241">K241/IF($L241&gt;0, INDEX($AO$23:$AU$77, $L241+20, $AD241), 1)</f>
        <v>0</v>
      </c>
      <c r="BD241" s="237">
        <f t="shared" si="401"/>
        <v>0</v>
      </c>
      <c r="BE241" s="236">
        <v>35</v>
      </c>
      <c r="BF241" s="237">
        <f t="shared" si="402"/>
        <v>52.55</v>
      </c>
      <c r="BG241" s="253">
        <f t="shared" si="403"/>
        <v>2.7676728869374316</v>
      </c>
      <c r="BH241" s="253" cm="1">
        <f t="array" ref="BH241">$BC241 * SUMPRODUCT(INDEX($AL$77:$AN$82,,$AE241),INDEX($AO$77:$AU$82,,$AD241), N($AK$77:$AK$82&gt;$AI241)) / BG241 / 1000</f>
        <v>0</v>
      </c>
      <c r="BI241" s="250">
        <f t="shared" si="244"/>
        <v>30</v>
      </c>
      <c r="BJ241" s="237">
        <f t="shared" si="404"/>
        <v>46.033333333333331</v>
      </c>
      <c r="BK241" s="253">
        <f t="shared" si="405"/>
        <v>3.2297395388556791</v>
      </c>
      <c r="BL241" s="253" cm="1">
        <f t="array" ref="BL241">$BC241 * IF($AD241&lt;=2,
SUMPRODUCT(INDEX($AL$72:$AN$76,,$AE241), INDEX($AO$72:$AU$76,,$AD241), 1 / ($AV$72:$AV$76*BK241 + (1-$AV$72:$AV$76)*BG241), N($AK$72:$AK$76&gt;$AI241)),
SUMPRODUCT(INDEX($AL$67:$AN$76,,$AE241), INDEX($AO$67:$AU$76,,$AD241), 1 / ($AW$67:$AW$76*BK241 + (1-$AW$67:$AW$76)*BG241), N($AK$67:$AK$76&gt;$AI241))
) / 1000</f>
        <v>0</v>
      </c>
      <c r="BM241" s="250">
        <f t="shared" si="247"/>
        <v>25</v>
      </c>
      <c r="BN241" s="237">
        <f t="shared" si="406"/>
        <v>39.516666666666666</v>
      </c>
      <c r="BO241" s="253">
        <f t="shared" si="407"/>
        <v>3.877011788826243</v>
      </c>
      <c r="BP241" s="253" cm="1">
        <f t="array" ref="BP241">$BC241 * IF($AD241&lt;=2,
SUMPRODUCT(INDEX($AL$67:$AN$71,,$AE241), INDEX($AO$67:$AU$71,,$AD241), 1 / ($AV$67:$AV$71*BO241 + (1-$AV$67:$AV$71)*BK241), N($AK$67:$AK$71&gt;$AI241)),
SUMPRODUCT(INDEX($AL$57:$AN$66,,$AE241), INDEX($AO$57:$AU$66,,$AD241), 1 / ($AW$57:$AW$66*BO241 + (1-$AW$57:$AW$66)*BK241), N($AK$57:$AK$66&gt;$AI241))
) / 1000</f>
        <v>0</v>
      </c>
      <c r="BQ241" s="250">
        <f t="shared" si="250"/>
        <v>20</v>
      </c>
      <c r="BR241" s="237">
        <f t="shared" si="408"/>
        <v>33</v>
      </c>
      <c r="BS241" s="253">
        <f t="shared" si="409"/>
        <v>4.8487499999999999</v>
      </c>
      <c r="BT241" s="253" cm="1">
        <f t="array" ref="BT241">$BC241 * IF($AD241&lt;=2,
SUMPRODUCT(INDEX($AL$62:$AN$66,,$AE241), INDEX($AO$62:$AU$66,,$AD241), 1 / ($AV$62:$AV$66*BS241 + (1-$AV$62:$AV$66)*BO241), N($AK$62:$AK$66&gt;$AI241)),
SUMPRODUCT(INDEX($AL$47:$AN$56,,$AE241), INDEX($AO$47:$AU$56,,$AD241), 1 / ($AW$47:$AW$56*BS241 + (1-$AW$47:$AW$56)*BO241), N($AK$47:$AK$56&gt;$AI241))
) / 1000</f>
        <v>0</v>
      </c>
      <c r="BU241" s="253" cm="1">
        <f t="array" ref="BU241">$BC241 * IF($AD241&lt;=2,
SUMPRODUCT(INDEX($AL$23:$AN$61,,$AE241), INDEX($AO$23:$AU$61,,$AD241), 1 / ($AV$23:$AV$61*BS241), N($AK$23:$AK$61&gt;$AI241)),
SUMPRODUCT(INDEX($AL$23:$AN$46,,$AE241), INDEX($AO$23:$AU$46,,$AD241), 1 / ($AW$23:$AW$46*BS241), N($AK$23:$AK$46&gt;$AI241))
) / 1000</f>
        <v>0</v>
      </c>
      <c r="BV241" s="237">
        <f t="shared" si="410"/>
        <v>0</v>
      </c>
      <c r="BW241" s="210"/>
      <c r="BX241" s="237">
        <f t="shared" si="411"/>
        <v>0</v>
      </c>
      <c r="BY241" s="236">
        <v>35</v>
      </c>
      <c r="BZ241" s="237">
        <f t="shared" si="412"/>
        <v>48</v>
      </c>
      <c r="CA241" s="253">
        <f t="shared" si="413"/>
        <v>3.0748170731707316</v>
      </c>
      <c r="CB241" s="253" cm="1">
        <f t="array" ref="CB241">$BC241 * SUMPRODUCT(INDEX($AL$77:$AN$82,,$AE241),INDEX($AO$77:$AU$82,,$AD241), N($AK$77:$AK$82&gt;$AI241)) / CA241 / 1000</f>
        <v>0</v>
      </c>
      <c r="CC241" s="250">
        <f t="shared" si="257"/>
        <v>30</v>
      </c>
      <c r="CD241" s="237">
        <f t="shared" si="414"/>
        <v>43</v>
      </c>
      <c r="CE241" s="253">
        <f t="shared" si="415"/>
        <v>3.5018750000000001</v>
      </c>
      <c r="CF241" s="253" cm="1">
        <f t="array" ref="CF241">$BC241 * IF($AD241&lt;=2,
SUMPRODUCT(INDEX($AL$72:$AN$76,,$AE241), INDEX($AO$72:$AU$76,,$AD241), 1 / ($AV$72:$AV$76*CE241 + (1-$AV$72:$AV$76)*CA241), N($AK$72:$AK$76&gt;$AI241)),
SUMPRODUCT(INDEX($AL$67:$AN$76,,$AE241), INDEX($AO$67:$AU$76,,$AD241), 1 / ($AW$67:$AW$76*CE241 + (1-$AW$67:$AW$76)*CA241), N($AK$67:$AK$76&gt;$AI241))
) / 1000</f>
        <v>0</v>
      </c>
      <c r="CG241" s="250">
        <f t="shared" si="260"/>
        <v>25</v>
      </c>
      <c r="CH241" s="237">
        <f t="shared" si="416"/>
        <v>38</v>
      </c>
      <c r="CI241" s="253">
        <f t="shared" si="417"/>
        <v>4.0666935483870965</v>
      </c>
      <c r="CJ241" s="253" cm="1">
        <f t="array" ref="CJ241">$BC241 * IF($AD241&lt;=2,
SUMPRODUCT(INDEX($AL$67:$AN$71,,$AE241), INDEX($AO$67:$AU$71,,$AD241), 1 / ($AV$67:$AV$71*CI241 + (1-$AV$67:$AV$71)*CE241), N($AK$67:$AK$71&gt;$AI241)),
SUMPRODUCT(INDEX($AL$57:$AN$66,,$AE241), INDEX($AO$57:$AU$66,,$AD241), 1 / ($AW$57:$AW$66*CI241 + (1-$AW$57:$AW$66)*CE241), N($AK$57:$AK$66&gt;$AI241))
) / 1000</f>
        <v>0</v>
      </c>
      <c r="CK241" s="250">
        <f t="shared" si="263"/>
        <v>20</v>
      </c>
      <c r="CL241" s="237">
        <f t="shared" si="418"/>
        <v>33</v>
      </c>
      <c r="CM241" s="253">
        <f t="shared" si="419"/>
        <v>4.8487499999999999</v>
      </c>
      <c r="CN241" s="253" cm="1">
        <f t="array" ref="CN241">$BC241 * IF($AD241&lt;=2,
SUMPRODUCT(INDEX($AL$62:$AN$66,,$AE241), INDEX($AO$62:$AU$66,,$AD241), 1 / ($AV$62:$AV$66*CM241 + (1-$AV$62:$AV$66)*CI241), N($AK$62:$AK$66&gt;$AI241)),
SUMPRODUCT(INDEX($AL$47:$AN$56,,$AE241), INDEX($AO$47:$AU$56,,$AD241), 1 / ($AW$47:$AW$56*CM241 + (1-$AW$47:$AW$56)*CI241), N($AK$47:$AK$56&gt;$AI241))
) / 1000</f>
        <v>0</v>
      </c>
      <c r="CO241" s="253" cm="1">
        <f t="array" ref="CO241">$BC241 * IF($AD241&lt;=2,
SUMPRODUCT(INDEX($AL$23:$AN$61,,$AE241), INDEX($AO$23:$AU$61,,$AD241), 1 / ($AV$23:$AV$61*CM241), N($AK$23:$AK$61&gt;$AI241)),
SUMPRODUCT(INDEX($AL$23:$AN$46,,$AE241), INDEX($AO$23:$AU$46,,$AD241), 1 / ($AW$23:$AW$46*CM241), N($AK$23:$AK$46&gt;$AI241))
) / 1000</f>
        <v>0</v>
      </c>
      <c r="CP241" s="237">
        <f t="shared" si="420"/>
        <v>0</v>
      </c>
      <c r="CQ241" s="210"/>
    </row>
    <row r="242" spans="1:95" s="76" customFormat="1" ht="14.25" customHeight="1" x14ac:dyDescent="0.2">
      <c r="A242" s="238" t="b">
        <f t="shared" si="227"/>
        <v>0</v>
      </c>
      <c r="B242" s="239">
        <v>220</v>
      </c>
      <c r="C242" s="258"/>
      <c r="D242" s="258"/>
      <c r="E242" s="240"/>
      <c r="F242" s="241" t="str">
        <f>IF(ISBLANK(E242), "", VLOOKUP(E242, Z!$A$2:$C$4127, 3, FALSE))</f>
        <v/>
      </c>
      <c r="G242" s="242"/>
      <c r="H242" s="242"/>
      <c r="I242" s="243"/>
      <c r="J242" s="244"/>
      <c r="K242" s="259"/>
      <c r="L242" s="260"/>
      <c r="M242" s="247" t="str" cm="1">
        <f t="array" ref="M242">IF($K242&gt;0, INDEX(Clean,1+AG242,$C$1), "")</f>
        <v/>
      </c>
      <c r="N242" s="245"/>
      <c r="O242" s="245"/>
      <c r="P242" s="246"/>
      <c r="Q242" s="248">
        <f t="shared" si="397"/>
        <v>0</v>
      </c>
      <c r="R242" s="247" t="str" cm="1">
        <f t="array" ref="R242">IF($K242&gt;0, INDEX(Clean,1+AH242,$C$1), "")</f>
        <v/>
      </c>
      <c r="S242" s="245"/>
      <c r="T242" s="245"/>
      <c r="U242" s="246"/>
      <c r="V242" s="248">
        <f t="shared" si="398"/>
        <v>0</v>
      </c>
      <c r="W242" s="261"/>
      <c r="X242" s="258"/>
      <c r="Y242" s="240"/>
      <c r="Z242" s="241" t="str">
        <f>IF(ISBLANK(Y242), "", VLOOKUP(Y242, Z!$A$2:$C$4127, 3, FALSE))</f>
        <v/>
      </c>
      <c r="AA242" s="262"/>
      <c r="AB242" s="249">
        <f t="shared" si="424"/>
        <v>0</v>
      </c>
      <c r="AC242" s="210"/>
      <c r="AD242" s="236">
        <f t="shared" si="421"/>
        <v>1</v>
      </c>
      <c r="AE242" s="236">
        <f t="shared" si="422"/>
        <v>1</v>
      </c>
      <c r="AF242" s="236">
        <f t="shared" si="423"/>
        <v>0</v>
      </c>
      <c r="AG242" s="236">
        <v>1</v>
      </c>
      <c r="AH242" s="236">
        <v>0</v>
      </c>
      <c r="AI242" s="236">
        <f t="shared" si="399"/>
        <v>-100</v>
      </c>
      <c r="AJ242" s="210"/>
      <c r="AK242" s="254"/>
      <c r="AL242" s="254"/>
      <c r="AM242" s="255"/>
      <c r="AN242" s="255"/>
      <c r="AO242" s="255"/>
      <c r="AP242" s="255"/>
      <c r="AQ242" s="255"/>
      <c r="AR242" s="255"/>
      <c r="AS242" s="255"/>
      <c r="AT242" s="255"/>
      <c r="AU242" s="255"/>
      <c r="AV242" s="255"/>
      <c r="AW242" s="255"/>
      <c r="AX242" s="210"/>
      <c r="AY242" s="236" cm="1">
        <f t="array" ref="AY242">INDEX(Use, $AD242, 4)</f>
        <v>7</v>
      </c>
      <c r="AZ242" s="236">
        <f t="shared" si="400"/>
        <v>32</v>
      </c>
      <c r="BA242" s="236">
        <f t="shared" si="239"/>
        <v>13</v>
      </c>
      <c r="BB242" s="236">
        <f t="shared" si="240"/>
        <v>0</v>
      </c>
      <c r="BC242" s="252" cm="1">
        <f t="array" ref="BC242">K242/IF($L242&gt;0, INDEX($AO$23:$AU$77, $L242+20, $AD242), 1)</f>
        <v>0</v>
      </c>
      <c r="BD242" s="237">
        <f t="shared" si="401"/>
        <v>0</v>
      </c>
      <c r="BE242" s="236">
        <v>35</v>
      </c>
      <c r="BF242" s="237">
        <f t="shared" si="402"/>
        <v>52.55</v>
      </c>
      <c r="BG242" s="253">
        <f t="shared" si="403"/>
        <v>2.7676728869374316</v>
      </c>
      <c r="BH242" s="253" cm="1">
        <f t="array" ref="BH242">$BC242 * SUMPRODUCT(INDEX($AL$77:$AN$82,,$AE242),INDEX($AO$77:$AU$82,,$AD242), N($AK$77:$AK$82&gt;$AI242)) / BG242 / 1000</f>
        <v>0</v>
      </c>
      <c r="BI242" s="250">
        <f t="shared" si="244"/>
        <v>30</v>
      </c>
      <c r="BJ242" s="237">
        <f t="shared" si="404"/>
        <v>46.033333333333331</v>
      </c>
      <c r="BK242" s="253">
        <f t="shared" si="405"/>
        <v>3.2297395388556791</v>
      </c>
      <c r="BL242" s="253" cm="1">
        <f t="array" ref="BL242">$BC242 * IF($AD242&lt;=2,
SUMPRODUCT(INDEX($AL$72:$AN$76,,$AE242), INDEX($AO$72:$AU$76,,$AD242), 1 / ($AV$72:$AV$76*BK242 + (1-$AV$72:$AV$76)*BG242), N($AK$72:$AK$76&gt;$AI242)),
SUMPRODUCT(INDEX($AL$67:$AN$76,,$AE242), INDEX($AO$67:$AU$76,,$AD242), 1 / ($AW$67:$AW$76*BK242 + (1-$AW$67:$AW$76)*BG242), N($AK$67:$AK$76&gt;$AI242))
) / 1000</f>
        <v>0</v>
      </c>
      <c r="BM242" s="250">
        <f t="shared" si="247"/>
        <v>25</v>
      </c>
      <c r="BN242" s="237">
        <f t="shared" si="406"/>
        <v>39.516666666666666</v>
      </c>
      <c r="BO242" s="253">
        <f t="shared" si="407"/>
        <v>3.877011788826243</v>
      </c>
      <c r="BP242" s="253" cm="1">
        <f t="array" ref="BP242">$BC242 * IF($AD242&lt;=2,
SUMPRODUCT(INDEX($AL$67:$AN$71,,$AE242), INDEX($AO$67:$AU$71,,$AD242), 1 / ($AV$67:$AV$71*BO242 + (1-$AV$67:$AV$71)*BK242), N($AK$67:$AK$71&gt;$AI242)),
SUMPRODUCT(INDEX($AL$57:$AN$66,,$AE242), INDEX($AO$57:$AU$66,,$AD242), 1 / ($AW$57:$AW$66*BO242 + (1-$AW$57:$AW$66)*BK242), N($AK$57:$AK$66&gt;$AI242))
) / 1000</f>
        <v>0</v>
      </c>
      <c r="BQ242" s="250">
        <f t="shared" si="250"/>
        <v>20</v>
      </c>
      <c r="BR242" s="237">
        <f t="shared" si="408"/>
        <v>33</v>
      </c>
      <c r="BS242" s="253">
        <f t="shared" si="409"/>
        <v>4.8487499999999999</v>
      </c>
      <c r="BT242" s="253" cm="1">
        <f t="array" ref="BT242">$BC242 * IF($AD242&lt;=2,
SUMPRODUCT(INDEX($AL$62:$AN$66,,$AE242), INDEX($AO$62:$AU$66,,$AD242), 1 / ($AV$62:$AV$66*BS242 + (1-$AV$62:$AV$66)*BO242), N($AK$62:$AK$66&gt;$AI242)),
SUMPRODUCT(INDEX($AL$47:$AN$56,,$AE242), INDEX($AO$47:$AU$56,,$AD242), 1 / ($AW$47:$AW$56*BS242 + (1-$AW$47:$AW$56)*BO242), N($AK$47:$AK$56&gt;$AI242))
) / 1000</f>
        <v>0</v>
      </c>
      <c r="BU242" s="253" cm="1">
        <f t="array" ref="BU242">$BC242 * IF($AD242&lt;=2,
SUMPRODUCT(INDEX($AL$23:$AN$61,,$AE242), INDEX($AO$23:$AU$61,,$AD242), 1 / ($AV$23:$AV$61*BS242), N($AK$23:$AK$61&gt;$AI242)),
SUMPRODUCT(INDEX($AL$23:$AN$46,,$AE242), INDEX($AO$23:$AU$46,,$AD242), 1 / ($AW$23:$AW$46*BS242), N($AK$23:$AK$46&gt;$AI242))
) / 1000</f>
        <v>0</v>
      </c>
      <c r="BV242" s="237">
        <f t="shared" si="410"/>
        <v>0</v>
      </c>
      <c r="BW242" s="210"/>
      <c r="BX242" s="237">
        <f t="shared" si="411"/>
        <v>0</v>
      </c>
      <c r="BY242" s="236">
        <v>35</v>
      </c>
      <c r="BZ242" s="237">
        <f t="shared" si="412"/>
        <v>48</v>
      </c>
      <c r="CA242" s="253">
        <f t="shared" si="413"/>
        <v>3.0748170731707316</v>
      </c>
      <c r="CB242" s="253" cm="1">
        <f t="array" ref="CB242">$BC242 * SUMPRODUCT(INDEX($AL$77:$AN$82,,$AE242),INDEX($AO$77:$AU$82,,$AD242), N($AK$77:$AK$82&gt;$AI242)) / CA242 / 1000</f>
        <v>0</v>
      </c>
      <c r="CC242" s="250">
        <f t="shared" si="257"/>
        <v>30</v>
      </c>
      <c r="CD242" s="237">
        <f t="shared" si="414"/>
        <v>43</v>
      </c>
      <c r="CE242" s="253">
        <f t="shared" si="415"/>
        <v>3.5018750000000001</v>
      </c>
      <c r="CF242" s="253" cm="1">
        <f t="array" ref="CF242">$BC242 * IF($AD242&lt;=2,
SUMPRODUCT(INDEX($AL$72:$AN$76,,$AE242), INDEX($AO$72:$AU$76,,$AD242), 1 / ($AV$72:$AV$76*CE242 + (1-$AV$72:$AV$76)*CA242), N($AK$72:$AK$76&gt;$AI242)),
SUMPRODUCT(INDEX($AL$67:$AN$76,,$AE242), INDEX($AO$67:$AU$76,,$AD242), 1 / ($AW$67:$AW$76*CE242 + (1-$AW$67:$AW$76)*CA242), N($AK$67:$AK$76&gt;$AI242))
) / 1000</f>
        <v>0</v>
      </c>
      <c r="CG242" s="250">
        <f t="shared" si="260"/>
        <v>25</v>
      </c>
      <c r="CH242" s="237">
        <f t="shared" si="416"/>
        <v>38</v>
      </c>
      <c r="CI242" s="253">
        <f t="shared" si="417"/>
        <v>4.0666935483870965</v>
      </c>
      <c r="CJ242" s="253" cm="1">
        <f t="array" ref="CJ242">$BC242 * IF($AD242&lt;=2,
SUMPRODUCT(INDEX($AL$67:$AN$71,,$AE242), INDEX($AO$67:$AU$71,,$AD242), 1 / ($AV$67:$AV$71*CI242 + (1-$AV$67:$AV$71)*CE242), N($AK$67:$AK$71&gt;$AI242)),
SUMPRODUCT(INDEX($AL$57:$AN$66,,$AE242), INDEX($AO$57:$AU$66,,$AD242), 1 / ($AW$57:$AW$66*CI242 + (1-$AW$57:$AW$66)*CE242), N($AK$57:$AK$66&gt;$AI242))
) / 1000</f>
        <v>0</v>
      </c>
      <c r="CK242" s="250">
        <f t="shared" si="263"/>
        <v>20</v>
      </c>
      <c r="CL242" s="237">
        <f t="shared" si="418"/>
        <v>33</v>
      </c>
      <c r="CM242" s="253">
        <f t="shared" si="419"/>
        <v>4.8487499999999999</v>
      </c>
      <c r="CN242" s="253" cm="1">
        <f t="array" ref="CN242">$BC242 * IF($AD242&lt;=2,
SUMPRODUCT(INDEX($AL$62:$AN$66,,$AE242), INDEX($AO$62:$AU$66,,$AD242), 1 / ($AV$62:$AV$66*CM242 + (1-$AV$62:$AV$66)*CI242), N($AK$62:$AK$66&gt;$AI242)),
SUMPRODUCT(INDEX($AL$47:$AN$56,,$AE242), INDEX($AO$47:$AU$56,,$AD242), 1 / ($AW$47:$AW$56*CM242 + (1-$AW$47:$AW$56)*CI242), N($AK$47:$AK$56&gt;$AI242))
) / 1000</f>
        <v>0</v>
      </c>
      <c r="CO242" s="253" cm="1">
        <f t="array" ref="CO242">$BC242 * IF($AD242&lt;=2,
SUMPRODUCT(INDEX($AL$23:$AN$61,,$AE242), INDEX($AO$23:$AU$61,,$AD242), 1 / ($AV$23:$AV$61*CM242), N($AK$23:$AK$61&gt;$AI242)),
SUMPRODUCT(INDEX($AL$23:$AN$46,,$AE242), INDEX($AO$23:$AU$46,,$AD242), 1 / ($AW$23:$AW$46*CM242), N($AK$23:$AK$46&gt;$AI242))
) / 1000</f>
        <v>0</v>
      </c>
      <c r="CP242" s="237">
        <f t="shared" si="420"/>
        <v>0</v>
      </c>
      <c r="CQ242" s="210"/>
    </row>
    <row r="243" spans="1:95" s="76" customFormat="1" ht="14.25" customHeight="1" x14ac:dyDescent="0.2">
      <c r="A243" s="238" t="b">
        <f t="shared" si="227"/>
        <v>0</v>
      </c>
      <c r="B243" s="239">
        <v>221</v>
      </c>
      <c r="C243" s="258"/>
      <c r="D243" s="258"/>
      <c r="E243" s="240"/>
      <c r="F243" s="241" t="str">
        <f>IF(ISBLANK(E243), "", VLOOKUP(E243, Z!$A$2:$C$4127, 3, FALSE))</f>
        <v/>
      </c>
      <c r="G243" s="242"/>
      <c r="H243" s="242"/>
      <c r="I243" s="243"/>
      <c r="J243" s="244"/>
      <c r="K243" s="259"/>
      <c r="L243" s="260"/>
      <c r="M243" s="247" t="str" cm="1">
        <f t="array" ref="M243">IF($K243&gt;0, INDEX(Clean,1+AG243,$C$1), "")</f>
        <v/>
      </c>
      <c r="N243" s="245"/>
      <c r="O243" s="245"/>
      <c r="P243" s="246"/>
      <c r="Q243" s="248">
        <f t="shared" si="397"/>
        <v>0</v>
      </c>
      <c r="R243" s="247" t="str" cm="1">
        <f t="array" ref="R243">IF($K243&gt;0, INDEX(Clean,1+AH243,$C$1), "")</f>
        <v/>
      </c>
      <c r="S243" s="245"/>
      <c r="T243" s="245"/>
      <c r="U243" s="246"/>
      <c r="V243" s="248">
        <f t="shared" si="398"/>
        <v>0</v>
      </c>
      <c r="W243" s="261"/>
      <c r="X243" s="258"/>
      <c r="Y243" s="240"/>
      <c r="Z243" s="241" t="str">
        <f>IF(ISBLANK(Y243), "", VLOOKUP(Y243, Z!$A$2:$C$4127, 3, FALSE))</f>
        <v/>
      </c>
      <c r="AA243" s="262"/>
      <c r="AB243" s="249">
        <f t="shared" si="424"/>
        <v>0</v>
      </c>
      <c r="AC243" s="210"/>
      <c r="AD243" s="236">
        <f t="shared" si="421"/>
        <v>1</v>
      </c>
      <c r="AE243" s="236">
        <f t="shared" si="422"/>
        <v>1</v>
      </c>
      <c r="AF243" s="236">
        <f t="shared" si="423"/>
        <v>0</v>
      </c>
      <c r="AG243" s="236">
        <v>1</v>
      </c>
      <c r="AH243" s="236">
        <v>0</v>
      </c>
      <c r="AI243" s="236">
        <f t="shared" si="399"/>
        <v>-100</v>
      </c>
      <c r="AJ243" s="210"/>
      <c r="AK243" s="254"/>
      <c r="AL243" s="254"/>
      <c r="AM243" s="255"/>
      <c r="AN243" s="255"/>
      <c r="AO243" s="255"/>
      <c r="AP243" s="255"/>
      <c r="AQ243" s="255"/>
      <c r="AR243" s="255"/>
      <c r="AS243" s="255"/>
      <c r="AT243" s="255"/>
      <c r="AU243" s="255"/>
      <c r="AV243" s="255"/>
      <c r="AW243" s="255"/>
      <c r="AX243" s="210"/>
      <c r="AY243" s="236" cm="1">
        <f t="array" ref="AY243">INDEX(Use, $AD243, 4)</f>
        <v>7</v>
      </c>
      <c r="AZ243" s="236">
        <f t="shared" si="400"/>
        <v>32</v>
      </c>
      <c r="BA243" s="236">
        <f t="shared" si="239"/>
        <v>13</v>
      </c>
      <c r="BB243" s="236">
        <f t="shared" si="240"/>
        <v>0</v>
      </c>
      <c r="BC243" s="252" cm="1">
        <f t="array" ref="BC243">K243/IF($L243&gt;0, INDEX($AO$23:$AU$77, $L243+20, $AD243), 1)</f>
        <v>0</v>
      </c>
      <c r="BD243" s="237">
        <f t="shared" si="401"/>
        <v>0</v>
      </c>
      <c r="BE243" s="236">
        <v>35</v>
      </c>
      <c r="BF243" s="237">
        <f t="shared" si="402"/>
        <v>52.55</v>
      </c>
      <c r="BG243" s="253">
        <f t="shared" si="403"/>
        <v>2.7676728869374316</v>
      </c>
      <c r="BH243" s="253" cm="1">
        <f t="array" ref="BH243">$BC243 * SUMPRODUCT(INDEX($AL$77:$AN$82,,$AE243),INDEX($AO$77:$AU$82,,$AD243), N($AK$77:$AK$82&gt;$AI243)) / BG243 / 1000</f>
        <v>0</v>
      </c>
      <c r="BI243" s="250">
        <f t="shared" si="244"/>
        <v>30</v>
      </c>
      <c r="BJ243" s="237">
        <f t="shared" si="404"/>
        <v>46.033333333333331</v>
      </c>
      <c r="BK243" s="253">
        <f t="shared" si="405"/>
        <v>3.2297395388556791</v>
      </c>
      <c r="BL243" s="253" cm="1">
        <f t="array" ref="BL243">$BC243 * IF($AD243&lt;=2,
SUMPRODUCT(INDEX($AL$72:$AN$76,,$AE243), INDEX($AO$72:$AU$76,,$AD243), 1 / ($AV$72:$AV$76*BK243 + (1-$AV$72:$AV$76)*BG243), N($AK$72:$AK$76&gt;$AI243)),
SUMPRODUCT(INDEX($AL$67:$AN$76,,$AE243), INDEX($AO$67:$AU$76,,$AD243), 1 / ($AW$67:$AW$76*BK243 + (1-$AW$67:$AW$76)*BG243), N($AK$67:$AK$76&gt;$AI243))
) / 1000</f>
        <v>0</v>
      </c>
      <c r="BM243" s="250">
        <f t="shared" si="247"/>
        <v>25</v>
      </c>
      <c r="BN243" s="237">
        <f t="shared" si="406"/>
        <v>39.516666666666666</v>
      </c>
      <c r="BO243" s="253">
        <f t="shared" si="407"/>
        <v>3.877011788826243</v>
      </c>
      <c r="BP243" s="253" cm="1">
        <f t="array" ref="BP243">$BC243 * IF($AD243&lt;=2,
SUMPRODUCT(INDEX($AL$67:$AN$71,,$AE243), INDEX($AO$67:$AU$71,,$AD243), 1 / ($AV$67:$AV$71*BO243 + (1-$AV$67:$AV$71)*BK243), N($AK$67:$AK$71&gt;$AI243)),
SUMPRODUCT(INDEX($AL$57:$AN$66,,$AE243), INDEX($AO$57:$AU$66,,$AD243), 1 / ($AW$57:$AW$66*BO243 + (1-$AW$57:$AW$66)*BK243), N($AK$57:$AK$66&gt;$AI243))
) / 1000</f>
        <v>0</v>
      </c>
      <c r="BQ243" s="250">
        <f t="shared" si="250"/>
        <v>20</v>
      </c>
      <c r="BR243" s="237">
        <f t="shared" si="408"/>
        <v>33</v>
      </c>
      <c r="BS243" s="253">
        <f t="shared" si="409"/>
        <v>4.8487499999999999</v>
      </c>
      <c r="BT243" s="253" cm="1">
        <f t="array" ref="BT243">$BC243 * IF($AD243&lt;=2,
SUMPRODUCT(INDEX($AL$62:$AN$66,,$AE243), INDEX($AO$62:$AU$66,,$AD243), 1 / ($AV$62:$AV$66*BS243 + (1-$AV$62:$AV$66)*BO243), N($AK$62:$AK$66&gt;$AI243)),
SUMPRODUCT(INDEX($AL$47:$AN$56,,$AE243), INDEX($AO$47:$AU$56,,$AD243), 1 / ($AW$47:$AW$56*BS243 + (1-$AW$47:$AW$56)*BO243), N($AK$47:$AK$56&gt;$AI243))
) / 1000</f>
        <v>0</v>
      </c>
      <c r="BU243" s="253" cm="1">
        <f t="array" ref="BU243">$BC243 * IF($AD243&lt;=2,
SUMPRODUCT(INDEX($AL$23:$AN$61,,$AE243), INDEX($AO$23:$AU$61,,$AD243), 1 / ($AV$23:$AV$61*BS243), N($AK$23:$AK$61&gt;$AI243)),
SUMPRODUCT(INDEX($AL$23:$AN$46,,$AE243), INDEX($AO$23:$AU$46,,$AD243), 1 / ($AW$23:$AW$46*BS243), N($AK$23:$AK$46&gt;$AI243))
) / 1000</f>
        <v>0</v>
      </c>
      <c r="BV243" s="237">
        <f t="shared" si="410"/>
        <v>0</v>
      </c>
      <c r="BW243" s="210"/>
      <c r="BX243" s="237">
        <f t="shared" si="411"/>
        <v>0</v>
      </c>
      <c r="BY243" s="236">
        <v>35</v>
      </c>
      <c r="BZ243" s="237">
        <f t="shared" si="412"/>
        <v>48</v>
      </c>
      <c r="CA243" s="253">
        <f t="shared" si="413"/>
        <v>3.0748170731707316</v>
      </c>
      <c r="CB243" s="253" cm="1">
        <f t="array" ref="CB243">$BC243 * SUMPRODUCT(INDEX($AL$77:$AN$82,,$AE243),INDEX($AO$77:$AU$82,,$AD243), N($AK$77:$AK$82&gt;$AI243)) / CA243 / 1000</f>
        <v>0</v>
      </c>
      <c r="CC243" s="250">
        <f t="shared" si="257"/>
        <v>30</v>
      </c>
      <c r="CD243" s="237">
        <f t="shared" si="414"/>
        <v>43</v>
      </c>
      <c r="CE243" s="253">
        <f t="shared" si="415"/>
        <v>3.5018750000000001</v>
      </c>
      <c r="CF243" s="253" cm="1">
        <f t="array" ref="CF243">$BC243 * IF($AD243&lt;=2,
SUMPRODUCT(INDEX($AL$72:$AN$76,,$AE243), INDEX($AO$72:$AU$76,,$AD243), 1 / ($AV$72:$AV$76*CE243 + (1-$AV$72:$AV$76)*CA243), N($AK$72:$AK$76&gt;$AI243)),
SUMPRODUCT(INDEX($AL$67:$AN$76,,$AE243), INDEX($AO$67:$AU$76,,$AD243), 1 / ($AW$67:$AW$76*CE243 + (1-$AW$67:$AW$76)*CA243), N($AK$67:$AK$76&gt;$AI243))
) / 1000</f>
        <v>0</v>
      </c>
      <c r="CG243" s="250">
        <f t="shared" si="260"/>
        <v>25</v>
      </c>
      <c r="CH243" s="237">
        <f t="shared" si="416"/>
        <v>38</v>
      </c>
      <c r="CI243" s="253">
        <f t="shared" si="417"/>
        <v>4.0666935483870965</v>
      </c>
      <c r="CJ243" s="253" cm="1">
        <f t="array" ref="CJ243">$BC243 * IF($AD243&lt;=2,
SUMPRODUCT(INDEX($AL$67:$AN$71,,$AE243), INDEX($AO$67:$AU$71,,$AD243), 1 / ($AV$67:$AV$71*CI243 + (1-$AV$67:$AV$71)*CE243), N($AK$67:$AK$71&gt;$AI243)),
SUMPRODUCT(INDEX($AL$57:$AN$66,,$AE243), INDEX($AO$57:$AU$66,,$AD243), 1 / ($AW$57:$AW$66*CI243 + (1-$AW$57:$AW$66)*CE243), N($AK$57:$AK$66&gt;$AI243))
) / 1000</f>
        <v>0</v>
      </c>
      <c r="CK243" s="250">
        <f t="shared" si="263"/>
        <v>20</v>
      </c>
      <c r="CL243" s="237">
        <f t="shared" si="418"/>
        <v>33</v>
      </c>
      <c r="CM243" s="253">
        <f t="shared" si="419"/>
        <v>4.8487499999999999</v>
      </c>
      <c r="CN243" s="253" cm="1">
        <f t="array" ref="CN243">$BC243 * IF($AD243&lt;=2,
SUMPRODUCT(INDEX($AL$62:$AN$66,,$AE243), INDEX($AO$62:$AU$66,,$AD243), 1 / ($AV$62:$AV$66*CM243 + (1-$AV$62:$AV$66)*CI243), N($AK$62:$AK$66&gt;$AI243)),
SUMPRODUCT(INDEX($AL$47:$AN$56,,$AE243), INDEX($AO$47:$AU$56,,$AD243), 1 / ($AW$47:$AW$56*CM243 + (1-$AW$47:$AW$56)*CI243), N($AK$47:$AK$56&gt;$AI243))
) / 1000</f>
        <v>0</v>
      </c>
      <c r="CO243" s="253" cm="1">
        <f t="array" ref="CO243">$BC243 * IF($AD243&lt;=2,
SUMPRODUCT(INDEX($AL$23:$AN$61,,$AE243), INDEX($AO$23:$AU$61,,$AD243), 1 / ($AV$23:$AV$61*CM243), N($AK$23:$AK$61&gt;$AI243)),
SUMPRODUCT(INDEX($AL$23:$AN$46,,$AE243), INDEX($AO$23:$AU$46,,$AD243), 1 / ($AW$23:$AW$46*CM243), N($AK$23:$AK$46&gt;$AI243))
) / 1000</f>
        <v>0</v>
      </c>
      <c r="CP243" s="237">
        <f t="shared" si="420"/>
        <v>0</v>
      </c>
      <c r="CQ243" s="210"/>
    </row>
    <row r="244" spans="1:95" s="76" customFormat="1" ht="14.25" customHeight="1" x14ac:dyDescent="0.2">
      <c r="A244" s="238" t="b">
        <f t="shared" si="227"/>
        <v>0</v>
      </c>
      <c r="B244" s="239">
        <v>222</v>
      </c>
      <c r="C244" s="258"/>
      <c r="D244" s="258"/>
      <c r="E244" s="240"/>
      <c r="F244" s="241" t="str">
        <f>IF(ISBLANK(E244), "", VLOOKUP(E244, Z!$A$2:$C$4127, 3, FALSE))</f>
        <v/>
      </c>
      <c r="G244" s="242"/>
      <c r="H244" s="242"/>
      <c r="I244" s="243"/>
      <c r="J244" s="244"/>
      <c r="K244" s="259"/>
      <c r="L244" s="260"/>
      <c r="M244" s="247" t="str" cm="1">
        <f t="array" ref="M244">IF($K244&gt;0, INDEX(Clean,1+AG244,$C$1), "")</f>
        <v/>
      </c>
      <c r="N244" s="245"/>
      <c r="O244" s="245"/>
      <c r="P244" s="246"/>
      <c r="Q244" s="248">
        <f t="shared" si="397"/>
        <v>0</v>
      </c>
      <c r="R244" s="247" t="str" cm="1">
        <f t="array" ref="R244">IF($K244&gt;0, INDEX(Clean,1+AH244,$C$1), "")</f>
        <v/>
      </c>
      <c r="S244" s="245"/>
      <c r="T244" s="245"/>
      <c r="U244" s="246"/>
      <c r="V244" s="248">
        <f t="shared" si="398"/>
        <v>0</v>
      </c>
      <c r="W244" s="261"/>
      <c r="X244" s="258"/>
      <c r="Y244" s="240"/>
      <c r="Z244" s="241" t="str">
        <f>IF(ISBLANK(Y244), "", VLOOKUP(Y244, Z!$A$2:$C$4127, 3, FALSE))</f>
        <v/>
      </c>
      <c r="AA244" s="262"/>
      <c r="AB244" s="249">
        <f t="shared" si="424"/>
        <v>0</v>
      </c>
      <c r="AC244" s="210"/>
      <c r="AD244" s="236">
        <f t="shared" si="421"/>
        <v>1</v>
      </c>
      <c r="AE244" s="236">
        <f t="shared" si="422"/>
        <v>1</v>
      </c>
      <c r="AF244" s="236">
        <f t="shared" si="423"/>
        <v>0</v>
      </c>
      <c r="AG244" s="236">
        <v>1</v>
      </c>
      <c r="AH244" s="236">
        <v>0</v>
      </c>
      <c r="AI244" s="236">
        <f t="shared" si="399"/>
        <v>-100</v>
      </c>
      <c r="AJ244" s="210"/>
      <c r="AK244" s="254"/>
      <c r="AL244" s="254"/>
      <c r="AM244" s="255"/>
      <c r="AN244" s="255"/>
      <c r="AO244" s="255"/>
      <c r="AP244" s="255"/>
      <c r="AQ244" s="255"/>
      <c r="AR244" s="255"/>
      <c r="AS244" s="255"/>
      <c r="AT244" s="255"/>
      <c r="AU244" s="255"/>
      <c r="AV244" s="255"/>
      <c r="AW244" s="255"/>
      <c r="AX244" s="210"/>
      <c r="AY244" s="236" cm="1">
        <f t="array" ref="AY244">INDEX(Use, $AD244, 4)</f>
        <v>7</v>
      </c>
      <c r="AZ244" s="236">
        <f t="shared" si="400"/>
        <v>32</v>
      </c>
      <c r="BA244" s="236">
        <f t="shared" si="239"/>
        <v>13</v>
      </c>
      <c r="BB244" s="236">
        <f t="shared" si="240"/>
        <v>0</v>
      </c>
      <c r="BC244" s="252" cm="1">
        <f t="array" ref="BC244">K244/IF($L244&gt;0, INDEX($AO$23:$AU$77, $L244+20, $AD244), 1)</f>
        <v>0</v>
      </c>
      <c r="BD244" s="237">
        <f t="shared" si="401"/>
        <v>0</v>
      </c>
      <c r="BE244" s="236">
        <v>35</v>
      </c>
      <c r="BF244" s="237">
        <f t="shared" si="402"/>
        <v>52.55</v>
      </c>
      <c r="BG244" s="253">
        <f t="shared" si="403"/>
        <v>2.7676728869374316</v>
      </c>
      <c r="BH244" s="253" cm="1">
        <f t="array" ref="BH244">$BC244 * SUMPRODUCT(INDEX($AL$77:$AN$82,,$AE244),INDEX($AO$77:$AU$82,,$AD244), N($AK$77:$AK$82&gt;$AI244)) / BG244 / 1000</f>
        <v>0</v>
      </c>
      <c r="BI244" s="250">
        <f t="shared" si="244"/>
        <v>30</v>
      </c>
      <c r="BJ244" s="237">
        <f t="shared" si="404"/>
        <v>46.033333333333331</v>
      </c>
      <c r="BK244" s="253">
        <f t="shared" si="405"/>
        <v>3.2297395388556791</v>
      </c>
      <c r="BL244" s="253" cm="1">
        <f t="array" ref="BL244">$BC244 * IF($AD244&lt;=2,
SUMPRODUCT(INDEX($AL$72:$AN$76,,$AE244), INDEX($AO$72:$AU$76,,$AD244), 1 / ($AV$72:$AV$76*BK244 + (1-$AV$72:$AV$76)*BG244), N($AK$72:$AK$76&gt;$AI244)),
SUMPRODUCT(INDEX($AL$67:$AN$76,,$AE244), INDEX($AO$67:$AU$76,,$AD244), 1 / ($AW$67:$AW$76*BK244 + (1-$AW$67:$AW$76)*BG244), N($AK$67:$AK$76&gt;$AI244))
) / 1000</f>
        <v>0</v>
      </c>
      <c r="BM244" s="250">
        <f t="shared" si="247"/>
        <v>25</v>
      </c>
      <c r="BN244" s="237">
        <f t="shared" si="406"/>
        <v>39.516666666666666</v>
      </c>
      <c r="BO244" s="253">
        <f t="shared" si="407"/>
        <v>3.877011788826243</v>
      </c>
      <c r="BP244" s="253" cm="1">
        <f t="array" ref="BP244">$BC244 * IF($AD244&lt;=2,
SUMPRODUCT(INDEX($AL$67:$AN$71,,$AE244), INDEX($AO$67:$AU$71,,$AD244), 1 / ($AV$67:$AV$71*BO244 + (1-$AV$67:$AV$71)*BK244), N($AK$67:$AK$71&gt;$AI244)),
SUMPRODUCT(INDEX($AL$57:$AN$66,,$AE244), INDEX($AO$57:$AU$66,,$AD244), 1 / ($AW$57:$AW$66*BO244 + (1-$AW$57:$AW$66)*BK244), N($AK$57:$AK$66&gt;$AI244))
) / 1000</f>
        <v>0</v>
      </c>
      <c r="BQ244" s="250">
        <f t="shared" si="250"/>
        <v>20</v>
      </c>
      <c r="BR244" s="237">
        <f t="shared" si="408"/>
        <v>33</v>
      </c>
      <c r="BS244" s="253">
        <f t="shared" si="409"/>
        <v>4.8487499999999999</v>
      </c>
      <c r="BT244" s="253" cm="1">
        <f t="array" ref="BT244">$BC244 * IF($AD244&lt;=2,
SUMPRODUCT(INDEX($AL$62:$AN$66,,$AE244), INDEX($AO$62:$AU$66,,$AD244), 1 / ($AV$62:$AV$66*BS244 + (1-$AV$62:$AV$66)*BO244), N($AK$62:$AK$66&gt;$AI244)),
SUMPRODUCT(INDEX($AL$47:$AN$56,,$AE244), INDEX($AO$47:$AU$56,,$AD244), 1 / ($AW$47:$AW$56*BS244 + (1-$AW$47:$AW$56)*BO244), N($AK$47:$AK$56&gt;$AI244))
) / 1000</f>
        <v>0</v>
      </c>
      <c r="BU244" s="253" cm="1">
        <f t="array" ref="BU244">$BC244 * IF($AD244&lt;=2,
SUMPRODUCT(INDEX($AL$23:$AN$61,,$AE244), INDEX($AO$23:$AU$61,,$AD244), 1 / ($AV$23:$AV$61*BS244), N($AK$23:$AK$61&gt;$AI244)),
SUMPRODUCT(INDEX($AL$23:$AN$46,,$AE244), INDEX($AO$23:$AU$46,,$AD244), 1 / ($AW$23:$AW$46*BS244), N($AK$23:$AK$46&gt;$AI244))
) / 1000</f>
        <v>0</v>
      </c>
      <c r="BV244" s="237">
        <f t="shared" si="410"/>
        <v>0</v>
      </c>
      <c r="BW244" s="210"/>
      <c r="BX244" s="237">
        <f t="shared" si="411"/>
        <v>0</v>
      </c>
      <c r="BY244" s="236">
        <v>35</v>
      </c>
      <c r="BZ244" s="237">
        <f t="shared" si="412"/>
        <v>48</v>
      </c>
      <c r="CA244" s="253">
        <f t="shared" si="413"/>
        <v>3.0748170731707316</v>
      </c>
      <c r="CB244" s="253" cm="1">
        <f t="array" ref="CB244">$BC244 * SUMPRODUCT(INDEX($AL$77:$AN$82,,$AE244),INDEX($AO$77:$AU$82,,$AD244), N($AK$77:$AK$82&gt;$AI244)) / CA244 / 1000</f>
        <v>0</v>
      </c>
      <c r="CC244" s="250">
        <f t="shared" si="257"/>
        <v>30</v>
      </c>
      <c r="CD244" s="237">
        <f t="shared" si="414"/>
        <v>43</v>
      </c>
      <c r="CE244" s="253">
        <f t="shared" si="415"/>
        <v>3.5018750000000001</v>
      </c>
      <c r="CF244" s="253" cm="1">
        <f t="array" ref="CF244">$BC244 * IF($AD244&lt;=2,
SUMPRODUCT(INDEX($AL$72:$AN$76,,$AE244), INDEX($AO$72:$AU$76,,$AD244), 1 / ($AV$72:$AV$76*CE244 + (1-$AV$72:$AV$76)*CA244), N($AK$72:$AK$76&gt;$AI244)),
SUMPRODUCT(INDEX($AL$67:$AN$76,,$AE244), INDEX($AO$67:$AU$76,,$AD244), 1 / ($AW$67:$AW$76*CE244 + (1-$AW$67:$AW$76)*CA244), N($AK$67:$AK$76&gt;$AI244))
) / 1000</f>
        <v>0</v>
      </c>
      <c r="CG244" s="250">
        <f t="shared" si="260"/>
        <v>25</v>
      </c>
      <c r="CH244" s="237">
        <f t="shared" si="416"/>
        <v>38</v>
      </c>
      <c r="CI244" s="253">
        <f t="shared" si="417"/>
        <v>4.0666935483870965</v>
      </c>
      <c r="CJ244" s="253" cm="1">
        <f t="array" ref="CJ244">$BC244 * IF($AD244&lt;=2,
SUMPRODUCT(INDEX($AL$67:$AN$71,,$AE244), INDEX($AO$67:$AU$71,,$AD244), 1 / ($AV$67:$AV$71*CI244 + (1-$AV$67:$AV$71)*CE244), N($AK$67:$AK$71&gt;$AI244)),
SUMPRODUCT(INDEX($AL$57:$AN$66,,$AE244), INDEX($AO$57:$AU$66,,$AD244), 1 / ($AW$57:$AW$66*CI244 + (1-$AW$57:$AW$66)*CE244), N($AK$57:$AK$66&gt;$AI244))
) / 1000</f>
        <v>0</v>
      </c>
      <c r="CK244" s="250">
        <f t="shared" si="263"/>
        <v>20</v>
      </c>
      <c r="CL244" s="237">
        <f t="shared" si="418"/>
        <v>33</v>
      </c>
      <c r="CM244" s="253">
        <f t="shared" si="419"/>
        <v>4.8487499999999999</v>
      </c>
      <c r="CN244" s="253" cm="1">
        <f t="array" ref="CN244">$BC244 * IF($AD244&lt;=2,
SUMPRODUCT(INDEX($AL$62:$AN$66,,$AE244), INDEX($AO$62:$AU$66,,$AD244), 1 / ($AV$62:$AV$66*CM244 + (1-$AV$62:$AV$66)*CI244), N($AK$62:$AK$66&gt;$AI244)),
SUMPRODUCT(INDEX($AL$47:$AN$56,,$AE244), INDEX($AO$47:$AU$56,,$AD244), 1 / ($AW$47:$AW$56*CM244 + (1-$AW$47:$AW$56)*CI244), N($AK$47:$AK$56&gt;$AI244))
) / 1000</f>
        <v>0</v>
      </c>
      <c r="CO244" s="253" cm="1">
        <f t="array" ref="CO244">$BC244 * IF($AD244&lt;=2,
SUMPRODUCT(INDEX($AL$23:$AN$61,,$AE244), INDEX($AO$23:$AU$61,,$AD244), 1 / ($AV$23:$AV$61*CM244), N($AK$23:$AK$61&gt;$AI244)),
SUMPRODUCT(INDEX($AL$23:$AN$46,,$AE244), INDEX($AO$23:$AU$46,,$AD244), 1 / ($AW$23:$AW$46*CM244), N($AK$23:$AK$46&gt;$AI244))
) / 1000</f>
        <v>0</v>
      </c>
      <c r="CP244" s="237">
        <f t="shared" si="420"/>
        <v>0</v>
      </c>
      <c r="CQ244" s="210"/>
    </row>
    <row r="245" spans="1:95" s="76" customFormat="1" ht="14.25" customHeight="1" x14ac:dyDescent="0.2">
      <c r="A245" s="238" t="b">
        <f t="shared" si="227"/>
        <v>0</v>
      </c>
      <c r="B245" s="239">
        <v>223</v>
      </c>
      <c r="C245" s="258"/>
      <c r="D245" s="258"/>
      <c r="E245" s="240"/>
      <c r="F245" s="241" t="str">
        <f>IF(ISBLANK(E245), "", VLOOKUP(E245, Z!$A$2:$C$4127, 3, FALSE))</f>
        <v/>
      </c>
      <c r="G245" s="242"/>
      <c r="H245" s="242"/>
      <c r="I245" s="243"/>
      <c r="J245" s="244"/>
      <c r="K245" s="259"/>
      <c r="L245" s="260"/>
      <c r="M245" s="247" t="str" cm="1">
        <f t="array" ref="M245">IF($K245&gt;0, INDEX(Clean,1+AG245,$C$1), "")</f>
        <v/>
      </c>
      <c r="N245" s="245"/>
      <c r="O245" s="245"/>
      <c r="P245" s="246"/>
      <c r="Q245" s="248">
        <f t="shared" si="397"/>
        <v>0</v>
      </c>
      <c r="R245" s="247" t="str" cm="1">
        <f t="array" ref="R245">IF($K245&gt;0, INDEX(Clean,1+AH245,$C$1), "")</f>
        <v/>
      </c>
      <c r="S245" s="245"/>
      <c r="T245" s="245"/>
      <c r="U245" s="246"/>
      <c r="V245" s="248">
        <f t="shared" si="398"/>
        <v>0</v>
      </c>
      <c r="W245" s="261"/>
      <c r="X245" s="258"/>
      <c r="Y245" s="240"/>
      <c r="Z245" s="241" t="str">
        <f>IF(ISBLANK(Y245), "", VLOOKUP(Y245, Z!$A$2:$C$4127, 3, FALSE))</f>
        <v/>
      </c>
      <c r="AA245" s="262"/>
      <c r="AB245" s="249">
        <f t="shared" si="424"/>
        <v>0</v>
      </c>
      <c r="AC245" s="210"/>
      <c r="AD245" s="236">
        <f t="shared" si="421"/>
        <v>1</v>
      </c>
      <c r="AE245" s="236">
        <f t="shared" si="422"/>
        <v>1</v>
      </c>
      <c r="AF245" s="236">
        <f t="shared" si="423"/>
        <v>0</v>
      </c>
      <c r="AG245" s="236">
        <v>1</v>
      </c>
      <c r="AH245" s="236">
        <v>0</v>
      </c>
      <c r="AI245" s="236">
        <f t="shared" si="399"/>
        <v>-100</v>
      </c>
      <c r="AJ245" s="210"/>
      <c r="AK245" s="254"/>
      <c r="AL245" s="254"/>
      <c r="AM245" s="255"/>
      <c r="AN245" s="255"/>
      <c r="AO245" s="255"/>
      <c r="AP245" s="255"/>
      <c r="AQ245" s="255"/>
      <c r="AR245" s="255"/>
      <c r="AS245" s="255"/>
      <c r="AT245" s="255"/>
      <c r="AU245" s="255"/>
      <c r="AV245" s="255"/>
      <c r="AW245" s="255"/>
      <c r="AX245" s="210"/>
      <c r="AY245" s="236" cm="1">
        <f t="array" ref="AY245">INDEX(Use, $AD245, 4)</f>
        <v>7</v>
      </c>
      <c r="AZ245" s="236">
        <f t="shared" si="400"/>
        <v>32</v>
      </c>
      <c r="BA245" s="236">
        <f t="shared" si="239"/>
        <v>13</v>
      </c>
      <c r="BB245" s="236">
        <f t="shared" si="240"/>
        <v>0</v>
      </c>
      <c r="BC245" s="252" cm="1">
        <f t="array" ref="BC245">K245/IF($L245&gt;0, INDEX($AO$23:$AU$77, $L245+20, $AD245), 1)</f>
        <v>0</v>
      </c>
      <c r="BD245" s="237">
        <f t="shared" si="401"/>
        <v>0</v>
      </c>
      <c r="BE245" s="236">
        <v>35</v>
      </c>
      <c r="BF245" s="237">
        <f t="shared" si="402"/>
        <v>52.55</v>
      </c>
      <c r="BG245" s="253">
        <f t="shared" si="403"/>
        <v>2.7676728869374316</v>
      </c>
      <c r="BH245" s="253" cm="1">
        <f t="array" ref="BH245">$BC245 * SUMPRODUCT(INDEX($AL$77:$AN$82,,$AE245),INDEX($AO$77:$AU$82,,$AD245), N($AK$77:$AK$82&gt;$AI245)) / BG245 / 1000</f>
        <v>0</v>
      </c>
      <c r="BI245" s="250">
        <f t="shared" si="244"/>
        <v>30</v>
      </c>
      <c r="BJ245" s="237">
        <f t="shared" si="404"/>
        <v>46.033333333333331</v>
      </c>
      <c r="BK245" s="253">
        <f t="shared" si="405"/>
        <v>3.2297395388556791</v>
      </c>
      <c r="BL245" s="253" cm="1">
        <f t="array" ref="BL245">$BC245 * IF($AD245&lt;=2,
SUMPRODUCT(INDEX($AL$72:$AN$76,,$AE245), INDEX($AO$72:$AU$76,,$AD245), 1 / ($AV$72:$AV$76*BK245 + (1-$AV$72:$AV$76)*BG245), N($AK$72:$AK$76&gt;$AI245)),
SUMPRODUCT(INDEX($AL$67:$AN$76,,$AE245), INDEX($AO$67:$AU$76,,$AD245), 1 / ($AW$67:$AW$76*BK245 + (1-$AW$67:$AW$76)*BG245), N($AK$67:$AK$76&gt;$AI245))
) / 1000</f>
        <v>0</v>
      </c>
      <c r="BM245" s="250">
        <f t="shared" si="247"/>
        <v>25</v>
      </c>
      <c r="BN245" s="237">
        <f t="shared" si="406"/>
        <v>39.516666666666666</v>
      </c>
      <c r="BO245" s="253">
        <f t="shared" si="407"/>
        <v>3.877011788826243</v>
      </c>
      <c r="BP245" s="253" cm="1">
        <f t="array" ref="BP245">$BC245 * IF($AD245&lt;=2,
SUMPRODUCT(INDEX($AL$67:$AN$71,,$AE245), INDEX($AO$67:$AU$71,,$AD245), 1 / ($AV$67:$AV$71*BO245 + (1-$AV$67:$AV$71)*BK245), N($AK$67:$AK$71&gt;$AI245)),
SUMPRODUCT(INDEX($AL$57:$AN$66,,$AE245), INDEX($AO$57:$AU$66,,$AD245), 1 / ($AW$57:$AW$66*BO245 + (1-$AW$57:$AW$66)*BK245), N($AK$57:$AK$66&gt;$AI245))
) / 1000</f>
        <v>0</v>
      </c>
      <c r="BQ245" s="250">
        <f t="shared" si="250"/>
        <v>20</v>
      </c>
      <c r="BR245" s="237">
        <f t="shared" si="408"/>
        <v>33</v>
      </c>
      <c r="BS245" s="253">
        <f t="shared" si="409"/>
        <v>4.8487499999999999</v>
      </c>
      <c r="BT245" s="253" cm="1">
        <f t="array" ref="BT245">$BC245 * IF($AD245&lt;=2,
SUMPRODUCT(INDEX($AL$62:$AN$66,,$AE245), INDEX($AO$62:$AU$66,,$AD245), 1 / ($AV$62:$AV$66*BS245 + (1-$AV$62:$AV$66)*BO245), N($AK$62:$AK$66&gt;$AI245)),
SUMPRODUCT(INDEX($AL$47:$AN$56,,$AE245), INDEX($AO$47:$AU$56,,$AD245), 1 / ($AW$47:$AW$56*BS245 + (1-$AW$47:$AW$56)*BO245), N($AK$47:$AK$56&gt;$AI245))
) / 1000</f>
        <v>0</v>
      </c>
      <c r="BU245" s="253" cm="1">
        <f t="array" ref="BU245">$BC245 * IF($AD245&lt;=2,
SUMPRODUCT(INDEX($AL$23:$AN$61,,$AE245), INDEX($AO$23:$AU$61,,$AD245), 1 / ($AV$23:$AV$61*BS245), N($AK$23:$AK$61&gt;$AI245)),
SUMPRODUCT(INDEX($AL$23:$AN$46,,$AE245), INDEX($AO$23:$AU$46,,$AD245), 1 / ($AW$23:$AW$46*BS245), N($AK$23:$AK$46&gt;$AI245))
) / 1000</f>
        <v>0</v>
      </c>
      <c r="BV245" s="237">
        <f t="shared" si="410"/>
        <v>0</v>
      </c>
      <c r="BW245" s="210"/>
      <c r="BX245" s="237">
        <f t="shared" si="411"/>
        <v>0</v>
      </c>
      <c r="BY245" s="236">
        <v>35</v>
      </c>
      <c r="BZ245" s="237">
        <f t="shared" si="412"/>
        <v>48</v>
      </c>
      <c r="CA245" s="253">
        <f t="shared" si="413"/>
        <v>3.0748170731707316</v>
      </c>
      <c r="CB245" s="253" cm="1">
        <f t="array" ref="CB245">$BC245 * SUMPRODUCT(INDEX($AL$77:$AN$82,,$AE245),INDEX($AO$77:$AU$82,,$AD245), N($AK$77:$AK$82&gt;$AI245)) / CA245 / 1000</f>
        <v>0</v>
      </c>
      <c r="CC245" s="250">
        <f t="shared" si="257"/>
        <v>30</v>
      </c>
      <c r="CD245" s="237">
        <f t="shared" si="414"/>
        <v>43</v>
      </c>
      <c r="CE245" s="253">
        <f t="shared" si="415"/>
        <v>3.5018750000000001</v>
      </c>
      <c r="CF245" s="253" cm="1">
        <f t="array" ref="CF245">$BC245 * IF($AD245&lt;=2,
SUMPRODUCT(INDEX($AL$72:$AN$76,,$AE245), INDEX($AO$72:$AU$76,,$AD245), 1 / ($AV$72:$AV$76*CE245 + (1-$AV$72:$AV$76)*CA245), N($AK$72:$AK$76&gt;$AI245)),
SUMPRODUCT(INDEX($AL$67:$AN$76,,$AE245), INDEX($AO$67:$AU$76,,$AD245), 1 / ($AW$67:$AW$76*CE245 + (1-$AW$67:$AW$76)*CA245), N($AK$67:$AK$76&gt;$AI245))
) / 1000</f>
        <v>0</v>
      </c>
      <c r="CG245" s="250">
        <f t="shared" si="260"/>
        <v>25</v>
      </c>
      <c r="CH245" s="237">
        <f t="shared" si="416"/>
        <v>38</v>
      </c>
      <c r="CI245" s="253">
        <f t="shared" si="417"/>
        <v>4.0666935483870965</v>
      </c>
      <c r="CJ245" s="253" cm="1">
        <f t="array" ref="CJ245">$BC245 * IF($AD245&lt;=2,
SUMPRODUCT(INDEX($AL$67:$AN$71,,$AE245), INDEX($AO$67:$AU$71,,$AD245), 1 / ($AV$67:$AV$71*CI245 + (1-$AV$67:$AV$71)*CE245), N($AK$67:$AK$71&gt;$AI245)),
SUMPRODUCT(INDEX($AL$57:$AN$66,,$AE245), INDEX($AO$57:$AU$66,,$AD245), 1 / ($AW$57:$AW$66*CI245 + (1-$AW$57:$AW$66)*CE245), N($AK$57:$AK$66&gt;$AI245))
) / 1000</f>
        <v>0</v>
      </c>
      <c r="CK245" s="250">
        <f t="shared" si="263"/>
        <v>20</v>
      </c>
      <c r="CL245" s="237">
        <f t="shared" si="418"/>
        <v>33</v>
      </c>
      <c r="CM245" s="253">
        <f t="shared" si="419"/>
        <v>4.8487499999999999</v>
      </c>
      <c r="CN245" s="253" cm="1">
        <f t="array" ref="CN245">$BC245 * IF($AD245&lt;=2,
SUMPRODUCT(INDEX($AL$62:$AN$66,,$AE245), INDEX($AO$62:$AU$66,,$AD245), 1 / ($AV$62:$AV$66*CM245 + (1-$AV$62:$AV$66)*CI245), N($AK$62:$AK$66&gt;$AI245)),
SUMPRODUCT(INDEX($AL$47:$AN$56,,$AE245), INDEX($AO$47:$AU$56,,$AD245), 1 / ($AW$47:$AW$56*CM245 + (1-$AW$47:$AW$56)*CI245), N($AK$47:$AK$56&gt;$AI245))
) / 1000</f>
        <v>0</v>
      </c>
      <c r="CO245" s="253" cm="1">
        <f t="array" ref="CO245">$BC245 * IF($AD245&lt;=2,
SUMPRODUCT(INDEX($AL$23:$AN$61,,$AE245), INDEX($AO$23:$AU$61,,$AD245), 1 / ($AV$23:$AV$61*CM245), N($AK$23:$AK$61&gt;$AI245)),
SUMPRODUCT(INDEX($AL$23:$AN$46,,$AE245), INDEX($AO$23:$AU$46,,$AD245), 1 / ($AW$23:$AW$46*CM245), N($AK$23:$AK$46&gt;$AI245))
) / 1000</f>
        <v>0</v>
      </c>
      <c r="CP245" s="237">
        <f t="shared" si="420"/>
        <v>0</v>
      </c>
      <c r="CQ245" s="210"/>
    </row>
    <row r="246" spans="1:95" s="76" customFormat="1" ht="14.25" customHeight="1" x14ac:dyDescent="0.2">
      <c r="A246" s="238" t="b">
        <f t="shared" si="227"/>
        <v>0</v>
      </c>
      <c r="B246" s="239">
        <v>224</v>
      </c>
      <c r="C246" s="258"/>
      <c r="D246" s="258"/>
      <c r="E246" s="240"/>
      <c r="F246" s="241" t="str">
        <f>IF(ISBLANK(E246), "", VLOOKUP(E246, Z!$A$2:$C$4127, 3, FALSE))</f>
        <v/>
      </c>
      <c r="G246" s="242"/>
      <c r="H246" s="242"/>
      <c r="I246" s="243"/>
      <c r="J246" s="244"/>
      <c r="K246" s="259"/>
      <c r="L246" s="260"/>
      <c r="M246" s="247" t="str" cm="1">
        <f t="array" ref="M246">IF($K246&gt;0, INDEX(Clean,1+AG246,$C$1), "")</f>
        <v/>
      </c>
      <c r="N246" s="245"/>
      <c r="O246" s="245"/>
      <c r="P246" s="246"/>
      <c r="Q246" s="248">
        <f t="shared" si="397"/>
        <v>0</v>
      </c>
      <c r="R246" s="247" t="str" cm="1">
        <f t="array" ref="R246">IF($K246&gt;0, INDEX(Clean,1+AH246,$C$1), "")</f>
        <v/>
      </c>
      <c r="S246" s="245"/>
      <c r="T246" s="245"/>
      <c r="U246" s="246"/>
      <c r="V246" s="248">
        <f t="shared" si="398"/>
        <v>0</v>
      </c>
      <c r="W246" s="261"/>
      <c r="X246" s="258"/>
      <c r="Y246" s="240"/>
      <c r="Z246" s="241" t="str">
        <f>IF(ISBLANK(Y246), "", VLOOKUP(Y246, Z!$A$2:$C$4127, 3, FALSE))</f>
        <v/>
      </c>
      <c r="AA246" s="262"/>
      <c r="AB246" s="249">
        <f t="shared" si="424"/>
        <v>0</v>
      </c>
      <c r="AC246" s="210"/>
      <c r="AD246" s="236">
        <f t="shared" si="421"/>
        <v>1</v>
      </c>
      <c r="AE246" s="236">
        <f t="shared" si="422"/>
        <v>1</v>
      </c>
      <c r="AF246" s="236">
        <f t="shared" si="423"/>
        <v>0</v>
      </c>
      <c r="AG246" s="236">
        <v>1</v>
      </c>
      <c r="AH246" s="236">
        <v>0</v>
      </c>
      <c r="AI246" s="236">
        <f t="shared" si="399"/>
        <v>-100</v>
      </c>
      <c r="AJ246" s="210"/>
      <c r="AK246" s="254"/>
      <c r="AL246" s="254"/>
      <c r="AM246" s="255"/>
      <c r="AN246" s="255"/>
      <c r="AO246" s="255"/>
      <c r="AP246" s="255"/>
      <c r="AQ246" s="255"/>
      <c r="AR246" s="255"/>
      <c r="AS246" s="255"/>
      <c r="AT246" s="255"/>
      <c r="AU246" s="255"/>
      <c r="AV246" s="255"/>
      <c r="AW246" s="255"/>
      <c r="AX246" s="210"/>
      <c r="AY246" s="236" cm="1">
        <f t="array" ref="AY246">INDEX(Use, $AD246, 4)</f>
        <v>7</v>
      </c>
      <c r="AZ246" s="236">
        <f t="shared" si="400"/>
        <v>32</v>
      </c>
      <c r="BA246" s="236">
        <f t="shared" si="239"/>
        <v>13</v>
      </c>
      <c r="BB246" s="236">
        <f t="shared" si="240"/>
        <v>0</v>
      </c>
      <c r="BC246" s="252" cm="1">
        <f t="array" ref="BC246">K246/IF($L246&gt;0, INDEX($AO$23:$AU$77, $L246+20, $AD246), 1)</f>
        <v>0</v>
      </c>
      <c r="BD246" s="237">
        <f t="shared" si="401"/>
        <v>0</v>
      </c>
      <c r="BE246" s="236">
        <v>35</v>
      </c>
      <c r="BF246" s="237">
        <f t="shared" si="402"/>
        <v>52.55</v>
      </c>
      <c r="BG246" s="253">
        <f t="shared" si="403"/>
        <v>2.7676728869374316</v>
      </c>
      <c r="BH246" s="253" cm="1">
        <f t="array" ref="BH246">$BC246 * SUMPRODUCT(INDEX($AL$77:$AN$82,,$AE246),INDEX($AO$77:$AU$82,,$AD246), N($AK$77:$AK$82&gt;$AI246)) / BG246 / 1000</f>
        <v>0</v>
      </c>
      <c r="BI246" s="250">
        <f t="shared" si="244"/>
        <v>30</v>
      </c>
      <c r="BJ246" s="237">
        <f t="shared" si="404"/>
        <v>46.033333333333331</v>
      </c>
      <c r="BK246" s="253">
        <f t="shared" si="405"/>
        <v>3.2297395388556791</v>
      </c>
      <c r="BL246" s="253" cm="1">
        <f t="array" ref="BL246">$BC246 * IF($AD246&lt;=2,
SUMPRODUCT(INDEX($AL$72:$AN$76,,$AE246), INDEX($AO$72:$AU$76,,$AD246), 1 / ($AV$72:$AV$76*BK246 + (1-$AV$72:$AV$76)*BG246), N($AK$72:$AK$76&gt;$AI246)),
SUMPRODUCT(INDEX($AL$67:$AN$76,,$AE246), INDEX($AO$67:$AU$76,,$AD246), 1 / ($AW$67:$AW$76*BK246 + (1-$AW$67:$AW$76)*BG246), N($AK$67:$AK$76&gt;$AI246))
) / 1000</f>
        <v>0</v>
      </c>
      <c r="BM246" s="250">
        <f t="shared" si="247"/>
        <v>25</v>
      </c>
      <c r="BN246" s="237">
        <f t="shared" si="406"/>
        <v>39.516666666666666</v>
      </c>
      <c r="BO246" s="253">
        <f t="shared" si="407"/>
        <v>3.877011788826243</v>
      </c>
      <c r="BP246" s="253" cm="1">
        <f t="array" ref="BP246">$BC246 * IF($AD246&lt;=2,
SUMPRODUCT(INDEX($AL$67:$AN$71,,$AE246), INDEX($AO$67:$AU$71,,$AD246), 1 / ($AV$67:$AV$71*BO246 + (1-$AV$67:$AV$71)*BK246), N($AK$67:$AK$71&gt;$AI246)),
SUMPRODUCT(INDEX($AL$57:$AN$66,,$AE246), INDEX($AO$57:$AU$66,,$AD246), 1 / ($AW$57:$AW$66*BO246 + (1-$AW$57:$AW$66)*BK246), N($AK$57:$AK$66&gt;$AI246))
) / 1000</f>
        <v>0</v>
      </c>
      <c r="BQ246" s="250">
        <f t="shared" si="250"/>
        <v>20</v>
      </c>
      <c r="BR246" s="237">
        <f t="shared" si="408"/>
        <v>33</v>
      </c>
      <c r="BS246" s="253">
        <f t="shared" si="409"/>
        <v>4.8487499999999999</v>
      </c>
      <c r="BT246" s="253" cm="1">
        <f t="array" ref="BT246">$BC246 * IF($AD246&lt;=2,
SUMPRODUCT(INDEX($AL$62:$AN$66,,$AE246), INDEX($AO$62:$AU$66,,$AD246), 1 / ($AV$62:$AV$66*BS246 + (1-$AV$62:$AV$66)*BO246), N($AK$62:$AK$66&gt;$AI246)),
SUMPRODUCT(INDEX($AL$47:$AN$56,,$AE246), INDEX($AO$47:$AU$56,,$AD246), 1 / ($AW$47:$AW$56*BS246 + (1-$AW$47:$AW$56)*BO246), N($AK$47:$AK$56&gt;$AI246))
) / 1000</f>
        <v>0</v>
      </c>
      <c r="BU246" s="253" cm="1">
        <f t="array" ref="BU246">$BC246 * IF($AD246&lt;=2,
SUMPRODUCT(INDEX($AL$23:$AN$61,,$AE246), INDEX($AO$23:$AU$61,,$AD246), 1 / ($AV$23:$AV$61*BS246), N($AK$23:$AK$61&gt;$AI246)),
SUMPRODUCT(INDEX($AL$23:$AN$46,,$AE246), INDEX($AO$23:$AU$46,,$AD246), 1 / ($AW$23:$AW$46*BS246), N($AK$23:$AK$46&gt;$AI246))
) / 1000</f>
        <v>0</v>
      </c>
      <c r="BV246" s="237">
        <f t="shared" si="410"/>
        <v>0</v>
      </c>
      <c r="BW246" s="210"/>
      <c r="BX246" s="237">
        <f t="shared" si="411"/>
        <v>0</v>
      </c>
      <c r="BY246" s="236">
        <v>35</v>
      </c>
      <c r="BZ246" s="237">
        <f t="shared" si="412"/>
        <v>48</v>
      </c>
      <c r="CA246" s="253">
        <f t="shared" si="413"/>
        <v>3.0748170731707316</v>
      </c>
      <c r="CB246" s="253" cm="1">
        <f t="array" ref="CB246">$BC246 * SUMPRODUCT(INDEX($AL$77:$AN$82,,$AE246),INDEX($AO$77:$AU$82,,$AD246), N($AK$77:$AK$82&gt;$AI246)) / CA246 / 1000</f>
        <v>0</v>
      </c>
      <c r="CC246" s="250">
        <f t="shared" si="257"/>
        <v>30</v>
      </c>
      <c r="CD246" s="237">
        <f t="shared" si="414"/>
        <v>43</v>
      </c>
      <c r="CE246" s="253">
        <f t="shared" si="415"/>
        <v>3.5018750000000001</v>
      </c>
      <c r="CF246" s="253" cm="1">
        <f t="array" ref="CF246">$BC246 * IF($AD246&lt;=2,
SUMPRODUCT(INDEX($AL$72:$AN$76,,$AE246), INDEX($AO$72:$AU$76,,$AD246), 1 / ($AV$72:$AV$76*CE246 + (1-$AV$72:$AV$76)*CA246), N($AK$72:$AK$76&gt;$AI246)),
SUMPRODUCT(INDEX($AL$67:$AN$76,,$AE246), INDEX($AO$67:$AU$76,,$AD246), 1 / ($AW$67:$AW$76*CE246 + (1-$AW$67:$AW$76)*CA246), N($AK$67:$AK$76&gt;$AI246))
) / 1000</f>
        <v>0</v>
      </c>
      <c r="CG246" s="250">
        <f t="shared" si="260"/>
        <v>25</v>
      </c>
      <c r="CH246" s="237">
        <f t="shared" si="416"/>
        <v>38</v>
      </c>
      <c r="CI246" s="253">
        <f t="shared" si="417"/>
        <v>4.0666935483870965</v>
      </c>
      <c r="CJ246" s="253" cm="1">
        <f t="array" ref="CJ246">$BC246 * IF($AD246&lt;=2,
SUMPRODUCT(INDEX($AL$67:$AN$71,,$AE246), INDEX($AO$67:$AU$71,,$AD246), 1 / ($AV$67:$AV$71*CI246 + (1-$AV$67:$AV$71)*CE246), N($AK$67:$AK$71&gt;$AI246)),
SUMPRODUCT(INDEX($AL$57:$AN$66,,$AE246), INDEX($AO$57:$AU$66,,$AD246), 1 / ($AW$57:$AW$66*CI246 + (1-$AW$57:$AW$66)*CE246), N($AK$57:$AK$66&gt;$AI246))
) / 1000</f>
        <v>0</v>
      </c>
      <c r="CK246" s="250">
        <f t="shared" si="263"/>
        <v>20</v>
      </c>
      <c r="CL246" s="237">
        <f t="shared" si="418"/>
        <v>33</v>
      </c>
      <c r="CM246" s="253">
        <f t="shared" si="419"/>
        <v>4.8487499999999999</v>
      </c>
      <c r="CN246" s="253" cm="1">
        <f t="array" ref="CN246">$BC246 * IF($AD246&lt;=2,
SUMPRODUCT(INDEX($AL$62:$AN$66,,$AE246), INDEX($AO$62:$AU$66,,$AD246), 1 / ($AV$62:$AV$66*CM246 + (1-$AV$62:$AV$66)*CI246), N($AK$62:$AK$66&gt;$AI246)),
SUMPRODUCT(INDEX($AL$47:$AN$56,,$AE246), INDEX($AO$47:$AU$56,,$AD246), 1 / ($AW$47:$AW$56*CM246 + (1-$AW$47:$AW$56)*CI246), N($AK$47:$AK$56&gt;$AI246))
) / 1000</f>
        <v>0</v>
      </c>
      <c r="CO246" s="253" cm="1">
        <f t="array" ref="CO246">$BC246 * IF($AD246&lt;=2,
SUMPRODUCT(INDEX($AL$23:$AN$61,,$AE246), INDEX($AO$23:$AU$61,,$AD246), 1 / ($AV$23:$AV$61*CM246), N($AK$23:$AK$61&gt;$AI246)),
SUMPRODUCT(INDEX($AL$23:$AN$46,,$AE246), INDEX($AO$23:$AU$46,,$AD246), 1 / ($AW$23:$AW$46*CM246), N($AK$23:$AK$46&gt;$AI246))
) / 1000</f>
        <v>0</v>
      </c>
      <c r="CP246" s="237">
        <f t="shared" si="420"/>
        <v>0</v>
      </c>
      <c r="CQ246" s="210"/>
    </row>
    <row r="247" spans="1:95" s="76" customFormat="1" ht="14.25" customHeight="1" x14ac:dyDescent="0.2">
      <c r="A247" s="238" t="b">
        <f t="shared" si="227"/>
        <v>0</v>
      </c>
      <c r="B247" s="239">
        <v>225</v>
      </c>
      <c r="C247" s="258"/>
      <c r="D247" s="258"/>
      <c r="E247" s="240"/>
      <c r="F247" s="241" t="str">
        <f>IF(ISBLANK(E247), "", VLOOKUP(E247, Z!$A$2:$C$4127, 3, FALSE))</f>
        <v/>
      </c>
      <c r="G247" s="242"/>
      <c r="H247" s="242"/>
      <c r="I247" s="243"/>
      <c r="J247" s="244"/>
      <c r="K247" s="259"/>
      <c r="L247" s="260"/>
      <c r="M247" s="247" t="str" cm="1">
        <f t="array" ref="M247">IF($K247&gt;0, INDEX(Clean,1+AG247,$C$1), "")</f>
        <v/>
      </c>
      <c r="N247" s="245"/>
      <c r="O247" s="245"/>
      <c r="P247" s="246"/>
      <c r="Q247" s="248">
        <f t="shared" si="397"/>
        <v>0</v>
      </c>
      <c r="R247" s="247" t="str" cm="1">
        <f t="array" ref="R247">IF($K247&gt;0, INDEX(Clean,1+AH247,$C$1), "")</f>
        <v/>
      </c>
      <c r="S247" s="245"/>
      <c r="T247" s="245"/>
      <c r="U247" s="246"/>
      <c r="V247" s="248">
        <f t="shared" si="398"/>
        <v>0</v>
      </c>
      <c r="W247" s="261"/>
      <c r="X247" s="258"/>
      <c r="Y247" s="240"/>
      <c r="Z247" s="241" t="str">
        <f>IF(ISBLANK(Y247), "", VLOOKUP(Y247, Z!$A$2:$C$4127, 3, FALSE))</f>
        <v/>
      </c>
      <c r="AA247" s="262"/>
      <c r="AB247" s="249">
        <f t="shared" si="424"/>
        <v>0</v>
      </c>
      <c r="AC247" s="210"/>
      <c r="AD247" s="236">
        <f t="shared" si="421"/>
        <v>1</v>
      </c>
      <c r="AE247" s="236">
        <f t="shared" si="422"/>
        <v>1</v>
      </c>
      <c r="AF247" s="236">
        <f t="shared" si="423"/>
        <v>0</v>
      </c>
      <c r="AG247" s="236">
        <v>1</v>
      </c>
      <c r="AH247" s="236">
        <v>0</v>
      </c>
      <c r="AI247" s="236">
        <f t="shared" si="399"/>
        <v>-100</v>
      </c>
      <c r="AJ247" s="210"/>
      <c r="AK247" s="254"/>
      <c r="AL247" s="254"/>
      <c r="AM247" s="255"/>
      <c r="AN247" s="255"/>
      <c r="AO247" s="255"/>
      <c r="AP247" s="255"/>
      <c r="AQ247" s="255"/>
      <c r="AR247" s="255"/>
      <c r="AS247" s="255"/>
      <c r="AT247" s="255"/>
      <c r="AU247" s="255"/>
      <c r="AV247" s="255"/>
      <c r="AW247" s="255"/>
      <c r="AX247" s="210"/>
      <c r="AY247" s="236" cm="1">
        <f t="array" ref="AY247">INDEX(Use, $AD247, 4)</f>
        <v>7</v>
      </c>
      <c r="AZ247" s="236">
        <f t="shared" si="400"/>
        <v>32</v>
      </c>
      <c r="BA247" s="236">
        <f t="shared" si="239"/>
        <v>13</v>
      </c>
      <c r="BB247" s="236">
        <f t="shared" si="240"/>
        <v>0</v>
      </c>
      <c r="BC247" s="252" cm="1">
        <f t="array" ref="BC247">K247/IF($L247&gt;0, INDEX($AO$23:$AU$77, $L247+20, $AD247), 1)</f>
        <v>0</v>
      </c>
      <c r="BD247" s="237">
        <f t="shared" si="401"/>
        <v>0</v>
      </c>
      <c r="BE247" s="236">
        <v>35</v>
      </c>
      <c r="BF247" s="237">
        <f t="shared" si="402"/>
        <v>52.55</v>
      </c>
      <c r="BG247" s="253">
        <f t="shared" si="403"/>
        <v>2.7676728869374316</v>
      </c>
      <c r="BH247" s="253" cm="1">
        <f t="array" ref="BH247">$BC247 * SUMPRODUCT(INDEX($AL$77:$AN$82,,$AE247),INDEX($AO$77:$AU$82,,$AD247), N($AK$77:$AK$82&gt;$AI247)) / BG247 / 1000</f>
        <v>0</v>
      </c>
      <c r="BI247" s="250">
        <f t="shared" si="244"/>
        <v>30</v>
      </c>
      <c r="BJ247" s="237">
        <f t="shared" si="404"/>
        <v>46.033333333333331</v>
      </c>
      <c r="BK247" s="253">
        <f t="shared" si="405"/>
        <v>3.2297395388556791</v>
      </c>
      <c r="BL247" s="253" cm="1">
        <f t="array" ref="BL247">$BC247 * IF($AD247&lt;=2,
SUMPRODUCT(INDEX($AL$72:$AN$76,,$AE247), INDEX($AO$72:$AU$76,,$AD247), 1 / ($AV$72:$AV$76*BK247 + (1-$AV$72:$AV$76)*BG247), N($AK$72:$AK$76&gt;$AI247)),
SUMPRODUCT(INDEX($AL$67:$AN$76,,$AE247), INDEX($AO$67:$AU$76,,$AD247), 1 / ($AW$67:$AW$76*BK247 + (1-$AW$67:$AW$76)*BG247), N($AK$67:$AK$76&gt;$AI247))
) / 1000</f>
        <v>0</v>
      </c>
      <c r="BM247" s="250">
        <f t="shared" si="247"/>
        <v>25</v>
      </c>
      <c r="BN247" s="237">
        <f t="shared" si="406"/>
        <v>39.516666666666666</v>
      </c>
      <c r="BO247" s="253">
        <f t="shared" si="407"/>
        <v>3.877011788826243</v>
      </c>
      <c r="BP247" s="253" cm="1">
        <f t="array" ref="BP247">$BC247 * IF($AD247&lt;=2,
SUMPRODUCT(INDEX($AL$67:$AN$71,,$AE247), INDEX($AO$67:$AU$71,,$AD247), 1 / ($AV$67:$AV$71*BO247 + (1-$AV$67:$AV$71)*BK247), N($AK$67:$AK$71&gt;$AI247)),
SUMPRODUCT(INDEX($AL$57:$AN$66,,$AE247), INDEX($AO$57:$AU$66,,$AD247), 1 / ($AW$57:$AW$66*BO247 + (1-$AW$57:$AW$66)*BK247), N($AK$57:$AK$66&gt;$AI247))
) / 1000</f>
        <v>0</v>
      </c>
      <c r="BQ247" s="250">
        <f t="shared" si="250"/>
        <v>20</v>
      </c>
      <c r="BR247" s="237">
        <f t="shared" si="408"/>
        <v>33</v>
      </c>
      <c r="BS247" s="253">
        <f t="shared" si="409"/>
        <v>4.8487499999999999</v>
      </c>
      <c r="BT247" s="253" cm="1">
        <f t="array" ref="BT247">$BC247 * IF($AD247&lt;=2,
SUMPRODUCT(INDEX($AL$62:$AN$66,,$AE247), INDEX($AO$62:$AU$66,,$AD247), 1 / ($AV$62:$AV$66*BS247 + (1-$AV$62:$AV$66)*BO247), N($AK$62:$AK$66&gt;$AI247)),
SUMPRODUCT(INDEX($AL$47:$AN$56,,$AE247), INDEX($AO$47:$AU$56,,$AD247), 1 / ($AW$47:$AW$56*BS247 + (1-$AW$47:$AW$56)*BO247), N($AK$47:$AK$56&gt;$AI247))
) / 1000</f>
        <v>0</v>
      </c>
      <c r="BU247" s="253" cm="1">
        <f t="array" ref="BU247">$BC247 * IF($AD247&lt;=2,
SUMPRODUCT(INDEX($AL$23:$AN$61,,$AE247), INDEX($AO$23:$AU$61,,$AD247), 1 / ($AV$23:$AV$61*BS247), N($AK$23:$AK$61&gt;$AI247)),
SUMPRODUCT(INDEX($AL$23:$AN$46,,$AE247), INDEX($AO$23:$AU$46,,$AD247), 1 / ($AW$23:$AW$46*BS247), N($AK$23:$AK$46&gt;$AI247))
) / 1000</f>
        <v>0</v>
      </c>
      <c r="BV247" s="237">
        <f t="shared" si="410"/>
        <v>0</v>
      </c>
      <c r="BW247" s="210"/>
      <c r="BX247" s="237">
        <f t="shared" si="411"/>
        <v>0</v>
      </c>
      <c r="BY247" s="236">
        <v>35</v>
      </c>
      <c r="BZ247" s="237">
        <f t="shared" si="412"/>
        <v>48</v>
      </c>
      <c r="CA247" s="253">
        <f t="shared" si="413"/>
        <v>3.0748170731707316</v>
      </c>
      <c r="CB247" s="253" cm="1">
        <f t="array" ref="CB247">$BC247 * SUMPRODUCT(INDEX($AL$77:$AN$82,,$AE247),INDEX($AO$77:$AU$82,,$AD247), N($AK$77:$AK$82&gt;$AI247)) / CA247 / 1000</f>
        <v>0</v>
      </c>
      <c r="CC247" s="250">
        <f t="shared" si="257"/>
        <v>30</v>
      </c>
      <c r="CD247" s="237">
        <f t="shared" si="414"/>
        <v>43</v>
      </c>
      <c r="CE247" s="253">
        <f t="shared" si="415"/>
        <v>3.5018750000000001</v>
      </c>
      <c r="CF247" s="253" cm="1">
        <f t="array" ref="CF247">$BC247 * IF($AD247&lt;=2,
SUMPRODUCT(INDEX($AL$72:$AN$76,,$AE247), INDEX($AO$72:$AU$76,,$AD247), 1 / ($AV$72:$AV$76*CE247 + (1-$AV$72:$AV$76)*CA247), N($AK$72:$AK$76&gt;$AI247)),
SUMPRODUCT(INDEX($AL$67:$AN$76,,$AE247), INDEX($AO$67:$AU$76,,$AD247), 1 / ($AW$67:$AW$76*CE247 + (1-$AW$67:$AW$76)*CA247), N($AK$67:$AK$76&gt;$AI247))
) / 1000</f>
        <v>0</v>
      </c>
      <c r="CG247" s="250">
        <f t="shared" si="260"/>
        <v>25</v>
      </c>
      <c r="CH247" s="237">
        <f t="shared" si="416"/>
        <v>38</v>
      </c>
      <c r="CI247" s="253">
        <f t="shared" si="417"/>
        <v>4.0666935483870965</v>
      </c>
      <c r="CJ247" s="253" cm="1">
        <f t="array" ref="CJ247">$BC247 * IF($AD247&lt;=2,
SUMPRODUCT(INDEX($AL$67:$AN$71,,$AE247), INDEX($AO$67:$AU$71,,$AD247), 1 / ($AV$67:$AV$71*CI247 + (1-$AV$67:$AV$71)*CE247), N($AK$67:$AK$71&gt;$AI247)),
SUMPRODUCT(INDEX($AL$57:$AN$66,,$AE247), INDEX($AO$57:$AU$66,,$AD247), 1 / ($AW$57:$AW$66*CI247 + (1-$AW$57:$AW$66)*CE247), N($AK$57:$AK$66&gt;$AI247))
) / 1000</f>
        <v>0</v>
      </c>
      <c r="CK247" s="250">
        <f t="shared" si="263"/>
        <v>20</v>
      </c>
      <c r="CL247" s="237">
        <f t="shared" si="418"/>
        <v>33</v>
      </c>
      <c r="CM247" s="253">
        <f t="shared" si="419"/>
        <v>4.8487499999999999</v>
      </c>
      <c r="CN247" s="253" cm="1">
        <f t="array" ref="CN247">$BC247 * IF($AD247&lt;=2,
SUMPRODUCT(INDEX($AL$62:$AN$66,,$AE247), INDEX($AO$62:$AU$66,,$AD247), 1 / ($AV$62:$AV$66*CM247 + (1-$AV$62:$AV$66)*CI247), N($AK$62:$AK$66&gt;$AI247)),
SUMPRODUCT(INDEX($AL$47:$AN$56,,$AE247), INDEX($AO$47:$AU$56,,$AD247), 1 / ($AW$47:$AW$56*CM247 + (1-$AW$47:$AW$56)*CI247), N($AK$47:$AK$56&gt;$AI247))
) / 1000</f>
        <v>0</v>
      </c>
      <c r="CO247" s="253" cm="1">
        <f t="array" ref="CO247">$BC247 * IF($AD247&lt;=2,
SUMPRODUCT(INDEX($AL$23:$AN$61,,$AE247), INDEX($AO$23:$AU$61,,$AD247), 1 / ($AV$23:$AV$61*CM247), N($AK$23:$AK$61&gt;$AI247)),
SUMPRODUCT(INDEX($AL$23:$AN$46,,$AE247), INDEX($AO$23:$AU$46,,$AD247), 1 / ($AW$23:$AW$46*CM247), N($AK$23:$AK$46&gt;$AI247))
) / 1000</f>
        <v>0</v>
      </c>
      <c r="CP247" s="237">
        <f t="shared" si="420"/>
        <v>0</v>
      </c>
      <c r="CQ247" s="210"/>
    </row>
    <row r="248" spans="1:95" s="76" customFormat="1" ht="14.25" customHeight="1" x14ac:dyDescent="0.2">
      <c r="A248" s="238" t="b">
        <f t="shared" si="227"/>
        <v>0</v>
      </c>
      <c r="B248" s="239">
        <v>226</v>
      </c>
      <c r="C248" s="258"/>
      <c r="D248" s="258"/>
      <c r="E248" s="240"/>
      <c r="F248" s="241" t="str">
        <f>IF(ISBLANK(E248), "", VLOOKUP(E248, Z!$A$2:$C$4127, 3, FALSE))</f>
        <v/>
      </c>
      <c r="G248" s="242"/>
      <c r="H248" s="242"/>
      <c r="I248" s="243"/>
      <c r="J248" s="244"/>
      <c r="K248" s="259"/>
      <c r="L248" s="260"/>
      <c r="M248" s="247" t="str" cm="1">
        <f t="array" ref="M248">IF($K248&gt;0, INDEX(Clean,1+AG248,$C$1), "")</f>
        <v/>
      </c>
      <c r="N248" s="245"/>
      <c r="O248" s="245"/>
      <c r="P248" s="246"/>
      <c r="Q248" s="248">
        <f t="shared" si="397"/>
        <v>0</v>
      </c>
      <c r="R248" s="247" t="str" cm="1">
        <f t="array" ref="R248">IF($K248&gt;0, INDEX(Clean,1+AH248,$C$1), "")</f>
        <v/>
      </c>
      <c r="S248" s="245"/>
      <c r="T248" s="245"/>
      <c r="U248" s="246"/>
      <c r="V248" s="248">
        <f t="shared" si="398"/>
        <v>0</v>
      </c>
      <c r="W248" s="261"/>
      <c r="X248" s="258"/>
      <c r="Y248" s="240"/>
      <c r="Z248" s="241" t="str">
        <f>IF(ISBLANK(Y248), "", VLOOKUP(Y248, Z!$A$2:$C$4127, 3, FALSE))</f>
        <v/>
      </c>
      <c r="AA248" s="262"/>
      <c r="AB248" s="249">
        <f t="shared" si="424"/>
        <v>0</v>
      </c>
      <c r="AC248" s="210"/>
      <c r="AD248" s="236">
        <f t="shared" si="421"/>
        <v>1</v>
      </c>
      <c r="AE248" s="236">
        <f t="shared" si="422"/>
        <v>1</v>
      </c>
      <c r="AF248" s="236">
        <f t="shared" si="423"/>
        <v>0</v>
      </c>
      <c r="AG248" s="236">
        <v>1</v>
      </c>
      <c r="AH248" s="236">
        <v>0</v>
      </c>
      <c r="AI248" s="236">
        <f t="shared" si="399"/>
        <v>-100</v>
      </c>
      <c r="AJ248" s="210"/>
      <c r="AK248" s="254"/>
      <c r="AL248" s="254"/>
      <c r="AM248" s="255"/>
      <c r="AN248" s="255"/>
      <c r="AO248" s="255"/>
      <c r="AP248" s="255"/>
      <c r="AQ248" s="255"/>
      <c r="AR248" s="255"/>
      <c r="AS248" s="255"/>
      <c r="AT248" s="255"/>
      <c r="AU248" s="255"/>
      <c r="AV248" s="255"/>
      <c r="AW248" s="255"/>
      <c r="AX248" s="210"/>
      <c r="AY248" s="236" cm="1">
        <f t="array" ref="AY248">INDEX(Use, $AD248, 4)</f>
        <v>7</v>
      </c>
      <c r="AZ248" s="236">
        <f t="shared" si="400"/>
        <v>32</v>
      </c>
      <c r="BA248" s="236">
        <f t="shared" si="239"/>
        <v>13</v>
      </c>
      <c r="BB248" s="236">
        <f t="shared" si="240"/>
        <v>0</v>
      </c>
      <c r="BC248" s="252" cm="1">
        <f t="array" ref="BC248">K248/IF($L248&gt;0, INDEX($AO$23:$AU$77, $L248+20, $AD248), 1)</f>
        <v>0</v>
      </c>
      <c r="BD248" s="237">
        <f t="shared" si="401"/>
        <v>0</v>
      </c>
      <c r="BE248" s="236">
        <v>35</v>
      </c>
      <c r="BF248" s="237">
        <f t="shared" si="402"/>
        <v>52.55</v>
      </c>
      <c r="BG248" s="253">
        <f t="shared" si="403"/>
        <v>2.7676728869374316</v>
      </c>
      <c r="BH248" s="253" cm="1">
        <f t="array" ref="BH248">$BC248 * SUMPRODUCT(INDEX($AL$77:$AN$82,,$AE248),INDEX($AO$77:$AU$82,,$AD248), N($AK$77:$AK$82&gt;$AI248)) / BG248 / 1000</f>
        <v>0</v>
      </c>
      <c r="BI248" s="250">
        <f t="shared" si="244"/>
        <v>30</v>
      </c>
      <c r="BJ248" s="237">
        <f t="shared" si="404"/>
        <v>46.033333333333331</v>
      </c>
      <c r="BK248" s="253">
        <f t="shared" si="405"/>
        <v>3.2297395388556791</v>
      </c>
      <c r="BL248" s="253" cm="1">
        <f t="array" ref="BL248">$BC248 * IF($AD248&lt;=2,
SUMPRODUCT(INDEX($AL$72:$AN$76,,$AE248), INDEX($AO$72:$AU$76,,$AD248), 1 / ($AV$72:$AV$76*BK248 + (1-$AV$72:$AV$76)*BG248), N($AK$72:$AK$76&gt;$AI248)),
SUMPRODUCT(INDEX($AL$67:$AN$76,,$AE248), INDEX($AO$67:$AU$76,,$AD248), 1 / ($AW$67:$AW$76*BK248 + (1-$AW$67:$AW$76)*BG248), N($AK$67:$AK$76&gt;$AI248))
) / 1000</f>
        <v>0</v>
      </c>
      <c r="BM248" s="250">
        <f t="shared" si="247"/>
        <v>25</v>
      </c>
      <c r="BN248" s="237">
        <f t="shared" si="406"/>
        <v>39.516666666666666</v>
      </c>
      <c r="BO248" s="253">
        <f t="shared" si="407"/>
        <v>3.877011788826243</v>
      </c>
      <c r="BP248" s="253" cm="1">
        <f t="array" ref="BP248">$BC248 * IF($AD248&lt;=2,
SUMPRODUCT(INDEX($AL$67:$AN$71,,$AE248), INDEX($AO$67:$AU$71,,$AD248), 1 / ($AV$67:$AV$71*BO248 + (1-$AV$67:$AV$71)*BK248), N($AK$67:$AK$71&gt;$AI248)),
SUMPRODUCT(INDEX($AL$57:$AN$66,,$AE248), INDEX($AO$57:$AU$66,,$AD248), 1 / ($AW$57:$AW$66*BO248 + (1-$AW$57:$AW$66)*BK248), N($AK$57:$AK$66&gt;$AI248))
) / 1000</f>
        <v>0</v>
      </c>
      <c r="BQ248" s="250">
        <f t="shared" si="250"/>
        <v>20</v>
      </c>
      <c r="BR248" s="237">
        <f t="shared" si="408"/>
        <v>33</v>
      </c>
      <c r="BS248" s="253">
        <f t="shared" si="409"/>
        <v>4.8487499999999999</v>
      </c>
      <c r="BT248" s="253" cm="1">
        <f t="array" ref="BT248">$BC248 * IF($AD248&lt;=2,
SUMPRODUCT(INDEX($AL$62:$AN$66,,$AE248), INDEX($AO$62:$AU$66,,$AD248), 1 / ($AV$62:$AV$66*BS248 + (1-$AV$62:$AV$66)*BO248), N($AK$62:$AK$66&gt;$AI248)),
SUMPRODUCT(INDEX($AL$47:$AN$56,,$AE248), INDEX($AO$47:$AU$56,,$AD248), 1 / ($AW$47:$AW$56*BS248 + (1-$AW$47:$AW$56)*BO248), N($AK$47:$AK$56&gt;$AI248))
) / 1000</f>
        <v>0</v>
      </c>
      <c r="BU248" s="253" cm="1">
        <f t="array" ref="BU248">$BC248 * IF($AD248&lt;=2,
SUMPRODUCT(INDEX($AL$23:$AN$61,,$AE248), INDEX($AO$23:$AU$61,,$AD248), 1 / ($AV$23:$AV$61*BS248), N($AK$23:$AK$61&gt;$AI248)),
SUMPRODUCT(INDEX($AL$23:$AN$46,,$AE248), INDEX($AO$23:$AU$46,,$AD248), 1 / ($AW$23:$AW$46*BS248), N($AK$23:$AK$46&gt;$AI248))
) / 1000</f>
        <v>0</v>
      </c>
      <c r="BV248" s="237">
        <f t="shared" si="410"/>
        <v>0</v>
      </c>
      <c r="BW248" s="210"/>
      <c r="BX248" s="237">
        <f t="shared" si="411"/>
        <v>0</v>
      </c>
      <c r="BY248" s="236">
        <v>35</v>
      </c>
      <c r="BZ248" s="237">
        <f t="shared" si="412"/>
        <v>48</v>
      </c>
      <c r="CA248" s="253">
        <f t="shared" si="413"/>
        <v>3.0748170731707316</v>
      </c>
      <c r="CB248" s="253" cm="1">
        <f t="array" ref="CB248">$BC248 * SUMPRODUCT(INDEX($AL$77:$AN$82,,$AE248),INDEX($AO$77:$AU$82,,$AD248), N($AK$77:$AK$82&gt;$AI248)) / CA248 / 1000</f>
        <v>0</v>
      </c>
      <c r="CC248" s="250">
        <f t="shared" si="257"/>
        <v>30</v>
      </c>
      <c r="CD248" s="237">
        <f t="shared" si="414"/>
        <v>43</v>
      </c>
      <c r="CE248" s="253">
        <f t="shared" si="415"/>
        <v>3.5018750000000001</v>
      </c>
      <c r="CF248" s="253" cm="1">
        <f t="array" ref="CF248">$BC248 * IF($AD248&lt;=2,
SUMPRODUCT(INDEX($AL$72:$AN$76,,$AE248), INDEX($AO$72:$AU$76,,$AD248), 1 / ($AV$72:$AV$76*CE248 + (1-$AV$72:$AV$76)*CA248), N($AK$72:$AK$76&gt;$AI248)),
SUMPRODUCT(INDEX($AL$67:$AN$76,,$AE248), INDEX($AO$67:$AU$76,,$AD248), 1 / ($AW$67:$AW$76*CE248 + (1-$AW$67:$AW$76)*CA248), N($AK$67:$AK$76&gt;$AI248))
) / 1000</f>
        <v>0</v>
      </c>
      <c r="CG248" s="250">
        <f t="shared" si="260"/>
        <v>25</v>
      </c>
      <c r="CH248" s="237">
        <f t="shared" si="416"/>
        <v>38</v>
      </c>
      <c r="CI248" s="253">
        <f t="shared" si="417"/>
        <v>4.0666935483870965</v>
      </c>
      <c r="CJ248" s="253" cm="1">
        <f t="array" ref="CJ248">$BC248 * IF($AD248&lt;=2,
SUMPRODUCT(INDEX($AL$67:$AN$71,,$AE248), INDEX($AO$67:$AU$71,,$AD248), 1 / ($AV$67:$AV$71*CI248 + (1-$AV$67:$AV$71)*CE248), N($AK$67:$AK$71&gt;$AI248)),
SUMPRODUCT(INDEX($AL$57:$AN$66,,$AE248), INDEX($AO$57:$AU$66,,$AD248), 1 / ($AW$57:$AW$66*CI248 + (1-$AW$57:$AW$66)*CE248), N($AK$57:$AK$66&gt;$AI248))
) / 1000</f>
        <v>0</v>
      </c>
      <c r="CK248" s="250">
        <f t="shared" si="263"/>
        <v>20</v>
      </c>
      <c r="CL248" s="237">
        <f t="shared" si="418"/>
        <v>33</v>
      </c>
      <c r="CM248" s="253">
        <f t="shared" si="419"/>
        <v>4.8487499999999999</v>
      </c>
      <c r="CN248" s="253" cm="1">
        <f t="array" ref="CN248">$BC248 * IF($AD248&lt;=2,
SUMPRODUCT(INDEX($AL$62:$AN$66,,$AE248), INDEX($AO$62:$AU$66,,$AD248), 1 / ($AV$62:$AV$66*CM248 + (1-$AV$62:$AV$66)*CI248), N($AK$62:$AK$66&gt;$AI248)),
SUMPRODUCT(INDEX($AL$47:$AN$56,,$AE248), INDEX($AO$47:$AU$56,,$AD248), 1 / ($AW$47:$AW$56*CM248 + (1-$AW$47:$AW$56)*CI248), N($AK$47:$AK$56&gt;$AI248))
) / 1000</f>
        <v>0</v>
      </c>
      <c r="CO248" s="253" cm="1">
        <f t="array" ref="CO248">$BC248 * IF($AD248&lt;=2,
SUMPRODUCT(INDEX($AL$23:$AN$61,,$AE248), INDEX($AO$23:$AU$61,,$AD248), 1 / ($AV$23:$AV$61*CM248), N($AK$23:$AK$61&gt;$AI248)),
SUMPRODUCT(INDEX($AL$23:$AN$46,,$AE248), INDEX($AO$23:$AU$46,,$AD248), 1 / ($AW$23:$AW$46*CM248), N($AK$23:$AK$46&gt;$AI248))
) / 1000</f>
        <v>0</v>
      </c>
      <c r="CP248" s="237">
        <f t="shared" si="420"/>
        <v>0</v>
      </c>
      <c r="CQ248" s="210"/>
    </row>
    <row r="249" spans="1:95" s="76" customFormat="1" ht="14.25" customHeight="1" x14ac:dyDescent="0.2">
      <c r="A249" s="238" t="b">
        <f t="shared" si="227"/>
        <v>0</v>
      </c>
      <c r="B249" s="239">
        <v>227</v>
      </c>
      <c r="C249" s="258"/>
      <c r="D249" s="258"/>
      <c r="E249" s="240"/>
      <c r="F249" s="241" t="str">
        <f>IF(ISBLANK(E249), "", VLOOKUP(E249, Z!$A$2:$C$4127, 3, FALSE))</f>
        <v/>
      </c>
      <c r="G249" s="242"/>
      <c r="H249" s="242"/>
      <c r="I249" s="243"/>
      <c r="J249" s="244"/>
      <c r="K249" s="259"/>
      <c r="L249" s="260"/>
      <c r="M249" s="247" t="str" cm="1">
        <f t="array" ref="M249">IF($K249&gt;0, INDEX(Clean,1+AG249,$C$1), "")</f>
        <v/>
      </c>
      <c r="N249" s="245"/>
      <c r="O249" s="245"/>
      <c r="P249" s="246"/>
      <c r="Q249" s="248">
        <f t="shared" si="397"/>
        <v>0</v>
      </c>
      <c r="R249" s="247" t="str" cm="1">
        <f t="array" ref="R249">IF($K249&gt;0, INDEX(Clean,1+AH249,$C$1), "")</f>
        <v/>
      </c>
      <c r="S249" s="245"/>
      <c r="T249" s="245"/>
      <c r="U249" s="246"/>
      <c r="V249" s="248">
        <f t="shared" si="398"/>
        <v>0</v>
      </c>
      <c r="W249" s="261"/>
      <c r="X249" s="258"/>
      <c r="Y249" s="240"/>
      <c r="Z249" s="241" t="str">
        <f>IF(ISBLANK(Y249), "", VLOOKUP(Y249, Z!$A$2:$C$4127, 3, FALSE))</f>
        <v/>
      </c>
      <c r="AA249" s="262"/>
      <c r="AB249" s="249">
        <f t="shared" si="424"/>
        <v>0</v>
      </c>
      <c r="AC249" s="210"/>
      <c r="AD249" s="236">
        <f t="shared" si="421"/>
        <v>1</v>
      </c>
      <c r="AE249" s="236">
        <f t="shared" si="422"/>
        <v>1</v>
      </c>
      <c r="AF249" s="236">
        <f t="shared" si="423"/>
        <v>0</v>
      </c>
      <c r="AG249" s="236">
        <v>1</v>
      </c>
      <c r="AH249" s="236">
        <v>0</v>
      </c>
      <c r="AI249" s="236">
        <f t="shared" si="399"/>
        <v>-100</v>
      </c>
      <c r="AJ249" s="210"/>
      <c r="AK249" s="254"/>
      <c r="AL249" s="254"/>
      <c r="AM249" s="255"/>
      <c r="AN249" s="255"/>
      <c r="AO249" s="255"/>
      <c r="AP249" s="255"/>
      <c r="AQ249" s="255"/>
      <c r="AR249" s="255"/>
      <c r="AS249" s="255"/>
      <c r="AT249" s="255"/>
      <c r="AU249" s="255"/>
      <c r="AV249" s="255"/>
      <c r="AW249" s="255"/>
      <c r="AX249" s="210"/>
      <c r="AY249" s="236" cm="1">
        <f t="array" ref="AY249">INDEX(Use, $AD249, 4)</f>
        <v>7</v>
      </c>
      <c r="AZ249" s="236">
        <f t="shared" si="400"/>
        <v>32</v>
      </c>
      <c r="BA249" s="236">
        <f t="shared" si="239"/>
        <v>13</v>
      </c>
      <c r="BB249" s="236">
        <f t="shared" si="240"/>
        <v>0</v>
      </c>
      <c r="BC249" s="252" cm="1">
        <f t="array" ref="BC249">K249/IF($L249&gt;0, INDEX($AO$23:$AU$77, $L249+20, $AD249), 1)</f>
        <v>0</v>
      </c>
      <c r="BD249" s="237">
        <f t="shared" si="401"/>
        <v>0</v>
      </c>
      <c r="BE249" s="236">
        <v>35</v>
      </c>
      <c r="BF249" s="237">
        <f t="shared" si="402"/>
        <v>52.55</v>
      </c>
      <c r="BG249" s="253">
        <f t="shared" si="403"/>
        <v>2.7676728869374316</v>
      </c>
      <c r="BH249" s="253" cm="1">
        <f t="array" ref="BH249">$BC249 * SUMPRODUCT(INDEX($AL$77:$AN$82,,$AE249),INDEX($AO$77:$AU$82,,$AD249), N($AK$77:$AK$82&gt;$AI249)) / BG249 / 1000</f>
        <v>0</v>
      </c>
      <c r="BI249" s="250">
        <f t="shared" si="244"/>
        <v>30</v>
      </c>
      <c r="BJ249" s="237">
        <f t="shared" si="404"/>
        <v>46.033333333333331</v>
      </c>
      <c r="BK249" s="253">
        <f t="shared" si="405"/>
        <v>3.2297395388556791</v>
      </c>
      <c r="BL249" s="253" cm="1">
        <f t="array" ref="BL249">$BC249 * IF($AD249&lt;=2,
SUMPRODUCT(INDEX($AL$72:$AN$76,,$AE249), INDEX($AO$72:$AU$76,,$AD249), 1 / ($AV$72:$AV$76*BK249 + (1-$AV$72:$AV$76)*BG249), N($AK$72:$AK$76&gt;$AI249)),
SUMPRODUCT(INDEX($AL$67:$AN$76,,$AE249), INDEX($AO$67:$AU$76,,$AD249), 1 / ($AW$67:$AW$76*BK249 + (1-$AW$67:$AW$76)*BG249), N($AK$67:$AK$76&gt;$AI249))
) / 1000</f>
        <v>0</v>
      </c>
      <c r="BM249" s="250">
        <f t="shared" si="247"/>
        <v>25</v>
      </c>
      <c r="BN249" s="237">
        <f t="shared" si="406"/>
        <v>39.516666666666666</v>
      </c>
      <c r="BO249" s="253">
        <f t="shared" si="407"/>
        <v>3.877011788826243</v>
      </c>
      <c r="BP249" s="253" cm="1">
        <f t="array" ref="BP249">$BC249 * IF($AD249&lt;=2,
SUMPRODUCT(INDEX($AL$67:$AN$71,,$AE249), INDEX($AO$67:$AU$71,,$AD249), 1 / ($AV$67:$AV$71*BO249 + (1-$AV$67:$AV$71)*BK249), N($AK$67:$AK$71&gt;$AI249)),
SUMPRODUCT(INDEX($AL$57:$AN$66,,$AE249), INDEX($AO$57:$AU$66,,$AD249), 1 / ($AW$57:$AW$66*BO249 + (1-$AW$57:$AW$66)*BK249), N($AK$57:$AK$66&gt;$AI249))
) / 1000</f>
        <v>0</v>
      </c>
      <c r="BQ249" s="250">
        <f t="shared" si="250"/>
        <v>20</v>
      </c>
      <c r="BR249" s="237">
        <f t="shared" si="408"/>
        <v>33</v>
      </c>
      <c r="BS249" s="253">
        <f t="shared" si="409"/>
        <v>4.8487499999999999</v>
      </c>
      <c r="BT249" s="253" cm="1">
        <f t="array" ref="BT249">$BC249 * IF($AD249&lt;=2,
SUMPRODUCT(INDEX($AL$62:$AN$66,,$AE249), INDEX($AO$62:$AU$66,,$AD249), 1 / ($AV$62:$AV$66*BS249 + (1-$AV$62:$AV$66)*BO249), N($AK$62:$AK$66&gt;$AI249)),
SUMPRODUCT(INDEX($AL$47:$AN$56,,$AE249), INDEX($AO$47:$AU$56,,$AD249), 1 / ($AW$47:$AW$56*BS249 + (1-$AW$47:$AW$56)*BO249), N($AK$47:$AK$56&gt;$AI249))
) / 1000</f>
        <v>0</v>
      </c>
      <c r="BU249" s="253" cm="1">
        <f t="array" ref="BU249">$BC249 * IF($AD249&lt;=2,
SUMPRODUCT(INDEX($AL$23:$AN$61,,$AE249), INDEX($AO$23:$AU$61,,$AD249), 1 / ($AV$23:$AV$61*BS249), N($AK$23:$AK$61&gt;$AI249)),
SUMPRODUCT(INDEX($AL$23:$AN$46,,$AE249), INDEX($AO$23:$AU$46,,$AD249), 1 / ($AW$23:$AW$46*BS249), N($AK$23:$AK$46&gt;$AI249))
) / 1000</f>
        <v>0</v>
      </c>
      <c r="BV249" s="237">
        <f t="shared" si="410"/>
        <v>0</v>
      </c>
      <c r="BW249" s="210"/>
      <c r="BX249" s="237">
        <f t="shared" si="411"/>
        <v>0</v>
      </c>
      <c r="BY249" s="236">
        <v>35</v>
      </c>
      <c r="BZ249" s="237">
        <f t="shared" si="412"/>
        <v>48</v>
      </c>
      <c r="CA249" s="253">
        <f t="shared" si="413"/>
        <v>3.0748170731707316</v>
      </c>
      <c r="CB249" s="253" cm="1">
        <f t="array" ref="CB249">$BC249 * SUMPRODUCT(INDEX($AL$77:$AN$82,,$AE249),INDEX($AO$77:$AU$82,,$AD249), N($AK$77:$AK$82&gt;$AI249)) / CA249 / 1000</f>
        <v>0</v>
      </c>
      <c r="CC249" s="250">
        <f t="shared" si="257"/>
        <v>30</v>
      </c>
      <c r="CD249" s="237">
        <f t="shared" si="414"/>
        <v>43</v>
      </c>
      <c r="CE249" s="253">
        <f t="shared" si="415"/>
        <v>3.5018750000000001</v>
      </c>
      <c r="CF249" s="253" cm="1">
        <f t="array" ref="CF249">$BC249 * IF($AD249&lt;=2,
SUMPRODUCT(INDEX($AL$72:$AN$76,,$AE249), INDEX($AO$72:$AU$76,,$AD249), 1 / ($AV$72:$AV$76*CE249 + (1-$AV$72:$AV$76)*CA249), N($AK$72:$AK$76&gt;$AI249)),
SUMPRODUCT(INDEX($AL$67:$AN$76,,$AE249), INDEX($AO$67:$AU$76,,$AD249), 1 / ($AW$67:$AW$76*CE249 + (1-$AW$67:$AW$76)*CA249), N($AK$67:$AK$76&gt;$AI249))
) / 1000</f>
        <v>0</v>
      </c>
      <c r="CG249" s="250">
        <f t="shared" si="260"/>
        <v>25</v>
      </c>
      <c r="CH249" s="237">
        <f t="shared" si="416"/>
        <v>38</v>
      </c>
      <c r="CI249" s="253">
        <f t="shared" si="417"/>
        <v>4.0666935483870965</v>
      </c>
      <c r="CJ249" s="253" cm="1">
        <f t="array" ref="CJ249">$BC249 * IF($AD249&lt;=2,
SUMPRODUCT(INDEX($AL$67:$AN$71,,$AE249), INDEX($AO$67:$AU$71,,$AD249), 1 / ($AV$67:$AV$71*CI249 + (1-$AV$67:$AV$71)*CE249), N($AK$67:$AK$71&gt;$AI249)),
SUMPRODUCT(INDEX($AL$57:$AN$66,,$AE249), INDEX($AO$57:$AU$66,,$AD249), 1 / ($AW$57:$AW$66*CI249 + (1-$AW$57:$AW$66)*CE249), N($AK$57:$AK$66&gt;$AI249))
) / 1000</f>
        <v>0</v>
      </c>
      <c r="CK249" s="250">
        <f t="shared" si="263"/>
        <v>20</v>
      </c>
      <c r="CL249" s="237">
        <f t="shared" si="418"/>
        <v>33</v>
      </c>
      <c r="CM249" s="253">
        <f t="shared" si="419"/>
        <v>4.8487499999999999</v>
      </c>
      <c r="CN249" s="253" cm="1">
        <f t="array" ref="CN249">$BC249 * IF($AD249&lt;=2,
SUMPRODUCT(INDEX($AL$62:$AN$66,,$AE249), INDEX($AO$62:$AU$66,,$AD249), 1 / ($AV$62:$AV$66*CM249 + (1-$AV$62:$AV$66)*CI249), N($AK$62:$AK$66&gt;$AI249)),
SUMPRODUCT(INDEX($AL$47:$AN$56,,$AE249), INDEX($AO$47:$AU$56,,$AD249), 1 / ($AW$47:$AW$56*CM249 + (1-$AW$47:$AW$56)*CI249), N($AK$47:$AK$56&gt;$AI249))
) / 1000</f>
        <v>0</v>
      </c>
      <c r="CO249" s="253" cm="1">
        <f t="array" ref="CO249">$BC249 * IF($AD249&lt;=2,
SUMPRODUCT(INDEX($AL$23:$AN$61,,$AE249), INDEX($AO$23:$AU$61,,$AD249), 1 / ($AV$23:$AV$61*CM249), N($AK$23:$AK$61&gt;$AI249)),
SUMPRODUCT(INDEX($AL$23:$AN$46,,$AE249), INDEX($AO$23:$AU$46,,$AD249), 1 / ($AW$23:$AW$46*CM249), N($AK$23:$AK$46&gt;$AI249))
) / 1000</f>
        <v>0</v>
      </c>
      <c r="CP249" s="237">
        <f t="shared" si="420"/>
        <v>0</v>
      </c>
      <c r="CQ249" s="210"/>
    </row>
    <row r="250" spans="1:95" s="76" customFormat="1" ht="14.25" customHeight="1" x14ac:dyDescent="0.2">
      <c r="A250" s="238" t="b">
        <f t="shared" si="227"/>
        <v>0</v>
      </c>
      <c r="B250" s="239">
        <v>228</v>
      </c>
      <c r="C250" s="258"/>
      <c r="D250" s="258"/>
      <c r="E250" s="240"/>
      <c r="F250" s="241" t="str">
        <f>IF(ISBLANK(E250), "", VLOOKUP(E250, Z!$A$2:$C$4127, 3, FALSE))</f>
        <v/>
      </c>
      <c r="G250" s="242"/>
      <c r="H250" s="242"/>
      <c r="I250" s="243"/>
      <c r="J250" s="244"/>
      <c r="K250" s="259"/>
      <c r="L250" s="260"/>
      <c r="M250" s="247" t="str" cm="1">
        <f t="array" ref="M250">IF($K250&gt;0, INDEX(Clean,1+AG250,$C$1), "")</f>
        <v/>
      </c>
      <c r="N250" s="245"/>
      <c r="O250" s="245"/>
      <c r="P250" s="246"/>
      <c r="Q250" s="248">
        <f t="shared" si="397"/>
        <v>0</v>
      </c>
      <c r="R250" s="247" t="str" cm="1">
        <f t="array" ref="R250">IF($K250&gt;0, INDEX(Clean,1+AH250,$C$1), "")</f>
        <v/>
      </c>
      <c r="S250" s="245"/>
      <c r="T250" s="245"/>
      <c r="U250" s="246"/>
      <c r="V250" s="248">
        <f t="shared" si="398"/>
        <v>0</v>
      </c>
      <c r="W250" s="261"/>
      <c r="X250" s="258"/>
      <c r="Y250" s="240"/>
      <c r="Z250" s="241" t="str">
        <f>IF(ISBLANK(Y250), "", VLOOKUP(Y250, Z!$A$2:$C$4127, 3, FALSE))</f>
        <v/>
      </c>
      <c r="AA250" s="262"/>
      <c r="AB250" s="249">
        <f t="shared" si="424"/>
        <v>0</v>
      </c>
      <c r="AC250" s="210"/>
      <c r="AD250" s="236">
        <f t="shared" si="421"/>
        <v>1</v>
      </c>
      <c r="AE250" s="236">
        <f t="shared" si="422"/>
        <v>1</v>
      </c>
      <c r="AF250" s="236">
        <f t="shared" si="423"/>
        <v>0</v>
      </c>
      <c r="AG250" s="236">
        <v>1</v>
      </c>
      <c r="AH250" s="236">
        <v>0</v>
      </c>
      <c r="AI250" s="236">
        <f t="shared" si="399"/>
        <v>-100</v>
      </c>
      <c r="AJ250" s="210"/>
      <c r="AK250" s="254"/>
      <c r="AL250" s="254"/>
      <c r="AM250" s="255"/>
      <c r="AN250" s="255"/>
      <c r="AO250" s="255"/>
      <c r="AP250" s="255"/>
      <c r="AQ250" s="255"/>
      <c r="AR250" s="255"/>
      <c r="AS250" s="255"/>
      <c r="AT250" s="255"/>
      <c r="AU250" s="255"/>
      <c r="AV250" s="255"/>
      <c r="AW250" s="255"/>
      <c r="AX250" s="210"/>
      <c r="AY250" s="236" cm="1">
        <f t="array" ref="AY250">INDEX(Use, $AD250, 4)</f>
        <v>7</v>
      </c>
      <c r="AZ250" s="236">
        <f t="shared" si="400"/>
        <v>32</v>
      </c>
      <c r="BA250" s="236">
        <f t="shared" si="239"/>
        <v>13</v>
      </c>
      <c r="BB250" s="236">
        <f t="shared" si="240"/>
        <v>0</v>
      </c>
      <c r="BC250" s="252" cm="1">
        <f t="array" ref="BC250">K250/IF($L250&gt;0, INDEX($AO$23:$AU$77, $L250+20, $AD250), 1)</f>
        <v>0</v>
      </c>
      <c r="BD250" s="237">
        <f t="shared" si="401"/>
        <v>0</v>
      </c>
      <c r="BE250" s="236">
        <v>35</v>
      </c>
      <c r="BF250" s="237">
        <f t="shared" si="402"/>
        <v>52.55</v>
      </c>
      <c r="BG250" s="253">
        <f t="shared" si="403"/>
        <v>2.7676728869374316</v>
      </c>
      <c r="BH250" s="253" cm="1">
        <f t="array" ref="BH250">$BC250 * SUMPRODUCT(INDEX($AL$77:$AN$82,,$AE250),INDEX($AO$77:$AU$82,,$AD250), N($AK$77:$AK$82&gt;$AI250)) / BG250 / 1000</f>
        <v>0</v>
      </c>
      <c r="BI250" s="250">
        <f t="shared" si="244"/>
        <v>30</v>
      </c>
      <c r="BJ250" s="237">
        <f t="shared" si="404"/>
        <v>46.033333333333331</v>
      </c>
      <c r="BK250" s="253">
        <f t="shared" si="405"/>
        <v>3.2297395388556791</v>
      </c>
      <c r="BL250" s="253" cm="1">
        <f t="array" ref="BL250">$BC250 * IF($AD250&lt;=2,
SUMPRODUCT(INDEX($AL$72:$AN$76,,$AE250), INDEX($AO$72:$AU$76,,$AD250), 1 / ($AV$72:$AV$76*BK250 + (1-$AV$72:$AV$76)*BG250), N($AK$72:$AK$76&gt;$AI250)),
SUMPRODUCT(INDEX($AL$67:$AN$76,,$AE250), INDEX($AO$67:$AU$76,,$AD250), 1 / ($AW$67:$AW$76*BK250 + (1-$AW$67:$AW$76)*BG250), N($AK$67:$AK$76&gt;$AI250))
) / 1000</f>
        <v>0</v>
      </c>
      <c r="BM250" s="250">
        <f t="shared" si="247"/>
        <v>25</v>
      </c>
      <c r="BN250" s="237">
        <f t="shared" si="406"/>
        <v>39.516666666666666</v>
      </c>
      <c r="BO250" s="253">
        <f t="shared" si="407"/>
        <v>3.877011788826243</v>
      </c>
      <c r="BP250" s="253" cm="1">
        <f t="array" ref="BP250">$BC250 * IF($AD250&lt;=2,
SUMPRODUCT(INDEX($AL$67:$AN$71,,$AE250), INDEX($AO$67:$AU$71,,$AD250), 1 / ($AV$67:$AV$71*BO250 + (1-$AV$67:$AV$71)*BK250), N($AK$67:$AK$71&gt;$AI250)),
SUMPRODUCT(INDEX($AL$57:$AN$66,,$AE250), INDEX($AO$57:$AU$66,,$AD250), 1 / ($AW$57:$AW$66*BO250 + (1-$AW$57:$AW$66)*BK250), N($AK$57:$AK$66&gt;$AI250))
) / 1000</f>
        <v>0</v>
      </c>
      <c r="BQ250" s="250">
        <f t="shared" si="250"/>
        <v>20</v>
      </c>
      <c r="BR250" s="237">
        <f t="shared" si="408"/>
        <v>33</v>
      </c>
      <c r="BS250" s="253">
        <f t="shared" si="409"/>
        <v>4.8487499999999999</v>
      </c>
      <c r="BT250" s="253" cm="1">
        <f t="array" ref="BT250">$BC250 * IF($AD250&lt;=2,
SUMPRODUCT(INDEX($AL$62:$AN$66,,$AE250), INDEX($AO$62:$AU$66,,$AD250), 1 / ($AV$62:$AV$66*BS250 + (1-$AV$62:$AV$66)*BO250), N($AK$62:$AK$66&gt;$AI250)),
SUMPRODUCT(INDEX($AL$47:$AN$56,,$AE250), INDEX($AO$47:$AU$56,,$AD250), 1 / ($AW$47:$AW$56*BS250 + (1-$AW$47:$AW$56)*BO250), N($AK$47:$AK$56&gt;$AI250))
) / 1000</f>
        <v>0</v>
      </c>
      <c r="BU250" s="253" cm="1">
        <f t="array" ref="BU250">$BC250 * IF($AD250&lt;=2,
SUMPRODUCT(INDEX($AL$23:$AN$61,,$AE250), INDEX($AO$23:$AU$61,,$AD250), 1 / ($AV$23:$AV$61*BS250), N($AK$23:$AK$61&gt;$AI250)),
SUMPRODUCT(INDEX($AL$23:$AN$46,,$AE250), INDEX($AO$23:$AU$46,,$AD250), 1 / ($AW$23:$AW$46*BS250), N($AK$23:$AK$46&gt;$AI250))
) / 1000</f>
        <v>0</v>
      </c>
      <c r="BV250" s="237">
        <f t="shared" si="410"/>
        <v>0</v>
      </c>
      <c r="BW250" s="210"/>
      <c r="BX250" s="237">
        <f t="shared" si="411"/>
        <v>0</v>
      </c>
      <c r="BY250" s="236">
        <v>35</v>
      </c>
      <c r="BZ250" s="237">
        <f t="shared" si="412"/>
        <v>48</v>
      </c>
      <c r="CA250" s="253">
        <f t="shared" si="413"/>
        <v>3.0748170731707316</v>
      </c>
      <c r="CB250" s="253" cm="1">
        <f t="array" ref="CB250">$BC250 * SUMPRODUCT(INDEX($AL$77:$AN$82,,$AE250),INDEX($AO$77:$AU$82,,$AD250), N($AK$77:$AK$82&gt;$AI250)) / CA250 / 1000</f>
        <v>0</v>
      </c>
      <c r="CC250" s="250">
        <f t="shared" si="257"/>
        <v>30</v>
      </c>
      <c r="CD250" s="237">
        <f t="shared" si="414"/>
        <v>43</v>
      </c>
      <c r="CE250" s="253">
        <f t="shared" si="415"/>
        <v>3.5018750000000001</v>
      </c>
      <c r="CF250" s="253" cm="1">
        <f t="array" ref="CF250">$BC250 * IF($AD250&lt;=2,
SUMPRODUCT(INDEX($AL$72:$AN$76,,$AE250), INDEX($AO$72:$AU$76,,$AD250), 1 / ($AV$72:$AV$76*CE250 + (1-$AV$72:$AV$76)*CA250), N($AK$72:$AK$76&gt;$AI250)),
SUMPRODUCT(INDEX($AL$67:$AN$76,,$AE250), INDEX($AO$67:$AU$76,,$AD250), 1 / ($AW$67:$AW$76*CE250 + (1-$AW$67:$AW$76)*CA250), N($AK$67:$AK$76&gt;$AI250))
) / 1000</f>
        <v>0</v>
      </c>
      <c r="CG250" s="250">
        <f t="shared" si="260"/>
        <v>25</v>
      </c>
      <c r="CH250" s="237">
        <f t="shared" si="416"/>
        <v>38</v>
      </c>
      <c r="CI250" s="253">
        <f t="shared" si="417"/>
        <v>4.0666935483870965</v>
      </c>
      <c r="CJ250" s="253" cm="1">
        <f t="array" ref="CJ250">$BC250 * IF($AD250&lt;=2,
SUMPRODUCT(INDEX($AL$67:$AN$71,,$AE250), INDEX($AO$67:$AU$71,,$AD250), 1 / ($AV$67:$AV$71*CI250 + (1-$AV$67:$AV$71)*CE250), N($AK$67:$AK$71&gt;$AI250)),
SUMPRODUCT(INDEX($AL$57:$AN$66,,$AE250), INDEX($AO$57:$AU$66,,$AD250), 1 / ($AW$57:$AW$66*CI250 + (1-$AW$57:$AW$66)*CE250), N($AK$57:$AK$66&gt;$AI250))
) / 1000</f>
        <v>0</v>
      </c>
      <c r="CK250" s="250">
        <f t="shared" si="263"/>
        <v>20</v>
      </c>
      <c r="CL250" s="237">
        <f t="shared" si="418"/>
        <v>33</v>
      </c>
      <c r="CM250" s="253">
        <f t="shared" si="419"/>
        <v>4.8487499999999999</v>
      </c>
      <c r="CN250" s="253" cm="1">
        <f t="array" ref="CN250">$BC250 * IF($AD250&lt;=2,
SUMPRODUCT(INDEX($AL$62:$AN$66,,$AE250), INDEX($AO$62:$AU$66,,$AD250), 1 / ($AV$62:$AV$66*CM250 + (1-$AV$62:$AV$66)*CI250), N($AK$62:$AK$66&gt;$AI250)),
SUMPRODUCT(INDEX($AL$47:$AN$56,,$AE250), INDEX($AO$47:$AU$56,,$AD250), 1 / ($AW$47:$AW$56*CM250 + (1-$AW$47:$AW$56)*CI250), N($AK$47:$AK$56&gt;$AI250))
) / 1000</f>
        <v>0</v>
      </c>
      <c r="CO250" s="253" cm="1">
        <f t="array" ref="CO250">$BC250 * IF($AD250&lt;=2,
SUMPRODUCT(INDEX($AL$23:$AN$61,,$AE250), INDEX($AO$23:$AU$61,,$AD250), 1 / ($AV$23:$AV$61*CM250), N($AK$23:$AK$61&gt;$AI250)),
SUMPRODUCT(INDEX($AL$23:$AN$46,,$AE250), INDEX($AO$23:$AU$46,,$AD250), 1 / ($AW$23:$AW$46*CM250), N($AK$23:$AK$46&gt;$AI250))
) / 1000</f>
        <v>0</v>
      </c>
      <c r="CP250" s="237">
        <f t="shared" si="420"/>
        <v>0</v>
      </c>
      <c r="CQ250" s="210"/>
    </row>
    <row r="251" spans="1:95" s="76" customFormat="1" ht="14.25" customHeight="1" x14ac:dyDescent="0.2">
      <c r="A251" s="238" t="b">
        <f t="shared" si="227"/>
        <v>0</v>
      </c>
      <c r="B251" s="239">
        <v>229</v>
      </c>
      <c r="C251" s="258"/>
      <c r="D251" s="258"/>
      <c r="E251" s="240"/>
      <c r="F251" s="241" t="str">
        <f>IF(ISBLANK(E251), "", VLOOKUP(E251, Z!$A$2:$C$4127, 3, FALSE))</f>
        <v/>
      </c>
      <c r="G251" s="242"/>
      <c r="H251" s="242"/>
      <c r="I251" s="243"/>
      <c r="J251" s="244"/>
      <c r="K251" s="259"/>
      <c r="L251" s="260"/>
      <c r="M251" s="247" t="str" cm="1">
        <f t="array" ref="M251">IF($K251&gt;0, INDEX(Clean,1+AG251,$C$1), "")</f>
        <v/>
      </c>
      <c r="N251" s="245"/>
      <c r="O251" s="245"/>
      <c r="P251" s="246"/>
      <c r="Q251" s="248">
        <f t="shared" ref="Q251:Q314" si="425">BV251*1000</f>
        <v>0</v>
      </c>
      <c r="R251" s="247" t="str" cm="1">
        <f t="array" ref="R251">IF($K251&gt;0, INDEX(Clean,1+AH251,$C$1), "")</f>
        <v/>
      </c>
      <c r="S251" s="245"/>
      <c r="T251" s="245"/>
      <c r="U251" s="246"/>
      <c r="V251" s="248">
        <f t="shared" ref="V251:V314" si="426">CP251*1000</f>
        <v>0</v>
      </c>
      <c r="W251" s="261"/>
      <c r="X251" s="258"/>
      <c r="Y251" s="240"/>
      <c r="Z251" s="241" t="str">
        <f>IF(ISBLANK(Y251), "", VLOOKUP(Y251, Z!$A$2:$C$4127, 3, FALSE))</f>
        <v/>
      </c>
      <c r="AA251" s="262"/>
      <c r="AB251" s="249">
        <f t="shared" si="424"/>
        <v>0</v>
      </c>
      <c r="AC251" s="210"/>
      <c r="AD251" s="236">
        <f t="shared" si="421"/>
        <v>1</v>
      </c>
      <c r="AE251" s="236">
        <f t="shared" si="422"/>
        <v>1</v>
      </c>
      <c r="AF251" s="236">
        <f t="shared" si="423"/>
        <v>0</v>
      </c>
      <c r="AG251" s="236">
        <v>1</v>
      </c>
      <c r="AH251" s="236">
        <v>0</v>
      </c>
      <c r="AI251" s="236">
        <f t="shared" ref="AI251:AI314" si="427">IF(AND(J251="x", AD251=5), 11, IF(AND(J251="x", AD251=6), 19, -100))</f>
        <v>-100</v>
      </c>
      <c r="AJ251" s="210"/>
      <c r="AK251" s="254"/>
      <c r="AL251" s="254"/>
      <c r="AM251" s="255"/>
      <c r="AN251" s="255"/>
      <c r="AO251" s="255"/>
      <c r="AP251" s="255"/>
      <c r="AQ251" s="255"/>
      <c r="AR251" s="255"/>
      <c r="AS251" s="255"/>
      <c r="AT251" s="255"/>
      <c r="AU251" s="255"/>
      <c r="AV251" s="255"/>
      <c r="AW251" s="255"/>
      <c r="AX251" s="210"/>
      <c r="AY251" s="236" cm="1">
        <f t="array" ref="AY251">INDEX(Use, $AD251, 4)</f>
        <v>7</v>
      </c>
      <c r="AZ251" s="236">
        <f t="shared" ref="AZ251:AZ314" si="428">MAX(25, AY251+25)</f>
        <v>32</v>
      </c>
      <c r="BA251" s="236">
        <f t="shared" si="239"/>
        <v>13</v>
      </c>
      <c r="BB251" s="236">
        <f t="shared" si="240"/>
        <v>0</v>
      </c>
      <c r="BC251" s="252" cm="1">
        <f t="array" ref="BC251">K251/IF($L251&gt;0, INDEX($AO$23:$AU$77, $L251+20, $AD251), 1)</f>
        <v>0</v>
      </c>
      <c r="BD251" s="237">
        <f t="shared" ref="BD251:BD314" si="429">P251 /  IF(AD251&lt;=2, 0.7 + 0.3 * (O251-20)/(35-20), 0.4 + 0.6 * (O251-5)/(35-5))</f>
        <v>0</v>
      </c>
      <c r="BE251" s="236">
        <v>35</v>
      </c>
      <c r="BF251" s="237">
        <f t="shared" ref="BF251:BF314" si="430">MAX($N251, MAX($AZ251, $BE251 + $BA251 + $BB251 + 0.35*$AG251*$BA251 + BD251))</f>
        <v>52.55</v>
      </c>
      <c r="BG251" s="253">
        <f t="shared" ref="BG251:BG314" si="431">0.45*($AY251+273.15)/(BF251-$AY251)</f>
        <v>2.7676728869374316</v>
      </c>
      <c r="BH251" s="253" cm="1">
        <f t="array" ref="BH251">$BC251 * SUMPRODUCT(INDEX($AL$77:$AN$82,,$AE251),INDEX($AO$77:$AU$82,,$AD251), N($AK$77:$AK$82&gt;$AI251)) / BG251 / 1000</f>
        <v>0</v>
      </c>
      <c r="BI251" s="250">
        <f t="shared" si="244"/>
        <v>30</v>
      </c>
      <c r="BJ251" s="237">
        <f t="shared" ref="BJ251:BJ314" si="432">MAX($N251, MAX($AZ251, BI251 + $BA251 + $BB251 + IF($AD251&lt;=2, (BI251-20)/(35-20), 0.6+0.4*(BI251-5)/(35-5))*0.35*$AG251*$BA251) + IF($AD251&lt;=2,0.9,0.8)*$BD251)</f>
        <v>46.033333333333331</v>
      </c>
      <c r="BK251" s="253">
        <f t="shared" ref="BK251:BK314" si="433">0.45*($AY251+273.15)/(BJ251-$AY251)</f>
        <v>3.2297395388556791</v>
      </c>
      <c r="BL251" s="253" cm="1">
        <f t="array" ref="BL251">$BC251 * IF($AD251&lt;=2,
SUMPRODUCT(INDEX($AL$72:$AN$76,,$AE251), INDEX($AO$72:$AU$76,,$AD251), 1 / ($AV$72:$AV$76*BK251 + (1-$AV$72:$AV$76)*BG251), N($AK$72:$AK$76&gt;$AI251)),
SUMPRODUCT(INDEX($AL$67:$AN$76,,$AE251), INDEX($AO$67:$AU$76,,$AD251), 1 / ($AW$67:$AW$76*BK251 + (1-$AW$67:$AW$76)*BG251), N($AK$67:$AK$76&gt;$AI251))
) / 1000</f>
        <v>0</v>
      </c>
      <c r="BM251" s="250">
        <f t="shared" si="247"/>
        <v>25</v>
      </c>
      <c r="BN251" s="237">
        <f t="shared" ref="BN251:BN314" si="434">MAX($N251, MAX($AZ251, BM251 + $BA251 + $BB251 + IF($AD251&lt;=2, (BM251-20)/(35-20), 0.6+0.4*(BM251-5)/(35-5))*0.35*$AG251*$BA251) + IF($AD251&lt;=2,0.8,0.6)*$BD251)</f>
        <v>39.516666666666666</v>
      </c>
      <c r="BO251" s="253">
        <f t="shared" ref="BO251:BO314" si="435">0.45*($AY251+273.15)/(BN251-$AY251)</f>
        <v>3.877011788826243</v>
      </c>
      <c r="BP251" s="253" cm="1">
        <f t="array" ref="BP251">$BC251 * IF($AD251&lt;=2,
SUMPRODUCT(INDEX($AL$67:$AN$71,,$AE251), INDEX($AO$67:$AU$71,,$AD251), 1 / ($AV$67:$AV$71*BO251 + (1-$AV$67:$AV$71)*BK251), N($AK$67:$AK$71&gt;$AI251)),
SUMPRODUCT(INDEX($AL$57:$AN$66,,$AE251), INDEX($AO$57:$AU$66,,$AD251), 1 / ($AW$57:$AW$66*BO251 + (1-$AW$57:$AW$66)*BK251), N($AK$57:$AK$66&gt;$AI251))
) / 1000</f>
        <v>0</v>
      </c>
      <c r="BQ251" s="250">
        <f t="shared" si="250"/>
        <v>20</v>
      </c>
      <c r="BR251" s="237">
        <f t="shared" ref="BR251:BR314" si="436">MAX($N251, MAX($AZ251, BQ251 + $BA251 + $BB251 + IF($AD251&lt;=2, (BQ251-20)/(35-20), 0.6+0.4*(BQ251-5)/(35-5))*0.35*$AG251*$BA251) + IF($AD251&lt;=2,0.7,0.4)*$BD251)</f>
        <v>33</v>
      </c>
      <c r="BS251" s="253">
        <f t="shared" ref="BS251:BS314" si="437">0.45*($AY251+273.15)/(BR251-$AY251)</f>
        <v>4.8487499999999999</v>
      </c>
      <c r="BT251" s="253" cm="1">
        <f t="array" ref="BT251">$BC251 * IF($AD251&lt;=2,
SUMPRODUCT(INDEX($AL$62:$AN$66,,$AE251), INDEX($AO$62:$AU$66,,$AD251), 1 / ($AV$62:$AV$66*BS251 + (1-$AV$62:$AV$66)*BO251), N($AK$62:$AK$66&gt;$AI251)),
SUMPRODUCT(INDEX($AL$47:$AN$56,,$AE251), INDEX($AO$47:$AU$56,,$AD251), 1 / ($AW$47:$AW$56*BS251 + (1-$AW$47:$AW$56)*BO251), N($AK$47:$AK$56&gt;$AI251))
) / 1000</f>
        <v>0</v>
      </c>
      <c r="BU251" s="253" cm="1">
        <f t="array" ref="BU251">$BC251 * IF($AD251&lt;=2,
SUMPRODUCT(INDEX($AL$23:$AN$61,,$AE251), INDEX($AO$23:$AU$61,,$AD251), 1 / ($AV$23:$AV$61*BS251), N($AK$23:$AK$61&gt;$AI251)),
SUMPRODUCT(INDEX($AL$23:$AN$46,,$AE251), INDEX($AO$23:$AU$46,,$AD251), 1 / ($AW$23:$AW$46*BS251), N($AK$23:$AK$46&gt;$AI251))
) / 1000</f>
        <v>0</v>
      </c>
      <c r="BV251" s="237">
        <f t="shared" ref="BV251:BV314" si="438">BH251+BL251+BP251+BT251+BU251</f>
        <v>0</v>
      </c>
      <c r="BW251" s="210"/>
      <c r="BX251" s="237">
        <f t="shared" ref="BX251:BX314" si="439">U251 /  IF(AD251&lt;=2, 0.7 + 0.3 * (T251-20)/(35-20), 0.4 + 0.6 * (T251-5)/(35-5))</f>
        <v>0</v>
      </c>
      <c r="BY251" s="236">
        <v>35</v>
      </c>
      <c r="BZ251" s="237">
        <f t="shared" ref="BZ251:BZ314" si="440">MAX($S251, MAX($AZ251, $BE251 + $BA251 + $BB251 + 0.35*$AH251*$BA251 + BX251))</f>
        <v>48</v>
      </c>
      <c r="CA251" s="253">
        <f t="shared" ref="CA251:CA314" si="441">0.45*($AY251+273.15)/(BZ251-$AY251)</f>
        <v>3.0748170731707316</v>
      </c>
      <c r="CB251" s="253" cm="1">
        <f t="array" ref="CB251">$BC251 * SUMPRODUCT(INDEX($AL$77:$AN$82,,$AE251),INDEX($AO$77:$AU$82,,$AD251), N($AK$77:$AK$82&gt;$AI251)) / CA251 / 1000</f>
        <v>0</v>
      </c>
      <c r="CC251" s="250">
        <f t="shared" si="257"/>
        <v>30</v>
      </c>
      <c r="CD251" s="237">
        <f t="shared" ref="CD251:CD314" si="442">MAX($S251, MAX($AZ251, CC251 + $BA251 + $BB251 + IF($AD251&lt;=2, (CC251-20)/(35-20), 0.6+0.4*(CC251-5)/(35-5))*0.35*$AH251*$BA251) + IF($AD251&lt;=2,0.9,0.8)*$BX251)</f>
        <v>43</v>
      </c>
      <c r="CE251" s="253">
        <f t="shared" ref="CE251:CE314" si="443">0.45*($AY251+273.15)/(CD251-$AY251)</f>
        <v>3.5018750000000001</v>
      </c>
      <c r="CF251" s="253" cm="1">
        <f t="array" ref="CF251">$BC251 * IF($AD251&lt;=2,
SUMPRODUCT(INDEX($AL$72:$AN$76,,$AE251), INDEX($AO$72:$AU$76,,$AD251), 1 / ($AV$72:$AV$76*CE251 + (1-$AV$72:$AV$76)*CA251), N($AK$72:$AK$76&gt;$AI251)),
SUMPRODUCT(INDEX($AL$67:$AN$76,,$AE251), INDEX($AO$67:$AU$76,,$AD251), 1 / ($AW$67:$AW$76*CE251 + (1-$AW$67:$AW$76)*CA251), N($AK$67:$AK$76&gt;$AI251))
) / 1000</f>
        <v>0</v>
      </c>
      <c r="CG251" s="250">
        <f t="shared" si="260"/>
        <v>25</v>
      </c>
      <c r="CH251" s="237">
        <f t="shared" ref="CH251:CH314" si="444">MAX($S251, MAX($AZ251, CG251 + $BA251 + $BB251 + IF($AD251&lt;=2, (CG251-20)/(35-20), 0.6+0.4*(CG251-5)/(35-5))*0.35*$AH251*$BA251) + IF($AD251&lt;=2,0.8,0.6)*$BX251)</f>
        <v>38</v>
      </c>
      <c r="CI251" s="253">
        <f t="shared" ref="CI251:CI314" si="445">0.45*($AY251+273.15)/(CH251-$AY251)</f>
        <v>4.0666935483870965</v>
      </c>
      <c r="CJ251" s="253" cm="1">
        <f t="array" ref="CJ251">$BC251 * IF($AD251&lt;=2,
SUMPRODUCT(INDEX($AL$67:$AN$71,,$AE251), INDEX($AO$67:$AU$71,,$AD251), 1 / ($AV$67:$AV$71*CI251 + (1-$AV$67:$AV$71)*CE251), N($AK$67:$AK$71&gt;$AI251)),
SUMPRODUCT(INDEX($AL$57:$AN$66,,$AE251), INDEX($AO$57:$AU$66,,$AD251), 1 / ($AW$57:$AW$66*CI251 + (1-$AW$57:$AW$66)*CE251), N($AK$57:$AK$66&gt;$AI251))
) / 1000</f>
        <v>0</v>
      </c>
      <c r="CK251" s="250">
        <f t="shared" si="263"/>
        <v>20</v>
      </c>
      <c r="CL251" s="237">
        <f t="shared" ref="CL251:CL314" si="446">MAX($S251, MAX($AZ251, CK251 + $BA251 + $BB251 + IF($AD251&lt;=2, (CK251-20)/(35-20), 0.6+0.4*(CK251-5)/(35-5))*0.35*$AH251*$BA251) + IF($AD251&lt;=2,0.7,0.4)*$BX251)</f>
        <v>33</v>
      </c>
      <c r="CM251" s="253">
        <f t="shared" ref="CM251:CM314" si="447">0.45*($AY251+273.15)/(CL251-$AY251)</f>
        <v>4.8487499999999999</v>
      </c>
      <c r="CN251" s="253" cm="1">
        <f t="array" ref="CN251">$BC251 * IF($AD251&lt;=2,
SUMPRODUCT(INDEX($AL$62:$AN$66,,$AE251), INDEX($AO$62:$AU$66,,$AD251), 1 / ($AV$62:$AV$66*CM251 + (1-$AV$62:$AV$66)*CI251), N($AK$62:$AK$66&gt;$AI251)),
SUMPRODUCT(INDEX($AL$47:$AN$56,,$AE251), INDEX($AO$47:$AU$56,,$AD251), 1 / ($AW$47:$AW$56*CM251 + (1-$AW$47:$AW$56)*CI251), N($AK$47:$AK$56&gt;$AI251))
) / 1000</f>
        <v>0</v>
      </c>
      <c r="CO251" s="253" cm="1">
        <f t="array" ref="CO251">$BC251 * IF($AD251&lt;=2,
SUMPRODUCT(INDEX($AL$23:$AN$61,,$AE251), INDEX($AO$23:$AU$61,,$AD251), 1 / ($AV$23:$AV$61*CM251), N($AK$23:$AK$61&gt;$AI251)),
SUMPRODUCT(INDEX($AL$23:$AN$46,,$AE251), INDEX($AO$23:$AU$46,,$AD251), 1 / ($AW$23:$AW$46*CM251), N($AK$23:$AK$46&gt;$AI251))
) / 1000</f>
        <v>0</v>
      </c>
      <c r="CP251" s="237">
        <f t="shared" ref="CP251:CP314" si="448">CB251+CF251+CJ251+CN251+CO251</f>
        <v>0</v>
      </c>
      <c r="CQ251" s="210"/>
    </row>
    <row r="252" spans="1:95" s="76" customFormat="1" ht="14.25" customHeight="1" x14ac:dyDescent="0.2">
      <c r="A252" s="238" t="b">
        <f t="shared" si="227"/>
        <v>0</v>
      </c>
      <c r="B252" s="239">
        <v>230</v>
      </c>
      <c r="C252" s="258"/>
      <c r="D252" s="258"/>
      <c r="E252" s="240"/>
      <c r="F252" s="241" t="str">
        <f>IF(ISBLANK(E252), "", VLOOKUP(E252, Z!$A$2:$C$4127, 3, FALSE))</f>
        <v/>
      </c>
      <c r="G252" s="242"/>
      <c r="H252" s="242"/>
      <c r="I252" s="243"/>
      <c r="J252" s="244"/>
      <c r="K252" s="259"/>
      <c r="L252" s="260"/>
      <c r="M252" s="247" t="str" cm="1">
        <f t="array" ref="M252">IF($K252&gt;0, INDEX(Clean,1+AG252,$C$1), "")</f>
        <v/>
      </c>
      <c r="N252" s="245"/>
      <c r="O252" s="245"/>
      <c r="P252" s="246"/>
      <c r="Q252" s="248">
        <f t="shared" si="425"/>
        <v>0</v>
      </c>
      <c r="R252" s="247" t="str" cm="1">
        <f t="array" ref="R252">IF($K252&gt;0, INDEX(Clean,1+AH252,$C$1), "")</f>
        <v/>
      </c>
      <c r="S252" s="245"/>
      <c r="T252" s="245"/>
      <c r="U252" s="246"/>
      <c r="V252" s="248">
        <f t="shared" si="426"/>
        <v>0</v>
      </c>
      <c r="W252" s="261"/>
      <c r="X252" s="258"/>
      <c r="Y252" s="240"/>
      <c r="Z252" s="241" t="str">
        <f>IF(ISBLANK(Y252), "", VLOOKUP(Y252, Z!$A$2:$C$4127, 3, FALSE))</f>
        <v/>
      </c>
      <c r="AA252" s="262"/>
      <c r="AB252" s="249">
        <f t="shared" si="424"/>
        <v>0</v>
      </c>
      <c r="AC252" s="210"/>
      <c r="AD252" s="236">
        <f t="shared" ref="AD252:AD315" si="449">IF(ISBLANK(H252), 1, IFERROR(MATCH(H252, INDEX(Use,,1), 0), IFERROR(MATCH(H252, INDEX(Use,,2), 0), MATCH(H252, INDEX(Use,,3), 0))))</f>
        <v>1</v>
      </c>
      <c r="AE252" s="236">
        <f t="shared" ref="AE252:AE315" si="450">IF(ISBLANK(G252), 1, IFERROR(MATCH(G252, INDEX(Loc,,1), 0), IFERROR(MATCH(G252, INDEX(Loc,,2), 0), MATCH(G252, INDEX(Loc,,3), 0))))</f>
        <v>1</v>
      </c>
      <c r="AF252" s="236">
        <f t="shared" ref="AF252:AF315" si="451">_xlfn.IFNA(IF(IFERROR(MATCH(I252, INDEX(Medium,,1), 0), IFERROR(MATCH(I252, INDEX(Medium,,2), 0), MATCH(I252, INDEX(Medium,,3), 0))) = 2, 1, 0), 0)</f>
        <v>0</v>
      </c>
      <c r="AG252" s="236">
        <v>1</v>
      </c>
      <c r="AH252" s="236">
        <v>0</v>
      </c>
      <c r="AI252" s="236">
        <f t="shared" si="427"/>
        <v>-100</v>
      </c>
      <c r="AJ252" s="210"/>
      <c r="AK252" s="254"/>
      <c r="AL252" s="254"/>
      <c r="AM252" s="255"/>
      <c r="AN252" s="255"/>
      <c r="AO252" s="255"/>
      <c r="AP252" s="255"/>
      <c r="AQ252" s="255"/>
      <c r="AR252" s="255"/>
      <c r="AS252" s="255"/>
      <c r="AT252" s="255"/>
      <c r="AU252" s="255"/>
      <c r="AV252" s="255"/>
      <c r="AW252" s="255"/>
      <c r="AX252" s="210"/>
      <c r="AY252" s="236" cm="1">
        <f t="array" ref="AY252">INDEX(Use, $AD252, 4)</f>
        <v>7</v>
      </c>
      <c r="AZ252" s="236">
        <f t="shared" si="428"/>
        <v>32</v>
      </c>
      <c r="BA252" s="236">
        <f t="shared" si="239"/>
        <v>13</v>
      </c>
      <c r="BB252" s="236">
        <f t="shared" si="240"/>
        <v>0</v>
      </c>
      <c r="BC252" s="252" cm="1">
        <f t="array" ref="BC252">K252/IF($L252&gt;0, INDEX($AO$23:$AU$77, $L252+20, $AD252), 1)</f>
        <v>0</v>
      </c>
      <c r="BD252" s="237">
        <f t="shared" si="429"/>
        <v>0</v>
      </c>
      <c r="BE252" s="236">
        <v>35</v>
      </c>
      <c r="BF252" s="237">
        <f t="shared" si="430"/>
        <v>52.55</v>
      </c>
      <c r="BG252" s="253">
        <f t="shared" si="431"/>
        <v>2.7676728869374316</v>
      </c>
      <c r="BH252" s="253" cm="1">
        <f t="array" ref="BH252">$BC252 * SUMPRODUCT(INDEX($AL$77:$AN$82,,$AE252),INDEX($AO$77:$AU$82,,$AD252), N($AK$77:$AK$82&gt;$AI252)) / BG252 / 1000</f>
        <v>0</v>
      </c>
      <c r="BI252" s="250">
        <f t="shared" si="244"/>
        <v>30</v>
      </c>
      <c r="BJ252" s="237">
        <f t="shared" si="432"/>
        <v>46.033333333333331</v>
      </c>
      <c r="BK252" s="253">
        <f t="shared" si="433"/>
        <v>3.2297395388556791</v>
      </c>
      <c r="BL252" s="253" cm="1">
        <f t="array" ref="BL252">$BC252 * IF($AD252&lt;=2,
SUMPRODUCT(INDEX($AL$72:$AN$76,,$AE252), INDEX($AO$72:$AU$76,,$AD252), 1 / ($AV$72:$AV$76*BK252 + (1-$AV$72:$AV$76)*BG252), N($AK$72:$AK$76&gt;$AI252)),
SUMPRODUCT(INDEX($AL$67:$AN$76,,$AE252), INDEX($AO$67:$AU$76,,$AD252), 1 / ($AW$67:$AW$76*BK252 + (1-$AW$67:$AW$76)*BG252), N($AK$67:$AK$76&gt;$AI252))
) / 1000</f>
        <v>0</v>
      </c>
      <c r="BM252" s="250">
        <f t="shared" si="247"/>
        <v>25</v>
      </c>
      <c r="BN252" s="237">
        <f t="shared" si="434"/>
        <v>39.516666666666666</v>
      </c>
      <c r="BO252" s="253">
        <f t="shared" si="435"/>
        <v>3.877011788826243</v>
      </c>
      <c r="BP252" s="253" cm="1">
        <f t="array" ref="BP252">$BC252 * IF($AD252&lt;=2,
SUMPRODUCT(INDEX($AL$67:$AN$71,,$AE252), INDEX($AO$67:$AU$71,,$AD252), 1 / ($AV$67:$AV$71*BO252 + (1-$AV$67:$AV$71)*BK252), N($AK$67:$AK$71&gt;$AI252)),
SUMPRODUCT(INDEX($AL$57:$AN$66,,$AE252), INDEX($AO$57:$AU$66,,$AD252), 1 / ($AW$57:$AW$66*BO252 + (1-$AW$57:$AW$66)*BK252), N($AK$57:$AK$66&gt;$AI252))
) / 1000</f>
        <v>0</v>
      </c>
      <c r="BQ252" s="250">
        <f t="shared" si="250"/>
        <v>20</v>
      </c>
      <c r="BR252" s="237">
        <f t="shared" si="436"/>
        <v>33</v>
      </c>
      <c r="BS252" s="253">
        <f t="shared" si="437"/>
        <v>4.8487499999999999</v>
      </c>
      <c r="BT252" s="253" cm="1">
        <f t="array" ref="BT252">$BC252 * IF($AD252&lt;=2,
SUMPRODUCT(INDEX($AL$62:$AN$66,,$AE252), INDEX($AO$62:$AU$66,,$AD252), 1 / ($AV$62:$AV$66*BS252 + (1-$AV$62:$AV$66)*BO252), N($AK$62:$AK$66&gt;$AI252)),
SUMPRODUCT(INDEX($AL$47:$AN$56,,$AE252), INDEX($AO$47:$AU$56,,$AD252), 1 / ($AW$47:$AW$56*BS252 + (1-$AW$47:$AW$56)*BO252), N($AK$47:$AK$56&gt;$AI252))
) / 1000</f>
        <v>0</v>
      </c>
      <c r="BU252" s="253" cm="1">
        <f t="array" ref="BU252">$BC252 * IF($AD252&lt;=2,
SUMPRODUCT(INDEX($AL$23:$AN$61,,$AE252), INDEX($AO$23:$AU$61,,$AD252), 1 / ($AV$23:$AV$61*BS252), N($AK$23:$AK$61&gt;$AI252)),
SUMPRODUCT(INDEX($AL$23:$AN$46,,$AE252), INDEX($AO$23:$AU$46,,$AD252), 1 / ($AW$23:$AW$46*BS252), N($AK$23:$AK$46&gt;$AI252))
) / 1000</f>
        <v>0</v>
      </c>
      <c r="BV252" s="237">
        <f t="shared" si="438"/>
        <v>0</v>
      </c>
      <c r="BW252" s="210"/>
      <c r="BX252" s="237">
        <f t="shared" si="439"/>
        <v>0</v>
      </c>
      <c r="BY252" s="236">
        <v>35</v>
      </c>
      <c r="BZ252" s="237">
        <f t="shared" si="440"/>
        <v>48</v>
      </c>
      <c r="CA252" s="253">
        <f t="shared" si="441"/>
        <v>3.0748170731707316</v>
      </c>
      <c r="CB252" s="253" cm="1">
        <f t="array" ref="CB252">$BC252 * SUMPRODUCT(INDEX($AL$77:$AN$82,,$AE252),INDEX($AO$77:$AU$82,,$AD252), N($AK$77:$AK$82&gt;$AI252)) / CA252 / 1000</f>
        <v>0</v>
      </c>
      <c r="CC252" s="250">
        <f t="shared" si="257"/>
        <v>30</v>
      </c>
      <c r="CD252" s="237">
        <f t="shared" si="442"/>
        <v>43</v>
      </c>
      <c r="CE252" s="253">
        <f t="shared" si="443"/>
        <v>3.5018750000000001</v>
      </c>
      <c r="CF252" s="253" cm="1">
        <f t="array" ref="CF252">$BC252 * IF($AD252&lt;=2,
SUMPRODUCT(INDEX($AL$72:$AN$76,,$AE252), INDEX($AO$72:$AU$76,,$AD252), 1 / ($AV$72:$AV$76*CE252 + (1-$AV$72:$AV$76)*CA252), N($AK$72:$AK$76&gt;$AI252)),
SUMPRODUCT(INDEX($AL$67:$AN$76,,$AE252), INDEX($AO$67:$AU$76,,$AD252), 1 / ($AW$67:$AW$76*CE252 + (1-$AW$67:$AW$76)*CA252), N($AK$67:$AK$76&gt;$AI252))
) / 1000</f>
        <v>0</v>
      </c>
      <c r="CG252" s="250">
        <f t="shared" si="260"/>
        <v>25</v>
      </c>
      <c r="CH252" s="237">
        <f t="shared" si="444"/>
        <v>38</v>
      </c>
      <c r="CI252" s="253">
        <f t="shared" si="445"/>
        <v>4.0666935483870965</v>
      </c>
      <c r="CJ252" s="253" cm="1">
        <f t="array" ref="CJ252">$BC252 * IF($AD252&lt;=2,
SUMPRODUCT(INDEX($AL$67:$AN$71,,$AE252), INDEX($AO$67:$AU$71,,$AD252), 1 / ($AV$67:$AV$71*CI252 + (1-$AV$67:$AV$71)*CE252), N($AK$67:$AK$71&gt;$AI252)),
SUMPRODUCT(INDEX($AL$57:$AN$66,,$AE252), INDEX($AO$57:$AU$66,,$AD252), 1 / ($AW$57:$AW$66*CI252 + (1-$AW$57:$AW$66)*CE252), N($AK$57:$AK$66&gt;$AI252))
) / 1000</f>
        <v>0</v>
      </c>
      <c r="CK252" s="250">
        <f t="shared" si="263"/>
        <v>20</v>
      </c>
      <c r="CL252" s="237">
        <f t="shared" si="446"/>
        <v>33</v>
      </c>
      <c r="CM252" s="253">
        <f t="shared" si="447"/>
        <v>4.8487499999999999</v>
      </c>
      <c r="CN252" s="253" cm="1">
        <f t="array" ref="CN252">$BC252 * IF($AD252&lt;=2,
SUMPRODUCT(INDEX($AL$62:$AN$66,,$AE252), INDEX($AO$62:$AU$66,,$AD252), 1 / ($AV$62:$AV$66*CM252 + (1-$AV$62:$AV$66)*CI252), N($AK$62:$AK$66&gt;$AI252)),
SUMPRODUCT(INDEX($AL$47:$AN$56,,$AE252), INDEX($AO$47:$AU$56,,$AD252), 1 / ($AW$47:$AW$56*CM252 + (1-$AW$47:$AW$56)*CI252), N($AK$47:$AK$56&gt;$AI252))
) / 1000</f>
        <v>0</v>
      </c>
      <c r="CO252" s="253" cm="1">
        <f t="array" ref="CO252">$BC252 * IF($AD252&lt;=2,
SUMPRODUCT(INDEX($AL$23:$AN$61,,$AE252), INDEX($AO$23:$AU$61,,$AD252), 1 / ($AV$23:$AV$61*CM252), N($AK$23:$AK$61&gt;$AI252)),
SUMPRODUCT(INDEX($AL$23:$AN$46,,$AE252), INDEX($AO$23:$AU$46,,$AD252), 1 / ($AW$23:$AW$46*CM252), N($AK$23:$AK$46&gt;$AI252))
) / 1000</f>
        <v>0</v>
      </c>
      <c r="CP252" s="237">
        <f t="shared" si="448"/>
        <v>0</v>
      </c>
      <c r="CQ252" s="210"/>
    </row>
    <row r="253" spans="1:95" s="76" customFormat="1" ht="14.25" customHeight="1" x14ac:dyDescent="0.2">
      <c r="A253" s="238" t="b">
        <f t="shared" si="227"/>
        <v>0</v>
      </c>
      <c r="B253" s="239">
        <v>231</v>
      </c>
      <c r="C253" s="258"/>
      <c r="D253" s="258"/>
      <c r="E253" s="240"/>
      <c r="F253" s="241" t="str">
        <f>IF(ISBLANK(E253), "", VLOOKUP(E253, Z!$A$2:$C$4127, 3, FALSE))</f>
        <v/>
      </c>
      <c r="G253" s="242"/>
      <c r="H253" s="242"/>
      <c r="I253" s="243"/>
      <c r="J253" s="244"/>
      <c r="K253" s="259"/>
      <c r="L253" s="260"/>
      <c r="M253" s="247" t="str" cm="1">
        <f t="array" ref="M253">IF($K253&gt;0, INDEX(Clean,1+AG253,$C$1), "")</f>
        <v/>
      </c>
      <c r="N253" s="245"/>
      <c r="O253" s="245"/>
      <c r="P253" s="246"/>
      <c r="Q253" s="248">
        <f t="shared" si="425"/>
        <v>0</v>
      </c>
      <c r="R253" s="247" t="str" cm="1">
        <f t="array" ref="R253">IF($K253&gt;0, INDEX(Clean,1+AH253,$C$1), "")</f>
        <v/>
      </c>
      <c r="S253" s="245"/>
      <c r="T253" s="245"/>
      <c r="U253" s="246"/>
      <c r="V253" s="248">
        <f t="shared" si="426"/>
        <v>0</v>
      </c>
      <c r="W253" s="261"/>
      <c r="X253" s="258"/>
      <c r="Y253" s="240"/>
      <c r="Z253" s="241" t="str">
        <f>IF(ISBLANK(Y253), "", VLOOKUP(Y253, Z!$A$2:$C$4127, 3, FALSE))</f>
        <v/>
      </c>
      <c r="AA253" s="262"/>
      <c r="AB253" s="249">
        <f t="shared" si="424"/>
        <v>0</v>
      </c>
      <c r="AC253" s="210"/>
      <c r="AD253" s="236">
        <f t="shared" si="449"/>
        <v>1</v>
      </c>
      <c r="AE253" s="236">
        <f t="shared" si="450"/>
        <v>1</v>
      </c>
      <c r="AF253" s="236">
        <f t="shared" si="451"/>
        <v>0</v>
      </c>
      <c r="AG253" s="236">
        <v>1</v>
      </c>
      <c r="AH253" s="236">
        <v>0</v>
      </c>
      <c r="AI253" s="236">
        <f t="shared" si="427"/>
        <v>-100</v>
      </c>
      <c r="AJ253" s="210"/>
      <c r="AK253" s="254"/>
      <c r="AL253" s="254"/>
      <c r="AM253" s="255"/>
      <c r="AN253" s="255"/>
      <c r="AO253" s="255"/>
      <c r="AP253" s="255"/>
      <c r="AQ253" s="255"/>
      <c r="AR253" s="255"/>
      <c r="AS253" s="255"/>
      <c r="AT253" s="255"/>
      <c r="AU253" s="255"/>
      <c r="AV253" s="255"/>
      <c r="AW253" s="255"/>
      <c r="AX253" s="210"/>
      <c r="AY253" s="236" cm="1">
        <f t="array" ref="AY253">INDEX(Use, $AD253, 4)</f>
        <v>7</v>
      </c>
      <c r="AZ253" s="236">
        <f t="shared" si="428"/>
        <v>32</v>
      </c>
      <c r="BA253" s="236">
        <f t="shared" si="239"/>
        <v>13</v>
      </c>
      <c r="BB253" s="236">
        <f t="shared" si="240"/>
        <v>0</v>
      </c>
      <c r="BC253" s="252" cm="1">
        <f t="array" ref="BC253">K253/IF($L253&gt;0, INDEX($AO$23:$AU$77, $L253+20, $AD253), 1)</f>
        <v>0</v>
      </c>
      <c r="BD253" s="237">
        <f t="shared" si="429"/>
        <v>0</v>
      </c>
      <c r="BE253" s="236">
        <v>35</v>
      </c>
      <c r="BF253" s="237">
        <f t="shared" si="430"/>
        <v>52.55</v>
      </c>
      <c r="BG253" s="253">
        <f t="shared" si="431"/>
        <v>2.7676728869374316</v>
      </c>
      <c r="BH253" s="253" cm="1">
        <f t="array" ref="BH253">$BC253 * SUMPRODUCT(INDEX($AL$77:$AN$82,,$AE253),INDEX($AO$77:$AU$82,,$AD253), N($AK$77:$AK$82&gt;$AI253)) / BG253 / 1000</f>
        <v>0</v>
      </c>
      <c r="BI253" s="250">
        <f t="shared" si="244"/>
        <v>30</v>
      </c>
      <c r="BJ253" s="237">
        <f t="shared" si="432"/>
        <v>46.033333333333331</v>
      </c>
      <c r="BK253" s="253">
        <f t="shared" si="433"/>
        <v>3.2297395388556791</v>
      </c>
      <c r="BL253" s="253" cm="1">
        <f t="array" ref="BL253">$BC253 * IF($AD253&lt;=2,
SUMPRODUCT(INDEX($AL$72:$AN$76,,$AE253), INDEX($AO$72:$AU$76,,$AD253), 1 / ($AV$72:$AV$76*BK253 + (1-$AV$72:$AV$76)*BG253), N($AK$72:$AK$76&gt;$AI253)),
SUMPRODUCT(INDEX($AL$67:$AN$76,,$AE253), INDEX($AO$67:$AU$76,,$AD253), 1 / ($AW$67:$AW$76*BK253 + (1-$AW$67:$AW$76)*BG253), N($AK$67:$AK$76&gt;$AI253))
) / 1000</f>
        <v>0</v>
      </c>
      <c r="BM253" s="250">
        <f t="shared" si="247"/>
        <v>25</v>
      </c>
      <c r="BN253" s="237">
        <f t="shared" si="434"/>
        <v>39.516666666666666</v>
      </c>
      <c r="BO253" s="253">
        <f t="shared" si="435"/>
        <v>3.877011788826243</v>
      </c>
      <c r="BP253" s="253" cm="1">
        <f t="array" ref="BP253">$BC253 * IF($AD253&lt;=2,
SUMPRODUCT(INDEX($AL$67:$AN$71,,$AE253), INDEX($AO$67:$AU$71,,$AD253), 1 / ($AV$67:$AV$71*BO253 + (1-$AV$67:$AV$71)*BK253), N($AK$67:$AK$71&gt;$AI253)),
SUMPRODUCT(INDEX($AL$57:$AN$66,,$AE253), INDEX($AO$57:$AU$66,,$AD253), 1 / ($AW$57:$AW$66*BO253 + (1-$AW$57:$AW$66)*BK253), N($AK$57:$AK$66&gt;$AI253))
) / 1000</f>
        <v>0</v>
      </c>
      <c r="BQ253" s="250">
        <f t="shared" si="250"/>
        <v>20</v>
      </c>
      <c r="BR253" s="237">
        <f t="shared" si="436"/>
        <v>33</v>
      </c>
      <c r="BS253" s="253">
        <f t="shared" si="437"/>
        <v>4.8487499999999999</v>
      </c>
      <c r="BT253" s="253" cm="1">
        <f t="array" ref="BT253">$BC253 * IF($AD253&lt;=2,
SUMPRODUCT(INDEX($AL$62:$AN$66,,$AE253), INDEX($AO$62:$AU$66,,$AD253), 1 / ($AV$62:$AV$66*BS253 + (1-$AV$62:$AV$66)*BO253), N($AK$62:$AK$66&gt;$AI253)),
SUMPRODUCT(INDEX($AL$47:$AN$56,,$AE253), INDEX($AO$47:$AU$56,,$AD253), 1 / ($AW$47:$AW$56*BS253 + (1-$AW$47:$AW$56)*BO253), N($AK$47:$AK$56&gt;$AI253))
) / 1000</f>
        <v>0</v>
      </c>
      <c r="BU253" s="253" cm="1">
        <f t="array" ref="BU253">$BC253 * IF($AD253&lt;=2,
SUMPRODUCT(INDEX($AL$23:$AN$61,,$AE253), INDEX($AO$23:$AU$61,,$AD253), 1 / ($AV$23:$AV$61*BS253), N($AK$23:$AK$61&gt;$AI253)),
SUMPRODUCT(INDEX($AL$23:$AN$46,,$AE253), INDEX($AO$23:$AU$46,,$AD253), 1 / ($AW$23:$AW$46*BS253), N($AK$23:$AK$46&gt;$AI253))
) / 1000</f>
        <v>0</v>
      </c>
      <c r="BV253" s="237">
        <f t="shared" si="438"/>
        <v>0</v>
      </c>
      <c r="BW253" s="210"/>
      <c r="BX253" s="237">
        <f t="shared" si="439"/>
        <v>0</v>
      </c>
      <c r="BY253" s="236">
        <v>35</v>
      </c>
      <c r="BZ253" s="237">
        <f t="shared" si="440"/>
        <v>48</v>
      </c>
      <c r="CA253" s="253">
        <f t="shared" si="441"/>
        <v>3.0748170731707316</v>
      </c>
      <c r="CB253" s="253" cm="1">
        <f t="array" ref="CB253">$BC253 * SUMPRODUCT(INDEX($AL$77:$AN$82,,$AE253),INDEX($AO$77:$AU$82,,$AD253), N($AK$77:$AK$82&gt;$AI253)) / CA253 / 1000</f>
        <v>0</v>
      </c>
      <c r="CC253" s="250">
        <f t="shared" si="257"/>
        <v>30</v>
      </c>
      <c r="CD253" s="237">
        <f t="shared" si="442"/>
        <v>43</v>
      </c>
      <c r="CE253" s="253">
        <f t="shared" si="443"/>
        <v>3.5018750000000001</v>
      </c>
      <c r="CF253" s="253" cm="1">
        <f t="array" ref="CF253">$BC253 * IF($AD253&lt;=2,
SUMPRODUCT(INDEX($AL$72:$AN$76,,$AE253), INDEX($AO$72:$AU$76,,$AD253), 1 / ($AV$72:$AV$76*CE253 + (1-$AV$72:$AV$76)*CA253), N($AK$72:$AK$76&gt;$AI253)),
SUMPRODUCT(INDEX($AL$67:$AN$76,,$AE253), INDEX($AO$67:$AU$76,,$AD253), 1 / ($AW$67:$AW$76*CE253 + (1-$AW$67:$AW$76)*CA253), N($AK$67:$AK$76&gt;$AI253))
) / 1000</f>
        <v>0</v>
      </c>
      <c r="CG253" s="250">
        <f t="shared" si="260"/>
        <v>25</v>
      </c>
      <c r="CH253" s="237">
        <f t="shared" si="444"/>
        <v>38</v>
      </c>
      <c r="CI253" s="253">
        <f t="shared" si="445"/>
        <v>4.0666935483870965</v>
      </c>
      <c r="CJ253" s="253" cm="1">
        <f t="array" ref="CJ253">$BC253 * IF($AD253&lt;=2,
SUMPRODUCT(INDEX($AL$67:$AN$71,,$AE253), INDEX($AO$67:$AU$71,,$AD253), 1 / ($AV$67:$AV$71*CI253 + (1-$AV$67:$AV$71)*CE253), N($AK$67:$AK$71&gt;$AI253)),
SUMPRODUCT(INDEX($AL$57:$AN$66,,$AE253), INDEX($AO$57:$AU$66,,$AD253), 1 / ($AW$57:$AW$66*CI253 + (1-$AW$57:$AW$66)*CE253), N($AK$57:$AK$66&gt;$AI253))
) / 1000</f>
        <v>0</v>
      </c>
      <c r="CK253" s="250">
        <f t="shared" si="263"/>
        <v>20</v>
      </c>
      <c r="CL253" s="237">
        <f t="shared" si="446"/>
        <v>33</v>
      </c>
      <c r="CM253" s="253">
        <f t="shared" si="447"/>
        <v>4.8487499999999999</v>
      </c>
      <c r="CN253" s="253" cm="1">
        <f t="array" ref="CN253">$BC253 * IF($AD253&lt;=2,
SUMPRODUCT(INDEX($AL$62:$AN$66,,$AE253), INDEX($AO$62:$AU$66,,$AD253), 1 / ($AV$62:$AV$66*CM253 + (1-$AV$62:$AV$66)*CI253), N($AK$62:$AK$66&gt;$AI253)),
SUMPRODUCT(INDEX($AL$47:$AN$56,,$AE253), INDEX($AO$47:$AU$56,,$AD253), 1 / ($AW$47:$AW$56*CM253 + (1-$AW$47:$AW$56)*CI253), N($AK$47:$AK$56&gt;$AI253))
) / 1000</f>
        <v>0</v>
      </c>
      <c r="CO253" s="253" cm="1">
        <f t="array" ref="CO253">$BC253 * IF($AD253&lt;=2,
SUMPRODUCT(INDEX($AL$23:$AN$61,,$AE253), INDEX($AO$23:$AU$61,,$AD253), 1 / ($AV$23:$AV$61*CM253), N($AK$23:$AK$61&gt;$AI253)),
SUMPRODUCT(INDEX($AL$23:$AN$46,,$AE253), INDEX($AO$23:$AU$46,,$AD253), 1 / ($AW$23:$AW$46*CM253), N($AK$23:$AK$46&gt;$AI253))
) / 1000</f>
        <v>0</v>
      </c>
      <c r="CP253" s="237">
        <f t="shared" si="448"/>
        <v>0</v>
      </c>
      <c r="CQ253" s="210"/>
    </row>
    <row r="254" spans="1:95" s="76" customFormat="1" ht="14.25" customHeight="1" x14ac:dyDescent="0.2">
      <c r="A254" s="238" t="b">
        <f t="shared" si="227"/>
        <v>0</v>
      </c>
      <c r="B254" s="239">
        <v>232</v>
      </c>
      <c r="C254" s="258"/>
      <c r="D254" s="258"/>
      <c r="E254" s="240"/>
      <c r="F254" s="241" t="str">
        <f>IF(ISBLANK(E254), "", VLOOKUP(E254, Z!$A$2:$C$4127, 3, FALSE))</f>
        <v/>
      </c>
      <c r="G254" s="242"/>
      <c r="H254" s="242"/>
      <c r="I254" s="243"/>
      <c r="J254" s="244"/>
      <c r="K254" s="259"/>
      <c r="L254" s="260"/>
      <c r="M254" s="247" t="str" cm="1">
        <f t="array" ref="M254">IF($K254&gt;0, INDEX(Clean,1+AG254,$C$1), "")</f>
        <v/>
      </c>
      <c r="N254" s="245"/>
      <c r="O254" s="245"/>
      <c r="P254" s="246"/>
      <c r="Q254" s="248">
        <f t="shared" si="425"/>
        <v>0</v>
      </c>
      <c r="R254" s="247" t="str" cm="1">
        <f t="array" ref="R254">IF($K254&gt;0, INDEX(Clean,1+AH254,$C$1), "")</f>
        <v/>
      </c>
      <c r="S254" s="245"/>
      <c r="T254" s="245"/>
      <c r="U254" s="246"/>
      <c r="V254" s="248">
        <f t="shared" si="426"/>
        <v>0</v>
      </c>
      <c r="W254" s="261"/>
      <c r="X254" s="258"/>
      <c r="Y254" s="240"/>
      <c r="Z254" s="241" t="str">
        <f>IF(ISBLANK(Y254), "", VLOOKUP(Y254, Z!$A$2:$C$4127, 3, FALSE))</f>
        <v/>
      </c>
      <c r="AA254" s="262"/>
      <c r="AB254" s="249">
        <f t="shared" si="424"/>
        <v>0</v>
      </c>
      <c r="AC254" s="210"/>
      <c r="AD254" s="236">
        <f t="shared" si="449"/>
        <v>1</v>
      </c>
      <c r="AE254" s="236">
        <f t="shared" si="450"/>
        <v>1</v>
      </c>
      <c r="AF254" s="236">
        <f t="shared" si="451"/>
        <v>0</v>
      </c>
      <c r="AG254" s="236">
        <v>1</v>
      </c>
      <c r="AH254" s="236">
        <v>0</v>
      </c>
      <c r="AI254" s="236">
        <f t="shared" si="427"/>
        <v>-100</v>
      </c>
      <c r="AJ254" s="210"/>
      <c r="AK254" s="254"/>
      <c r="AL254" s="254"/>
      <c r="AM254" s="255"/>
      <c r="AN254" s="255"/>
      <c r="AO254" s="255"/>
      <c r="AP254" s="255"/>
      <c r="AQ254" s="255"/>
      <c r="AR254" s="255"/>
      <c r="AS254" s="255"/>
      <c r="AT254" s="255"/>
      <c r="AU254" s="255"/>
      <c r="AV254" s="255"/>
      <c r="AW254" s="255"/>
      <c r="AX254" s="210"/>
      <c r="AY254" s="236" cm="1">
        <f t="array" ref="AY254">INDEX(Use, $AD254, 4)</f>
        <v>7</v>
      </c>
      <c r="AZ254" s="236">
        <f t="shared" si="428"/>
        <v>32</v>
      </c>
      <c r="BA254" s="236">
        <f t="shared" si="239"/>
        <v>13</v>
      </c>
      <c r="BB254" s="236">
        <f t="shared" si="240"/>
        <v>0</v>
      </c>
      <c r="BC254" s="252" cm="1">
        <f t="array" ref="BC254">K254/IF($L254&gt;0, INDEX($AO$23:$AU$77, $L254+20, $AD254), 1)</f>
        <v>0</v>
      </c>
      <c r="BD254" s="237">
        <f t="shared" si="429"/>
        <v>0</v>
      </c>
      <c r="BE254" s="236">
        <v>35</v>
      </c>
      <c r="BF254" s="237">
        <f t="shared" si="430"/>
        <v>52.55</v>
      </c>
      <c r="BG254" s="253">
        <f t="shared" si="431"/>
        <v>2.7676728869374316</v>
      </c>
      <c r="BH254" s="253" cm="1">
        <f t="array" ref="BH254">$BC254 * SUMPRODUCT(INDEX($AL$77:$AN$82,,$AE254),INDEX($AO$77:$AU$82,,$AD254), N($AK$77:$AK$82&gt;$AI254)) / BG254 / 1000</f>
        <v>0</v>
      </c>
      <c r="BI254" s="250">
        <f t="shared" si="244"/>
        <v>30</v>
      </c>
      <c r="BJ254" s="237">
        <f t="shared" si="432"/>
        <v>46.033333333333331</v>
      </c>
      <c r="BK254" s="253">
        <f t="shared" si="433"/>
        <v>3.2297395388556791</v>
      </c>
      <c r="BL254" s="253" cm="1">
        <f t="array" ref="BL254">$BC254 * IF($AD254&lt;=2,
SUMPRODUCT(INDEX($AL$72:$AN$76,,$AE254), INDEX($AO$72:$AU$76,,$AD254), 1 / ($AV$72:$AV$76*BK254 + (1-$AV$72:$AV$76)*BG254), N($AK$72:$AK$76&gt;$AI254)),
SUMPRODUCT(INDEX($AL$67:$AN$76,,$AE254), INDEX($AO$67:$AU$76,,$AD254), 1 / ($AW$67:$AW$76*BK254 + (1-$AW$67:$AW$76)*BG254), N($AK$67:$AK$76&gt;$AI254))
) / 1000</f>
        <v>0</v>
      </c>
      <c r="BM254" s="250">
        <f t="shared" si="247"/>
        <v>25</v>
      </c>
      <c r="BN254" s="237">
        <f t="shared" si="434"/>
        <v>39.516666666666666</v>
      </c>
      <c r="BO254" s="253">
        <f t="shared" si="435"/>
        <v>3.877011788826243</v>
      </c>
      <c r="BP254" s="253" cm="1">
        <f t="array" ref="BP254">$BC254 * IF($AD254&lt;=2,
SUMPRODUCT(INDEX($AL$67:$AN$71,,$AE254), INDEX($AO$67:$AU$71,,$AD254), 1 / ($AV$67:$AV$71*BO254 + (1-$AV$67:$AV$71)*BK254), N($AK$67:$AK$71&gt;$AI254)),
SUMPRODUCT(INDEX($AL$57:$AN$66,,$AE254), INDEX($AO$57:$AU$66,,$AD254), 1 / ($AW$57:$AW$66*BO254 + (1-$AW$57:$AW$66)*BK254), N($AK$57:$AK$66&gt;$AI254))
) / 1000</f>
        <v>0</v>
      </c>
      <c r="BQ254" s="250">
        <f t="shared" si="250"/>
        <v>20</v>
      </c>
      <c r="BR254" s="237">
        <f t="shared" si="436"/>
        <v>33</v>
      </c>
      <c r="BS254" s="253">
        <f t="shared" si="437"/>
        <v>4.8487499999999999</v>
      </c>
      <c r="BT254" s="253" cm="1">
        <f t="array" ref="BT254">$BC254 * IF($AD254&lt;=2,
SUMPRODUCT(INDEX($AL$62:$AN$66,,$AE254), INDEX($AO$62:$AU$66,,$AD254), 1 / ($AV$62:$AV$66*BS254 + (1-$AV$62:$AV$66)*BO254), N($AK$62:$AK$66&gt;$AI254)),
SUMPRODUCT(INDEX($AL$47:$AN$56,,$AE254), INDEX($AO$47:$AU$56,,$AD254), 1 / ($AW$47:$AW$56*BS254 + (1-$AW$47:$AW$56)*BO254), N($AK$47:$AK$56&gt;$AI254))
) / 1000</f>
        <v>0</v>
      </c>
      <c r="BU254" s="253" cm="1">
        <f t="array" ref="BU254">$BC254 * IF($AD254&lt;=2,
SUMPRODUCT(INDEX($AL$23:$AN$61,,$AE254), INDEX($AO$23:$AU$61,,$AD254), 1 / ($AV$23:$AV$61*BS254), N($AK$23:$AK$61&gt;$AI254)),
SUMPRODUCT(INDEX($AL$23:$AN$46,,$AE254), INDEX($AO$23:$AU$46,,$AD254), 1 / ($AW$23:$AW$46*BS254), N($AK$23:$AK$46&gt;$AI254))
) / 1000</f>
        <v>0</v>
      </c>
      <c r="BV254" s="237">
        <f t="shared" si="438"/>
        <v>0</v>
      </c>
      <c r="BW254" s="210"/>
      <c r="BX254" s="237">
        <f t="shared" si="439"/>
        <v>0</v>
      </c>
      <c r="BY254" s="236">
        <v>35</v>
      </c>
      <c r="BZ254" s="237">
        <f t="shared" si="440"/>
        <v>48</v>
      </c>
      <c r="CA254" s="253">
        <f t="shared" si="441"/>
        <v>3.0748170731707316</v>
      </c>
      <c r="CB254" s="253" cm="1">
        <f t="array" ref="CB254">$BC254 * SUMPRODUCT(INDEX($AL$77:$AN$82,,$AE254),INDEX($AO$77:$AU$82,,$AD254), N($AK$77:$AK$82&gt;$AI254)) / CA254 / 1000</f>
        <v>0</v>
      </c>
      <c r="CC254" s="250">
        <f t="shared" si="257"/>
        <v>30</v>
      </c>
      <c r="CD254" s="237">
        <f t="shared" si="442"/>
        <v>43</v>
      </c>
      <c r="CE254" s="253">
        <f t="shared" si="443"/>
        <v>3.5018750000000001</v>
      </c>
      <c r="CF254" s="253" cm="1">
        <f t="array" ref="CF254">$BC254 * IF($AD254&lt;=2,
SUMPRODUCT(INDEX($AL$72:$AN$76,,$AE254), INDEX($AO$72:$AU$76,,$AD254), 1 / ($AV$72:$AV$76*CE254 + (1-$AV$72:$AV$76)*CA254), N($AK$72:$AK$76&gt;$AI254)),
SUMPRODUCT(INDEX($AL$67:$AN$76,,$AE254), INDEX($AO$67:$AU$76,,$AD254), 1 / ($AW$67:$AW$76*CE254 + (1-$AW$67:$AW$76)*CA254), N($AK$67:$AK$76&gt;$AI254))
) / 1000</f>
        <v>0</v>
      </c>
      <c r="CG254" s="250">
        <f t="shared" si="260"/>
        <v>25</v>
      </c>
      <c r="CH254" s="237">
        <f t="shared" si="444"/>
        <v>38</v>
      </c>
      <c r="CI254" s="253">
        <f t="shared" si="445"/>
        <v>4.0666935483870965</v>
      </c>
      <c r="CJ254" s="253" cm="1">
        <f t="array" ref="CJ254">$BC254 * IF($AD254&lt;=2,
SUMPRODUCT(INDEX($AL$67:$AN$71,,$AE254), INDEX($AO$67:$AU$71,,$AD254), 1 / ($AV$67:$AV$71*CI254 + (1-$AV$67:$AV$71)*CE254), N($AK$67:$AK$71&gt;$AI254)),
SUMPRODUCT(INDEX($AL$57:$AN$66,,$AE254), INDEX($AO$57:$AU$66,,$AD254), 1 / ($AW$57:$AW$66*CI254 + (1-$AW$57:$AW$66)*CE254), N($AK$57:$AK$66&gt;$AI254))
) / 1000</f>
        <v>0</v>
      </c>
      <c r="CK254" s="250">
        <f t="shared" si="263"/>
        <v>20</v>
      </c>
      <c r="CL254" s="237">
        <f t="shared" si="446"/>
        <v>33</v>
      </c>
      <c r="CM254" s="253">
        <f t="shared" si="447"/>
        <v>4.8487499999999999</v>
      </c>
      <c r="CN254" s="253" cm="1">
        <f t="array" ref="CN254">$BC254 * IF($AD254&lt;=2,
SUMPRODUCT(INDEX($AL$62:$AN$66,,$AE254), INDEX($AO$62:$AU$66,,$AD254), 1 / ($AV$62:$AV$66*CM254 + (1-$AV$62:$AV$66)*CI254), N($AK$62:$AK$66&gt;$AI254)),
SUMPRODUCT(INDEX($AL$47:$AN$56,,$AE254), INDEX($AO$47:$AU$56,,$AD254), 1 / ($AW$47:$AW$56*CM254 + (1-$AW$47:$AW$56)*CI254), N($AK$47:$AK$56&gt;$AI254))
) / 1000</f>
        <v>0</v>
      </c>
      <c r="CO254" s="253" cm="1">
        <f t="array" ref="CO254">$BC254 * IF($AD254&lt;=2,
SUMPRODUCT(INDEX($AL$23:$AN$61,,$AE254), INDEX($AO$23:$AU$61,,$AD254), 1 / ($AV$23:$AV$61*CM254), N($AK$23:$AK$61&gt;$AI254)),
SUMPRODUCT(INDEX($AL$23:$AN$46,,$AE254), INDEX($AO$23:$AU$46,,$AD254), 1 / ($AW$23:$AW$46*CM254), N($AK$23:$AK$46&gt;$AI254))
) / 1000</f>
        <v>0</v>
      </c>
      <c r="CP254" s="237">
        <f t="shared" si="448"/>
        <v>0</v>
      </c>
      <c r="CQ254" s="210"/>
    </row>
    <row r="255" spans="1:95" s="76" customFormat="1" ht="14.25" customHeight="1" x14ac:dyDescent="0.2">
      <c r="A255" s="238" t="b">
        <f t="shared" si="227"/>
        <v>0</v>
      </c>
      <c r="B255" s="239">
        <v>233</v>
      </c>
      <c r="C255" s="258"/>
      <c r="D255" s="258"/>
      <c r="E255" s="240"/>
      <c r="F255" s="241" t="str">
        <f>IF(ISBLANK(E255), "", VLOOKUP(E255, Z!$A$2:$C$4127, 3, FALSE))</f>
        <v/>
      </c>
      <c r="G255" s="242"/>
      <c r="H255" s="242"/>
      <c r="I255" s="243"/>
      <c r="J255" s="244"/>
      <c r="K255" s="259"/>
      <c r="L255" s="260"/>
      <c r="M255" s="247" t="str" cm="1">
        <f t="array" ref="M255">IF($K255&gt;0, INDEX(Clean,1+AG255,$C$1), "")</f>
        <v/>
      </c>
      <c r="N255" s="245"/>
      <c r="O255" s="245"/>
      <c r="P255" s="246"/>
      <c r="Q255" s="248">
        <f t="shared" si="425"/>
        <v>0</v>
      </c>
      <c r="R255" s="247" t="str" cm="1">
        <f t="array" ref="R255">IF($K255&gt;0, INDEX(Clean,1+AH255,$C$1), "")</f>
        <v/>
      </c>
      <c r="S255" s="245"/>
      <c r="T255" s="245"/>
      <c r="U255" s="246"/>
      <c r="V255" s="248">
        <f t="shared" si="426"/>
        <v>0</v>
      </c>
      <c r="W255" s="261"/>
      <c r="X255" s="258"/>
      <c r="Y255" s="240"/>
      <c r="Z255" s="241" t="str">
        <f>IF(ISBLANK(Y255), "", VLOOKUP(Y255, Z!$A$2:$C$4127, 3, FALSE))</f>
        <v/>
      </c>
      <c r="AA255" s="262"/>
      <c r="AB255" s="249">
        <f t="shared" si="424"/>
        <v>0</v>
      </c>
      <c r="AC255" s="210"/>
      <c r="AD255" s="236">
        <f t="shared" si="449"/>
        <v>1</v>
      </c>
      <c r="AE255" s="236">
        <f t="shared" si="450"/>
        <v>1</v>
      </c>
      <c r="AF255" s="236">
        <f t="shared" si="451"/>
        <v>0</v>
      </c>
      <c r="AG255" s="236">
        <v>1</v>
      </c>
      <c r="AH255" s="236">
        <v>0</v>
      </c>
      <c r="AI255" s="236">
        <f t="shared" si="427"/>
        <v>-100</v>
      </c>
      <c r="AJ255" s="210"/>
      <c r="AK255" s="254"/>
      <c r="AL255" s="254"/>
      <c r="AM255" s="255"/>
      <c r="AN255" s="255"/>
      <c r="AO255" s="255"/>
      <c r="AP255" s="255"/>
      <c r="AQ255" s="255"/>
      <c r="AR255" s="255"/>
      <c r="AS255" s="255"/>
      <c r="AT255" s="255"/>
      <c r="AU255" s="255"/>
      <c r="AV255" s="255"/>
      <c r="AW255" s="255"/>
      <c r="AX255" s="210"/>
      <c r="AY255" s="236" cm="1">
        <f t="array" ref="AY255">INDEX(Use, $AD255, 4)</f>
        <v>7</v>
      </c>
      <c r="AZ255" s="236">
        <f t="shared" si="428"/>
        <v>32</v>
      </c>
      <c r="BA255" s="236">
        <f t="shared" si="239"/>
        <v>13</v>
      </c>
      <c r="BB255" s="236">
        <f t="shared" si="240"/>
        <v>0</v>
      </c>
      <c r="BC255" s="252" cm="1">
        <f t="array" ref="BC255">K255/IF($L255&gt;0, INDEX($AO$23:$AU$77, $L255+20, $AD255), 1)</f>
        <v>0</v>
      </c>
      <c r="BD255" s="237">
        <f t="shared" si="429"/>
        <v>0</v>
      </c>
      <c r="BE255" s="236">
        <v>35</v>
      </c>
      <c r="BF255" s="237">
        <f t="shared" si="430"/>
        <v>52.55</v>
      </c>
      <c r="BG255" s="253">
        <f t="shared" si="431"/>
        <v>2.7676728869374316</v>
      </c>
      <c r="BH255" s="253" cm="1">
        <f t="array" ref="BH255">$BC255 * SUMPRODUCT(INDEX($AL$77:$AN$82,,$AE255),INDEX($AO$77:$AU$82,,$AD255), N($AK$77:$AK$82&gt;$AI255)) / BG255 / 1000</f>
        <v>0</v>
      </c>
      <c r="BI255" s="250">
        <f t="shared" si="244"/>
        <v>30</v>
      </c>
      <c r="BJ255" s="237">
        <f t="shared" si="432"/>
        <v>46.033333333333331</v>
      </c>
      <c r="BK255" s="253">
        <f t="shared" si="433"/>
        <v>3.2297395388556791</v>
      </c>
      <c r="BL255" s="253" cm="1">
        <f t="array" ref="BL255">$BC255 * IF($AD255&lt;=2,
SUMPRODUCT(INDEX($AL$72:$AN$76,,$AE255), INDEX($AO$72:$AU$76,,$AD255), 1 / ($AV$72:$AV$76*BK255 + (1-$AV$72:$AV$76)*BG255), N($AK$72:$AK$76&gt;$AI255)),
SUMPRODUCT(INDEX($AL$67:$AN$76,,$AE255), INDEX($AO$67:$AU$76,,$AD255), 1 / ($AW$67:$AW$76*BK255 + (1-$AW$67:$AW$76)*BG255), N($AK$67:$AK$76&gt;$AI255))
) / 1000</f>
        <v>0</v>
      </c>
      <c r="BM255" s="250">
        <f t="shared" si="247"/>
        <v>25</v>
      </c>
      <c r="BN255" s="237">
        <f t="shared" si="434"/>
        <v>39.516666666666666</v>
      </c>
      <c r="BO255" s="253">
        <f t="shared" si="435"/>
        <v>3.877011788826243</v>
      </c>
      <c r="BP255" s="253" cm="1">
        <f t="array" ref="BP255">$BC255 * IF($AD255&lt;=2,
SUMPRODUCT(INDEX($AL$67:$AN$71,,$AE255), INDEX($AO$67:$AU$71,,$AD255), 1 / ($AV$67:$AV$71*BO255 + (1-$AV$67:$AV$71)*BK255), N($AK$67:$AK$71&gt;$AI255)),
SUMPRODUCT(INDEX($AL$57:$AN$66,,$AE255), INDEX($AO$57:$AU$66,,$AD255), 1 / ($AW$57:$AW$66*BO255 + (1-$AW$57:$AW$66)*BK255), N($AK$57:$AK$66&gt;$AI255))
) / 1000</f>
        <v>0</v>
      </c>
      <c r="BQ255" s="250">
        <f t="shared" si="250"/>
        <v>20</v>
      </c>
      <c r="BR255" s="237">
        <f t="shared" si="436"/>
        <v>33</v>
      </c>
      <c r="BS255" s="253">
        <f t="shared" si="437"/>
        <v>4.8487499999999999</v>
      </c>
      <c r="BT255" s="253" cm="1">
        <f t="array" ref="BT255">$BC255 * IF($AD255&lt;=2,
SUMPRODUCT(INDEX($AL$62:$AN$66,,$AE255), INDEX($AO$62:$AU$66,,$AD255), 1 / ($AV$62:$AV$66*BS255 + (1-$AV$62:$AV$66)*BO255), N($AK$62:$AK$66&gt;$AI255)),
SUMPRODUCT(INDEX($AL$47:$AN$56,,$AE255), INDEX($AO$47:$AU$56,,$AD255), 1 / ($AW$47:$AW$56*BS255 + (1-$AW$47:$AW$56)*BO255), N($AK$47:$AK$56&gt;$AI255))
) / 1000</f>
        <v>0</v>
      </c>
      <c r="BU255" s="253" cm="1">
        <f t="array" ref="BU255">$BC255 * IF($AD255&lt;=2,
SUMPRODUCT(INDEX($AL$23:$AN$61,,$AE255), INDEX($AO$23:$AU$61,,$AD255), 1 / ($AV$23:$AV$61*BS255), N($AK$23:$AK$61&gt;$AI255)),
SUMPRODUCT(INDEX($AL$23:$AN$46,,$AE255), INDEX($AO$23:$AU$46,,$AD255), 1 / ($AW$23:$AW$46*BS255), N($AK$23:$AK$46&gt;$AI255))
) / 1000</f>
        <v>0</v>
      </c>
      <c r="BV255" s="237">
        <f t="shared" si="438"/>
        <v>0</v>
      </c>
      <c r="BW255" s="210"/>
      <c r="BX255" s="237">
        <f t="shared" si="439"/>
        <v>0</v>
      </c>
      <c r="BY255" s="236">
        <v>35</v>
      </c>
      <c r="BZ255" s="237">
        <f t="shared" si="440"/>
        <v>48</v>
      </c>
      <c r="CA255" s="253">
        <f t="shared" si="441"/>
        <v>3.0748170731707316</v>
      </c>
      <c r="CB255" s="253" cm="1">
        <f t="array" ref="CB255">$BC255 * SUMPRODUCT(INDEX($AL$77:$AN$82,,$AE255),INDEX($AO$77:$AU$82,,$AD255), N($AK$77:$AK$82&gt;$AI255)) / CA255 / 1000</f>
        <v>0</v>
      </c>
      <c r="CC255" s="250">
        <f t="shared" si="257"/>
        <v>30</v>
      </c>
      <c r="CD255" s="237">
        <f t="shared" si="442"/>
        <v>43</v>
      </c>
      <c r="CE255" s="253">
        <f t="shared" si="443"/>
        <v>3.5018750000000001</v>
      </c>
      <c r="CF255" s="253" cm="1">
        <f t="array" ref="CF255">$BC255 * IF($AD255&lt;=2,
SUMPRODUCT(INDEX($AL$72:$AN$76,,$AE255), INDEX($AO$72:$AU$76,,$AD255), 1 / ($AV$72:$AV$76*CE255 + (1-$AV$72:$AV$76)*CA255), N($AK$72:$AK$76&gt;$AI255)),
SUMPRODUCT(INDEX($AL$67:$AN$76,,$AE255), INDEX($AO$67:$AU$76,,$AD255), 1 / ($AW$67:$AW$76*CE255 + (1-$AW$67:$AW$76)*CA255), N($AK$67:$AK$76&gt;$AI255))
) / 1000</f>
        <v>0</v>
      </c>
      <c r="CG255" s="250">
        <f t="shared" si="260"/>
        <v>25</v>
      </c>
      <c r="CH255" s="237">
        <f t="shared" si="444"/>
        <v>38</v>
      </c>
      <c r="CI255" s="253">
        <f t="shared" si="445"/>
        <v>4.0666935483870965</v>
      </c>
      <c r="CJ255" s="253" cm="1">
        <f t="array" ref="CJ255">$BC255 * IF($AD255&lt;=2,
SUMPRODUCT(INDEX($AL$67:$AN$71,,$AE255), INDEX($AO$67:$AU$71,,$AD255), 1 / ($AV$67:$AV$71*CI255 + (1-$AV$67:$AV$71)*CE255), N($AK$67:$AK$71&gt;$AI255)),
SUMPRODUCT(INDEX($AL$57:$AN$66,,$AE255), INDEX($AO$57:$AU$66,,$AD255), 1 / ($AW$57:$AW$66*CI255 + (1-$AW$57:$AW$66)*CE255), N($AK$57:$AK$66&gt;$AI255))
) / 1000</f>
        <v>0</v>
      </c>
      <c r="CK255" s="250">
        <f t="shared" si="263"/>
        <v>20</v>
      </c>
      <c r="CL255" s="237">
        <f t="shared" si="446"/>
        <v>33</v>
      </c>
      <c r="CM255" s="253">
        <f t="shared" si="447"/>
        <v>4.8487499999999999</v>
      </c>
      <c r="CN255" s="253" cm="1">
        <f t="array" ref="CN255">$BC255 * IF($AD255&lt;=2,
SUMPRODUCT(INDEX($AL$62:$AN$66,,$AE255), INDEX($AO$62:$AU$66,,$AD255), 1 / ($AV$62:$AV$66*CM255 + (1-$AV$62:$AV$66)*CI255), N($AK$62:$AK$66&gt;$AI255)),
SUMPRODUCT(INDEX($AL$47:$AN$56,,$AE255), INDEX($AO$47:$AU$56,,$AD255), 1 / ($AW$47:$AW$56*CM255 + (1-$AW$47:$AW$56)*CI255), N($AK$47:$AK$56&gt;$AI255))
) / 1000</f>
        <v>0</v>
      </c>
      <c r="CO255" s="253" cm="1">
        <f t="array" ref="CO255">$BC255 * IF($AD255&lt;=2,
SUMPRODUCT(INDEX($AL$23:$AN$61,,$AE255), INDEX($AO$23:$AU$61,,$AD255), 1 / ($AV$23:$AV$61*CM255), N($AK$23:$AK$61&gt;$AI255)),
SUMPRODUCT(INDEX($AL$23:$AN$46,,$AE255), INDEX($AO$23:$AU$46,,$AD255), 1 / ($AW$23:$AW$46*CM255), N($AK$23:$AK$46&gt;$AI255))
) / 1000</f>
        <v>0</v>
      </c>
      <c r="CP255" s="237">
        <f t="shared" si="448"/>
        <v>0</v>
      </c>
      <c r="CQ255" s="210"/>
    </row>
    <row r="256" spans="1:95" s="76" customFormat="1" ht="14.25" customHeight="1" x14ac:dyDescent="0.2">
      <c r="A256" s="238" t="b">
        <f t="shared" si="227"/>
        <v>0</v>
      </c>
      <c r="B256" s="239">
        <v>234</v>
      </c>
      <c r="C256" s="258"/>
      <c r="D256" s="258"/>
      <c r="E256" s="240"/>
      <c r="F256" s="241" t="str">
        <f>IF(ISBLANK(E256), "", VLOOKUP(E256, Z!$A$2:$C$4127, 3, FALSE))</f>
        <v/>
      </c>
      <c r="G256" s="242"/>
      <c r="H256" s="242"/>
      <c r="I256" s="243"/>
      <c r="J256" s="244"/>
      <c r="K256" s="259"/>
      <c r="L256" s="260"/>
      <c r="M256" s="247" t="str" cm="1">
        <f t="array" ref="M256">IF($K256&gt;0, INDEX(Clean,1+AG256,$C$1), "")</f>
        <v/>
      </c>
      <c r="N256" s="245"/>
      <c r="O256" s="245"/>
      <c r="P256" s="246"/>
      <c r="Q256" s="248">
        <f t="shared" si="425"/>
        <v>0</v>
      </c>
      <c r="R256" s="247" t="str" cm="1">
        <f t="array" ref="R256">IF($K256&gt;0, INDEX(Clean,1+AH256,$C$1), "")</f>
        <v/>
      </c>
      <c r="S256" s="245"/>
      <c r="T256" s="245"/>
      <c r="U256" s="246"/>
      <c r="V256" s="248">
        <f t="shared" si="426"/>
        <v>0</v>
      </c>
      <c r="W256" s="261"/>
      <c r="X256" s="258"/>
      <c r="Y256" s="240"/>
      <c r="Z256" s="241" t="str">
        <f>IF(ISBLANK(Y256), "", VLOOKUP(Y256, Z!$A$2:$C$4127, 3, FALSE))</f>
        <v/>
      </c>
      <c r="AA256" s="262"/>
      <c r="AB256" s="249">
        <f t="shared" si="424"/>
        <v>0</v>
      </c>
      <c r="AC256" s="210"/>
      <c r="AD256" s="236">
        <f t="shared" si="449"/>
        <v>1</v>
      </c>
      <c r="AE256" s="236">
        <f t="shared" si="450"/>
        <v>1</v>
      </c>
      <c r="AF256" s="236">
        <f t="shared" si="451"/>
        <v>0</v>
      </c>
      <c r="AG256" s="236">
        <v>1</v>
      </c>
      <c r="AH256" s="236">
        <v>0</v>
      </c>
      <c r="AI256" s="236">
        <f t="shared" si="427"/>
        <v>-100</v>
      </c>
      <c r="AJ256" s="210"/>
      <c r="AK256" s="254"/>
      <c r="AL256" s="254"/>
      <c r="AM256" s="255"/>
      <c r="AN256" s="255"/>
      <c r="AO256" s="255"/>
      <c r="AP256" s="255"/>
      <c r="AQ256" s="255"/>
      <c r="AR256" s="255"/>
      <c r="AS256" s="255"/>
      <c r="AT256" s="255"/>
      <c r="AU256" s="255"/>
      <c r="AV256" s="255"/>
      <c r="AW256" s="255"/>
      <c r="AX256" s="210"/>
      <c r="AY256" s="236" cm="1">
        <f t="array" ref="AY256">INDEX(Use, $AD256, 4)</f>
        <v>7</v>
      </c>
      <c r="AZ256" s="236">
        <f t="shared" si="428"/>
        <v>32</v>
      </c>
      <c r="BA256" s="236">
        <f t="shared" si="239"/>
        <v>13</v>
      </c>
      <c r="BB256" s="236">
        <f t="shared" si="240"/>
        <v>0</v>
      </c>
      <c r="BC256" s="252" cm="1">
        <f t="array" ref="BC256">K256/IF($L256&gt;0, INDEX($AO$23:$AU$77, $L256+20, $AD256), 1)</f>
        <v>0</v>
      </c>
      <c r="BD256" s="237">
        <f t="shared" si="429"/>
        <v>0</v>
      </c>
      <c r="BE256" s="236">
        <v>35</v>
      </c>
      <c r="BF256" s="237">
        <f t="shared" si="430"/>
        <v>52.55</v>
      </c>
      <c r="BG256" s="253">
        <f t="shared" si="431"/>
        <v>2.7676728869374316</v>
      </c>
      <c r="BH256" s="253" cm="1">
        <f t="array" ref="BH256">$BC256 * SUMPRODUCT(INDEX($AL$77:$AN$82,,$AE256),INDEX($AO$77:$AU$82,,$AD256), N($AK$77:$AK$82&gt;$AI256)) / BG256 / 1000</f>
        <v>0</v>
      </c>
      <c r="BI256" s="250">
        <f t="shared" si="244"/>
        <v>30</v>
      </c>
      <c r="BJ256" s="237">
        <f t="shared" si="432"/>
        <v>46.033333333333331</v>
      </c>
      <c r="BK256" s="253">
        <f t="shared" si="433"/>
        <v>3.2297395388556791</v>
      </c>
      <c r="BL256" s="253" cm="1">
        <f t="array" ref="BL256">$BC256 * IF($AD256&lt;=2,
SUMPRODUCT(INDEX($AL$72:$AN$76,,$AE256), INDEX($AO$72:$AU$76,,$AD256), 1 / ($AV$72:$AV$76*BK256 + (1-$AV$72:$AV$76)*BG256), N($AK$72:$AK$76&gt;$AI256)),
SUMPRODUCT(INDEX($AL$67:$AN$76,,$AE256), INDEX($AO$67:$AU$76,,$AD256), 1 / ($AW$67:$AW$76*BK256 + (1-$AW$67:$AW$76)*BG256), N($AK$67:$AK$76&gt;$AI256))
) / 1000</f>
        <v>0</v>
      </c>
      <c r="BM256" s="250">
        <f t="shared" si="247"/>
        <v>25</v>
      </c>
      <c r="BN256" s="237">
        <f t="shared" si="434"/>
        <v>39.516666666666666</v>
      </c>
      <c r="BO256" s="253">
        <f t="shared" si="435"/>
        <v>3.877011788826243</v>
      </c>
      <c r="BP256" s="253" cm="1">
        <f t="array" ref="BP256">$BC256 * IF($AD256&lt;=2,
SUMPRODUCT(INDEX($AL$67:$AN$71,,$AE256), INDEX($AO$67:$AU$71,,$AD256), 1 / ($AV$67:$AV$71*BO256 + (1-$AV$67:$AV$71)*BK256), N($AK$67:$AK$71&gt;$AI256)),
SUMPRODUCT(INDEX($AL$57:$AN$66,,$AE256), INDEX($AO$57:$AU$66,,$AD256), 1 / ($AW$57:$AW$66*BO256 + (1-$AW$57:$AW$66)*BK256), N($AK$57:$AK$66&gt;$AI256))
) / 1000</f>
        <v>0</v>
      </c>
      <c r="BQ256" s="250">
        <f t="shared" si="250"/>
        <v>20</v>
      </c>
      <c r="BR256" s="237">
        <f t="shared" si="436"/>
        <v>33</v>
      </c>
      <c r="BS256" s="253">
        <f t="shared" si="437"/>
        <v>4.8487499999999999</v>
      </c>
      <c r="BT256" s="253" cm="1">
        <f t="array" ref="BT256">$BC256 * IF($AD256&lt;=2,
SUMPRODUCT(INDEX($AL$62:$AN$66,,$AE256), INDEX($AO$62:$AU$66,,$AD256), 1 / ($AV$62:$AV$66*BS256 + (1-$AV$62:$AV$66)*BO256), N($AK$62:$AK$66&gt;$AI256)),
SUMPRODUCT(INDEX($AL$47:$AN$56,,$AE256), INDEX($AO$47:$AU$56,,$AD256), 1 / ($AW$47:$AW$56*BS256 + (1-$AW$47:$AW$56)*BO256), N($AK$47:$AK$56&gt;$AI256))
) / 1000</f>
        <v>0</v>
      </c>
      <c r="BU256" s="253" cm="1">
        <f t="array" ref="BU256">$BC256 * IF($AD256&lt;=2,
SUMPRODUCT(INDEX($AL$23:$AN$61,,$AE256), INDEX($AO$23:$AU$61,,$AD256), 1 / ($AV$23:$AV$61*BS256), N($AK$23:$AK$61&gt;$AI256)),
SUMPRODUCT(INDEX($AL$23:$AN$46,,$AE256), INDEX($AO$23:$AU$46,,$AD256), 1 / ($AW$23:$AW$46*BS256), N($AK$23:$AK$46&gt;$AI256))
) / 1000</f>
        <v>0</v>
      </c>
      <c r="BV256" s="237">
        <f t="shared" si="438"/>
        <v>0</v>
      </c>
      <c r="BW256" s="210"/>
      <c r="BX256" s="237">
        <f t="shared" si="439"/>
        <v>0</v>
      </c>
      <c r="BY256" s="236">
        <v>35</v>
      </c>
      <c r="BZ256" s="237">
        <f t="shared" si="440"/>
        <v>48</v>
      </c>
      <c r="CA256" s="253">
        <f t="shared" si="441"/>
        <v>3.0748170731707316</v>
      </c>
      <c r="CB256" s="253" cm="1">
        <f t="array" ref="CB256">$BC256 * SUMPRODUCT(INDEX($AL$77:$AN$82,,$AE256),INDEX($AO$77:$AU$82,,$AD256), N($AK$77:$AK$82&gt;$AI256)) / CA256 / 1000</f>
        <v>0</v>
      </c>
      <c r="CC256" s="250">
        <f t="shared" si="257"/>
        <v>30</v>
      </c>
      <c r="CD256" s="237">
        <f t="shared" si="442"/>
        <v>43</v>
      </c>
      <c r="CE256" s="253">
        <f t="shared" si="443"/>
        <v>3.5018750000000001</v>
      </c>
      <c r="CF256" s="253" cm="1">
        <f t="array" ref="CF256">$BC256 * IF($AD256&lt;=2,
SUMPRODUCT(INDEX($AL$72:$AN$76,,$AE256), INDEX($AO$72:$AU$76,,$AD256), 1 / ($AV$72:$AV$76*CE256 + (1-$AV$72:$AV$76)*CA256), N($AK$72:$AK$76&gt;$AI256)),
SUMPRODUCT(INDEX($AL$67:$AN$76,,$AE256), INDEX($AO$67:$AU$76,,$AD256), 1 / ($AW$67:$AW$76*CE256 + (1-$AW$67:$AW$76)*CA256), N($AK$67:$AK$76&gt;$AI256))
) / 1000</f>
        <v>0</v>
      </c>
      <c r="CG256" s="250">
        <f t="shared" si="260"/>
        <v>25</v>
      </c>
      <c r="CH256" s="237">
        <f t="shared" si="444"/>
        <v>38</v>
      </c>
      <c r="CI256" s="253">
        <f t="shared" si="445"/>
        <v>4.0666935483870965</v>
      </c>
      <c r="CJ256" s="253" cm="1">
        <f t="array" ref="CJ256">$BC256 * IF($AD256&lt;=2,
SUMPRODUCT(INDEX($AL$67:$AN$71,,$AE256), INDEX($AO$67:$AU$71,,$AD256), 1 / ($AV$67:$AV$71*CI256 + (1-$AV$67:$AV$71)*CE256), N($AK$67:$AK$71&gt;$AI256)),
SUMPRODUCT(INDEX($AL$57:$AN$66,,$AE256), INDEX($AO$57:$AU$66,,$AD256), 1 / ($AW$57:$AW$66*CI256 + (1-$AW$57:$AW$66)*CE256), N($AK$57:$AK$66&gt;$AI256))
) / 1000</f>
        <v>0</v>
      </c>
      <c r="CK256" s="250">
        <f t="shared" si="263"/>
        <v>20</v>
      </c>
      <c r="CL256" s="237">
        <f t="shared" si="446"/>
        <v>33</v>
      </c>
      <c r="CM256" s="253">
        <f t="shared" si="447"/>
        <v>4.8487499999999999</v>
      </c>
      <c r="CN256" s="253" cm="1">
        <f t="array" ref="CN256">$BC256 * IF($AD256&lt;=2,
SUMPRODUCT(INDEX($AL$62:$AN$66,,$AE256), INDEX($AO$62:$AU$66,,$AD256), 1 / ($AV$62:$AV$66*CM256 + (1-$AV$62:$AV$66)*CI256), N($AK$62:$AK$66&gt;$AI256)),
SUMPRODUCT(INDEX($AL$47:$AN$56,,$AE256), INDEX($AO$47:$AU$56,,$AD256), 1 / ($AW$47:$AW$56*CM256 + (1-$AW$47:$AW$56)*CI256), N($AK$47:$AK$56&gt;$AI256))
) / 1000</f>
        <v>0</v>
      </c>
      <c r="CO256" s="253" cm="1">
        <f t="array" ref="CO256">$BC256 * IF($AD256&lt;=2,
SUMPRODUCT(INDEX($AL$23:$AN$61,,$AE256), INDEX($AO$23:$AU$61,,$AD256), 1 / ($AV$23:$AV$61*CM256), N($AK$23:$AK$61&gt;$AI256)),
SUMPRODUCT(INDEX($AL$23:$AN$46,,$AE256), INDEX($AO$23:$AU$46,,$AD256), 1 / ($AW$23:$AW$46*CM256), N($AK$23:$AK$46&gt;$AI256))
) / 1000</f>
        <v>0</v>
      </c>
      <c r="CP256" s="237">
        <f t="shared" si="448"/>
        <v>0</v>
      </c>
      <c r="CQ256" s="210"/>
    </row>
    <row r="257" spans="1:95" s="76" customFormat="1" ht="14.25" customHeight="1" x14ac:dyDescent="0.2">
      <c r="A257" s="238" t="b">
        <f t="shared" si="227"/>
        <v>0</v>
      </c>
      <c r="B257" s="239">
        <v>235</v>
      </c>
      <c r="C257" s="258"/>
      <c r="D257" s="258"/>
      <c r="E257" s="240"/>
      <c r="F257" s="241" t="str">
        <f>IF(ISBLANK(E257), "", VLOOKUP(E257, Z!$A$2:$C$4127, 3, FALSE))</f>
        <v/>
      </c>
      <c r="G257" s="242"/>
      <c r="H257" s="242"/>
      <c r="I257" s="243"/>
      <c r="J257" s="244"/>
      <c r="K257" s="259"/>
      <c r="L257" s="260"/>
      <c r="M257" s="247" t="str" cm="1">
        <f t="array" ref="M257">IF($K257&gt;0, INDEX(Clean,1+AG257,$C$1), "")</f>
        <v/>
      </c>
      <c r="N257" s="245"/>
      <c r="O257" s="245"/>
      <c r="P257" s="246"/>
      <c r="Q257" s="248">
        <f t="shared" si="425"/>
        <v>0</v>
      </c>
      <c r="R257" s="247" t="str" cm="1">
        <f t="array" ref="R257">IF($K257&gt;0, INDEX(Clean,1+AH257,$C$1), "")</f>
        <v/>
      </c>
      <c r="S257" s="245"/>
      <c r="T257" s="245"/>
      <c r="U257" s="246"/>
      <c r="V257" s="248">
        <f t="shared" si="426"/>
        <v>0</v>
      </c>
      <c r="W257" s="261"/>
      <c r="X257" s="258"/>
      <c r="Y257" s="240"/>
      <c r="Z257" s="241" t="str">
        <f>IF(ISBLANK(Y257), "", VLOOKUP(Y257, Z!$A$2:$C$4127, 3, FALSE))</f>
        <v/>
      </c>
      <c r="AA257" s="262"/>
      <c r="AB257" s="249">
        <f t="shared" si="424"/>
        <v>0</v>
      </c>
      <c r="AC257" s="210"/>
      <c r="AD257" s="236">
        <f t="shared" si="449"/>
        <v>1</v>
      </c>
      <c r="AE257" s="236">
        <f t="shared" si="450"/>
        <v>1</v>
      </c>
      <c r="AF257" s="236">
        <f t="shared" si="451"/>
        <v>0</v>
      </c>
      <c r="AG257" s="236">
        <v>1</v>
      </c>
      <c r="AH257" s="236">
        <v>0</v>
      </c>
      <c r="AI257" s="236">
        <f t="shared" si="427"/>
        <v>-100</v>
      </c>
      <c r="AJ257" s="210"/>
      <c r="AK257" s="254"/>
      <c r="AL257" s="254"/>
      <c r="AM257" s="255"/>
      <c r="AN257" s="255"/>
      <c r="AO257" s="255"/>
      <c r="AP257" s="255"/>
      <c r="AQ257" s="255"/>
      <c r="AR257" s="255"/>
      <c r="AS257" s="255"/>
      <c r="AT257" s="255"/>
      <c r="AU257" s="255"/>
      <c r="AV257" s="255"/>
      <c r="AW257" s="255"/>
      <c r="AX257" s="210"/>
      <c r="AY257" s="236" cm="1">
        <f t="array" ref="AY257">INDEX(Use, $AD257, 4)</f>
        <v>7</v>
      </c>
      <c r="AZ257" s="236">
        <f t="shared" si="428"/>
        <v>32</v>
      </c>
      <c r="BA257" s="236">
        <f t="shared" si="239"/>
        <v>13</v>
      </c>
      <c r="BB257" s="236">
        <f t="shared" si="240"/>
        <v>0</v>
      </c>
      <c r="BC257" s="252" cm="1">
        <f t="array" ref="BC257">K257/IF($L257&gt;0, INDEX($AO$23:$AU$77, $L257+20, $AD257), 1)</f>
        <v>0</v>
      </c>
      <c r="BD257" s="237">
        <f t="shared" si="429"/>
        <v>0</v>
      </c>
      <c r="BE257" s="236">
        <v>35</v>
      </c>
      <c r="BF257" s="237">
        <f t="shared" si="430"/>
        <v>52.55</v>
      </c>
      <c r="BG257" s="253">
        <f t="shared" si="431"/>
        <v>2.7676728869374316</v>
      </c>
      <c r="BH257" s="253" cm="1">
        <f t="array" ref="BH257">$BC257 * SUMPRODUCT(INDEX($AL$77:$AN$82,,$AE257),INDEX($AO$77:$AU$82,,$AD257), N($AK$77:$AK$82&gt;$AI257)) / BG257 / 1000</f>
        <v>0</v>
      </c>
      <c r="BI257" s="250">
        <f t="shared" si="244"/>
        <v>30</v>
      </c>
      <c r="BJ257" s="237">
        <f t="shared" si="432"/>
        <v>46.033333333333331</v>
      </c>
      <c r="BK257" s="253">
        <f t="shared" si="433"/>
        <v>3.2297395388556791</v>
      </c>
      <c r="BL257" s="253" cm="1">
        <f t="array" ref="BL257">$BC257 * IF($AD257&lt;=2,
SUMPRODUCT(INDEX($AL$72:$AN$76,,$AE257), INDEX($AO$72:$AU$76,,$AD257), 1 / ($AV$72:$AV$76*BK257 + (1-$AV$72:$AV$76)*BG257), N($AK$72:$AK$76&gt;$AI257)),
SUMPRODUCT(INDEX($AL$67:$AN$76,,$AE257), INDEX($AO$67:$AU$76,,$AD257), 1 / ($AW$67:$AW$76*BK257 + (1-$AW$67:$AW$76)*BG257), N($AK$67:$AK$76&gt;$AI257))
) / 1000</f>
        <v>0</v>
      </c>
      <c r="BM257" s="250">
        <f t="shared" si="247"/>
        <v>25</v>
      </c>
      <c r="BN257" s="237">
        <f t="shared" si="434"/>
        <v>39.516666666666666</v>
      </c>
      <c r="BO257" s="253">
        <f t="shared" si="435"/>
        <v>3.877011788826243</v>
      </c>
      <c r="BP257" s="253" cm="1">
        <f t="array" ref="BP257">$BC257 * IF($AD257&lt;=2,
SUMPRODUCT(INDEX($AL$67:$AN$71,,$AE257), INDEX($AO$67:$AU$71,,$AD257), 1 / ($AV$67:$AV$71*BO257 + (1-$AV$67:$AV$71)*BK257), N($AK$67:$AK$71&gt;$AI257)),
SUMPRODUCT(INDEX($AL$57:$AN$66,,$AE257), INDEX($AO$57:$AU$66,,$AD257), 1 / ($AW$57:$AW$66*BO257 + (1-$AW$57:$AW$66)*BK257), N($AK$57:$AK$66&gt;$AI257))
) / 1000</f>
        <v>0</v>
      </c>
      <c r="BQ257" s="250">
        <f t="shared" si="250"/>
        <v>20</v>
      </c>
      <c r="BR257" s="237">
        <f t="shared" si="436"/>
        <v>33</v>
      </c>
      <c r="BS257" s="253">
        <f t="shared" si="437"/>
        <v>4.8487499999999999</v>
      </c>
      <c r="BT257" s="253" cm="1">
        <f t="array" ref="BT257">$BC257 * IF($AD257&lt;=2,
SUMPRODUCT(INDEX($AL$62:$AN$66,,$AE257), INDEX($AO$62:$AU$66,,$AD257), 1 / ($AV$62:$AV$66*BS257 + (1-$AV$62:$AV$66)*BO257), N($AK$62:$AK$66&gt;$AI257)),
SUMPRODUCT(INDEX($AL$47:$AN$56,,$AE257), INDEX($AO$47:$AU$56,,$AD257), 1 / ($AW$47:$AW$56*BS257 + (1-$AW$47:$AW$56)*BO257), N($AK$47:$AK$56&gt;$AI257))
) / 1000</f>
        <v>0</v>
      </c>
      <c r="BU257" s="253" cm="1">
        <f t="array" ref="BU257">$BC257 * IF($AD257&lt;=2,
SUMPRODUCT(INDEX($AL$23:$AN$61,,$AE257), INDEX($AO$23:$AU$61,,$AD257), 1 / ($AV$23:$AV$61*BS257), N($AK$23:$AK$61&gt;$AI257)),
SUMPRODUCT(INDEX($AL$23:$AN$46,,$AE257), INDEX($AO$23:$AU$46,,$AD257), 1 / ($AW$23:$AW$46*BS257), N($AK$23:$AK$46&gt;$AI257))
) / 1000</f>
        <v>0</v>
      </c>
      <c r="BV257" s="237">
        <f t="shared" si="438"/>
        <v>0</v>
      </c>
      <c r="BW257" s="210"/>
      <c r="BX257" s="237">
        <f t="shared" si="439"/>
        <v>0</v>
      </c>
      <c r="BY257" s="236">
        <v>35</v>
      </c>
      <c r="BZ257" s="237">
        <f t="shared" si="440"/>
        <v>48</v>
      </c>
      <c r="CA257" s="253">
        <f t="shared" si="441"/>
        <v>3.0748170731707316</v>
      </c>
      <c r="CB257" s="253" cm="1">
        <f t="array" ref="CB257">$BC257 * SUMPRODUCT(INDEX($AL$77:$AN$82,,$AE257),INDEX($AO$77:$AU$82,,$AD257), N($AK$77:$AK$82&gt;$AI257)) / CA257 / 1000</f>
        <v>0</v>
      </c>
      <c r="CC257" s="250">
        <f t="shared" si="257"/>
        <v>30</v>
      </c>
      <c r="CD257" s="237">
        <f t="shared" si="442"/>
        <v>43</v>
      </c>
      <c r="CE257" s="253">
        <f t="shared" si="443"/>
        <v>3.5018750000000001</v>
      </c>
      <c r="CF257" s="253" cm="1">
        <f t="array" ref="CF257">$BC257 * IF($AD257&lt;=2,
SUMPRODUCT(INDEX($AL$72:$AN$76,,$AE257), INDEX($AO$72:$AU$76,,$AD257), 1 / ($AV$72:$AV$76*CE257 + (1-$AV$72:$AV$76)*CA257), N($AK$72:$AK$76&gt;$AI257)),
SUMPRODUCT(INDEX($AL$67:$AN$76,,$AE257), INDEX($AO$67:$AU$76,,$AD257), 1 / ($AW$67:$AW$76*CE257 + (1-$AW$67:$AW$76)*CA257), N($AK$67:$AK$76&gt;$AI257))
) / 1000</f>
        <v>0</v>
      </c>
      <c r="CG257" s="250">
        <f t="shared" si="260"/>
        <v>25</v>
      </c>
      <c r="CH257" s="237">
        <f t="shared" si="444"/>
        <v>38</v>
      </c>
      <c r="CI257" s="253">
        <f t="shared" si="445"/>
        <v>4.0666935483870965</v>
      </c>
      <c r="CJ257" s="253" cm="1">
        <f t="array" ref="CJ257">$BC257 * IF($AD257&lt;=2,
SUMPRODUCT(INDEX($AL$67:$AN$71,,$AE257), INDEX($AO$67:$AU$71,,$AD257), 1 / ($AV$67:$AV$71*CI257 + (1-$AV$67:$AV$71)*CE257), N($AK$67:$AK$71&gt;$AI257)),
SUMPRODUCT(INDEX($AL$57:$AN$66,,$AE257), INDEX($AO$57:$AU$66,,$AD257), 1 / ($AW$57:$AW$66*CI257 + (1-$AW$57:$AW$66)*CE257), N($AK$57:$AK$66&gt;$AI257))
) / 1000</f>
        <v>0</v>
      </c>
      <c r="CK257" s="250">
        <f t="shared" si="263"/>
        <v>20</v>
      </c>
      <c r="CL257" s="237">
        <f t="shared" si="446"/>
        <v>33</v>
      </c>
      <c r="CM257" s="253">
        <f t="shared" si="447"/>
        <v>4.8487499999999999</v>
      </c>
      <c r="CN257" s="253" cm="1">
        <f t="array" ref="CN257">$BC257 * IF($AD257&lt;=2,
SUMPRODUCT(INDEX($AL$62:$AN$66,,$AE257), INDEX($AO$62:$AU$66,,$AD257), 1 / ($AV$62:$AV$66*CM257 + (1-$AV$62:$AV$66)*CI257), N($AK$62:$AK$66&gt;$AI257)),
SUMPRODUCT(INDEX($AL$47:$AN$56,,$AE257), INDEX($AO$47:$AU$56,,$AD257), 1 / ($AW$47:$AW$56*CM257 + (1-$AW$47:$AW$56)*CI257), N($AK$47:$AK$56&gt;$AI257))
) / 1000</f>
        <v>0</v>
      </c>
      <c r="CO257" s="253" cm="1">
        <f t="array" ref="CO257">$BC257 * IF($AD257&lt;=2,
SUMPRODUCT(INDEX($AL$23:$AN$61,,$AE257), INDEX($AO$23:$AU$61,,$AD257), 1 / ($AV$23:$AV$61*CM257), N($AK$23:$AK$61&gt;$AI257)),
SUMPRODUCT(INDEX($AL$23:$AN$46,,$AE257), INDEX($AO$23:$AU$46,,$AD257), 1 / ($AW$23:$AW$46*CM257), N($AK$23:$AK$46&gt;$AI257))
) / 1000</f>
        <v>0</v>
      </c>
      <c r="CP257" s="237">
        <f t="shared" si="448"/>
        <v>0</v>
      </c>
      <c r="CQ257" s="210"/>
    </row>
    <row r="258" spans="1:95" s="76" customFormat="1" ht="14.25" customHeight="1" x14ac:dyDescent="0.2">
      <c r="A258" s="238" t="b">
        <f t="shared" si="227"/>
        <v>0</v>
      </c>
      <c r="B258" s="239">
        <v>236</v>
      </c>
      <c r="C258" s="258"/>
      <c r="D258" s="258"/>
      <c r="E258" s="240"/>
      <c r="F258" s="241" t="str">
        <f>IF(ISBLANK(E258), "", VLOOKUP(E258, Z!$A$2:$C$4127, 3, FALSE))</f>
        <v/>
      </c>
      <c r="G258" s="242"/>
      <c r="H258" s="242"/>
      <c r="I258" s="243"/>
      <c r="J258" s="244"/>
      <c r="K258" s="259"/>
      <c r="L258" s="260"/>
      <c r="M258" s="247" t="str" cm="1">
        <f t="array" ref="M258">IF($K258&gt;0, INDEX(Clean,1+AG258,$C$1), "")</f>
        <v/>
      </c>
      <c r="N258" s="245"/>
      <c r="O258" s="245"/>
      <c r="P258" s="246"/>
      <c r="Q258" s="248">
        <f t="shared" si="425"/>
        <v>0</v>
      </c>
      <c r="R258" s="247" t="str" cm="1">
        <f t="array" ref="R258">IF($K258&gt;0, INDEX(Clean,1+AH258,$C$1), "")</f>
        <v/>
      </c>
      <c r="S258" s="245"/>
      <c r="T258" s="245"/>
      <c r="U258" s="246"/>
      <c r="V258" s="248">
        <f t="shared" si="426"/>
        <v>0</v>
      </c>
      <c r="W258" s="261"/>
      <c r="X258" s="258"/>
      <c r="Y258" s="240"/>
      <c r="Z258" s="241" t="str">
        <f>IF(ISBLANK(Y258), "", VLOOKUP(Y258, Z!$A$2:$C$4127, 3, FALSE))</f>
        <v/>
      </c>
      <c r="AA258" s="262"/>
      <c r="AB258" s="249">
        <f t="shared" si="424"/>
        <v>0</v>
      </c>
      <c r="AC258" s="210"/>
      <c r="AD258" s="236">
        <f t="shared" si="449"/>
        <v>1</v>
      </c>
      <c r="AE258" s="236">
        <f t="shared" si="450"/>
        <v>1</v>
      </c>
      <c r="AF258" s="236">
        <f t="shared" si="451"/>
        <v>0</v>
      </c>
      <c r="AG258" s="236">
        <v>1</v>
      </c>
      <c r="AH258" s="236">
        <v>0</v>
      </c>
      <c r="AI258" s="236">
        <f t="shared" si="427"/>
        <v>-100</v>
      </c>
      <c r="AJ258" s="210"/>
      <c r="AK258" s="254"/>
      <c r="AL258" s="254"/>
      <c r="AM258" s="255"/>
      <c r="AN258" s="255"/>
      <c r="AO258" s="255"/>
      <c r="AP258" s="255"/>
      <c r="AQ258" s="255"/>
      <c r="AR258" s="255"/>
      <c r="AS258" s="255"/>
      <c r="AT258" s="255"/>
      <c r="AU258" s="255"/>
      <c r="AV258" s="255"/>
      <c r="AW258" s="255"/>
      <c r="AX258" s="210"/>
      <c r="AY258" s="236" cm="1">
        <f t="array" ref="AY258">INDEX(Use, $AD258, 4)</f>
        <v>7</v>
      </c>
      <c r="AZ258" s="236">
        <f t="shared" si="428"/>
        <v>32</v>
      </c>
      <c r="BA258" s="236">
        <f t="shared" si="239"/>
        <v>13</v>
      </c>
      <c r="BB258" s="236">
        <f t="shared" si="240"/>
        <v>0</v>
      </c>
      <c r="BC258" s="252" cm="1">
        <f t="array" ref="BC258">K258/IF($L258&gt;0, INDEX($AO$23:$AU$77, $L258+20, $AD258), 1)</f>
        <v>0</v>
      </c>
      <c r="BD258" s="237">
        <f t="shared" si="429"/>
        <v>0</v>
      </c>
      <c r="BE258" s="236">
        <v>35</v>
      </c>
      <c r="BF258" s="237">
        <f t="shared" si="430"/>
        <v>52.55</v>
      </c>
      <c r="BG258" s="253">
        <f t="shared" si="431"/>
        <v>2.7676728869374316</v>
      </c>
      <c r="BH258" s="253" cm="1">
        <f t="array" ref="BH258">$BC258 * SUMPRODUCT(INDEX($AL$77:$AN$82,,$AE258),INDEX($AO$77:$AU$82,,$AD258), N($AK$77:$AK$82&gt;$AI258)) / BG258 / 1000</f>
        <v>0</v>
      </c>
      <c r="BI258" s="250">
        <f t="shared" si="244"/>
        <v>30</v>
      </c>
      <c r="BJ258" s="237">
        <f t="shared" si="432"/>
        <v>46.033333333333331</v>
      </c>
      <c r="BK258" s="253">
        <f t="shared" si="433"/>
        <v>3.2297395388556791</v>
      </c>
      <c r="BL258" s="253" cm="1">
        <f t="array" ref="BL258">$BC258 * IF($AD258&lt;=2,
SUMPRODUCT(INDEX($AL$72:$AN$76,,$AE258), INDEX($AO$72:$AU$76,,$AD258), 1 / ($AV$72:$AV$76*BK258 + (1-$AV$72:$AV$76)*BG258), N($AK$72:$AK$76&gt;$AI258)),
SUMPRODUCT(INDEX($AL$67:$AN$76,,$AE258), INDEX($AO$67:$AU$76,,$AD258), 1 / ($AW$67:$AW$76*BK258 + (1-$AW$67:$AW$76)*BG258), N($AK$67:$AK$76&gt;$AI258))
) / 1000</f>
        <v>0</v>
      </c>
      <c r="BM258" s="250">
        <f t="shared" si="247"/>
        <v>25</v>
      </c>
      <c r="BN258" s="237">
        <f t="shared" si="434"/>
        <v>39.516666666666666</v>
      </c>
      <c r="BO258" s="253">
        <f t="shared" si="435"/>
        <v>3.877011788826243</v>
      </c>
      <c r="BP258" s="253" cm="1">
        <f t="array" ref="BP258">$BC258 * IF($AD258&lt;=2,
SUMPRODUCT(INDEX($AL$67:$AN$71,,$AE258), INDEX($AO$67:$AU$71,,$AD258), 1 / ($AV$67:$AV$71*BO258 + (1-$AV$67:$AV$71)*BK258), N($AK$67:$AK$71&gt;$AI258)),
SUMPRODUCT(INDEX($AL$57:$AN$66,,$AE258), INDEX($AO$57:$AU$66,,$AD258), 1 / ($AW$57:$AW$66*BO258 + (1-$AW$57:$AW$66)*BK258), N($AK$57:$AK$66&gt;$AI258))
) / 1000</f>
        <v>0</v>
      </c>
      <c r="BQ258" s="250">
        <f t="shared" si="250"/>
        <v>20</v>
      </c>
      <c r="BR258" s="237">
        <f t="shared" si="436"/>
        <v>33</v>
      </c>
      <c r="BS258" s="253">
        <f t="shared" si="437"/>
        <v>4.8487499999999999</v>
      </c>
      <c r="BT258" s="253" cm="1">
        <f t="array" ref="BT258">$BC258 * IF($AD258&lt;=2,
SUMPRODUCT(INDEX($AL$62:$AN$66,,$AE258), INDEX($AO$62:$AU$66,,$AD258), 1 / ($AV$62:$AV$66*BS258 + (1-$AV$62:$AV$66)*BO258), N($AK$62:$AK$66&gt;$AI258)),
SUMPRODUCT(INDEX($AL$47:$AN$56,,$AE258), INDEX($AO$47:$AU$56,,$AD258), 1 / ($AW$47:$AW$56*BS258 + (1-$AW$47:$AW$56)*BO258), N($AK$47:$AK$56&gt;$AI258))
) / 1000</f>
        <v>0</v>
      </c>
      <c r="BU258" s="253" cm="1">
        <f t="array" ref="BU258">$BC258 * IF($AD258&lt;=2,
SUMPRODUCT(INDEX($AL$23:$AN$61,,$AE258), INDEX($AO$23:$AU$61,,$AD258), 1 / ($AV$23:$AV$61*BS258), N($AK$23:$AK$61&gt;$AI258)),
SUMPRODUCT(INDEX($AL$23:$AN$46,,$AE258), INDEX($AO$23:$AU$46,,$AD258), 1 / ($AW$23:$AW$46*BS258), N($AK$23:$AK$46&gt;$AI258))
) / 1000</f>
        <v>0</v>
      </c>
      <c r="BV258" s="237">
        <f t="shared" si="438"/>
        <v>0</v>
      </c>
      <c r="BW258" s="210"/>
      <c r="BX258" s="237">
        <f t="shared" si="439"/>
        <v>0</v>
      </c>
      <c r="BY258" s="236">
        <v>35</v>
      </c>
      <c r="BZ258" s="237">
        <f t="shared" si="440"/>
        <v>48</v>
      </c>
      <c r="CA258" s="253">
        <f t="shared" si="441"/>
        <v>3.0748170731707316</v>
      </c>
      <c r="CB258" s="253" cm="1">
        <f t="array" ref="CB258">$BC258 * SUMPRODUCT(INDEX($AL$77:$AN$82,,$AE258),INDEX($AO$77:$AU$82,,$AD258), N($AK$77:$AK$82&gt;$AI258)) / CA258 / 1000</f>
        <v>0</v>
      </c>
      <c r="CC258" s="250">
        <f t="shared" si="257"/>
        <v>30</v>
      </c>
      <c r="CD258" s="237">
        <f t="shared" si="442"/>
        <v>43</v>
      </c>
      <c r="CE258" s="253">
        <f t="shared" si="443"/>
        <v>3.5018750000000001</v>
      </c>
      <c r="CF258" s="253" cm="1">
        <f t="array" ref="CF258">$BC258 * IF($AD258&lt;=2,
SUMPRODUCT(INDEX($AL$72:$AN$76,,$AE258), INDEX($AO$72:$AU$76,,$AD258), 1 / ($AV$72:$AV$76*CE258 + (1-$AV$72:$AV$76)*CA258), N($AK$72:$AK$76&gt;$AI258)),
SUMPRODUCT(INDEX($AL$67:$AN$76,,$AE258), INDEX($AO$67:$AU$76,,$AD258), 1 / ($AW$67:$AW$76*CE258 + (1-$AW$67:$AW$76)*CA258), N($AK$67:$AK$76&gt;$AI258))
) / 1000</f>
        <v>0</v>
      </c>
      <c r="CG258" s="250">
        <f t="shared" si="260"/>
        <v>25</v>
      </c>
      <c r="CH258" s="237">
        <f t="shared" si="444"/>
        <v>38</v>
      </c>
      <c r="CI258" s="253">
        <f t="shared" si="445"/>
        <v>4.0666935483870965</v>
      </c>
      <c r="CJ258" s="253" cm="1">
        <f t="array" ref="CJ258">$BC258 * IF($AD258&lt;=2,
SUMPRODUCT(INDEX($AL$67:$AN$71,,$AE258), INDEX($AO$67:$AU$71,,$AD258), 1 / ($AV$67:$AV$71*CI258 + (1-$AV$67:$AV$71)*CE258), N($AK$67:$AK$71&gt;$AI258)),
SUMPRODUCT(INDEX($AL$57:$AN$66,,$AE258), INDEX($AO$57:$AU$66,,$AD258), 1 / ($AW$57:$AW$66*CI258 + (1-$AW$57:$AW$66)*CE258), N($AK$57:$AK$66&gt;$AI258))
) / 1000</f>
        <v>0</v>
      </c>
      <c r="CK258" s="250">
        <f t="shared" si="263"/>
        <v>20</v>
      </c>
      <c r="CL258" s="237">
        <f t="shared" si="446"/>
        <v>33</v>
      </c>
      <c r="CM258" s="253">
        <f t="shared" si="447"/>
        <v>4.8487499999999999</v>
      </c>
      <c r="CN258" s="253" cm="1">
        <f t="array" ref="CN258">$BC258 * IF($AD258&lt;=2,
SUMPRODUCT(INDEX($AL$62:$AN$66,,$AE258), INDEX($AO$62:$AU$66,,$AD258), 1 / ($AV$62:$AV$66*CM258 + (1-$AV$62:$AV$66)*CI258), N($AK$62:$AK$66&gt;$AI258)),
SUMPRODUCT(INDEX($AL$47:$AN$56,,$AE258), INDEX($AO$47:$AU$56,,$AD258), 1 / ($AW$47:$AW$56*CM258 + (1-$AW$47:$AW$56)*CI258), N($AK$47:$AK$56&gt;$AI258))
) / 1000</f>
        <v>0</v>
      </c>
      <c r="CO258" s="253" cm="1">
        <f t="array" ref="CO258">$BC258 * IF($AD258&lt;=2,
SUMPRODUCT(INDEX($AL$23:$AN$61,,$AE258), INDEX($AO$23:$AU$61,,$AD258), 1 / ($AV$23:$AV$61*CM258), N($AK$23:$AK$61&gt;$AI258)),
SUMPRODUCT(INDEX($AL$23:$AN$46,,$AE258), INDEX($AO$23:$AU$46,,$AD258), 1 / ($AW$23:$AW$46*CM258), N($AK$23:$AK$46&gt;$AI258))
) / 1000</f>
        <v>0</v>
      </c>
      <c r="CP258" s="237">
        <f t="shared" si="448"/>
        <v>0</v>
      </c>
      <c r="CQ258" s="210"/>
    </row>
    <row r="259" spans="1:95" s="76" customFormat="1" ht="14.25" customHeight="1" x14ac:dyDescent="0.2">
      <c r="A259" s="238" t="b">
        <f t="shared" si="227"/>
        <v>0</v>
      </c>
      <c r="B259" s="239">
        <v>237</v>
      </c>
      <c r="C259" s="258"/>
      <c r="D259" s="258"/>
      <c r="E259" s="240"/>
      <c r="F259" s="241" t="str">
        <f>IF(ISBLANK(E259), "", VLOOKUP(E259, Z!$A$2:$C$4127, 3, FALSE))</f>
        <v/>
      </c>
      <c r="G259" s="242"/>
      <c r="H259" s="242"/>
      <c r="I259" s="243"/>
      <c r="J259" s="244"/>
      <c r="K259" s="259"/>
      <c r="L259" s="260"/>
      <c r="M259" s="247" t="str" cm="1">
        <f t="array" ref="M259">IF($K259&gt;0, INDEX(Clean,1+AG259,$C$1), "")</f>
        <v/>
      </c>
      <c r="N259" s="245"/>
      <c r="O259" s="245"/>
      <c r="P259" s="246"/>
      <c r="Q259" s="248">
        <f t="shared" si="425"/>
        <v>0</v>
      </c>
      <c r="R259" s="247" t="str" cm="1">
        <f t="array" ref="R259">IF($K259&gt;0, INDEX(Clean,1+AH259,$C$1), "")</f>
        <v/>
      </c>
      <c r="S259" s="245"/>
      <c r="T259" s="245"/>
      <c r="U259" s="246"/>
      <c r="V259" s="248">
        <f t="shared" si="426"/>
        <v>0</v>
      </c>
      <c r="W259" s="261"/>
      <c r="X259" s="258"/>
      <c r="Y259" s="240"/>
      <c r="Z259" s="241" t="str">
        <f>IF(ISBLANK(Y259), "", VLOOKUP(Y259, Z!$A$2:$C$4127, 3, FALSE))</f>
        <v/>
      </c>
      <c r="AA259" s="262"/>
      <c r="AB259" s="249">
        <f t="shared" si="424"/>
        <v>0</v>
      </c>
      <c r="AC259" s="210"/>
      <c r="AD259" s="236">
        <f t="shared" si="449"/>
        <v>1</v>
      </c>
      <c r="AE259" s="236">
        <f t="shared" si="450"/>
        <v>1</v>
      </c>
      <c r="AF259" s="236">
        <f t="shared" si="451"/>
        <v>0</v>
      </c>
      <c r="AG259" s="236">
        <v>1</v>
      </c>
      <c r="AH259" s="236">
        <v>0</v>
      </c>
      <c r="AI259" s="236">
        <f t="shared" si="427"/>
        <v>-100</v>
      </c>
      <c r="AJ259" s="210"/>
      <c r="AK259" s="254"/>
      <c r="AL259" s="254"/>
      <c r="AM259" s="255"/>
      <c r="AN259" s="255"/>
      <c r="AO259" s="255"/>
      <c r="AP259" s="255"/>
      <c r="AQ259" s="255"/>
      <c r="AR259" s="255"/>
      <c r="AS259" s="255"/>
      <c r="AT259" s="255"/>
      <c r="AU259" s="255"/>
      <c r="AV259" s="255"/>
      <c r="AW259" s="255"/>
      <c r="AX259" s="210"/>
      <c r="AY259" s="236" cm="1">
        <f t="array" ref="AY259">INDEX(Use, $AD259, 4)</f>
        <v>7</v>
      </c>
      <c r="AZ259" s="236">
        <f t="shared" si="428"/>
        <v>32</v>
      </c>
      <c r="BA259" s="236">
        <f t="shared" si="239"/>
        <v>13</v>
      </c>
      <c r="BB259" s="236">
        <f t="shared" si="240"/>
        <v>0</v>
      </c>
      <c r="BC259" s="252" cm="1">
        <f t="array" ref="BC259">K259/IF($L259&gt;0, INDEX($AO$23:$AU$77, $L259+20, $AD259), 1)</f>
        <v>0</v>
      </c>
      <c r="BD259" s="237">
        <f t="shared" si="429"/>
        <v>0</v>
      </c>
      <c r="BE259" s="236">
        <v>35</v>
      </c>
      <c r="BF259" s="237">
        <f t="shared" si="430"/>
        <v>52.55</v>
      </c>
      <c r="BG259" s="253">
        <f t="shared" si="431"/>
        <v>2.7676728869374316</v>
      </c>
      <c r="BH259" s="253" cm="1">
        <f t="array" ref="BH259">$BC259 * SUMPRODUCT(INDEX($AL$77:$AN$82,,$AE259),INDEX($AO$77:$AU$82,,$AD259), N($AK$77:$AK$82&gt;$AI259)) / BG259 / 1000</f>
        <v>0</v>
      </c>
      <c r="BI259" s="250">
        <f t="shared" si="244"/>
        <v>30</v>
      </c>
      <c r="BJ259" s="237">
        <f t="shared" si="432"/>
        <v>46.033333333333331</v>
      </c>
      <c r="BK259" s="253">
        <f t="shared" si="433"/>
        <v>3.2297395388556791</v>
      </c>
      <c r="BL259" s="253" cm="1">
        <f t="array" ref="BL259">$BC259 * IF($AD259&lt;=2,
SUMPRODUCT(INDEX($AL$72:$AN$76,,$AE259), INDEX($AO$72:$AU$76,,$AD259), 1 / ($AV$72:$AV$76*BK259 + (1-$AV$72:$AV$76)*BG259), N($AK$72:$AK$76&gt;$AI259)),
SUMPRODUCT(INDEX($AL$67:$AN$76,,$AE259), INDEX($AO$67:$AU$76,,$AD259), 1 / ($AW$67:$AW$76*BK259 + (1-$AW$67:$AW$76)*BG259), N($AK$67:$AK$76&gt;$AI259))
) / 1000</f>
        <v>0</v>
      </c>
      <c r="BM259" s="250">
        <f t="shared" si="247"/>
        <v>25</v>
      </c>
      <c r="BN259" s="237">
        <f t="shared" si="434"/>
        <v>39.516666666666666</v>
      </c>
      <c r="BO259" s="253">
        <f t="shared" si="435"/>
        <v>3.877011788826243</v>
      </c>
      <c r="BP259" s="253" cm="1">
        <f t="array" ref="BP259">$BC259 * IF($AD259&lt;=2,
SUMPRODUCT(INDEX($AL$67:$AN$71,,$AE259), INDEX($AO$67:$AU$71,,$AD259), 1 / ($AV$67:$AV$71*BO259 + (1-$AV$67:$AV$71)*BK259), N($AK$67:$AK$71&gt;$AI259)),
SUMPRODUCT(INDEX($AL$57:$AN$66,,$AE259), INDEX($AO$57:$AU$66,,$AD259), 1 / ($AW$57:$AW$66*BO259 + (1-$AW$57:$AW$66)*BK259), N($AK$57:$AK$66&gt;$AI259))
) / 1000</f>
        <v>0</v>
      </c>
      <c r="BQ259" s="250">
        <f t="shared" si="250"/>
        <v>20</v>
      </c>
      <c r="BR259" s="237">
        <f t="shared" si="436"/>
        <v>33</v>
      </c>
      <c r="BS259" s="253">
        <f t="shared" si="437"/>
        <v>4.8487499999999999</v>
      </c>
      <c r="BT259" s="253" cm="1">
        <f t="array" ref="BT259">$BC259 * IF($AD259&lt;=2,
SUMPRODUCT(INDEX($AL$62:$AN$66,,$AE259), INDEX($AO$62:$AU$66,,$AD259), 1 / ($AV$62:$AV$66*BS259 + (1-$AV$62:$AV$66)*BO259), N($AK$62:$AK$66&gt;$AI259)),
SUMPRODUCT(INDEX($AL$47:$AN$56,,$AE259), INDEX($AO$47:$AU$56,,$AD259), 1 / ($AW$47:$AW$56*BS259 + (1-$AW$47:$AW$56)*BO259), N($AK$47:$AK$56&gt;$AI259))
) / 1000</f>
        <v>0</v>
      </c>
      <c r="BU259" s="253" cm="1">
        <f t="array" ref="BU259">$BC259 * IF($AD259&lt;=2,
SUMPRODUCT(INDEX($AL$23:$AN$61,,$AE259), INDEX($AO$23:$AU$61,,$AD259), 1 / ($AV$23:$AV$61*BS259), N($AK$23:$AK$61&gt;$AI259)),
SUMPRODUCT(INDEX($AL$23:$AN$46,,$AE259), INDEX($AO$23:$AU$46,,$AD259), 1 / ($AW$23:$AW$46*BS259), N($AK$23:$AK$46&gt;$AI259))
) / 1000</f>
        <v>0</v>
      </c>
      <c r="BV259" s="237">
        <f t="shared" si="438"/>
        <v>0</v>
      </c>
      <c r="BW259" s="210"/>
      <c r="BX259" s="237">
        <f t="shared" si="439"/>
        <v>0</v>
      </c>
      <c r="BY259" s="236">
        <v>35</v>
      </c>
      <c r="BZ259" s="237">
        <f t="shared" si="440"/>
        <v>48</v>
      </c>
      <c r="CA259" s="253">
        <f t="shared" si="441"/>
        <v>3.0748170731707316</v>
      </c>
      <c r="CB259" s="253" cm="1">
        <f t="array" ref="CB259">$BC259 * SUMPRODUCT(INDEX($AL$77:$AN$82,,$AE259),INDEX($AO$77:$AU$82,,$AD259), N($AK$77:$AK$82&gt;$AI259)) / CA259 / 1000</f>
        <v>0</v>
      </c>
      <c r="CC259" s="250">
        <f t="shared" si="257"/>
        <v>30</v>
      </c>
      <c r="CD259" s="237">
        <f t="shared" si="442"/>
        <v>43</v>
      </c>
      <c r="CE259" s="253">
        <f t="shared" si="443"/>
        <v>3.5018750000000001</v>
      </c>
      <c r="CF259" s="253" cm="1">
        <f t="array" ref="CF259">$BC259 * IF($AD259&lt;=2,
SUMPRODUCT(INDEX($AL$72:$AN$76,,$AE259), INDEX($AO$72:$AU$76,,$AD259), 1 / ($AV$72:$AV$76*CE259 + (1-$AV$72:$AV$76)*CA259), N($AK$72:$AK$76&gt;$AI259)),
SUMPRODUCT(INDEX($AL$67:$AN$76,,$AE259), INDEX($AO$67:$AU$76,,$AD259), 1 / ($AW$67:$AW$76*CE259 + (1-$AW$67:$AW$76)*CA259), N($AK$67:$AK$76&gt;$AI259))
) / 1000</f>
        <v>0</v>
      </c>
      <c r="CG259" s="250">
        <f t="shared" si="260"/>
        <v>25</v>
      </c>
      <c r="CH259" s="237">
        <f t="shared" si="444"/>
        <v>38</v>
      </c>
      <c r="CI259" s="253">
        <f t="shared" si="445"/>
        <v>4.0666935483870965</v>
      </c>
      <c r="CJ259" s="253" cm="1">
        <f t="array" ref="CJ259">$BC259 * IF($AD259&lt;=2,
SUMPRODUCT(INDEX($AL$67:$AN$71,,$AE259), INDEX($AO$67:$AU$71,,$AD259), 1 / ($AV$67:$AV$71*CI259 + (1-$AV$67:$AV$71)*CE259), N($AK$67:$AK$71&gt;$AI259)),
SUMPRODUCT(INDEX($AL$57:$AN$66,,$AE259), INDEX($AO$57:$AU$66,,$AD259), 1 / ($AW$57:$AW$66*CI259 + (1-$AW$57:$AW$66)*CE259), N($AK$57:$AK$66&gt;$AI259))
) / 1000</f>
        <v>0</v>
      </c>
      <c r="CK259" s="250">
        <f t="shared" si="263"/>
        <v>20</v>
      </c>
      <c r="CL259" s="237">
        <f t="shared" si="446"/>
        <v>33</v>
      </c>
      <c r="CM259" s="253">
        <f t="shared" si="447"/>
        <v>4.8487499999999999</v>
      </c>
      <c r="CN259" s="253" cm="1">
        <f t="array" ref="CN259">$BC259 * IF($AD259&lt;=2,
SUMPRODUCT(INDEX($AL$62:$AN$66,,$AE259), INDEX($AO$62:$AU$66,,$AD259), 1 / ($AV$62:$AV$66*CM259 + (1-$AV$62:$AV$66)*CI259), N($AK$62:$AK$66&gt;$AI259)),
SUMPRODUCT(INDEX($AL$47:$AN$56,,$AE259), INDEX($AO$47:$AU$56,,$AD259), 1 / ($AW$47:$AW$56*CM259 + (1-$AW$47:$AW$56)*CI259), N($AK$47:$AK$56&gt;$AI259))
) / 1000</f>
        <v>0</v>
      </c>
      <c r="CO259" s="253" cm="1">
        <f t="array" ref="CO259">$BC259 * IF($AD259&lt;=2,
SUMPRODUCT(INDEX($AL$23:$AN$61,,$AE259), INDEX($AO$23:$AU$61,,$AD259), 1 / ($AV$23:$AV$61*CM259), N($AK$23:$AK$61&gt;$AI259)),
SUMPRODUCT(INDEX($AL$23:$AN$46,,$AE259), INDEX($AO$23:$AU$46,,$AD259), 1 / ($AW$23:$AW$46*CM259), N($AK$23:$AK$46&gt;$AI259))
) / 1000</f>
        <v>0</v>
      </c>
      <c r="CP259" s="237">
        <f t="shared" si="448"/>
        <v>0</v>
      </c>
      <c r="CQ259" s="210"/>
    </row>
    <row r="260" spans="1:95" s="76" customFormat="1" ht="14.25" customHeight="1" x14ac:dyDescent="0.2">
      <c r="A260" s="238" t="b">
        <f t="shared" si="227"/>
        <v>0</v>
      </c>
      <c r="B260" s="239">
        <v>238</v>
      </c>
      <c r="C260" s="258"/>
      <c r="D260" s="258"/>
      <c r="E260" s="240"/>
      <c r="F260" s="241" t="str">
        <f>IF(ISBLANK(E260), "", VLOOKUP(E260, Z!$A$2:$C$4127, 3, FALSE))</f>
        <v/>
      </c>
      <c r="G260" s="242"/>
      <c r="H260" s="242"/>
      <c r="I260" s="243"/>
      <c r="J260" s="244"/>
      <c r="K260" s="259"/>
      <c r="L260" s="260"/>
      <c r="M260" s="247" t="str" cm="1">
        <f t="array" ref="M260">IF($K260&gt;0, INDEX(Clean,1+AG260,$C$1), "")</f>
        <v/>
      </c>
      <c r="N260" s="245"/>
      <c r="O260" s="245"/>
      <c r="P260" s="246"/>
      <c r="Q260" s="248">
        <f t="shared" si="425"/>
        <v>0</v>
      </c>
      <c r="R260" s="247" t="str" cm="1">
        <f t="array" ref="R260">IF($K260&gt;0, INDEX(Clean,1+AH260,$C$1), "")</f>
        <v/>
      </c>
      <c r="S260" s="245"/>
      <c r="T260" s="245"/>
      <c r="U260" s="246"/>
      <c r="V260" s="248">
        <f t="shared" si="426"/>
        <v>0</v>
      </c>
      <c r="W260" s="261"/>
      <c r="X260" s="258"/>
      <c r="Y260" s="240"/>
      <c r="Z260" s="241" t="str">
        <f>IF(ISBLANK(Y260), "", VLOOKUP(Y260, Z!$A$2:$C$4127, 3, FALSE))</f>
        <v/>
      </c>
      <c r="AA260" s="262"/>
      <c r="AB260" s="249">
        <f t="shared" si="424"/>
        <v>0</v>
      </c>
      <c r="AC260" s="210"/>
      <c r="AD260" s="236">
        <f t="shared" si="449"/>
        <v>1</v>
      </c>
      <c r="AE260" s="236">
        <f t="shared" si="450"/>
        <v>1</v>
      </c>
      <c r="AF260" s="236">
        <f t="shared" si="451"/>
        <v>0</v>
      </c>
      <c r="AG260" s="236">
        <v>1</v>
      </c>
      <c r="AH260" s="236">
        <v>0</v>
      </c>
      <c r="AI260" s="236">
        <f t="shared" si="427"/>
        <v>-100</v>
      </c>
      <c r="AJ260" s="210"/>
      <c r="AK260" s="254"/>
      <c r="AL260" s="254"/>
      <c r="AM260" s="255"/>
      <c r="AN260" s="255"/>
      <c r="AO260" s="255"/>
      <c r="AP260" s="255"/>
      <c r="AQ260" s="255"/>
      <c r="AR260" s="255"/>
      <c r="AS260" s="255"/>
      <c r="AT260" s="255"/>
      <c r="AU260" s="255"/>
      <c r="AV260" s="255"/>
      <c r="AW260" s="255"/>
      <c r="AX260" s="210"/>
      <c r="AY260" s="236" cm="1">
        <f t="array" ref="AY260">INDEX(Use, $AD260, 4)</f>
        <v>7</v>
      </c>
      <c r="AZ260" s="236">
        <f t="shared" si="428"/>
        <v>32</v>
      </c>
      <c r="BA260" s="236">
        <f t="shared" si="239"/>
        <v>13</v>
      </c>
      <c r="BB260" s="236">
        <f t="shared" si="240"/>
        <v>0</v>
      </c>
      <c r="BC260" s="252" cm="1">
        <f t="array" ref="BC260">K260/IF($L260&gt;0, INDEX($AO$23:$AU$77, $L260+20, $AD260), 1)</f>
        <v>0</v>
      </c>
      <c r="BD260" s="237">
        <f t="shared" si="429"/>
        <v>0</v>
      </c>
      <c r="BE260" s="236">
        <v>35</v>
      </c>
      <c r="BF260" s="237">
        <f t="shared" si="430"/>
        <v>52.55</v>
      </c>
      <c r="BG260" s="253">
        <f t="shared" si="431"/>
        <v>2.7676728869374316</v>
      </c>
      <c r="BH260" s="253" cm="1">
        <f t="array" ref="BH260">$BC260 * SUMPRODUCT(INDEX($AL$77:$AN$82,,$AE260),INDEX($AO$77:$AU$82,,$AD260), N($AK$77:$AK$82&gt;$AI260)) / BG260 / 1000</f>
        <v>0</v>
      </c>
      <c r="BI260" s="250">
        <f t="shared" si="244"/>
        <v>30</v>
      </c>
      <c r="BJ260" s="237">
        <f t="shared" si="432"/>
        <v>46.033333333333331</v>
      </c>
      <c r="BK260" s="253">
        <f t="shared" si="433"/>
        <v>3.2297395388556791</v>
      </c>
      <c r="BL260" s="253" cm="1">
        <f t="array" ref="BL260">$BC260 * IF($AD260&lt;=2,
SUMPRODUCT(INDEX($AL$72:$AN$76,,$AE260), INDEX($AO$72:$AU$76,,$AD260), 1 / ($AV$72:$AV$76*BK260 + (1-$AV$72:$AV$76)*BG260), N($AK$72:$AK$76&gt;$AI260)),
SUMPRODUCT(INDEX($AL$67:$AN$76,,$AE260), INDEX($AO$67:$AU$76,,$AD260), 1 / ($AW$67:$AW$76*BK260 + (1-$AW$67:$AW$76)*BG260), N($AK$67:$AK$76&gt;$AI260))
) / 1000</f>
        <v>0</v>
      </c>
      <c r="BM260" s="250">
        <f t="shared" si="247"/>
        <v>25</v>
      </c>
      <c r="BN260" s="237">
        <f t="shared" si="434"/>
        <v>39.516666666666666</v>
      </c>
      <c r="BO260" s="253">
        <f t="shared" si="435"/>
        <v>3.877011788826243</v>
      </c>
      <c r="BP260" s="253" cm="1">
        <f t="array" ref="BP260">$BC260 * IF($AD260&lt;=2,
SUMPRODUCT(INDEX($AL$67:$AN$71,,$AE260), INDEX($AO$67:$AU$71,,$AD260), 1 / ($AV$67:$AV$71*BO260 + (1-$AV$67:$AV$71)*BK260), N($AK$67:$AK$71&gt;$AI260)),
SUMPRODUCT(INDEX($AL$57:$AN$66,,$AE260), INDEX($AO$57:$AU$66,,$AD260), 1 / ($AW$57:$AW$66*BO260 + (1-$AW$57:$AW$66)*BK260), N($AK$57:$AK$66&gt;$AI260))
) / 1000</f>
        <v>0</v>
      </c>
      <c r="BQ260" s="250">
        <f t="shared" si="250"/>
        <v>20</v>
      </c>
      <c r="BR260" s="237">
        <f t="shared" si="436"/>
        <v>33</v>
      </c>
      <c r="BS260" s="253">
        <f t="shared" si="437"/>
        <v>4.8487499999999999</v>
      </c>
      <c r="BT260" s="253" cm="1">
        <f t="array" ref="BT260">$BC260 * IF($AD260&lt;=2,
SUMPRODUCT(INDEX($AL$62:$AN$66,,$AE260), INDEX($AO$62:$AU$66,,$AD260), 1 / ($AV$62:$AV$66*BS260 + (1-$AV$62:$AV$66)*BO260), N($AK$62:$AK$66&gt;$AI260)),
SUMPRODUCT(INDEX($AL$47:$AN$56,,$AE260), INDEX($AO$47:$AU$56,,$AD260), 1 / ($AW$47:$AW$56*BS260 + (1-$AW$47:$AW$56)*BO260), N($AK$47:$AK$56&gt;$AI260))
) / 1000</f>
        <v>0</v>
      </c>
      <c r="BU260" s="253" cm="1">
        <f t="array" ref="BU260">$BC260 * IF($AD260&lt;=2,
SUMPRODUCT(INDEX($AL$23:$AN$61,,$AE260), INDEX($AO$23:$AU$61,,$AD260), 1 / ($AV$23:$AV$61*BS260), N($AK$23:$AK$61&gt;$AI260)),
SUMPRODUCT(INDEX($AL$23:$AN$46,,$AE260), INDEX($AO$23:$AU$46,,$AD260), 1 / ($AW$23:$AW$46*BS260), N($AK$23:$AK$46&gt;$AI260))
) / 1000</f>
        <v>0</v>
      </c>
      <c r="BV260" s="237">
        <f t="shared" si="438"/>
        <v>0</v>
      </c>
      <c r="BW260" s="210"/>
      <c r="BX260" s="237">
        <f t="shared" si="439"/>
        <v>0</v>
      </c>
      <c r="BY260" s="236">
        <v>35</v>
      </c>
      <c r="BZ260" s="237">
        <f t="shared" si="440"/>
        <v>48</v>
      </c>
      <c r="CA260" s="253">
        <f t="shared" si="441"/>
        <v>3.0748170731707316</v>
      </c>
      <c r="CB260" s="253" cm="1">
        <f t="array" ref="CB260">$BC260 * SUMPRODUCT(INDEX($AL$77:$AN$82,,$AE260),INDEX($AO$77:$AU$82,,$AD260), N($AK$77:$AK$82&gt;$AI260)) / CA260 / 1000</f>
        <v>0</v>
      </c>
      <c r="CC260" s="250">
        <f t="shared" si="257"/>
        <v>30</v>
      </c>
      <c r="CD260" s="237">
        <f t="shared" si="442"/>
        <v>43</v>
      </c>
      <c r="CE260" s="253">
        <f t="shared" si="443"/>
        <v>3.5018750000000001</v>
      </c>
      <c r="CF260" s="253" cm="1">
        <f t="array" ref="CF260">$BC260 * IF($AD260&lt;=2,
SUMPRODUCT(INDEX($AL$72:$AN$76,,$AE260), INDEX($AO$72:$AU$76,,$AD260), 1 / ($AV$72:$AV$76*CE260 + (1-$AV$72:$AV$76)*CA260), N($AK$72:$AK$76&gt;$AI260)),
SUMPRODUCT(INDEX($AL$67:$AN$76,,$AE260), INDEX($AO$67:$AU$76,,$AD260), 1 / ($AW$67:$AW$76*CE260 + (1-$AW$67:$AW$76)*CA260), N($AK$67:$AK$76&gt;$AI260))
) / 1000</f>
        <v>0</v>
      </c>
      <c r="CG260" s="250">
        <f t="shared" si="260"/>
        <v>25</v>
      </c>
      <c r="CH260" s="237">
        <f t="shared" si="444"/>
        <v>38</v>
      </c>
      <c r="CI260" s="253">
        <f t="shared" si="445"/>
        <v>4.0666935483870965</v>
      </c>
      <c r="CJ260" s="253" cm="1">
        <f t="array" ref="CJ260">$BC260 * IF($AD260&lt;=2,
SUMPRODUCT(INDEX($AL$67:$AN$71,,$AE260), INDEX($AO$67:$AU$71,,$AD260), 1 / ($AV$67:$AV$71*CI260 + (1-$AV$67:$AV$71)*CE260), N($AK$67:$AK$71&gt;$AI260)),
SUMPRODUCT(INDEX($AL$57:$AN$66,,$AE260), INDEX($AO$57:$AU$66,,$AD260), 1 / ($AW$57:$AW$66*CI260 + (1-$AW$57:$AW$66)*CE260), N($AK$57:$AK$66&gt;$AI260))
) / 1000</f>
        <v>0</v>
      </c>
      <c r="CK260" s="250">
        <f t="shared" si="263"/>
        <v>20</v>
      </c>
      <c r="CL260" s="237">
        <f t="shared" si="446"/>
        <v>33</v>
      </c>
      <c r="CM260" s="253">
        <f t="shared" si="447"/>
        <v>4.8487499999999999</v>
      </c>
      <c r="CN260" s="253" cm="1">
        <f t="array" ref="CN260">$BC260 * IF($AD260&lt;=2,
SUMPRODUCT(INDEX($AL$62:$AN$66,,$AE260), INDEX($AO$62:$AU$66,,$AD260), 1 / ($AV$62:$AV$66*CM260 + (1-$AV$62:$AV$66)*CI260), N($AK$62:$AK$66&gt;$AI260)),
SUMPRODUCT(INDEX($AL$47:$AN$56,,$AE260), INDEX($AO$47:$AU$56,,$AD260), 1 / ($AW$47:$AW$56*CM260 + (1-$AW$47:$AW$56)*CI260), N($AK$47:$AK$56&gt;$AI260))
) / 1000</f>
        <v>0</v>
      </c>
      <c r="CO260" s="253" cm="1">
        <f t="array" ref="CO260">$BC260 * IF($AD260&lt;=2,
SUMPRODUCT(INDEX($AL$23:$AN$61,,$AE260), INDEX($AO$23:$AU$61,,$AD260), 1 / ($AV$23:$AV$61*CM260), N($AK$23:$AK$61&gt;$AI260)),
SUMPRODUCT(INDEX($AL$23:$AN$46,,$AE260), INDEX($AO$23:$AU$46,,$AD260), 1 / ($AW$23:$AW$46*CM260), N($AK$23:$AK$46&gt;$AI260))
) / 1000</f>
        <v>0</v>
      </c>
      <c r="CP260" s="237">
        <f t="shared" si="448"/>
        <v>0</v>
      </c>
      <c r="CQ260" s="210"/>
    </row>
    <row r="261" spans="1:95" s="76" customFormat="1" ht="14.25" customHeight="1" x14ac:dyDescent="0.2">
      <c r="A261" s="238" t="b">
        <f t="shared" si="227"/>
        <v>0</v>
      </c>
      <c r="B261" s="239">
        <v>239</v>
      </c>
      <c r="C261" s="258"/>
      <c r="D261" s="258"/>
      <c r="E261" s="240"/>
      <c r="F261" s="241" t="str">
        <f>IF(ISBLANK(E261), "", VLOOKUP(E261, Z!$A$2:$C$4127, 3, FALSE))</f>
        <v/>
      </c>
      <c r="G261" s="242"/>
      <c r="H261" s="242"/>
      <c r="I261" s="243"/>
      <c r="J261" s="244"/>
      <c r="K261" s="259"/>
      <c r="L261" s="260"/>
      <c r="M261" s="247" t="str" cm="1">
        <f t="array" ref="M261">IF($K261&gt;0, INDEX(Clean,1+AG261,$C$1), "")</f>
        <v/>
      </c>
      <c r="N261" s="245"/>
      <c r="O261" s="245"/>
      <c r="P261" s="246"/>
      <c r="Q261" s="248">
        <f t="shared" si="425"/>
        <v>0</v>
      </c>
      <c r="R261" s="247" t="str" cm="1">
        <f t="array" ref="R261">IF($K261&gt;0, INDEX(Clean,1+AH261,$C$1), "")</f>
        <v/>
      </c>
      <c r="S261" s="245"/>
      <c r="T261" s="245"/>
      <c r="U261" s="246"/>
      <c r="V261" s="248">
        <f t="shared" si="426"/>
        <v>0</v>
      </c>
      <c r="W261" s="261"/>
      <c r="X261" s="258"/>
      <c r="Y261" s="240"/>
      <c r="Z261" s="241" t="str">
        <f>IF(ISBLANK(Y261), "", VLOOKUP(Y261, Z!$A$2:$C$4127, 3, FALSE))</f>
        <v/>
      </c>
      <c r="AA261" s="262"/>
      <c r="AB261" s="249">
        <f t="shared" si="424"/>
        <v>0</v>
      </c>
      <c r="AC261" s="210"/>
      <c r="AD261" s="236">
        <f t="shared" si="449"/>
        <v>1</v>
      </c>
      <c r="AE261" s="236">
        <f t="shared" si="450"/>
        <v>1</v>
      </c>
      <c r="AF261" s="236">
        <f t="shared" si="451"/>
        <v>0</v>
      </c>
      <c r="AG261" s="236">
        <v>1</v>
      </c>
      <c r="AH261" s="236">
        <v>0</v>
      </c>
      <c r="AI261" s="236">
        <f t="shared" si="427"/>
        <v>-100</v>
      </c>
      <c r="AJ261" s="210"/>
      <c r="AK261" s="254"/>
      <c r="AL261" s="254"/>
      <c r="AM261" s="255"/>
      <c r="AN261" s="255"/>
      <c r="AO261" s="255"/>
      <c r="AP261" s="255"/>
      <c r="AQ261" s="255"/>
      <c r="AR261" s="255"/>
      <c r="AS261" s="255"/>
      <c r="AT261" s="255"/>
      <c r="AU261" s="255"/>
      <c r="AV261" s="255"/>
      <c r="AW261" s="255"/>
      <c r="AX261" s="210"/>
      <c r="AY261" s="236" cm="1">
        <f t="array" ref="AY261">INDEX(Use, $AD261, 4)</f>
        <v>7</v>
      </c>
      <c r="AZ261" s="236">
        <f t="shared" si="428"/>
        <v>32</v>
      </c>
      <c r="BA261" s="236">
        <f t="shared" si="239"/>
        <v>13</v>
      </c>
      <c r="BB261" s="236">
        <f t="shared" si="240"/>
        <v>0</v>
      </c>
      <c r="BC261" s="252" cm="1">
        <f t="array" ref="BC261">K261/IF($L261&gt;0, INDEX($AO$23:$AU$77, $L261+20, $AD261), 1)</f>
        <v>0</v>
      </c>
      <c r="BD261" s="237">
        <f t="shared" si="429"/>
        <v>0</v>
      </c>
      <c r="BE261" s="236">
        <v>35</v>
      </c>
      <c r="BF261" s="237">
        <f t="shared" si="430"/>
        <v>52.55</v>
      </c>
      <c r="BG261" s="253">
        <f t="shared" si="431"/>
        <v>2.7676728869374316</v>
      </c>
      <c r="BH261" s="253" cm="1">
        <f t="array" ref="BH261">$BC261 * SUMPRODUCT(INDEX($AL$77:$AN$82,,$AE261),INDEX($AO$77:$AU$82,,$AD261), N($AK$77:$AK$82&gt;$AI261)) / BG261 / 1000</f>
        <v>0</v>
      </c>
      <c r="BI261" s="250">
        <f t="shared" si="244"/>
        <v>30</v>
      </c>
      <c r="BJ261" s="237">
        <f t="shared" si="432"/>
        <v>46.033333333333331</v>
      </c>
      <c r="BK261" s="253">
        <f t="shared" si="433"/>
        <v>3.2297395388556791</v>
      </c>
      <c r="BL261" s="253" cm="1">
        <f t="array" ref="BL261">$BC261 * IF($AD261&lt;=2,
SUMPRODUCT(INDEX($AL$72:$AN$76,,$AE261), INDEX($AO$72:$AU$76,,$AD261), 1 / ($AV$72:$AV$76*BK261 + (1-$AV$72:$AV$76)*BG261), N($AK$72:$AK$76&gt;$AI261)),
SUMPRODUCT(INDEX($AL$67:$AN$76,,$AE261), INDEX($AO$67:$AU$76,,$AD261), 1 / ($AW$67:$AW$76*BK261 + (1-$AW$67:$AW$76)*BG261), N($AK$67:$AK$76&gt;$AI261))
) / 1000</f>
        <v>0</v>
      </c>
      <c r="BM261" s="250">
        <f t="shared" si="247"/>
        <v>25</v>
      </c>
      <c r="BN261" s="237">
        <f t="shared" si="434"/>
        <v>39.516666666666666</v>
      </c>
      <c r="BO261" s="253">
        <f t="shared" si="435"/>
        <v>3.877011788826243</v>
      </c>
      <c r="BP261" s="253" cm="1">
        <f t="array" ref="BP261">$BC261 * IF($AD261&lt;=2,
SUMPRODUCT(INDEX($AL$67:$AN$71,,$AE261), INDEX($AO$67:$AU$71,,$AD261), 1 / ($AV$67:$AV$71*BO261 + (1-$AV$67:$AV$71)*BK261), N($AK$67:$AK$71&gt;$AI261)),
SUMPRODUCT(INDEX($AL$57:$AN$66,,$AE261), INDEX($AO$57:$AU$66,,$AD261), 1 / ($AW$57:$AW$66*BO261 + (1-$AW$57:$AW$66)*BK261), N($AK$57:$AK$66&gt;$AI261))
) / 1000</f>
        <v>0</v>
      </c>
      <c r="BQ261" s="250">
        <f t="shared" si="250"/>
        <v>20</v>
      </c>
      <c r="BR261" s="237">
        <f t="shared" si="436"/>
        <v>33</v>
      </c>
      <c r="BS261" s="253">
        <f t="shared" si="437"/>
        <v>4.8487499999999999</v>
      </c>
      <c r="BT261" s="253" cm="1">
        <f t="array" ref="BT261">$BC261 * IF($AD261&lt;=2,
SUMPRODUCT(INDEX($AL$62:$AN$66,,$AE261), INDEX($AO$62:$AU$66,,$AD261), 1 / ($AV$62:$AV$66*BS261 + (1-$AV$62:$AV$66)*BO261), N($AK$62:$AK$66&gt;$AI261)),
SUMPRODUCT(INDEX($AL$47:$AN$56,,$AE261), INDEX($AO$47:$AU$56,,$AD261), 1 / ($AW$47:$AW$56*BS261 + (1-$AW$47:$AW$56)*BO261), N($AK$47:$AK$56&gt;$AI261))
) / 1000</f>
        <v>0</v>
      </c>
      <c r="BU261" s="253" cm="1">
        <f t="array" ref="BU261">$BC261 * IF($AD261&lt;=2,
SUMPRODUCT(INDEX($AL$23:$AN$61,,$AE261), INDEX($AO$23:$AU$61,,$AD261), 1 / ($AV$23:$AV$61*BS261), N($AK$23:$AK$61&gt;$AI261)),
SUMPRODUCT(INDEX($AL$23:$AN$46,,$AE261), INDEX($AO$23:$AU$46,,$AD261), 1 / ($AW$23:$AW$46*BS261), N($AK$23:$AK$46&gt;$AI261))
) / 1000</f>
        <v>0</v>
      </c>
      <c r="BV261" s="237">
        <f t="shared" si="438"/>
        <v>0</v>
      </c>
      <c r="BW261" s="210"/>
      <c r="BX261" s="237">
        <f t="shared" si="439"/>
        <v>0</v>
      </c>
      <c r="BY261" s="236">
        <v>35</v>
      </c>
      <c r="BZ261" s="237">
        <f t="shared" si="440"/>
        <v>48</v>
      </c>
      <c r="CA261" s="253">
        <f t="shared" si="441"/>
        <v>3.0748170731707316</v>
      </c>
      <c r="CB261" s="253" cm="1">
        <f t="array" ref="CB261">$BC261 * SUMPRODUCT(INDEX($AL$77:$AN$82,,$AE261),INDEX($AO$77:$AU$82,,$AD261), N($AK$77:$AK$82&gt;$AI261)) / CA261 / 1000</f>
        <v>0</v>
      </c>
      <c r="CC261" s="250">
        <f t="shared" si="257"/>
        <v>30</v>
      </c>
      <c r="CD261" s="237">
        <f t="shared" si="442"/>
        <v>43</v>
      </c>
      <c r="CE261" s="253">
        <f t="shared" si="443"/>
        <v>3.5018750000000001</v>
      </c>
      <c r="CF261" s="253" cm="1">
        <f t="array" ref="CF261">$BC261 * IF($AD261&lt;=2,
SUMPRODUCT(INDEX($AL$72:$AN$76,,$AE261), INDEX($AO$72:$AU$76,,$AD261), 1 / ($AV$72:$AV$76*CE261 + (1-$AV$72:$AV$76)*CA261), N($AK$72:$AK$76&gt;$AI261)),
SUMPRODUCT(INDEX($AL$67:$AN$76,,$AE261), INDEX($AO$67:$AU$76,,$AD261), 1 / ($AW$67:$AW$76*CE261 + (1-$AW$67:$AW$76)*CA261), N($AK$67:$AK$76&gt;$AI261))
) / 1000</f>
        <v>0</v>
      </c>
      <c r="CG261" s="250">
        <f t="shared" si="260"/>
        <v>25</v>
      </c>
      <c r="CH261" s="237">
        <f t="shared" si="444"/>
        <v>38</v>
      </c>
      <c r="CI261" s="253">
        <f t="shared" si="445"/>
        <v>4.0666935483870965</v>
      </c>
      <c r="CJ261" s="253" cm="1">
        <f t="array" ref="CJ261">$BC261 * IF($AD261&lt;=2,
SUMPRODUCT(INDEX($AL$67:$AN$71,,$AE261), INDEX($AO$67:$AU$71,,$AD261), 1 / ($AV$67:$AV$71*CI261 + (1-$AV$67:$AV$71)*CE261), N($AK$67:$AK$71&gt;$AI261)),
SUMPRODUCT(INDEX($AL$57:$AN$66,,$AE261), INDEX($AO$57:$AU$66,,$AD261), 1 / ($AW$57:$AW$66*CI261 + (1-$AW$57:$AW$66)*CE261), N($AK$57:$AK$66&gt;$AI261))
) / 1000</f>
        <v>0</v>
      </c>
      <c r="CK261" s="250">
        <f t="shared" si="263"/>
        <v>20</v>
      </c>
      <c r="CL261" s="237">
        <f t="shared" si="446"/>
        <v>33</v>
      </c>
      <c r="CM261" s="253">
        <f t="shared" si="447"/>
        <v>4.8487499999999999</v>
      </c>
      <c r="CN261" s="253" cm="1">
        <f t="array" ref="CN261">$BC261 * IF($AD261&lt;=2,
SUMPRODUCT(INDEX($AL$62:$AN$66,,$AE261), INDEX($AO$62:$AU$66,,$AD261), 1 / ($AV$62:$AV$66*CM261 + (1-$AV$62:$AV$66)*CI261), N($AK$62:$AK$66&gt;$AI261)),
SUMPRODUCT(INDEX($AL$47:$AN$56,,$AE261), INDEX($AO$47:$AU$56,,$AD261), 1 / ($AW$47:$AW$56*CM261 + (1-$AW$47:$AW$56)*CI261), N($AK$47:$AK$56&gt;$AI261))
) / 1000</f>
        <v>0</v>
      </c>
      <c r="CO261" s="253" cm="1">
        <f t="array" ref="CO261">$BC261 * IF($AD261&lt;=2,
SUMPRODUCT(INDEX($AL$23:$AN$61,,$AE261), INDEX($AO$23:$AU$61,,$AD261), 1 / ($AV$23:$AV$61*CM261), N($AK$23:$AK$61&gt;$AI261)),
SUMPRODUCT(INDEX($AL$23:$AN$46,,$AE261), INDEX($AO$23:$AU$46,,$AD261), 1 / ($AW$23:$AW$46*CM261), N($AK$23:$AK$46&gt;$AI261))
) / 1000</f>
        <v>0</v>
      </c>
      <c r="CP261" s="237">
        <f t="shared" si="448"/>
        <v>0</v>
      </c>
      <c r="CQ261" s="210"/>
    </row>
    <row r="262" spans="1:95" s="76" customFormat="1" ht="14.25" customHeight="1" x14ac:dyDescent="0.2">
      <c r="A262" s="238" t="b">
        <f t="shared" si="227"/>
        <v>0</v>
      </c>
      <c r="B262" s="239">
        <v>240</v>
      </c>
      <c r="C262" s="258"/>
      <c r="D262" s="258"/>
      <c r="E262" s="240"/>
      <c r="F262" s="241" t="str">
        <f>IF(ISBLANK(E262), "", VLOOKUP(E262, Z!$A$2:$C$4127, 3, FALSE))</f>
        <v/>
      </c>
      <c r="G262" s="242"/>
      <c r="H262" s="242"/>
      <c r="I262" s="243"/>
      <c r="J262" s="244"/>
      <c r="K262" s="259"/>
      <c r="L262" s="260"/>
      <c r="M262" s="247" t="str" cm="1">
        <f t="array" ref="M262">IF($K262&gt;0, INDEX(Clean,1+AG262,$C$1), "")</f>
        <v/>
      </c>
      <c r="N262" s="245"/>
      <c r="O262" s="245"/>
      <c r="P262" s="246"/>
      <c r="Q262" s="248">
        <f t="shared" si="425"/>
        <v>0</v>
      </c>
      <c r="R262" s="247" t="str" cm="1">
        <f t="array" ref="R262">IF($K262&gt;0, INDEX(Clean,1+AH262,$C$1), "")</f>
        <v/>
      </c>
      <c r="S262" s="245"/>
      <c r="T262" s="245"/>
      <c r="U262" s="246"/>
      <c r="V262" s="248">
        <f t="shared" si="426"/>
        <v>0</v>
      </c>
      <c r="W262" s="261"/>
      <c r="X262" s="258"/>
      <c r="Y262" s="240"/>
      <c r="Z262" s="241" t="str">
        <f>IF(ISBLANK(Y262), "", VLOOKUP(Y262, Z!$A$2:$C$4127, 3, FALSE))</f>
        <v/>
      </c>
      <c r="AA262" s="262"/>
      <c r="AB262" s="249">
        <f t="shared" si="424"/>
        <v>0</v>
      </c>
      <c r="AC262" s="210"/>
      <c r="AD262" s="236">
        <f t="shared" si="449"/>
        <v>1</v>
      </c>
      <c r="AE262" s="236">
        <f t="shared" si="450"/>
        <v>1</v>
      </c>
      <c r="AF262" s="236">
        <f t="shared" si="451"/>
        <v>0</v>
      </c>
      <c r="AG262" s="236">
        <v>1</v>
      </c>
      <c r="AH262" s="236">
        <v>0</v>
      </c>
      <c r="AI262" s="236">
        <f t="shared" si="427"/>
        <v>-100</v>
      </c>
      <c r="AJ262" s="210"/>
      <c r="AK262" s="254"/>
      <c r="AL262" s="254"/>
      <c r="AM262" s="255"/>
      <c r="AN262" s="255"/>
      <c r="AO262" s="255"/>
      <c r="AP262" s="255"/>
      <c r="AQ262" s="255"/>
      <c r="AR262" s="255"/>
      <c r="AS262" s="255"/>
      <c r="AT262" s="255"/>
      <c r="AU262" s="255"/>
      <c r="AV262" s="255"/>
      <c r="AW262" s="255"/>
      <c r="AX262" s="210"/>
      <c r="AY262" s="236" cm="1">
        <f t="array" ref="AY262">INDEX(Use, $AD262, 4)</f>
        <v>7</v>
      </c>
      <c r="AZ262" s="236">
        <f t="shared" si="428"/>
        <v>32</v>
      </c>
      <c r="BA262" s="236">
        <f t="shared" si="239"/>
        <v>13</v>
      </c>
      <c r="BB262" s="236">
        <f t="shared" si="240"/>
        <v>0</v>
      </c>
      <c r="BC262" s="252" cm="1">
        <f t="array" ref="BC262">K262/IF($L262&gt;0, INDEX($AO$23:$AU$77, $L262+20, $AD262), 1)</f>
        <v>0</v>
      </c>
      <c r="BD262" s="237">
        <f t="shared" si="429"/>
        <v>0</v>
      </c>
      <c r="BE262" s="236">
        <v>35</v>
      </c>
      <c r="BF262" s="237">
        <f t="shared" si="430"/>
        <v>52.55</v>
      </c>
      <c r="BG262" s="253">
        <f t="shared" si="431"/>
        <v>2.7676728869374316</v>
      </c>
      <c r="BH262" s="253" cm="1">
        <f t="array" ref="BH262">$BC262 * SUMPRODUCT(INDEX($AL$77:$AN$82,,$AE262),INDEX($AO$77:$AU$82,,$AD262), N($AK$77:$AK$82&gt;$AI262)) / BG262 / 1000</f>
        <v>0</v>
      </c>
      <c r="BI262" s="250">
        <f t="shared" si="244"/>
        <v>30</v>
      </c>
      <c r="BJ262" s="237">
        <f t="shared" si="432"/>
        <v>46.033333333333331</v>
      </c>
      <c r="BK262" s="253">
        <f t="shared" si="433"/>
        <v>3.2297395388556791</v>
      </c>
      <c r="BL262" s="253" cm="1">
        <f t="array" ref="BL262">$BC262 * IF($AD262&lt;=2,
SUMPRODUCT(INDEX($AL$72:$AN$76,,$AE262), INDEX($AO$72:$AU$76,,$AD262), 1 / ($AV$72:$AV$76*BK262 + (1-$AV$72:$AV$76)*BG262), N($AK$72:$AK$76&gt;$AI262)),
SUMPRODUCT(INDEX($AL$67:$AN$76,,$AE262), INDEX($AO$67:$AU$76,,$AD262), 1 / ($AW$67:$AW$76*BK262 + (1-$AW$67:$AW$76)*BG262), N($AK$67:$AK$76&gt;$AI262))
) / 1000</f>
        <v>0</v>
      </c>
      <c r="BM262" s="250">
        <f t="shared" si="247"/>
        <v>25</v>
      </c>
      <c r="BN262" s="237">
        <f t="shared" si="434"/>
        <v>39.516666666666666</v>
      </c>
      <c r="BO262" s="253">
        <f t="shared" si="435"/>
        <v>3.877011788826243</v>
      </c>
      <c r="BP262" s="253" cm="1">
        <f t="array" ref="BP262">$BC262 * IF($AD262&lt;=2,
SUMPRODUCT(INDEX($AL$67:$AN$71,,$AE262), INDEX($AO$67:$AU$71,,$AD262), 1 / ($AV$67:$AV$71*BO262 + (1-$AV$67:$AV$71)*BK262), N($AK$67:$AK$71&gt;$AI262)),
SUMPRODUCT(INDEX($AL$57:$AN$66,,$AE262), INDEX($AO$57:$AU$66,,$AD262), 1 / ($AW$57:$AW$66*BO262 + (1-$AW$57:$AW$66)*BK262), N($AK$57:$AK$66&gt;$AI262))
) / 1000</f>
        <v>0</v>
      </c>
      <c r="BQ262" s="250">
        <f t="shared" si="250"/>
        <v>20</v>
      </c>
      <c r="BR262" s="237">
        <f t="shared" si="436"/>
        <v>33</v>
      </c>
      <c r="BS262" s="253">
        <f t="shared" si="437"/>
        <v>4.8487499999999999</v>
      </c>
      <c r="BT262" s="253" cm="1">
        <f t="array" ref="BT262">$BC262 * IF($AD262&lt;=2,
SUMPRODUCT(INDEX($AL$62:$AN$66,,$AE262), INDEX($AO$62:$AU$66,,$AD262), 1 / ($AV$62:$AV$66*BS262 + (1-$AV$62:$AV$66)*BO262), N($AK$62:$AK$66&gt;$AI262)),
SUMPRODUCT(INDEX($AL$47:$AN$56,,$AE262), INDEX($AO$47:$AU$56,,$AD262), 1 / ($AW$47:$AW$56*BS262 + (1-$AW$47:$AW$56)*BO262), N($AK$47:$AK$56&gt;$AI262))
) / 1000</f>
        <v>0</v>
      </c>
      <c r="BU262" s="253" cm="1">
        <f t="array" ref="BU262">$BC262 * IF($AD262&lt;=2,
SUMPRODUCT(INDEX($AL$23:$AN$61,,$AE262), INDEX($AO$23:$AU$61,,$AD262), 1 / ($AV$23:$AV$61*BS262), N($AK$23:$AK$61&gt;$AI262)),
SUMPRODUCT(INDEX($AL$23:$AN$46,,$AE262), INDEX($AO$23:$AU$46,,$AD262), 1 / ($AW$23:$AW$46*BS262), N($AK$23:$AK$46&gt;$AI262))
) / 1000</f>
        <v>0</v>
      </c>
      <c r="BV262" s="237">
        <f t="shared" si="438"/>
        <v>0</v>
      </c>
      <c r="BW262" s="210"/>
      <c r="BX262" s="237">
        <f t="shared" si="439"/>
        <v>0</v>
      </c>
      <c r="BY262" s="236">
        <v>35</v>
      </c>
      <c r="BZ262" s="237">
        <f t="shared" si="440"/>
        <v>48</v>
      </c>
      <c r="CA262" s="253">
        <f t="shared" si="441"/>
        <v>3.0748170731707316</v>
      </c>
      <c r="CB262" s="253" cm="1">
        <f t="array" ref="CB262">$BC262 * SUMPRODUCT(INDEX($AL$77:$AN$82,,$AE262),INDEX($AO$77:$AU$82,,$AD262), N($AK$77:$AK$82&gt;$AI262)) / CA262 / 1000</f>
        <v>0</v>
      </c>
      <c r="CC262" s="250">
        <f t="shared" si="257"/>
        <v>30</v>
      </c>
      <c r="CD262" s="237">
        <f t="shared" si="442"/>
        <v>43</v>
      </c>
      <c r="CE262" s="253">
        <f t="shared" si="443"/>
        <v>3.5018750000000001</v>
      </c>
      <c r="CF262" s="253" cm="1">
        <f t="array" ref="CF262">$BC262 * IF($AD262&lt;=2,
SUMPRODUCT(INDEX($AL$72:$AN$76,,$AE262), INDEX($AO$72:$AU$76,,$AD262), 1 / ($AV$72:$AV$76*CE262 + (1-$AV$72:$AV$76)*CA262), N($AK$72:$AK$76&gt;$AI262)),
SUMPRODUCT(INDEX($AL$67:$AN$76,,$AE262), INDEX($AO$67:$AU$76,,$AD262), 1 / ($AW$67:$AW$76*CE262 + (1-$AW$67:$AW$76)*CA262), N($AK$67:$AK$76&gt;$AI262))
) / 1000</f>
        <v>0</v>
      </c>
      <c r="CG262" s="250">
        <f t="shared" si="260"/>
        <v>25</v>
      </c>
      <c r="CH262" s="237">
        <f t="shared" si="444"/>
        <v>38</v>
      </c>
      <c r="CI262" s="253">
        <f t="shared" si="445"/>
        <v>4.0666935483870965</v>
      </c>
      <c r="CJ262" s="253" cm="1">
        <f t="array" ref="CJ262">$BC262 * IF($AD262&lt;=2,
SUMPRODUCT(INDEX($AL$67:$AN$71,,$AE262), INDEX($AO$67:$AU$71,,$AD262), 1 / ($AV$67:$AV$71*CI262 + (1-$AV$67:$AV$71)*CE262), N($AK$67:$AK$71&gt;$AI262)),
SUMPRODUCT(INDEX($AL$57:$AN$66,,$AE262), INDEX($AO$57:$AU$66,,$AD262), 1 / ($AW$57:$AW$66*CI262 + (1-$AW$57:$AW$66)*CE262), N($AK$57:$AK$66&gt;$AI262))
) / 1000</f>
        <v>0</v>
      </c>
      <c r="CK262" s="250">
        <f t="shared" si="263"/>
        <v>20</v>
      </c>
      <c r="CL262" s="237">
        <f t="shared" si="446"/>
        <v>33</v>
      </c>
      <c r="CM262" s="253">
        <f t="shared" si="447"/>
        <v>4.8487499999999999</v>
      </c>
      <c r="CN262" s="253" cm="1">
        <f t="array" ref="CN262">$BC262 * IF($AD262&lt;=2,
SUMPRODUCT(INDEX($AL$62:$AN$66,,$AE262), INDEX($AO$62:$AU$66,,$AD262), 1 / ($AV$62:$AV$66*CM262 + (1-$AV$62:$AV$66)*CI262), N($AK$62:$AK$66&gt;$AI262)),
SUMPRODUCT(INDEX($AL$47:$AN$56,,$AE262), INDEX($AO$47:$AU$56,,$AD262), 1 / ($AW$47:$AW$56*CM262 + (1-$AW$47:$AW$56)*CI262), N($AK$47:$AK$56&gt;$AI262))
) / 1000</f>
        <v>0</v>
      </c>
      <c r="CO262" s="253" cm="1">
        <f t="array" ref="CO262">$BC262 * IF($AD262&lt;=2,
SUMPRODUCT(INDEX($AL$23:$AN$61,,$AE262), INDEX($AO$23:$AU$61,,$AD262), 1 / ($AV$23:$AV$61*CM262), N($AK$23:$AK$61&gt;$AI262)),
SUMPRODUCT(INDEX($AL$23:$AN$46,,$AE262), INDEX($AO$23:$AU$46,,$AD262), 1 / ($AW$23:$AW$46*CM262), N($AK$23:$AK$46&gt;$AI262))
) / 1000</f>
        <v>0</v>
      </c>
      <c r="CP262" s="237">
        <f t="shared" si="448"/>
        <v>0</v>
      </c>
      <c r="CQ262" s="210"/>
    </row>
    <row r="263" spans="1:95" s="76" customFormat="1" ht="14.25" customHeight="1" x14ac:dyDescent="0.2">
      <c r="A263" s="238" t="b">
        <f t="shared" si="227"/>
        <v>0</v>
      </c>
      <c r="B263" s="239">
        <v>241</v>
      </c>
      <c r="C263" s="258"/>
      <c r="D263" s="258"/>
      <c r="E263" s="240"/>
      <c r="F263" s="241" t="str">
        <f>IF(ISBLANK(E263), "", VLOOKUP(E263, Z!$A$2:$C$4127, 3, FALSE))</f>
        <v/>
      </c>
      <c r="G263" s="242"/>
      <c r="H263" s="242"/>
      <c r="I263" s="243"/>
      <c r="J263" s="244"/>
      <c r="K263" s="259"/>
      <c r="L263" s="260"/>
      <c r="M263" s="247" t="str" cm="1">
        <f t="array" ref="M263">IF($K263&gt;0, INDEX(Clean,1+AG263,$C$1), "")</f>
        <v/>
      </c>
      <c r="N263" s="245"/>
      <c r="O263" s="245"/>
      <c r="P263" s="246"/>
      <c r="Q263" s="248">
        <f t="shared" si="425"/>
        <v>0</v>
      </c>
      <c r="R263" s="247" t="str" cm="1">
        <f t="array" ref="R263">IF($K263&gt;0, INDEX(Clean,1+AH263,$C$1), "")</f>
        <v/>
      </c>
      <c r="S263" s="245"/>
      <c r="T263" s="245"/>
      <c r="U263" s="246"/>
      <c r="V263" s="248">
        <f t="shared" si="426"/>
        <v>0</v>
      </c>
      <c r="W263" s="261"/>
      <c r="X263" s="258"/>
      <c r="Y263" s="240"/>
      <c r="Z263" s="241" t="str">
        <f>IF(ISBLANK(Y263), "", VLOOKUP(Y263, Z!$A$2:$C$4127, 3, FALSE))</f>
        <v/>
      </c>
      <c r="AA263" s="262"/>
      <c r="AB263" s="249">
        <f t="shared" si="424"/>
        <v>0</v>
      </c>
      <c r="AC263" s="210"/>
      <c r="AD263" s="236">
        <f t="shared" si="449"/>
        <v>1</v>
      </c>
      <c r="AE263" s="236">
        <f t="shared" si="450"/>
        <v>1</v>
      </c>
      <c r="AF263" s="236">
        <f t="shared" si="451"/>
        <v>0</v>
      </c>
      <c r="AG263" s="236">
        <v>1</v>
      </c>
      <c r="AH263" s="236">
        <v>0</v>
      </c>
      <c r="AI263" s="236">
        <f t="shared" si="427"/>
        <v>-100</v>
      </c>
      <c r="AJ263" s="210"/>
      <c r="AK263" s="254"/>
      <c r="AL263" s="254"/>
      <c r="AM263" s="255"/>
      <c r="AN263" s="255"/>
      <c r="AO263" s="255"/>
      <c r="AP263" s="255"/>
      <c r="AQ263" s="255"/>
      <c r="AR263" s="255"/>
      <c r="AS263" s="255"/>
      <c r="AT263" s="255"/>
      <c r="AU263" s="255"/>
      <c r="AV263" s="255"/>
      <c r="AW263" s="255"/>
      <c r="AX263" s="210"/>
      <c r="AY263" s="236" cm="1">
        <f t="array" ref="AY263">INDEX(Use, $AD263, 4)</f>
        <v>7</v>
      </c>
      <c r="AZ263" s="236">
        <f t="shared" si="428"/>
        <v>32</v>
      </c>
      <c r="BA263" s="236">
        <f t="shared" si="239"/>
        <v>13</v>
      </c>
      <c r="BB263" s="236">
        <f t="shared" si="240"/>
        <v>0</v>
      </c>
      <c r="BC263" s="252" cm="1">
        <f t="array" ref="BC263">K263/IF($L263&gt;0, INDEX($AO$23:$AU$77, $L263+20, $AD263), 1)</f>
        <v>0</v>
      </c>
      <c r="BD263" s="237">
        <f t="shared" si="429"/>
        <v>0</v>
      </c>
      <c r="BE263" s="236">
        <v>35</v>
      </c>
      <c r="BF263" s="237">
        <f t="shared" si="430"/>
        <v>52.55</v>
      </c>
      <c r="BG263" s="253">
        <f t="shared" si="431"/>
        <v>2.7676728869374316</v>
      </c>
      <c r="BH263" s="253" cm="1">
        <f t="array" ref="BH263">$BC263 * SUMPRODUCT(INDEX($AL$77:$AN$82,,$AE263),INDEX($AO$77:$AU$82,,$AD263), N($AK$77:$AK$82&gt;$AI263)) / BG263 / 1000</f>
        <v>0</v>
      </c>
      <c r="BI263" s="250">
        <f t="shared" si="244"/>
        <v>30</v>
      </c>
      <c r="BJ263" s="237">
        <f t="shared" si="432"/>
        <v>46.033333333333331</v>
      </c>
      <c r="BK263" s="253">
        <f t="shared" si="433"/>
        <v>3.2297395388556791</v>
      </c>
      <c r="BL263" s="253" cm="1">
        <f t="array" ref="BL263">$BC263 * IF($AD263&lt;=2,
SUMPRODUCT(INDEX($AL$72:$AN$76,,$AE263), INDEX($AO$72:$AU$76,,$AD263), 1 / ($AV$72:$AV$76*BK263 + (1-$AV$72:$AV$76)*BG263), N($AK$72:$AK$76&gt;$AI263)),
SUMPRODUCT(INDEX($AL$67:$AN$76,,$AE263), INDEX($AO$67:$AU$76,,$AD263), 1 / ($AW$67:$AW$76*BK263 + (1-$AW$67:$AW$76)*BG263), N($AK$67:$AK$76&gt;$AI263))
) / 1000</f>
        <v>0</v>
      </c>
      <c r="BM263" s="250">
        <f t="shared" si="247"/>
        <v>25</v>
      </c>
      <c r="BN263" s="237">
        <f t="shared" si="434"/>
        <v>39.516666666666666</v>
      </c>
      <c r="BO263" s="253">
        <f t="shared" si="435"/>
        <v>3.877011788826243</v>
      </c>
      <c r="BP263" s="253" cm="1">
        <f t="array" ref="BP263">$BC263 * IF($AD263&lt;=2,
SUMPRODUCT(INDEX($AL$67:$AN$71,,$AE263), INDEX($AO$67:$AU$71,,$AD263), 1 / ($AV$67:$AV$71*BO263 + (1-$AV$67:$AV$71)*BK263), N($AK$67:$AK$71&gt;$AI263)),
SUMPRODUCT(INDEX($AL$57:$AN$66,,$AE263), INDEX($AO$57:$AU$66,,$AD263), 1 / ($AW$57:$AW$66*BO263 + (1-$AW$57:$AW$66)*BK263), N($AK$57:$AK$66&gt;$AI263))
) / 1000</f>
        <v>0</v>
      </c>
      <c r="BQ263" s="250">
        <f t="shared" si="250"/>
        <v>20</v>
      </c>
      <c r="BR263" s="237">
        <f t="shared" si="436"/>
        <v>33</v>
      </c>
      <c r="BS263" s="253">
        <f t="shared" si="437"/>
        <v>4.8487499999999999</v>
      </c>
      <c r="BT263" s="253" cm="1">
        <f t="array" ref="BT263">$BC263 * IF($AD263&lt;=2,
SUMPRODUCT(INDEX($AL$62:$AN$66,,$AE263), INDEX($AO$62:$AU$66,,$AD263), 1 / ($AV$62:$AV$66*BS263 + (1-$AV$62:$AV$66)*BO263), N($AK$62:$AK$66&gt;$AI263)),
SUMPRODUCT(INDEX($AL$47:$AN$56,,$AE263), INDEX($AO$47:$AU$56,,$AD263), 1 / ($AW$47:$AW$56*BS263 + (1-$AW$47:$AW$56)*BO263), N($AK$47:$AK$56&gt;$AI263))
) / 1000</f>
        <v>0</v>
      </c>
      <c r="BU263" s="253" cm="1">
        <f t="array" ref="BU263">$BC263 * IF($AD263&lt;=2,
SUMPRODUCT(INDEX($AL$23:$AN$61,,$AE263), INDEX($AO$23:$AU$61,,$AD263), 1 / ($AV$23:$AV$61*BS263), N($AK$23:$AK$61&gt;$AI263)),
SUMPRODUCT(INDEX($AL$23:$AN$46,,$AE263), INDEX($AO$23:$AU$46,,$AD263), 1 / ($AW$23:$AW$46*BS263), N($AK$23:$AK$46&gt;$AI263))
) / 1000</f>
        <v>0</v>
      </c>
      <c r="BV263" s="237">
        <f t="shared" si="438"/>
        <v>0</v>
      </c>
      <c r="BW263" s="210"/>
      <c r="BX263" s="237">
        <f t="shared" si="439"/>
        <v>0</v>
      </c>
      <c r="BY263" s="236">
        <v>35</v>
      </c>
      <c r="BZ263" s="237">
        <f t="shared" si="440"/>
        <v>48</v>
      </c>
      <c r="CA263" s="253">
        <f t="shared" si="441"/>
        <v>3.0748170731707316</v>
      </c>
      <c r="CB263" s="253" cm="1">
        <f t="array" ref="CB263">$BC263 * SUMPRODUCT(INDEX($AL$77:$AN$82,,$AE263),INDEX($AO$77:$AU$82,,$AD263), N($AK$77:$AK$82&gt;$AI263)) / CA263 / 1000</f>
        <v>0</v>
      </c>
      <c r="CC263" s="250">
        <f t="shared" si="257"/>
        <v>30</v>
      </c>
      <c r="CD263" s="237">
        <f t="shared" si="442"/>
        <v>43</v>
      </c>
      <c r="CE263" s="253">
        <f t="shared" si="443"/>
        <v>3.5018750000000001</v>
      </c>
      <c r="CF263" s="253" cm="1">
        <f t="array" ref="CF263">$BC263 * IF($AD263&lt;=2,
SUMPRODUCT(INDEX($AL$72:$AN$76,,$AE263), INDEX($AO$72:$AU$76,,$AD263), 1 / ($AV$72:$AV$76*CE263 + (1-$AV$72:$AV$76)*CA263), N($AK$72:$AK$76&gt;$AI263)),
SUMPRODUCT(INDEX($AL$67:$AN$76,,$AE263), INDEX($AO$67:$AU$76,,$AD263), 1 / ($AW$67:$AW$76*CE263 + (1-$AW$67:$AW$76)*CA263), N($AK$67:$AK$76&gt;$AI263))
) / 1000</f>
        <v>0</v>
      </c>
      <c r="CG263" s="250">
        <f t="shared" si="260"/>
        <v>25</v>
      </c>
      <c r="CH263" s="237">
        <f t="shared" si="444"/>
        <v>38</v>
      </c>
      <c r="CI263" s="253">
        <f t="shared" si="445"/>
        <v>4.0666935483870965</v>
      </c>
      <c r="CJ263" s="253" cm="1">
        <f t="array" ref="CJ263">$BC263 * IF($AD263&lt;=2,
SUMPRODUCT(INDEX($AL$67:$AN$71,,$AE263), INDEX($AO$67:$AU$71,,$AD263), 1 / ($AV$67:$AV$71*CI263 + (1-$AV$67:$AV$71)*CE263), N($AK$67:$AK$71&gt;$AI263)),
SUMPRODUCT(INDEX($AL$57:$AN$66,,$AE263), INDEX($AO$57:$AU$66,,$AD263), 1 / ($AW$57:$AW$66*CI263 + (1-$AW$57:$AW$66)*CE263), N($AK$57:$AK$66&gt;$AI263))
) / 1000</f>
        <v>0</v>
      </c>
      <c r="CK263" s="250">
        <f t="shared" si="263"/>
        <v>20</v>
      </c>
      <c r="CL263" s="237">
        <f t="shared" si="446"/>
        <v>33</v>
      </c>
      <c r="CM263" s="253">
        <f t="shared" si="447"/>
        <v>4.8487499999999999</v>
      </c>
      <c r="CN263" s="253" cm="1">
        <f t="array" ref="CN263">$BC263 * IF($AD263&lt;=2,
SUMPRODUCT(INDEX($AL$62:$AN$66,,$AE263), INDEX($AO$62:$AU$66,,$AD263), 1 / ($AV$62:$AV$66*CM263 + (1-$AV$62:$AV$66)*CI263), N($AK$62:$AK$66&gt;$AI263)),
SUMPRODUCT(INDEX($AL$47:$AN$56,,$AE263), INDEX($AO$47:$AU$56,,$AD263), 1 / ($AW$47:$AW$56*CM263 + (1-$AW$47:$AW$56)*CI263), N($AK$47:$AK$56&gt;$AI263))
) / 1000</f>
        <v>0</v>
      </c>
      <c r="CO263" s="253" cm="1">
        <f t="array" ref="CO263">$BC263 * IF($AD263&lt;=2,
SUMPRODUCT(INDEX($AL$23:$AN$61,,$AE263), INDEX($AO$23:$AU$61,,$AD263), 1 / ($AV$23:$AV$61*CM263), N($AK$23:$AK$61&gt;$AI263)),
SUMPRODUCT(INDEX($AL$23:$AN$46,,$AE263), INDEX($AO$23:$AU$46,,$AD263), 1 / ($AW$23:$AW$46*CM263), N($AK$23:$AK$46&gt;$AI263))
) / 1000</f>
        <v>0</v>
      </c>
      <c r="CP263" s="237">
        <f t="shared" si="448"/>
        <v>0</v>
      </c>
      <c r="CQ263" s="210"/>
    </row>
    <row r="264" spans="1:95" s="76" customFormat="1" ht="14.25" customHeight="1" x14ac:dyDescent="0.2">
      <c r="A264" s="238" t="b">
        <f t="shared" si="227"/>
        <v>0</v>
      </c>
      <c r="B264" s="239">
        <v>242</v>
      </c>
      <c r="C264" s="258"/>
      <c r="D264" s="258"/>
      <c r="E264" s="240"/>
      <c r="F264" s="241" t="str">
        <f>IF(ISBLANK(E264), "", VLOOKUP(E264, Z!$A$2:$C$4127, 3, FALSE))</f>
        <v/>
      </c>
      <c r="G264" s="242"/>
      <c r="H264" s="242"/>
      <c r="I264" s="243"/>
      <c r="J264" s="244"/>
      <c r="K264" s="259"/>
      <c r="L264" s="260"/>
      <c r="M264" s="247" t="str" cm="1">
        <f t="array" ref="M264">IF($K264&gt;0, INDEX(Clean,1+AG264,$C$1), "")</f>
        <v/>
      </c>
      <c r="N264" s="245"/>
      <c r="O264" s="245"/>
      <c r="P264" s="246"/>
      <c r="Q264" s="248">
        <f t="shared" si="425"/>
        <v>0</v>
      </c>
      <c r="R264" s="247" t="str" cm="1">
        <f t="array" ref="R264">IF($K264&gt;0, INDEX(Clean,1+AH264,$C$1), "")</f>
        <v/>
      </c>
      <c r="S264" s="245"/>
      <c r="T264" s="245"/>
      <c r="U264" s="246"/>
      <c r="V264" s="248">
        <f t="shared" si="426"/>
        <v>0</v>
      </c>
      <c r="W264" s="261"/>
      <c r="X264" s="258"/>
      <c r="Y264" s="240"/>
      <c r="Z264" s="241" t="str">
        <f>IF(ISBLANK(Y264), "", VLOOKUP(Y264, Z!$A$2:$C$4127, 3, FALSE))</f>
        <v/>
      </c>
      <c r="AA264" s="262"/>
      <c r="AB264" s="249">
        <f t="shared" si="424"/>
        <v>0</v>
      </c>
      <c r="AC264" s="210"/>
      <c r="AD264" s="236">
        <f t="shared" si="449"/>
        <v>1</v>
      </c>
      <c r="AE264" s="236">
        <f t="shared" si="450"/>
        <v>1</v>
      </c>
      <c r="AF264" s="236">
        <f t="shared" si="451"/>
        <v>0</v>
      </c>
      <c r="AG264" s="236">
        <v>1</v>
      </c>
      <c r="AH264" s="236">
        <v>0</v>
      </c>
      <c r="AI264" s="236">
        <f t="shared" si="427"/>
        <v>-100</v>
      </c>
      <c r="AJ264" s="210"/>
      <c r="AK264" s="254"/>
      <c r="AL264" s="254"/>
      <c r="AM264" s="255"/>
      <c r="AN264" s="255"/>
      <c r="AO264" s="255"/>
      <c r="AP264" s="255"/>
      <c r="AQ264" s="255"/>
      <c r="AR264" s="255"/>
      <c r="AS264" s="255"/>
      <c r="AT264" s="255"/>
      <c r="AU264" s="255"/>
      <c r="AV264" s="255"/>
      <c r="AW264" s="255"/>
      <c r="AX264" s="210"/>
      <c r="AY264" s="236" cm="1">
        <f t="array" ref="AY264">INDEX(Use, $AD264, 4)</f>
        <v>7</v>
      </c>
      <c r="AZ264" s="236">
        <f t="shared" si="428"/>
        <v>32</v>
      </c>
      <c r="BA264" s="236">
        <f t="shared" si="239"/>
        <v>13</v>
      </c>
      <c r="BB264" s="236">
        <f t="shared" si="240"/>
        <v>0</v>
      </c>
      <c r="BC264" s="252" cm="1">
        <f t="array" ref="BC264">K264/IF($L264&gt;0, INDEX($AO$23:$AU$77, $L264+20, $AD264), 1)</f>
        <v>0</v>
      </c>
      <c r="BD264" s="237">
        <f t="shared" si="429"/>
        <v>0</v>
      </c>
      <c r="BE264" s="236">
        <v>35</v>
      </c>
      <c r="BF264" s="237">
        <f t="shared" si="430"/>
        <v>52.55</v>
      </c>
      <c r="BG264" s="253">
        <f t="shared" si="431"/>
        <v>2.7676728869374316</v>
      </c>
      <c r="BH264" s="253" cm="1">
        <f t="array" ref="BH264">$BC264 * SUMPRODUCT(INDEX($AL$77:$AN$82,,$AE264),INDEX($AO$77:$AU$82,,$AD264), N($AK$77:$AK$82&gt;$AI264)) / BG264 / 1000</f>
        <v>0</v>
      </c>
      <c r="BI264" s="250">
        <f t="shared" si="244"/>
        <v>30</v>
      </c>
      <c r="BJ264" s="237">
        <f t="shared" si="432"/>
        <v>46.033333333333331</v>
      </c>
      <c r="BK264" s="253">
        <f t="shared" si="433"/>
        <v>3.2297395388556791</v>
      </c>
      <c r="BL264" s="253" cm="1">
        <f t="array" ref="BL264">$BC264 * IF($AD264&lt;=2,
SUMPRODUCT(INDEX($AL$72:$AN$76,,$AE264), INDEX($AO$72:$AU$76,,$AD264), 1 / ($AV$72:$AV$76*BK264 + (1-$AV$72:$AV$76)*BG264), N($AK$72:$AK$76&gt;$AI264)),
SUMPRODUCT(INDEX($AL$67:$AN$76,,$AE264), INDEX($AO$67:$AU$76,,$AD264), 1 / ($AW$67:$AW$76*BK264 + (1-$AW$67:$AW$76)*BG264), N($AK$67:$AK$76&gt;$AI264))
) / 1000</f>
        <v>0</v>
      </c>
      <c r="BM264" s="250">
        <f t="shared" si="247"/>
        <v>25</v>
      </c>
      <c r="BN264" s="237">
        <f t="shared" si="434"/>
        <v>39.516666666666666</v>
      </c>
      <c r="BO264" s="253">
        <f t="shared" si="435"/>
        <v>3.877011788826243</v>
      </c>
      <c r="BP264" s="253" cm="1">
        <f t="array" ref="BP264">$BC264 * IF($AD264&lt;=2,
SUMPRODUCT(INDEX($AL$67:$AN$71,,$AE264), INDEX($AO$67:$AU$71,,$AD264), 1 / ($AV$67:$AV$71*BO264 + (1-$AV$67:$AV$71)*BK264), N($AK$67:$AK$71&gt;$AI264)),
SUMPRODUCT(INDEX($AL$57:$AN$66,,$AE264), INDEX($AO$57:$AU$66,,$AD264), 1 / ($AW$57:$AW$66*BO264 + (1-$AW$57:$AW$66)*BK264), N($AK$57:$AK$66&gt;$AI264))
) / 1000</f>
        <v>0</v>
      </c>
      <c r="BQ264" s="250">
        <f t="shared" si="250"/>
        <v>20</v>
      </c>
      <c r="BR264" s="237">
        <f t="shared" si="436"/>
        <v>33</v>
      </c>
      <c r="BS264" s="253">
        <f t="shared" si="437"/>
        <v>4.8487499999999999</v>
      </c>
      <c r="BT264" s="253" cm="1">
        <f t="array" ref="BT264">$BC264 * IF($AD264&lt;=2,
SUMPRODUCT(INDEX($AL$62:$AN$66,,$AE264), INDEX($AO$62:$AU$66,,$AD264), 1 / ($AV$62:$AV$66*BS264 + (1-$AV$62:$AV$66)*BO264), N($AK$62:$AK$66&gt;$AI264)),
SUMPRODUCT(INDEX($AL$47:$AN$56,,$AE264), INDEX($AO$47:$AU$56,,$AD264), 1 / ($AW$47:$AW$56*BS264 + (1-$AW$47:$AW$56)*BO264), N($AK$47:$AK$56&gt;$AI264))
) / 1000</f>
        <v>0</v>
      </c>
      <c r="BU264" s="253" cm="1">
        <f t="array" ref="BU264">$BC264 * IF($AD264&lt;=2,
SUMPRODUCT(INDEX($AL$23:$AN$61,,$AE264), INDEX($AO$23:$AU$61,,$AD264), 1 / ($AV$23:$AV$61*BS264), N($AK$23:$AK$61&gt;$AI264)),
SUMPRODUCT(INDEX($AL$23:$AN$46,,$AE264), INDEX($AO$23:$AU$46,,$AD264), 1 / ($AW$23:$AW$46*BS264), N($AK$23:$AK$46&gt;$AI264))
) / 1000</f>
        <v>0</v>
      </c>
      <c r="BV264" s="237">
        <f t="shared" si="438"/>
        <v>0</v>
      </c>
      <c r="BW264" s="210"/>
      <c r="BX264" s="237">
        <f t="shared" si="439"/>
        <v>0</v>
      </c>
      <c r="BY264" s="236">
        <v>35</v>
      </c>
      <c r="BZ264" s="237">
        <f t="shared" si="440"/>
        <v>48</v>
      </c>
      <c r="CA264" s="253">
        <f t="shared" si="441"/>
        <v>3.0748170731707316</v>
      </c>
      <c r="CB264" s="253" cm="1">
        <f t="array" ref="CB264">$BC264 * SUMPRODUCT(INDEX($AL$77:$AN$82,,$AE264),INDEX($AO$77:$AU$82,,$AD264), N($AK$77:$AK$82&gt;$AI264)) / CA264 / 1000</f>
        <v>0</v>
      </c>
      <c r="CC264" s="250">
        <f t="shared" si="257"/>
        <v>30</v>
      </c>
      <c r="CD264" s="237">
        <f t="shared" si="442"/>
        <v>43</v>
      </c>
      <c r="CE264" s="253">
        <f t="shared" si="443"/>
        <v>3.5018750000000001</v>
      </c>
      <c r="CF264" s="253" cm="1">
        <f t="array" ref="CF264">$BC264 * IF($AD264&lt;=2,
SUMPRODUCT(INDEX($AL$72:$AN$76,,$AE264), INDEX($AO$72:$AU$76,,$AD264), 1 / ($AV$72:$AV$76*CE264 + (1-$AV$72:$AV$76)*CA264), N($AK$72:$AK$76&gt;$AI264)),
SUMPRODUCT(INDEX($AL$67:$AN$76,,$AE264), INDEX($AO$67:$AU$76,,$AD264), 1 / ($AW$67:$AW$76*CE264 + (1-$AW$67:$AW$76)*CA264), N($AK$67:$AK$76&gt;$AI264))
) / 1000</f>
        <v>0</v>
      </c>
      <c r="CG264" s="250">
        <f t="shared" si="260"/>
        <v>25</v>
      </c>
      <c r="CH264" s="237">
        <f t="shared" si="444"/>
        <v>38</v>
      </c>
      <c r="CI264" s="253">
        <f t="shared" si="445"/>
        <v>4.0666935483870965</v>
      </c>
      <c r="CJ264" s="253" cm="1">
        <f t="array" ref="CJ264">$BC264 * IF($AD264&lt;=2,
SUMPRODUCT(INDEX($AL$67:$AN$71,,$AE264), INDEX($AO$67:$AU$71,,$AD264), 1 / ($AV$67:$AV$71*CI264 + (1-$AV$67:$AV$71)*CE264), N($AK$67:$AK$71&gt;$AI264)),
SUMPRODUCT(INDEX($AL$57:$AN$66,,$AE264), INDEX($AO$57:$AU$66,,$AD264), 1 / ($AW$57:$AW$66*CI264 + (1-$AW$57:$AW$66)*CE264), N($AK$57:$AK$66&gt;$AI264))
) / 1000</f>
        <v>0</v>
      </c>
      <c r="CK264" s="250">
        <f t="shared" si="263"/>
        <v>20</v>
      </c>
      <c r="CL264" s="237">
        <f t="shared" si="446"/>
        <v>33</v>
      </c>
      <c r="CM264" s="253">
        <f t="shared" si="447"/>
        <v>4.8487499999999999</v>
      </c>
      <c r="CN264" s="253" cm="1">
        <f t="array" ref="CN264">$BC264 * IF($AD264&lt;=2,
SUMPRODUCT(INDEX($AL$62:$AN$66,,$AE264), INDEX($AO$62:$AU$66,,$AD264), 1 / ($AV$62:$AV$66*CM264 + (1-$AV$62:$AV$66)*CI264), N($AK$62:$AK$66&gt;$AI264)),
SUMPRODUCT(INDEX($AL$47:$AN$56,,$AE264), INDEX($AO$47:$AU$56,,$AD264), 1 / ($AW$47:$AW$56*CM264 + (1-$AW$47:$AW$56)*CI264), N($AK$47:$AK$56&gt;$AI264))
) / 1000</f>
        <v>0</v>
      </c>
      <c r="CO264" s="253" cm="1">
        <f t="array" ref="CO264">$BC264 * IF($AD264&lt;=2,
SUMPRODUCT(INDEX($AL$23:$AN$61,,$AE264), INDEX($AO$23:$AU$61,,$AD264), 1 / ($AV$23:$AV$61*CM264), N($AK$23:$AK$61&gt;$AI264)),
SUMPRODUCT(INDEX($AL$23:$AN$46,,$AE264), INDEX($AO$23:$AU$46,,$AD264), 1 / ($AW$23:$AW$46*CM264), N($AK$23:$AK$46&gt;$AI264))
) / 1000</f>
        <v>0</v>
      </c>
      <c r="CP264" s="237">
        <f t="shared" si="448"/>
        <v>0</v>
      </c>
      <c r="CQ264" s="210"/>
    </row>
    <row r="265" spans="1:95" s="76" customFormat="1" ht="14.25" customHeight="1" x14ac:dyDescent="0.2">
      <c r="A265" s="238" t="b">
        <f t="shared" si="227"/>
        <v>0</v>
      </c>
      <c r="B265" s="239">
        <v>243</v>
      </c>
      <c r="C265" s="258"/>
      <c r="D265" s="258"/>
      <c r="E265" s="240"/>
      <c r="F265" s="241" t="str">
        <f>IF(ISBLANK(E265), "", VLOOKUP(E265, Z!$A$2:$C$4127, 3, FALSE))</f>
        <v/>
      </c>
      <c r="G265" s="242"/>
      <c r="H265" s="242"/>
      <c r="I265" s="243"/>
      <c r="J265" s="244"/>
      <c r="K265" s="259"/>
      <c r="L265" s="260"/>
      <c r="M265" s="247" t="str" cm="1">
        <f t="array" ref="M265">IF($K265&gt;0, INDEX(Clean,1+AG265,$C$1), "")</f>
        <v/>
      </c>
      <c r="N265" s="245"/>
      <c r="O265" s="245"/>
      <c r="P265" s="246"/>
      <c r="Q265" s="248">
        <f t="shared" si="425"/>
        <v>0</v>
      </c>
      <c r="R265" s="247" t="str" cm="1">
        <f t="array" ref="R265">IF($K265&gt;0, INDEX(Clean,1+AH265,$C$1), "")</f>
        <v/>
      </c>
      <c r="S265" s="245"/>
      <c r="T265" s="245"/>
      <c r="U265" s="246"/>
      <c r="V265" s="248">
        <f t="shared" si="426"/>
        <v>0</v>
      </c>
      <c r="W265" s="261"/>
      <c r="X265" s="258"/>
      <c r="Y265" s="240"/>
      <c r="Z265" s="241" t="str">
        <f>IF(ISBLANK(Y265), "", VLOOKUP(Y265, Z!$A$2:$C$4127, 3, FALSE))</f>
        <v/>
      </c>
      <c r="AA265" s="262"/>
      <c r="AB265" s="249">
        <f t="shared" si="424"/>
        <v>0</v>
      </c>
      <c r="AC265" s="210"/>
      <c r="AD265" s="236">
        <f t="shared" si="449"/>
        <v>1</v>
      </c>
      <c r="AE265" s="236">
        <f t="shared" si="450"/>
        <v>1</v>
      </c>
      <c r="AF265" s="236">
        <f t="shared" si="451"/>
        <v>0</v>
      </c>
      <c r="AG265" s="236">
        <v>1</v>
      </c>
      <c r="AH265" s="236">
        <v>0</v>
      </c>
      <c r="AI265" s="236">
        <f t="shared" si="427"/>
        <v>-100</v>
      </c>
      <c r="AJ265" s="210"/>
      <c r="AK265" s="254"/>
      <c r="AL265" s="254"/>
      <c r="AM265" s="255"/>
      <c r="AN265" s="255"/>
      <c r="AO265" s="255"/>
      <c r="AP265" s="255"/>
      <c r="AQ265" s="255"/>
      <c r="AR265" s="255"/>
      <c r="AS265" s="255"/>
      <c r="AT265" s="255"/>
      <c r="AU265" s="255"/>
      <c r="AV265" s="255"/>
      <c r="AW265" s="255"/>
      <c r="AX265" s="210"/>
      <c r="AY265" s="236" cm="1">
        <f t="array" ref="AY265">INDEX(Use, $AD265, 4)</f>
        <v>7</v>
      </c>
      <c r="AZ265" s="236">
        <f t="shared" si="428"/>
        <v>32</v>
      </c>
      <c r="BA265" s="236">
        <f t="shared" si="239"/>
        <v>13</v>
      </c>
      <c r="BB265" s="236">
        <f t="shared" si="240"/>
        <v>0</v>
      </c>
      <c r="BC265" s="252" cm="1">
        <f t="array" ref="BC265">K265/IF($L265&gt;0, INDEX($AO$23:$AU$77, $L265+20, $AD265), 1)</f>
        <v>0</v>
      </c>
      <c r="BD265" s="237">
        <f t="shared" si="429"/>
        <v>0</v>
      </c>
      <c r="BE265" s="236">
        <v>35</v>
      </c>
      <c r="BF265" s="237">
        <f t="shared" si="430"/>
        <v>52.55</v>
      </c>
      <c r="BG265" s="253">
        <f t="shared" si="431"/>
        <v>2.7676728869374316</v>
      </c>
      <c r="BH265" s="253" cm="1">
        <f t="array" ref="BH265">$BC265 * SUMPRODUCT(INDEX($AL$77:$AN$82,,$AE265),INDEX($AO$77:$AU$82,,$AD265), N($AK$77:$AK$82&gt;$AI265)) / BG265 / 1000</f>
        <v>0</v>
      </c>
      <c r="BI265" s="250">
        <f t="shared" si="244"/>
        <v>30</v>
      </c>
      <c r="BJ265" s="237">
        <f t="shared" si="432"/>
        <v>46.033333333333331</v>
      </c>
      <c r="BK265" s="253">
        <f t="shared" si="433"/>
        <v>3.2297395388556791</v>
      </c>
      <c r="BL265" s="253" cm="1">
        <f t="array" ref="BL265">$BC265 * IF($AD265&lt;=2,
SUMPRODUCT(INDEX($AL$72:$AN$76,,$AE265), INDEX($AO$72:$AU$76,,$AD265), 1 / ($AV$72:$AV$76*BK265 + (1-$AV$72:$AV$76)*BG265), N($AK$72:$AK$76&gt;$AI265)),
SUMPRODUCT(INDEX($AL$67:$AN$76,,$AE265), INDEX($AO$67:$AU$76,,$AD265), 1 / ($AW$67:$AW$76*BK265 + (1-$AW$67:$AW$76)*BG265), N($AK$67:$AK$76&gt;$AI265))
) / 1000</f>
        <v>0</v>
      </c>
      <c r="BM265" s="250">
        <f t="shared" si="247"/>
        <v>25</v>
      </c>
      <c r="BN265" s="237">
        <f t="shared" si="434"/>
        <v>39.516666666666666</v>
      </c>
      <c r="BO265" s="253">
        <f t="shared" si="435"/>
        <v>3.877011788826243</v>
      </c>
      <c r="BP265" s="253" cm="1">
        <f t="array" ref="BP265">$BC265 * IF($AD265&lt;=2,
SUMPRODUCT(INDEX($AL$67:$AN$71,,$AE265), INDEX($AO$67:$AU$71,,$AD265), 1 / ($AV$67:$AV$71*BO265 + (1-$AV$67:$AV$71)*BK265), N($AK$67:$AK$71&gt;$AI265)),
SUMPRODUCT(INDEX($AL$57:$AN$66,,$AE265), INDEX($AO$57:$AU$66,,$AD265), 1 / ($AW$57:$AW$66*BO265 + (1-$AW$57:$AW$66)*BK265), N($AK$57:$AK$66&gt;$AI265))
) / 1000</f>
        <v>0</v>
      </c>
      <c r="BQ265" s="250">
        <f t="shared" si="250"/>
        <v>20</v>
      </c>
      <c r="BR265" s="237">
        <f t="shared" si="436"/>
        <v>33</v>
      </c>
      <c r="BS265" s="253">
        <f t="shared" si="437"/>
        <v>4.8487499999999999</v>
      </c>
      <c r="BT265" s="253" cm="1">
        <f t="array" ref="BT265">$BC265 * IF($AD265&lt;=2,
SUMPRODUCT(INDEX($AL$62:$AN$66,,$AE265), INDEX($AO$62:$AU$66,,$AD265), 1 / ($AV$62:$AV$66*BS265 + (1-$AV$62:$AV$66)*BO265), N($AK$62:$AK$66&gt;$AI265)),
SUMPRODUCT(INDEX($AL$47:$AN$56,,$AE265), INDEX($AO$47:$AU$56,,$AD265), 1 / ($AW$47:$AW$56*BS265 + (1-$AW$47:$AW$56)*BO265), N($AK$47:$AK$56&gt;$AI265))
) / 1000</f>
        <v>0</v>
      </c>
      <c r="BU265" s="253" cm="1">
        <f t="array" ref="BU265">$BC265 * IF($AD265&lt;=2,
SUMPRODUCT(INDEX($AL$23:$AN$61,,$AE265), INDEX($AO$23:$AU$61,,$AD265), 1 / ($AV$23:$AV$61*BS265), N($AK$23:$AK$61&gt;$AI265)),
SUMPRODUCT(INDEX($AL$23:$AN$46,,$AE265), INDEX($AO$23:$AU$46,,$AD265), 1 / ($AW$23:$AW$46*BS265), N($AK$23:$AK$46&gt;$AI265))
) / 1000</f>
        <v>0</v>
      </c>
      <c r="BV265" s="237">
        <f t="shared" si="438"/>
        <v>0</v>
      </c>
      <c r="BW265" s="210"/>
      <c r="BX265" s="237">
        <f t="shared" si="439"/>
        <v>0</v>
      </c>
      <c r="BY265" s="236">
        <v>35</v>
      </c>
      <c r="BZ265" s="237">
        <f t="shared" si="440"/>
        <v>48</v>
      </c>
      <c r="CA265" s="253">
        <f t="shared" si="441"/>
        <v>3.0748170731707316</v>
      </c>
      <c r="CB265" s="253" cm="1">
        <f t="array" ref="CB265">$BC265 * SUMPRODUCT(INDEX($AL$77:$AN$82,,$AE265),INDEX($AO$77:$AU$82,,$AD265), N($AK$77:$AK$82&gt;$AI265)) / CA265 / 1000</f>
        <v>0</v>
      </c>
      <c r="CC265" s="250">
        <f t="shared" si="257"/>
        <v>30</v>
      </c>
      <c r="CD265" s="237">
        <f t="shared" si="442"/>
        <v>43</v>
      </c>
      <c r="CE265" s="253">
        <f t="shared" si="443"/>
        <v>3.5018750000000001</v>
      </c>
      <c r="CF265" s="253" cm="1">
        <f t="array" ref="CF265">$BC265 * IF($AD265&lt;=2,
SUMPRODUCT(INDEX($AL$72:$AN$76,,$AE265), INDEX($AO$72:$AU$76,,$AD265), 1 / ($AV$72:$AV$76*CE265 + (1-$AV$72:$AV$76)*CA265), N($AK$72:$AK$76&gt;$AI265)),
SUMPRODUCT(INDEX($AL$67:$AN$76,,$AE265), INDEX($AO$67:$AU$76,,$AD265), 1 / ($AW$67:$AW$76*CE265 + (1-$AW$67:$AW$76)*CA265), N($AK$67:$AK$76&gt;$AI265))
) / 1000</f>
        <v>0</v>
      </c>
      <c r="CG265" s="250">
        <f t="shared" si="260"/>
        <v>25</v>
      </c>
      <c r="CH265" s="237">
        <f t="shared" si="444"/>
        <v>38</v>
      </c>
      <c r="CI265" s="253">
        <f t="shared" si="445"/>
        <v>4.0666935483870965</v>
      </c>
      <c r="CJ265" s="253" cm="1">
        <f t="array" ref="CJ265">$BC265 * IF($AD265&lt;=2,
SUMPRODUCT(INDEX($AL$67:$AN$71,,$AE265), INDEX($AO$67:$AU$71,,$AD265), 1 / ($AV$67:$AV$71*CI265 + (1-$AV$67:$AV$71)*CE265), N($AK$67:$AK$71&gt;$AI265)),
SUMPRODUCT(INDEX($AL$57:$AN$66,,$AE265), INDEX($AO$57:$AU$66,,$AD265), 1 / ($AW$57:$AW$66*CI265 + (1-$AW$57:$AW$66)*CE265), N($AK$57:$AK$66&gt;$AI265))
) / 1000</f>
        <v>0</v>
      </c>
      <c r="CK265" s="250">
        <f t="shared" si="263"/>
        <v>20</v>
      </c>
      <c r="CL265" s="237">
        <f t="shared" si="446"/>
        <v>33</v>
      </c>
      <c r="CM265" s="253">
        <f t="shared" si="447"/>
        <v>4.8487499999999999</v>
      </c>
      <c r="CN265" s="253" cm="1">
        <f t="array" ref="CN265">$BC265 * IF($AD265&lt;=2,
SUMPRODUCT(INDEX($AL$62:$AN$66,,$AE265), INDEX($AO$62:$AU$66,,$AD265), 1 / ($AV$62:$AV$66*CM265 + (1-$AV$62:$AV$66)*CI265), N($AK$62:$AK$66&gt;$AI265)),
SUMPRODUCT(INDEX($AL$47:$AN$56,,$AE265), INDEX($AO$47:$AU$56,,$AD265), 1 / ($AW$47:$AW$56*CM265 + (1-$AW$47:$AW$56)*CI265), N($AK$47:$AK$56&gt;$AI265))
) / 1000</f>
        <v>0</v>
      </c>
      <c r="CO265" s="253" cm="1">
        <f t="array" ref="CO265">$BC265 * IF($AD265&lt;=2,
SUMPRODUCT(INDEX($AL$23:$AN$61,,$AE265), INDEX($AO$23:$AU$61,,$AD265), 1 / ($AV$23:$AV$61*CM265), N($AK$23:$AK$61&gt;$AI265)),
SUMPRODUCT(INDEX($AL$23:$AN$46,,$AE265), INDEX($AO$23:$AU$46,,$AD265), 1 / ($AW$23:$AW$46*CM265), N($AK$23:$AK$46&gt;$AI265))
) / 1000</f>
        <v>0</v>
      </c>
      <c r="CP265" s="237">
        <f t="shared" si="448"/>
        <v>0</v>
      </c>
      <c r="CQ265" s="210"/>
    </row>
    <row r="266" spans="1:95" s="76" customFormat="1" ht="14.25" customHeight="1" x14ac:dyDescent="0.2">
      <c r="A266" s="238" t="b">
        <f t="shared" si="227"/>
        <v>0</v>
      </c>
      <c r="B266" s="239">
        <v>244</v>
      </c>
      <c r="C266" s="258"/>
      <c r="D266" s="258"/>
      <c r="E266" s="240"/>
      <c r="F266" s="241" t="str">
        <f>IF(ISBLANK(E266), "", VLOOKUP(E266, Z!$A$2:$C$4127, 3, FALSE))</f>
        <v/>
      </c>
      <c r="G266" s="242"/>
      <c r="H266" s="242"/>
      <c r="I266" s="243"/>
      <c r="J266" s="244"/>
      <c r="K266" s="259"/>
      <c r="L266" s="260"/>
      <c r="M266" s="247" t="str" cm="1">
        <f t="array" ref="M266">IF($K266&gt;0, INDEX(Clean,1+AG266,$C$1), "")</f>
        <v/>
      </c>
      <c r="N266" s="245"/>
      <c r="O266" s="245"/>
      <c r="P266" s="246"/>
      <c r="Q266" s="248">
        <f t="shared" si="425"/>
        <v>0</v>
      </c>
      <c r="R266" s="247" t="str" cm="1">
        <f t="array" ref="R266">IF($K266&gt;0, INDEX(Clean,1+AH266,$C$1), "")</f>
        <v/>
      </c>
      <c r="S266" s="245"/>
      <c r="T266" s="245"/>
      <c r="U266" s="246"/>
      <c r="V266" s="248">
        <f t="shared" si="426"/>
        <v>0</v>
      </c>
      <c r="W266" s="261"/>
      <c r="X266" s="258"/>
      <c r="Y266" s="240"/>
      <c r="Z266" s="241" t="str">
        <f>IF(ISBLANK(Y266), "", VLOOKUP(Y266, Z!$A$2:$C$4127, 3, FALSE))</f>
        <v/>
      </c>
      <c r="AA266" s="262"/>
      <c r="AB266" s="249">
        <f t="shared" si="424"/>
        <v>0</v>
      </c>
      <c r="AC266" s="210"/>
      <c r="AD266" s="236">
        <f t="shared" si="449"/>
        <v>1</v>
      </c>
      <c r="AE266" s="236">
        <f t="shared" si="450"/>
        <v>1</v>
      </c>
      <c r="AF266" s="236">
        <f t="shared" si="451"/>
        <v>0</v>
      </c>
      <c r="AG266" s="236">
        <v>1</v>
      </c>
      <c r="AH266" s="236">
        <v>0</v>
      </c>
      <c r="AI266" s="236">
        <f t="shared" si="427"/>
        <v>-100</v>
      </c>
      <c r="AJ266" s="210"/>
      <c r="AK266" s="254"/>
      <c r="AL266" s="254"/>
      <c r="AM266" s="255"/>
      <c r="AN266" s="255"/>
      <c r="AO266" s="255"/>
      <c r="AP266" s="255"/>
      <c r="AQ266" s="255"/>
      <c r="AR266" s="255"/>
      <c r="AS266" s="255"/>
      <c r="AT266" s="255"/>
      <c r="AU266" s="255"/>
      <c r="AV266" s="255"/>
      <c r="AW266" s="255"/>
      <c r="AX266" s="210"/>
      <c r="AY266" s="236" cm="1">
        <f t="array" ref="AY266">INDEX(Use, $AD266, 4)</f>
        <v>7</v>
      </c>
      <c r="AZ266" s="236">
        <f t="shared" si="428"/>
        <v>32</v>
      </c>
      <c r="BA266" s="236">
        <f t="shared" si="239"/>
        <v>13</v>
      </c>
      <c r="BB266" s="236">
        <f t="shared" si="240"/>
        <v>0</v>
      </c>
      <c r="BC266" s="252" cm="1">
        <f t="array" ref="BC266">K266/IF($L266&gt;0, INDEX($AO$23:$AU$77, $L266+20, $AD266), 1)</f>
        <v>0</v>
      </c>
      <c r="BD266" s="237">
        <f t="shared" si="429"/>
        <v>0</v>
      </c>
      <c r="BE266" s="236">
        <v>35</v>
      </c>
      <c r="BF266" s="237">
        <f t="shared" si="430"/>
        <v>52.55</v>
      </c>
      <c r="BG266" s="253">
        <f t="shared" si="431"/>
        <v>2.7676728869374316</v>
      </c>
      <c r="BH266" s="253" cm="1">
        <f t="array" ref="BH266">$BC266 * SUMPRODUCT(INDEX($AL$77:$AN$82,,$AE266),INDEX($AO$77:$AU$82,,$AD266), N($AK$77:$AK$82&gt;$AI266)) / BG266 / 1000</f>
        <v>0</v>
      </c>
      <c r="BI266" s="250">
        <f t="shared" si="244"/>
        <v>30</v>
      </c>
      <c r="BJ266" s="237">
        <f t="shared" si="432"/>
        <v>46.033333333333331</v>
      </c>
      <c r="BK266" s="253">
        <f t="shared" si="433"/>
        <v>3.2297395388556791</v>
      </c>
      <c r="BL266" s="253" cm="1">
        <f t="array" ref="BL266">$BC266 * IF($AD266&lt;=2,
SUMPRODUCT(INDEX($AL$72:$AN$76,,$AE266), INDEX($AO$72:$AU$76,,$AD266), 1 / ($AV$72:$AV$76*BK266 + (1-$AV$72:$AV$76)*BG266), N($AK$72:$AK$76&gt;$AI266)),
SUMPRODUCT(INDEX($AL$67:$AN$76,,$AE266), INDEX($AO$67:$AU$76,,$AD266), 1 / ($AW$67:$AW$76*BK266 + (1-$AW$67:$AW$76)*BG266), N($AK$67:$AK$76&gt;$AI266))
) / 1000</f>
        <v>0</v>
      </c>
      <c r="BM266" s="250">
        <f t="shared" si="247"/>
        <v>25</v>
      </c>
      <c r="BN266" s="237">
        <f t="shared" si="434"/>
        <v>39.516666666666666</v>
      </c>
      <c r="BO266" s="253">
        <f t="shared" si="435"/>
        <v>3.877011788826243</v>
      </c>
      <c r="BP266" s="253" cm="1">
        <f t="array" ref="BP266">$BC266 * IF($AD266&lt;=2,
SUMPRODUCT(INDEX($AL$67:$AN$71,,$AE266), INDEX($AO$67:$AU$71,,$AD266), 1 / ($AV$67:$AV$71*BO266 + (1-$AV$67:$AV$71)*BK266), N($AK$67:$AK$71&gt;$AI266)),
SUMPRODUCT(INDEX($AL$57:$AN$66,,$AE266), INDEX($AO$57:$AU$66,,$AD266), 1 / ($AW$57:$AW$66*BO266 + (1-$AW$57:$AW$66)*BK266), N($AK$57:$AK$66&gt;$AI266))
) / 1000</f>
        <v>0</v>
      </c>
      <c r="BQ266" s="250">
        <f t="shared" si="250"/>
        <v>20</v>
      </c>
      <c r="BR266" s="237">
        <f t="shared" si="436"/>
        <v>33</v>
      </c>
      <c r="BS266" s="253">
        <f t="shared" si="437"/>
        <v>4.8487499999999999</v>
      </c>
      <c r="BT266" s="253" cm="1">
        <f t="array" ref="BT266">$BC266 * IF($AD266&lt;=2,
SUMPRODUCT(INDEX($AL$62:$AN$66,,$AE266), INDEX($AO$62:$AU$66,,$AD266), 1 / ($AV$62:$AV$66*BS266 + (1-$AV$62:$AV$66)*BO266), N($AK$62:$AK$66&gt;$AI266)),
SUMPRODUCT(INDEX($AL$47:$AN$56,,$AE266), INDEX($AO$47:$AU$56,,$AD266), 1 / ($AW$47:$AW$56*BS266 + (1-$AW$47:$AW$56)*BO266), N($AK$47:$AK$56&gt;$AI266))
) / 1000</f>
        <v>0</v>
      </c>
      <c r="BU266" s="253" cm="1">
        <f t="array" ref="BU266">$BC266 * IF($AD266&lt;=2,
SUMPRODUCT(INDEX($AL$23:$AN$61,,$AE266), INDEX($AO$23:$AU$61,,$AD266), 1 / ($AV$23:$AV$61*BS266), N($AK$23:$AK$61&gt;$AI266)),
SUMPRODUCT(INDEX($AL$23:$AN$46,,$AE266), INDEX($AO$23:$AU$46,,$AD266), 1 / ($AW$23:$AW$46*BS266), N($AK$23:$AK$46&gt;$AI266))
) / 1000</f>
        <v>0</v>
      </c>
      <c r="BV266" s="237">
        <f t="shared" si="438"/>
        <v>0</v>
      </c>
      <c r="BW266" s="210"/>
      <c r="BX266" s="237">
        <f t="shared" si="439"/>
        <v>0</v>
      </c>
      <c r="BY266" s="236">
        <v>35</v>
      </c>
      <c r="BZ266" s="237">
        <f t="shared" si="440"/>
        <v>48</v>
      </c>
      <c r="CA266" s="253">
        <f t="shared" si="441"/>
        <v>3.0748170731707316</v>
      </c>
      <c r="CB266" s="253" cm="1">
        <f t="array" ref="CB266">$BC266 * SUMPRODUCT(INDEX($AL$77:$AN$82,,$AE266),INDEX($AO$77:$AU$82,,$AD266), N($AK$77:$AK$82&gt;$AI266)) / CA266 / 1000</f>
        <v>0</v>
      </c>
      <c r="CC266" s="250">
        <f t="shared" si="257"/>
        <v>30</v>
      </c>
      <c r="CD266" s="237">
        <f t="shared" si="442"/>
        <v>43</v>
      </c>
      <c r="CE266" s="253">
        <f t="shared" si="443"/>
        <v>3.5018750000000001</v>
      </c>
      <c r="CF266" s="253" cm="1">
        <f t="array" ref="CF266">$BC266 * IF($AD266&lt;=2,
SUMPRODUCT(INDEX($AL$72:$AN$76,,$AE266), INDEX($AO$72:$AU$76,,$AD266), 1 / ($AV$72:$AV$76*CE266 + (1-$AV$72:$AV$76)*CA266), N($AK$72:$AK$76&gt;$AI266)),
SUMPRODUCT(INDEX($AL$67:$AN$76,,$AE266), INDEX($AO$67:$AU$76,,$AD266), 1 / ($AW$67:$AW$76*CE266 + (1-$AW$67:$AW$76)*CA266), N($AK$67:$AK$76&gt;$AI266))
) / 1000</f>
        <v>0</v>
      </c>
      <c r="CG266" s="250">
        <f t="shared" si="260"/>
        <v>25</v>
      </c>
      <c r="CH266" s="237">
        <f t="shared" si="444"/>
        <v>38</v>
      </c>
      <c r="CI266" s="253">
        <f t="shared" si="445"/>
        <v>4.0666935483870965</v>
      </c>
      <c r="CJ266" s="253" cm="1">
        <f t="array" ref="CJ266">$BC266 * IF($AD266&lt;=2,
SUMPRODUCT(INDEX($AL$67:$AN$71,,$AE266), INDEX($AO$67:$AU$71,,$AD266), 1 / ($AV$67:$AV$71*CI266 + (1-$AV$67:$AV$71)*CE266), N($AK$67:$AK$71&gt;$AI266)),
SUMPRODUCT(INDEX($AL$57:$AN$66,,$AE266), INDEX($AO$57:$AU$66,,$AD266), 1 / ($AW$57:$AW$66*CI266 + (1-$AW$57:$AW$66)*CE266), N($AK$57:$AK$66&gt;$AI266))
) / 1000</f>
        <v>0</v>
      </c>
      <c r="CK266" s="250">
        <f t="shared" si="263"/>
        <v>20</v>
      </c>
      <c r="CL266" s="237">
        <f t="shared" si="446"/>
        <v>33</v>
      </c>
      <c r="CM266" s="253">
        <f t="shared" si="447"/>
        <v>4.8487499999999999</v>
      </c>
      <c r="CN266" s="253" cm="1">
        <f t="array" ref="CN266">$BC266 * IF($AD266&lt;=2,
SUMPRODUCT(INDEX($AL$62:$AN$66,,$AE266), INDEX($AO$62:$AU$66,,$AD266), 1 / ($AV$62:$AV$66*CM266 + (1-$AV$62:$AV$66)*CI266), N($AK$62:$AK$66&gt;$AI266)),
SUMPRODUCT(INDEX($AL$47:$AN$56,,$AE266), INDEX($AO$47:$AU$56,,$AD266), 1 / ($AW$47:$AW$56*CM266 + (1-$AW$47:$AW$56)*CI266), N($AK$47:$AK$56&gt;$AI266))
) / 1000</f>
        <v>0</v>
      </c>
      <c r="CO266" s="253" cm="1">
        <f t="array" ref="CO266">$BC266 * IF($AD266&lt;=2,
SUMPRODUCT(INDEX($AL$23:$AN$61,,$AE266), INDEX($AO$23:$AU$61,,$AD266), 1 / ($AV$23:$AV$61*CM266), N($AK$23:$AK$61&gt;$AI266)),
SUMPRODUCT(INDEX($AL$23:$AN$46,,$AE266), INDEX($AO$23:$AU$46,,$AD266), 1 / ($AW$23:$AW$46*CM266), N($AK$23:$AK$46&gt;$AI266))
) / 1000</f>
        <v>0</v>
      </c>
      <c r="CP266" s="237">
        <f t="shared" si="448"/>
        <v>0</v>
      </c>
      <c r="CQ266" s="210"/>
    </row>
    <row r="267" spans="1:95" s="76" customFormat="1" ht="14.25" customHeight="1" x14ac:dyDescent="0.2">
      <c r="A267" s="238" t="b">
        <f t="shared" si="227"/>
        <v>0</v>
      </c>
      <c r="B267" s="239">
        <v>245</v>
      </c>
      <c r="C267" s="258"/>
      <c r="D267" s="258"/>
      <c r="E267" s="240"/>
      <c r="F267" s="241" t="str">
        <f>IF(ISBLANK(E267), "", VLOOKUP(E267, Z!$A$2:$C$4127, 3, FALSE))</f>
        <v/>
      </c>
      <c r="G267" s="242"/>
      <c r="H267" s="242"/>
      <c r="I267" s="243"/>
      <c r="J267" s="244"/>
      <c r="K267" s="259"/>
      <c r="L267" s="260"/>
      <c r="M267" s="247" t="str" cm="1">
        <f t="array" ref="M267">IF($K267&gt;0, INDEX(Clean,1+AG267,$C$1), "")</f>
        <v/>
      </c>
      <c r="N267" s="245"/>
      <c r="O267" s="245"/>
      <c r="P267" s="246"/>
      <c r="Q267" s="248">
        <f t="shared" si="425"/>
        <v>0</v>
      </c>
      <c r="R267" s="247" t="str" cm="1">
        <f t="array" ref="R267">IF($K267&gt;0, INDEX(Clean,1+AH267,$C$1), "")</f>
        <v/>
      </c>
      <c r="S267" s="245"/>
      <c r="T267" s="245"/>
      <c r="U267" s="246"/>
      <c r="V267" s="248">
        <f t="shared" si="426"/>
        <v>0</v>
      </c>
      <c r="W267" s="261"/>
      <c r="X267" s="258"/>
      <c r="Y267" s="240"/>
      <c r="Z267" s="241" t="str">
        <f>IF(ISBLANK(Y267), "", VLOOKUP(Y267, Z!$A$2:$C$4127, 3, FALSE))</f>
        <v/>
      </c>
      <c r="AA267" s="262"/>
      <c r="AB267" s="249">
        <f t="shared" si="424"/>
        <v>0</v>
      </c>
      <c r="AC267" s="210"/>
      <c r="AD267" s="236">
        <f t="shared" si="449"/>
        <v>1</v>
      </c>
      <c r="AE267" s="236">
        <f t="shared" si="450"/>
        <v>1</v>
      </c>
      <c r="AF267" s="236">
        <f t="shared" si="451"/>
        <v>0</v>
      </c>
      <c r="AG267" s="236">
        <v>1</v>
      </c>
      <c r="AH267" s="236">
        <v>0</v>
      </c>
      <c r="AI267" s="236">
        <f t="shared" si="427"/>
        <v>-100</v>
      </c>
      <c r="AJ267" s="210"/>
      <c r="AK267" s="254"/>
      <c r="AL267" s="254"/>
      <c r="AM267" s="255"/>
      <c r="AN267" s="255"/>
      <c r="AO267" s="255"/>
      <c r="AP267" s="255"/>
      <c r="AQ267" s="255"/>
      <c r="AR267" s="255"/>
      <c r="AS267" s="255"/>
      <c r="AT267" s="255"/>
      <c r="AU267" s="255"/>
      <c r="AV267" s="255"/>
      <c r="AW267" s="255"/>
      <c r="AX267" s="210"/>
      <c r="AY267" s="236" cm="1">
        <f t="array" ref="AY267">INDEX(Use, $AD267, 4)</f>
        <v>7</v>
      </c>
      <c r="AZ267" s="236">
        <f t="shared" si="428"/>
        <v>32</v>
      </c>
      <c r="BA267" s="236">
        <f t="shared" si="239"/>
        <v>13</v>
      </c>
      <c r="BB267" s="236">
        <f t="shared" si="240"/>
        <v>0</v>
      </c>
      <c r="BC267" s="252" cm="1">
        <f t="array" ref="BC267">K267/IF($L267&gt;0, INDEX($AO$23:$AU$77, $L267+20, $AD267), 1)</f>
        <v>0</v>
      </c>
      <c r="BD267" s="237">
        <f t="shared" si="429"/>
        <v>0</v>
      </c>
      <c r="BE267" s="236">
        <v>35</v>
      </c>
      <c r="BF267" s="237">
        <f t="shared" si="430"/>
        <v>52.55</v>
      </c>
      <c r="BG267" s="253">
        <f t="shared" si="431"/>
        <v>2.7676728869374316</v>
      </c>
      <c r="BH267" s="253" cm="1">
        <f t="array" ref="BH267">$BC267 * SUMPRODUCT(INDEX($AL$77:$AN$82,,$AE267),INDEX($AO$77:$AU$82,,$AD267), N($AK$77:$AK$82&gt;$AI267)) / BG267 / 1000</f>
        <v>0</v>
      </c>
      <c r="BI267" s="250">
        <f t="shared" si="244"/>
        <v>30</v>
      </c>
      <c r="BJ267" s="237">
        <f t="shared" si="432"/>
        <v>46.033333333333331</v>
      </c>
      <c r="BK267" s="253">
        <f t="shared" si="433"/>
        <v>3.2297395388556791</v>
      </c>
      <c r="BL267" s="253" cm="1">
        <f t="array" ref="BL267">$BC267 * IF($AD267&lt;=2,
SUMPRODUCT(INDEX($AL$72:$AN$76,,$AE267), INDEX($AO$72:$AU$76,,$AD267), 1 / ($AV$72:$AV$76*BK267 + (1-$AV$72:$AV$76)*BG267), N($AK$72:$AK$76&gt;$AI267)),
SUMPRODUCT(INDEX($AL$67:$AN$76,,$AE267), INDEX($AO$67:$AU$76,,$AD267), 1 / ($AW$67:$AW$76*BK267 + (1-$AW$67:$AW$76)*BG267), N($AK$67:$AK$76&gt;$AI267))
) / 1000</f>
        <v>0</v>
      </c>
      <c r="BM267" s="250">
        <f t="shared" si="247"/>
        <v>25</v>
      </c>
      <c r="BN267" s="237">
        <f t="shared" si="434"/>
        <v>39.516666666666666</v>
      </c>
      <c r="BO267" s="253">
        <f t="shared" si="435"/>
        <v>3.877011788826243</v>
      </c>
      <c r="BP267" s="253" cm="1">
        <f t="array" ref="BP267">$BC267 * IF($AD267&lt;=2,
SUMPRODUCT(INDEX($AL$67:$AN$71,,$AE267), INDEX($AO$67:$AU$71,,$AD267), 1 / ($AV$67:$AV$71*BO267 + (1-$AV$67:$AV$71)*BK267), N($AK$67:$AK$71&gt;$AI267)),
SUMPRODUCT(INDEX($AL$57:$AN$66,,$AE267), INDEX($AO$57:$AU$66,,$AD267), 1 / ($AW$57:$AW$66*BO267 + (1-$AW$57:$AW$66)*BK267), N($AK$57:$AK$66&gt;$AI267))
) / 1000</f>
        <v>0</v>
      </c>
      <c r="BQ267" s="250">
        <f t="shared" si="250"/>
        <v>20</v>
      </c>
      <c r="BR267" s="237">
        <f t="shared" si="436"/>
        <v>33</v>
      </c>
      <c r="BS267" s="253">
        <f t="shared" si="437"/>
        <v>4.8487499999999999</v>
      </c>
      <c r="BT267" s="253" cm="1">
        <f t="array" ref="BT267">$BC267 * IF($AD267&lt;=2,
SUMPRODUCT(INDEX($AL$62:$AN$66,,$AE267), INDEX($AO$62:$AU$66,,$AD267), 1 / ($AV$62:$AV$66*BS267 + (1-$AV$62:$AV$66)*BO267), N($AK$62:$AK$66&gt;$AI267)),
SUMPRODUCT(INDEX($AL$47:$AN$56,,$AE267), INDEX($AO$47:$AU$56,,$AD267), 1 / ($AW$47:$AW$56*BS267 + (1-$AW$47:$AW$56)*BO267), N($AK$47:$AK$56&gt;$AI267))
) / 1000</f>
        <v>0</v>
      </c>
      <c r="BU267" s="253" cm="1">
        <f t="array" ref="BU267">$BC267 * IF($AD267&lt;=2,
SUMPRODUCT(INDEX($AL$23:$AN$61,,$AE267), INDEX($AO$23:$AU$61,,$AD267), 1 / ($AV$23:$AV$61*BS267), N($AK$23:$AK$61&gt;$AI267)),
SUMPRODUCT(INDEX($AL$23:$AN$46,,$AE267), INDEX($AO$23:$AU$46,,$AD267), 1 / ($AW$23:$AW$46*BS267), N($AK$23:$AK$46&gt;$AI267))
) / 1000</f>
        <v>0</v>
      </c>
      <c r="BV267" s="237">
        <f t="shared" si="438"/>
        <v>0</v>
      </c>
      <c r="BW267" s="210"/>
      <c r="BX267" s="237">
        <f t="shared" si="439"/>
        <v>0</v>
      </c>
      <c r="BY267" s="236">
        <v>35</v>
      </c>
      <c r="BZ267" s="237">
        <f t="shared" si="440"/>
        <v>48</v>
      </c>
      <c r="CA267" s="253">
        <f t="shared" si="441"/>
        <v>3.0748170731707316</v>
      </c>
      <c r="CB267" s="253" cm="1">
        <f t="array" ref="CB267">$BC267 * SUMPRODUCT(INDEX($AL$77:$AN$82,,$AE267),INDEX($AO$77:$AU$82,,$AD267), N($AK$77:$AK$82&gt;$AI267)) / CA267 / 1000</f>
        <v>0</v>
      </c>
      <c r="CC267" s="250">
        <f t="shared" si="257"/>
        <v>30</v>
      </c>
      <c r="CD267" s="237">
        <f t="shared" si="442"/>
        <v>43</v>
      </c>
      <c r="CE267" s="253">
        <f t="shared" si="443"/>
        <v>3.5018750000000001</v>
      </c>
      <c r="CF267" s="253" cm="1">
        <f t="array" ref="CF267">$BC267 * IF($AD267&lt;=2,
SUMPRODUCT(INDEX($AL$72:$AN$76,,$AE267), INDEX($AO$72:$AU$76,,$AD267), 1 / ($AV$72:$AV$76*CE267 + (1-$AV$72:$AV$76)*CA267), N($AK$72:$AK$76&gt;$AI267)),
SUMPRODUCT(INDEX($AL$67:$AN$76,,$AE267), INDEX($AO$67:$AU$76,,$AD267), 1 / ($AW$67:$AW$76*CE267 + (1-$AW$67:$AW$76)*CA267), N($AK$67:$AK$76&gt;$AI267))
) / 1000</f>
        <v>0</v>
      </c>
      <c r="CG267" s="250">
        <f t="shared" si="260"/>
        <v>25</v>
      </c>
      <c r="CH267" s="237">
        <f t="shared" si="444"/>
        <v>38</v>
      </c>
      <c r="CI267" s="253">
        <f t="shared" si="445"/>
        <v>4.0666935483870965</v>
      </c>
      <c r="CJ267" s="253" cm="1">
        <f t="array" ref="CJ267">$BC267 * IF($AD267&lt;=2,
SUMPRODUCT(INDEX($AL$67:$AN$71,,$AE267), INDEX($AO$67:$AU$71,,$AD267), 1 / ($AV$67:$AV$71*CI267 + (1-$AV$67:$AV$71)*CE267), N($AK$67:$AK$71&gt;$AI267)),
SUMPRODUCT(INDEX($AL$57:$AN$66,,$AE267), INDEX($AO$57:$AU$66,,$AD267), 1 / ($AW$57:$AW$66*CI267 + (1-$AW$57:$AW$66)*CE267), N($AK$57:$AK$66&gt;$AI267))
) / 1000</f>
        <v>0</v>
      </c>
      <c r="CK267" s="250">
        <f t="shared" si="263"/>
        <v>20</v>
      </c>
      <c r="CL267" s="237">
        <f t="shared" si="446"/>
        <v>33</v>
      </c>
      <c r="CM267" s="253">
        <f t="shared" si="447"/>
        <v>4.8487499999999999</v>
      </c>
      <c r="CN267" s="253" cm="1">
        <f t="array" ref="CN267">$BC267 * IF($AD267&lt;=2,
SUMPRODUCT(INDEX($AL$62:$AN$66,,$AE267), INDEX($AO$62:$AU$66,,$AD267), 1 / ($AV$62:$AV$66*CM267 + (1-$AV$62:$AV$66)*CI267), N($AK$62:$AK$66&gt;$AI267)),
SUMPRODUCT(INDEX($AL$47:$AN$56,,$AE267), INDEX($AO$47:$AU$56,,$AD267), 1 / ($AW$47:$AW$56*CM267 + (1-$AW$47:$AW$56)*CI267), N($AK$47:$AK$56&gt;$AI267))
) / 1000</f>
        <v>0</v>
      </c>
      <c r="CO267" s="253" cm="1">
        <f t="array" ref="CO267">$BC267 * IF($AD267&lt;=2,
SUMPRODUCT(INDEX($AL$23:$AN$61,,$AE267), INDEX($AO$23:$AU$61,,$AD267), 1 / ($AV$23:$AV$61*CM267), N($AK$23:$AK$61&gt;$AI267)),
SUMPRODUCT(INDEX($AL$23:$AN$46,,$AE267), INDEX($AO$23:$AU$46,,$AD267), 1 / ($AW$23:$AW$46*CM267), N($AK$23:$AK$46&gt;$AI267))
) / 1000</f>
        <v>0</v>
      </c>
      <c r="CP267" s="237">
        <f t="shared" si="448"/>
        <v>0</v>
      </c>
      <c r="CQ267" s="210"/>
    </row>
    <row r="268" spans="1:95" s="76" customFormat="1" ht="14.25" customHeight="1" x14ac:dyDescent="0.2">
      <c r="A268" s="238" t="b">
        <f t="shared" si="227"/>
        <v>0</v>
      </c>
      <c r="B268" s="239">
        <v>246</v>
      </c>
      <c r="C268" s="258"/>
      <c r="D268" s="258"/>
      <c r="E268" s="240"/>
      <c r="F268" s="241" t="str">
        <f>IF(ISBLANK(E268), "", VLOOKUP(E268, Z!$A$2:$C$4127, 3, FALSE))</f>
        <v/>
      </c>
      <c r="G268" s="242"/>
      <c r="H268" s="242"/>
      <c r="I268" s="243"/>
      <c r="J268" s="244"/>
      <c r="K268" s="259"/>
      <c r="L268" s="260"/>
      <c r="M268" s="247" t="str" cm="1">
        <f t="array" ref="M268">IF($K268&gt;0, INDEX(Clean,1+AG268,$C$1), "")</f>
        <v/>
      </c>
      <c r="N268" s="245"/>
      <c r="O268" s="245"/>
      <c r="P268" s="246"/>
      <c r="Q268" s="248">
        <f t="shared" si="425"/>
        <v>0</v>
      </c>
      <c r="R268" s="247" t="str" cm="1">
        <f t="array" ref="R268">IF($K268&gt;0, INDEX(Clean,1+AH268,$C$1), "")</f>
        <v/>
      </c>
      <c r="S268" s="245"/>
      <c r="T268" s="245"/>
      <c r="U268" s="246"/>
      <c r="V268" s="248">
        <f t="shared" si="426"/>
        <v>0</v>
      </c>
      <c r="W268" s="261"/>
      <c r="X268" s="258"/>
      <c r="Y268" s="240"/>
      <c r="Z268" s="241" t="str">
        <f>IF(ISBLANK(Y268), "", VLOOKUP(Y268, Z!$A$2:$C$4127, 3, FALSE))</f>
        <v/>
      </c>
      <c r="AA268" s="262"/>
      <c r="AB268" s="249">
        <f t="shared" si="424"/>
        <v>0</v>
      </c>
      <c r="AC268" s="210"/>
      <c r="AD268" s="236">
        <f t="shared" si="449"/>
        <v>1</v>
      </c>
      <c r="AE268" s="236">
        <f t="shared" si="450"/>
        <v>1</v>
      </c>
      <c r="AF268" s="236">
        <f t="shared" si="451"/>
        <v>0</v>
      </c>
      <c r="AG268" s="236">
        <v>1</v>
      </c>
      <c r="AH268" s="236">
        <v>0</v>
      </c>
      <c r="AI268" s="236">
        <f t="shared" si="427"/>
        <v>-100</v>
      </c>
      <c r="AJ268" s="210"/>
      <c r="AK268" s="254"/>
      <c r="AL268" s="254"/>
      <c r="AM268" s="255"/>
      <c r="AN268" s="255"/>
      <c r="AO268" s="255"/>
      <c r="AP268" s="255"/>
      <c r="AQ268" s="255"/>
      <c r="AR268" s="255"/>
      <c r="AS268" s="255"/>
      <c r="AT268" s="255"/>
      <c r="AU268" s="255"/>
      <c r="AV268" s="255"/>
      <c r="AW268" s="255"/>
      <c r="AX268" s="210"/>
      <c r="AY268" s="236" cm="1">
        <f t="array" ref="AY268">INDEX(Use, $AD268, 4)</f>
        <v>7</v>
      </c>
      <c r="AZ268" s="236">
        <f t="shared" si="428"/>
        <v>32</v>
      </c>
      <c r="BA268" s="236">
        <f t="shared" si="239"/>
        <v>13</v>
      </c>
      <c r="BB268" s="236">
        <f t="shared" si="240"/>
        <v>0</v>
      </c>
      <c r="BC268" s="252" cm="1">
        <f t="array" ref="BC268">K268/IF($L268&gt;0, INDEX($AO$23:$AU$77, $L268+20, $AD268), 1)</f>
        <v>0</v>
      </c>
      <c r="BD268" s="237">
        <f t="shared" si="429"/>
        <v>0</v>
      </c>
      <c r="BE268" s="236">
        <v>35</v>
      </c>
      <c r="BF268" s="237">
        <f t="shared" si="430"/>
        <v>52.55</v>
      </c>
      <c r="BG268" s="253">
        <f t="shared" si="431"/>
        <v>2.7676728869374316</v>
      </c>
      <c r="BH268" s="253" cm="1">
        <f t="array" ref="BH268">$BC268 * SUMPRODUCT(INDEX($AL$77:$AN$82,,$AE268),INDEX($AO$77:$AU$82,,$AD268), N($AK$77:$AK$82&gt;$AI268)) / BG268 / 1000</f>
        <v>0</v>
      </c>
      <c r="BI268" s="250">
        <f t="shared" si="244"/>
        <v>30</v>
      </c>
      <c r="BJ268" s="237">
        <f t="shared" si="432"/>
        <v>46.033333333333331</v>
      </c>
      <c r="BK268" s="253">
        <f t="shared" si="433"/>
        <v>3.2297395388556791</v>
      </c>
      <c r="BL268" s="253" cm="1">
        <f t="array" ref="BL268">$BC268 * IF($AD268&lt;=2,
SUMPRODUCT(INDEX($AL$72:$AN$76,,$AE268), INDEX($AO$72:$AU$76,,$AD268), 1 / ($AV$72:$AV$76*BK268 + (1-$AV$72:$AV$76)*BG268), N($AK$72:$AK$76&gt;$AI268)),
SUMPRODUCT(INDEX($AL$67:$AN$76,,$AE268), INDEX($AO$67:$AU$76,,$AD268), 1 / ($AW$67:$AW$76*BK268 + (1-$AW$67:$AW$76)*BG268), N($AK$67:$AK$76&gt;$AI268))
) / 1000</f>
        <v>0</v>
      </c>
      <c r="BM268" s="250">
        <f t="shared" si="247"/>
        <v>25</v>
      </c>
      <c r="BN268" s="237">
        <f t="shared" si="434"/>
        <v>39.516666666666666</v>
      </c>
      <c r="BO268" s="253">
        <f t="shared" si="435"/>
        <v>3.877011788826243</v>
      </c>
      <c r="BP268" s="253" cm="1">
        <f t="array" ref="BP268">$BC268 * IF($AD268&lt;=2,
SUMPRODUCT(INDEX($AL$67:$AN$71,,$AE268), INDEX($AO$67:$AU$71,,$AD268), 1 / ($AV$67:$AV$71*BO268 + (1-$AV$67:$AV$71)*BK268), N($AK$67:$AK$71&gt;$AI268)),
SUMPRODUCT(INDEX($AL$57:$AN$66,,$AE268), INDEX($AO$57:$AU$66,,$AD268), 1 / ($AW$57:$AW$66*BO268 + (1-$AW$57:$AW$66)*BK268), N($AK$57:$AK$66&gt;$AI268))
) / 1000</f>
        <v>0</v>
      </c>
      <c r="BQ268" s="250">
        <f t="shared" si="250"/>
        <v>20</v>
      </c>
      <c r="BR268" s="237">
        <f t="shared" si="436"/>
        <v>33</v>
      </c>
      <c r="BS268" s="253">
        <f t="shared" si="437"/>
        <v>4.8487499999999999</v>
      </c>
      <c r="BT268" s="253" cm="1">
        <f t="array" ref="BT268">$BC268 * IF($AD268&lt;=2,
SUMPRODUCT(INDEX($AL$62:$AN$66,,$AE268), INDEX($AO$62:$AU$66,,$AD268), 1 / ($AV$62:$AV$66*BS268 + (1-$AV$62:$AV$66)*BO268), N($AK$62:$AK$66&gt;$AI268)),
SUMPRODUCT(INDEX($AL$47:$AN$56,,$AE268), INDEX($AO$47:$AU$56,,$AD268), 1 / ($AW$47:$AW$56*BS268 + (1-$AW$47:$AW$56)*BO268), N($AK$47:$AK$56&gt;$AI268))
) / 1000</f>
        <v>0</v>
      </c>
      <c r="BU268" s="253" cm="1">
        <f t="array" ref="BU268">$BC268 * IF($AD268&lt;=2,
SUMPRODUCT(INDEX($AL$23:$AN$61,,$AE268), INDEX($AO$23:$AU$61,,$AD268), 1 / ($AV$23:$AV$61*BS268), N($AK$23:$AK$61&gt;$AI268)),
SUMPRODUCT(INDEX($AL$23:$AN$46,,$AE268), INDEX($AO$23:$AU$46,,$AD268), 1 / ($AW$23:$AW$46*BS268), N($AK$23:$AK$46&gt;$AI268))
) / 1000</f>
        <v>0</v>
      </c>
      <c r="BV268" s="237">
        <f t="shared" si="438"/>
        <v>0</v>
      </c>
      <c r="BW268" s="210"/>
      <c r="BX268" s="237">
        <f t="shared" si="439"/>
        <v>0</v>
      </c>
      <c r="BY268" s="236">
        <v>35</v>
      </c>
      <c r="BZ268" s="237">
        <f t="shared" si="440"/>
        <v>48</v>
      </c>
      <c r="CA268" s="253">
        <f t="shared" si="441"/>
        <v>3.0748170731707316</v>
      </c>
      <c r="CB268" s="253" cm="1">
        <f t="array" ref="CB268">$BC268 * SUMPRODUCT(INDEX($AL$77:$AN$82,,$AE268),INDEX($AO$77:$AU$82,,$AD268), N($AK$77:$AK$82&gt;$AI268)) / CA268 / 1000</f>
        <v>0</v>
      </c>
      <c r="CC268" s="250">
        <f t="shared" si="257"/>
        <v>30</v>
      </c>
      <c r="CD268" s="237">
        <f t="shared" si="442"/>
        <v>43</v>
      </c>
      <c r="CE268" s="253">
        <f t="shared" si="443"/>
        <v>3.5018750000000001</v>
      </c>
      <c r="CF268" s="253" cm="1">
        <f t="array" ref="CF268">$BC268 * IF($AD268&lt;=2,
SUMPRODUCT(INDEX($AL$72:$AN$76,,$AE268), INDEX($AO$72:$AU$76,,$AD268), 1 / ($AV$72:$AV$76*CE268 + (1-$AV$72:$AV$76)*CA268), N($AK$72:$AK$76&gt;$AI268)),
SUMPRODUCT(INDEX($AL$67:$AN$76,,$AE268), INDEX($AO$67:$AU$76,,$AD268), 1 / ($AW$67:$AW$76*CE268 + (1-$AW$67:$AW$76)*CA268), N($AK$67:$AK$76&gt;$AI268))
) / 1000</f>
        <v>0</v>
      </c>
      <c r="CG268" s="250">
        <f t="shared" si="260"/>
        <v>25</v>
      </c>
      <c r="CH268" s="237">
        <f t="shared" si="444"/>
        <v>38</v>
      </c>
      <c r="CI268" s="253">
        <f t="shared" si="445"/>
        <v>4.0666935483870965</v>
      </c>
      <c r="CJ268" s="253" cm="1">
        <f t="array" ref="CJ268">$BC268 * IF($AD268&lt;=2,
SUMPRODUCT(INDEX($AL$67:$AN$71,,$AE268), INDEX($AO$67:$AU$71,,$AD268), 1 / ($AV$67:$AV$71*CI268 + (1-$AV$67:$AV$71)*CE268), N($AK$67:$AK$71&gt;$AI268)),
SUMPRODUCT(INDEX($AL$57:$AN$66,,$AE268), INDEX($AO$57:$AU$66,,$AD268), 1 / ($AW$57:$AW$66*CI268 + (1-$AW$57:$AW$66)*CE268), N($AK$57:$AK$66&gt;$AI268))
) / 1000</f>
        <v>0</v>
      </c>
      <c r="CK268" s="250">
        <f t="shared" si="263"/>
        <v>20</v>
      </c>
      <c r="CL268" s="237">
        <f t="shared" si="446"/>
        <v>33</v>
      </c>
      <c r="CM268" s="253">
        <f t="shared" si="447"/>
        <v>4.8487499999999999</v>
      </c>
      <c r="CN268" s="253" cm="1">
        <f t="array" ref="CN268">$BC268 * IF($AD268&lt;=2,
SUMPRODUCT(INDEX($AL$62:$AN$66,,$AE268), INDEX($AO$62:$AU$66,,$AD268), 1 / ($AV$62:$AV$66*CM268 + (1-$AV$62:$AV$66)*CI268), N($AK$62:$AK$66&gt;$AI268)),
SUMPRODUCT(INDEX($AL$47:$AN$56,,$AE268), INDEX($AO$47:$AU$56,,$AD268), 1 / ($AW$47:$AW$56*CM268 + (1-$AW$47:$AW$56)*CI268), N($AK$47:$AK$56&gt;$AI268))
) / 1000</f>
        <v>0</v>
      </c>
      <c r="CO268" s="253" cm="1">
        <f t="array" ref="CO268">$BC268 * IF($AD268&lt;=2,
SUMPRODUCT(INDEX($AL$23:$AN$61,,$AE268), INDEX($AO$23:$AU$61,,$AD268), 1 / ($AV$23:$AV$61*CM268), N($AK$23:$AK$61&gt;$AI268)),
SUMPRODUCT(INDEX($AL$23:$AN$46,,$AE268), INDEX($AO$23:$AU$46,,$AD268), 1 / ($AW$23:$AW$46*CM268), N($AK$23:$AK$46&gt;$AI268))
) / 1000</f>
        <v>0</v>
      </c>
      <c r="CP268" s="237">
        <f t="shared" si="448"/>
        <v>0</v>
      </c>
      <c r="CQ268" s="210"/>
    </row>
    <row r="269" spans="1:95" s="76" customFormat="1" ht="14.25" customHeight="1" x14ac:dyDescent="0.2">
      <c r="A269" s="238" t="b">
        <f t="shared" si="227"/>
        <v>0</v>
      </c>
      <c r="B269" s="239">
        <v>247</v>
      </c>
      <c r="C269" s="258"/>
      <c r="D269" s="258"/>
      <c r="E269" s="240"/>
      <c r="F269" s="241" t="str">
        <f>IF(ISBLANK(E269), "", VLOOKUP(E269, Z!$A$2:$C$4127, 3, FALSE))</f>
        <v/>
      </c>
      <c r="G269" s="242"/>
      <c r="H269" s="242"/>
      <c r="I269" s="243"/>
      <c r="J269" s="244"/>
      <c r="K269" s="259"/>
      <c r="L269" s="260"/>
      <c r="M269" s="247" t="str" cm="1">
        <f t="array" ref="M269">IF($K269&gt;0, INDEX(Clean,1+AG269,$C$1), "")</f>
        <v/>
      </c>
      <c r="N269" s="245"/>
      <c r="O269" s="245"/>
      <c r="P269" s="246"/>
      <c r="Q269" s="248">
        <f t="shared" si="425"/>
        <v>0</v>
      </c>
      <c r="R269" s="247" t="str" cm="1">
        <f t="array" ref="R269">IF($K269&gt;0, INDEX(Clean,1+AH269,$C$1), "")</f>
        <v/>
      </c>
      <c r="S269" s="245"/>
      <c r="T269" s="245"/>
      <c r="U269" s="246"/>
      <c r="V269" s="248">
        <f t="shared" si="426"/>
        <v>0</v>
      </c>
      <c r="W269" s="261"/>
      <c r="X269" s="258"/>
      <c r="Y269" s="240"/>
      <c r="Z269" s="241" t="str">
        <f>IF(ISBLANK(Y269), "", VLOOKUP(Y269, Z!$A$2:$C$4127, 3, FALSE))</f>
        <v/>
      </c>
      <c r="AA269" s="262"/>
      <c r="AB269" s="249">
        <f t="shared" si="424"/>
        <v>0</v>
      </c>
      <c r="AC269" s="210"/>
      <c r="AD269" s="236">
        <f t="shared" si="449"/>
        <v>1</v>
      </c>
      <c r="AE269" s="236">
        <f t="shared" si="450"/>
        <v>1</v>
      </c>
      <c r="AF269" s="236">
        <f t="shared" si="451"/>
        <v>0</v>
      </c>
      <c r="AG269" s="236">
        <v>1</v>
      </c>
      <c r="AH269" s="236">
        <v>0</v>
      </c>
      <c r="AI269" s="236">
        <f t="shared" si="427"/>
        <v>-100</v>
      </c>
      <c r="AJ269" s="210"/>
      <c r="AK269" s="254"/>
      <c r="AL269" s="254"/>
      <c r="AM269" s="255"/>
      <c r="AN269" s="255"/>
      <c r="AO269" s="255"/>
      <c r="AP269" s="255"/>
      <c r="AQ269" s="255"/>
      <c r="AR269" s="255"/>
      <c r="AS269" s="255"/>
      <c r="AT269" s="255"/>
      <c r="AU269" s="255"/>
      <c r="AV269" s="255"/>
      <c r="AW269" s="255"/>
      <c r="AX269" s="210"/>
      <c r="AY269" s="236" cm="1">
        <f t="array" ref="AY269">INDEX(Use, $AD269, 4)</f>
        <v>7</v>
      </c>
      <c r="AZ269" s="236">
        <f t="shared" si="428"/>
        <v>32</v>
      </c>
      <c r="BA269" s="236">
        <f t="shared" si="239"/>
        <v>13</v>
      </c>
      <c r="BB269" s="236">
        <f t="shared" si="240"/>
        <v>0</v>
      </c>
      <c r="BC269" s="252" cm="1">
        <f t="array" ref="BC269">K269/IF($L269&gt;0, INDEX($AO$23:$AU$77, $L269+20, $AD269), 1)</f>
        <v>0</v>
      </c>
      <c r="BD269" s="237">
        <f t="shared" si="429"/>
        <v>0</v>
      </c>
      <c r="BE269" s="236">
        <v>35</v>
      </c>
      <c r="BF269" s="237">
        <f t="shared" si="430"/>
        <v>52.55</v>
      </c>
      <c r="BG269" s="253">
        <f t="shared" si="431"/>
        <v>2.7676728869374316</v>
      </c>
      <c r="BH269" s="253" cm="1">
        <f t="array" ref="BH269">$BC269 * SUMPRODUCT(INDEX($AL$77:$AN$82,,$AE269),INDEX($AO$77:$AU$82,,$AD269), N($AK$77:$AK$82&gt;$AI269)) / BG269 / 1000</f>
        <v>0</v>
      </c>
      <c r="BI269" s="250">
        <f t="shared" si="244"/>
        <v>30</v>
      </c>
      <c r="BJ269" s="237">
        <f t="shared" si="432"/>
        <v>46.033333333333331</v>
      </c>
      <c r="BK269" s="253">
        <f t="shared" si="433"/>
        <v>3.2297395388556791</v>
      </c>
      <c r="BL269" s="253" cm="1">
        <f t="array" ref="BL269">$BC269 * IF($AD269&lt;=2,
SUMPRODUCT(INDEX($AL$72:$AN$76,,$AE269), INDEX($AO$72:$AU$76,,$AD269), 1 / ($AV$72:$AV$76*BK269 + (1-$AV$72:$AV$76)*BG269), N($AK$72:$AK$76&gt;$AI269)),
SUMPRODUCT(INDEX($AL$67:$AN$76,,$AE269), INDEX($AO$67:$AU$76,,$AD269), 1 / ($AW$67:$AW$76*BK269 + (1-$AW$67:$AW$76)*BG269), N($AK$67:$AK$76&gt;$AI269))
) / 1000</f>
        <v>0</v>
      </c>
      <c r="BM269" s="250">
        <f t="shared" si="247"/>
        <v>25</v>
      </c>
      <c r="BN269" s="237">
        <f t="shared" si="434"/>
        <v>39.516666666666666</v>
      </c>
      <c r="BO269" s="253">
        <f t="shared" si="435"/>
        <v>3.877011788826243</v>
      </c>
      <c r="BP269" s="253" cm="1">
        <f t="array" ref="BP269">$BC269 * IF($AD269&lt;=2,
SUMPRODUCT(INDEX($AL$67:$AN$71,,$AE269), INDEX($AO$67:$AU$71,,$AD269), 1 / ($AV$67:$AV$71*BO269 + (1-$AV$67:$AV$71)*BK269), N($AK$67:$AK$71&gt;$AI269)),
SUMPRODUCT(INDEX($AL$57:$AN$66,,$AE269), INDEX($AO$57:$AU$66,,$AD269), 1 / ($AW$57:$AW$66*BO269 + (1-$AW$57:$AW$66)*BK269), N($AK$57:$AK$66&gt;$AI269))
) / 1000</f>
        <v>0</v>
      </c>
      <c r="BQ269" s="250">
        <f t="shared" si="250"/>
        <v>20</v>
      </c>
      <c r="BR269" s="237">
        <f t="shared" si="436"/>
        <v>33</v>
      </c>
      <c r="BS269" s="253">
        <f t="shared" si="437"/>
        <v>4.8487499999999999</v>
      </c>
      <c r="BT269" s="253" cm="1">
        <f t="array" ref="BT269">$BC269 * IF($AD269&lt;=2,
SUMPRODUCT(INDEX($AL$62:$AN$66,,$AE269), INDEX($AO$62:$AU$66,,$AD269), 1 / ($AV$62:$AV$66*BS269 + (1-$AV$62:$AV$66)*BO269), N($AK$62:$AK$66&gt;$AI269)),
SUMPRODUCT(INDEX($AL$47:$AN$56,,$AE269), INDEX($AO$47:$AU$56,,$AD269), 1 / ($AW$47:$AW$56*BS269 + (1-$AW$47:$AW$56)*BO269), N($AK$47:$AK$56&gt;$AI269))
) / 1000</f>
        <v>0</v>
      </c>
      <c r="BU269" s="253" cm="1">
        <f t="array" ref="BU269">$BC269 * IF($AD269&lt;=2,
SUMPRODUCT(INDEX($AL$23:$AN$61,,$AE269), INDEX($AO$23:$AU$61,,$AD269), 1 / ($AV$23:$AV$61*BS269), N($AK$23:$AK$61&gt;$AI269)),
SUMPRODUCT(INDEX($AL$23:$AN$46,,$AE269), INDEX($AO$23:$AU$46,,$AD269), 1 / ($AW$23:$AW$46*BS269), N($AK$23:$AK$46&gt;$AI269))
) / 1000</f>
        <v>0</v>
      </c>
      <c r="BV269" s="237">
        <f t="shared" si="438"/>
        <v>0</v>
      </c>
      <c r="BW269" s="210"/>
      <c r="BX269" s="237">
        <f t="shared" si="439"/>
        <v>0</v>
      </c>
      <c r="BY269" s="236">
        <v>35</v>
      </c>
      <c r="BZ269" s="237">
        <f t="shared" si="440"/>
        <v>48</v>
      </c>
      <c r="CA269" s="253">
        <f t="shared" si="441"/>
        <v>3.0748170731707316</v>
      </c>
      <c r="CB269" s="253" cm="1">
        <f t="array" ref="CB269">$BC269 * SUMPRODUCT(INDEX($AL$77:$AN$82,,$AE269),INDEX($AO$77:$AU$82,,$AD269), N($AK$77:$AK$82&gt;$AI269)) / CA269 / 1000</f>
        <v>0</v>
      </c>
      <c r="CC269" s="250">
        <f t="shared" si="257"/>
        <v>30</v>
      </c>
      <c r="CD269" s="237">
        <f t="shared" si="442"/>
        <v>43</v>
      </c>
      <c r="CE269" s="253">
        <f t="shared" si="443"/>
        <v>3.5018750000000001</v>
      </c>
      <c r="CF269" s="253" cm="1">
        <f t="array" ref="CF269">$BC269 * IF($AD269&lt;=2,
SUMPRODUCT(INDEX($AL$72:$AN$76,,$AE269), INDEX($AO$72:$AU$76,,$AD269), 1 / ($AV$72:$AV$76*CE269 + (1-$AV$72:$AV$76)*CA269), N($AK$72:$AK$76&gt;$AI269)),
SUMPRODUCT(INDEX($AL$67:$AN$76,,$AE269), INDEX($AO$67:$AU$76,,$AD269), 1 / ($AW$67:$AW$76*CE269 + (1-$AW$67:$AW$76)*CA269), N($AK$67:$AK$76&gt;$AI269))
) / 1000</f>
        <v>0</v>
      </c>
      <c r="CG269" s="250">
        <f t="shared" si="260"/>
        <v>25</v>
      </c>
      <c r="CH269" s="237">
        <f t="shared" si="444"/>
        <v>38</v>
      </c>
      <c r="CI269" s="253">
        <f t="shared" si="445"/>
        <v>4.0666935483870965</v>
      </c>
      <c r="CJ269" s="253" cm="1">
        <f t="array" ref="CJ269">$BC269 * IF($AD269&lt;=2,
SUMPRODUCT(INDEX($AL$67:$AN$71,,$AE269), INDEX($AO$67:$AU$71,,$AD269), 1 / ($AV$67:$AV$71*CI269 + (1-$AV$67:$AV$71)*CE269), N($AK$67:$AK$71&gt;$AI269)),
SUMPRODUCT(INDEX($AL$57:$AN$66,,$AE269), INDEX($AO$57:$AU$66,,$AD269), 1 / ($AW$57:$AW$66*CI269 + (1-$AW$57:$AW$66)*CE269), N($AK$57:$AK$66&gt;$AI269))
) / 1000</f>
        <v>0</v>
      </c>
      <c r="CK269" s="250">
        <f t="shared" si="263"/>
        <v>20</v>
      </c>
      <c r="CL269" s="237">
        <f t="shared" si="446"/>
        <v>33</v>
      </c>
      <c r="CM269" s="253">
        <f t="shared" si="447"/>
        <v>4.8487499999999999</v>
      </c>
      <c r="CN269" s="253" cm="1">
        <f t="array" ref="CN269">$BC269 * IF($AD269&lt;=2,
SUMPRODUCT(INDEX($AL$62:$AN$66,,$AE269), INDEX($AO$62:$AU$66,,$AD269), 1 / ($AV$62:$AV$66*CM269 + (1-$AV$62:$AV$66)*CI269), N($AK$62:$AK$66&gt;$AI269)),
SUMPRODUCT(INDEX($AL$47:$AN$56,,$AE269), INDEX($AO$47:$AU$56,,$AD269), 1 / ($AW$47:$AW$56*CM269 + (1-$AW$47:$AW$56)*CI269), N($AK$47:$AK$56&gt;$AI269))
) / 1000</f>
        <v>0</v>
      </c>
      <c r="CO269" s="253" cm="1">
        <f t="array" ref="CO269">$BC269 * IF($AD269&lt;=2,
SUMPRODUCT(INDEX($AL$23:$AN$61,,$AE269), INDEX($AO$23:$AU$61,,$AD269), 1 / ($AV$23:$AV$61*CM269), N($AK$23:$AK$61&gt;$AI269)),
SUMPRODUCT(INDEX($AL$23:$AN$46,,$AE269), INDEX($AO$23:$AU$46,,$AD269), 1 / ($AW$23:$AW$46*CM269), N($AK$23:$AK$46&gt;$AI269))
) / 1000</f>
        <v>0</v>
      </c>
      <c r="CP269" s="237">
        <f t="shared" si="448"/>
        <v>0</v>
      </c>
      <c r="CQ269" s="210"/>
    </row>
    <row r="270" spans="1:95" s="76" customFormat="1" ht="14.25" customHeight="1" x14ac:dyDescent="0.2">
      <c r="A270" s="238" t="b">
        <f t="shared" si="227"/>
        <v>0</v>
      </c>
      <c r="B270" s="239">
        <v>248</v>
      </c>
      <c r="C270" s="258"/>
      <c r="D270" s="258"/>
      <c r="E270" s="240"/>
      <c r="F270" s="241" t="str">
        <f>IF(ISBLANK(E270), "", VLOOKUP(E270, Z!$A$2:$C$4127, 3, FALSE))</f>
        <v/>
      </c>
      <c r="G270" s="242"/>
      <c r="H270" s="242"/>
      <c r="I270" s="243"/>
      <c r="J270" s="244"/>
      <c r="K270" s="259"/>
      <c r="L270" s="260"/>
      <c r="M270" s="247" t="str" cm="1">
        <f t="array" ref="M270">IF($K270&gt;0, INDEX(Clean,1+AG270,$C$1), "")</f>
        <v/>
      </c>
      <c r="N270" s="245"/>
      <c r="O270" s="245"/>
      <c r="P270" s="246"/>
      <c r="Q270" s="248">
        <f t="shared" si="425"/>
        <v>0</v>
      </c>
      <c r="R270" s="247" t="str" cm="1">
        <f t="array" ref="R270">IF($K270&gt;0, INDEX(Clean,1+AH270,$C$1), "")</f>
        <v/>
      </c>
      <c r="S270" s="245"/>
      <c r="T270" s="245"/>
      <c r="U270" s="246"/>
      <c r="V270" s="248">
        <f t="shared" si="426"/>
        <v>0</v>
      </c>
      <c r="W270" s="261"/>
      <c r="X270" s="258"/>
      <c r="Y270" s="240"/>
      <c r="Z270" s="241" t="str">
        <f>IF(ISBLANK(Y270), "", VLOOKUP(Y270, Z!$A$2:$C$4127, 3, FALSE))</f>
        <v/>
      </c>
      <c r="AA270" s="262"/>
      <c r="AB270" s="249">
        <f t="shared" si="424"/>
        <v>0</v>
      </c>
      <c r="AC270" s="210"/>
      <c r="AD270" s="236">
        <f t="shared" si="449"/>
        <v>1</v>
      </c>
      <c r="AE270" s="236">
        <f t="shared" si="450"/>
        <v>1</v>
      </c>
      <c r="AF270" s="236">
        <f t="shared" si="451"/>
        <v>0</v>
      </c>
      <c r="AG270" s="236">
        <v>1</v>
      </c>
      <c r="AH270" s="236">
        <v>0</v>
      </c>
      <c r="AI270" s="236">
        <f t="shared" si="427"/>
        <v>-100</v>
      </c>
      <c r="AJ270" s="210"/>
      <c r="AK270" s="254"/>
      <c r="AL270" s="254"/>
      <c r="AM270" s="255"/>
      <c r="AN270" s="255"/>
      <c r="AO270" s="255"/>
      <c r="AP270" s="255"/>
      <c r="AQ270" s="255"/>
      <c r="AR270" s="255"/>
      <c r="AS270" s="255"/>
      <c r="AT270" s="255"/>
      <c r="AU270" s="255"/>
      <c r="AV270" s="255"/>
      <c r="AW270" s="255"/>
      <c r="AX270" s="210"/>
      <c r="AY270" s="236" cm="1">
        <f t="array" ref="AY270">INDEX(Use, $AD270, 4)</f>
        <v>7</v>
      </c>
      <c r="AZ270" s="236">
        <f t="shared" si="428"/>
        <v>32</v>
      </c>
      <c r="BA270" s="236">
        <f t="shared" si="239"/>
        <v>13</v>
      </c>
      <c r="BB270" s="236">
        <f t="shared" si="240"/>
        <v>0</v>
      </c>
      <c r="BC270" s="252" cm="1">
        <f t="array" ref="BC270">K270/IF($L270&gt;0, INDEX($AO$23:$AU$77, $L270+20, $AD270), 1)</f>
        <v>0</v>
      </c>
      <c r="BD270" s="237">
        <f t="shared" si="429"/>
        <v>0</v>
      </c>
      <c r="BE270" s="236">
        <v>35</v>
      </c>
      <c r="BF270" s="237">
        <f t="shared" si="430"/>
        <v>52.55</v>
      </c>
      <c r="BG270" s="253">
        <f t="shared" si="431"/>
        <v>2.7676728869374316</v>
      </c>
      <c r="BH270" s="253" cm="1">
        <f t="array" ref="BH270">$BC270 * SUMPRODUCT(INDEX($AL$77:$AN$82,,$AE270),INDEX($AO$77:$AU$82,,$AD270), N($AK$77:$AK$82&gt;$AI270)) / BG270 / 1000</f>
        <v>0</v>
      </c>
      <c r="BI270" s="250">
        <f t="shared" si="244"/>
        <v>30</v>
      </c>
      <c r="BJ270" s="237">
        <f t="shared" si="432"/>
        <v>46.033333333333331</v>
      </c>
      <c r="BK270" s="253">
        <f t="shared" si="433"/>
        <v>3.2297395388556791</v>
      </c>
      <c r="BL270" s="253" cm="1">
        <f t="array" ref="BL270">$BC270 * IF($AD270&lt;=2,
SUMPRODUCT(INDEX($AL$72:$AN$76,,$AE270), INDEX($AO$72:$AU$76,,$AD270), 1 / ($AV$72:$AV$76*BK270 + (1-$AV$72:$AV$76)*BG270), N($AK$72:$AK$76&gt;$AI270)),
SUMPRODUCT(INDEX($AL$67:$AN$76,,$AE270), INDEX($AO$67:$AU$76,,$AD270), 1 / ($AW$67:$AW$76*BK270 + (1-$AW$67:$AW$76)*BG270), N($AK$67:$AK$76&gt;$AI270))
) / 1000</f>
        <v>0</v>
      </c>
      <c r="BM270" s="250">
        <f t="shared" si="247"/>
        <v>25</v>
      </c>
      <c r="BN270" s="237">
        <f t="shared" si="434"/>
        <v>39.516666666666666</v>
      </c>
      <c r="BO270" s="253">
        <f t="shared" si="435"/>
        <v>3.877011788826243</v>
      </c>
      <c r="BP270" s="253" cm="1">
        <f t="array" ref="BP270">$BC270 * IF($AD270&lt;=2,
SUMPRODUCT(INDEX($AL$67:$AN$71,,$AE270), INDEX($AO$67:$AU$71,,$AD270), 1 / ($AV$67:$AV$71*BO270 + (1-$AV$67:$AV$71)*BK270), N($AK$67:$AK$71&gt;$AI270)),
SUMPRODUCT(INDEX($AL$57:$AN$66,,$AE270), INDEX($AO$57:$AU$66,,$AD270), 1 / ($AW$57:$AW$66*BO270 + (1-$AW$57:$AW$66)*BK270), N($AK$57:$AK$66&gt;$AI270))
) / 1000</f>
        <v>0</v>
      </c>
      <c r="BQ270" s="250">
        <f t="shared" si="250"/>
        <v>20</v>
      </c>
      <c r="BR270" s="237">
        <f t="shared" si="436"/>
        <v>33</v>
      </c>
      <c r="BS270" s="253">
        <f t="shared" si="437"/>
        <v>4.8487499999999999</v>
      </c>
      <c r="BT270" s="253" cm="1">
        <f t="array" ref="BT270">$BC270 * IF($AD270&lt;=2,
SUMPRODUCT(INDEX($AL$62:$AN$66,,$AE270), INDEX($AO$62:$AU$66,,$AD270), 1 / ($AV$62:$AV$66*BS270 + (1-$AV$62:$AV$66)*BO270), N($AK$62:$AK$66&gt;$AI270)),
SUMPRODUCT(INDEX($AL$47:$AN$56,,$AE270), INDEX($AO$47:$AU$56,,$AD270), 1 / ($AW$47:$AW$56*BS270 + (1-$AW$47:$AW$56)*BO270), N($AK$47:$AK$56&gt;$AI270))
) / 1000</f>
        <v>0</v>
      </c>
      <c r="BU270" s="253" cm="1">
        <f t="array" ref="BU270">$BC270 * IF($AD270&lt;=2,
SUMPRODUCT(INDEX($AL$23:$AN$61,,$AE270), INDEX($AO$23:$AU$61,,$AD270), 1 / ($AV$23:$AV$61*BS270), N($AK$23:$AK$61&gt;$AI270)),
SUMPRODUCT(INDEX($AL$23:$AN$46,,$AE270), INDEX($AO$23:$AU$46,,$AD270), 1 / ($AW$23:$AW$46*BS270), N($AK$23:$AK$46&gt;$AI270))
) / 1000</f>
        <v>0</v>
      </c>
      <c r="BV270" s="237">
        <f t="shared" si="438"/>
        <v>0</v>
      </c>
      <c r="BW270" s="210"/>
      <c r="BX270" s="237">
        <f t="shared" si="439"/>
        <v>0</v>
      </c>
      <c r="BY270" s="236">
        <v>35</v>
      </c>
      <c r="BZ270" s="237">
        <f t="shared" si="440"/>
        <v>48</v>
      </c>
      <c r="CA270" s="253">
        <f t="shared" si="441"/>
        <v>3.0748170731707316</v>
      </c>
      <c r="CB270" s="253" cm="1">
        <f t="array" ref="CB270">$BC270 * SUMPRODUCT(INDEX($AL$77:$AN$82,,$AE270),INDEX($AO$77:$AU$82,,$AD270), N($AK$77:$AK$82&gt;$AI270)) / CA270 / 1000</f>
        <v>0</v>
      </c>
      <c r="CC270" s="250">
        <f t="shared" si="257"/>
        <v>30</v>
      </c>
      <c r="CD270" s="237">
        <f t="shared" si="442"/>
        <v>43</v>
      </c>
      <c r="CE270" s="253">
        <f t="shared" si="443"/>
        <v>3.5018750000000001</v>
      </c>
      <c r="CF270" s="253" cm="1">
        <f t="array" ref="CF270">$BC270 * IF($AD270&lt;=2,
SUMPRODUCT(INDEX($AL$72:$AN$76,,$AE270), INDEX($AO$72:$AU$76,,$AD270), 1 / ($AV$72:$AV$76*CE270 + (1-$AV$72:$AV$76)*CA270), N($AK$72:$AK$76&gt;$AI270)),
SUMPRODUCT(INDEX($AL$67:$AN$76,,$AE270), INDEX($AO$67:$AU$76,,$AD270), 1 / ($AW$67:$AW$76*CE270 + (1-$AW$67:$AW$76)*CA270), N($AK$67:$AK$76&gt;$AI270))
) / 1000</f>
        <v>0</v>
      </c>
      <c r="CG270" s="250">
        <f t="shared" si="260"/>
        <v>25</v>
      </c>
      <c r="CH270" s="237">
        <f t="shared" si="444"/>
        <v>38</v>
      </c>
      <c r="CI270" s="253">
        <f t="shared" si="445"/>
        <v>4.0666935483870965</v>
      </c>
      <c r="CJ270" s="253" cm="1">
        <f t="array" ref="CJ270">$BC270 * IF($AD270&lt;=2,
SUMPRODUCT(INDEX($AL$67:$AN$71,,$AE270), INDEX($AO$67:$AU$71,,$AD270), 1 / ($AV$67:$AV$71*CI270 + (1-$AV$67:$AV$71)*CE270), N($AK$67:$AK$71&gt;$AI270)),
SUMPRODUCT(INDEX($AL$57:$AN$66,,$AE270), INDEX($AO$57:$AU$66,,$AD270), 1 / ($AW$57:$AW$66*CI270 + (1-$AW$57:$AW$66)*CE270), N($AK$57:$AK$66&gt;$AI270))
) / 1000</f>
        <v>0</v>
      </c>
      <c r="CK270" s="250">
        <f t="shared" si="263"/>
        <v>20</v>
      </c>
      <c r="CL270" s="237">
        <f t="shared" si="446"/>
        <v>33</v>
      </c>
      <c r="CM270" s="253">
        <f t="shared" si="447"/>
        <v>4.8487499999999999</v>
      </c>
      <c r="CN270" s="253" cm="1">
        <f t="array" ref="CN270">$BC270 * IF($AD270&lt;=2,
SUMPRODUCT(INDEX($AL$62:$AN$66,,$AE270), INDEX($AO$62:$AU$66,,$AD270), 1 / ($AV$62:$AV$66*CM270 + (1-$AV$62:$AV$66)*CI270), N($AK$62:$AK$66&gt;$AI270)),
SUMPRODUCT(INDEX($AL$47:$AN$56,,$AE270), INDEX($AO$47:$AU$56,,$AD270), 1 / ($AW$47:$AW$56*CM270 + (1-$AW$47:$AW$56)*CI270), N($AK$47:$AK$56&gt;$AI270))
) / 1000</f>
        <v>0</v>
      </c>
      <c r="CO270" s="253" cm="1">
        <f t="array" ref="CO270">$BC270 * IF($AD270&lt;=2,
SUMPRODUCT(INDEX($AL$23:$AN$61,,$AE270), INDEX($AO$23:$AU$61,,$AD270), 1 / ($AV$23:$AV$61*CM270), N($AK$23:$AK$61&gt;$AI270)),
SUMPRODUCT(INDEX($AL$23:$AN$46,,$AE270), INDEX($AO$23:$AU$46,,$AD270), 1 / ($AW$23:$AW$46*CM270), N($AK$23:$AK$46&gt;$AI270))
) / 1000</f>
        <v>0</v>
      </c>
      <c r="CP270" s="237">
        <f t="shared" si="448"/>
        <v>0</v>
      </c>
      <c r="CQ270" s="210"/>
    </row>
    <row r="271" spans="1:95" s="76" customFormat="1" ht="14.25" customHeight="1" x14ac:dyDescent="0.2">
      <c r="A271" s="238" t="b">
        <f t="shared" si="227"/>
        <v>0</v>
      </c>
      <c r="B271" s="239">
        <v>249</v>
      </c>
      <c r="C271" s="258"/>
      <c r="D271" s="258"/>
      <c r="E271" s="240"/>
      <c r="F271" s="241" t="str">
        <f>IF(ISBLANK(E271), "", VLOOKUP(E271, Z!$A$2:$C$4127, 3, FALSE))</f>
        <v/>
      </c>
      <c r="G271" s="242"/>
      <c r="H271" s="242"/>
      <c r="I271" s="243"/>
      <c r="J271" s="244"/>
      <c r="K271" s="259"/>
      <c r="L271" s="260"/>
      <c r="M271" s="247" t="str" cm="1">
        <f t="array" ref="M271">IF($K271&gt;0, INDEX(Clean,1+AG271,$C$1), "")</f>
        <v/>
      </c>
      <c r="N271" s="245"/>
      <c r="O271" s="245"/>
      <c r="P271" s="246"/>
      <c r="Q271" s="248">
        <f t="shared" si="425"/>
        <v>0</v>
      </c>
      <c r="R271" s="247" t="str" cm="1">
        <f t="array" ref="R271">IF($K271&gt;0, INDEX(Clean,1+AH271,$C$1), "")</f>
        <v/>
      </c>
      <c r="S271" s="245"/>
      <c r="T271" s="245"/>
      <c r="U271" s="246"/>
      <c r="V271" s="248">
        <f t="shared" si="426"/>
        <v>0</v>
      </c>
      <c r="W271" s="261"/>
      <c r="X271" s="258"/>
      <c r="Y271" s="240"/>
      <c r="Z271" s="241" t="str">
        <f>IF(ISBLANK(Y271), "", VLOOKUP(Y271, Z!$A$2:$C$4127, 3, FALSE))</f>
        <v/>
      </c>
      <c r="AA271" s="262"/>
      <c r="AB271" s="249">
        <f t="shared" si="424"/>
        <v>0</v>
      </c>
      <c r="AC271" s="210"/>
      <c r="AD271" s="236">
        <f t="shared" si="449"/>
        <v>1</v>
      </c>
      <c r="AE271" s="236">
        <f t="shared" si="450"/>
        <v>1</v>
      </c>
      <c r="AF271" s="236">
        <f t="shared" si="451"/>
        <v>0</v>
      </c>
      <c r="AG271" s="236">
        <v>1</v>
      </c>
      <c r="AH271" s="236">
        <v>0</v>
      </c>
      <c r="AI271" s="236">
        <f t="shared" si="427"/>
        <v>-100</v>
      </c>
      <c r="AJ271" s="210"/>
      <c r="AK271" s="254"/>
      <c r="AL271" s="254"/>
      <c r="AM271" s="255"/>
      <c r="AN271" s="255"/>
      <c r="AO271" s="255"/>
      <c r="AP271" s="255"/>
      <c r="AQ271" s="255"/>
      <c r="AR271" s="255"/>
      <c r="AS271" s="255"/>
      <c r="AT271" s="255"/>
      <c r="AU271" s="255"/>
      <c r="AV271" s="255"/>
      <c r="AW271" s="255"/>
      <c r="AX271" s="210"/>
      <c r="AY271" s="236" cm="1">
        <f t="array" ref="AY271">INDEX(Use, $AD271, 4)</f>
        <v>7</v>
      </c>
      <c r="AZ271" s="236">
        <f t="shared" si="428"/>
        <v>32</v>
      </c>
      <c r="BA271" s="236">
        <f t="shared" si="239"/>
        <v>13</v>
      </c>
      <c r="BB271" s="236">
        <f t="shared" si="240"/>
        <v>0</v>
      </c>
      <c r="BC271" s="252" cm="1">
        <f t="array" ref="BC271">K271/IF($L271&gt;0, INDEX($AO$23:$AU$77, $L271+20, $AD271), 1)</f>
        <v>0</v>
      </c>
      <c r="BD271" s="237">
        <f t="shared" si="429"/>
        <v>0</v>
      </c>
      <c r="BE271" s="236">
        <v>35</v>
      </c>
      <c r="BF271" s="237">
        <f t="shared" si="430"/>
        <v>52.55</v>
      </c>
      <c r="BG271" s="253">
        <f t="shared" si="431"/>
        <v>2.7676728869374316</v>
      </c>
      <c r="BH271" s="253" cm="1">
        <f t="array" ref="BH271">$BC271 * SUMPRODUCT(INDEX($AL$77:$AN$82,,$AE271),INDEX($AO$77:$AU$82,,$AD271), N($AK$77:$AK$82&gt;$AI271)) / BG271 / 1000</f>
        <v>0</v>
      </c>
      <c r="BI271" s="250">
        <f t="shared" si="244"/>
        <v>30</v>
      </c>
      <c r="BJ271" s="237">
        <f t="shared" si="432"/>
        <v>46.033333333333331</v>
      </c>
      <c r="BK271" s="253">
        <f t="shared" si="433"/>
        <v>3.2297395388556791</v>
      </c>
      <c r="BL271" s="253" cm="1">
        <f t="array" ref="BL271">$BC271 * IF($AD271&lt;=2,
SUMPRODUCT(INDEX($AL$72:$AN$76,,$AE271), INDEX($AO$72:$AU$76,,$AD271), 1 / ($AV$72:$AV$76*BK271 + (1-$AV$72:$AV$76)*BG271), N($AK$72:$AK$76&gt;$AI271)),
SUMPRODUCT(INDEX($AL$67:$AN$76,,$AE271), INDEX($AO$67:$AU$76,,$AD271), 1 / ($AW$67:$AW$76*BK271 + (1-$AW$67:$AW$76)*BG271), N($AK$67:$AK$76&gt;$AI271))
) / 1000</f>
        <v>0</v>
      </c>
      <c r="BM271" s="250">
        <f t="shared" si="247"/>
        <v>25</v>
      </c>
      <c r="BN271" s="237">
        <f t="shared" si="434"/>
        <v>39.516666666666666</v>
      </c>
      <c r="BO271" s="253">
        <f t="shared" si="435"/>
        <v>3.877011788826243</v>
      </c>
      <c r="BP271" s="253" cm="1">
        <f t="array" ref="BP271">$BC271 * IF($AD271&lt;=2,
SUMPRODUCT(INDEX($AL$67:$AN$71,,$AE271), INDEX($AO$67:$AU$71,,$AD271), 1 / ($AV$67:$AV$71*BO271 + (1-$AV$67:$AV$71)*BK271), N($AK$67:$AK$71&gt;$AI271)),
SUMPRODUCT(INDEX($AL$57:$AN$66,,$AE271), INDEX($AO$57:$AU$66,,$AD271), 1 / ($AW$57:$AW$66*BO271 + (1-$AW$57:$AW$66)*BK271), N($AK$57:$AK$66&gt;$AI271))
) / 1000</f>
        <v>0</v>
      </c>
      <c r="BQ271" s="250">
        <f t="shared" si="250"/>
        <v>20</v>
      </c>
      <c r="BR271" s="237">
        <f t="shared" si="436"/>
        <v>33</v>
      </c>
      <c r="BS271" s="253">
        <f t="shared" si="437"/>
        <v>4.8487499999999999</v>
      </c>
      <c r="BT271" s="253" cm="1">
        <f t="array" ref="BT271">$BC271 * IF($AD271&lt;=2,
SUMPRODUCT(INDEX($AL$62:$AN$66,,$AE271), INDEX($AO$62:$AU$66,,$AD271), 1 / ($AV$62:$AV$66*BS271 + (1-$AV$62:$AV$66)*BO271), N($AK$62:$AK$66&gt;$AI271)),
SUMPRODUCT(INDEX($AL$47:$AN$56,,$AE271), INDEX($AO$47:$AU$56,,$AD271), 1 / ($AW$47:$AW$56*BS271 + (1-$AW$47:$AW$56)*BO271), N($AK$47:$AK$56&gt;$AI271))
) / 1000</f>
        <v>0</v>
      </c>
      <c r="BU271" s="253" cm="1">
        <f t="array" ref="BU271">$BC271 * IF($AD271&lt;=2,
SUMPRODUCT(INDEX($AL$23:$AN$61,,$AE271), INDEX($AO$23:$AU$61,,$AD271), 1 / ($AV$23:$AV$61*BS271), N($AK$23:$AK$61&gt;$AI271)),
SUMPRODUCT(INDEX($AL$23:$AN$46,,$AE271), INDEX($AO$23:$AU$46,,$AD271), 1 / ($AW$23:$AW$46*BS271), N($AK$23:$AK$46&gt;$AI271))
) / 1000</f>
        <v>0</v>
      </c>
      <c r="BV271" s="237">
        <f t="shared" si="438"/>
        <v>0</v>
      </c>
      <c r="BW271" s="210"/>
      <c r="BX271" s="237">
        <f t="shared" si="439"/>
        <v>0</v>
      </c>
      <c r="BY271" s="236">
        <v>35</v>
      </c>
      <c r="BZ271" s="237">
        <f t="shared" si="440"/>
        <v>48</v>
      </c>
      <c r="CA271" s="253">
        <f t="shared" si="441"/>
        <v>3.0748170731707316</v>
      </c>
      <c r="CB271" s="253" cm="1">
        <f t="array" ref="CB271">$BC271 * SUMPRODUCT(INDEX($AL$77:$AN$82,,$AE271),INDEX($AO$77:$AU$82,,$AD271), N($AK$77:$AK$82&gt;$AI271)) / CA271 / 1000</f>
        <v>0</v>
      </c>
      <c r="CC271" s="250">
        <f t="shared" si="257"/>
        <v>30</v>
      </c>
      <c r="CD271" s="237">
        <f t="shared" si="442"/>
        <v>43</v>
      </c>
      <c r="CE271" s="253">
        <f t="shared" si="443"/>
        <v>3.5018750000000001</v>
      </c>
      <c r="CF271" s="253" cm="1">
        <f t="array" ref="CF271">$BC271 * IF($AD271&lt;=2,
SUMPRODUCT(INDEX($AL$72:$AN$76,,$AE271), INDEX($AO$72:$AU$76,,$AD271), 1 / ($AV$72:$AV$76*CE271 + (1-$AV$72:$AV$76)*CA271), N($AK$72:$AK$76&gt;$AI271)),
SUMPRODUCT(INDEX($AL$67:$AN$76,,$AE271), INDEX($AO$67:$AU$76,,$AD271), 1 / ($AW$67:$AW$76*CE271 + (1-$AW$67:$AW$76)*CA271), N($AK$67:$AK$76&gt;$AI271))
) / 1000</f>
        <v>0</v>
      </c>
      <c r="CG271" s="250">
        <f t="shared" si="260"/>
        <v>25</v>
      </c>
      <c r="CH271" s="237">
        <f t="shared" si="444"/>
        <v>38</v>
      </c>
      <c r="CI271" s="253">
        <f t="shared" si="445"/>
        <v>4.0666935483870965</v>
      </c>
      <c r="CJ271" s="253" cm="1">
        <f t="array" ref="CJ271">$BC271 * IF($AD271&lt;=2,
SUMPRODUCT(INDEX($AL$67:$AN$71,,$AE271), INDEX($AO$67:$AU$71,,$AD271), 1 / ($AV$67:$AV$71*CI271 + (1-$AV$67:$AV$71)*CE271), N($AK$67:$AK$71&gt;$AI271)),
SUMPRODUCT(INDEX($AL$57:$AN$66,,$AE271), INDEX($AO$57:$AU$66,,$AD271), 1 / ($AW$57:$AW$66*CI271 + (1-$AW$57:$AW$66)*CE271), N($AK$57:$AK$66&gt;$AI271))
) / 1000</f>
        <v>0</v>
      </c>
      <c r="CK271" s="250">
        <f t="shared" si="263"/>
        <v>20</v>
      </c>
      <c r="CL271" s="237">
        <f t="shared" si="446"/>
        <v>33</v>
      </c>
      <c r="CM271" s="253">
        <f t="shared" si="447"/>
        <v>4.8487499999999999</v>
      </c>
      <c r="CN271" s="253" cm="1">
        <f t="array" ref="CN271">$BC271 * IF($AD271&lt;=2,
SUMPRODUCT(INDEX($AL$62:$AN$66,,$AE271), INDEX($AO$62:$AU$66,,$AD271), 1 / ($AV$62:$AV$66*CM271 + (1-$AV$62:$AV$66)*CI271), N($AK$62:$AK$66&gt;$AI271)),
SUMPRODUCT(INDEX($AL$47:$AN$56,,$AE271), INDEX($AO$47:$AU$56,,$AD271), 1 / ($AW$47:$AW$56*CM271 + (1-$AW$47:$AW$56)*CI271), N($AK$47:$AK$56&gt;$AI271))
) / 1000</f>
        <v>0</v>
      </c>
      <c r="CO271" s="253" cm="1">
        <f t="array" ref="CO271">$BC271 * IF($AD271&lt;=2,
SUMPRODUCT(INDEX($AL$23:$AN$61,,$AE271), INDEX($AO$23:$AU$61,,$AD271), 1 / ($AV$23:$AV$61*CM271), N($AK$23:$AK$61&gt;$AI271)),
SUMPRODUCT(INDEX($AL$23:$AN$46,,$AE271), INDEX($AO$23:$AU$46,,$AD271), 1 / ($AW$23:$AW$46*CM271), N($AK$23:$AK$46&gt;$AI271))
) / 1000</f>
        <v>0</v>
      </c>
      <c r="CP271" s="237">
        <f t="shared" si="448"/>
        <v>0</v>
      </c>
      <c r="CQ271" s="210"/>
    </row>
    <row r="272" spans="1:95" s="76" customFormat="1" ht="14.25" customHeight="1" x14ac:dyDescent="0.2">
      <c r="A272" s="238" t="b">
        <f t="shared" si="227"/>
        <v>0</v>
      </c>
      <c r="B272" s="239">
        <v>250</v>
      </c>
      <c r="C272" s="258"/>
      <c r="D272" s="258"/>
      <c r="E272" s="240"/>
      <c r="F272" s="241" t="str">
        <f>IF(ISBLANK(E272), "", VLOOKUP(E272, Z!$A$2:$C$4127, 3, FALSE))</f>
        <v/>
      </c>
      <c r="G272" s="242"/>
      <c r="H272" s="242"/>
      <c r="I272" s="243"/>
      <c r="J272" s="244"/>
      <c r="K272" s="259"/>
      <c r="L272" s="260"/>
      <c r="M272" s="247" t="str" cm="1">
        <f t="array" ref="M272">IF($K272&gt;0, INDEX(Clean,1+AG272,$C$1), "")</f>
        <v/>
      </c>
      <c r="N272" s="245"/>
      <c r="O272" s="245"/>
      <c r="P272" s="246"/>
      <c r="Q272" s="248">
        <f t="shared" si="425"/>
        <v>0</v>
      </c>
      <c r="R272" s="247" t="str" cm="1">
        <f t="array" ref="R272">IF($K272&gt;0, INDEX(Clean,1+AH272,$C$1), "")</f>
        <v/>
      </c>
      <c r="S272" s="245"/>
      <c r="T272" s="245"/>
      <c r="U272" s="246"/>
      <c r="V272" s="248">
        <f t="shared" si="426"/>
        <v>0</v>
      </c>
      <c r="W272" s="261"/>
      <c r="X272" s="258"/>
      <c r="Y272" s="240"/>
      <c r="Z272" s="241" t="str">
        <f>IF(ISBLANK(Y272), "", VLOOKUP(Y272, Z!$A$2:$C$4127, 3, FALSE))</f>
        <v/>
      </c>
      <c r="AA272" s="262"/>
      <c r="AB272" s="249">
        <f t="shared" si="424"/>
        <v>0</v>
      </c>
      <c r="AC272" s="210"/>
      <c r="AD272" s="236">
        <f t="shared" si="449"/>
        <v>1</v>
      </c>
      <c r="AE272" s="236">
        <f t="shared" si="450"/>
        <v>1</v>
      </c>
      <c r="AF272" s="236">
        <f t="shared" si="451"/>
        <v>0</v>
      </c>
      <c r="AG272" s="236">
        <v>1</v>
      </c>
      <c r="AH272" s="236">
        <v>0</v>
      </c>
      <c r="AI272" s="236">
        <f t="shared" si="427"/>
        <v>-100</v>
      </c>
      <c r="AJ272" s="210"/>
      <c r="AK272" s="254"/>
      <c r="AL272" s="254"/>
      <c r="AM272" s="255"/>
      <c r="AN272" s="255"/>
      <c r="AO272" s="255"/>
      <c r="AP272" s="255"/>
      <c r="AQ272" s="255"/>
      <c r="AR272" s="255"/>
      <c r="AS272" s="255"/>
      <c r="AT272" s="255"/>
      <c r="AU272" s="255"/>
      <c r="AV272" s="255"/>
      <c r="AW272" s="255"/>
      <c r="AX272" s="210"/>
      <c r="AY272" s="236" cm="1">
        <f t="array" ref="AY272">INDEX(Use, $AD272, 4)</f>
        <v>7</v>
      </c>
      <c r="AZ272" s="236">
        <f t="shared" si="428"/>
        <v>32</v>
      </c>
      <c r="BA272" s="236">
        <f t="shared" si="239"/>
        <v>13</v>
      </c>
      <c r="BB272" s="236">
        <f t="shared" si="240"/>
        <v>0</v>
      </c>
      <c r="BC272" s="252" cm="1">
        <f t="array" ref="BC272">K272/IF($L272&gt;0, INDEX($AO$23:$AU$77, $L272+20, $AD272), 1)</f>
        <v>0</v>
      </c>
      <c r="BD272" s="237">
        <f t="shared" si="429"/>
        <v>0</v>
      </c>
      <c r="BE272" s="236">
        <v>35</v>
      </c>
      <c r="BF272" s="237">
        <f t="shared" si="430"/>
        <v>52.55</v>
      </c>
      <c r="BG272" s="253">
        <f t="shared" si="431"/>
        <v>2.7676728869374316</v>
      </c>
      <c r="BH272" s="253" cm="1">
        <f t="array" ref="BH272">$BC272 * SUMPRODUCT(INDEX($AL$77:$AN$82,,$AE272),INDEX($AO$77:$AU$82,,$AD272), N($AK$77:$AK$82&gt;$AI272)) / BG272 / 1000</f>
        <v>0</v>
      </c>
      <c r="BI272" s="250">
        <f t="shared" si="244"/>
        <v>30</v>
      </c>
      <c r="BJ272" s="237">
        <f t="shared" si="432"/>
        <v>46.033333333333331</v>
      </c>
      <c r="BK272" s="253">
        <f t="shared" si="433"/>
        <v>3.2297395388556791</v>
      </c>
      <c r="BL272" s="253" cm="1">
        <f t="array" ref="BL272">$BC272 * IF($AD272&lt;=2,
SUMPRODUCT(INDEX($AL$72:$AN$76,,$AE272), INDEX($AO$72:$AU$76,,$AD272), 1 / ($AV$72:$AV$76*BK272 + (1-$AV$72:$AV$76)*BG272), N($AK$72:$AK$76&gt;$AI272)),
SUMPRODUCT(INDEX($AL$67:$AN$76,,$AE272), INDEX($AO$67:$AU$76,,$AD272), 1 / ($AW$67:$AW$76*BK272 + (1-$AW$67:$AW$76)*BG272), N($AK$67:$AK$76&gt;$AI272))
) / 1000</f>
        <v>0</v>
      </c>
      <c r="BM272" s="250">
        <f t="shared" si="247"/>
        <v>25</v>
      </c>
      <c r="BN272" s="237">
        <f t="shared" si="434"/>
        <v>39.516666666666666</v>
      </c>
      <c r="BO272" s="253">
        <f t="shared" si="435"/>
        <v>3.877011788826243</v>
      </c>
      <c r="BP272" s="253" cm="1">
        <f t="array" ref="BP272">$BC272 * IF($AD272&lt;=2,
SUMPRODUCT(INDEX($AL$67:$AN$71,,$AE272), INDEX($AO$67:$AU$71,,$AD272), 1 / ($AV$67:$AV$71*BO272 + (1-$AV$67:$AV$71)*BK272), N($AK$67:$AK$71&gt;$AI272)),
SUMPRODUCT(INDEX($AL$57:$AN$66,,$AE272), INDEX($AO$57:$AU$66,,$AD272), 1 / ($AW$57:$AW$66*BO272 + (1-$AW$57:$AW$66)*BK272), N($AK$57:$AK$66&gt;$AI272))
) / 1000</f>
        <v>0</v>
      </c>
      <c r="BQ272" s="250">
        <f t="shared" si="250"/>
        <v>20</v>
      </c>
      <c r="BR272" s="237">
        <f t="shared" si="436"/>
        <v>33</v>
      </c>
      <c r="BS272" s="253">
        <f t="shared" si="437"/>
        <v>4.8487499999999999</v>
      </c>
      <c r="BT272" s="253" cm="1">
        <f t="array" ref="BT272">$BC272 * IF($AD272&lt;=2,
SUMPRODUCT(INDEX($AL$62:$AN$66,,$AE272), INDEX($AO$62:$AU$66,,$AD272), 1 / ($AV$62:$AV$66*BS272 + (1-$AV$62:$AV$66)*BO272), N($AK$62:$AK$66&gt;$AI272)),
SUMPRODUCT(INDEX($AL$47:$AN$56,,$AE272), INDEX($AO$47:$AU$56,,$AD272), 1 / ($AW$47:$AW$56*BS272 + (1-$AW$47:$AW$56)*BO272), N($AK$47:$AK$56&gt;$AI272))
) / 1000</f>
        <v>0</v>
      </c>
      <c r="BU272" s="253" cm="1">
        <f t="array" ref="BU272">$BC272 * IF($AD272&lt;=2,
SUMPRODUCT(INDEX($AL$23:$AN$61,,$AE272), INDEX($AO$23:$AU$61,,$AD272), 1 / ($AV$23:$AV$61*BS272), N($AK$23:$AK$61&gt;$AI272)),
SUMPRODUCT(INDEX($AL$23:$AN$46,,$AE272), INDEX($AO$23:$AU$46,,$AD272), 1 / ($AW$23:$AW$46*BS272), N($AK$23:$AK$46&gt;$AI272))
) / 1000</f>
        <v>0</v>
      </c>
      <c r="BV272" s="237">
        <f t="shared" si="438"/>
        <v>0</v>
      </c>
      <c r="BW272" s="210"/>
      <c r="BX272" s="237">
        <f t="shared" si="439"/>
        <v>0</v>
      </c>
      <c r="BY272" s="236">
        <v>35</v>
      </c>
      <c r="BZ272" s="237">
        <f t="shared" si="440"/>
        <v>48</v>
      </c>
      <c r="CA272" s="253">
        <f t="shared" si="441"/>
        <v>3.0748170731707316</v>
      </c>
      <c r="CB272" s="253" cm="1">
        <f t="array" ref="CB272">$BC272 * SUMPRODUCT(INDEX($AL$77:$AN$82,,$AE272),INDEX($AO$77:$AU$82,,$AD272), N($AK$77:$AK$82&gt;$AI272)) / CA272 / 1000</f>
        <v>0</v>
      </c>
      <c r="CC272" s="250">
        <f t="shared" si="257"/>
        <v>30</v>
      </c>
      <c r="CD272" s="237">
        <f t="shared" si="442"/>
        <v>43</v>
      </c>
      <c r="CE272" s="253">
        <f t="shared" si="443"/>
        <v>3.5018750000000001</v>
      </c>
      <c r="CF272" s="253" cm="1">
        <f t="array" ref="CF272">$BC272 * IF($AD272&lt;=2,
SUMPRODUCT(INDEX($AL$72:$AN$76,,$AE272), INDEX($AO$72:$AU$76,,$AD272), 1 / ($AV$72:$AV$76*CE272 + (1-$AV$72:$AV$76)*CA272), N($AK$72:$AK$76&gt;$AI272)),
SUMPRODUCT(INDEX($AL$67:$AN$76,,$AE272), INDEX($AO$67:$AU$76,,$AD272), 1 / ($AW$67:$AW$76*CE272 + (1-$AW$67:$AW$76)*CA272), N($AK$67:$AK$76&gt;$AI272))
) / 1000</f>
        <v>0</v>
      </c>
      <c r="CG272" s="250">
        <f t="shared" si="260"/>
        <v>25</v>
      </c>
      <c r="CH272" s="237">
        <f t="shared" si="444"/>
        <v>38</v>
      </c>
      <c r="CI272" s="253">
        <f t="shared" si="445"/>
        <v>4.0666935483870965</v>
      </c>
      <c r="CJ272" s="253" cm="1">
        <f t="array" ref="CJ272">$BC272 * IF($AD272&lt;=2,
SUMPRODUCT(INDEX($AL$67:$AN$71,,$AE272), INDEX($AO$67:$AU$71,,$AD272), 1 / ($AV$67:$AV$71*CI272 + (1-$AV$67:$AV$71)*CE272), N($AK$67:$AK$71&gt;$AI272)),
SUMPRODUCT(INDEX($AL$57:$AN$66,,$AE272), INDEX($AO$57:$AU$66,,$AD272), 1 / ($AW$57:$AW$66*CI272 + (1-$AW$57:$AW$66)*CE272), N($AK$57:$AK$66&gt;$AI272))
) / 1000</f>
        <v>0</v>
      </c>
      <c r="CK272" s="250">
        <f t="shared" si="263"/>
        <v>20</v>
      </c>
      <c r="CL272" s="237">
        <f t="shared" si="446"/>
        <v>33</v>
      </c>
      <c r="CM272" s="253">
        <f t="shared" si="447"/>
        <v>4.8487499999999999</v>
      </c>
      <c r="CN272" s="253" cm="1">
        <f t="array" ref="CN272">$BC272 * IF($AD272&lt;=2,
SUMPRODUCT(INDEX($AL$62:$AN$66,,$AE272), INDEX($AO$62:$AU$66,,$AD272), 1 / ($AV$62:$AV$66*CM272 + (1-$AV$62:$AV$66)*CI272), N($AK$62:$AK$66&gt;$AI272)),
SUMPRODUCT(INDEX($AL$47:$AN$56,,$AE272), INDEX($AO$47:$AU$56,,$AD272), 1 / ($AW$47:$AW$56*CM272 + (1-$AW$47:$AW$56)*CI272), N($AK$47:$AK$56&gt;$AI272))
) / 1000</f>
        <v>0</v>
      </c>
      <c r="CO272" s="253" cm="1">
        <f t="array" ref="CO272">$BC272 * IF($AD272&lt;=2,
SUMPRODUCT(INDEX($AL$23:$AN$61,,$AE272), INDEX($AO$23:$AU$61,,$AD272), 1 / ($AV$23:$AV$61*CM272), N($AK$23:$AK$61&gt;$AI272)),
SUMPRODUCT(INDEX($AL$23:$AN$46,,$AE272), INDEX($AO$23:$AU$46,,$AD272), 1 / ($AW$23:$AW$46*CM272), N($AK$23:$AK$46&gt;$AI272))
) / 1000</f>
        <v>0</v>
      </c>
      <c r="CP272" s="237">
        <f t="shared" si="448"/>
        <v>0</v>
      </c>
      <c r="CQ272" s="210"/>
    </row>
    <row r="273" spans="1:95" s="76" customFormat="1" ht="14.25" customHeight="1" x14ac:dyDescent="0.2">
      <c r="A273" s="238" t="b">
        <f t="shared" si="227"/>
        <v>0</v>
      </c>
      <c r="B273" s="239">
        <v>251</v>
      </c>
      <c r="C273" s="258"/>
      <c r="D273" s="258"/>
      <c r="E273" s="240"/>
      <c r="F273" s="241" t="str">
        <f>IF(ISBLANK(E273), "", VLOOKUP(E273, Z!$A$2:$C$4127, 3, FALSE))</f>
        <v/>
      </c>
      <c r="G273" s="242"/>
      <c r="H273" s="242"/>
      <c r="I273" s="243"/>
      <c r="J273" s="244"/>
      <c r="K273" s="259"/>
      <c r="L273" s="260"/>
      <c r="M273" s="247" t="str" cm="1">
        <f t="array" ref="M273">IF($K273&gt;0, INDEX(Clean,1+AG273,$C$1), "")</f>
        <v/>
      </c>
      <c r="N273" s="245"/>
      <c r="O273" s="245"/>
      <c r="P273" s="246"/>
      <c r="Q273" s="248">
        <f t="shared" si="425"/>
        <v>0</v>
      </c>
      <c r="R273" s="247" t="str" cm="1">
        <f t="array" ref="R273">IF($K273&gt;0, INDEX(Clean,1+AH273,$C$1), "")</f>
        <v/>
      </c>
      <c r="S273" s="245"/>
      <c r="T273" s="245"/>
      <c r="U273" s="246"/>
      <c r="V273" s="248">
        <f t="shared" si="426"/>
        <v>0</v>
      </c>
      <c r="W273" s="261"/>
      <c r="X273" s="258"/>
      <c r="Y273" s="240"/>
      <c r="Z273" s="241" t="str">
        <f>IF(ISBLANK(Y273), "", VLOOKUP(Y273, Z!$A$2:$C$4127, 3, FALSE))</f>
        <v/>
      </c>
      <c r="AA273" s="262"/>
      <c r="AB273" s="249">
        <f t="shared" si="424"/>
        <v>0</v>
      </c>
      <c r="AC273" s="210"/>
      <c r="AD273" s="236">
        <f t="shared" si="449"/>
        <v>1</v>
      </c>
      <c r="AE273" s="236">
        <f t="shared" si="450"/>
        <v>1</v>
      </c>
      <c r="AF273" s="236">
        <f t="shared" si="451"/>
        <v>0</v>
      </c>
      <c r="AG273" s="236">
        <v>1</v>
      </c>
      <c r="AH273" s="236">
        <v>0</v>
      </c>
      <c r="AI273" s="236">
        <f t="shared" si="427"/>
        <v>-100</v>
      </c>
      <c r="AJ273" s="210"/>
      <c r="AK273" s="254"/>
      <c r="AL273" s="254"/>
      <c r="AM273" s="255"/>
      <c r="AN273" s="255"/>
      <c r="AO273" s="255"/>
      <c r="AP273" s="255"/>
      <c r="AQ273" s="255"/>
      <c r="AR273" s="255"/>
      <c r="AS273" s="255"/>
      <c r="AT273" s="255"/>
      <c r="AU273" s="255"/>
      <c r="AV273" s="255"/>
      <c r="AW273" s="255"/>
      <c r="AX273" s="210"/>
      <c r="AY273" s="236" cm="1">
        <f t="array" ref="AY273">INDEX(Use, $AD273, 4)</f>
        <v>7</v>
      </c>
      <c r="AZ273" s="236">
        <f t="shared" si="428"/>
        <v>32</v>
      </c>
      <c r="BA273" s="236">
        <f t="shared" si="239"/>
        <v>13</v>
      </c>
      <c r="BB273" s="236">
        <f t="shared" si="240"/>
        <v>0</v>
      </c>
      <c r="BC273" s="252" cm="1">
        <f t="array" ref="BC273">K273/IF($L273&gt;0, INDEX($AO$23:$AU$77, $L273+20, $AD273), 1)</f>
        <v>0</v>
      </c>
      <c r="BD273" s="237">
        <f t="shared" si="429"/>
        <v>0</v>
      </c>
      <c r="BE273" s="236">
        <v>35</v>
      </c>
      <c r="BF273" s="237">
        <f t="shared" si="430"/>
        <v>52.55</v>
      </c>
      <c r="BG273" s="253">
        <f t="shared" si="431"/>
        <v>2.7676728869374316</v>
      </c>
      <c r="BH273" s="253" cm="1">
        <f t="array" ref="BH273">$BC273 * SUMPRODUCT(INDEX($AL$77:$AN$82,,$AE273),INDEX($AO$77:$AU$82,,$AD273), N($AK$77:$AK$82&gt;$AI273)) / BG273 / 1000</f>
        <v>0</v>
      </c>
      <c r="BI273" s="250">
        <f t="shared" si="244"/>
        <v>30</v>
      </c>
      <c r="BJ273" s="237">
        <f t="shared" si="432"/>
        <v>46.033333333333331</v>
      </c>
      <c r="BK273" s="253">
        <f t="shared" si="433"/>
        <v>3.2297395388556791</v>
      </c>
      <c r="BL273" s="253" cm="1">
        <f t="array" ref="BL273">$BC273 * IF($AD273&lt;=2,
SUMPRODUCT(INDEX($AL$72:$AN$76,,$AE273), INDEX($AO$72:$AU$76,,$AD273), 1 / ($AV$72:$AV$76*BK273 + (1-$AV$72:$AV$76)*BG273), N($AK$72:$AK$76&gt;$AI273)),
SUMPRODUCT(INDEX($AL$67:$AN$76,,$AE273), INDEX($AO$67:$AU$76,,$AD273), 1 / ($AW$67:$AW$76*BK273 + (1-$AW$67:$AW$76)*BG273), N($AK$67:$AK$76&gt;$AI273))
) / 1000</f>
        <v>0</v>
      </c>
      <c r="BM273" s="250">
        <f t="shared" si="247"/>
        <v>25</v>
      </c>
      <c r="BN273" s="237">
        <f t="shared" si="434"/>
        <v>39.516666666666666</v>
      </c>
      <c r="BO273" s="253">
        <f t="shared" si="435"/>
        <v>3.877011788826243</v>
      </c>
      <c r="BP273" s="253" cm="1">
        <f t="array" ref="BP273">$BC273 * IF($AD273&lt;=2,
SUMPRODUCT(INDEX($AL$67:$AN$71,,$AE273), INDEX($AO$67:$AU$71,,$AD273), 1 / ($AV$67:$AV$71*BO273 + (1-$AV$67:$AV$71)*BK273), N($AK$67:$AK$71&gt;$AI273)),
SUMPRODUCT(INDEX($AL$57:$AN$66,,$AE273), INDEX($AO$57:$AU$66,,$AD273), 1 / ($AW$57:$AW$66*BO273 + (1-$AW$57:$AW$66)*BK273), N($AK$57:$AK$66&gt;$AI273))
) / 1000</f>
        <v>0</v>
      </c>
      <c r="BQ273" s="250">
        <f t="shared" si="250"/>
        <v>20</v>
      </c>
      <c r="BR273" s="237">
        <f t="shared" si="436"/>
        <v>33</v>
      </c>
      <c r="BS273" s="253">
        <f t="shared" si="437"/>
        <v>4.8487499999999999</v>
      </c>
      <c r="BT273" s="253" cm="1">
        <f t="array" ref="BT273">$BC273 * IF($AD273&lt;=2,
SUMPRODUCT(INDEX($AL$62:$AN$66,,$AE273), INDEX($AO$62:$AU$66,,$AD273), 1 / ($AV$62:$AV$66*BS273 + (1-$AV$62:$AV$66)*BO273), N($AK$62:$AK$66&gt;$AI273)),
SUMPRODUCT(INDEX($AL$47:$AN$56,,$AE273), INDEX($AO$47:$AU$56,,$AD273), 1 / ($AW$47:$AW$56*BS273 + (1-$AW$47:$AW$56)*BO273), N($AK$47:$AK$56&gt;$AI273))
) / 1000</f>
        <v>0</v>
      </c>
      <c r="BU273" s="253" cm="1">
        <f t="array" ref="BU273">$BC273 * IF($AD273&lt;=2,
SUMPRODUCT(INDEX($AL$23:$AN$61,,$AE273), INDEX($AO$23:$AU$61,,$AD273), 1 / ($AV$23:$AV$61*BS273), N($AK$23:$AK$61&gt;$AI273)),
SUMPRODUCT(INDEX($AL$23:$AN$46,,$AE273), INDEX($AO$23:$AU$46,,$AD273), 1 / ($AW$23:$AW$46*BS273), N($AK$23:$AK$46&gt;$AI273))
) / 1000</f>
        <v>0</v>
      </c>
      <c r="BV273" s="237">
        <f t="shared" si="438"/>
        <v>0</v>
      </c>
      <c r="BW273" s="210"/>
      <c r="BX273" s="237">
        <f t="shared" si="439"/>
        <v>0</v>
      </c>
      <c r="BY273" s="236">
        <v>35</v>
      </c>
      <c r="BZ273" s="237">
        <f t="shared" si="440"/>
        <v>48</v>
      </c>
      <c r="CA273" s="253">
        <f t="shared" si="441"/>
        <v>3.0748170731707316</v>
      </c>
      <c r="CB273" s="253" cm="1">
        <f t="array" ref="CB273">$BC273 * SUMPRODUCT(INDEX($AL$77:$AN$82,,$AE273),INDEX($AO$77:$AU$82,,$AD273), N($AK$77:$AK$82&gt;$AI273)) / CA273 / 1000</f>
        <v>0</v>
      </c>
      <c r="CC273" s="250">
        <f t="shared" si="257"/>
        <v>30</v>
      </c>
      <c r="CD273" s="237">
        <f t="shared" si="442"/>
        <v>43</v>
      </c>
      <c r="CE273" s="253">
        <f t="shared" si="443"/>
        <v>3.5018750000000001</v>
      </c>
      <c r="CF273" s="253" cm="1">
        <f t="array" ref="CF273">$BC273 * IF($AD273&lt;=2,
SUMPRODUCT(INDEX($AL$72:$AN$76,,$AE273), INDEX($AO$72:$AU$76,,$AD273), 1 / ($AV$72:$AV$76*CE273 + (1-$AV$72:$AV$76)*CA273), N($AK$72:$AK$76&gt;$AI273)),
SUMPRODUCT(INDEX($AL$67:$AN$76,,$AE273), INDEX($AO$67:$AU$76,,$AD273), 1 / ($AW$67:$AW$76*CE273 + (1-$AW$67:$AW$76)*CA273), N($AK$67:$AK$76&gt;$AI273))
) / 1000</f>
        <v>0</v>
      </c>
      <c r="CG273" s="250">
        <f t="shared" si="260"/>
        <v>25</v>
      </c>
      <c r="CH273" s="237">
        <f t="shared" si="444"/>
        <v>38</v>
      </c>
      <c r="CI273" s="253">
        <f t="shared" si="445"/>
        <v>4.0666935483870965</v>
      </c>
      <c r="CJ273" s="253" cm="1">
        <f t="array" ref="CJ273">$BC273 * IF($AD273&lt;=2,
SUMPRODUCT(INDEX($AL$67:$AN$71,,$AE273), INDEX($AO$67:$AU$71,,$AD273), 1 / ($AV$67:$AV$71*CI273 + (1-$AV$67:$AV$71)*CE273), N($AK$67:$AK$71&gt;$AI273)),
SUMPRODUCT(INDEX($AL$57:$AN$66,,$AE273), INDEX($AO$57:$AU$66,,$AD273), 1 / ($AW$57:$AW$66*CI273 + (1-$AW$57:$AW$66)*CE273), N($AK$57:$AK$66&gt;$AI273))
) / 1000</f>
        <v>0</v>
      </c>
      <c r="CK273" s="250">
        <f t="shared" si="263"/>
        <v>20</v>
      </c>
      <c r="CL273" s="237">
        <f t="shared" si="446"/>
        <v>33</v>
      </c>
      <c r="CM273" s="253">
        <f t="shared" si="447"/>
        <v>4.8487499999999999</v>
      </c>
      <c r="CN273" s="253" cm="1">
        <f t="array" ref="CN273">$BC273 * IF($AD273&lt;=2,
SUMPRODUCT(INDEX($AL$62:$AN$66,,$AE273), INDEX($AO$62:$AU$66,,$AD273), 1 / ($AV$62:$AV$66*CM273 + (1-$AV$62:$AV$66)*CI273), N($AK$62:$AK$66&gt;$AI273)),
SUMPRODUCT(INDEX($AL$47:$AN$56,,$AE273), INDEX($AO$47:$AU$56,,$AD273), 1 / ($AW$47:$AW$56*CM273 + (1-$AW$47:$AW$56)*CI273), N($AK$47:$AK$56&gt;$AI273))
) / 1000</f>
        <v>0</v>
      </c>
      <c r="CO273" s="253" cm="1">
        <f t="array" ref="CO273">$BC273 * IF($AD273&lt;=2,
SUMPRODUCT(INDEX($AL$23:$AN$61,,$AE273), INDEX($AO$23:$AU$61,,$AD273), 1 / ($AV$23:$AV$61*CM273), N($AK$23:$AK$61&gt;$AI273)),
SUMPRODUCT(INDEX($AL$23:$AN$46,,$AE273), INDEX($AO$23:$AU$46,,$AD273), 1 / ($AW$23:$AW$46*CM273), N($AK$23:$AK$46&gt;$AI273))
) / 1000</f>
        <v>0</v>
      </c>
      <c r="CP273" s="237">
        <f t="shared" si="448"/>
        <v>0</v>
      </c>
      <c r="CQ273" s="210"/>
    </row>
    <row r="274" spans="1:95" s="76" customFormat="1" ht="14.25" customHeight="1" x14ac:dyDescent="0.2">
      <c r="A274" s="238" t="b">
        <f t="shared" si="227"/>
        <v>0</v>
      </c>
      <c r="B274" s="239">
        <v>252</v>
      </c>
      <c r="C274" s="258"/>
      <c r="D274" s="258"/>
      <c r="E274" s="240"/>
      <c r="F274" s="241" t="str">
        <f>IF(ISBLANK(E274), "", VLOOKUP(E274, Z!$A$2:$C$4127, 3, FALSE))</f>
        <v/>
      </c>
      <c r="G274" s="242"/>
      <c r="H274" s="242"/>
      <c r="I274" s="243"/>
      <c r="J274" s="244"/>
      <c r="K274" s="259"/>
      <c r="L274" s="260"/>
      <c r="M274" s="247" t="str" cm="1">
        <f t="array" ref="M274">IF($K274&gt;0, INDEX(Clean,1+AG274,$C$1), "")</f>
        <v/>
      </c>
      <c r="N274" s="245"/>
      <c r="O274" s="245"/>
      <c r="P274" s="246"/>
      <c r="Q274" s="248">
        <f t="shared" si="425"/>
        <v>0</v>
      </c>
      <c r="R274" s="247" t="str" cm="1">
        <f t="array" ref="R274">IF($K274&gt;0, INDEX(Clean,1+AH274,$C$1), "")</f>
        <v/>
      </c>
      <c r="S274" s="245"/>
      <c r="T274" s="245"/>
      <c r="U274" s="246"/>
      <c r="V274" s="248">
        <f t="shared" si="426"/>
        <v>0</v>
      </c>
      <c r="W274" s="261"/>
      <c r="X274" s="258"/>
      <c r="Y274" s="240"/>
      <c r="Z274" s="241" t="str">
        <f>IF(ISBLANK(Y274), "", VLOOKUP(Y274, Z!$A$2:$C$4127, 3, FALSE))</f>
        <v/>
      </c>
      <c r="AA274" s="262"/>
      <c r="AB274" s="249">
        <f t="shared" si="424"/>
        <v>0</v>
      </c>
      <c r="AC274" s="210"/>
      <c r="AD274" s="236">
        <f t="shared" si="449"/>
        <v>1</v>
      </c>
      <c r="AE274" s="236">
        <f t="shared" si="450"/>
        <v>1</v>
      </c>
      <c r="AF274" s="236">
        <f t="shared" si="451"/>
        <v>0</v>
      </c>
      <c r="AG274" s="236">
        <v>1</v>
      </c>
      <c r="AH274" s="236">
        <v>0</v>
      </c>
      <c r="AI274" s="236">
        <f t="shared" si="427"/>
        <v>-100</v>
      </c>
      <c r="AJ274" s="210"/>
      <c r="AK274" s="254"/>
      <c r="AL274" s="254"/>
      <c r="AM274" s="255"/>
      <c r="AN274" s="255"/>
      <c r="AO274" s="255"/>
      <c r="AP274" s="255"/>
      <c r="AQ274" s="255"/>
      <c r="AR274" s="255"/>
      <c r="AS274" s="255"/>
      <c r="AT274" s="255"/>
      <c r="AU274" s="255"/>
      <c r="AV274" s="255"/>
      <c r="AW274" s="255"/>
      <c r="AX274" s="210"/>
      <c r="AY274" s="236" cm="1">
        <f t="array" ref="AY274">INDEX(Use, $AD274, 4)</f>
        <v>7</v>
      </c>
      <c r="AZ274" s="236">
        <f t="shared" si="428"/>
        <v>32</v>
      </c>
      <c r="BA274" s="236">
        <f t="shared" si="239"/>
        <v>13</v>
      </c>
      <c r="BB274" s="236">
        <f t="shared" si="240"/>
        <v>0</v>
      </c>
      <c r="BC274" s="252" cm="1">
        <f t="array" ref="BC274">K274/IF($L274&gt;0, INDEX($AO$23:$AU$77, $L274+20, $AD274), 1)</f>
        <v>0</v>
      </c>
      <c r="BD274" s="237">
        <f t="shared" si="429"/>
        <v>0</v>
      </c>
      <c r="BE274" s="236">
        <v>35</v>
      </c>
      <c r="BF274" s="237">
        <f t="shared" si="430"/>
        <v>52.55</v>
      </c>
      <c r="BG274" s="253">
        <f t="shared" si="431"/>
        <v>2.7676728869374316</v>
      </c>
      <c r="BH274" s="253" cm="1">
        <f t="array" ref="BH274">$BC274 * SUMPRODUCT(INDEX($AL$77:$AN$82,,$AE274),INDEX($AO$77:$AU$82,,$AD274), N($AK$77:$AK$82&gt;$AI274)) / BG274 / 1000</f>
        <v>0</v>
      </c>
      <c r="BI274" s="250">
        <f t="shared" si="244"/>
        <v>30</v>
      </c>
      <c r="BJ274" s="237">
        <f t="shared" si="432"/>
        <v>46.033333333333331</v>
      </c>
      <c r="BK274" s="253">
        <f t="shared" si="433"/>
        <v>3.2297395388556791</v>
      </c>
      <c r="BL274" s="253" cm="1">
        <f t="array" ref="BL274">$BC274 * IF($AD274&lt;=2,
SUMPRODUCT(INDEX($AL$72:$AN$76,,$AE274), INDEX($AO$72:$AU$76,,$AD274), 1 / ($AV$72:$AV$76*BK274 + (1-$AV$72:$AV$76)*BG274), N($AK$72:$AK$76&gt;$AI274)),
SUMPRODUCT(INDEX($AL$67:$AN$76,,$AE274), INDEX($AO$67:$AU$76,,$AD274), 1 / ($AW$67:$AW$76*BK274 + (1-$AW$67:$AW$76)*BG274), N($AK$67:$AK$76&gt;$AI274))
) / 1000</f>
        <v>0</v>
      </c>
      <c r="BM274" s="250">
        <f t="shared" si="247"/>
        <v>25</v>
      </c>
      <c r="BN274" s="237">
        <f t="shared" si="434"/>
        <v>39.516666666666666</v>
      </c>
      <c r="BO274" s="253">
        <f t="shared" si="435"/>
        <v>3.877011788826243</v>
      </c>
      <c r="BP274" s="253" cm="1">
        <f t="array" ref="BP274">$BC274 * IF($AD274&lt;=2,
SUMPRODUCT(INDEX($AL$67:$AN$71,,$AE274), INDEX($AO$67:$AU$71,,$AD274), 1 / ($AV$67:$AV$71*BO274 + (1-$AV$67:$AV$71)*BK274), N($AK$67:$AK$71&gt;$AI274)),
SUMPRODUCT(INDEX($AL$57:$AN$66,,$AE274), INDEX($AO$57:$AU$66,,$AD274), 1 / ($AW$57:$AW$66*BO274 + (1-$AW$57:$AW$66)*BK274), N($AK$57:$AK$66&gt;$AI274))
) / 1000</f>
        <v>0</v>
      </c>
      <c r="BQ274" s="250">
        <f t="shared" si="250"/>
        <v>20</v>
      </c>
      <c r="BR274" s="237">
        <f t="shared" si="436"/>
        <v>33</v>
      </c>
      <c r="BS274" s="253">
        <f t="shared" si="437"/>
        <v>4.8487499999999999</v>
      </c>
      <c r="BT274" s="253" cm="1">
        <f t="array" ref="BT274">$BC274 * IF($AD274&lt;=2,
SUMPRODUCT(INDEX($AL$62:$AN$66,,$AE274), INDEX($AO$62:$AU$66,,$AD274), 1 / ($AV$62:$AV$66*BS274 + (1-$AV$62:$AV$66)*BO274), N($AK$62:$AK$66&gt;$AI274)),
SUMPRODUCT(INDEX($AL$47:$AN$56,,$AE274), INDEX($AO$47:$AU$56,,$AD274), 1 / ($AW$47:$AW$56*BS274 + (1-$AW$47:$AW$56)*BO274), N($AK$47:$AK$56&gt;$AI274))
) / 1000</f>
        <v>0</v>
      </c>
      <c r="BU274" s="253" cm="1">
        <f t="array" ref="BU274">$BC274 * IF($AD274&lt;=2,
SUMPRODUCT(INDEX($AL$23:$AN$61,,$AE274), INDEX($AO$23:$AU$61,,$AD274), 1 / ($AV$23:$AV$61*BS274), N($AK$23:$AK$61&gt;$AI274)),
SUMPRODUCT(INDEX($AL$23:$AN$46,,$AE274), INDEX($AO$23:$AU$46,,$AD274), 1 / ($AW$23:$AW$46*BS274), N($AK$23:$AK$46&gt;$AI274))
) / 1000</f>
        <v>0</v>
      </c>
      <c r="BV274" s="237">
        <f t="shared" si="438"/>
        <v>0</v>
      </c>
      <c r="BW274" s="210"/>
      <c r="BX274" s="237">
        <f t="shared" si="439"/>
        <v>0</v>
      </c>
      <c r="BY274" s="236">
        <v>35</v>
      </c>
      <c r="BZ274" s="237">
        <f t="shared" si="440"/>
        <v>48</v>
      </c>
      <c r="CA274" s="253">
        <f t="shared" si="441"/>
        <v>3.0748170731707316</v>
      </c>
      <c r="CB274" s="253" cm="1">
        <f t="array" ref="CB274">$BC274 * SUMPRODUCT(INDEX($AL$77:$AN$82,,$AE274),INDEX($AO$77:$AU$82,,$AD274), N($AK$77:$AK$82&gt;$AI274)) / CA274 / 1000</f>
        <v>0</v>
      </c>
      <c r="CC274" s="250">
        <f t="shared" si="257"/>
        <v>30</v>
      </c>
      <c r="CD274" s="237">
        <f t="shared" si="442"/>
        <v>43</v>
      </c>
      <c r="CE274" s="253">
        <f t="shared" si="443"/>
        <v>3.5018750000000001</v>
      </c>
      <c r="CF274" s="253" cm="1">
        <f t="array" ref="CF274">$BC274 * IF($AD274&lt;=2,
SUMPRODUCT(INDEX($AL$72:$AN$76,,$AE274), INDEX($AO$72:$AU$76,,$AD274), 1 / ($AV$72:$AV$76*CE274 + (1-$AV$72:$AV$76)*CA274), N($AK$72:$AK$76&gt;$AI274)),
SUMPRODUCT(INDEX($AL$67:$AN$76,,$AE274), INDEX($AO$67:$AU$76,,$AD274), 1 / ($AW$67:$AW$76*CE274 + (1-$AW$67:$AW$76)*CA274), N($AK$67:$AK$76&gt;$AI274))
) / 1000</f>
        <v>0</v>
      </c>
      <c r="CG274" s="250">
        <f t="shared" si="260"/>
        <v>25</v>
      </c>
      <c r="CH274" s="237">
        <f t="shared" si="444"/>
        <v>38</v>
      </c>
      <c r="CI274" s="253">
        <f t="shared" si="445"/>
        <v>4.0666935483870965</v>
      </c>
      <c r="CJ274" s="253" cm="1">
        <f t="array" ref="CJ274">$BC274 * IF($AD274&lt;=2,
SUMPRODUCT(INDEX($AL$67:$AN$71,,$AE274), INDEX($AO$67:$AU$71,,$AD274), 1 / ($AV$67:$AV$71*CI274 + (1-$AV$67:$AV$71)*CE274), N($AK$67:$AK$71&gt;$AI274)),
SUMPRODUCT(INDEX($AL$57:$AN$66,,$AE274), INDEX($AO$57:$AU$66,,$AD274), 1 / ($AW$57:$AW$66*CI274 + (1-$AW$57:$AW$66)*CE274), N($AK$57:$AK$66&gt;$AI274))
) / 1000</f>
        <v>0</v>
      </c>
      <c r="CK274" s="250">
        <f t="shared" si="263"/>
        <v>20</v>
      </c>
      <c r="CL274" s="237">
        <f t="shared" si="446"/>
        <v>33</v>
      </c>
      <c r="CM274" s="253">
        <f t="shared" si="447"/>
        <v>4.8487499999999999</v>
      </c>
      <c r="CN274" s="253" cm="1">
        <f t="array" ref="CN274">$BC274 * IF($AD274&lt;=2,
SUMPRODUCT(INDEX($AL$62:$AN$66,,$AE274), INDEX($AO$62:$AU$66,,$AD274), 1 / ($AV$62:$AV$66*CM274 + (1-$AV$62:$AV$66)*CI274), N($AK$62:$AK$66&gt;$AI274)),
SUMPRODUCT(INDEX($AL$47:$AN$56,,$AE274), INDEX($AO$47:$AU$56,,$AD274), 1 / ($AW$47:$AW$56*CM274 + (1-$AW$47:$AW$56)*CI274), N($AK$47:$AK$56&gt;$AI274))
) / 1000</f>
        <v>0</v>
      </c>
      <c r="CO274" s="253" cm="1">
        <f t="array" ref="CO274">$BC274 * IF($AD274&lt;=2,
SUMPRODUCT(INDEX($AL$23:$AN$61,,$AE274), INDEX($AO$23:$AU$61,,$AD274), 1 / ($AV$23:$AV$61*CM274), N($AK$23:$AK$61&gt;$AI274)),
SUMPRODUCT(INDEX($AL$23:$AN$46,,$AE274), INDEX($AO$23:$AU$46,,$AD274), 1 / ($AW$23:$AW$46*CM274), N($AK$23:$AK$46&gt;$AI274))
) / 1000</f>
        <v>0</v>
      </c>
      <c r="CP274" s="237">
        <f t="shared" si="448"/>
        <v>0</v>
      </c>
      <c r="CQ274" s="210"/>
    </row>
    <row r="275" spans="1:95" s="76" customFormat="1" ht="14.25" customHeight="1" x14ac:dyDescent="0.2">
      <c r="A275" s="238" t="b">
        <f t="shared" si="227"/>
        <v>0</v>
      </c>
      <c r="B275" s="239">
        <v>253</v>
      </c>
      <c r="C275" s="258"/>
      <c r="D275" s="258"/>
      <c r="E275" s="240"/>
      <c r="F275" s="241" t="str">
        <f>IF(ISBLANK(E275), "", VLOOKUP(E275, Z!$A$2:$C$4127, 3, FALSE))</f>
        <v/>
      </c>
      <c r="G275" s="242"/>
      <c r="H275" s="242"/>
      <c r="I275" s="243"/>
      <c r="J275" s="244"/>
      <c r="K275" s="259"/>
      <c r="L275" s="260"/>
      <c r="M275" s="247" t="str" cm="1">
        <f t="array" ref="M275">IF($K275&gt;0, INDEX(Clean,1+AG275,$C$1), "")</f>
        <v/>
      </c>
      <c r="N275" s="245"/>
      <c r="O275" s="245"/>
      <c r="P275" s="246"/>
      <c r="Q275" s="248">
        <f t="shared" si="425"/>
        <v>0</v>
      </c>
      <c r="R275" s="247" t="str" cm="1">
        <f t="array" ref="R275">IF($K275&gt;0, INDEX(Clean,1+AH275,$C$1), "")</f>
        <v/>
      </c>
      <c r="S275" s="245"/>
      <c r="T275" s="245"/>
      <c r="U275" s="246"/>
      <c r="V275" s="248">
        <f t="shared" si="426"/>
        <v>0</v>
      </c>
      <c r="W275" s="261"/>
      <c r="X275" s="258"/>
      <c r="Y275" s="240"/>
      <c r="Z275" s="241" t="str">
        <f>IF(ISBLANK(Y275), "", VLOOKUP(Y275, Z!$A$2:$C$4127, 3, FALSE))</f>
        <v/>
      </c>
      <c r="AA275" s="262"/>
      <c r="AB275" s="249">
        <f t="shared" si="424"/>
        <v>0</v>
      </c>
      <c r="AC275" s="210"/>
      <c r="AD275" s="236">
        <f t="shared" si="449"/>
        <v>1</v>
      </c>
      <c r="AE275" s="236">
        <f t="shared" si="450"/>
        <v>1</v>
      </c>
      <c r="AF275" s="236">
        <f t="shared" si="451"/>
        <v>0</v>
      </c>
      <c r="AG275" s="236">
        <v>1</v>
      </c>
      <c r="AH275" s="236">
        <v>0</v>
      </c>
      <c r="AI275" s="236">
        <f t="shared" si="427"/>
        <v>-100</v>
      </c>
      <c r="AJ275" s="210"/>
      <c r="AK275" s="254"/>
      <c r="AL275" s="254"/>
      <c r="AM275" s="255"/>
      <c r="AN275" s="255"/>
      <c r="AO275" s="255"/>
      <c r="AP275" s="255"/>
      <c r="AQ275" s="255"/>
      <c r="AR275" s="255"/>
      <c r="AS275" s="255"/>
      <c r="AT275" s="255"/>
      <c r="AU275" s="255"/>
      <c r="AV275" s="255"/>
      <c r="AW275" s="255"/>
      <c r="AX275" s="210"/>
      <c r="AY275" s="236" cm="1">
        <f t="array" ref="AY275">INDEX(Use, $AD275, 4)</f>
        <v>7</v>
      </c>
      <c r="AZ275" s="236">
        <f t="shared" si="428"/>
        <v>32</v>
      </c>
      <c r="BA275" s="236">
        <f t="shared" si="239"/>
        <v>13</v>
      </c>
      <c r="BB275" s="236">
        <f t="shared" si="240"/>
        <v>0</v>
      </c>
      <c r="BC275" s="252" cm="1">
        <f t="array" ref="BC275">K275/IF($L275&gt;0, INDEX($AO$23:$AU$77, $L275+20, $AD275), 1)</f>
        <v>0</v>
      </c>
      <c r="BD275" s="237">
        <f t="shared" si="429"/>
        <v>0</v>
      </c>
      <c r="BE275" s="236">
        <v>35</v>
      </c>
      <c r="BF275" s="237">
        <f t="shared" si="430"/>
        <v>52.55</v>
      </c>
      <c r="BG275" s="253">
        <f t="shared" si="431"/>
        <v>2.7676728869374316</v>
      </c>
      <c r="BH275" s="253" cm="1">
        <f t="array" ref="BH275">$BC275 * SUMPRODUCT(INDEX($AL$77:$AN$82,,$AE275),INDEX($AO$77:$AU$82,,$AD275), N($AK$77:$AK$82&gt;$AI275)) / BG275 / 1000</f>
        <v>0</v>
      </c>
      <c r="BI275" s="250">
        <f t="shared" si="244"/>
        <v>30</v>
      </c>
      <c r="BJ275" s="237">
        <f t="shared" si="432"/>
        <v>46.033333333333331</v>
      </c>
      <c r="BK275" s="253">
        <f t="shared" si="433"/>
        <v>3.2297395388556791</v>
      </c>
      <c r="BL275" s="253" cm="1">
        <f t="array" ref="BL275">$BC275 * IF($AD275&lt;=2,
SUMPRODUCT(INDEX($AL$72:$AN$76,,$AE275), INDEX($AO$72:$AU$76,,$AD275), 1 / ($AV$72:$AV$76*BK275 + (1-$AV$72:$AV$76)*BG275), N($AK$72:$AK$76&gt;$AI275)),
SUMPRODUCT(INDEX($AL$67:$AN$76,,$AE275), INDEX($AO$67:$AU$76,,$AD275), 1 / ($AW$67:$AW$76*BK275 + (1-$AW$67:$AW$76)*BG275), N($AK$67:$AK$76&gt;$AI275))
) / 1000</f>
        <v>0</v>
      </c>
      <c r="BM275" s="250">
        <f t="shared" si="247"/>
        <v>25</v>
      </c>
      <c r="BN275" s="237">
        <f t="shared" si="434"/>
        <v>39.516666666666666</v>
      </c>
      <c r="BO275" s="253">
        <f t="shared" si="435"/>
        <v>3.877011788826243</v>
      </c>
      <c r="BP275" s="253" cm="1">
        <f t="array" ref="BP275">$BC275 * IF($AD275&lt;=2,
SUMPRODUCT(INDEX($AL$67:$AN$71,,$AE275), INDEX($AO$67:$AU$71,,$AD275), 1 / ($AV$67:$AV$71*BO275 + (1-$AV$67:$AV$71)*BK275), N($AK$67:$AK$71&gt;$AI275)),
SUMPRODUCT(INDEX($AL$57:$AN$66,,$AE275), INDEX($AO$57:$AU$66,,$AD275), 1 / ($AW$57:$AW$66*BO275 + (1-$AW$57:$AW$66)*BK275), N($AK$57:$AK$66&gt;$AI275))
) / 1000</f>
        <v>0</v>
      </c>
      <c r="BQ275" s="250">
        <f t="shared" si="250"/>
        <v>20</v>
      </c>
      <c r="BR275" s="237">
        <f t="shared" si="436"/>
        <v>33</v>
      </c>
      <c r="BS275" s="253">
        <f t="shared" si="437"/>
        <v>4.8487499999999999</v>
      </c>
      <c r="BT275" s="253" cm="1">
        <f t="array" ref="BT275">$BC275 * IF($AD275&lt;=2,
SUMPRODUCT(INDEX($AL$62:$AN$66,,$AE275), INDEX($AO$62:$AU$66,,$AD275), 1 / ($AV$62:$AV$66*BS275 + (1-$AV$62:$AV$66)*BO275), N($AK$62:$AK$66&gt;$AI275)),
SUMPRODUCT(INDEX($AL$47:$AN$56,,$AE275), INDEX($AO$47:$AU$56,,$AD275), 1 / ($AW$47:$AW$56*BS275 + (1-$AW$47:$AW$56)*BO275), N($AK$47:$AK$56&gt;$AI275))
) / 1000</f>
        <v>0</v>
      </c>
      <c r="BU275" s="253" cm="1">
        <f t="array" ref="BU275">$BC275 * IF($AD275&lt;=2,
SUMPRODUCT(INDEX($AL$23:$AN$61,,$AE275), INDEX($AO$23:$AU$61,,$AD275), 1 / ($AV$23:$AV$61*BS275), N($AK$23:$AK$61&gt;$AI275)),
SUMPRODUCT(INDEX($AL$23:$AN$46,,$AE275), INDEX($AO$23:$AU$46,,$AD275), 1 / ($AW$23:$AW$46*BS275), N($AK$23:$AK$46&gt;$AI275))
) / 1000</f>
        <v>0</v>
      </c>
      <c r="BV275" s="237">
        <f t="shared" si="438"/>
        <v>0</v>
      </c>
      <c r="BW275" s="210"/>
      <c r="BX275" s="237">
        <f t="shared" si="439"/>
        <v>0</v>
      </c>
      <c r="BY275" s="236">
        <v>35</v>
      </c>
      <c r="BZ275" s="237">
        <f t="shared" si="440"/>
        <v>48</v>
      </c>
      <c r="CA275" s="253">
        <f t="shared" si="441"/>
        <v>3.0748170731707316</v>
      </c>
      <c r="CB275" s="253" cm="1">
        <f t="array" ref="CB275">$BC275 * SUMPRODUCT(INDEX($AL$77:$AN$82,,$AE275),INDEX($AO$77:$AU$82,,$AD275), N($AK$77:$AK$82&gt;$AI275)) / CA275 / 1000</f>
        <v>0</v>
      </c>
      <c r="CC275" s="250">
        <f t="shared" si="257"/>
        <v>30</v>
      </c>
      <c r="CD275" s="237">
        <f t="shared" si="442"/>
        <v>43</v>
      </c>
      <c r="CE275" s="253">
        <f t="shared" si="443"/>
        <v>3.5018750000000001</v>
      </c>
      <c r="CF275" s="253" cm="1">
        <f t="array" ref="CF275">$BC275 * IF($AD275&lt;=2,
SUMPRODUCT(INDEX($AL$72:$AN$76,,$AE275), INDEX($AO$72:$AU$76,,$AD275), 1 / ($AV$72:$AV$76*CE275 + (1-$AV$72:$AV$76)*CA275), N($AK$72:$AK$76&gt;$AI275)),
SUMPRODUCT(INDEX($AL$67:$AN$76,,$AE275), INDEX($AO$67:$AU$76,,$AD275), 1 / ($AW$67:$AW$76*CE275 + (1-$AW$67:$AW$76)*CA275), N($AK$67:$AK$76&gt;$AI275))
) / 1000</f>
        <v>0</v>
      </c>
      <c r="CG275" s="250">
        <f t="shared" si="260"/>
        <v>25</v>
      </c>
      <c r="CH275" s="237">
        <f t="shared" si="444"/>
        <v>38</v>
      </c>
      <c r="CI275" s="253">
        <f t="shared" si="445"/>
        <v>4.0666935483870965</v>
      </c>
      <c r="CJ275" s="253" cm="1">
        <f t="array" ref="CJ275">$BC275 * IF($AD275&lt;=2,
SUMPRODUCT(INDEX($AL$67:$AN$71,,$AE275), INDEX($AO$67:$AU$71,,$AD275), 1 / ($AV$67:$AV$71*CI275 + (1-$AV$67:$AV$71)*CE275), N($AK$67:$AK$71&gt;$AI275)),
SUMPRODUCT(INDEX($AL$57:$AN$66,,$AE275), INDEX($AO$57:$AU$66,,$AD275), 1 / ($AW$57:$AW$66*CI275 + (1-$AW$57:$AW$66)*CE275), N($AK$57:$AK$66&gt;$AI275))
) / 1000</f>
        <v>0</v>
      </c>
      <c r="CK275" s="250">
        <f t="shared" si="263"/>
        <v>20</v>
      </c>
      <c r="CL275" s="237">
        <f t="shared" si="446"/>
        <v>33</v>
      </c>
      <c r="CM275" s="253">
        <f t="shared" si="447"/>
        <v>4.8487499999999999</v>
      </c>
      <c r="CN275" s="253" cm="1">
        <f t="array" ref="CN275">$BC275 * IF($AD275&lt;=2,
SUMPRODUCT(INDEX($AL$62:$AN$66,,$AE275), INDEX($AO$62:$AU$66,,$AD275), 1 / ($AV$62:$AV$66*CM275 + (1-$AV$62:$AV$66)*CI275), N($AK$62:$AK$66&gt;$AI275)),
SUMPRODUCT(INDEX($AL$47:$AN$56,,$AE275), INDEX($AO$47:$AU$56,,$AD275), 1 / ($AW$47:$AW$56*CM275 + (1-$AW$47:$AW$56)*CI275), N($AK$47:$AK$56&gt;$AI275))
) / 1000</f>
        <v>0</v>
      </c>
      <c r="CO275" s="253" cm="1">
        <f t="array" ref="CO275">$BC275 * IF($AD275&lt;=2,
SUMPRODUCT(INDEX($AL$23:$AN$61,,$AE275), INDEX($AO$23:$AU$61,,$AD275), 1 / ($AV$23:$AV$61*CM275), N($AK$23:$AK$61&gt;$AI275)),
SUMPRODUCT(INDEX($AL$23:$AN$46,,$AE275), INDEX($AO$23:$AU$46,,$AD275), 1 / ($AW$23:$AW$46*CM275), N($AK$23:$AK$46&gt;$AI275))
) / 1000</f>
        <v>0</v>
      </c>
      <c r="CP275" s="237">
        <f t="shared" si="448"/>
        <v>0</v>
      </c>
      <c r="CQ275" s="210"/>
    </row>
    <row r="276" spans="1:95" s="76" customFormat="1" ht="14.25" customHeight="1" x14ac:dyDescent="0.2">
      <c r="A276" s="238" t="b">
        <f t="shared" si="227"/>
        <v>0</v>
      </c>
      <c r="B276" s="239">
        <v>254</v>
      </c>
      <c r="C276" s="258"/>
      <c r="D276" s="258"/>
      <c r="E276" s="240"/>
      <c r="F276" s="241" t="str">
        <f>IF(ISBLANK(E276), "", VLOOKUP(E276, Z!$A$2:$C$4127, 3, FALSE))</f>
        <v/>
      </c>
      <c r="G276" s="242"/>
      <c r="H276" s="242"/>
      <c r="I276" s="243"/>
      <c r="J276" s="244"/>
      <c r="K276" s="259"/>
      <c r="L276" s="260"/>
      <c r="M276" s="247" t="str" cm="1">
        <f t="array" ref="M276">IF($K276&gt;0, INDEX(Clean,1+AG276,$C$1), "")</f>
        <v/>
      </c>
      <c r="N276" s="245"/>
      <c r="O276" s="245"/>
      <c r="P276" s="246"/>
      <c r="Q276" s="248">
        <f t="shared" si="425"/>
        <v>0</v>
      </c>
      <c r="R276" s="247" t="str" cm="1">
        <f t="array" ref="R276">IF($K276&gt;0, INDEX(Clean,1+AH276,$C$1), "")</f>
        <v/>
      </c>
      <c r="S276" s="245"/>
      <c r="T276" s="245"/>
      <c r="U276" s="246"/>
      <c r="V276" s="248">
        <f t="shared" si="426"/>
        <v>0</v>
      </c>
      <c r="W276" s="261"/>
      <c r="X276" s="258"/>
      <c r="Y276" s="240"/>
      <c r="Z276" s="241" t="str">
        <f>IF(ISBLANK(Y276), "", VLOOKUP(Y276, Z!$A$2:$C$4127, 3, FALSE))</f>
        <v/>
      </c>
      <c r="AA276" s="262"/>
      <c r="AB276" s="249">
        <f t="shared" si="424"/>
        <v>0</v>
      </c>
      <c r="AC276" s="210"/>
      <c r="AD276" s="236">
        <f t="shared" si="449"/>
        <v>1</v>
      </c>
      <c r="AE276" s="236">
        <f t="shared" si="450"/>
        <v>1</v>
      </c>
      <c r="AF276" s="236">
        <f t="shared" si="451"/>
        <v>0</v>
      </c>
      <c r="AG276" s="236">
        <v>1</v>
      </c>
      <c r="AH276" s="236">
        <v>0</v>
      </c>
      <c r="AI276" s="236">
        <f t="shared" si="427"/>
        <v>-100</v>
      </c>
      <c r="AJ276" s="210"/>
      <c r="AK276" s="254"/>
      <c r="AL276" s="254"/>
      <c r="AM276" s="255"/>
      <c r="AN276" s="255"/>
      <c r="AO276" s="255"/>
      <c r="AP276" s="255"/>
      <c r="AQ276" s="255"/>
      <c r="AR276" s="255"/>
      <c r="AS276" s="255"/>
      <c r="AT276" s="255"/>
      <c r="AU276" s="255"/>
      <c r="AV276" s="255"/>
      <c r="AW276" s="255"/>
      <c r="AX276" s="210"/>
      <c r="AY276" s="236" cm="1">
        <f t="array" ref="AY276">INDEX(Use, $AD276, 4)</f>
        <v>7</v>
      </c>
      <c r="AZ276" s="236">
        <f t="shared" si="428"/>
        <v>32</v>
      </c>
      <c r="BA276" s="236">
        <f t="shared" si="239"/>
        <v>13</v>
      </c>
      <c r="BB276" s="236">
        <f t="shared" si="240"/>
        <v>0</v>
      </c>
      <c r="BC276" s="252" cm="1">
        <f t="array" ref="BC276">K276/IF($L276&gt;0, INDEX($AO$23:$AU$77, $L276+20, $AD276), 1)</f>
        <v>0</v>
      </c>
      <c r="BD276" s="237">
        <f t="shared" si="429"/>
        <v>0</v>
      </c>
      <c r="BE276" s="236">
        <v>35</v>
      </c>
      <c r="BF276" s="237">
        <f t="shared" si="430"/>
        <v>52.55</v>
      </c>
      <c r="BG276" s="253">
        <f t="shared" si="431"/>
        <v>2.7676728869374316</v>
      </c>
      <c r="BH276" s="253" cm="1">
        <f t="array" ref="BH276">$BC276 * SUMPRODUCT(INDEX($AL$77:$AN$82,,$AE276),INDEX($AO$77:$AU$82,,$AD276), N($AK$77:$AK$82&gt;$AI276)) / BG276 / 1000</f>
        <v>0</v>
      </c>
      <c r="BI276" s="250">
        <f t="shared" si="244"/>
        <v>30</v>
      </c>
      <c r="BJ276" s="237">
        <f t="shared" si="432"/>
        <v>46.033333333333331</v>
      </c>
      <c r="BK276" s="253">
        <f t="shared" si="433"/>
        <v>3.2297395388556791</v>
      </c>
      <c r="BL276" s="253" cm="1">
        <f t="array" ref="BL276">$BC276 * IF($AD276&lt;=2,
SUMPRODUCT(INDEX($AL$72:$AN$76,,$AE276), INDEX($AO$72:$AU$76,,$AD276), 1 / ($AV$72:$AV$76*BK276 + (1-$AV$72:$AV$76)*BG276), N($AK$72:$AK$76&gt;$AI276)),
SUMPRODUCT(INDEX($AL$67:$AN$76,,$AE276), INDEX($AO$67:$AU$76,,$AD276), 1 / ($AW$67:$AW$76*BK276 + (1-$AW$67:$AW$76)*BG276), N($AK$67:$AK$76&gt;$AI276))
) / 1000</f>
        <v>0</v>
      </c>
      <c r="BM276" s="250">
        <f t="shared" si="247"/>
        <v>25</v>
      </c>
      <c r="BN276" s="237">
        <f t="shared" si="434"/>
        <v>39.516666666666666</v>
      </c>
      <c r="BO276" s="253">
        <f t="shared" si="435"/>
        <v>3.877011788826243</v>
      </c>
      <c r="BP276" s="253" cm="1">
        <f t="array" ref="BP276">$BC276 * IF($AD276&lt;=2,
SUMPRODUCT(INDEX($AL$67:$AN$71,,$AE276), INDEX($AO$67:$AU$71,,$AD276), 1 / ($AV$67:$AV$71*BO276 + (1-$AV$67:$AV$71)*BK276), N($AK$67:$AK$71&gt;$AI276)),
SUMPRODUCT(INDEX($AL$57:$AN$66,,$AE276), INDEX($AO$57:$AU$66,,$AD276), 1 / ($AW$57:$AW$66*BO276 + (1-$AW$57:$AW$66)*BK276), N($AK$57:$AK$66&gt;$AI276))
) / 1000</f>
        <v>0</v>
      </c>
      <c r="BQ276" s="250">
        <f t="shared" si="250"/>
        <v>20</v>
      </c>
      <c r="BR276" s="237">
        <f t="shared" si="436"/>
        <v>33</v>
      </c>
      <c r="BS276" s="253">
        <f t="shared" si="437"/>
        <v>4.8487499999999999</v>
      </c>
      <c r="BT276" s="253" cm="1">
        <f t="array" ref="BT276">$BC276 * IF($AD276&lt;=2,
SUMPRODUCT(INDEX($AL$62:$AN$66,,$AE276), INDEX($AO$62:$AU$66,,$AD276), 1 / ($AV$62:$AV$66*BS276 + (1-$AV$62:$AV$66)*BO276), N($AK$62:$AK$66&gt;$AI276)),
SUMPRODUCT(INDEX($AL$47:$AN$56,,$AE276), INDEX($AO$47:$AU$56,,$AD276), 1 / ($AW$47:$AW$56*BS276 + (1-$AW$47:$AW$56)*BO276), N($AK$47:$AK$56&gt;$AI276))
) / 1000</f>
        <v>0</v>
      </c>
      <c r="BU276" s="253" cm="1">
        <f t="array" ref="BU276">$BC276 * IF($AD276&lt;=2,
SUMPRODUCT(INDEX($AL$23:$AN$61,,$AE276), INDEX($AO$23:$AU$61,,$AD276), 1 / ($AV$23:$AV$61*BS276), N($AK$23:$AK$61&gt;$AI276)),
SUMPRODUCT(INDEX($AL$23:$AN$46,,$AE276), INDEX($AO$23:$AU$46,,$AD276), 1 / ($AW$23:$AW$46*BS276), N($AK$23:$AK$46&gt;$AI276))
) / 1000</f>
        <v>0</v>
      </c>
      <c r="BV276" s="237">
        <f t="shared" si="438"/>
        <v>0</v>
      </c>
      <c r="BW276" s="210"/>
      <c r="BX276" s="237">
        <f t="shared" si="439"/>
        <v>0</v>
      </c>
      <c r="BY276" s="236">
        <v>35</v>
      </c>
      <c r="BZ276" s="237">
        <f t="shared" si="440"/>
        <v>48</v>
      </c>
      <c r="CA276" s="253">
        <f t="shared" si="441"/>
        <v>3.0748170731707316</v>
      </c>
      <c r="CB276" s="253" cm="1">
        <f t="array" ref="CB276">$BC276 * SUMPRODUCT(INDEX($AL$77:$AN$82,,$AE276),INDEX($AO$77:$AU$82,,$AD276), N($AK$77:$AK$82&gt;$AI276)) / CA276 / 1000</f>
        <v>0</v>
      </c>
      <c r="CC276" s="250">
        <f t="shared" si="257"/>
        <v>30</v>
      </c>
      <c r="CD276" s="237">
        <f t="shared" si="442"/>
        <v>43</v>
      </c>
      <c r="CE276" s="253">
        <f t="shared" si="443"/>
        <v>3.5018750000000001</v>
      </c>
      <c r="CF276" s="253" cm="1">
        <f t="array" ref="CF276">$BC276 * IF($AD276&lt;=2,
SUMPRODUCT(INDEX($AL$72:$AN$76,,$AE276), INDEX($AO$72:$AU$76,,$AD276), 1 / ($AV$72:$AV$76*CE276 + (1-$AV$72:$AV$76)*CA276), N($AK$72:$AK$76&gt;$AI276)),
SUMPRODUCT(INDEX($AL$67:$AN$76,,$AE276), INDEX($AO$67:$AU$76,,$AD276), 1 / ($AW$67:$AW$76*CE276 + (1-$AW$67:$AW$76)*CA276), N($AK$67:$AK$76&gt;$AI276))
) / 1000</f>
        <v>0</v>
      </c>
      <c r="CG276" s="250">
        <f t="shared" si="260"/>
        <v>25</v>
      </c>
      <c r="CH276" s="237">
        <f t="shared" si="444"/>
        <v>38</v>
      </c>
      <c r="CI276" s="253">
        <f t="shared" si="445"/>
        <v>4.0666935483870965</v>
      </c>
      <c r="CJ276" s="253" cm="1">
        <f t="array" ref="CJ276">$BC276 * IF($AD276&lt;=2,
SUMPRODUCT(INDEX($AL$67:$AN$71,,$AE276), INDEX($AO$67:$AU$71,,$AD276), 1 / ($AV$67:$AV$71*CI276 + (1-$AV$67:$AV$71)*CE276), N($AK$67:$AK$71&gt;$AI276)),
SUMPRODUCT(INDEX($AL$57:$AN$66,,$AE276), INDEX($AO$57:$AU$66,,$AD276), 1 / ($AW$57:$AW$66*CI276 + (1-$AW$57:$AW$66)*CE276), N($AK$57:$AK$66&gt;$AI276))
) / 1000</f>
        <v>0</v>
      </c>
      <c r="CK276" s="250">
        <f t="shared" si="263"/>
        <v>20</v>
      </c>
      <c r="CL276" s="237">
        <f t="shared" si="446"/>
        <v>33</v>
      </c>
      <c r="CM276" s="253">
        <f t="shared" si="447"/>
        <v>4.8487499999999999</v>
      </c>
      <c r="CN276" s="253" cm="1">
        <f t="array" ref="CN276">$BC276 * IF($AD276&lt;=2,
SUMPRODUCT(INDEX($AL$62:$AN$66,,$AE276), INDEX($AO$62:$AU$66,,$AD276), 1 / ($AV$62:$AV$66*CM276 + (1-$AV$62:$AV$66)*CI276), N($AK$62:$AK$66&gt;$AI276)),
SUMPRODUCT(INDEX($AL$47:$AN$56,,$AE276), INDEX($AO$47:$AU$56,,$AD276), 1 / ($AW$47:$AW$56*CM276 + (1-$AW$47:$AW$56)*CI276), N($AK$47:$AK$56&gt;$AI276))
) / 1000</f>
        <v>0</v>
      </c>
      <c r="CO276" s="253" cm="1">
        <f t="array" ref="CO276">$BC276 * IF($AD276&lt;=2,
SUMPRODUCT(INDEX($AL$23:$AN$61,,$AE276), INDEX($AO$23:$AU$61,,$AD276), 1 / ($AV$23:$AV$61*CM276), N($AK$23:$AK$61&gt;$AI276)),
SUMPRODUCT(INDEX($AL$23:$AN$46,,$AE276), INDEX($AO$23:$AU$46,,$AD276), 1 / ($AW$23:$AW$46*CM276), N($AK$23:$AK$46&gt;$AI276))
) / 1000</f>
        <v>0</v>
      </c>
      <c r="CP276" s="237">
        <f t="shared" si="448"/>
        <v>0</v>
      </c>
      <c r="CQ276" s="210"/>
    </row>
    <row r="277" spans="1:95" s="76" customFormat="1" ht="14.25" customHeight="1" x14ac:dyDescent="0.2">
      <c r="A277" s="238" t="b">
        <f t="shared" si="227"/>
        <v>0</v>
      </c>
      <c r="B277" s="239">
        <v>255</v>
      </c>
      <c r="C277" s="258"/>
      <c r="D277" s="258"/>
      <c r="E277" s="240"/>
      <c r="F277" s="241" t="str">
        <f>IF(ISBLANK(E277), "", VLOOKUP(E277, Z!$A$2:$C$4127, 3, FALSE))</f>
        <v/>
      </c>
      <c r="G277" s="242"/>
      <c r="H277" s="242"/>
      <c r="I277" s="243"/>
      <c r="J277" s="244"/>
      <c r="K277" s="259"/>
      <c r="L277" s="260"/>
      <c r="M277" s="247" t="str" cm="1">
        <f t="array" ref="M277">IF($K277&gt;0, INDEX(Clean,1+AG277,$C$1), "")</f>
        <v/>
      </c>
      <c r="N277" s="245"/>
      <c r="O277" s="245"/>
      <c r="P277" s="246"/>
      <c r="Q277" s="248">
        <f t="shared" si="425"/>
        <v>0</v>
      </c>
      <c r="R277" s="247" t="str" cm="1">
        <f t="array" ref="R277">IF($K277&gt;0, INDEX(Clean,1+AH277,$C$1), "")</f>
        <v/>
      </c>
      <c r="S277" s="245"/>
      <c r="T277" s="245"/>
      <c r="U277" s="246"/>
      <c r="V277" s="248">
        <f t="shared" si="426"/>
        <v>0</v>
      </c>
      <c r="W277" s="261"/>
      <c r="X277" s="258"/>
      <c r="Y277" s="240"/>
      <c r="Z277" s="241" t="str">
        <f>IF(ISBLANK(Y277), "", VLOOKUP(Y277, Z!$A$2:$C$4127, 3, FALSE))</f>
        <v/>
      </c>
      <c r="AA277" s="262"/>
      <c r="AB277" s="249">
        <f t="shared" si="424"/>
        <v>0</v>
      </c>
      <c r="AC277" s="210"/>
      <c r="AD277" s="236">
        <f t="shared" si="449"/>
        <v>1</v>
      </c>
      <c r="AE277" s="236">
        <f t="shared" si="450"/>
        <v>1</v>
      </c>
      <c r="AF277" s="236">
        <f t="shared" si="451"/>
        <v>0</v>
      </c>
      <c r="AG277" s="236">
        <v>1</v>
      </c>
      <c r="AH277" s="236">
        <v>0</v>
      </c>
      <c r="AI277" s="236">
        <f t="shared" si="427"/>
        <v>-100</v>
      </c>
      <c r="AJ277" s="210"/>
      <c r="AK277" s="254"/>
      <c r="AL277" s="254"/>
      <c r="AM277" s="255"/>
      <c r="AN277" s="255"/>
      <c r="AO277" s="255"/>
      <c r="AP277" s="255"/>
      <c r="AQ277" s="255"/>
      <c r="AR277" s="255"/>
      <c r="AS277" s="255"/>
      <c r="AT277" s="255"/>
      <c r="AU277" s="255"/>
      <c r="AV277" s="255"/>
      <c r="AW277" s="255"/>
      <c r="AX277" s="210"/>
      <c r="AY277" s="236" cm="1">
        <f t="array" ref="AY277">INDEX(Use, $AD277, 4)</f>
        <v>7</v>
      </c>
      <c r="AZ277" s="236">
        <f t="shared" si="428"/>
        <v>32</v>
      </c>
      <c r="BA277" s="236">
        <f t="shared" si="239"/>
        <v>13</v>
      </c>
      <c r="BB277" s="236">
        <f t="shared" si="240"/>
        <v>0</v>
      </c>
      <c r="BC277" s="252" cm="1">
        <f t="array" ref="BC277">K277/IF($L277&gt;0, INDEX($AO$23:$AU$77, $L277+20, $AD277), 1)</f>
        <v>0</v>
      </c>
      <c r="BD277" s="237">
        <f t="shared" si="429"/>
        <v>0</v>
      </c>
      <c r="BE277" s="236">
        <v>35</v>
      </c>
      <c r="BF277" s="237">
        <f t="shared" si="430"/>
        <v>52.55</v>
      </c>
      <c r="BG277" s="253">
        <f t="shared" si="431"/>
        <v>2.7676728869374316</v>
      </c>
      <c r="BH277" s="253" cm="1">
        <f t="array" ref="BH277">$BC277 * SUMPRODUCT(INDEX($AL$77:$AN$82,,$AE277),INDEX($AO$77:$AU$82,,$AD277), N($AK$77:$AK$82&gt;$AI277)) / BG277 / 1000</f>
        <v>0</v>
      </c>
      <c r="BI277" s="250">
        <f t="shared" si="244"/>
        <v>30</v>
      </c>
      <c r="BJ277" s="237">
        <f t="shared" si="432"/>
        <v>46.033333333333331</v>
      </c>
      <c r="BK277" s="253">
        <f t="shared" si="433"/>
        <v>3.2297395388556791</v>
      </c>
      <c r="BL277" s="253" cm="1">
        <f t="array" ref="BL277">$BC277 * IF($AD277&lt;=2,
SUMPRODUCT(INDEX($AL$72:$AN$76,,$AE277), INDEX($AO$72:$AU$76,,$AD277), 1 / ($AV$72:$AV$76*BK277 + (1-$AV$72:$AV$76)*BG277), N($AK$72:$AK$76&gt;$AI277)),
SUMPRODUCT(INDEX($AL$67:$AN$76,,$AE277), INDEX($AO$67:$AU$76,,$AD277), 1 / ($AW$67:$AW$76*BK277 + (1-$AW$67:$AW$76)*BG277), N($AK$67:$AK$76&gt;$AI277))
) / 1000</f>
        <v>0</v>
      </c>
      <c r="BM277" s="250">
        <f t="shared" si="247"/>
        <v>25</v>
      </c>
      <c r="BN277" s="237">
        <f t="shared" si="434"/>
        <v>39.516666666666666</v>
      </c>
      <c r="BO277" s="253">
        <f t="shared" si="435"/>
        <v>3.877011788826243</v>
      </c>
      <c r="BP277" s="253" cm="1">
        <f t="array" ref="BP277">$BC277 * IF($AD277&lt;=2,
SUMPRODUCT(INDEX($AL$67:$AN$71,,$AE277), INDEX($AO$67:$AU$71,,$AD277), 1 / ($AV$67:$AV$71*BO277 + (1-$AV$67:$AV$71)*BK277), N($AK$67:$AK$71&gt;$AI277)),
SUMPRODUCT(INDEX($AL$57:$AN$66,,$AE277), INDEX($AO$57:$AU$66,,$AD277), 1 / ($AW$57:$AW$66*BO277 + (1-$AW$57:$AW$66)*BK277), N($AK$57:$AK$66&gt;$AI277))
) / 1000</f>
        <v>0</v>
      </c>
      <c r="BQ277" s="250">
        <f t="shared" si="250"/>
        <v>20</v>
      </c>
      <c r="BR277" s="237">
        <f t="shared" si="436"/>
        <v>33</v>
      </c>
      <c r="BS277" s="253">
        <f t="shared" si="437"/>
        <v>4.8487499999999999</v>
      </c>
      <c r="BT277" s="253" cm="1">
        <f t="array" ref="BT277">$BC277 * IF($AD277&lt;=2,
SUMPRODUCT(INDEX($AL$62:$AN$66,,$AE277), INDEX($AO$62:$AU$66,,$AD277), 1 / ($AV$62:$AV$66*BS277 + (1-$AV$62:$AV$66)*BO277), N($AK$62:$AK$66&gt;$AI277)),
SUMPRODUCT(INDEX($AL$47:$AN$56,,$AE277), INDEX($AO$47:$AU$56,,$AD277), 1 / ($AW$47:$AW$56*BS277 + (1-$AW$47:$AW$56)*BO277), N($AK$47:$AK$56&gt;$AI277))
) / 1000</f>
        <v>0</v>
      </c>
      <c r="BU277" s="253" cm="1">
        <f t="array" ref="BU277">$BC277 * IF($AD277&lt;=2,
SUMPRODUCT(INDEX($AL$23:$AN$61,,$AE277), INDEX($AO$23:$AU$61,,$AD277), 1 / ($AV$23:$AV$61*BS277), N($AK$23:$AK$61&gt;$AI277)),
SUMPRODUCT(INDEX($AL$23:$AN$46,,$AE277), INDEX($AO$23:$AU$46,,$AD277), 1 / ($AW$23:$AW$46*BS277), N($AK$23:$AK$46&gt;$AI277))
) / 1000</f>
        <v>0</v>
      </c>
      <c r="BV277" s="237">
        <f t="shared" si="438"/>
        <v>0</v>
      </c>
      <c r="BW277" s="210"/>
      <c r="BX277" s="237">
        <f t="shared" si="439"/>
        <v>0</v>
      </c>
      <c r="BY277" s="236">
        <v>35</v>
      </c>
      <c r="BZ277" s="237">
        <f t="shared" si="440"/>
        <v>48</v>
      </c>
      <c r="CA277" s="253">
        <f t="shared" si="441"/>
        <v>3.0748170731707316</v>
      </c>
      <c r="CB277" s="253" cm="1">
        <f t="array" ref="CB277">$BC277 * SUMPRODUCT(INDEX($AL$77:$AN$82,,$AE277),INDEX($AO$77:$AU$82,,$AD277), N($AK$77:$AK$82&gt;$AI277)) / CA277 / 1000</f>
        <v>0</v>
      </c>
      <c r="CC277" s="250">
        <f t="shared" si="257"/>
        <v>30</v>
      </c>
      <c r="CD277" s="237">
        <f t="shared" si="442"/>
        <v>43</v>
      </c>
      <c r="CE277" s="253">
        <f t="shared" si="443"/>
        <v>3.5018750000000001</v>
      </c>
      <c r="CF277" s="253" cm="1">
        <f t="array" ref="CF277">$BC277 * IF($AD277&lt;=2,
SUMPRODUCT(INDEX($AL$72:$AN$76,,$AE277), INDEX($AO$72:$AU$76,,$AD277), 1 / ($AV$72:$AV$76*CE277 + (1-$AV$72:$AV$76)*CA277), N($AK$72:$AK$76&gt;$AI277)),
SUMPRODUCT(INDEX($AL$67:$AN$76,,$AE277), INDEX($AO$67:$AU$76,,$AD277), 1 / ($AW$67:$AW$76*CE277 + (1-$AW$67:$AW$76)*CA277), N($AK$67:$AK$76&gt;$AI277))
) / 1000</f>
        <v>0</v>
      </c>
      <c r="CG277" s="250">
        <f t="shared" si="260"/>
        <v>25</v>
      </c>
      <c r="CH277" s="237">
        <f t="shared" si="444"/>
        <v>38</v>
      </c>
      <c r="CI277" s="253">
        <f t="shared" si="445"/>
        <v>4.0666935483870965</v>
      </c>
      <c r="CJ277" s="253" cm="1">
        <f t="array" ref="CJ277">$BC277 * IF($AD277&lt;=2,
SUMPRODUCT(INDEX($AL$67:$AN$71,,$AE277), INDEX($AO$67:$AU$71,,$AD277), 1 / ($AV$67:$AV$71*CI277 + (1-$AV$67:$AV$71)*CE277), N($AK$67:$AK$71&gt;$AI277)),
SUMPRODUCT(INDEX($AL$57:$AN$66,,$AE277), INDEX($AO$57:$AU$66,,$AD277), 1 / ($AW$57:$AW$66*CI277 + (1-$AW$57:$AW$66)*CE277), N($AK$57:$AK$66&gt;$AI277))
) / 1000</f>
        <v>0</v>
      </c>
      <c r="CK277" s="250">
        <f t="shared" si="263"/>
        <v>20</v>
      </c>
      <c r="CL277" s="237">
        <f t="shared" si="446"/>
        <v>33</v>
      </c>
      <c r="CM277" s="253">
        <f t="shared" si="447"/>
        <v>4.8487499999999999</v>
      </c>
      <c r="CN277" s="253" cm="1">
        <f t="array" ref="CN277">$BC277 * IF($AD277&lt;=2,
SUMPRODUCT(INDEX($AL$62:$AN$66,,$AE277), INDEX($AO$62:$AU$66,,$AD277), 1 / ($AV$62:$AV$66*CM277 + (1-$AV$62:$AV$66)*CI277), N($AK$62:$AK$66&gt;$AI277)),
SUMPRODUCT(INDEX($AL$47:$AN$56,,$AE277), INDEX($AO$47:$AU$56,,$AD277), 1 / ($AW$47:$AW$56*CM277 + (1-$AW$47:$AW$56)*CI277), N($AK$47:$AK$56&gt;$AI277))
) / 1000</f>
        <v>0</v>
      </c>
      <c r="CO277" s="253" cm="1">
        <f t="array" ref="CO277">$BC277 * IF($AD277&lt;=2,
SUMPRODUCT(INDEX($AL$23:$AN$61,,$AE277), INDEX($AO$23:$AU$61,,$AD277), 1 / ($AV$23:$AV$61*CM277), N($AK$23:$AK$61&gt;$AI277)),
SUMPRODUCT(INDEX($AL$23:$AN$46,,$AE277), INDEX($AO$23:$AU$46,,$AD277), 1 / ($AW$23:$AW$46*CM277), N($AK$23:$AK$46&gt;$AI277))
) / 1000</f>
        <v>0</v>
      </c>
      <c r="CP277" s="237">
        <f t="shared" si="448"/>
        <v>0</v>
      </c>
      <c r="CQ277" s="210"/>
    </row>
    <row r="278" spans="1:95" s="76" customFormat="1" ht="14.25" customHeight="1" x14ac:dyDescent="0.2">
      <c r="A278" s="238" t="b">
        <f t="shared" si="227"/>
        <v>0</v>
      </c>
      <c r="B278" s="239">
        <v>256</v>
      </c>
      <c r="C278" s="258"/>
      <c r="D278" s="258"/>
      <c r="E278" s="240"/>
      <c r="F278" s="241" t="str">
        <f>IF(ISBLANK(E278), "", VLOOKUP(E278, Z!$A$2:$C$4127, 3, FALSE))</f>
        <v/>
      </c>
      <c r="G278" s="242"/>
      <c r="H278" s="242"/>
      <c r="I278" s="243"/>
      <c r="J278" s="244"/>
      <c r="K278" s="259"/>
      <c r="L278" s="260"/>
      <c r="M278" s="247" t="str" cm="1">
        <f t="array" ref="M278">IF($K278&gt;0, INDEX(Clean,1+AG278,$C$1), "")</f>
        <v/>
      </c>
      <c r="N278" s="245"/>
      <c r="O278" s="245"/>
      <c r="P278" s="246"/>
      <c r="Q278" s="248">
        <f t="shared" si="425"/>
        <v>0</v>
      </c>
      <c r="R278" s="247" t="str" cm="1">
        <f t="array" ref="R278">IF($K278&gt;0, INDEX(Clean,1+AH278,$C$1), "")</f>
        <v/>
      </c>
      <c r="S278" s="245"/>
      <c r="T278" s="245"/>
      <c r="U278" s="246"/>
      <c r="V278" s="248">
        <f t="shared" si="426"/>
        <v>0</v>
      </c>
      <c r="W278" s="261"/>
      <c r="X278" s="258"/>
      <c r="Y278" s="240"/>
      <c r="Z278" s="241" t="str">
        <f>IF(ISBLANK(Y278), "", VLOOKUP(Y278, Z!$A$2:$C$4127, 3, FALSE))</f>
        <v/>
      </c>
      <c r="AA278" s="262"/>
      <c r="AB278" s="249">
        <f t="shared" si="424"/>
        <v>0</v>
      </c>
      <c r="AC278" s="210"/>
      <c r="AD278" s="236">
        <f t="shared" si="449"/>
        <v>1</v>
      </c>
      <c r="AE278" s="236">
        <f t="shared" si="450"/>
        <v>1</v>
      </c>
      <c r="AF278" s="236">
        <f t="shared" si="451"/>
        <v>0</v>
      </c>
      <c r="AG278" s="236">
        <v>1</v>
      </c>
      <c r="AH278" s="236">
        <v>0</v>
      </c>
      <c r="AI278" s="236">
        <f t="shared" si="427"/>
        <v>-100</v>
      </c>
      <c r="AJ278" s="210"/>
      <c r="AK278" s="254"/>
      <c r="AL278" s="254"/>
      <c r="AM278" s="255"/>
      <c r="AN278" s="255"/>
      <c r="AO278" s="255"/>
      <c r="AP278" s="255"/>
      <c r="AQ278" s="255"/>
      <c r="AR278" s="255"/>
      <c r="AS278" s="255"/>
      <c r="AT278" s="255"/>
      <c r="AU278" s="255"/>
      <c r="AV278" s="255"/>
      <c r="AW278" s="255"/>
      <c r="AX278" s="210"/>
      <c r="AY278" s="236" cm="1">
        <f t="array" ref="AY278">INDEX(Use, $AD278, 4)</f>
        <v>7</v>
      </c>
      <c r="AZ278" s="236">
        <f t="shared" si="428"/>
        <v>32</v>
      </c>
      <c r="BA278" s="236">
        <f t="shared" si="239"/>
        <v>13</v>
      </c>
      <c r="BB278" s="236">
        <f t="shared" si="240"/>
        <v>0</v>
      </c>
      <c r="BC278" s="252" cm="1">
        <f t="array" ref="BC278">K278/IF($L278&gt;0, INDEX($AO$23:$AU$77, $L278+20, $AD278), 1)</f>
        <v>0</v>
      </c>
      <c r="BD278" s="237">
        <f t="shared" si="429"/>
        <v>0</v>
      </c>
      <c r="BE278" s="236">
        <v>35</v>
      </c>
      <c r="BF278" s="237">
        <f t="shared" si="430"/>
        <v>52.55</v>
      </c>
      <c r="BG278" s="253">
        <f t="shared" si="431"/>
        <v>2.7676728869374316</v>
      </c>
      <c r="BH278" s="253" cm="1">
        <f t="array" ref="BH278">$BC278 * SUMPRODUCT(INDEX($AL$77:$AN$82,,$AE278),INDEX($AO$77:$AU$82,,$AD278), N($AK$77:$AK$82&gt;$AI278)) / BG278 / 1000</f>
        <v>0</v>
      </c>
      <c r="BI278" s="250">
        <f t="shared" si="244"/>
        <v>30</v>
      </c>
      <c r="BJ278" s="237">
        <f t="shared" si="432"/>
        <v>46.033333333333331</v>
      </c>
      <c r="BK278" s="253">
        <f t="shared" si="433"/>
        <v>3.2297395388556791</v>
      </c>
      <c r="BL278" s="253" cm="1">
        <f t="array" ref="BL278">$BC278 * IF($AD278&lt;=2,
SUMPRODUCT(INDEX($AL$72:$AN$76,,$AE278), INDEX($AO$72:$AU$76,,$AD278), 1 / ($AV$72:$AV$76*BK278 + (1-$AV$72:$AV$76)*BG278), N($AK$72:$AK$76&gt;$AI278)),
SUMPRODUCT(INDEX($AL$67:$AN$76,,$AE278), INDEX($AO$67:$AU$76,,$AD278), 1 / ($AW$67:$AW$76*BK278 + (1-$AW$67:$AW$76)*BG278), N($AK$67:$AK$76&gt;$AI278))
) / 1000</f>
        <v>0</v>
      </c>
      <c r="BM278" s="250">
        <f t="shared" si="247"/>
        <v>25</v>
      </c>
      <c r="BN278" s="237">
        <f t="shared" si="434"/>
        <v>39.516666666666666</v>
      </c>
      <c r="BO278" s="253">
        <f t="shared" si="435"/>
        <v>3.877011788826243</v>
      </c>
      <c r="BP278" s="253" cm="1">
        <f t="array" ref="BP278">$BC278 * IF($AD278&lt;=2,
SUMPRODUCT(INDEX($AL$67:$AN$71,,$AE278), INDEX($AO$67:$AU$71,,$AD278), 1 / ($AV$67:$AV$71*BO278 + (1-$AV$67:$AV$71)*BK278), N($AK$67:$AK$71&gt;$AI278)),
SUMPRODUCT(INDEX($AL$57:$AN$66,,$AE278), INDEX($AO$57:$AU$66,,$AD278), 1 / ($AW$57:$AW$66*BO278 + (1-$AW$57:$AW$66)*BK278), N($AK$57:$AK$66&gt;$AI278))
) / 1000</f>
        <v>0</v>
      </c>
      <c r="BQ278" s="250">
        <f t="shared" si="250"/>
        <v>20</v>
      </c>
      <c r="BR278" s="237">
        <f t="shared" si="436"/>
        <v>33</v>
      </c>
      <c r="BS278" s="253">
        <f t="shared" si="437"/>
        <v>4.8487499999999999</v>
      </c>
      <c r="BT278" s="253" cm="1">
        <f t="array" ref="BT278">$BC278 * IF($AD278&lt;=2,
SUMPRODUCT(INDEX($AL$62:$AN$66,,$AE278), INDEX($AO$62:$AU$66,,$AD278), 1 / ($AV$62:$AV$66*BS278 + (1-$AV$62:$AV$66)*BO278), N($AK$62:$AK$66&gt;$AI278)),
SUMPRODUCT(INDEX($AL$47:$AN$56,,$AE278), INDEX($AO$47:$AU$56,,$AD278), 1 / ($AW$47:$AW$56*BS278 + (1-$AW$47:$AW$56)*BO278), N($AK$47:$AK$56&gt;$AI278))
) / 1000</f>
        <v>0</v>
      </c>
      <c r="BU278" s="253" cm="1">
        <f t="array" ref="BU278">$BC278 * IF($AD278&lt;=2,
SUMPRODUCT(INDEX($AL$23:$AN$61,,$AE278), INDEX($AO$23:$AU$61,,$AD278), 1 / ($AV$23:$AV$61*BS278), N($AK$23:$AK$61&gt;$AI278)),
SUMPRODUCT(INDEX($AL$23:$AN$46,,$AE278), INDEX($AO$23:$AU$46,,$AD278), 1 / ($AW$23:$AW$46*BS278), N($AK$23:$AK$46&gt;$AI278))
) / 1000</f>
        <v>0</v>
      </c>
      <c r="BV278" s="237">
        <f t="shared" si="438"/>
        <v>0</v>
      </c>
      <c r="BW278" s="210"/>
      <c r="BX278" s="237">
        <f t="shared" si="439"/>
        <v>0</v>
      </c>
      <c r="BY278" s="236">
        <v>35</v>
      </c>
      <c r="BZ278" s="237">
        <f t="shared" si="440"/>
        <v>48</v>
      </c>
      <c r="CA278" s="253">
        <f t="shared" si="441"/>
        <v>3.0748170731707316</v>
      </c>
      <c r="CB278" s="253" cm="1">
        <f t="array" ref="CB278">$BC278 * SUMPRODUCT(INDEX($AL$77:$AN$82,,$AE278),INDEX($AO$77:$AU$82,,$AD278), N($AK$77:$AK$82&gt;$AI278)) / CA278 / 1000</f>
        <v>0</v>
      </c>
      <c r="CC278" s="250">
        <f t="shared" si="257"/>
        <v>30</v>
      </c>
      <c r="CD278" s="237">
        <f t="shared" si="442"/>
        <v>43</v>
      </c>
      <c r="CE278" s="253">
        <f t="shared" si="443"/>
        <v>3.5018750000000001</v>
      </c>
      <c r="CF278" s="253" cm="1">
        <f t="array" ref="CF278">$BC278 * IF($AD278&lt;=2,
SUMPRODUCT(INDEX($AL$72:$AN$76,,$AE278), INDEX($AO$72:$AU$76,,$AD278), 1 / ($AV$72:$AV$76*CE278 + (1-$AV$72:$AV$76)*CA278), N($AK$72:$AK$76&gt;$AI278)),
SUMPRODUCT(INDEX($AL$67:$AN$76,,$AE278), INDEX($AO$67:$AU$76,,$AD278), 1 / ($AW$67:$AW$76*CE278 + (1-$AW$67:$AW$76)*CA278), N($AK$67:$AK$76&gt;$AI278))
) / 1000</f>
        <v>0</v>
      </c>
      <c r="CG278" s="250">
        <f t="shared" si="260"/>
        <v>25</v>
      </c>
      <c r="CH278" s="237">
        <f t="shared" si="444"/>
        <v>38</v>
      </c>
      <c r="CI278" s="253">
        <f t="shared" si="445"/>
        <v>4.0666935483870965</v>
      </c>
      <c r="CJ278" s="253" cm="1">
        <f t="array" ref="CJ278">$BC278 * IF($AD278&lt;=2,
SUMPRODUCT(INDEX($AL$67:$AN$71,,$AE278), INDEX($AO$67:$AU$71,,$AD278), 1 / ($AV$67:$AV$71*CI278 + (1-$AV$67:$AV$71)*CE278), N($AK$67:$AK$71&gt;$AI278)),
SUMPRODUCT(INDEX($AL$57:$AN$66,,$AE278), INDEX($AO$57:$AU$66,,$AD278), 1 / ($AW$57:$AW$66*CI278 + (1-$AW$57:$AW$66)*CE278), N($AK$57:$AK$66&gt;$AI278))
) / 1000</f>
        <v>0</v>
      </c>
      <c r="CK278" s="250">
        <f t="shared" si="263"/>
        <v>20</v>
      </c>
      <c r="CL278" s="237">
        <f t="shared" si="446"/>
        <v>33</v>
      </c>
      <c r="CM278" s="253">
        <f t="shared" si="447"/>
        <v>4.8487499999999999</v>
      </c>
      <c r="CN278" s="253" cm="1">
        <f t="array" ref="CN278">$BC278 * IF($AD278&lt;=2,
SUMPRODUCT(INDEX($AL$62:$AN$66,,$AE278), INDEX($AO$62:$AU$66,,$AD278), 1 / ($AV$62:$AV$66*CM278 + (1-$AV$62:$AV$66)*CI278), N($AK$62:$AK$66&gt;$AI278)),
SUMPRODUCT(INDEX($AL$47:$AN$56,,$AE278), INDEX($AO$47:$AU$56,,$AD278), 1 / ($AW$47:$AW$56*CM278 + (1-$AW$47:$AW$56)*CI278), N($AK$47:$AK$56&gt;$AI278))
) / 1000</f>
        <v>0</v>
      </c>
      <c r="CO278" s="253" cm="1">
        <f t="array" ref="CO278">$BC278 * IF($AD278&lt;=2,
SUMPRODUCT(INDEX($AL$23:$AN$61,,$AE278), INDEX($AO$23:$AU$61,,$AD278), 1 / ($AV$23:$AV$61*CM278), N($AK$23:$AK$61&gt;$AI278)),
SUMPRODUCT(INDEX($AL$23:$AN$46,,$AE278), INDEX($AO$23:$AU$46,,$AD278), 1 / ($AW$23:$AW$46*CM278), N($AK$23:$AK$46&gt;$AI278))
) / 1000</f>
        <v>0</v>
      </c>
      <c r="CP278" s="237">
        <f t="shared" si="448"/>
        <v>0</v>
      </c>
      <c r="CQ278" s="210"/>
    </row>
    <row r="279" spans="1:95" s="76" customFormat="1" ht="14.25" customHeight="1" x14ac:dyDescent="0.2">
      <c r="A279" s="238" t="b">
        <f t="shared" si="227"/>
        <v>0</v>
      </c>
      <c r="B279" s="239">
        <v>257</v>
      </c>
      <c r="C279" s="258"/>
      <c r="D279" s="258"/>
      <c r="E279" s="240"/>
      <c r="F279" s="241" t="str">
        <f>IF(ISBLANK(E279), "", VLOOKUP(E279, Z!$A$2:$C$4127, 3, FALSE))</f>
        <v/>
      </c>
      <c r="G279" s="242"/>
      <c r="H279" s="242"/>
      <c r="I279" s="243"/>
      <c r="J279" s="244"/>
      <c r="K279" s="259"/>
      <c r="L279" s="260"/>
      <c r="M279" s="247" t="str" cm="1">
        <f t="array" ref="M279">IF($K279&gt;0, INDEX(Clean,1+AG279,$C$1), "")</f>
        <v/>
      </c>
      <c r="N279" s="245"/>
      <c r="O279" s="245"/>
      <c r="P279" s="246"/>
      <c r="Q279" s="248">
        <f t="shared" si="425"/>
        <v>0</v>
      </c>
      <c r="R279" s="247" t="str" cm="1">
        <f t="array" ref="R279">IF($K279&gt;0, INDEX(Clean,1+AH279,$C$1), "")</f>
        <v/>
      </c>
      <c r="S279" s="245"/>
      <c r="T279" s="245"/>
      <c r="U279" s="246"/>
      <c r="V279" s="248">
        <f t="shared" si="426"/>
        <v>0</v>
      </c>
      <c r="W279" s="261"/>
      <c r="X279" s="258"/>
      <c r="Y279" s="240"/>
      <c r="Z279" s="241" t="str">
        <f>IF(ISBLANK(Y279), "", VLOOKUP(Y279, Z!$A$2:$C$4127, 3, FALSE))</f>
        <v/>
      </c>
      <c r="AA279" s="262"/>
      <c r="AB279" s="249">
        <f t="shared" si="424"/>
        <v>0</v>
      </c>
      <c r="AC279" s="210"/>
      <c r="AD279" s="236">
        <f t="shared" si="449"/>
        <v>1</v>
      </c>
      <c r="AE279" s="236">
        <f t="shared" si="450"/>
        <v>1</v>
      </c>
      <c r="AF279" s="236">
        <f t="shared" si="451"/>
        <v>0</v>
      </c>
      <c r="AG279" s="236">
        <v>1</v>
      </c>
      <c r="AH279" s="236">
        <v>0</v>
      </c>
      <c r="AI279" s="236">
        <f t="shared" si="427"/>
        <v>-100</v>
      </c>
      <c r="AJ279" s="210"/>
      <c r="AK279" s="254"/>
      <c r="AL279" s="254"/>
      <c r="AM279" s="255"/>
      <c r="AN279" s="255"/>
      <c r="AO279" s="255"/>
      <c r="AP279" s="255"/>
      <c r="AQ279" s="255"/>
      <c r="AR279" s="255"/>
      <c r="AS279" s="255"/>
      <c r="AT279" s="255"/>
      <c r="AU279" s="255"/>
      <c r="AV279" s="255"/>
      <c r="AW279" s="255"/>
      <c r="AX279" s="210"/>
      <c r="AY279" s="236" cm="1">
        <f t="array" ref="AY279">INDEX(Use, $AD279, 4)</f>
        <v>7</v>
      </c>
      <c r="AZ279" s="236">
        <f t="shared" si="428"/>
        <v>32</v>
      </c>
      <c r="BA279" s="236">
        <f t="shared" si="239"/>
        <v>13</v>
      </c>
      <c r="BB279" s="236">
        <f t="shared" si="240"/>
        <v>0</v>
      </c>
      <c r="BC279" s="252" cm="1">
        <f t="array" ref="BC279">K279/IF($L279&gt;0, INDEX($AO$23:$AU$77, $L279+20, $AD279), 1)</f>
        <v>0</v>
      </c>
      <c r="BD279" s="237">
        <f t="shared" si="429"/>
        <v>0</v>
      </c>
      <c r="BE279" s="236">
        <v>35</v>
      </c>
      <c r="BF279" s="237">
        <f t="shared" si="430"/>
        <v>52.55</v>
      </c>
      <c r="BG279" s="253">
        <f t="shared" si="431"/>
        <v>2.7676728869374316</v>
      </c>
      <c r="BH279" s="253" cm="1">
        <f t="array" ref="BH279">$BC279 * SUMPRODUCT(INDEX($AL$77:$AN$82,,$AE279),INDEX($AO$77:$AU$82,,$AD279), N($AK$77:$AK$82&gt;$AI279)) / BG279 / 1000</f>
        <v>0</v>
      </c>
      <c r="BI279" s="250">
        <f t="shared" si="244"/>
        <v>30</v>
      </c>
      <c r="BJ279" s="237">
        <f t="shared" si="432"/>
        <v>46.033333333333331</v>
      </c>
      <c r="BK279" s="253">
        <f t="shared" si="433"/>
        <v>3.2297395388556791</v>
      </c>
      <c r="BL279" s="253" cm="1">
        <f t="array" ref="BL279">$BC279 * IF($AD279&lt;=2,
SUMPRODUCT(INDEX($AL$72:$AN$76,,$AE279), INDEX($AO$72:$AU$76,,$AD279), 1 / ($AV$72:$AV$76*BK279 + (1-$AV$72:$AV$76)*BG279), N($AK$72:$AK$76&gt;$AI279)),
SUMPRODUCT(INDEX($AL$67:$AN$76,,$AE279), INDEX($AO$67:$AU$76,,$AD279), 1 / ($AW$67:$AW$76*BK279 + (1-$AW$67:$AW$76)*BG279), N($AK$67:$AK$76&gt;$AI279))
) / 1000</f>
        <v>0</v>
      </c>
      <c r="BM279" s="250">
        <f t="shared" si="247"/>
        <v>25</v>
      </c>
      <c r="BN279" s="237">
        <f t="shared" si="434"/>
        <v>39.516666666666666</v>
      </c>
      <c r="BO279" s="253">
        <f t="shared" si="435"/>
        <v>3.877011788826243</v>
      </c>
      <c r="BP279" s="253" cm="1">
        <f t="array" ref="BP279">$BC279 * IF($AD279&lt;=2,
SUMPRODUCT(INDEX($AL$67:$AN$71,,$AE279), INDEX($AO$67:$AU$71,,$AD279), 1 / ($AV$67:$AV$71*BO279 + (1-$AV$67:$AV$71)*BK279), N($AK$67:$AK$71&gt;$AI279)),
SUMPRODUCT(INDEX($AL$57:$AN$66,,$AE279), INDEX($AO$57:$AU$66,,$AD279), 1 / ($AW$57:$AW$66*BO279 + (1-$AW$57:$AW$66)*BK279), N($AK$57:$AK$66&gt;$AI279))
) / 1000</f>
        <v>0</v>
      </c>
      <c r="BQ279" s="250">
        <f t="shared" si="250"/>
        <v>20</v>
      </c>
      <c r="BR279" s="237">
        <f t="shared" si="436"/>
        <v>33</v>
      </c>
      <c r="BS279" s="253">
        <f t="shared" si="437"/>
        <v>4.8487499999999999</v>
      </c>
      <c r="BT279" s="253" cm="1">
        <f t="array" ref="BT279">$BC279 * IF($AD279&lt;=2,
SUMPRODUCT(INDEX($AL$62:$AN$66,,$AE279), INDEX($AO$62:$AU$66,,$AD279), 1 / ($AV$62:$AV$66*BS279 + (1-$AV$62:$AV$66)*BO279), N($AK$62:$AK$66&gt;$AI279)),
SUMPRODUCT(INDEX($AL$47:$AN$56,,$AE279), INDEX($AO$47:$AU$56,,$AD279), 1 / ($AW$47:$AW$56*BS279 + (1-$AW$47:$AW$56)*BO279), N($AK$47:$AK$56&gt;$AI279))
) / 1000</f>
        <v>0</v>
      </c>
      <c r="BU279" s="253" cm="1">
        <f t="array" ref="BU279">$BC279 * IF($AD279&lt;=2,
SUMPRODUCT(INDEX($AL$23:$AN$61,,$AE279), INDEX($AO$23:$AU$61,,$AD279), 1 / ($AV$23:$AV$61*BS279), N($AK$23:$AK$61&gt;$AI279)),
SUMPRODUCT(INDEX($AL$23:$AN$46,,$AE279), INDEX($AO$23:$AU$46,,$AD279), 1 / ($AW$23:$AW$46*BS279), N($AK$23:$AK$46&gt;$AI279))
) / 1000</f>
        <v>0</v>
      </c>
      <c r="BV279" s="237">
        <f t="shared" si="438"/>
        <v>0</v>
      </c>
      <c r="BW279" s="210"/>
      <c r="BX279" s="237">
        <f t="shared" si="439"/>
        <v>0</v>
      </c>
      <c r="BY279" s="236">
        <v>35</v>
      </c>
      <c r="BZ279" s="237">
        <f t="shared" si="440"/>
        <v>48</v>
      </c>
      <c r="CA279" s="253">
        <f t="shared" si="441"/>
        <v>3.0748170731707316</v>
      </c>
      <c r="CB279" s="253" cm="1">
        <f t="array" ref="CB279">$BC279 * SUMPRODUCT(INDEX($AL$77:$AN$82,,$AE279),INDEX($AO$77:$AU$82,,$AD279), N($AK$77:$AK$82&gt;$AI279)) / CA279 / 1000</f>
        <v>0</v>
      </c>
      <c r="CC279" s="250">
        <f t="shared" si="257"/>
        <v>30</v>
      </c>
      <c r="CD279" s="237">
        <f t="shared" si="442"/>
        <v>43</v>
      </c>
      <c r="CE279" s="253">
        <f t="shared" si="443"/>
        <v>3.5018750000000001</v>
      </c>
      <c r="CF279" s="253" cm="1">
        <f t="array" ref="CF279">$BC279 * IF($AD279&lt;=2,
SUMPRODUCT(INDEX($AL$72:$AN$76,,$AE279), INDEX($AO$72:$AU$76,,$AD279), 1 / ($AV$72:$AV$76*CE279 + (1-$AV$72:$AV$76)*CA279), N($AK$72:$AK$76&gt;$AI279)),
SUMPRODUCT(INDEX($AL$67:$AN$76,,$AE279), INDEX($AO$67:$AU$76,,$AD279), 1 / ($AW$67:$AW$76*CE279 + (1-$AW$67:$AW$76)*CA279), N($AK$67:$AK$76&gt;$AI279))
) / 1000</f>
        <v>0</v>
      </c>
      <c r="CG279" s="250">
        <f t="shared" si="260"/>
        <v>25</v>
      </c>
      <c r="CH279" s="237">
        <f t="shared" si="444"/>
        <v>38</v>
      </c>
      <c r="CI279" s="253">
        <f t="shared" si="445"/>
        <v>4.0666935483870965</v>
      </c>
      <c r="CJ279" s="253" cm="1">
        <f t="array" ref="CJ279">$BC279 * IF($AD279&lt;=2,
SUMPRODUCT(INDEX($AL$67:$AN$71,,$AE279), INDEX($AO$67:$AU$71,,$AD279), 1 / ($AV$67:$AV$71*CI279 + (1-$AV$67:$AV$71)*CE279), N($AK$67:$AK$71&gt;$AI279)),
SUMPRODUCT(INDEX($AL$57:$AN$66,,$AE279), INDEX($AO$57:$AU$66,,$AD279), 1 / ($AW$57:$AW$66*CI279 + (1-$AW$57:$AW$66)*CE279), N($AK$57:$AK$66&gt;$AI279))
) / 1000</f>
        <v>0</v>
      </c>
      <c r="CK279" s="250">
        <f t="shared" si="263"/>
        <v>20</v>
      </c>
      <c r="CL279" s="237">
        <f t="shared" si="446"/>
        <v>33</v>
      </c>
      <c r="CM279" s="253">
        <f t="shared" si="447"/>
        <v>4.8487499999999999</v>
      </c>
      <c r="CN279" s="253" cm="1">
        <f t="array" ref="CN279">$BC279 * IF($AD279&lt;=2,
SUMPRODUCT(INDEX($AL$62:$AN$66,,$AE279), INDEX($AO$62:$AU$66,,$AD279), 1 / ($AV$62:$AV$66*CM279 + (1-$AV$62:$AV$66)*CI279), N($AK$62:$AK$66&gt;$AI279)),
SUMPRODUCT(INDEX($AL$47:$AN$56,,$AE279), INDEX($AO$47:$AU$56,,$AD279), 1 / ($AW$47:$AW$56*CM279 + (1-$AW$47:$AW$56)*CI279), N($AK$47:$AK$56&gt;$AI279))
) / 1000</f>
        <v>0</v>
      </c>
      <c r="CO279" s="253" cm="1">
        <f t="array" ref="CO279">$BC279 * IF($AD279&lt;=2,
SUMPRODUCT(INDEX($AL$23:$AN$61,,$AE279), INDEX($AO$23:$AU$61,,$AD279), 1 / ($AV$23:$AV$61*CM279), N($AK$23:$AK$61&gt;$AI279)),
SUMPRODUCT(INDEX($AL$23:$AN$46,,$AE279), INDEX($AO$23:$AU$46,,$AD279), 1 / ($AW$23:$AW$46*CM279), N($AK$23:$AK$46&gt;$AI279))
) / 1000</f>
        <v>0</v>
      </c>
      <c r="CP279" s="237">
        <f t="shared" si="448"/>
        <v>0</v>
      </c>
      <c r="CQ279" s="210"/>
    </row>
    <row r="280" spans="1:95" s="76" customFormat="1" ht="14.25" customHeight="1" x14ac:dyDescent="0.2">
      <c r="A280" s="238" t="b">
        <f t="shared" si="227"/>
        <v>0</v>
      </c>
      <c r="B280" s="239">
        <v>258</v>
      </c>
      <c r="C280" s="258"/>
      <c r="D280" s="258"/>
      <c r="E280" s="240"/>
      <c r="F280" s="241" t="str">
        <f>IF(ISBLANK(E280), "", VLOOKUP(E280, Z!$A$2:$C$4127, 3, FALSE))</f>
        <v/>
      </c>
      <c r="G280" s="242"/>
      <c r="H280" s="242"/>
      <c r="I280" s="243"/>
      <c r="J280" s="244"/>
      <c r="K280" s="259"/>
      <c r="L280" s="260"/>
      <c r="M280" s="247" t="str" cm="1">
        <f t="array" ref="M280">IF($K280&gt;0, INDEX(Clean,1+AG280,$C$1), "")</f>
        <v/>
      </c>
      <c r="N280" s="245"/>
      <c r="O280" s="245"/>
      <c r="P280" s="246"/>
      <c r="Q280" s="248">
        <f t="shared" si="425"/>
        <v>0</v>
      </c>
      <c r="R280" s="247" t="str" cm="1">
        <f t="array" ref="R280">IF($K280&gt;0, INDEX(Clean,1+AH280,$C$1), "")</f>
        <v/>
      </c>
      <c r="S280" s="245"/>
      <c r="T280" s="245"/>
      <c r="U280" s="246"/>
      <c r="V280" s="248">
        <f t="shared" si="426"/>
        <v>0</v>
      </c>
      <c r="W280" s="261"/>
      <c r="X280" s="258"/>
      <c r="Y280" s="240"/>
      <c r="Z280" s="241" t="str">
        <f>IF(ISBLANK(Y280), "", VLOOKUP(Y280, Z!$A$2:$C$4127, 3, FALSE))</f>
        <v/>
      </c>
      <c r="AA280" s="262"/>
      <c r="AB280" s="249">
        <f t="shared" ref="AB280:AB343" si="452">0.75*$AJ$22*(Q280-V280)</f>
        <v>0</v>
      </c>
      <c r="AC280" s="210"/>
      <c r="AD280" s="236">
        <f t="shared" si="449"/>
        <v>1</v>
      </c>
      <c r="AE280" s="236">
        <f t="shared" si="450"/>
        <v>1</v>
      </c>
      <c r="AF280" s="236">
        <f t="shared" si="451"/>
        <v>0</v>
      </c>
      <c r="AG280" s="236">
        <v>1</v>
      </c>
      <c r="AH280" s="236">
        <v>0</v>
      </c>
      <c r="AI280" s="236">
        <f t="shared" si="427"/>
        <v>-100</v>
      </c>
      <c r="AJ280" s="210"/>
      <c r="AK280" s="254"/>
      <c r="AL280" s="254"/>
      <c r="AM280" s="255"/>
      <c r="AN280" s="255"/>
      <c r="AO280" s="255"/>
      <c r="AP280" s="255"/>
      <c r="AQ280" s="255"/>
      <c r="AR280" s="255"/>
      <c r="AS280" s="255"/>
      <c r="AT280" s="255"/>
      <c r="AU280" s="255"/>
      <c r="AV280" s="255"/>
      <c r="AW280" s="255"/>
      <c r="AX280" s="210"/>
      <c r="AY280" s="236" cm="1">
        <f t="array" ref="AY280">INDEX(Use, $AD280, 4)</f>
        <v>7</v>
      </c>
      <c r="AZ280" s="236">
        <f t="shared" si="428"/>
        <v>32</v>
      </c>
      <c r="BA280" s="236">
        <f t="shared" si="239"/>
        <v>13</v>
      </c>
      <c r="BB280" s="236">
        <f t="shared" si="240"/>
        <v>0</v>
      </c>
      <c r="BC280" s="252" cm="1">
        <f t="array" ref="BC280">K280/IF($L280&gt;0, INDEX($AO$23:$AU$77, $L280+20, $AD280), 1)</f>
        <v>0</v>
      </c>
      <c r="BD280" s="237">
        <f t="shared" si="429"/>
        <v>0</v>
      </c>
      <c r="BE280" s="236">
        <v>35</v>
      </c>
      <c r="BF280" s="237">
        <f t="shared" si="430"/>
        <v>52.55</v>
      </c>
      <c r="BG280" s="253">
        <f t="shared" si="431"/>
        <v>2.7676728869374316</v>
      </c>
      <c r="BH280" s="253" cm="1">
        <f t="array" ref="BH280">$BC280 * SUMPRODUCT(INDEX($AL$77:$AN$82,,$AE280),INDEX($AO$77:$AU$82,,$AD280), N($AK$77:$AK$82&gt;$AI280)) / BG280 / 1000</f>
        <v>0</v>
      </c>
      <c r="BI280" s="250">
        <f t="shared" si="244"/>
        <v>30</v>
      </c>
      <c r="BJ280" s="237">
        <f t="shared" si="432"/>
        <v>46.033333333333331</v>
      </c>
      <c r="BK280" s="253">
        <f t="shared" si="433"/>
        <v>3.2297395388556791</v>
      </c>
      <c r="BL280" s="253" cm="1">
        <f t="array" ref="BL280">$BC280 * IF($AD280&lt;=2,
SUMPRODUCT(INDEX($AL$72:$AN$76,,$AE280), INDEX($AO$72:$AU$76,,$AD280), 1 / ($AV$72:$AV$76*BK280 + (1-$AV$72:$AV$76)*BG280), N($AK$72:$AK$76&gt;$AI280)),
SUMPRODUCT(INDEX($AL$67:$AN$76,,$AE280), INDEX($AO$67:$AU$76,,$AD280), 1 / ($AW$67:$AW$76*BK280 + (1-$AW$67:$AW$76)*BG280), N($AK$67:$AK$76&gt;$AI280))
) / 1000</f>
        <v>0</v>
      </c>
      <c r="BM280" s="250">
        <f t="shared" si="247"/>
        <v>25</v>
      </c>
      <c r="BN280" s="237">
        <f t="shared" si="434"/>
        <v>39.516666666666666</v>
      </c>
      <c r="BO280" s="253">
        <f t="shared" si="435"/>
        <v>3.877011788826243</v>
      </c>
      <c r="BP280" s="253" cm="1">
        <f t="array" ref="BP280">$BC280 * IF($AD280&lt;=2,
SUMPRODUCT(INDEX($AL$67:$AN$71,,$AE280), INDEX($AO$67:$AU$71,,$AD280), 1 / ($AV$67:$AV$71*BO280 + (1-$AV$67:$AV$71)*BK280), N($AK$67:$AK$71&gt;$AI280)),
SUMPRODUCT(INDEX($AL$57:$AN$66,,$AE280), INDEX($AO$57:$AU$66,,$AD280), 1 / ($AW$57:$AW$66*BO280 + (1-$AW$57:$AW$66)*BK280), N($AK$57:$AK$66&gt;$AI280))
) / 1000</f>
        <v>0</v>
      </c>
      <c r="BQ280" s="250">
        <f t="shared" si="250"/>
        <v>20</v>
      </c>
      <c r="BR280" s="237">
        <f t="shared" si="436"/>
        <v>33</v>
      </c>
      <c r="BS280" s="253">
        <f t="shared" si="437"/>
        <v>4.8487499999999999</v>
      </c>
      <c r="BT280" s="253" cm="1">
        <f t="array" ref="BT280">$BC280 * IF($AD280&lt;=2,
SUMPRODUCT(INDEX($AL$62:$AN$66,,$AE280), INDEX($AO$62:$AU$66,,$AD280), 1 / ($AV$62:$AV$66*BS280 + (1-$AV$62:$AV$66)*BO280), N($AK$62:$AK$66&gt;$AI280)),
SUMPRODUCT(INDEX($AL$47:$AN$56,,$AE280), INDEX($AO$47:$AU$56,,$AD280), 1 / ($AW$47:$AW$56*BS280 + (1-$AW$47:$AW$56)*BO280), N($AK$47:$AK$56&gt;$AI280))
) / 1000</f>
        <v>0</v>
      </c>
      <c r="BU280" s="253" cm="1">
        <f t="array" ref="BU280">$BC280 * IF($AD280&lt;=2,
SUMPRODUCT(INDEX($AL$23:$AN$61,,$AE280), INDEX($AO$23:$AU$61,,$AD280), 1 / ($AV$23:$AV$61*BS280), N($AK$23:$AK$61&gt;$AI280)),
SUMPRODUCT(INDEX($AL$23:$AN$46,,$AE280), INDEX($AO$23:$AU$46,,$AD280), 1 / ($AW$23:$AW$46*BS280), N($AK$23:$AK$46&gt;$AI280))
) / 1000</f>
        <v>0</v>
      </c>
      <c r="BV280" s="237">
        <f t="shared" si="438"/>
        <v>0</v>
      </c>
      <c r="BW280" s="210"/>
      <c r="BX280" s="237">
        <f t="shared" si="439"/>
        <v>0</v>
      </c>
      <c r="BY280" s="236">
        <v>35</v>
      </c>
      <c r="BZ280" s="237">
        <f t="shared" si="440"/>
        <v>48</v>
      </c>
      <c r="CA280" s="253">
        <f t="shared" si="441"/>
        <v>3.0748170731707316</v>
      </c>
      <c r="CB280" s="253" cm="1">
        <f t="array" ref="CB280">$BC280 * SUMPRODUCT(INDEX($AL$77:$AN$82,,$AE280),INDEX($AO$77:$AU$82,,$AD280), N($AK$77:$AK$82&gt;$AI280)) / CA280 / 1000</f>
        <v>0</v>
      </c>
      <c r="CC280" s="250">
        <f t="shared" si="257"/>
        <v>30</v>
      </c>
      <c r="CD280" s="237">
        <f t="shared" si="442"/>
        <v>43</v>
      </c>
      <c r="CE280" s="253">
        <f t="shared" si="443"/>
        <v>3.5018750000000001</v>
      </c>
      <c r="CF280" s="253" cm="1">
        <f t="array" ref="CF280">$BC280 * IF($AD280&lt;=2,
SUMPRODUCT(INDEX($AL$72:$AN$76,,$AE280), INDEX($AO$72:$AU$76,,$AD280), 1 / ($AV$72:$AV$76*CE280 + (1-$AV$72:$AV$76)*CA280), N($AK$72:$AK$76&gt;$AI280)),
SUMPRODUCT(INDEX($AL$67:$AN$76,,$AE280), INDEX($AO$67:$AU$76,,$AD280), 1 / ($AW$67:$AW$76*CE280 + (1-$AW$67:$AW$76)*CA280), N($AK$67:$AK$76&gt;$AI280))
) / 1000</f>
        <v>0</v>
      </c>
      <c r="CG280" s="250">
        <f t="shared" si="260"/>
        <v>25</v>
      </c>
      <c r="CH280" s="237">
        <f t="shared" si="444"/>
        <v>38</v>
      </c>
      <c r="CI280" s="253">
        <f t="shared" si="445"/>
        <v>4.0666935483870965</v>
      </c>
      <c r="CJ280" s="253" cm="1">
        <f t="array" ref="CJ280">$BC280 * IF($AD280&lt;=2,
SUMPRODUCT(INDEX($AL$67:$AN$71,,$AE280), INDEX($AO$67:$AU$71,,$AD280), 1 / ($AV$67:$AV$71*CI280 + (1-$AV$67:$AV$71)*CE280), N($AK$67:$AK$71&gt;$AI280)),
SUMPRODUCT(INDEX($AL$57:$AN$66,,$AE280), INDEX($AO$57:$AU$66,,$AD280), 1 / ($AW$57:$AW$66*CI280 + (1-$AW$57:$AW$66)*CE280), N($AK$57:$AK$66&gt;$AI280))
) / 1000</f>
        <v>0</v>
      </c>
      <c r="CK280" s="250">
        <f t="shared" si="263"/>
        <v>20</v>
      </c>
      <c r="CL280" s="237">
        <f t="shared" si="446"/>
        <v>33</v>
      </c>
      <c r="CM280" s="253">
        <f t="shared" si="447"/>
        <v>4.8487499999999999</v>
      </c>
      <c r="CN280" s="253" cm="1">
        <f t="array" ref="CN280">$BC280 * IF($AD280&lt;=2,
SUMPRODUCT(INDEX($AL$62:$AN$66,,$AE280), INDEX($AO$62:$AU$66,,$AD280), 1 / ($AV$62:$AV$66*CM280 + (1-$AV$62:$AV$66)*CI280), N($AK$62:$AK$66&gt;$AI280)),
SUMPRODUCT(INDEX($AL$47:$AN$56,,$AE280), INDEX($AO$47:$AU$56,,$AD280), 1 / ($AW$47:$AW$56*CM280 + (1-$AW$47:$AW$56)*CI280), N($AK$47:$AK$56&gt;$AI280))
) / 1000</f>
        <v>0</v>
      </c>
      <c r="CO280" s="253" cm="1">
        <f t="array" ref="CO280">$BC280 * IF($AD280&lt;=2,
SUMPRODUCT(INDEX($AL$23:$AN$61,,$AE280), INDEX($AO$23:$AU$61,,$AD280), 1 / ($AV$23:$AV$61*CM280), N($AK$23:$AK$61&gt;$AI280)),
SUMPRODUCT(INDEX($AL$23:$AN$46,,$AE280), INDEX($AO$23:$AU$46,,$AD280), 1 / ($AW$23:$AW$46*CM280), N($AK$23:$AK$46&gt;$AI280))
) / 1000</f>
        <v>0</v>
      </c>
      <c r="CP280" s="237">
        <f t="shared" si="448"/>
        <v>0</v>
      </c>
      <c r="CQ280" s="210"/>
    </row>
    <row r="281" spans="1:95" s="76" customFormat="1" ht="14.25" customHeight="1" x14ac:dyDescent="0.2">
      <c r="A281" s="238" t="b">
        <f t="shared" si="227"/>
        <v>0</v>
      </c>
      <c r="B281" s="239">
        <v>259</v>
      </c>
      <c r="C281" s="258"/>
      <c r="D281" s="258"/>
      <c r="E281" s="240"/>
      <c r="F281" s="241" t="str">
        <f>IF(ISBLANK(E281), "", VLOOKUP(E281, Z!$A$2:$C$4127, 3, FALSE))</f>
        <v/>
      </c>
      <c r="G281" s="242"/>
      <c r="H281" s="242"/>
      <c r="I281" s="243"/>
      <c r="J281" s="244"/>
      <c r="K281" s="259"/>
      <c r="L281" s="260"/>
      <c r="M281" s="247" t="str" cm="1">
        <f t="array" ref="M281">IF($K281&gt;0, INDEX(Clean,1+AG281,$C$1), "")</f>
        <v/>
      </c>
      <c r="N281" s="245"/>
      <c r="O281" s="245"/>
      <c r="P281" s="246"/>
      <c r="Q281" s="248">
        <f t="shared" si="425"/>
        <v>0</v>
      </c>
      <c r="R281" s="247" t="str" cm="1">
        <f t="array" ref="R281">IF($K281&gt;0, INDEX(Clean,1+AH281,$C$1), "")</f>
        <v/>
      </c>
      <c r="S281" s="245"/>
      <c r="T281" s="245"/>
      <c r="U281" s="246"/>
      <c r="V281" s="248">
        <f t="shared" si="426"/>
        <v>0</v>
      </c>
      <c r="W281" s="261"/>
      <c r="X281" s="258"/>
      <c r="Y281" s="240"/>
      <c r="Z281" s="241" t="str">
        <f>IF(ISBLANK(Y281), "", VLOOKUP(Y281, Z!$A$2:$C$4127, 3, FALSE))</f>
        <v/>
      </c>
      <c r="AA281" s="262"/>
      <c r="AB281" s="249">
        <f t="shared" si="452"/>
        <v>0</v>
      </c>
      <c r="AC281" s="210"/>
      <c r="AD281" s="236">
        <f t="shared" si="449"/>
        <v>1</v>
      </c>
      <c r="AE281" s="236">
        <f t="shared" si="450"/>
        <v>1</v>
      </c>
      <c r="AF281" s="236">
        <f t="shared" si="451"/>
        <v>0</v>
      </c>
      <c r="AG281" s="236">
        <v>1</v>
      </c>
      <c r="AH281" s="236">
        <v>0</v>
      </c>
      <c r="AI281" s="236">
        <f t="shared" si="427"/>
        <v>-100</v>
      </c>
      <c r="AJ281" s="210"/>
      <c r="AK281" s="254"/>
      <c r="AL281" s="254"/>
      <c r="AM281" s="255"/>
      <c r="AN281" s="255"/>
      <c r="AO281" s="255"/>
      <c r="AP281" s="255"/>
      <c r="AQ281" s="255"/>
      <c r="AR281" s="255"/>
      <c r="AS281" s="255"/>
      <c r="AT281" s="255"/>
      <c r="AU281" s="255"/>
      <c r="AV281" s="255"/>
      <c r="AW281" s="255"/>
      <c r="AX281" s="210"/>
      <c r="AY281" s="236" cm="1">
        <f t="array" ref="AY281">INDEX(Use, $AD281, 4)</f>
        <v>7</v>
      </c>
      <c r="AZ281" s="236">
        <f t="shared" si="428"/>
        <v>32</v>
      </c>
      <c r="BA281" s="236">
        <f t="shared" si="239"/>
        <v>13</v>
      </c>
      <c r="BB281" s="236">
        <f t="shared" si="240"/>
        <v>0</v>
      </c>
      <c r="BC281" s="252" cm="1">
        <f t="array" ref="BC281">K281/IF($L281&gt;0, INDEX($AO$23:$AU$77, $L281+20, $AD281), 1)</f>
        <v>0</v>
      </c>
      <c r="BD281" s="237">
        <f t="shared" si="429"/>
        <v>0</v>
      </c>
      <c r="BE281" s="236">
        <v>35</v>
      </c>
      <c r="BF281" s="237">
        <f t="shared" si="430"/>
        <v>52.55</v>
      </c>
      <c r="BG281" s="253">
        <f t="shared" si="431"/>
        <v>2.7676728869374316</v>
      </c>
      <c r="BH281" s="253" cm="1">
        <f t="array" ref="BH281">$BC281 * SUMPRODUCT(INDEX($AL$77:$AN$82,,$AE281),INDEX($AO$77:$AU$82,,$AD281), N($AK$77:$AK$82&gt;$AI281)) / BG281 / 1000</f>
        <v>0</v>
      </c>
      <c r="BI281" s="250">
        <f t="shared" si="244"/>
        <v>30</v>
      </c>
      <c r="BJ281" s="237">
        <f t="shared" si="432"/>
        <v>46.033333333333331</v>
      </c>
      <c r="BK281" s="253">
        <f t="shared" si="433"/>
        <v>3.2297395388556791</v>
      </c>
      <c r="BL281" s="253" cm="1">
        <f t="array" ref="BL281">$BC281 * IF($AD281&lt;=2,
SUMPRODUCT(INDEX($AL$72:$AN$76,,$AE281), INDEX($AO$72:$AU$76,,$AD281), 1 / ($AV$72:$AV$76*BK281 + (1-$AV$72:$AV$76)*BG281), N($AK$72:$AK$76&gt;$AI281)),
SUMPRODUCT(INDEX($AL$67:$AN$76,,$AE281), INDEX($AO$67:$AU$76,,$AD281), 1 / ($AW$67:$AW$76*BK281 + (1-$AW$67:$AW$76)*BG281), N($AK$67:$AK$76&gt;$AI281))
) / 1000</f>
        <v>0</v>
      </c>
      <c r="BM281" s="250">
        <f t="shared" si="247"/>
        <v>25</v>
      </c>
      <c r="BN281" s="237">
        <f t="shared" si="434"/>
        <v>39.516666666666666</v>
      </c>
      <c r="BO281" s="253">
        <f t="shared" si="435"/>
        <v>3.877011788826243</v>
      </c>
      <c r="BP281" s="253" cm="1">
        <f t="array" ref="BP281">$BC281 * IF($AD281&lt;=2,
SUMPRODUCT(INDEX($AL$67:$AN$71,,$AE281), INDEX($AO$67:$AU$71,,$AD281), 1 / ($AV$67:$AV$71*BO281 + (1-$AV$67:$AV$71)*BK281), N($AK$67:$AK$71&gt;$AI281)),
SUMPRODUCT(INDEX($AL$57:$AN$66,,$AE281), INDEX($AO$57:$AU$66,,$AD281), 1 / ($AW$57:$AW$66*BO281 + (1-$AW$57:$AW$66)*BK281), N($AK$57:$AK$66&gt;$AI281))
) / 1000</f>
        <v>0</v>
      </c>
      <c r="BQ281" s="250">
        <f t="shared" si="250"/>
        <v>20</v>
      </c>
      <c r="BR281" s="237">
        <f t="shared" si="436"/>
        <v>33</v>
      </c>
      <c r="BS281" s="253">
        <f t="shared" si="437"/>
        <v>4.8487499999999999</v>
      </c>
      <c r="BT281" s="253" cm="1">
        <f t="array" ref="BT281">$BC281 * IF($AD281&lt;=2,
SUMPRODUCT(INDEX($AL$62:$AN$66,,$AE281), INDEX($AO$62:$AU$66,,$AD281), 1 / ($AV$62:$AV$66*BS281 + (1-$AV$62:$AV$66)*BO281), N($AK$62:$AK$66&gt;$AI281)),
SUMPRODUCT(INDEX($AL$47:$AN$56,,$AE281), INDEX($AO$47:$AU$56,,$AD281), 1 / ($AW$47:$AW$56*BS281 + (1-$AW$47:$AW$56)*BO281), N($AK$47:$AK$56&gt;$AI281))
) / 1000</f>
        <v>0</v>
      </c>
      <c r="BU281" s="253" cm="1">
        <f t="array" ref="BU281">$BC281 * IF($AD281&lt;=2,
SUMPRODUCT(INDEX($AL$23:$AN$61,,$AE281), INDEX($AO$23:$AU$61,,$AD281), 1 / ($AV$23:$AV$61*BS281), N($AK$23:$AK$61&gt;$AI281)),
SUMPRODUCT(INDEX($AL$23:$AN$46,,$AE281), INDEX($AO$23:$AU$46,,$AD281), 1 / ($AW$23:$AW$46*BS281), N($AK$23:$AK$46&gt;$AI281))
) / 1000</f>
        <v>0</v>
      </c>
      <c r="BV281" s="237">
        <f t="shared" si="438"/>
        <v>0</v>
      </c>
      <c r="BW281" s="210"/>
      <c r="BX281" s="237">
        <f t="shared" si="439"/>
        <v>0</v>
      </c>
      <c r="BY281" s="236">
        <v>35</v>
      </c>
      <c r="BZ281" s="237">
        <f t="shared" si="440"/>
        <v>48</v>
      </c>
      <c r="CA281" s="253">
        <f t="shared" si="441"/>
        <v>3.0748170731707316</v>
      </c>
      <c r="CB281" s="253" cm="1">
        <f t="array" ref="CB281">$BC281 * SUMPRODUCT(INDEX($AL$77:$AN$82,,$AE281),INDEX($AO$77:$AU$82,,$AD281), N($AK$77:$AK$82&gt;$AI281)) / CA281 / 1000</f>
        <v>0</v>
      </c>
      <c r="CC281" s="250">
        <f t="shared" si="257"/>
        <v>30</v>
      </c>
      <c r="CD281" s="237">
        <f t="shared" si="442"/>
        <v>43</v>
      </c>
      <c r="CE281" s="253">
        <f t="shared" si="443"/>
        <v>3.5018750000000001</v>
      </c>
      <c r="CF281" s="253" cm="1">
        <f t="array" ref="CF281">$BC281 * IF($AD281&lt;=2,
SUMPRODUCT(INDEX($AL$72:$AN$76,,$AE281), INDEX($AO$72:$AU$76,,$AD281), 1 / ($AV$72:$AV$76*CE281 + (1-$AV$72:$AV$76)*CA281), N($AK$72:$AK$76&gt;$AI281)),
SUMPRODUCT(INDEX($AL$67:$AN$76,,$AE281), INDEX($AO$67:$AU$76,,$AD281), 1 / ($AW$67:$AW$76*CE281 + (1-$AW$67:$AW$76)*CA281), N($AK$67:$AK$76&gt;$AI281))
) / 1000</f>
        <v>0</v>
      </c>
      <c r="CG281" s="250">
        <f t="shared" si="260"/>
        <v>25</v>
      </c>
      <c r="CH281" s="237">
        <f t="shared" si="444"/>
        <v>38</v>
      </c>
      <c r="CI281" s="253">
        <f t="shared" si="445"/>
        <v>4.0666935483870965</v>
      </c>
      <c r="CJ281" s="253" cm="1">
        <f t="array" ref="CJ281">$BC281 * IF($AD281&lt;=2,
SUMPRODUCT(INDEX($AL$67:$AN$71,,$AE281), INDEX($AO$67:$AU$71,,$AD281), 1 / ($AV$67:$AV$71*CI281 + (1-$AV$67:$AV$71)*CE281), N($AK$67:$AK$71&gt;$AI281)),
SUMPRODUCT(INDEX($AL$57:$AN$66,,$AE281), INDEX($AO$57:$AU$66,,$AD281), 1 / ($AW$57:$AW$66*CI281 + (1-$AW$57:$AW$66)*CE281), N($AK$57:$AK$66&gt;$AI281))
) / 1000</f>
        <v>0</v>
      </c>
      <c r="CK281" s="250">
        <f t="shared" si="263"/>
        <v>20</v>
      </c>
      <c r="CL281" s="237">
        <f t="shared" si="446"/>
        <v>33</v>
      </c>
      <c r="CM281" s="253">
        <f t="shared" si="447"/>
        <v>4.8487499999999999</v>
      </c>
      <c r="CN281" s="253" cm="1">
        <f t="array" ref="CN281">$BC281 * IF($AD281&lt;=2,
SUMPRODUCT(INDEX($AL$62:$AN$66,,$AE281), INDEX($AO$62:$AU$66,,$AD281), 1 / ($AV$62:$AV$66*CM281 + (1-$AV$62:$AV$66)*CI281), N($AK$62:$AK$66&gt;$AI281)),
SUMPRODUCT(INDEX($AL$47:$AN$56,,$AE281), INDEX($AO$47:$AU$56,,$AD281), 1 / ($AW$47:$AW$56*CM281 + (1-$AW$47:$AW$56)*CI281), N($AK$47:$AK$56&gt;$AI281))
) / 1000</f>
        <v>0</v>
      </c>
      <c r="CO281" s="253" cm="1">
        <f t="array" ref="CO281">$BC281 * IF($AD281&lt;=2,
SUMPRODUCT(INDEX($AL$23:$AN$61,,$AE281), INDEX($AO$23:$AU$61,,$AD281), 1 / ($AV$23:$AV$61*CM281), N($AK$23:$AK$61&gt;$AI281)),
SUMPRODUCT(INDEX($AL$23:$AN$46,,$AE281), INDEX($AO$23:$AU$46,,$AD281), 1 / ($AW$23:$AW$46*CM281), N($AK$23:$AK$46&gt;$AI281))
) / 1000</f>
        <v>0</v>
      </c>
      <c r="CP281" s="237">
        <f t="shared" si="448"/>
        <v>0</v>
      </c>
      <c r="CQ281" s="210"/>
    </row>
    <row r="282" spans="1:95" s="76" customFormat="1" ht="14.25" customHeight="1" x14ac:dyDescent="0.2">
      <c r="A282" s="238" t="b">
        <f t="shared" si="227"/>
        <v>0</v>
      </c>
      <c r="B282" s="239">
        <v>260</v>
      </c>
      <c r="C282" s="258"/>
      <c r="D282" s="258"/>
      <c r="E282" s="240"/>
      <c r="F282" s="241" t="str">
        <f>IF(ISBLANK(E282), "", VLOOKUP(E282, Z!$A$2:$C$4127, 3, FALSE))</f>
        <v/>
      </c>
      <c r="G282" s="242"/>
      <c r="H282" s="242"/>
      <c r="I282" s="243"/>
      <c r="J282" s="244"/>
      <c r="K282" s="259"/>
      <c r="L282" s="260"/>
      <c r="M282" s="247" t="str" cm="1">
        <f t="array" ref="M282">IF($K282&gt;0, INDEX(Clean,1+AG282,$C$1), "")</f>
        <v/>
      </c>
      <c r="N282" s="245"/>
      <c r="O282" s="245"/>
      <c r="P282" s="246"/>
      <c r="Q282" s="248">
        <f t="shared" si="425"/>
        <v>0</v>
      </c>
      <c r="R282" s="247" t="str" cm="1">
        <f t="array" ref="R282">IF($K282&gt;0, INDEX(Clean,1+AH282,$C$1), "")</f>
        <v/>
      </c>
      <c r="S282" s="245"/>
      <c r="T282" s="245"/>
      <c r="U282" s="246"/>
      <c r="V282" s="248">
        <f t="shared" si="426"/>
        <v>0</v>
      </c>
      <c r="W282" s="261"/>
      <c r="X282" s="258"/>
      <c r="Y282" s="240"/>
      <c r="Z282" s="241" t="str">
        <f>IF(ISBLANK(Y282), "", VLOOKUP(Y282, Z!$A$2:$C$4127, 3, FALSE))</f>
        <v/>
      </c>
      <c r="AA282" s="262"/>
      <c r="AB282" s="249">
        <f t="shared" si="452"/>
        <v>0</v>
      </c>
      <c r="AC282" s="210"/>
      <c r="AD282" s="236">
        <f t="shared" si="449"/>
        <v>1</v>
      </c>
      <c r="AE282" s="236">
        <f t="shared" si="450"/>
        <v>1</v>
      </c>
      <c r="AF282" s="236">
        <f t="shared" si="451"/>
        <v>0</v>
      </c>
      <c r="AG282" s="236">
        <v>1</v>
      </c>
      <c r="AH282" s="236">
        <v>0</v>
      </c>
      <c r="AI282" s="236">
        <f t="shared" si="427"/>
        <v>-100</v>
      </c>
      <c r="AJ282" s="210"/>
      <c r="AK282" s="254"/>
      <c r="AL282" s="254"/>
      <c r="AM282" s="255"/>
      <c r="AN282" s="255"/>
      <c r="AO282" s="255"/>
      <c r="AP282" s="255"/>
      <c r="AQ282" s="255"/>
      <c r="AR282" s="255"/>
      <c r="AS282" s="255"/>
      <c r="AT282" s="255"/>
      <c r="AU282" s="255"/>
      <c r="AV282" s="255"/>
      <c r="AW282" s="255"/>
      <c r="AX282" s="210"/>
      <c r="AY282" s="236" cm="1">
        <f t="array" ref="AY282">INDEX(Use, $AD282, 4)</f>
        <v>7</v>
      </c>
      <c r="AZ282" s="236">
        <f t="shared" si="428"/>
        <v>32</v>
      </c>
      <c r="BA282" s="236">
        <f t="shared" si="239"/>
        <v>13</v>
      </c>
      <c r="BB282" s="236">
        <f t="shared" si="240"/>
        <v>0</v>
      </c>
      <c r="BC282" s="252" cm="1">
        <f t="array" ref="BC282">K282/IF($L282&gt;0, INDEX($AO$23:$AU$77, $L282+20, $AD282), 1)</f>
        <v>0</v>
      </c>
      <c r="BD282" s="237">
        <f t="shared" si="429"/>
        <v>0</v>
      </c>
      <c r="BE282" s="236">
        <v>35</v>
      </c>
      <c r="BF282" s="237">
        <f t="shared" si="430"/>
        <v>52.55</v>
      </c>
      <c r="BG282" s="253">
        <f t="shared" si="431"/>
        <v>2.7676728869374316</v>
      </c>
      <c r="BH282" s="253" cm="1">
        <f t="array" ref="BH282">$BC282 * SUMPRODUCT(INDEX($AL$77:$AN$82,,$AE282),INDEX($AO$77:$AU$82,,$AD282), N($AK$77:$AK$82&gt;$AI282)) / BG282 / 1000</f>
        <v>0</v>
      </c>
      <c r="BI282" s="250">
        <f t="shared" si="244"/>
        <v>30</v>
      </c>
      <c r="BJ282" s="237">
        <f t="shared" si="432"/>
        <v>46.033333333333331</v>
      </c>
      <c r="BK282" s="253">
        <f t="shared" si="433"/>
        <v>3.2297395388556791</v>
      </c>
      <c r="BL282" s="253" cm="1">
        <f t="array" ref="BL282">$BC282 * IF($AD282&lt;=2,
SUMPRODUCT(INDEX($AL$72:$AN$76,,$AE282), INDEX($AO$72:$AU$76,,$AD282), 1 / ($AV$72:$AV$76*BK282 + (1-$AV$72:$AV$76)*BG282), N($AK$72:$AK$76&gt;$AI282)),
SUMPRODUCT(INDEX($AL$67:$AN$76,,$AE282), INDEX($AO$67:$AU$76,,$AD282), 1 / ($AW$67:$AW$76*BK282 + (1-$AW$67:$AW$76)*BG282), N($AK$67:$AK$76&gt;$AI282))
) / 1000</f>
        <v>0</v>
      </c>
      <c r="BM282" s="250">
        <f t="shared" si="247"/>
        <v>25</v>
      </c>
      <c r="BN282" s="237">
        <f t="shared" si="434"/>
        <v>39.516666666666666</v>
      </c>
      <c r="BO282" s="253">
        <f t="shared" si="435"/>
        <v>3.877011788826243</v>
      </c>
      <c r="BP282" s="253" cm="1">
        <f t="array" ref="BP282">$BC282 * IF($AD282&lt;=2,
SUMPRODUCT(INDEX($AL$67:$AN$71,,$AE282), INDEX($AO$67:$AU$71,,$AD282), 1 / ($AV$67:$AV$71*BO282 + (1-$AV$67:$AV$71)*BK282), N($AK$67:$AK$71&gt;$AI282)),
SUMPRODUCT(INDEX($AL$57:$AN$66,,$AE282), INDEX($AO$57:$AU$66,,$AD282), 1 / ($AW$57:$AW$66*BO282 + (1-$AW$57:$AW$66)*BK282), N($AK$57:$AK$66&gt;$AI282))
) / 1000</f>
        <v>0</v>
      </c>
      <c r="BQ282" s="250">
        <f t="shared" si="250"/>
        <v>20</v>
      </c>
      <c r="BR282" s="237">
        <f t="shared" si="436"/>
        <v>33</v>
      </c>
      <c r="BS282" s="253">
        <f t="shared" si="437"/>
        <v>4.8487499999999999</v>
      </c>
      <c r="BT282" s="253" cm="1">
        <f t="array" ref="BT282">$BC282 * IF($AD282&lt;=2,
SUMPRODUCT(INDEX($AL$62:$AN$66,,$AE282), INDEX($AO$62:$AU$66,,$AD282), 1 / ($AV$62:$AV$66*BS282 + (1-$AV$62:$AV$66)*BO282), N($AK$62:$AK$66&gt;$AI282)),
SUMPRODUCT(INDEX($AL$47:$AN$56,,$AE282), INDEX($AO$47:$AU$56,,$AD282), 1 / ($AW$47:$AW$56*BS282 + (1-$AW$47:$AW$56)*BO282), N($AK$47:$AK$56&gt;$AI282))
) / 1000</f>
        <v>0</v>
      </c>
      <c r="BU282" s="253" cm="1">
        <f t="array" ref="BU282">$BC282 * IF($AD282&lt;=2,
SUMPRODUCT(INDEX($AL$23:$AN$61,,$AE282), INDEX($AO$23:$AU$61,,$AD282), 1 / ($AV$23:$AV$61*BS282), N($AK$23:$AK$61&gt;$AI282)),
SUMPRODUCT(INDEX($AL$23:$AN$46,,$AE282), INDEX($AO$23:$AU$46,,$AD282), 1 / ($AW$23:$AW$46*BS282), N($AK$23:$AK$46&gt;$AI282))
) / 1000</f>
        <v>0</v>
      </c>
      <c r="BV282" s="237">
        <f t="shared" si="438"/>
        <v>0</v>
      </c>
      <c r="BW282" s="210"/>
      <c r="BX282" s="237">
        <f t="shared" si="439"/>
        <v>0</v>
      </c>
      <c r="BY282" s="236">
        <v>35</v>
      </c>
      <c r="BZ282" s="237">
        <f t="shared" si="440"/>
        <v>48</v>
      </c>
      <c r="CA282" s="253">
        <f t="shared" si="441"/>
        <v>3.0748170731707316</v>
      </c>
      <c r="CB282" s="253" cm="1">
        <f t="array" ref="CB282">$BC282 * SUMPRODUCT(INDEX($AL$77:$AN$82,,$AE282),INDEX($AO$77:$AU$82,,$AD282), N($AK$77:$AK$82&gt;$AI282)) / CA282 / 1000</f>
        <v>0</v>
      </c>
      <c r="CC282" s="250">
        <f t="shared" si="257"/>
        <v>30</v>
      </c>
      <c r="CD282" s="237">
        <f t="shared" si="442"/>
        <v>43</v>
      </c>
      <c r="CE282" s="253">
        <f t="shared" si="443"/>
        <v>3.5018750000000001</v>
      </c>
      <c r="CF282" s="253" cm="1">
        <f t="array" ref="CF282">$BC282 * IF($AD282&lt;=2,
SUMPRODUCT(INDEX($AL$72:$AN$76,,$AE282), INDEX($AO$72:$AU$76,,$AD282), 1 / ($AV$72:$AV$76*CE282 + (1-$AV$72:$AV$76)*CA282), N($AK$72:$AK$76&gt;$AI282)),
SUMPRODUCT(INDEX($AL$67:$AN$76,,$AE282), INDEX($AO$67:$AU$76,,$AD282), 1 / ($AW$67:$AW$76*CE282 + (1-$AW$67:$AW$76)*CA282), N($AK$67:$AK$76&gt;$AI282))
) / 1000</f>
        <v>0</v>
      </c>
      <c r="CG282" s="250">
        <f t="shared" si="260"/>
        <v>25</v>
      </c>
      <c r="CH282" s="237">
        <f t="shared" si="444"/>
        <v>38</v>
      </c>
      <c r="CI282" s="253">
        <f t="shared" si="445"/>
        <v>4.0666935483870965</v>
      </c>
      <c r="CJ282" s="253" cm="1">
        <f t="array" ref="CJ282">$BC282 * IF($AD282&lt;=2,
SUMPRODUCT(INDEX($AL$67:$AN$71,,$AE282), INDEX($AO$67:$AU$71,,$AD282), 1 / ($AV$67:$AV$71*CI282 + (1-$AV$67:$AV$71)*CE282), N($AK$67:$AK$71&gt;$AI282)),
SUMPRODUCT(INDEX($AL$57:$AN$66,,$AE282), INDEX($AO$57:$AU$66,,$AD282), 1 / ($AW$57:$AW$66*CI282 + (1-$AW$57:$AW$66)*CE282), N($AK$57:$AK$66&gt;$AI282))
) / 1000</f>
        <v>0</v>
      </c>
      <c r="CK282" s="250">
        <f t="shared" si="263"/>
        <v>20</v>
      </c>
      <c r="CL282" s="237">
        <f t="shared" si="446"/>
        <v>33</v>
      </c>
      <c r="CM282" s="253">
        <f t="shared" si="447"/>
        <v>4.8487499999999999</v>
      </c>
      <c r="CN282" s="253" cm="1">
        <f t="array" ref="CN282">$BC282 * IF($AD282&lt;=2,
SUMPRODUCT(INDEX($AL$62:$AN$66,,$AE282), INDEX($AO$62:$AU$66,,$AD282), 1 / ($AV$62:$AV$66*CM282 + (1-$AV$62:$AV$66)*CI282), N($AK$62:$AK$66&gt;$AI282)),
SUMPRODUCT(INDEX($AL$47:$AN$56,,$AE282), INDEX($AO$47:$AU$56,,$AD282), 1 / ($AW$47:$AW$56*CM282 + (1-$AW$47:$AW$56)*CI282), N($AK$47:$AK$56&gt;$AI282))
) / 1000</f>
        <v>0</v>
      </c>
      <c r="CO282" s="253" cm="1">
        <f t="array" ref="CO282">$BC282 * IF($AD282&lt;=2,
SUMPRODUCT(INDEX($AL$23:$AN$61,,$AE282), INDEX($AO$23:$AU$61,,$AD282), 1 / ($AV$23:$AV$61*CM282), N($AK$23:$AK$61&gt;$AI282)),
SUMPRODUCT(INDEX($AL$23:$AN$46,,$AE282), INDEX($AO$23:$AU$46,,$AD282), 1 / ($AW$23:$AW$46*CM282), N($AK$23:$AK$46&gt;$AI282))
) / 1000</f>
        <v>0</v>
      </c>
      <c r="CP282" s="237">
        <f t="shared" si="448"/>
        <v>0</v>
      </c>
      <c r="CQ282" s="210"/>
    </row>
    <row r="283" spans="1:95" s="76" customFormat="1" ht="14.25" customHeight="1" x14ac:dyDescent="0.2">
      <c r="A283" s="238" t="b">
        <f t="shared" si="227"/>
        <v>0</v>
      </c>
      <c r="B283" s="239">
        <v>261</v>
      </c>
      <c r="C283" s="258"/>
      <c r="D283" s="258"/>
      <c r="E283" s="240"/>
      <c r="F283" s="241" t="str">
        <f>IF(ISBLANK(E283), "", VLOOKUP(E283, Z!$A$2:$C$4127, 3, FALSE))</f>
        <v/>
      </c>
      <c r="G283" s="242"/>
      <c r="H283" s="242"/>
      <c r="I283" s="243"/>
      <c r="J283" s="244"/>
      <c r="K283" s="259"/>
      <c r="L283" s="260"/>
      <c r="M283" s="247" t="str" cm="1">
        <f t="array" ref="M283">IF($K283&gt;0, INDEX(Clean,1+AG283,$C$1), "")</f>
        <v/>
      </c>
      <c r="N283" s="245"/>
      <c r="O283" s="245"/>
      <c r="P283" s="246"/>
      <c r="Q283" s="248">
        <f t="shared" si="425"/>
        <v>0</v>
      </c>
      <c r="R283" s="247" t="str" cm="1">
        <f t="array" ref="R283">IF($K283&gt;0, INDEX(Clean,1+AH283,$C$1), "")</f>
        <v/>
      </c>
      <c r="S283" s="245"/>
      <c r="T283" s="245"/>
      <c r="U283" s="246"/>
      <c r="V283" s="248">
        <f t="shared" si="426"/>
        <v>0</v>
      </c>
      <c r="W283" s="261"/>
      <c r="X283" s="258"/>
      <c r="Y283" s="240"/>
      <c r="Z283" s="241" t="str">
        <f>IF(ISBLANK(Y283), "", VLOOKUP(Y283, Z!$A$2:$C$4127, 3, FALSE))</f>
        <v/>
      </c>
      <c r="AA283" s="262"/>
      <c r="AB283" s="249">
        <f t="shared" si="452"/>
        <v>0</v>
      </c>
      <c r="AC283" s="210"/>
      <c r="AD283" s="236">
        <f t="shared" si="449"/>
        <v>1</v>
      </c>
      <c r="AE283" s="236">
        <f t="shared" si="450"/>
        <v>1</v>
      </c>
      <c r="AF283" s="236">
        <f t="shared" si="451"/>
        <v>0</v>
      </c>
      <c r="AG283" s="236">
        <v>1</v>
      </c>
      <c r="AH283" s="236">
        <v>0</v>
      </c>
      <c r="AI283" s="236">
        <f t="shared" si="427"/>
        <v>-100</v>
      </c>
      <c r="AJ283" s="210"/>
      <c r="AK283" s="254"/>
      <c r="AL283" s="254"/>
      <c r="AM283" s="255"/>
      <c r="AN283" s="255"/>
      <c r="AO283" s="255"/>
      <c r="AP283" s="255"/>
      <c r="AQ283" s="255"/>
      <c r="AR283" s="255"/>
      <c r="AS283" s="255"/>
      <c r="AT283" s="255"/>
      <c r="AU283" s="255"/>
      <c r="AV283" s="255"/>
      <c r="AW283" s="255"/>
      <c r="AX283" s="210"/>
      <c r="AY283" s="236" cm="1">
        <f t="array" ref="AY283">INDEX(Use, $AD283, 4)</f>
        <v>7</v>
      </c>
      <c r="AZ283" s="236">
        <f t="shared" si="428"/>
        <v>32</v>
      </c>
      <c r="BA283" s="236">
        <f t="shared" si="239"/>
        <v>13</v>
      </c>
      <c r="BB283" s="236">
        <f t="shared" si="240"/>
        <v>0</v>
      </c>
      <c r="BC283" s="252" cm="1">
        <f t="array" ref="BC283">K283/IF($L283&gt;0, INDEX($AO$23:$AU$77, $L283+20, $AD283), 1)</f>
        <v>0</v>
      </c>
      <c r="BD283" s="237">
        <f t="shared" si="429"/>
        <v>0</v>
      </c>
      <c r="BE283" s="236">
        <v>35</v>
      </c>
      <c r="BF283" s="237">
        <f t="shared" si="430"/>
        <v>52.55</v>
      </c>
      <c r="BG283" s="253">
        <f t="shared" si="431"/>
        <v>2.7676728869374316</v>
      </c>
      <c r="BH283" s="253" cm="1">
        <f t="array" ref="BH283">$BC283 * SUMPRODUCT(INDEX($AL$77:$AN$82,,$AE283),INDEX($AO$77:$AU$82,,$AD283), N($AK$77:$AK$82&gt;$AI283)) / BG283 / 1000</f>
        <v>0</v>
      </c>
      <c r="BI283" s="250">
        <f t="shared" si="244"/>
        <v>30</v>
      </c>
      <c r="BJ283" s="237">
        <f t="shared" si="432"/>
        <v>46.033333333333331</v>
      </c>
      <c r="BK283" s="253">
        <f t="shared" si="433"/>
        <v>3.2297395388556791</v>
      </c>
      <c r="BL283" s="253" cm="1">
        <f t="array" ref="BL283">$BC283 * IF($AD283&lt;=2,
SUMPRODUCT(INDEX($AL$72:$AN$76,,$AE283), INDEX($AO$72:$AU$76,,$AD283), 1 / ($AV$72:$AV$76*BK283 + (1-$AV$72:$AV$76)*BG283), N($AK$72:$AK$76&gt;$AI283)),
SUMPRODUCT(INDEX($AL$67:$AN$76,,$AE283), INDEX($AO$67:$AU$76,,$AD283), 1 / ($AW$67:$AW$76*BK283 + (1-$AW$67:$AW$76)*BG283), N($AK$67:$AK$76&gt;$AI283))
) / 1000</f>
        <v>0</v>
      </c>
      <c r="BM283" s="250">
        <f t="shared" si="247"/>
        <v>25</v>
      </c>
      <c r="BN283" s="237">
        <f t="shared" si="434"/>
        <v>39.516666666666666</v>
      </c>
      <c r="BO283" s="253">
        <f t="shared" si="435"/>
        <v>3.877011788826243</v>
      </c>
      <c r="BP283" s="253" cm="1">
        <f t="array" ref="BP283">$BC283 * IF($AD283&lt;=2,
SUMPRODUCT(INDEX($AL$67:$AN$71,,$AE283), INDEX($AO$67:$AU$71,,$AD283), 1 / ($AV$67:$AV$71*BO283 + (1-$AV$67:$AV$71)*BK283), N($AK$67:$AK$71&gt;$AI283)),
SUMPRODUCT(INDEX($AL$57:$AN$66,,$AE283), INDEX($AO$57:$AU$66,,$AD283), 1 / ($AW$57:$AW$66*BO283 + (1-$AW$57:$AW$66)*BK283), N($AK$57:$AK$66&gt;$AI283))
) / 1000</f>
        <v>0</v>
      </c>
      <c r="BQ283" s="250">
        <f t="shared" si="250"/>
        <v>20</v>
      </c>
      <c r="BR283" s="237">
        <f t="shared" si="436"/>
        <v>33</v>
      </c>
      <c r="BS283" s="253">
        <f t="shared" si="437"/>
        <v>4.8487499999999999</v>
      </c>
      <c r="BT283" s="253" cm="1">
        <f t="array" ref="BT283">$BC283 * IF($AD283&lt;=2,
SUMPRODUCT(INDEX($AL$62:$AN$66,,$AE283), INDEX($AO$62:$AU$66,,$AD283), 1 / ($AV$62:$AV$66*BS283 + (1-$AV$62:$AV$66)*BO283), N($AK$62:$AK$66&gt;$AI283)),
SUMPRODUCT(INDEX($AL$47:$AN$56,,$AE283), INDEX($AO$47:$AU$56,,$AD283), 1 / ($AW$47:$AW$56*BS283 + (1-$AW$47:$AW$56)*BO283), N($AK$47:$AK$56&gt;$AI283))
) / 1000</f>
        <v>0</v>
      </c>
      <c r="BU283" s="253" cm="1">
        <f t="array" ref="BU283">$BC283 * IF($AD283&lt;=2,
SUMPRODUCT(INDEX($AL$23:$AN$61,,$AE283), INDEX($AO$23:$AU$61,,$AD283), 1 / ($AV$23:$AV$61*BS283), N($AK$23:$AK$61&gt;$AI283)),
SUMPRODUCT(INDEX($AL$23:$AN$46,,$AE283), INDEX($AO$23:$AU$46,,$AD283), 1 / ($AW$23:$AW$46*BS283), N($AK$23:$AK$46&gt;$AI283))
) / 1000</f>
        <v>0</v>
      </c>
      <c r="BV283" s="237">
        <f t="shared" si="438"/>
        <v>0</v>
      </c>
      <c r="BW283" s="210"/>
      <c r="BX283" s="237">
        <f t="shared" si="439"/>
        <v>0</v>
      </c>
      <c r="BY283" s="236">
        <v>35</v>
      </c>
      <c r="BZ283" s="237">
        <f t="shared" si="440"/>
        <v>48</v>
      </c>
      <c r="CA283" s="253">
        <f t="shared" si="441"/>
        <v>3.0748170731707316</v>
      </c>
      <c r="CB283" s="253" cm="1">
        <f t="array" ref="CB283">$BC283 * SUMPRODUCT(INDEX($AL$77:$AN$82,,$AE283),INDEX($AO$77:$AU$82,,$AD283), N($AK$77:$AK$82&gt;$AI283)) / CA283 / 1000</f>
        <v>0</v>
      </c>
      <c r="CC283" s="250">
        <f t="shared" si="257"/>
        <v>30</v>
      </c>
      <c r="CD283" s="237">
        <f t="shared" si="442"/>
        <v>43</v>
      </c>
      <c r="CE283" s="253">
        <f t="shared" si="443"/>
        <v>3.5018750000000001</v>
      </c>
      <c r="CF283" s="253" cm="1">
        <f t="array" ref="CF283">$BC283 * IF($AD283&lt;=2,
SUMPRODUCT(INDEX($AL$72:$AN$76,,$AE283), INDEX($AO$72:$AU$76,,$AD283), 1 / ($AV$72:$AV$76*CE283 + (1-$AV$72:$AV$76)*CA283), N($AK$72:$AK$76&gt;$AI283)),
SUMPRODUCT(INDEX($AL$67:$AN$76,,$AE283), INDEX($AO$67:$AU$76,,$AD283), 1 / ($AW$67:$AW$76*CE283 + (1-$AW$67:$AW$76)*CA283), N($AK$67:$AK$76&gt;$AI283))
) / 1000</f>
        <v>0</v>
      </c>
      <c r="CG283" s="250">
        <f t="shared" si="260"/>
        <v>25</v>
      </c>
      <c r="CH283" s="237">
        <f t="shared" si="444"/>
        <v>38</v>
      </c>
      <c r="CI283" s="253">
        <f t="shared" si="445"/>
        <v>4.0666935483870965</v>
      </c>
      <c r="CJ283" s="253" cm="1">
        <f t="array" ref="CJ283">$BC283 * IF($AD283&lt;=2,
SUMPRODUCT(INDEX($AL$67:$AN$71,,$AE283), INDEX($AO$67:$AU$71,,$AD283), 1 / ($AV$67:$AV$71*CI283 + (1-$AV$67:$AV$71)*CE283), N($AK$67:$AK$71&gt;$AI283)),
SUMPRODUCT(INDEX($AL$57:$AN$66,,$AE283), INDEX($AO$57:$AU$66,,$AD283), 1 / ($AW$57:$AW$66*CI283 + (1-$AW$57:$AW$66)*CE283), N($AK$57:$AK$66&gt;$AI283))
) / 1000</f>
        <v>0</v>
      </c>
      <c r="CK283" s="250">
        <f t="shared" si="263"/>
        <v>20</v>
      </c>
      <c r="CL283" s="237">
        <f t="shared" si="446"/>
        <v>33</v>
      </c>
      <c r="CM283" s="253">
        <f t="shared" si="447"/>
        <v>4.8487499999999999</v>
      </c>
      <c r="CN283" s="253" cm="1">
        <f t="array" ref="CN283">$BC283 * IF($AD283&lt;=2,
SUMPRODUCT(INDEX($AL$62:$AN$66,,$AE283), INDEX($AO$62:$AU$66,,$AD283), 1 / ($AV$62:$AV$66*CM283 + (1-$AV$62:$AV$66)*CI283), N($AK$62:$AK$66&gt;$AI283)),
SUMPRODUCT(INDEX($AL$47:$AN$56,,$AE283), INDEX($AO$47:$AU$56,,$AD283), 1 / ($AW$47:$AW$56*CM283 + (1-$AW$47:$AW$56)*CI283), N($AK$47:$AK$56&gt;$AI283))
) / 1000</f>
        <v>0</v>
      </c>
      <c r="CO283" s="253" cm="1">
        <f t="array" ref="CO283">$BC283 * IF($AD283&lt;=2,
SUMPRODUCT(INDEX($AL$23:$AN$61,,$AE283), INDEX($AO$23:$AU$61,,$AD283), 1 / ($AV$23:$AV$61*CM283), N($AK$23:$AK$61&gt;$AI283)),
SUMPRODUCT(INDEX($AL$23:$AN$46,,$AE283), INDEX($AO$23:$AU$46,,$AD283), 1 / ($AW$23:$AW$46*CM283), N($AK$23:$AK$46&gt;$AI283))
) / 1000</f>
        <v>0</v>
      </c>
      <c r="CP283" s="237">
        <f t="shared" si="448"/>
        <v>0</v>
      </c>
      <c r="CQ283" s="210"/>
    </row>
    <row r="284" spans="1:95" s="76" customFormat="1" ht="14.25" customHeight="1" x14ac:dyDescent="0.2">
      <c r="A284" s="238" t="b">
        <f t="shared" si="227"/>
        <v>0</v>
      </c>
      <c r="B284" s="239">
        <v>262</v>
      </c>
      <c r="C284" s="258"/>
      <c r="D284" s="258"/>
      <c r="E284" s="240"/>
      <c r="F284" s="241" t="str">
        <f>IF(ISBLANK(E284), "", VLOOKUP(E284, Z!$A$2:$C$4127, 3, FALSE))</f>
        <v/>
      </c>
      <c r="G284" s="242"/>
      <c r="H284" s="242"/>
      <c r="I284" s="243"/>
      <c r="J284" s="244"/>
      <c r="K284" s="259"/>
      <c r="L284" s="260"/>
      <c r="M284" s="247" t="str" cm="1">
        <f t="array" ref="M284">IF($K284&gt;0, INDEX(Clean,1+AG284,$C$1), "")</f>
        <v/>
      </c>
      <c r="N284" s="245"/>
      <c r="O284" s="245"/>
      <c r="P284" s="246"/>
      <c r="Q284" s="248">
        <f t="shared" si="425"/>
        <v>0</v>
      </c>
      <c r="R284" s="247" t="str" cm="1">
        <f t="array" ref="R284">IF($K284&gt;0, INDEX(Clean,1+AH284,$C$1), "")</f>
        <v/>
      </c>
      <c r="S284" s="245"/>
      <c r="T284" s="245"/>
      <c r="U284" s="246"/>
      <c r="V284" s="248">
        <f t="shared" si="426"/>
        <v>0</v>
      </c>
      <c r="W284" s="261"/>
      <c r="X284" s="258"/>
      <c r="Y284" s="240"/>
      <c r="Z284" s="241" t="str">
        <f>IF(ISBLANK(Y284), "", VLOOKUP(Y284, Z!$A$2:$C$4127, 3, FALSE))</f>
        <v/>
      </c>
      <c r="AA284" s="262"/>
      <c r="AB284" s="249">
        <f t="shared" si="452"/>
        <v>0</v>
      </c>
      <c r="AC284" s="210"/>
      <c r="AD284" s="236">
        <f t="shared" si="449"/>
        <v>1</v>
      </c>
      <c r="AE284" s="236">
        <f t="shared" si="450"/>
        <v>1</v>
      </c>
      <c r="AF284" s="236">
        <f t="shared" si="451"/>
        <v>0</v>
      </c>
      <c r="AG284" s="236">
        <v>1</v>
      </c>
      <c r="AH284" s="236">
        <v>0</v>
      </c>
      <c r="AI284" s="236">
        <f t="shared" si="427"/>
        <v>-100</v>
      </c>
      <c r="AJ284" s="210"/>
      <c r="AK284" s="254"/>
      <c r="AL284" s="254"/>
      <c r="AM284" s="255"/>
      <c r="AN284" s="255"/>
      <c r="AO284" s="255"/>
      <c r="AP284" s="255"/>
      <c r="AQ284" s="255"/>
      <c r="AR284" s="255"/>
      <c r="AS284" s="255"/>
      <c r="AT284" s="255"/>
      <c r="AU284" s="255"/>
      <c r="AV284" s="255"/>
      <c r="AW284" s="255"/>
      <c r="AX284" s="210"/>
      <c r="AY284" s="236" cm="1">
        <f t="array" ref="AY284">INDEX(Use, $AD284, 4)</f>
        <v>7</v>
      </c>
      <c r="AZ284" s="236">
        <f t="shared" si="428"/>
        <v>32</v>
      </c>
      <c r="BA284" s="236">
        <f t="shared" si="239"/>
        <v>13</v>
      </c>
      <c r="BB284" s="236">
        <f t="shared" si="240"/>
        <v>0</v>
      </c>
      <c r="BC284" s="252" cm="1">
        <f t="array" ref="BC284">K284/IF($L284&gt;0, INDEX($AO$23:$AU$77, $L284+20, $AD284), 1)</f>
        <v>0</v>
      </c>
      <c r="BD284" s="237">
        <f t="shared" si="429"/>
        <v>0</v>
      </c>
      <c r="BE284" s="236">
        <v>35</v>
      </c>
      <c r="BF284" s="237">
        <f t="shared" si="430"/>
        <v>52.55</v>
      </c>
      <c r="BG284" s="253">
        <f t="shared" si="431"/>
        <v>2.7676728869374316</v>
      </c>
      <c r="BH284" s="253" cm="1">
        <f t="array" ref="BH284">$BC284 * SUMPRODUCT(INDEX($AL$77:$AN$82,,$AE284),INDEX($AO$77:$AU$82,,$AD284), N($AK$77:$AK$82&gt;$AI284)) / BG284 / 1000</f>
        <v>0</v>
      </c>
      <c r="BI284" s="250">
        <f t="shared" si="244"/>
        <v>30</v>
      </c>
      <c r="BJ284" s="237">
        <f t="shared" si="432"/>
        <v>46.033333333333331</v>
      </c>
      <c r="BK284" s="253">
        <f t="shared" si="433"/>
        <v>3.2297395388556791</v>
      </c>
      <c r="BL284" s="253" cm="1">
        <f t="array" ref="BL284">$BC284 * IF($AD284&lt;=2,
SUMPRODUCT(INDEX($AL$72:$AN$76,,$AE284), INDEX($AO$72:$AU$76,,$AD284), 1 / ($AV$72:$AV$76*BK284 + (1-$AV$72:$AV$76)*BG284), N($AK$72:$AK$76&gt;$AI284)),
SUMPRODUCT(INDEX($AL$67:$AN$76,,$AE284), INDEX($AO$67:$AU$76,,$AD284), 1 / ($AW$67:$AW$76*BK284 + (1-$AW$67:$AW$76)*BG284), N($AK$67:$AK$76&gt;$AI284))
) / 1000</f>
        <v>0</v>
      </c>
      <c r="BM284" s="250">
        <f t="shared" si="247"/>
        <v>25</v>
      </c>
      <c r="BN284" s="237">
        <f t="shared" si="434"/>
        <v>39.516666666666666</v>
      </c>
      <c r="BO284" s="253">
        <f t="shared" si="435"/>
        <v>3.877011788826243</v>
      </c>
      <c r="BP284" s="253" cm="1">
        <f t="array" ref="BP284">$BC284 * IF($AD284&lt;=2,
SUMPRODUCT(INDEX($AL$67:$AN$71,,$AE284), INDEX($AO$67:$AU$71,,$AD284), 1 / ($AV$67:$AV$71*BO284 + (1-$AV$67:$AV$71)*BK284), N($AK$67:$AK$71&gt;$AI284)),
SUMPRODUCT(INDEX($AL$57:$AN$66,,$AE284), INDEX($AO$57:$AU$66,,$AD284), 1 / ($AW$57:$AW$66*BO284 + (1-$AW$57:$AW$66)*BK284), N($AK$57:$AK$66&gt;$AI284))
) / 1000</f>
        <v>0</v>
      </c>
      <c r="BQ284" s="250">
        <f t="shared" si="250"/>
        <v>20</v>
      </c>
      <c r="BR284" s="237">
        <f t="shared" si="436"/>
        <v>33</v>
      </c>
      <c r="BS284" s="253">
        <f t="shared" si="437"/>
        <v>4.8487499999999999</v>
      </c>
      <c r="BT284" s="253" cm="1">
        <f t="array" ref="BT284">$BC284 * IF($AD284&lt;=2,
SUMPRODUCT(INDEX($AL$62:$AN$66,,$AE284), INDEX($AO$62:$AU$66,,$AD284), 1 / ($AV$62:$AV$66*BS284 + (1-$AV$62:$AV$66)*BO284), N($AK$62:$AK$66&gt;$AI284)),
SUMPRODUCT(INDEX($AL$47:$AN$56,,$AE284), INDEX($AO$47:$AU$56,,$AD284), 1 / ($AW$47:$AW$56*BS284 + (1-$AW$47:$AW$56)*BO284), N($AK$47:$AK$56&gt;$AI284))
) / 1000</f>
        <v>0</v>
      </c>
      <c r="BU284" s="253" cm="1">
        <f t="array" ref="BU284">$BC284 * IF($AD284&lt;=2,
SUMPRODUCT(INDEX($AL$23:$AN$61,,$AE284), INDEX($AO$23:$AU$61,,$AD284), 1 / ($AV$23:$AV$61*BS284), N($AK$23:$AK$61&gt;$AI284)),
SUMPRODUCT(INDEX($AL$23:$AN$46,,$AE284), INDEX($AO$23:$AU$46,,$AD284), 1 / ($AW$23:$AW$46*BS284), N($AK$23:$AK$46&gt;$AI284))
) / 1000</f>
        <v>0</v>
      </c>
      <c r="BV284" s="237">
        <f t="shared" si="438"/>
        <v>0</v>
      </c>
      <c r="BW284" s="210"/>
      <c r="BX284" s="237">
        <f t="shared" si="439"/>
        <v>0</v>
      </c>
      <c r="BY284" s="236">
        <v>35</v>
      </c>
      <c r="BZ284" s="237">
        <f t="shared" si="440"/>
        <v>48</v>
      </c>
      <c r="CA284" s="253">
        <f t="shared" si="441"/>
        <v>3.0748170731707316</v>
      </c>
      <c r="CB284" s="253" cm="1">
        <f t="array" ref="CB284">$BC284 * SUMPRODUCT(INDEX($AL$77:$AN$82,,$AE284),INDEX($AO$77:$AU$82,,$AD284), N($AK$77:$AK$82&gt;$AI284)) / CA284 / 1000</f>
        <v>0</v>
      </c>
      <c r="CC284" s="250">
        <f t="shared" si="257"/>
        <v>30</v>
      </c>
      <c r="CD284" s="237">
        <f t="shared" si="442"/>
        <v>43</v>
      </c>
      <c r="CE284" s="253">
        <f t="shared" si="443"/>
        <v>3.5018750000000001</v>
      </c>
      <c r="CF284" s="253" cm="1">
        <f t="array" ref="CF284">$BC284 * IF($AD284&lt;=2,
SUMPRODUCT(INDEX($AL$72:$AN$76,,$AE284), INDEX($AO$72:$AU$76,,$AD284), 1 / ($AV$72:$AV$76*CE284 + (1-$AV$72:$AV$76)*CA284), N($AK$72:$AK$76&gt;$AI284)),
SUMPRODUCT(INDEX($AL$67:$AN$76,,$AE284), INDEX($AO$67:$AU$76,,$AD284), 1 / ($AW$67:$AW$76*CE284 + (1-$AW$67:$AW$76)*CA284), N($AK$67:$AK$76&gt;$AI284))
) / 1000</f>
        <v>0</v>
      </c>
      <c r="CG284" s="250">
        <f t="shared" si="260"/>
        <v>25</v>
      </c>
      <c r="CH284" s="237">
        <f t="shared" si="444"/>
        <v>38</v>
      </c>
      <c r="CI284" s="253">
        <f t="shared" si="445"/>
        <v>4.0666935483870965</v>
      </c>
      <c r="CJ284" s="253" cm="1">
        <f t="array" ref="CJ284">$BC284 * IF($AD284&lt;=2,
SUMPRODUCT(INDEX($AL$67:$AN$71,,$AE284), INDEX($AO$67:$AU$71,,$AD284), 1 / ($AV$67:$AV$71*CI284 + (1-$AV$67:$AV$71)*CE284), N($AK$67:$AK$71&gt;$AI284)),
SUMPRODUCT(INDEX($AL$57:$AN$66,,$AE284), INDEX($AO$57:$AU$66,,$AD284), 1 / ($AW$57:$AW$66*CI284 + (1-$AW$57:$AW$66)*CE284), N($AK$57:$AK$66&gt;$AI284))
) / 1000</f>
        <v>0</v>
      </c>
      <c r="CK284" s="250">
        <f t="shared" si="263"/>
        <v>20</v>
      </c>
      <c r="CL284" s="237">
        <f t="shared" si="446"/>
        <v>33</v>
      </c>
      <c r="CM284" s="253">
        <f t="shared" si="447"/>
        <v>4.8487499999999999</v>
      </c>
      <c r="CN284" s="253" cm="1">
        <f t="array" ref="CN284">$BC284 * IF($AD284&lt;=2,
SUMPRODUCT(INDEX($AL$62:$AN$66,,$AE284), INDEX($AO$62:$AU$66,,$AD284), 1 / ($AV$62:$AV$66*CM284 + (1-$AV$62:$AV$66)*CI284), N($AK$62:$AK$66&gt;$AI284)),
SUMPRODUCT(INDEX($AL$47:$AN$56,,$AE284), INDEX($AO$47:$AU$56,,$AD284), 1 / ($AW$47:$AW$56*CM284 + (1-$AW$47:$AW$56)*CI284), N($AK$47:$AK$56&gt;$AI284))
) / 1000</f>
        <v>0</v>
      </c>
      <c r="CO284" s="253" cm="1">
        <f t="array" ref="CO284">$BC284 * IF($AD284&lt;=2,
SUMPRODUCT(INDEX($AL$23:$AN$61,,$AE284), INDEX($AO$23:$AU$61,,$AD284), 1 / ($AV$23:$AV$61*CM284), N($AK$23:$AK$61&gt;$AI284)),
SUMPRODUCT(INDEX($AL$23:$AN$46,,$AE284), INDEX($AO$23:$AU$46,,$AD284), 1 / ($AW$23:$AW$46*CM284), N($AK$23:$AK$46&gt;$AI284))
) / 1000</f>
        <v>0</v>
      </c>
      <c r="CP284" s="237">
        <f t="shared" si="448"/>
        <v>0</v>
      </c>
      <c r="CQ284" s="210"/>
    </row>
    <row r="285" spans="1:95" s="76" customFormat="1" ht="14.25" customHeight="1" x14ac:dyDescent="0.2">
      <c r="A285" s="238" t="b">
        <f t="shared" si="227"/>
        <v>0</v>
      </c>
      <c r="B285" s="239">
        <v>263</v>
      </c>
      <c r="C285" s="258"/>
      <c r="D285" s="258"/>
      <c r="E285" s="240"/>
      <c r="F285" s="241" t="str">
        <f>IF(ISBLANK(E285), "", VLOOKUP(E285, Z!$A$2:$C$4127, 3, FALSE))</f>
        <v/>
      </c>
      <c r="G285" s="242"/>
      <c r="H285" s="242"/>
      <c r="I285" s="243"/>
      <c r="J285" s="244"/>
      <c r="K285" s="259"/>
      <c r="L285" s="260"/>
      <c r="M285" s="247" t="str" cm="1">
        <f t="array" ref="M285">IF($K285&gt;0, INDEX(Clean,1+AG285,$C$1), "")</f>
        <v/>
      </c>
      <c r="N285" s="245"/>
      <c r="O285" s="245"/>
      <c r="P285" s="246"/>
      <c r="Q285" s="248">
        <f t="shared" si="425"/>
        <v>0</v>
      </c>
      <c r="R285" s="247" t="str" cm="1">
        <f t="array" ref="R285">IF($K285&gt;0, INDEX(Clean,1+AH285,$C$1), "")</f>
        <v/>
      </c>
      <c r="S285" s="245"/>
      <c r="T285" s="245"/>
      <c r="U285" s="246"/>
      <c r="V285" s="248">
        <f t="shared" si="426"/>
        <v>0</v>
      </c>
      <c r="W285" s="261"/>
      <c r="X285" s="258"/>
      <c r="Y285" s="240"/>
      <c r="Z285" s="241" t="str">
        <f>IF(ISBLANK(Y285), "", VLOOKUP(Y285, Z!$A$2:$C$4127, 3, FALSE))</f>
        <v/>
      </c>
      <c r="AA285" s="262"/>
      <c r="AB285" s="249">
        <f t="shared" si="452"/>
        <v>0</v>
      </c>
      <c r="AC285" s="210"/>
      <c r="AD285" s="236">
        <f t="shared" si="449"/>
        <v>1</v>
      </c>
      <c r="AE285" s="236">
        <f t="shared" si="450"/>
        <v>1</v>
      </c>
      <c r="AF285" s="236">
        <f t="shared" si="451"/>
        <v>0</v>
      </c>
      <c r="AG285" s="236">
        <v>1</v>
      </c>
      <c r="AH285" s="236">
        <v>0</v>
      </c>
      <c r="AI285" s="236">
        <f t="shared" si="427"/>
        <v>-100</v>
      </c>
      <c r="AJ285" s="210"/>
      <c r="AK285" s="254"/>
      <c r="AL285" s="254"/>
      <c r="AM285" s="255"/>
      <c r="AN285" s="255"/>
      <c r="AO285" s="255"/>
      <c r="AP285" s="255"/>
      <c r="AQ285" s="255"/>
      <c r="AR285" s="255"/>
      <c r="AS285" s="255"/>
      <c r="AT285" s="255"/>
      <c r="AU285" s="255"/>
      <c r="AV285" s="255"/>
      <c r="AW285" s="255"/>
      <c r="AX285" s="210"/>
      <c r="AY285" s="236" cm="1">
        <f t="array" ref="AY285">INDEX(Use, $AD285, 4)</f>
        <v>7</v>
      </c>
      <c r="AZ285" s="236">
        <f t="shared" si="428"/>
        <v>32</v>
      </c>
      <c r="BA285" s="236">
        <f t="shared" si="239"/>
        <v>13</v>
      </c>
      <c r="BB285" s="236">
        <f t="shared" si="240"/>
        <v>0</v>
      </c>
      <c r="BC285" s="252" cm="1">
        <f t="array" ref="BC285">K285/IF($L285&gt;0, INDEX($AO$23:$AU$77, $L285+20, $AD285), 1)</f>
        <v>0</v>
      </c>
      <c r="BD285" s="237">
        <f t="shared" si="429"/>
        <v>0</v>
      </c>
      <c r="BE285" s="236">
        <v>35</v>
      </c>
      <c r="BF285" s="237">
        <f t="shared" si="430"/>
        <v>52.55</v>
      </c>
      <c r="BG285" s="253">
        <f t="shared" si="431"/>
        <v>2.7676728869374316</v>
      </c>
      <c r="BH285" s="253" cm="1">
        <f t="array" ref="BH285">$BC285 * SUMPRODUCT(INDEX($AL$77:$AN$82,,$AE285),INDEX($AO$77:$AU$82,,$AD285), N($AK$77:$AK$82&gt;$AI285)) / BG285 / 1000</f>
        <v>0</v>
      </c>
      <c r="BI285" s="250">
        <f t="shared" si="244"/>
        <v>30</v>
      </c>
      <c r="BJ285" s="237">
        <f t="shared" si="432"/>
        <v>46.033333333333331</v>
      </c>
      <c r="BK285" s="253">
        <f t="shared" si="433"/>
        <v>3.2297395388556791</v>
      </c>
      <c r="BL285" s="253" cm="1">
        <f t="array" ref="BL285">$BC285 * IF($AD285&lt;=2,
SUMPRODUCT(INDEX($AL$72:$AN$76,,$AE285), INDEX($AO$72:$AU$76,,$AD285), 1 / ($AV$72:$AV$76*BK285 + (1-$AV$72:$AV$76)*BG285), N($AK$72:$AK$76&gt;$AI285)),
SUMPRODUCT(INDEX($AL$67:$AN$76,,$AE285), INDEX($AO$67:$AU$76,,$AD285), 1 / ($AW$67:$AW$76*BK285 + (1-$AW$67:$AW$76)*BG285), N($AK$67:$AK$76&gt;$AI285))
) / 1000</f>
        <v>0</v>
      </c>
      <c r="BM285" s="250">
        <f t="shared" si="247"/>
        <v>25</v>
      </c>
      <c r="BN285" s="237">
        <f t="shared" si="434"/>
        <v>39.516666666666666</v>
      </c>
      <c r="BO285" s="253">
        <f t="shared" si="435"/>
        <v>3.877011788826243</v>
      </c>
      <c r="BP285" s="253" cm="1">
        <f t="array" ref="BP285">$BC285 * IF($AD285&lt;=2,
SUMPRODUCT(INDEX($AL$67:$AN$71,,$AE285), INDEX($AO$67:$AU$71,,$AD285), 1 / ($AV$67:$AV$71*BO285 + (1-$AV$67:$AV$71)*BK285), N($AK$67:$AK$71&gt;$AI285)),
SUMPRODUCT(INDEX($AL$57:$AN$66,,$AE285), INDEX($AO$57:$AU$66,,$AD285), 1 / ($AW$57:$AW$66*BO285 + (1-$AW$57:$AW$66)*BK285), N($AK$57:$AK$66&gt;$AI285))
) / 1000</f>
        <v>0</v>
      </c>
      <c r="BQ285" s="250">
        <f t="shared" si="250"/>
        <v>20</v>
      </c>
      <c r="BR285" s="237">
        <f t="shared" si="436"/>
        <v>33</v>
      </c>
      <c r="BS285" s="253">
        <f t="shared" si="437"/>
        <v>4.8487499999999999</v>
      </c>
      <c r="BT285" s="253" cm="1">
        <f t="array" ref="BT285">$BC285 * IF($AD285&lt;=2,
SUMPRODUCT(INDEX($AL$62:$AN$66,,$AE285), INDEX($AO$62:$AU$66,,$AD285), 1 / ($AV$62:$AV$66*BS285 + (1-$AV$62:$AV$66)*BO285), N($AK$62:$AK$66&gt;$AI285)),
SUMPRODUCT(INDEX($AL$47:$AN$56,,$AE285), INDEX($AO$47:$AU$56,,$AD285), 1 / ($AW$47:$AW$56*BS285 + (1-$AW$47:$AW$56)*BO285), N($AK$47:$AK$56&gt;$AI285))
) / 1000</f>
        <v>0</v>
      </c>
      <c r="BU285" s="253" cm="1">
        <f t="array" ref="BU285">$BC285 * IF($AD285&lt;=2,
SUMPRODUCT(INDEX($AL$23:$AN$61,,$AE285), INDEX($AO$23:$AU$61,,$AD285), 1 / ($AV$23:$AV$61*BS285), N($AK$23:$AK$61&gt;$AI285)),
SUMPRODUCT(INDEX($AL$23:$AN$46,,$AE285), INDEX($AO$23:$AU$46,,$AD285), 1 / ($AW$23:$AW$46*BS285), N($AK$23:$AK$46&gt;$AI285))
) / 1000</f>
        <v>0</v>
      </c>
      <c r="BV285" s="237">
        <f t="shared" si="438"/>
        <v>0</v>
      </c>
      <c r="BW285" s="210"/>
      <c r="BX285" s="237">
        <f t="shared" si="439"/>
        <v>0</v>
      </c>
      <c r="BY285" s="236">
        <v>35</v>
      </c>
      <c r="BZ285" s="237">
        <f t="shared" si="440"/>
        <v>48</v>
      </c>
      <c r="CA285" s="253">
        <f t="shared" si="441"/>
        <v>3.0748170731707316</v>
      </c>
      <c r="CB285" s="253" cm="1">
        <f t="array" ref="CB285">$BC285 * SUMPRODUCT(INDEX($AL$77:$AN$82,,$AE285),INDEX($AO$77:$AU$82,,$AD285), N($AK$77:$AK$82&gt;$AI285)) / CA285 / 1000</f>
        <v>0</v>
      </c>
      <c r="CC285" s="250">
        <f t="shared" si="257"/>
        <v>30</v>
      </c>
      <c r="CD285" s="237">
        <f t="shared" si="442"/>
        <v>43</v>
      </c>
      <c r="CE285" s="253">
        <f t="shared" si="443"/>
        <v>3.5018750000000001</v>
      </c>
      <c r="CF285" s="253" cm="1">
        <f t="array" ref="CF285">$BC285 * IF($AD285&lt;=2,
SUMPRODUCT(INDEX($AL$72:$AN$76,,$AE285), INDEX($AO$72:$AU$76,,$AD285), 1 / ($AV$72:$AV$76*CE285 + (1-$AV$72:$AV$76)*CA285), N($AK$72:$AK$76&gt;$AI285)),
SUMPRODUCT(INDEX($AL$67:$AN$76,,$AE285), INDEX($AO$67:$AU$76,,$AD285), 1 / ($AW$67:$AW$76*CE285 + (1-$AW$67:$AW$76)*CA285), N($AK$67:$AK$76&gt;$AI285))
) / 1000</f>
        <v>0</v>
      </c>
      <c r="CG285" s="250">
        <f t="shared" si="260"/>
        <v>25</v>
      </c>
      <c r="CH285" s="237">
        <f t="shared" si="444"/>
        <v>38</v>
      </c>
      <c r="CI285" s="253">
        <f t="shared" si="445"/>
        <v>4.0666935483870965</v>
      </c>
      <c r="CJ285" s="253" cm="1">
        <f t="array" ref="CJ285">$BC285 * IF($AD285&lt;=2,
SUMPRODUCT(INDEX($AL$67:$AN$71,,$AE285), INDEX($AO$67:$AU$71,,$AD285), 1 / ($AV$67:$AV$71*CI285 + (1-$AV$67:$AV$71)*CE285), N($AK$67:$AK$71&gt;$AI285)),
SUMPRODUCT(INDEX($AL$57:$AN$66,,$AE285), INDEX($AO$57:$AU$66,,$AD285), 1 / ($AW$57:$AW$66*CI285 + (1-$AW$57:$AW$66)*CE285), N($AK$57:$AK$66&gt;$AI285))
) / 1000</f>
        <v>0</v>
      </c>
      <c r="CK285" s="250">
        <f t="shared" si="263"/>
        <v>20</v>
      </c>
      <c r="CL285" s="237">
        <f t="shared" si="446"/>
        <v>33</v>
      </c>
      <c r="CM285" s="253">
        <f t="shared" si="447"/>
        <v>4.8487499999999999</v>
      </c>
      <c r="CN285" s="253" cm="1">
        <f t="array" ref="CN285">$BC285 * IF($AD285&lt;=2,
SUMPRODUCT(INDEX($AL$62:$AN$66,,$AE285), INDEX($AO$62:$AU$66,,$AD285), 1 / ($AV$62:$AV$66*CM285 + (1-$AV$62:$AV$66)*CI285), N($AK$62:$AK$66&gt;$AI285)),
SUMPRODUCT(INDEX($AL$47:$AN$56,,$AE285), INDEX($AO$47:$AU$56,,$AD285), 1 / ($AW$47:$AW$56*CM285 + (1-$AW$47:$AW$56)*CI285), N($AK$47:$AK$56&gt;$AI285))
) / 1000</f>
        <v>0</v>
      </c>
      <c r="CO285" s="253" cm="1">
        <f t="array" ref="CO285">$BC285 * IF($AD285&lt;=2,
SUMPRODUCT(INDEX($AL$23:$AN$61,,$AE285), INDEX($AO$23:$AU$61,,$AD285), 1 / ($AV$23:$AV$61*CM285), N($AK$23:$AK$61&gt;$AI285)),
SUMPRODUCT(INDEX($AL$23:$AN$46,,$AE285), INDEX($AO$23:$AU$46,,$AD285), 1 / ($AW$23:$AW$46*CM285), N($AK$23:$AK$46&gt;$AI285))
) / 1000</f>
        <v>0</v>
      </c>
      <c r="CP285" s="237">
        <f t="shared" si="448"/>
        <v>0</v>
      </c>
      <c r="CQ285" s="210"/>
    </row>
    <row r="286" spans="1:95" s="76" customFormat="1" ht="14.25" customHeight="1" x14ac:dyDescent="0.2">
      <c r="A286" s="238" t="b">
        <f t="shared" si="227"/>
        <v>0</v>
      </c>
      <c r="B286" s="239">
        <v>264</v>
      </c>
      <c r="C286" s="258"/>
      <c r="D286" s="258"/>
      <c r="E286" s="240"/>
      <c r="F286" s="241" t="str">
        <f>IF(ISBLANK(E286), "", VLOOKUP(E286, Z!$A$2:$C$4127, 3, FALSE))</f>
        <v/>
      </c>
      <c r="G286" s="242"/>
      <c r="H286" s="242"/>
      <c r="I286" s="243"/>
      <c r="J286" s="244"/>
      <c r="K286" s="259"/>
      <c r="L286" s="260"/>
      <c r="M286" s="247" t="str" cm="1">
        <f t="array" ref="M286">IF($K286&gt;0, INDEX(Clean,1+AG286,$C$1), "")</f>
        <v/>
      </c>
      <c r="N286" s="245"/>
      <c r="O286" s="245"/>
      <c r="P286" s="246"/>
      <c r="Q286" s="248">
        <f t="shared" si="425"/>
        <v>0</v>
      </c>
      <c r="R286" s="247" t="str" cm="1">
        <f t="array" ref="R286">IF($K286&gt;0, INDEX(Clean,1+AH286,$C$1), "")</f>
        <v/>
      </c>
      <c r="S286" s="245"/>
      <c r="T286" s="245"/>
      <c r="U286" s="246"/>
      <c r="V286" s="248">
        <f t="shared" si="426"/>
        <v>0</v>
      </c>
      <c r="W286" s="261"/>
      <c r="X286" s="258"/>
      <c r="Y286" s="240"/>
      <c r="Z286" s="241" t="str">
        <f>IF(ISBLANK(Y286), "", VLOOKUP(Y286, Z!$A$2:$C$4127, 3, FALSE))</f>
        <v/>
      </c>
      <c r="AA286" s="262"/>
      <c r="AB286" s="249">
        <f t="shared" si="452"/>
        <v>0</v>
      </c>
      <c r="AC286" s="210"/>
      <c r="AD286" s="236">
        <f t="shared" si="449"/>
        <v>1</v>
      </c>
      <c r="AE286" s="236">
        <f t="shared" si="450"/>
        <v>1</v>
      </c>
      <c r="AF286" s="236">
        <f t="shared" si="451"/>
        <v>0</v>
      </c>
      <c r="AG286" s="236">
        <v>1</v>
      </c>
      <c r="AH286" s="236">
        <v>0</v>
      </c>
      <c r="AI286" s="236">
        <f t="shared" si="427"/>
        <v>-100</v>
      </c>
      <c r="AJ286" s="210"/>
      <c r="AK286" s="254"/>
      <c r="AL286" s="254"/>
      <c r="AM286" s="255"/>
      <c r="AN286" s="255"/>
      <c r="AO286" s="255"/>
      <c r="AP286" s="255"/>
      <c r="AQ286" s="255"/>
      <c r="AR286" s="255"/>
      <c r="AS286" s="255"/>
      <c r="AT286" s="255"/>
      <c r="AU286" s="255"/>
      <c r="AV286" s="255"/>
      <c r="AW286" s="255"/>
      <c r="AX286" s="210"/>
      <c r="AY286" s="236" cm="1">
        <f t="array" ref="AY286">INDEX(Use, $AD286, 4)</f>
        <v>7</v>
      </c>
      <c r="AZ286" s="236">
        <f t="shared" si="428"/>
        <v>32</v>
      </c>
      <c r="BA286" s="236">
        <f t="shared" si="239"/>
        <v>13</v>
      </c>
      <c r="BB286" s="236">
        <f t="shared" si="240"/>
        <v>0</v>
      </c>
      <c r="BC286" s="252" cm="1">
        <f t="array" ref="BC286">K286/IF($L286&gt;0, INDEX($AO$23:$AU$77, $L286+20, $AD286), 1)</f>
        <v>0</v>
      </c>
      <c r="BD286" s="237">
        <f t="shared" si="429"/>
        <v>0</v>
      </c>
      <c r="BE286" s="236">
        <v>35</v>
      </c>
      <c r="BF286" s="237">
        <f t="shared" si="430"/>
        <v>52.55</v>
      </c>
      <c r="BG286" s="253">
        <f t="shared" si="431"/>
        <v>2.7676728869374316</v>
      </c>
      <c r="BH286" s="253" cm="1">
        <f t="array" ref="BH286">$BC286 * SUMPRODUCT(INDEX($AL$77:$AN$82,,$AE286),INDEX($AO$77:$AU$82,,$AD286), N($AK$77:$AK$82&gt;$AI286)) / BG286 / 1000</f>
        <v>0</v>
      </c>
      <c r="BI286" s="250">
        <f t="shared" si="244"/>
        <v>30</v>
      </c>
      <c r="BJ286" s="237">
        <f t="shared" si="432"/>
        <v>46.033333333333331</v>
      </c>
      <c r="BK286" s="253">
        <f t="shared" si="433"/>
        <v>3.2297395388556791</v>
      </c>
      <c r="BL286" s="253" cm="1">
        <f t="array" ref="BL286">$BC286 * IF($AD286&lt;=2,
SUMPRODUCT(INDEX($AL$72:$AN$76,,$AE286), INDEX($AO$72:$AU$76,,$AD286), 1 / ($AV$72:$AV$76*BK286 + (1-$AV$72:$AV$76)*BG286), N($AK$72:$AK$76&gt;$AI286)),
SUMPRODUCT(INDEX($AL$67:$AN$76,,$AE286), INDEX($AO$67:$AU$76,,$AD286), 1 / ($AW$67:$AW$76*BK286 + (1-$AW$67:$AW$76)*BG286), N($AK$67:$AK$76&gt;$AI286))
) / 1000</f>
        <v>0</v>
      </c>
      <c r="BM286" s="250">
        <f t="shared" si="247"/>
        <v>25</v>
      </c>
      <c r="BN286" s="237">
        <f t="shared" si="434"/>
        <v>39.516666666666666</v>
      </c>
      <c r="BO286" s="253">
        <f t="shared" si="435"/>
        <v>3.877011788826243</v>
      </c>
      <c r="BP286" s="253" cm="1">
        <f t="array" ref="BP286">$BC286 * IF($AD286&lt;=2,
SUMPRODUCT(INDEX($AL$67:$AN$71,,$AE286), INDEX($AO$67:$AU$71,,$AD286), 1 / ($AV$67:$AV$71*BO286 + (1-$AV$67:$AV$71)*BK286), N($AK$67:$AK$71&gt;$AI286)),
SUMPRODUCT(INDEX($AL$57:$AN$66,,$AE286), INDEX($AO$57:$AU$66,,$AD286), 1 / ($AW$57:$AW$66*BO286 + (1-$AW$57:$AW$66)*BK286), N($AK$57:$AK$66&gt;$AI286))
) / 1000</f>
        <v>0</v>
      </c>
      <c r="BQ286" s="250">
        <f t="shared" si="250"/>
        <v>20</v>
      </c>
      <c r="BR286" s="237">
        <f t="shared" si="436"/>
        <v>33</v>
      </c>
      <c r="BS286" s="253">
        <f t="shared" si="437"/>
        <v>4.8487499999999999</v>
      </c>
      <c r="BT286" s="253" cm="1">
        <f t="array" ref="BT286">$BC286 * IF($AD286&lt;=2,
SUMPRODUCT(INDEX($AL$62:$AN$66,,$AE286), INDEX($AO$62:$AU$66,,$AD286), 1 / ($AV$62:$AV$66*BS286 + (1-$AV$62:$AV$66)*BO286), N($AK$62:$AK$66&gt;$AI286)),
SUMPRODUCT(INDEX($AL$47:$AN$56,,$AE286), INDEX($AO$47:$AU$56,,$AD286), 1 / ($AW$47:$AW$56*BS286 + (1-$AW$47:$AW$56)*BO286), N($AK$47:$AK$56&gt;$AI286))
) / 1000</f>
        <v>0</v>
      </c>
      <c r="BU286" s="253" cm="1">
        <f t="array" ref="BU286">$BC286 * IF($AD286&lt;=2,
SUMPRODUCT(INDEX($AL$23:$AN$61,,$AE286), INDEX($AO$23:$AU$61,,$AD286), 1 / ($AV$23:$AV$61*BS286), N($AK$23:$AK$61&gt;$AI286)),
SUMPRODUCT(INDEX($AL$23:$AN$46,,$AE286), INDEX($AO$23:$AU$46,,$AD286), 1 / ($AW$23:$AW$46*BS286), N($AK$23:$AK$46&gt;$AI286))
) / 1000</f>
        <v>0</v>
      </c>
      <c r="BV286" s="237">
        <f t="shared" si="438"/>
        <v>0</v>
      </c>
      <c r="BW286" s="210"/>
      <c r="BX286" s="237">
        <f t="shared" si="439"/>
        <v>0</v>
      </c>
      <c r="BY286" s="236">
        <v>35</v>
      </c>
      <c r="BZ286" s="237">
        <f t="shared" si="440"/>
        <v>48</v>
      </c>
      <c r="CA286" s="253">
        <f t="shared" si="441"/>
        <v>3.0748170731707316</v>
      </c>
      <c r="CB286" s="253" cm="1">
        <f t="array" ref="CB286">$BC286 * SUMPRODUCT(INDEX($AL$77:$AN$82,,$AE286),INDEX($AO$77:$AU$82,,$AD286), N($AK$77:$AK$82&gt;$AI286)) / CA286 / 1000</f>
        <v>0</v>
      </c>
      <c r="CC286" s="250">
        <f t="shared" si="257"/>
        <v>30</v>
      </c>
      <c r="CD286" s="237">
        <f t="shared" si="442"/>
        <v>43</v>
      </c>
      <c r="CE286" s="253">
        <f t="shared" si="443"/>
        <v>3.5018750000000001</v>
      </c>
      <c r="CF286" s="253" cm="1">
        <f t="array" ref="CF286">$BC286 * IF($AD286&lt;=2,
SUMPRODUCT(INDEX($AL$72:$AN$76,,$AE286), INDEX($AO$72:$AU$76,,$AD286), 1 / ($AV$72:$AV$76*CE286 + (1-$AV$72:$AV$76)*CA286), N($AK$72:$AK$76&gt;$AI286)),
SUMPRODUCT(INDEX($AL$67:$AN$76,,$AE286), INDEX($AO$67:$AU$76,,$AD286), 1 / ($AW$67:$AW$76*CE286 + (1-$AW$67:$AW$76)*CA286), N($AK$67:$AK$76&gt;$AI286))
) / 1000</f>
        <v>0</v>
      </c>
      <c r="CG286" s="250">
        <f t="shared" si="260"/>
        <v>25</v>
      </c>
      <c r="CH286" s="237">
        <f t="shared" si="444"/>
        <v>38</v>
      </c>
      <c r="CI286" s="253">
        <f t="shared" si="445"/>
        <v>4.0666935483870965</v>
      </c>
      <c r="CJ286" s="253" cm="1">
        <f t="array" ref="CJ286">$BC286 * IF($AD286&lt;=2,
SUMPRODUCT(INDEX($AL$67:$AN$71,,$AE286), INDEX($AO$67:$AU$71,,$AD286), 1 / ($AV$67:$AV$71*CI286 + (1-$AV$67:$AV$71)*CE286), N($AK$67:$AK$71&gt;$AI286)),
SUMPRODUCT(INDEX($AL$57:$AN$66,,$AE286), INDEX($AO$57:$AU$66,,$AD286), 1 / ($AW$57:$AW$66*CI286 + (1-$AW$57:$AW$66)*CE286), N($AK$57:$AK$66&gt;$AI286))
) / 1000</f>
        <v>0</v>
      </c>
      <c r="CK286" s="250">
        <f t="shared" si="263"/>
        <v>20</v>
      </c>
      <c r="CL286" s="237">
        <f t="shared" si="446"/>
        <v>33</v>
      </c>
      <c r="CM286" s="253">
        <f t="shared" si="447"/>
        <v>4.8487499999999999</v>
      </c>
      <c r="CN286" s="253" cm="1">
        <f t="array" ref="CN286">$BC286 * IF($AD286&lt;=2,
SUMPRODUCT(INDEX($AL$62:$AN$66,,$AE286), INDEX($AO$62:$AU$66,,$AD286), 1 / ($AV$62:$AV$66*CM286 + (1-$AV$62:$AV$66)*CI286), N($AK$62:$AK$66&gt;$AI286)),
SUMPRODUCT(INDEX($AL$47:$AN$56,,$AE286), INDEX($AO$47:$AU$56,,$AD286), 1 / ($AW$47:$AW$56*CM286 + (1-$AW$47:$AW$56)*CI286), N($AK$47:$AK$56&gt;$AI286))
) / 1000</f>
        <v>0</v>
      </c>
      <c r="CO286" s="253" cm="1">
        <f t="array" ref="CO286">$BC286 * IF($AD286&lt;=2,
SUMPRODUCT(INDEX($AL$23:$AN$61,,$AE286), INDEX($AO$23:$AU$61,,$AD286), 1 / ($AV$23:$AV$61*CM286), N($AK$23:$AK$61&gt;$AI286)),
SUMPRODUCT(INDEX($AL$23:$AN$46,,$AE286), INDEX($AO$23:$AU$46,,$AD286), 1 / ($AW$23:$AW$46*CM286), N($AK$23:$AK$46&gt;$AI286))
) / 1000</f>
        <v>0</v>
      </c>
      <c r="CP286" s="237">
        <f t="shared" si="448"/>
        <v>0</v>
      </c>
      <c r="CQ286" s="210"/>
    </row>
    <row r="287" spans="1:95" s="76" customFormat="1" ht="14.25" customHeight="1" x14ac:dyDescent="0.2">
      <c r="A287" s="238" t="b">
        <f t="shared" si="227"/>
        <v>0</v>
      </c>
      <c r="B287" s="239">
        <v>265</v>
      </c>
      <c r="C287" s="258"/>
      <c r="D287" s="258"/>
      <c r="E287" s="240"/>
      <c r="F287" s="241" t="str">
        <f>IF(ISBLANK(E287), "", VLOOKUP(E287, Z!$A$2:$C$4127, 3, FALSE))</f>
        <v/>
      </c>
      <c r="G287" s="242"/>
      <c r="H287" s="242"/>
      <c r="I287" s="243"/>
      <c r="J287" s="244"/>
      <c r="K287" s="259"/>
      <c r="L287" s="260"/>
      <c r="M287" s="247" t="str" cm="1">
        <f t="array" ref="M287">IF($K287&gt;0, INDEX(Clean,1+AG287,$C$1), "")</f>
        <v/>
      </c>
      <c r="N287" s="245"/>
      <c r="O287" s="245"/>
      <c r="P287" s="246"/>
      <c r="Q287" s="248">
        <f t="shared" si="425"/>
        <v>0</v>
      </c>
      <c r="R287" s="247" t="str" cm="1">
        <f t="array" ref="R287">IF($K287&gt;0, INDEX(Clean,1+AH287,$C$1), "")</f>
        <v/>
      </c>
      <c r="S287" s="245"/>
      <c r="T287" s="245"/>
      <c r="U287" s="246"/>
      <c r="V287" s="248">
        <f t="shared" si="426"/>
        <v>0</v>
      </c>
      <c r="W287" s="261"/>
      <c r="X287" s="258"/>
      <c r="Y287" s="240"/>
      <c r="Z287" s="241" t="str">
        <f>IF(ISBLANK(Y287), "", VLOOKUP(Y287, Z!$A$2:$C$4127, 3, FALSE))</f>
        <v/>
      </c>
      <c r="AA287" s="262"/>
      <c r="AB287" s="249">
        <f t="shared" si="452"/>
        <v>0</v>
      </c>
      <c r="AC287" s="210"/>
      <c r="AD287" s="236">
        <f t="shared" si="449"/>
        <v>1</v>
      </c>
      <c r="AE287" s="236">
        <f t="shared" si="450"/>
        <v>1</v>
      </c>
      <c r="AF287" s="236">
        <f t="shared" si="451"/>
        <v>0</v>
      </c>
      <c r="AG287" s="236">
        <v>1</v>
      </c>
      <c r="AH287" s="236">
        <v>0</v>
      </c>
      <c r="AI287" s="236">
        <f t="shared" si="427"/>
        <v>-100</v>
      </c>
      <c r="AJ287" s="210"/>
      <c r="AK287" s="254"/>
      <c r="AL287" s="254"/>
      <c r="AM287" s="255"/>
      <c r="AN287" s="255"/>
      <c r="AO287" s="255"/>
      <c r="AP287" s="255"/>
      <c r="AQ287" s="255"/>
      <c r="AR287" s="255"/>
      <c r="AS287" s="255"/>
      <c r="AT287" s="255"/>
      <c r="AU287" s="255"/>
      <c r="AV287" s="255"/>
      <c r="AW287" s="255"/>
      <c r="AX287" s="210"/>
      <c r="AY287" s="236" cm="1">
        <f t="array" ref="AY287">INDEX(Use, $AD287, 4)</f>
        <v>7</v>
      </c>
      <c r="AZ287" s="236">
        <f t="shared" si="428"/>
        <v>32</v>
      </c>
      <c r="BA287" s="236">
        <f t="shared" si="239"/>
        <v>13</v>
      </c>
      <c r="BB287" s="236">
        <f t="shared" si="240"/>
        <v>0</v>
      </c>
      <c r="BC287" s="252" cm="1">
        <f t="array" ref="BC287">K287/IF($L287&gt;0, INDEX($AO$23:$AU$77, $L287+20, $AD287), 1)</f>
        <v>0</v>
      </c>
      <c r="BD287" s="237">
        <f t="shared" si="429"/>
        <v>0</v>
      </c>
      <c r="BE287" s="236">
        <v>35</v>
      </c>
      <c r="BF287" s="237">
        <f t="shared" si="430"/>
        <v>52.55</v>
      </c>
      <c r="BG287" s="253">
        <f t="shared" si="431"/>
        <v>2.7676728869374316</v>
      </c>
      <c r="BH287" s="253" cm="1">
        <f t="array" ref="BH287">$BC287 * SUMPRODUCT(INDEX($AL$77:$AN$82,,$AE287),INDEX($AO$77:$AU$82,,$AD287), N($AK$77:$AK$82&gt;$AI287)) / BG287 / 1000</f>
        <v>0</v>
      </c>
      <c r="BI287" s="250">
        <f t="shared" si="244"/>
        <v>30</v>
      </c>
      <c r="BJ287" s="237">
        <f t="shared" si="432"/>
        <v>46.033333333333331</v>
      </c>
      <c r="BK287" s="253">
        <f t="shared" si="433"/>
        <v>3.2297395388556791</v>
      </c>
      <c r="BL287" s="253" cm="1">
        <f t="array" ref="BL287">$BC287 * IF($AD287&lt;=2,
SUMPRODUCT(INDEX($AL$72:$AN$76,,$AE287), INDEX($AO$72:$AU$76,,$AD287), 1 / ($AV$72:$AV$76*BK287 + (1-$AV$72:$AV$76)*BG287), N($AK$72:$AK$76&gt;$AI287)),
SUMPRODUCT(INDEX($AL$67:$AN$76,,$AE287), INDEX($AO$67:$AU$76,,$AD287), 1 / ($AW$67:$AW$76*BK287 + (1-$AW$67:$AW$76)*BG287), N($AK$67:$AK$76&gt;$AI287))
) / 1000</f>
        <v>0</v>
      </c>
      <c r="BM287" s="250">
        <f t="shared" si="247"/>
        <v>25</v>
      </c>
      <c r="BN287" s="237">
        <f t="shared" si="434"/>
        <v>39.516666666666666</v>
      </c>
      <c r="BO287" s="253">
        <f t="shared" si="435"/>
        <v>3.877011788826243</v>
      </c>
      <c r="BP287" s="253" cm="1">
        <f t="array" ref="BP287">$BC287 * IF($AD287&lt;=2,
SUMPRODUCT(INDEX($AL$67:$AN$71,,$AE287), INDEX($AO$67:$AU$71,,$AD287), 1 / ($AV$67:$AV$71*BO287 + (1-$AV$67:$AV$71)*BK287), N($AK$67:$AK$71&gt;$AI287)),
SUMPRODUCT(INDEX($AL$57:$AN$66,,$AE287), INDEX($AO$57:$AU$66,,$AD287), 1 / ($AW$57:$AW$66*BO287 + (1-$AW$57:$AW$66)*BK287), N($AK$57:$AK$66&gt;$AI287))
) / 1000</f>
        <v>0</v>
      </c>
      <c r="BQ287" s="250">
        <f t="shared" si="250"/>
        <v>20</v>
      </c>
      <c r="BR287" s="237">
        <f t="shared" si="436"/>
        <v>33</v>
      </c>
      <c r="BS287" s="253">
        <f t="shared" si="437"/>
        <v>4.8487499999999999</v>
      </c>
      <c r="BT287" s="253" cm="1">
        <f t="array" ref="BT287">$BC287 * IF($AD287&lt;=2,
SUMPRODUCT(INDEX($AL$62:$AN$66,,$AE287), INDEX($AO$62:$AU$66,,$AD287), 1 / ($AV$62:$AV$66*BS287 + (1-$AV$62:$AV$66)*BO287), N($AK$62:$AK$66&gt;$AI287)),
SUMPRODUCT(INDEX($AL$47:$AN$56,,$AE287), INDEX($AO$47:$AU$56,,$AD287), 1 / ($AW$47:$AW$56*BS287 + (1-$AW$47:$AW$56)*BO287), N($AK$47:$AK$56&gt;$AI287))
) / 1000</f>
        <v>0</v>
      </c>
      <c r="BU287" s="253" cm="1">
        <f t="array" ref="BU287">$BC287 * IF($AD287&lt;=2,
SUMPRODUCT(INDEX($AL$23:$AN$61,,$AE287), INDEX($AO$23:$AU$61,,$AD287), 1 / ($AV$23:$AV$61*BS287), N($AK$23:$AK$61&gt;$AI287)),
SUMPRODUCT(INDEX($AL$23:$AN$46,,$AE287), INDEX($AO$23:$AU$46,,$AD287), 1 / ($AW$23:$AW$46*BS287), N($AK$23:$AK$46&gt;$AI287))
) / 1000</f>
        <v>0</v>
      </c>
      <c r="BV287" s="237">
        <f t="shared" si="438"/>
        <v>0</v>
      </c>
      <c r="BW287" s="210"/>
      <c r="BX287" s="237">
        <f t="shared" si="439"/>
        <v>0</v>
      </c>
      <c r="BY287" s="236">
        <v>35</v>
      </c>
      <c r="BZ287" s="237">
        <f t="shared" si="440"/>
        <v>48</v>
      </c>
      <c r="CA287" s="253">
        <f t="shared" si="441"/>
        <v>3.0748170731707316</v>
      </c>
      <c r="CB287" s="253" cm="1">
        <f t="array" ref="CB287">$BC287 * SUMPRODUCT(INDEX($AL$77:$AN$82,,$AE287),INDEX($AO$77:$AU$82,,$AD287), N($AK$77:$AK$82&gt;$AI287)) / CA287 / 1000</f>
        <v>0</v>
      </c>
      <c r="CC287" s="250">
        <f t="shared" si="257"/>
        <v>30</v>
      </c>
      <c r="CD287" s="237">
        <f t="shared" si="442"/>
        <v>43</v>
      </c>
      <c r="CE287" s="253">
        <f t="shared" si="443"/>
        <v>3.5018750000000001</v>
      </c>
      <c r="CF287" s="253" cm="1">
        <f t="array" ref="CF287">$BC287 * IF($AD287&lt;=2,
SUMPRODUCT(INDEX($AL$72:$AN$76,,$AE287), INDEX($AO$72:$AU$76,,$AD287), 1 / ($AV$72:$AV$76*CE287 + (1-$AV$72:$AV$76)*CA287), N($AK$72:$AK$76&gt;$AI287)),
SUMPRODUCT(INDEX($AL$67:$AN$76,,$AE287), INDEX($AO$67:$AU$76,,$AD287), 1 / ($AW$67:$AW$76*CE287 + (1-$AW$67:$AW$76)*CA287), N($AK$67:$AK$76&gt;$AI287))
) / 1000</f>
        <v>0</v>
      </c>
      <c r="CG287" s="250">
        <f t="shared" si="260"/>
        <v>25</v>
      </c>
      <c r="CH287" s="237">
        <f t="shared" si="444"/>
        <v>38</v>
      </c>
      <c r="CI287" s="253">
        <f t="shared" si="445"/>
        <v>4.0666935483870965</v>
      </c>
      <c r="CJ287" s="253" cm="1">
        <f t="array" ref="CJ287">$BC287 * IF($AD287&lt;=2,
SUMPRODUCT(INDEX($AL$67:$AN$71,,$AE287), INDEX($AO$67:$AU$71,,$AD287), 1 / ($AV$67:$AV$71*CI287 + (1-$AV$67:$AV$71)*CE287), N($AK$67:$AK$71&gt;$AI287)),
SUMPRODUCT(INDEX($AL$57:$AN$66,,$AE287), INDEX($AO$57:$AU$66,,$AD287), 1 / ($AW$57:$AW$66*CI287 + (1-$AW$57:$AW$66)*CE287), N($AK$57:$AK$66&gt;$AI287))
) / 1000</f>
        <v>0</v>
      </c>
      <c r="CK287" s="250">
        <f t="shared" si="263"/>
        <v>20</v>
      </c>
      <c r="CL287" s="237">
        <f t="shared" si="446"/>
        <v>33</v>
      </c>
      <c r="CM287" s="253">
        <f t="shared" si="447"/>
        <v>4.8487499999999999</v>
      </c>
      <c r="CN287" s="253" cm="1">
        <f t="array" ref="CN287">$BC287 * IF($AD287&lt;=2,
SUMPRODUCT(INDEX($AL$62:$AN$66,,$AE287), INDEX($AO$62:$AU$66,,$AD287), 1 / ($AV$62:$AV$66*CM287 + (1-$AV$62:$AV$66)*CI287), N($AK$62:$AK$66&gt;$AI287)),
SUMPRODUCT(INDEX($AL$47:$AN$56,,$AE287), INDEX($AO$47:$AU$56,,$AD287), 1 / ($AW$47:$AW$56*CM287 + (1-$AW$47:$AW$56)*CI287), N($AK$47:$AK$56&gt;$AI287))
) / 1000</f>
        <v>0</v>
      </c>
      <c r="CO287" s="253" cm="1">
        <f t="array" ref="CO287">$BC287 * IF($AD287&lt;=2,
SUMPRODUCT(INDEX($AL$23:$AN$61,,$AE287), INDEX($AO$23:$AU$61,,$AD287), 1 / ($AV$23:$AV$61*CM287), N($AK$23:$AK$61&gt;$AI287)),
SUMPRODUCT(INDEX($AL$23:$AN$46,,$AE287), INDEX($AO$23:$AU$46,,$AD287), 1 / ($AW$23:$AW$46*CM287), N($AK$23:$AK$46&gt;$AI287))
) / 1000</f>
        <v>0</v>
      </c>
      <c r="CP287" s="237">
        <f t="shared" si="448"/>
        <v>0</v>
      </c>
      <c r="CQ287" s="210"/>
    </row>
    <row r="288" spans="1:95" s="76" customFormat="1" ht="14.25" customHeight="1" x14ac:dyDescent="0.2">
      <c r="A288" s="238" t="b">
        <f t="shared" si="227"/>
        <v>0</v>
      </c>
      <c r="B288" s="239">
        <v>266</v>
      </c>
      <c r="C288" s="258"/>
      <c r="D288" s="258"/>
      <c r="E288" s="240"/>
      <c r="F288" s="241" t="str">
        <f>IF(ISBLANK(E288), "", VLOOKUP(E288, Z!$A$2:$C$4127, 3, FALSE))</f>
        <v/>
      </c>
      <c r="G288" s="242"/>
      <c r="H288" s="242"/>
      <c r="I288" s="243"/>
      <c r="J288" s="244"/>
      <c r="K288" s="259"/>
      <c r="L288" s="260"/>
      <c r="M288" s="247" t="str" cm="1">
        <f t="array" ref="M288">IF($K288&gt;0, INDEX(Clean,1+AG288,$C$1), "")</f>
        <v/>
      </c>
      <c r="N288" s="245"/>
      <c r="O288" s="245"/>
      <c r="P288" s="246"/>
      <c r="Q288" s="248">
        <f t="shared" si="425"/>
        <v>0</v>
      </c>
      <c r="R288" s="247" t="str" cm="1">
        <f t="array" ref="R288">IF($K288&gt;0, INDEX(Clean,1+AH288,$C$1), "")</f>
        <v/>
      </c>
      <c r="S288" s="245"/>
      <c r="T288" s="245"/>
      <c r="U288" s="246"/>
      <c r="V288" s="248">
        <f t="shared" si="426"/>
        <v>0</v>
      </c>
      <c r="W288" s="261"/>
      <c r="X288" s="258"/>
      <c r="Y288" s="240"/>
      <c r="Z288" s="241" t="str">
        <f>IF(ISBLANK(Y288), "", VLOOKUP(Y288, Z!$A$2:$C$4127, 3, FALSE))</f>
        <v/>
      </c>
      <c r="AA288" s="262"/>
      <c r="AB288" s="249">
        <f t="shared" si="452"/>
        <v>0</v>
      </c>
      <c r="AC288" s="210"/>
      <c r="AD288" s="236">
        <f t="shared" si="449"/>
        <v>1</v>
      </c>
      <c r="AE288" s="236">
        <f t="shared" si="450"/>
        <v>1</v>
      </c>
      <c r="AF288" s="236">
        <f t="shared" si="451"/>
        <v>0</v>
      </c>
      <c r="AG288" s="236">
        <v>1</v>
      </c>
      <c r="AH288" s="236">
        <v>0</v>
      </c>
      <c r="AI288" s="236">
        <f t="shared" si="427"/>
        <v>-100</v>
      </c>
      <c r="AJ288" s="210"/>
      <c r="AK288" s="254"/>
      <c r="AL288" s="254"/>
      <c r="AM288" s="255"/>
      <c r="AN288" s="255"/>
      <c r="AO288" s="255"/>
      <c r="AP288" s="255"/>
      <c r="AQ288" s="255"/>
      <c r="AR288" s="255"/>
      <c r="AS288" s="255"/>
      <c r="AT288" s="255"/>
      <c r="AU288" s="255"/>
      <c r="AV288" s="255"/>
      <c r="AW288" s="255"/>
      <c r="AX288" s="210"/>
      <c r="AY288" s="236" cm="1">
        <f t="array" ref="AY288">INDEX(Use, $AD288, 4)</f>
        <v>7</v>
      </c>
      <c r="AZ288" s="236">
        <f t="shared" si="428"/>
        <v>32</v>
      </c>
      <c r="BA288" s="236">
        <f t="shared" si="239"/>
        <v>13</v>
      </c>
      <c r="BB288" s="236">
        <f t="shared" si="240"/>
        <v>0</v>
      </c>
      <c r="BC288" s="252" cm="1">
        <f t="array" ref="BC288">K288/IF($L288&gt;0, INDEX($AO$23:$AU$77, $L288+20, $AD288), 1)</f>
        <v>0</v>
      </c>
      <c r="BD288" s="237">
        <f t="shared" si="429"/>
        <v>0</v>
      </c>
      <c r="BE288" s="236">
        <v>35</v>
      </c>
      <c r="BF288" s="237">
        <f t="shared" si="430"/>
        <v>52.55</v>
      </c>
      <c r="BG288" s="253">
        <f t="shared" si="431"/>
        <v>2.7676728869374316</v>
      </c>
      <c r="BH288" s="253" cm="1">
        <f t="array" ref="BH288">$BC288 * SUMPRODUCT(INDEX($AL$77:$AN$82,,$AE288),INDEX($AO$77:$AU$82,,$AD288), N($AK$77:$AK$82&gt;$AI288)) / BG288 / 1000</f>
        <v>0</v>
      </c>
      <c r="BI288" s="250">
        <f t="shared" si="244"/>
        <v>30</v>
      </c>
      <c r="BJ288" s="237">
        <f t="shared" si="432"/>
        <v>46.033333333333331</v>
      </c>
      <c r="BK288" s="253">
        <f t="shared" si="433"/>
        <v>3.2297395388556791</v>
      </c>
      <c r="BL288" s="253" cm="1">
        <f t="array" ref="BL288">$BC288 * IF($AD288&lt;=2,
SUMPRODUCT(INDEX($AL$72:$AN$76,,$AE288), INDEX($AO$72:$AU$76,,$AD288), 1 / ($AV$72:$AV$76*BK288 + (1-$AV$72:$AV$76)*BG288), N($AK$72:$AK$76&gt;$AI288)),
SUMPRODUCT(INDEX($AL$67:$AN$76,,$AE288), INDEX($AO$67:$AU$76,,$AD288), 1 / ($AW$67:$AW$76*BK288 + (1-$AW$67:$AW$76)*BG288), N($AK$67:$AK$76&gt;$AI288))
) / 1000</f>
        <v>0</v>
      </c>
      <c r="BM288" s="250">
        <f t="shared" si="247"/>
        <v>25</v>
      </c>
      <c r="BN288" s="237">
        <f t="shared" si="434"/>
        <v>39.516666666666666</v>
      </c>
      <c r="BO288" s="253">
        <f t="shared" si="435"/>
        <v>3.877011788826243</v>
      </c>
      <c r="BP288" s="253" cm="1">
        <f t="array" ref="BP288">$BC288 * IF($AD288&lt;=2,
SUMPRODUCT(INDEX($AL$67:$AN$71,,$AE288), INDEX($AO$67:$AU$71,,$AD288), 1 / ($AV$67:$AV$71*BO288 + (1-$AV$67:$AV$71)*BK288), N($AK$67:$AK$71&gt;$AI288)),
SUMPRODUCT(INDEX($AL$57:$AN$66,,$AE288), INDEX($AO$57:$AU$66,,$AD288), 1 / ($AW$57:$AW$66*BO288 + (1-$AW$57:$AW$66)*BK288), N($AK$57:$AK$66&gt;$AI288))
) / 1000</f>
        <v>0</v>
      </c>
      <c r="BQ288" s="250">
        <f t="shared" si="250"/>
        <v>20</v>
      </c>
      <c r="BR288" s="237">
        <f t="shared" si="436"/>
        <v>33</v>
      </c>
      <c r="BS288" s="253">
        <f t="shared" si="437"/>
        <v>4.8487499999999999</v>
      </c>
      <c r="BT288" s="253" cm="1">
        <f t="array" ref="BT288">$BC288 * IF($AD288&lt;=2,
SUMPRODUCT(INDEX($AL$62:$AN$66,,$AE288), INDEX($AO$62:$AU$66,,$AD288), 1 / ($AV$62:$AV$66*BS288 + (1-$AV$62:$AV$66)*BO288), N($AK$62:$AK$66&gt;$AI288)),
SUMPRODUCT(INDEX($AL$47:$AN$56,,$AE288), INDEX($AO$47:$AU$56,,$AD288), 1 / ($AW$47:$AW$56*BS288 + (1-$AW$47:$AW$56)*BO288), N($AK$47:$AK$56&gt;$AI288))
) / 1000</f>
        <v>0</v>
      </c>
      <c r="BU288" s="253" cm="1">
        <f t="array" ref="BU288">$BC288 * IF($AD288&lt;=2,
SUMPRODUCT(INDEX($AL$23:$AN$61,,$AE288), INDEX($AO$23:$AU$61,,$AD288), 1 / ($AV$23:$AV$61*BS288), N($AK$23:$AK$61&gt;$AI288)),
SUMPRODUCT(INDEX($AL$23:$AN$46,,$AE288), INDEX($AO$23:$AU$46,,$AD288), 1 / ($AW$23:$AW$46*BS288), N($AK$23:$AK$46&gt;$AI288))
) / 1000</f>
        <v>0</v>
      </c>
      <c r="BV288" s="237">
        <f t="shared" si="438"/>
        <v>0</v>
      </c>
      <c r="BW288" s="210"/>
      <c r="BX288" s="237">
        <f t="shared" si="439"/>
        <v>0</v>
      </c>
      <c r="BY288" s="236">
        <v>35</v>
      </c>
      <c r="BZ288" s="237">
        <f t="shared" si="440"/>
        <v>48</v>
      </c>
      <c r="CA288" s="253">
        <f t="shared" si="441"/>
        <v>3.0748170731707316</v>
      </c>
      <c r="CB288" s="253" cm="1">
        <f t="array" ref="CB288">$BC288 * SUMPRODUCT(INDEX($AL$77:$AN$82,,$AE288),INDEX($AO$77:$AU$82,,$AD288), N($AK$77:$AK$82&gt;$AI288)) / CA288 / 1000</f>
        <v>0</v>
      </c>
      <c r="CC288" s="250">
        <f t="shared" si="257"/>
        <v>30</v>
      </c>
      <c r="CD288" s="237">
        <f t="shared" si="442"/>
        <v>43</v>
      </c>
      <c r="CE288" s="253">
        <f t="shared" si="443"/>
        <v>3.5018750000000001</v>
      </c>
      <c r="CF288" s="253" cm="1">
        <f t="array" ref="CF288">$BC288 * IF($AD288&lt;=2,
SUMPRODUCT(INDEX($AL$72:$AN$76,,$AE288), INDEX($AO$72:$AU$76,,$AD288), 1 / ($AV$72:$AV$76*CE288 + (1-$AV$72:$AV$76)*CA288), N($AK$72:$AK$76&gt;$AI288)),
SUMPRODUCT(INDEX($AL$67:$AN$76,,$AE288), INDEX($AO$67:$AU$76,,$AD288), 1 / ($AW$67:$AW$76*CE288 + (1-$AW$67:$AW$76)*CA288), N($AK$67:$AK$76&gt;$AI288))
) / 1000</f>
        <v>0</v>
      </c>
      <c r="CG288" s="250">
        <f t="shared" si="260"/>
        <v>25</v>
      </c>
      <c r="CH288" s="237">
        <f t="shared" si="444"/>
        <v>38</v>
      </c>
      <c r="CI288" s="253">
        <f t="shared" si="445"/>
        <v>4.0666935483870965</v>
      </c>
      <c r="CJ288" s="253" cm="1">
        <f t="array" ref="CJ288">$BC288 * IF($AD288&lt;=2,
SUMPRODUCT(INDEX($AL$67:$AN$71,,$AE288), INDEX($AO$67:$AU$71,,$AD288), 1 / ($AV$67:$AV$71*CI288 + (1-$AV$67:$AV$71)*CE288), N($AK$67:$AK$71&gt;$AI288)),
SUMPRODUCT(INDEX($AL$57:$AN$66,,$AE288), INDEX($AO$57:$AU$66,,$AD288), 1 / ($AW$57:$AW$66*CI288 + (1-$AW$57:$AW$66)*CE288), N($AK$57:$AK$66&gt;$AI288))
) / 1000</f>
        <v>0</v>
      </c>
      <c r="CK288" s="250">
        <f t="shared" si="263"/>
        <v>20</v>
      </c>
      <c r="CL288" s="237">
        <f t="shared" si="446"/>
        <v>33</v>
      </c>
      <c r="CM288" s="253">
        <f t="shared" si="447"/>
        <v>4.8487499999999999</v>
      </c>
      <c r="CN288" s="253" cm="1">
        <f t="array" ref="CN288">$BC288 * IF($AD288&lt;=2,
SUMPRODUCT(INDEX($AL$62:$AN$66,,$AE288), INDEX($AO$62:$AU$66,,$AD288), 1 / ($AV$62:$AV$66*CM288 + (1-$AV$62:$AV$66)*CI288), N($AK$62:$AK$66&gt;$AI288)),
SUMPRODUCT(INDEX($AL$47:$AN$56,,$AE288), INDEX($AO$47:$AU$56,,$AD288), 1 / ($AW$47:$AW$56*CM288 + (1-$AW$47:$AW$56)*CI288), N($AK$47:$AK$56&gt;$AI288))
) / 1000</f>
        <v>0</v>
      </c>
      <c r="CO288" s="253" cm="1">
        <f t="array" ref="CO288">$BC288 * IF($AD288&lt;=2,
SUMPRODUCT(INDEX($AL$23:$AN$61,,$AE288), INDEX($AO$23:$AU$61,,$AD288), 1 / ($AV$23:$AV$61*CM288), N($AK$23:$AK$61&gt;$AI288)),
SUMPRODUCT(INDEX($AL$23:$AN$46,,$AE288), INDEX($AO$23:$AU$46,,$AD288), 1 / ($AW$23:$AW$46*CM288), N($AK$23:$AK$46&gt;$AI288))
) / 1000</f>
        <v>0</v>
      </c>
      <c r="CP288" s="237">
        <f t="shared" si="448"/>
        <v>0</v>
      </c>
      <c r="CQ288" s="210"/>
    </row>
    <row r="289" spans="1:95" s="76" customFormat="1" ht="14.25" customHeight="1" x14ac:dyDescent="0.2">
      <c r="A289" s="238" t="b">
        <f t="shared" si="227"/>
        <v>0</v>
      </c>
      <c r="B289" s="239">
        <v>267</v>
      </c>
      <c r="C289" s="258"/>
      <c r="D289" s="258"/>
      <c r="E289" s="240"/>
      <c r="F289" s="241" t="str">
        <f>IF(ISBLANK(E289), "", VLOOKUP(E289, Z!$A$2:$C$4127, 3, FALSE))</f>
        <v/>
      </c>
      <c r="G289" s="242"/>
      <c r="H289" s="242"/>
      <c r="I289" s="243"/>
      <c r="J289" s="244"/>
      <c r="K289" s="259"/>
      <c r="L289" s="260"/>
      <c r="M289" s="247" t="str" cm="1">
        <f t="array" ref="M289">IF($K289&gt;0, INDEX(Clean,1+AG289,$C$1), "")</f>
        <v/>
      </c>
      <c r="N289" s="245"/>
      <c r="O289" s="245"/>
      <c r="P289" s="246"/>
      <c r="Q289" s="248">
        <f t="shared" si="425"/>
        <v>0</v>
      </c>
      <c r="R289" s="247" t="str" cm="1">
        <f t="array" ref="R289">IF($K289&gt;0, INDEX(Clean,1+AH289,$C$1), "")</f>
        <v/>
      </c>
      <c r="S289" s="245"/>
      <c r="T289" s="245"/>
      <c r="U289" s="246"/>
      <c r="V289" s="248">
        <f t="shared" si="426"/>
        <v>0</v>
      </c>
      <c r="W289" s="261"/>
      <c r="X289" s="258"/>
      <c r="Y289" s="240"/>
      <c r="Z289" s="241" t="str">
        <f>IF(ISBLANK(Y289), "", VLOOKUP(Y289, Z!$A$2:$C$4127, 3, FALSE))</f>
        <v/>
      </c>
      <c r="AA289" s="262"/>
      <c r="AB289" s="249">
        <f t="shared" si="452"/>
        <v>0</v>
      </c>
      <c r="AC289" s="210"/>
      <c r="AD289" s="236">
        <f t="shared" si="449"/>
        <v>1</v>
      </c>
      <c r="AE289" s="236">
        <f t="shared" si="450"/>
        <v>1</v>
      </c>
      <c r="AF289" s="236">
        <f t="shared" si="451"/>
        <v>0</v>
      </c>
      <c r="AG289" s="236">
        <v>1</v>
      </c>
      <c r="AH289" s="236">
        <v>0</v>
      </c>
      <c r="AI289" s="236">
        <f t="shared" si="427"/>
        <v>-100</v>
      </c>
      <c r="AJ289" s="210"/>
      <c r="AK289" s="254"/>
      <c r="AL289" s="254"/>
      <c r="AM289" s="255"/>
      <c r="AN289" s="255"/>
      <c r="AO289" s="255"/>
      <c r="AP289" s="255"/>
      <c r="AQ289" s="255"/>
      <c r="AR289" s="255"/>
      <c r="AS289" s="255"/>
      <c r="AT289" s="255"/>
      <c r="AU289" s="255"/>
      <c r="AV289" s="255"/>
      <c r="AW289" s="255"/>
      <c r="AX289" s="210"/>
      <c r="AY289" s="236" cm="1">
        <f t="array" ref="AY289">INDEX(Use, $AD289, 4)</f>
        <v>7</v>
      </c>
      <c r="AZ289" s="236">
        <f t="shared" si="428"/>
        <v>32</v>
      </c>
      <c r="BA289" s="236">
        <f t="shared" si="239"/>
        <v>13</v>
      </c>
      <c r="BB289" s="236">
        <f t="shared" si="240"/>
        <v>0</v>
      </c>
      <c r="BC289" s="252" cm="1">
        <f t="array" ref="BC289">K289/IF($L289&gt;0, INDEX($AO$23:$AU$77, $L289+20, $AD289), 1)</f>
        <v>0</v>
      </c>
      <c r="BD289" s="237">
        <f t="shared" si="429"/>
        <v>0</v>
      </c>
      <c r="BE289" s="236">
        <v>35</v>
      </c>
      <c r="BF289" s="237">
        <f t="shared" si="430"/>
        <v>52.55</v>
      </c>
      <c r="BG289" s="253">
        <f t="shared" si="431"/>
        <v>2.7676728869374316</v>
      </c>
      <c r="BH289" s="253" cm="1">
        <f t="array" ref="BH289">$BC289 * SUMPRODUCT(INDEX($AL$77:$AN$82,,$AE289),INDEX($AO$77:$AU$82,,$AD289), N($AK$77:$AK$82&gt;$AI289)) / BG289 / 1000</f>
        <v>0</v>
      </c>
      <c r="BI289" s="250">
        <f t="shared" si="244"/>
        <v>30</v>
      </c>
      <c r="BJ289" s="237">
        <f t="shared" si="432"/>
        <v>46.033333333333331</v>
      </c>
      <c r="BK289" s="253">
        <f t="shared" si="433"/>
        <v>3.2297395388556791</v>
      </c>
      <c r="BL289" s="253" cm="1">
        <f t="array" ref="BL289">$BC289 * IF($AD289&lt;=2,
SUMPRODUCT(INDEX($AL$72:$AN$76,,$AE289), INDEX($AO$72:$AU$76,,$AD289), 1 / ($AV$72:$AV$76*BK289 + (1-$AV$72:$AV$76)*BG289), N($AK$72:$AK$76&gt;$AI289)),
SUMPRODUCT(INDEX($AL$67:$AN$76,,$AE289), INDEX($AO$67:$AU$76,,$AD289), 1 / ($AW$67:$AW$76*BK289 + (1-$AW$67:$AW$76)*BG289), N($AK$67:$AK$76&gt;$AI289))
) / 1000</f>
        <v>0</v>
      </c>
      <c r="BM289" s="250">
        <f t="shared" si="247"/>
        <v>25</v>
      </c>
      <c r="BN289" s="237">
        <f t="shared" si="434"/>
        <v>39.516666666666666</v>
      </c>
      <c r="BO289" s="253">
        <f t="shared" si="435"/>
        <v>3.877011788826243</v>
      </c>
      <c r="BP289" s="253" cm="1">
        <f t="array" ref="BP289">$BC289 * IF($AD289&lt;=2,
SUMPRODUCT(INDEX($AL$67:$AN$71,,$AE289), INDEX($AO$67:$AU$71,,$AD289), 1 / ($AV$67:$AV$71*BO289 + (1-$AV$67:$AV$71)*BK289), N($AK$67:$AK$71&gt;$AI289)),
SUMPRODUCT(INDEX($AL$57:$AN$66,,$AE289), INDEX($AO$57:$AU$66,,$AD289), 1 / ($AW$57:$AW$66*BO289 + (1-$AW$57:$AW$66)*BK289), N($AK$57:$AK$66&gt;$AI289))
) / 1000</f>
        <v>0</v>
      </c>
      <c r="BQ289" s="250">
        <f t="shared" si="250"/>
        <v>20</v>
      </c>
      <c r="BR289" s="237">
        <f t="shared" si="436"/>
        <v>33</v>
      </c>
      <c r="BS289" s="253">
        <f t="shared" si="437"/>
        <v>4.8487499999999999</v>
      </c>
      <c r="BT289" s="253" cm="1">
        <f t="array" ref="BT289">$BC289 * IF($AD289&lt;=2,
SUMPRODUCT(INDEX($AL$62:$AN$66,,$AE289), INDEX($AO$62:$AU$66,,$AD289), 1 / ($AV$62:$AV$66*BS289 + (1-$AV$62:$AV$66)*BO289), N($AK$62:$AK$66&gt;$AI289)),
SUMPRODUCT(INDEX($AL$47:$AN$56,,$AE289), INDEX($AO$47:$AU$56,,$AD289), 1 / ($AW$47:$AW$56*BS289 + (1-$AW$47:$AW$56)*BO289), N($AK$47:$AK$56&gt;$AI289))
) / 1000</f>
        <v>0</v>
      </c>
      <c r="BU289" s="253" cm="1">
        <f t="array" ref="BU289">$BC289 * IF($AD289&lt;=2,
SUMPRODUCT(INDEX($AL$23:$AN$61,,$AE289), INDEX($AO$23:$AU$61,,$AD289), 1 / ($AV$23:$AV$61*BS289), N($AK$23:$AK$61&gt;$AI289)),
SUMPRODUCT(INDEX($AL$23:$AN$46,,$AE289), INDEX($AO$23:$AU$46,,$AD289), 1 / ($AW$23:$AW$46*BS289), N($AK$23:$AK$46&gt;$AI289))
) / 1000</f>
        <v>0</v>
      </c>
      <c r="BV289" s="237">
        <f t="shared" si="438"/>
        <v>0</v>
      </c>
      <c r="BW289" s="210"/>
      <c r="BX289" s="237">
        <f t="shared" si="439"/>
        <v>0</v>
      </c>
      <c r="BY289" s="236">
        <v>35</v>
      </c>
      <c r="BZ289" s="237">
        <f t="shared" si="440"/>
        <v>48</v>
      </c>
      <c r="CA289" s="253">
        <f t="shared" si="441"/>
        <v>3.0748170731707316</v>
      </c>
      <c r="CB289" s="253" cm="1">
        <f t="array" ref="CB289">$BC289 * SUMPRODUCT(INDEX($AL$77:$AN$82,,$AE289),INDEX($AO$77:$AU$82,,$AD289), N($AK$77:$AK$82&gt;$AI289)) / CA289 / 1000</f>
        <v>0</v>
      </c>
      <c r="CC289" s="250">
        <f t="shared" si="257"/>
        <v>30</v>
      </c>
      <c r="CD289" s="237">
        <f t="shared" si="442"/>
        <v>43</v>
      </c>
      <c r="CE289" s="253">
        <f t="shared" si="443"/>
        <v>3.5018750000000001</v>
      </c>
      <c r="CF289" s="253" cm="1">
        <f t="array" ref="CF289">$BC289 * IF($AD289&lt;=2,
SUMPRODUCT(INDEX($AL$72:$AN$76,,$AE289), INDEX($AO$72:$AU$76,,$AD289), 1 / ($AV$72:$AV$76*CE289 + (1-$AV$72:$AV$76)*CA289), N($AK$72:$AK$76&gt;$AI289)),
SUMPRODUCT(INDEX($AL$67:$AN$76,,$AE289), INDEX($AO$67:$AU$76,,$AD289), 1 / ($AW$67:$AW$76*CE289 + (1-$AW$67:$AW$76)*CA289), N($AK$67:$AK$76&gt;$AI289))
) / 1000</f>
        <v>0</v>
      </c>
      <c r="CG289" s="250">
        <f t="shared" si="260"/>
        <v>25</v>
      </c>
      <c r="CH289" s="237">
        <f t="shared" si="444"/>
        <v>38</v>
      </c>
      <c r="CI289" s="253">
        <f t="shared" si="445"/>
        <v>4.0666935483870965</v>
      </c>
      <c r="CJ289" s="253" cm="1">
        <f t="array" ref="CJ289">$BC289 * IF($AD289&lt;=2,
SUMPRODUCT(INDEX($AL$67:$AN$71,,$AE289), INDEX($AO$67:$AU$71,,$AD289), 1 / ($AV$67:$AV$71*CI289 + (1-$AV$67:$AV$71)*CE289), N($AK$67:$AK$71&gt;$AI289)),
SUMPRODUCT(INDEX($AL$57:$AN$66,,$AE289), INDEX($AO$57:$AU$66,,$AD289), 1 / ($AW$57:$AW$66*CI289 + (1-$AW$57:$AW$66)*CE289), N($AK$57:$AK$66&gt;$AI289))
) / 1000</f>
        <v>0</v>
      </c>
      <c r="CK289" s="250">
        <f t="shared" si="263"/>
        <v>20</v>
      </c>
      <c r="CL289" s="237">
        <f t="shared" si="446"/>
        <v>33</v>
      </c>
      <c r="CM289" s="253">
        <f t="shared" si="447"/>
        <v>4.8487499999999999</v>
      </c>
      <c r="CN289" s="253" cm="1">
        <f t="array" ref="CN289">$BC289 * IF($AD289&lt;=2,
SUMPRODUCT(INDEX($AL$62:$AN$66,,$AE289), INDEX($AO$62:$AU$66,,$AD289), 1 / ($AV$62:$AV$66*CM289 + (1-$AV$62:$AV$66)*CI289), N($AK$62:$AK$66&gt;$AI289)),
SUMPRODUCT(INDEX($AL$47:$AN$56,,$AE289), INDEX($AO$47:$AU$56,,$AD289), 1 / ($AW$47:$AW$56*CM289 + (1-$AW$47:$AW$56)*CI289), N($AK$47:$AK$56&gt;$AI289))
) / 1000</f>
        <v>0</v>
      </c>
      <c r="CO289" s="253" cm="1">
        <f t="array" ref="CO289">$BC289 * IF($AD289&lt;=2,
SUMPRODUCT(INDEX($AL$23:$AN$61,,$AE289), INDEX($AO$23:$AU$61,,$AD289), 1 / ($AV$23:$AV$61*CM289), N($AK$23:$AK$61&gt;$AI289)),
SUMPRODUCT(INDEX($AL$23:$AN$46,,$AE289), INDEX($AO$23:$AU$46,,$AD289), 1 / ($AW$23:$AW$46*CM289), N($AK$23:$AK$46&gt;$AI289))
) / 1000</f>
        <v>0</v>
      </c>
      <c r="CP289" s="237">
        <f t="shared" si="448"/>
        <v>0</v>
      </c>
      <c r="CQ289" s="210"/>
    </row>
    <row r="290" spans="1:95" s="76" customFormat="1" ht="14.25" customHeight="1" x14ac:dyDescent="0.2">
      <c r="A290" s="238" t="b">
        <f t="shared" si="227"/>
        <v>0</v>
      </c>
      <c r="B290" s="239">
        <v>268</v>
      </c>
      <c r="C290" s="258"/>
      <c r="D290" s="258"/>
      <c r="E290" s="240"/>
      <c r="F290" s="241" t="str">
        <f>IF(ISBLANK(E290), "", VLOOKUP(E290, Z!$A$2:$C$4127, 3, FALSE))</f>
        <v/>
      </c>
      <c r="G290" s="242"/>
      <c r="H290" s="242"/>
      <c r="I290" s="243"/>
      <c r="J290" s="244"/>
      <c r="K290" s="259"/>
      <c r="L290" s="260"/>
      <c r="M290" s="247" t="str" cm="1">
        <f t="array" ref="M290">IF($K290&gt;0, INDEX(Clean,1+AG290,$C$1), "")</f>
        <v/>
      </c>
      <c r="N290" s="245"/>
      <c r="O290" s="245"/>
      <c r="P290" s="246"/>
      <c r="Q290" s="248">
        <f t="shared" si="425"/>
        <v>0</v>
      </c>
      <c r="R290" s="247" t="str" cm="1">
        <f t="array" ref="R290">IF($K290&gt;0, INDEX(Clean,1+AH290,$C$1), "")</f>
        <v/>
      </c>
      <c r="S290" s="245"/>
      <c r="T290" s="245"/>
      <c r="U290" s="246"/>
      <c r="V290" s="248">
        <f t="shared" si="426"/>
        <v>0</v>
      </c>
      <c r="W290" s="261"/>
      <c r="X290" s="258"/>
      <c r="Y290" s="240"/>
      <c r="Z290" s="241" t="str">
        <f>IF(ISBLANK(Y290), "", VLOOKUP(Y290, Z!$A$2:$C$4127, 3, FALSE))</f>
        <v/>
      </c>
      <c r="AA290" s="262"/>
      <c r="AB290" s="249">
        <f t="shared" si="452"/>
        <v>0</v>
      </c>
      <c r="AC290" s="210"/>
      <c r="AD290" s="236">
        <f t="shared" si="449"/>
        <v>1</v>
      </c>
      <c r="AE290" s="236">
        <f t="shared" si="450"/>
        <v>1</v>
      </c>
      <c r="AF290" s="236">
        <f t="shared" si="451"/>
        <v>0</v>
      </c>
      <c r="AG290" s="236">
        <v>1</v>
      </c>
      <c r="AH290" s="236">
        <v>0</v>
      </c>
      <c r="AI290" s="236">
        <f t="shared" si="427"/>
        <v>-100</v>
      </c>
      <c r="AJ290" s="210"/>
      <c r="AK290" s="254"/>
      <c r="AL290" s="254"/>
      <c r="AM290" s="255"/>
      <c r="AN290" s="255"/>
      <c r="AO290" s="255"/>
      <c r="AP290" s="255"/>
      <c r="AQ290" s="255"/>
      <c r="AR290" s="255"/>
      <c r="AS290" s="255"/>
      <c r="AT290" s="255"/>
      <c r="AU290" s="255"/>
      <c r="AV290" s="255"/>
      <c r="AW290" s="255"/>
      <c r="AX290" s="210"/>
      <c r="AY290" s="236" cm="1">
        <f t="array" ref="AY290">INDEX(Use, $AD290, 4)</f>
        <v>7</v>
      </c>
      <c r="AZ290" s="236">
        <f t="shared" si="428"/>
        <v>32</v>
      </c>
      <c r="BA290" s="236">
        <f t="shared" si="239"/>
        <v>13</v>
      </c>
      <c r="BB290" s="236">
        <f t="shared" si="240"/>
        <v>0</v>
      </c>
      <c r="BC290" s="252" cm="1">
        <f t="array" ref="BC290">K290/IF($L290&gt;0, INDEX($AO$23:$AU$77, $L290+20, $AD290), 1)</f>
        <v>0</v>
      </c>
      <c r="BD290" s="237">
        <f t="shared" si="429"/>
        <v>0</v>
      </c>
      <c r="BE290" s="236">
        <v>35</v>
      </c>
      <c r="BF290" s="237">
        <f t="shared" si="430"/>
        <v>52.55</v>
      </c>
      <c r="BG290" s="253">
        <f t="shared" si="431"/>
        <v>2.7676728869374316</v>
      </c>
      <c r="BH290" s="253" cm="1">
        <f t="array" ref="BH290">$BC290 * SUMPRODUCT(INDEX($AL$77:$AN$82,,$AE290),INDEX($AO$77:$AU$82,,$AD290), N($AK$77:$AK$82&gt;$AI290)) / BG290 / 1000</f>
        <v>0</v>
      </c>
      <c r="BI290" s="250">
        <f t="shared" si="244"/>
        <v>30</v>
      </c>
      <c r="BJ290" s="237">
        <f t="shared" si="432"/>
        <v>46.033333333333331</v>
      </c>
      <c r="BK290" s="253">
        <f t="shared" si="433"/>
        <v>3.2297395388556791</v>
      </c>
      <c r="BL290" s="253" cm="1">
        <f t="array" ref="BL290">$BC290 * IF($AD290&lt;=2,
SUMPRODUCT(INDEX($AL$72:$AN$76,,$AE290), INDEX($AO$72:$AU$76,,$AD290), 1 / ($AV$72:$AV$76*BK290 + (1-$AV$72:$AV$76)*BG290), N($AK$72:$AK$76&gt;$AI290)),
SUMPRODUCT(INDEX($AL$67:$AN$76,,$AE290), INDEX($AO$67:$AU$76,,$AD290), 1 / ($AW$67:$AW$76*BK290 + (1-$AW$67:$AW$76)*BG290), N($AK$67:$AK$76&gt;$AI290))
) / 1000</f>
        <v>0</v>
      </c>
      <c r="BM290" s="250">
        <f t="shared" si="247"/>
        <v>25</v>
      </c>
      <c r="BN290" s="237">
        <f t="shared" si="434"/>
        <v>39.516666666666666</v>
      </c>
      <c r="BO290" s="253">
        <f t="shared" si="435"/>
        <v>3.877011788826243</v>
      </c>
      <c r="BP290" s="253" cm="1">
        <f t="array" ref="BP290">$BC290 * IF($AD290&lt;=2,
SUMPRODUCT(INDEX($AL$67:$AN$71,,$AE290), INDEX($AO$67:$AU$71,,$AD290), 1 / ($AV$67:$AV$71*BO290 + (1-$AV$67:$AV$71)*BK290), N($AK$67:$AK$71&gt;$AI290)),
SUMPRODUCT(INDEX($AL$57:$AN$66,,$AE290), INDEX($AO$57:$AU$66,,$AD290), 1 / ($AW$57:$AW$66*BO290 + (1-$AW$57:$AW$66)*BK290), N($AK$57:$AK$66&gt;$AI290))
) / 1000</f>
        <v>0</v>
      </c>
      <c r="BQ290" s="250">
        <f t="shared" si="250"/>
        <v>20</v>
      </c>
      <c r="BR290" s="237">
        <f t="shared" si="436"/>
        <v>33</v>
      </c>
      <c r="BS290" s="253">
        <f t="shared" si="437"/>
        <v>4.8487499999999999</v>
      </c>
      <c r="BT290" s="253" cm="1">
        <f t="array" ref="BT290">$BC290 * IF($AD290&lt;=2,
SUMPRODUCT(INDEX($AL$62:$AN$66,,$AE290), INDEX($AO$62:$AU$66,,$AD290), 1 / ($AV$62:$AV$66*BS290 + (1-$AV$62:$AV$66)*BO290), N($AK$62:$AK$66&gt;$AI290)),
SUMPRODUCT(INDEX($AL$47:$AN$56,,$AE290), INDEX($AO$47:$AU$56,,$AD290), 1 / ($AW$47:$AW$56*BS290 + (1-$AW$47:$AW$56)*BO290), N($AK$47:$AK$56&gt;$AI290))
) / 1000</f>
        <v>0</v>
      </c>
      <c r="BU290" s="253" cm="1">
        <f t="array" ref="BU290">$BC290 * IF($AD290&lt;=2,
SUMPRODUCT(INDEX($AL$23:$AN$61,,$AE290), INDEX($AO$23:$AU$61,,$AD290), 1 / ($AV$23:$AV$61*BS290), N($AK$23:$AK$61&gt;$AI290)),
SUMPRODUCT(INDEX($AL$23:$AN$46,,$AE290), INDEX($AO$23:$AU$46,,$AD290), 1 / ($AW$23:$AW$46*BS290), N($AK$23:$AK$46&gt;$AI290))
) / 1000</f>
        <v>0</v>
      </c>
      <c r="BV290" s="237">
        <f t="shared" si="438"/>
        <v>0</v>
      </c>
      <c r="BW290" s="210"/>
      <c r="BX290" s="237">
        <f t="shared" si="439"/>
        <v>0</v>
      </c>
      <c r="BY290" s="236">
        <v>35</v>
      </c>
      <c r="BZ290" s="237">
        <f t="shared" si="440"/>
        <v>48</v>
      </c>
      <c r="CA290" s="253">
        <f t="shared" si="441"/>
        <v>3.0748170731707316</v>
      </c>
      <c r="CB290" s="253" cm="1">
        <f t="array" ref="CB290">$BC290 * SUMPRODUCT(INDEX($AL$77:$AN$82,,$AE290),INDEX($AO$77:$AU$82,,$AD290), N($AK$77:$AK$82&gt;$AI290)) / CA290 / 1000</f>
        <v>0</v>
      </c>
      <c r="CC290" s="250">
        <f t="shared" si="257"/>
        <v>30</v>
      </c>
      <c r="CD290" s="237">
        <f t="shared" si="442"/>
        <v>43</v>
      </c>
      <c r="CE290" s="253">
        <f t="shared" si="443"/>
        <v>3.5018750000000001</v>
      </c>
      <c r="CF290" s="253" cm="1">
        <f t="array" ref="CF290">$BC290 * IF($AD290&lt;=2,
SUMPRODUCT(INDEX($AL$72:$AN$76,,$AE290), INDEX($AO$72:$AU$76,,$AD290), 1 / ($AV$72:$AV$76*CE290 + (1-$AV$72:$AV$76)*CA290), N($AK$72:$AK$76&gt;$AI290)),
SUMPRODUCT(INDEX($AL$67:$AN$76,,$AE290), INDEX($AO$67:$AU$76,,$AD290), 1 / ($AW$67:$AW$76*CE290 + (1-$AW$67:$AW$76)*CA290), N($AK$67:$AK$76&gt;$AI290))
) / 1000</f>
        <v>0</v>
      </c>
      <c r="CG290" s="250">
        <f t="shared" si="260"/>
        <v>25</v>
      </c>
      <c r="CH290" s="237">
        <f t="shared" si="444"/>
        <v>38</v>
      </c>
      <c r="CI290" s="253">
        <f t="shared" si="445"/>
        <v>4.0666935483870965</v>
      </c>
      <c r="CJ290" s="253" cm="1">
        <f t="array" ref="CJ290">$BC290 * IF($AD290&lt;=2,
SUMPRODUCT(INDEX($AL$67:$AN$71,,$AE290), INDEX($AO$67:$AU$71,,$AD290), 1 / ($AV$67:$AV$71*CI290 + (1-$AV$67:$AV$71)*CE290), N($AK$67:$AK$71&gt;$AI290)),
SUMPRODUCT(INDEX($AL$57:$AN$66,,$AE290), INDEX($AO$57:$AU$66,,$AD290), 1 / ($AW$57:$AW$66*CI290 + (1-$AW$57:$AW$66)*CE290), N($AK$57:$AK$66&gt;$AI290))
) / 1000</f>
        <v>0</v>
      </c>
      <c r="CK290" s="250">
        <f t="shared" si="263"/>
        <v>20</v>
      </c>
      <c r="CL290" s="237">
        <f t="shared" si="446"/>
        <v>33</v>
      </c>
      <c r="CM290" s="253">
        <f t="shared" si="447"/>
        <v>4.8487499999999999</v>
      </c>
      <c r="CN290" s="253" cm="1">
        <f t="array" ref="CN290">$BC290 * IF($AD290&lt;=2,
SUMPRODUCT(INDEX($AL$62:$AN$66,,$AE290), INDEX($AO$62:$AU$66,,$AD290), 1 / ($AV$62:$AV$66*CM290 + (1-$AV$62:$AV$66)*CI290), N($AK$62:$AK$66&gt;$AI290)),
SUMPRODUCT(INDEX($AL$47:$AN$56,,$AE290), INDEX($AO$47:$AU$56,,$AD290), 1 / ($AW$47:$AW$56*CM290 + (1-$AW$47:$AW$56)*CI290), N($AK$47:$AK$56&gt;$AI290))
) / 1000</f>
        <v>0</v>
      </c>
      <c r="CO290" s="253" cm="1">
        <f t="array" ref="CO290">$BC290 * IF($AD290&lt;=2,
SUMPRODUCT(INDEX($AL$23:$AN$61,,$AE290), INDEX($AO$23:$AU$61,,$AD290), 1 / ($AV$23:$AV$61*CM290), N($AK$23:$AK$61&gt;$AI290)),
SUMPRODUCT(INDEX($AL$23:$AN$46,,$AE290), INDEX($AO$23:$AU$46,,$AD290), 1 / ($AW$23:$AW$46*CM290), N($AK$23:$AK$46&gt;$AI290))
) / 1000</f>
        <v>0</v>
      </c>
      <c r="CP290" s="237">
        <f t="shared" si="448"/>
        <v>0</v>
      </c>
      <c r="CQ290" s="210"/>
    </row>
    <row r="291" spans="1:95" s="76" customFormat="1" ht="14.25" customHeight="1" x14ac:dyDescent="0.2">
      <c r="A291" s="238" t="b">
        <f t="shared" si="227"/>
        <v>0</v>
      </c>
      <c r="B291" s="239">
        <v>269</v>
      </c>
      <c r="C291" s="258"/>
      <c r="D291" s="258"/>
      <c r="E291" s="240"/>
      <c r="F291" s="241" t="str">
        <f>IF(ISBLANK(E291), "", VLOOKUP(E291, Z!$A$2:$C$4127, 3, FALSE))</f>
        <v/>
      </c>
      <c r="G291" s="242"/>
      <c r="H291" s="242"/>
      <c r="I291" s="243"/>
      <c r="J291" s="244"/>
      <c r="K291" s="259"/>
      <c r="L291" s="260"/>
      <c r="M291" s="247" t="str" cm="1">
        <f t="array" ref="M291">IF($K291&gt;0, INDEX(Clean,1+AG291,$C$1), "")</f>
        <v/>
      </c>
      <c r="N291" s="245"/>
      <c r="O291" s="245"/>
      <c r="P291" s="246"/>
      <c r="Q291" s="248">
        <f t="shared" si="425"/>
        <v>0</v>
      </c>
      <c r="R291" s="247" t="str" cm="1">
        <f t="array" ref="R291">IF($K291&gt;0, INDEX(Clean,1+AH291,$C$1), "")</f>
        <v/>
      </c>
      <c r="S291" s="245"/>
      <c r="T291" s="245"/>
      <c r="U291" s="246"/>
      <c r="V291" s="248">
        <f t="shared" si="426"/>
        <v>0</v>
      </c>
      <c r="W291" s="261"/>
      <c r="X291" s="258"/>
      <c r="Y291" s="240"/>
      <c r="Z291" s="241" t="str">
        <f>IF(ISBLANK(Y291), "", VLOOKUP(Y291, Z!$A$2:$C$4127, 3, FALSE))</f>
        <v/>
      </c>
      <c r="AA291" s="262"/>
      <c r="AB291" s="249">
        <f t="shared" si="452"/>
        <v>0</v>
      </c>
      <c r="AC291" s="210"/>
      <c r="AD291" s="236">
        <f t="shared" si="449"/>
        <v>1</v>
      </c>
      <c r="AE291" s="236">
        <f t="shared" si="450"/>
        <v>1</v>
      </c>
      <c r="AF291" s="236">
        <f t="shared" si="451"/>
        <v>0</v>
      </c>
      <c r="AG291" s="236">
        <v>1</v>
      </c>
      <c r="AH291" s="236">
        <v>0</v>
      </c>
      <c r="AI291" s="236">
        <f t="shared" si="427"/>
        <v>-100</v>
      </c>
      <c r="AJ291" s="210"/>
      <c r="AK291" s="254"/>
      <c r="AL291" s="254"/>
      <c r="AM291" s="255"/>
      <c r="AN291" s="255"/>
      <c r="AO291" s="255"/>
      <c r="AP291" s="255"/>
      <c r="AQ291" s="255"/>
      <c r="AR291" s="255"/>
      <c r="AS291" s="255"/>
      <c r="AT291" s="255"/>
      <c r="AU291" s="255"/>
      <c r="AV291" s="255"/>
      <c r="AW291" s="255"/>
      <c r="AX291" s="210"/>
      <c r="AY291" s="236" cm="1">
        <f t="array" ref="AY291">INDEX(Use, $AD291, 4)</f>
        <v>7</v>
      </c>
      <c r="AZ291" s="236">
        <f t="shared" si="428"/>
        <v>32</v>
      </c>
      <c r="BA291" s="236">
        <f t="shared" si="239"/>
        <v>13</v>
      </c>
      <c r="BB291" s="236">
        <f t="shared" si="240"/>
        <v>0</v>
      </c>
      <c r="BC291" s="252" cm="1">
        <f t="array" ref="BC291">K291/IF($L291&gt;0, INDEX($AO$23:$AU$77, $L291+20, $AD291), 1)</f>
        <v>0</v>
      </c>
      <c r="BD291" s="237">
        <f t="shared" si="429"/>
        <v>0</v>
      </c>
      <c r="BE291" s="236">
        <v>35</v>
      </c>
      <c r="BF291" s="237">
        <f t="shared" si="430"/>
        <v>52.55</v>
      </c>
      <c r="BG291" s="253">
        <f t="shared" si="431"/>
        <v>2.7676728869374316</v>
      </c>
      <c r="BH291" s="253" cm="1">
        <f t="array" ref="BH291">$BC291 * SUMPRODUCT(INDEX($AL$77:$AN$82,,$AE291),INDEX($AO$77:$AU$82,,$AD291), N($AK$77:$AK$82&gt;$AI291)) / BG291 / 1000</f>
        <v>0</v>
      </c>
      <c r="BI291" s="250">
        <f t="shared" si="244"/>
        <v>30</v>
      </c>
      <c r="BJ291" s="237">
        <f t="shared" si="432"/>
        <v>46.033333333333331</v>
      </c>
      <c r="BK291" s="253">
        <f t="shared" si="433"/>
        <v>3.2297395388556791</v>
      </c>
      <c r="BL291" s="253" cm="1">
        <f t="array" ref="BL291">$BC291 * IF($AD291&lt;=2,
SUMPRODUCT(INDEX($AL$72:$AN$76,,$AE291), INDEX($AO$72:$AU$76,,$AD291), 1 / ($AV$72:$AV$76*BK291 + (1-$AV$72:$AV$76)*BG291), N($AK$72:$AK$76&gt;$AI291)),
SUMPRODUCT(INDEX($AL$67:$AN$76,,$AE291), INDEX($AO$67:$AU$76,,$AD291), 1 / ($AW$67:$AW$76*BK291 + (1-$AW$67:$AW$76)*BG291), N($AK$67:$AK$76&gt;$AI291))
) / 1000</f>
        <v>0</v>
      </c>
      <c r="BM291" s="250">
        <f t="shared" si="247"/>
        <v>25</v>
      </c>
      <c r="BN291" s="237">
        <f t="shared" si="434"/>
        <v>39.516666666666666</v>
      </c>
      <c r="BO291" s="253">
        <f t="shared" si="435"/>
        <v>3.877011788826243</v>
      </c>
      <c r="BP291" s="253" cm="1">
        <f t="array" ref="BP291">$BC291 * IF($AD291&lt;=2,
SUMPRODUCT(INDEX($AL$67:$AN$71,,$AE291), INDEX($AO$67:$AU$71,,$AD291), 1 / ($AV$67:$AV$71*BO291 + (1-$AV$67:$AV$71)*BK291), N($AK$67:$AK$71&gt;$AI291)),
SUMPRODUCT(INDEX($AL$57:$AN$66,,$AE291), INDEX($AO$57:$AU$66,,$AD291), 1 / ($AW$57:$AW$66*BO291 + (1-$AW$57:$AW$66)*BK291), N($AK$57:$AK$66&gt;$AI291))
) / 1000</f>
        <v>0</v>
      </c>
      <c r="BQ291" s="250">
        <f t="shared" si="250"/>
        <v>20</v>
      </c>
      <c r="BR291" s="237">
        <f t="shared" si="436"/>
        <v>33</v>
      </c>
      <c r="BS291" s="253">
        <f t="shared" si="437"/>
        <v>4.8487499999999999</v>
      </c>
      <c r="BT291" s="253" cm="1">
        <f t="array" ref="BT291">$BC291 * IF($AD291&lt;=2,
SUMPRODUCT(INDEX($AL$62:$AN$66,,$AE291), INDEX($AO$62:$AU$66,,$AD291), 1 / ($AV$62:$AV$66*BS291 + (1-$AV$62:$AV$66)*BO291), N($AK$62:$AK$66&gt;$AI291)),
SUMPRODUCT(INDEX($AL$47:$AN$56,,$AE291), INDEX($AO$47:$AU$56,,$AD291), 1 / ($AW$47:$AW$56*BS291 + (1-$AW$47:$AW$56)*BO291), N($AK$47:$AK$56&gt;$AI291))
) / 1000</f>
        <v>0</v>
      </c>
      <c r="BU291" s="253" cm="1">
        <f t="array" ref="BU291">$BC291 * IF($AD291&lt;=2,
SUMPRODUCT(INDEX($AL$23:$AN$61,,$AE291), INDEX($AO$23:$AU$61,,$AD291), 1 / ($AV$23:$AV$61*BS291), N($AK$23:$AK$61&gt;$AI291)),
SUMPRODUCT(INDEX($AL$23:$AN$46,,$AE291), INDEX($AO$23:$AU$46,,$AD291), 1 / ($AW$23:$AW$46*BS291), N($AK$23:$AK$46&gt;$AI291))
) / 1000</f>
        <v>0</v>
      </c>
      <c r="BV291" s="237">
        <f t="shared" si="438"/>
        <v>0</v>
      </c>
      <c r="BW291" s="210"/>
      <c r="BX291" s="237">
        <f t="shared" si="439"/>
        <v>0</v>
      </c>
      <c r="BY291" s="236">
        <v>35</v>
      </c>
      <c r="BZ291" s="237">
        <f t="shared" si="440"/>
        <v>48</v>
      </c>
      <c r="CA291" s="253">
        <f t="shared" si="441"/>
        <v>3.0748170731707316</v>
      </c>
      <c r="CB291" s="253" cm="1">
        <f t="array" ref="CB291">$BC291 * SUMPRODUCT(INDEX($AL$77:$AN$82,,$AE291),INDEX($AO$77:$AU$82,,$AD291), N($AK$77:$AK$82&gt;$AI291)) / CA291 / 1000</f>
        <v>0</v>
      </c>
      <c r="CC291" s="250">
        <f t="shared" si="257"/>
        <v>30</v>
      </c>
      <c r="CD291" s="237">
        <f t="shared" si="442"/>
        <v>43</v>
      </c>
      <c r="CE291" s="253">
        <f t="shared" si="443"/>
        <v>3.5018750000000001</v>
      </c>
      <c r="CF291" s="253" cm="1">
        <f t="array" ref="CF291">$BC291 * IF($AD291&lt;=2,
SUMPRODUCT(INDEX($AL$72:$AN$76,,$AE291), INDEX($AO$72:$AU$76,,$AD291), 1 / ($AV$72:$AV$76*CE291 + (1-$AV$72:$AV$76)*CA291), N($AK$72:$AK$76&gt;$AI291)),
SUMPRODUCT(INDEX($AL$67:$AN$76,,$AE291), INDEX($AO$67:$AU$76,,$AD291), 1 / ($AW$67:$AW$76*CE291 + (1-$AW$67:$AW$76)*CA291), N($AK$67:$AK$76&gt;$AI291))
) / 1000</f>
        <v>0</v>
      </c>
      <c r="CG291" s="250">
        <f t="shared" si="260"/>
        <v>25</v>
      </c>
      <c r="CH291" s="237">
        <f t="shared" si="444"/>
        <v>38</v>
      </c>
      <c r="CI291" s="253">
        <f t="shared" si="445"/>
        <v>4.0666935483870965</v>
      </c>
      <c r="CJ291" s="253" cm="1">
        <f t="array" ref="CJ291">$BC291 * IF($AD291&lt;=2,
SUMPRODUCT(INDEX($AL$67:$AN$71,,$AE291), INDEX($AO$67:$AU$71,,$AD291), 1 / ($AV$67:$AV$71*CI291 + (1-$AV$67:$AV$71)*CE291), N($AK$67:$AK$71&gt;$AI291)),
SUMPRODUCT(INDEX($AL$57:$AN$66,,$AE291), INDEX($AO$57:$AU$66,,$AD291), 1 / ($AW$57:$AW$66*CI291 + (1-$AW$57:$AW$66)*CE291), N($AK$57:$AK$66&gt;$AI291))
) / 1000</f>
        <v>0</v>
      </c>
      <c r="CK291" s="250">
        <f t="shared" si="263"/>
        <v>20</v>
      </c>
      <c r="CL291" s="237">
        <f t="shared" si="446"/>
        <v>33</v>
      </c>
      <c r="CM291" s="253">
        <f t="shared" si="447"/>
        <v>4.8487499999999999</v>
      </c>
      <c r="CN291" s="253" cm="1">
        <f t="array" ref="CN291">$BC291 * IF($AD291&lt;=2,
SUMPRODUCT(INDEX($AL$62:$AN$66,,$AE291), INDEX($AO$62:$AU$66,,$AD291), 1 / ($AV$62:$AV$66*CM291 + (1-$AV$62:$AV$66)*CI291), N($AK$62:$AK$66&gt;$AI291)),
SUMPRODUCT(INDEX($AL$47:$AN$56,,$AE291), INDEX($AO$47:$AU$56,,$AD291), 1 / ($AW$47:$AW$56*CM291 + (1-$AW$47:$AW$56)*CI291), N($AK$47:$AK$56&gt;$AI291))
) / 1000</f>
        <v>0</v>
      </c>
      <c r="CO291" s="253" cm="1">
        <f t="array" ref="CO291">$BC291 * IF($AD291&lt;=2,
SUMPRODUCT(INDEX($AL$23:$AN$61,,$AE291), INDEX($AO$23:$AU$61,,$AD291), 1 / ($AV$23:$AV$61*CM291), N($AK$23:$AK$61&gt;$AI291)),
SUMPRODUCT(INDEX($AL$23:$AN$46,,$AE291), INDEX($AO$23:$AU$46,,$AD291), 1 / ($AW$23:$AW$46*CM291), N($AK$23:$AK$46&gt;$AI291))
) / 1000</f>
        <v>0</v>
      </c>
      <c r="CP291" s="237">
        <f t="shared" si="448"/>
        <v>0</v>
      </c>
      <c r="CQ291" s="210"/>
    </row>
    <row r="292" spans="1:95" s="76" customFormat="1" ht="14.25" customHeight="1" x14ac:dyDescent="0.2">
      <c r="A292" s="238" t="b">
        <f t="shared" si="227"/>
        <v>0</v>
      </c>
      <c r="B292" s="239">
        <v>270</v>
      </c>
      <c r="C292" s="258"/>
      <c r="D292" s="258"/>
      <c r="E292" s="240"/>
      <c r="F292" s="241" t="str">
        <f>IF(ISBLANK(E292), "", VLOOKUP(E292, Z!$A$2:$C$4127, 3, FALSE))</f>
        <v/>
      </c>
      <c r="G292" s="242"/>
      <c r="H292" s="242"/>
      <c r="I292" s="243"/>
      <c r="J292" s="244"/>
      <c r="K292" s="259"/>
      <c r="L292" s="260"/>
      <c r="M292" s="247" t="str" cm="1">
        <f t="array" ref="M292">IF($K292&gt;0, INDEX(Clean,1+AG292,$C$1), "")</f>
        <v/>
      </c>
      <c r="N292" s="245"/>
      <c r="O292" s="245"/>
      <c r="P292" s="246"/>
      <c r="Q292" s="248">
        <f t="shared" si="425"/>
        <v>0</v>
      </c>
      <c r="R292" s="247" t="str" cm="1">
        <f t="array" ref="R292">IF($K292&gt;0, INDEX(Clean,1+AH292,$C$1), "")</f>
        <v/>
      </c>
      <c r="S292" s="245"/>
      <c r="T292" s="245"/>
      <c r="U292" s="246"/>
      <c r="V292" s="248">
        <f t="shared" si="426"/>
        <v>0</v>
      </c>
      <c r="W292" s="261"/>
      <c r="X292" s="258"/>
      <c r="Y292" s="240"/>
      <c r="Z292" s="241" t="str">
        <f>IF(ISBLANK(Y292), "", VLOOKUP(Y292, Z!$A$2:$C$4127, 3, FALSE))</f>
        <v/>
      </c>
      <c r="AA292" s="262"/>
      <c r="AB292" s="249">
        <f t="shared" si="452"/>
        <v>0</v>
      </c>
      <c r="AC292" s="210"/>
      <c r="AD292" s="236">
        <f t="shared" si="449"/>
        <v>1</v>
      </c>
      <c r="AE292" s="236">
        <f t="shared" si="450"/>
        <v>1</v>
      </c>
      <c r="AF292" s="236">
        <f t="shared" si="451"/>
        <v>0</v>
      </c>
      <c r="AG292" s="236">
        <v>1</v>
      </c>
      <c r="AH292" s="236">
        <v>0</v>
      </c>
      <c r="AI292" s="236">
        <f t="shared" si="427"/>
        <v>-100</v>
      </c>
      <c r="AJ292" s="210"/>
      <c r="AK292" s="254"/>
      <c r="AL292" s="254"/>
      <c r="AM292" s="255"/>
      <c r="AN292" s="255"/>
      <c r="AO292" s="255"/>
      <c r="AP292" s="255"/>
      <c r="AQ292" s="255"/>
      <c r="AR292" s="255"/>
      <c r="AS292" s="255"/>
      <c r="AT292" s="255"/>
      <c r="AU292" s="255"/>
      <c r="AV292" s="255"/>
      <c r="AW292" s="255"/>
      <c r="AX292" s="210"/>
      <c r="AY292" s="236" cm="1">
        <f t="array" ref="AY292">INDEX(Use, $AD292, 4)</f>
        <v>7</v>
      </c>
      <c r="AZ292" s="236">
        <f t="shared" si="428"/>
        <v>32</v>
      </c>
      <c r="BA292" s="236">
        <f t="shared" si="239"/>
        <v>13</v>
      </c>
      <c r="BB292" s="236">
        <f t="shared" si="240"/>
        <v>0</v>
      </c>
      <c r="BC292" s="252" cm="1">
        <f t="array" ref="BC292">K292/IF($L292&gt;0, INDEX($AO$23:$AU$77, $L292+20, $AD292), 1)</f>
        <v>0</v>
      </c>
      <c r="BD292" s="237">
        <f t="shared" si="429"/>
        <v>0</v>
      </c>
      <c r="BE292" s="236">
        <v>35</v>
      </c>
      <c r="BF292" s="237">
        <f t="shared" si="430"/>
        <v>52.55</v>
      </c>
      <c r="BG292" s="253">
        <f t="shared" si="431"/>
        <v>2.7676728869374316</v>
      </c>
      <c r="BH292" s="253" cm="1">
        <f t="array" ref="BH292">$BC292 * SUMPRODUCT(INDEX($AL$77:$AN$82,,$AE292),INDEX($AO$77:$AU$82,,$AD292), N($AK$77:$AK$82&gt;$AI292)) / BG292 / 1000</f>
        <v>0</v>
      </c>
      <c r="BI292" s="250">
        <f t="shared" si="244"/>
        <v>30</v>
      </c>
      <c r="BJ292" s="237">
        <f t="shared" si="432"/>
        <v>46.033333333333331</v>
      </c>
      <c r="BK292" s="253">
        <f t="shared" si="433"/>
        <v>3.2297395388556791</v>
      </c>
      <c r="BL292" s="253" cm="1">
        <f t="array" ref="BL292">$BC292 * IF($AD292&lt;=2,
SUMPRODUCT(INDEX($AL$72:$AN$76,,$AE292), INDEX($AO$72:$AU$76,,$AD292), 1 / ($AV$72:$AV$76*BK292 + (1-$AV$72:$AV$76)*BG292), N($AK$72:$AK$76&gt;$AI292)),
SUMPRODUCT(INDEX($AL$67:$AN$76,,$AE292), INDEX($AO$67:$AU$76,,$AD292), 1 / ($AW$67:$AW$76*BK292 + (1-$AW$67:$AW$76)*BG292), N($AK$67:$AK$76&gt;$AI292))
) / 1000</f>
        <v>0</v>
      </c>
      <c r="BM292" s="250">
        <f t="shared" si="247"/>
        <v>25</v>
      </c>
      <c r="BN292" s="237">
        <f t="shared" si="434"/>
        <v>39.516666666666666</v>
      </c>
      <c r="BO292" s="253">
        <f t="shared" si="435"/>
        <v>3.877011788826243</v>
      </c>
      <c r="BP292" s="253" cm="1">
        <f t="array" ref="BP292">$BC292 * IF($AD292&lt;=2,
SUMPRODUCT(INDEX($AL$67:$AN$71,,$AE292), INDEX($AO$67:$AU$71,,$AD292), 1 / ($AV$67:$AV$71*BO292 + (1-$AV$67:$AV$71)*BK292), N($AK$67:$AK$71&gt;$AI292)),
SUMPRODUCT(INDEX($AL$57:$AN$66,,$AE292), INDEX($AO$57:$AU$66,,$AD292), 1 / ($AW$57:$AW$66*BO292 + (1-$AW$57:$AW$66)*BK292), N($AK$57:$AK$66&gt;$AI292))
) / 1000</f>
        <v>0</v>
      </c>
      <c r="BQ292" s="250">
        <f t="shared" si="250"/>
        <v>20</v>
      </c>
      <c r="BR292" s="237">
        <f t="shared" si="436"/>
        <v>33</v>
      </c>
      <c r="BS292" s="253">
        <f t="shared" si="437"/>
        <v>4.8487499999999999</v>
      </c>
      <c r="BT292" s="253" cm="1">
        <f t="array" ref="BT292">$BC292 * IF($AD292&lt;=2,
SUMPRODUCT(INDEX($AL$62:$AN$66,,$AE292), INDEX($AO$62:$AU$66,,$AD292), 1 / ($AV$62:$AV$66*BS292 + (1-$AV$62:$AV$66)*BO292), N($AK$62:$AK$66&gt;$AI292)),
SUMPRODUCT(INDEX($AL$47:$AN$56,,$AE292), INDEX($AO$47:$AU$56,,$AD292), 1 / ($AW$47:$AW$56*BS292 + (1-$AW$47:$AW$56)*BO292), N($AK$47:$AK$56&gt;$AI292))
) / 1000</f>
        <v>0</v>
      </c>
      <c r="BU292" s="253" cm="1">
        <f t="array" ref="BU292">$BC292 * IF($AD292&lt;=2,
SUMPRODUCT(INDEX($AL$23:$AN$61,,$AE292), INDEX($AO$23:$AU$61,,$AD292), 1 / ($AV$23:$AV$61*BS292), N($AK$23:$AK$61&gt;$AI292)),
SUMPRODUCT(INDEX($AL$23:$AN$46,,$AE292), INDEX($AO$23:$AU$46,,$AD292), 1 / ($AW$23:$AW$46*BS292), N($AK$23:$AK$46&gt;$AI292))
) / 1000</f>
        <v>0</v>
      </c>
      <c r="BV292" s="237">
        <f t="shared" si="438"/>
        <v>0</v>
      </c>
      <c r="BW292" s="210"/>
      <c r="BX292" s="237">
        <f t="shared" si="439"/>
        <v>0</v>
      </c>
      <c r="BY292" s="236">
        <v>35</v>
      </c>
      <c r="BZ292" s="237">
        <f t="shared" si="440"/>
        <v>48</v>
      </c>
      <c r="CA292" s="253">
        <f t="shared" si="441"/>
        <v>3.0748170731707316</v>
      </c>
      <c r="CB292" s="253" cm="1">
        <f t="array" ref="CB292">$BC292 * SUMPRODUCT(INDEX($AL$77:$AN$82,,$AE292),INDEX($AO$77:$AU$82,,$AD292), N($AK$77:$AK$82&gt;$AI292)) / CA292 / 1000</f>
        <v>0</v>
      </c>
      <c r="CC292" s="250">
        <f t="shared" si="257"/>
        <v>30</v>
      </c>
      <c r="CD292" s="237">
        <f t="shared" si="442"/>
        <v>43</v>
      </c>
      <c r="CE292" s="253">
        <f t="shared" si="443"/>
        <v>3.5018750000000001</v>
      </c>
      <c r="CF292" s="253" cm="1">
        <f t="array" ref="CF292">$BC292 * IF($AD292&lt;=2,
SUMPRODUCT(INDEX($AL$72:$AN$76,,$AE292), INDEX($AO$72:$AU$76,,$AD292), 1 / ($AV$72:$AV$76*CE292 + (1-$AV$72:$AV$76)*CA292), N($AK$72:$AK$76&gt;$AI292)),
SUMPRODUCT(INDEX($AL$67:$AN$76,,$AE292), INDEX($AO$67:$AU$76,,$AD292), 1 / ($AW$67:$AW$76*CE292 + (1-$AW$67:$AW$76)*CA292), N($AK$67:$AK$76&gt;$AI292))
) / 1000</f>
        <v>0</v>
      </c>
      <c r="CG292" s="250">
        <f t="shared" si="260"/>
        <v>25</v>
      </c>
      <c r="CH292" s="237">
        <f t="shared" si="444"/>
        <v>38</v>
      </c>
      <c r="CI292" s="253">
        <f t="shared" si="445"/>
        <v>4.0666935483870965</v>
      </c>
      <c r="CJ292" s="253" cm="1">
        <f t="array" ref="CJ292">$BC292 * IF($AD292&lt;=2,
SUMPRODUCT(INDEX($AL$67:$AN$71,,$AE292), INDEX($AO$67:$AU$71,,$AD292), 1 / ($AV$67:$AV$71*CI292 + (1-$AV$67:$AV$71)*CE292), N($AK$67:$AK$71&gt;$AI292)),
SUMPRODUCT(INDEX($AL$57:$AN$66,,$AE292), INDEX($AO$57:$AU$66,,$AD292), 1 / ($AW$57:$AW$66*CI292 + (1-$AW$57:$AW$66)*CE292), N($AK$57:$AK$66&gt;$AI292))
) / 1000</f>
        <v>0</v>
      </c>
      <c r="CK292" s="250">
        <f t="shared" si="263"/>
        <v>20</v>
      </c>
      <c r="CL292" s="237">
        <f t="shared" si="446"/>
        <v>33</v>
      </c>
      <c r="CM292" s="253">
        <f t="shared" si="447"/>
        <v>4.8487499999999999</v>
      </c>
      <c r="CN292" s="253" cm="1">
        <f t="array" ref="CN292">$BC292 * IF($AD292&lt;=2,
SUMPRODUCT(INDEX($AL$62:$AN$66,,$AE292), INDEX($AO$62:$AU$66,,$AD292), 1 / ($AV$62:$AV$66*CM292 + (1-$AV$62:$AV$66)*CI292), N($AK$62:$AK$66&gt;$AI292)),
SUMPRODUCT(INDEX($AL$47:$AN$56,,$AE292), INDEX($AO$47:$AU$56,,$AD292), 1 / ($AW$47:$AW$56*CM292 + (1-$AW$47:$AW$56)*CI292), N($AK$47:$AK$56&gt;$AI292))
) / 1000</f>
        <v>0</v>
      </c>
      <c r="CO292" s="253" cm="1">
        <f t="array" ref="CO292">$BC292 * IF($AD292&lt;=2,
SUMPRODUCT(INDEX($AL$23:$AN$61,,$AE292), INDEX($AO$23:$AU$61,,$AD292), 1 / ($AV$23:$AV$61*CM292), N($AK$23:$AK$61&gt;$AI292)),
SUMPRODUCT(INDEX($AL$23:$AN$46,,$AE292), INDEX($AO$23:$AU$46,,$AD292), 1 / ($AW$23:$AW$46*CM292), N($AK$23:$AK$46&gt;$AI292))
) / 1000</f>
        <v>0</v>
      </c>
      <c r="CP292" s="237">
        <f t="shared" si="448"/>
        <v>0</v>
      </c>
      <c r="CQ292" s="210"/>
    </row>
    <row r="293" spans="1:95" s="76" customFormat="1" ht="14.25" customHeight="1" x14ac:dyDescent="0.2">
      <c r="A293" s="238" t="b">
        <f t="shared" si="227"/>
        <v>0</v>
      </c>
      <c r="B293" s="239">
        <v>271</v>
      </c>
      <c r="C293" s="258"/>
      <c r="D293" s="258"/>
      <c r="E293" s="240"/>
      <c r="F293" s="241" t="str">
        <f>IF(ISBLANK(E293), "", VLOOKUP(E293, Z!$A$2:$C$4127, 3, FALSE))</f>
        <v/>
      </c>
      <c r="G293" s="242"/>
      <c r="H293" s="242"/>
      <c r="I293" s="243"/>
      <c r="J293" s="244"/>
      <c r="K293" s="259"/>
      <c r="L293" s="260"/>
      <c r="M293" s="247" t="str" cm="1">
        <f t="array" ref="M293">IF($K293&gt;0, INDEX(Clean,1+AG293,$C$1), "")</f>
        <v/>
      </c>
      <c r="N293" s="245"/>
      <c r="O293" s="245"/>
      <c r="P293" s="246"/>
      <c r="Q293" s="248">
        <f t="shared" si="425"/>
        <v>0</v>
      </c>
      <c r="R293" s="247" t="str" cm="1">
        <f t="array" ref="R293">IF($K293&gt;0, INDEX(Clean,1+AH293,$C$1), "")</f>
        <v/>
      </c>
      <c r="S293" s="245"/>
      <c r="T293" s="245"/>
      <c r="U293" s="246"/>
      <c r="V293" s="248">
        <f t="shared" si="426"/>
        <v>0</v>
      </c>
      <c r="W293" s="261"/>
      <c r="X293" s="258"/>
      <c r="Y293" s="240"/>
      <c r="Z293" s="241" t="str">
        <f>IF(ISBLANK(Y293), "", VLOOKUP(Y293, Z!$A$2:$C$4127, 3, FALSE))</f>
        <v/>
      </c>
      <c r="AA293" s="262"/>
      <c r="AB293" s="249">
        <f t="shared" si="452"/>
        <v>0</v>
      </c>
      <c r="AC293" s="210"/>
      <c r="AD293" s="236">
        <f t="shared" si="449"/>
        <v>1</v>
      </c>
      <c r="AE293" s="236">
        <f t="shared" si="450"/>
        <v>1</v>
      </c>
      <c r="AF293" s="236">
        <f t="shared" si="451"/>
        <v>0</v>
      </c>
      <c r="AG293" s="236">
        <v>1</v>
      </c>
      <c r="AH293" s="236">
        <v>0</v>
      </c>
      <c r="AI293" s="236">
        <f t="shared" si="427"/>
        <v>-100</v>
      </c>
      <c r="AJ293" s="210"/>
      <c r="AK293" s="254"/>
      <c r="AL293" s="254"/>
      <c r="AM293" s="255"/>
      <c r="AN293" s="255"/>
      <c r="AO293" s="255"/>
      <c r="AP293" s="255"/>
      <c r="AQ293" s="255"/>
      <c r="AR293" s="255"/>
      <c r="AS293" s="255"/>
      <c r="AT293" s="255"/>
      <c r="AU293" s="255"/>
      <c r="AV293" s="255"/>
      <c r="AW293" s="255"/>
      <c r="AX293" s="210"/>
      <c r="AY293" s="236" cm="1">
        <f t="array" ref="AY293">INDEX(Use, $AD293, 4)</f>
        <v>7</v>
      </c>
      <c r="AZ293" s="236">
        <f t="shared" si="428"/>
        <v>32</v>
      </c>
      <c r="BA293" s="236">
        <f t="shared" si="239"/>
        <v>13</v>
      </c>
      <c r="BB293" s="236">
        <f t="shared" si="240"/>
        <v>0</v>
      </c>
      <c r="BC293" s="252" cm="1">
        <f t="array" ref="BC293">K293/IF($L293&gt;0, INDEX($AO$23:$AU$77, $L293+20, $AD293), 1)</f>
        <v>0</v>
      </c>
      <c r="BD293" s="237">
        <f t="shared" si="429"/>
        <v>0</v>
      </c>
      <c r="BE293" s="236">
        <v>35</v>
      </c>
      <c r="BF293" s="237">
        <f t="shared" si="430"/>
        <v>52.55</v>
      </c>
      <c r="BG293" s="253">
        <f t="shared" si="431"/>
        <v>2.7676728869374316</v>
      </c>
      <c r="BH293" s="253" cm="1">
        <f t="array" ref="BH293">$BC293 * SUMPRODUCT(INDEX($AL$77:$AN$82,,$AE293),INDEX($AO$77:$AU$82,,$AD293), N($AK$77:$AK$82&gt;$AI293)) / BG293 / 1000</f>
        <v>0</v>
      </c>
      <c r="BI293" s="250">
        <f t="shared" si="244"/>
        <v>30</v>
      </c>
      <c r="BJ293" s="237">
        <f t="shared" si="432"/>
        <v>46.033333333333331</v>
      </c>
      <c r="BK293" s="253">
        <f t="shared" si="433"/>
        <v>3.2297395388556791</v>
      </c>
      <c r="BL293" s="253" cm="1">
        <f t="array" ref="BL293">$BC293 * IF($AD293&lt;=2,
SUMPRODUCT(INDEX($AL$72:$AN$76,,$AE293), INDEX($AO$72:$AU$76,,$AD293), 1 / ($AV$72:$AV$76*BK293 + (1-$AV$72:$AV$76)*BG293), N($AK$72:$AK$76&gt;$AI293)),
SUMPRODUCT(INDEX($AL$67:$AN$76,,$AE293), INDEX($AO$67:$AU$76,,$AD293), 1 / ($AW$67:$AW$76*BK293 + (1-$AW$67:$AW$76)*BG293), N($AK$67:$AK$76&gt;$AI293))
) / 1000</f>
        <v>0</v>
      </c>
      <c r="BM293" s="250">
        <f t="shared" si="247"/>
        <v>25</v>
      </c>
      <c r="BN293" s="237">
        <f t="shared" si="434"/>
        <v>39.516666666666666</v>
      </c>
      <c r="BO293" s="253">
        <f t="shared" si="435"/>
        <v>3.877011788826243</v>
      </c>
      <c r="BP293" s="253" cm="1">
        <f t="array" ref="BP293">$BC293 * IF($AD293&lt;=2,
SUMPRODUCT(INDEX($AL$67:$AN$71,,$AE293), INDEX($AO$67:$AU$71,,$AD293), 1 / ($AV$67:$AV$71*BO293 + (1-$AV$67:$AV$71)*BK293), N($AK$67:$AK$71&gt;$AI293)),
SUMPRODUCT(INDEX($AL$57:$AN$66,,$AE293), INDEX($AO$57:$AU$66,,$AD293), 1 / ($AW$57:$AW$66*BO293 + (1-$AW$57:$AW$66)*BK293), N($AK$57:$AK$66&gt;$AI293))
) / 1000</f>
        <v>0</v>
      </c>
      <c r="BQ293" s="250">
        <f t="shared" si="250"/>
        <v>20</v>
      </c>
      <c r="BR293" s="237">
        <f t="shared" si="436"/>
        <v>33</v>
      </c>
      <c r="BS293" s="253">
        <f t="shared" si="437"/>
        <v>4.8487499999999999</v>
      </c>
      <c r="BT293" s="253" cm="1">
        <f t="array" ref="BT293">$BC293 * IF($AD293&lt;=2,
SUMPRODUCT(INDEX($AL$62:$AN$66,,$AE293), INDEX($AO$62:$AU$66,,$AD293), 1 / ($AV$62:$AV$66*BS293 + (1-$AV$62:$AV$66)*BO293), N($AK$62:$AK$66&gt;$AI293)),
SUMPRODUCT(INDEX($AL$47:$AN$56,,$AE293), INDEX($AO$47:$AU$56,,$AD293), 1 / ($AW$47:$AW$56*BS293 + (1-$AW$47:$AW$56)*BO293), N($AK$47:$AK$56&gt;$AI293))
) / 1000</f>
        <v>0</v>
      </c>
      <c r="BU293" s="253" cm="1">
        <f t="array" ref="BU293">$BC293 * IF($AD293&lt;=2,
SUMPRODUCT(INDEX($AL$23:$AN$61,,$AE293), INDEX($AO$23:$AU$61,,$AD293), 1 / ($AV$23:$AV$61*BS293), N($AK$23:$AK$61&gt;$AI293)),
SUMPRODUCT(INDEX($AL$23:$AN$46,,$AE293), INDEX($AO$23:$AU$46,,$AD293), 1 / ($AW$23:$AW$46*BS293), N($AK$23:$AK$46&gt;$AI293))
) / 1000</f>
        <v>0</v>
      </c>
      <c r="BV293" s="237">
        <f t="shared" si="438"/>
        <v>0</v>
      </c>
      <c r="BW293" s="210"/>
      <c r="BX293" s="237">
        <f t="shared" si="439"/>
        <v>0</v>
      </c>
      <c r="BY293" s="236">
        <v>35</v>
      </c>
      <c r="BZ293" s="237">
        <f t="shared" si="440"/>
        <v>48</v>
      </c>
      <c r="CA293" s="253">
        <f t="shared" si="441"/>
        <v>3.0748170731707316</v>
      </c>
      <c r="CB293" s="253" cm="1">
        <f t="array" ref="CB293">$BC293 * SUMPRODUCT(INDEX($AL$77:$AN$82,,$AE293),INDEX($AO$77:$AU$82,,$AD293), N($AK$77:$AK$82&gt;$AI293)) / CA293 / 1000</f>
        <v>0</v>
      </c>
      <c r="CC293" s="250">
        <f t="shared" si="257"/>
        <v>30</v>
      </c>
      <c r="CD293" s="237">
        <f t="shared" si="442"/>
        <v>43</v>
      </c>
      <c r="CE293" s="253">
        <f t="shared" si="443"/>
        <v>3.5018750000000001</v>
      </c>
      <c r="CF293" s="253" cm="1">
        <f t="array" ref="CF293">$BC293 * IF($AD293&lt;=2,
SUMPRODUCT(INDEX($AL$72:$AN$76,,$AE293), INDEX($AO$72:$AU$76,,$AD293), 1 / ($AV$72:$AV$76*CE293 + (1-$AV$72:$AV$76)*CA293), N($AK$72:$AK$76&gt;$AI293)),
SUMPRODUCT(INDEX($AL$67:$AN$76,,$AE293), INDEX($AO$67:$AU$76,,$AD293), 1 / ($AW$67:$AW$76*CE293 + (1-$AW$67:$AW$76)*CA293), N($AK$67:$AK$76&gt;$AI293))
) / 1000</f>
        <v>0</v>
      </c>
      <c r="CG293" s="250">
        <f t="shared" si="260"/>
        <v>25</v>
      </c>
      <c r="CH293" s="237">
        <f t="shared" si="444"/>
        <v>38</v>
      </c>
      <c r="CI293" s="253">
        <f t="shared" si="445"/>
        <v>4.0666935483870965</v>
      </c>
      <c r="CJ293" s="253" cm="1">
        <f t="array" ref="CJ293">$BC293 * IF($AD293&lt;=2,
SUMPRODUCT(INDEX($AL$67:$AN$71,,$AE293), INDEX($AO$67:$AU$71,,$AD293), 1 / ($AV$67:$AV$71*CI293 + (1-$AV$67:$AV$71)*CE293), N($AK$67:$AK$71&gt;$AI293)),
SUMPRODUCT(INDEX($AL$57:$AN$66,,$AE293), INDEX($AO$57:$AU$66,,$AD293), 1 / ($AW$57:$AW$66*CI293 + (1-$AW$57:$AW$66)*CE293), N($AK$57:$AK$66&gt;$AI293))
) / 1000</f>
        <v>0</v>
      </c>
      <c r="CK293" s="250">
        <f t="shared" si="263"/>
        <v>20</v>
      </c>
      <c r="CL293" s="237">
        <f t="shared" si="446"/>
        <v>33</v>
      </c>
      <c r="CM293" s="253">
        <f t="shared" si="447"/>
        <v>4.8487499999999999</v>
      </c>
      <c r="CN293" s="253" cm="1">
        <f t="array" ref="CN293">$BC293 * IF($AD293&lt;=2,
SUMPRODUCT(INDEX($AL$62:$AN$66,,$AE293), INDEX($AO$62:$AU$66,,$AD293), 1 / ($AV$62:$AV$66*CM293 + (1-$AV$62:$AV$66)*CI293), N($AK$62:$AK$66&gt;$AI293)),
SUMPRODUCT(INDEX($AL$47:$AN$56,,$AE293), INDEX($AO$47:$AU$56,,$AD293), 1 / ($AW$47:$AW$56*CM293 + (1-$AW$47:$AW$56)*CI293), N($AK$47:$AK$56&gt;$AI293))
) / 1000</f>
        <v>0</v>
      </c>
      <c r="CO293" s="253" cm="1">
        <f t="array" ref="CO293">$BC293 * IF($AD293&lt;=2,
SUMPRODUCT(INDEX($AL$23:$AN$61,,$AE293), INDEX($AO$23:$AU$61,,$AD293), 1 / ($AV$23:$AV$61*CM293), N($AK$23:$AK$61&gt;$AI293)),
SUMPRODUCT(INDEX($AL$23:$AN$46,,$AE293), INDEX($AO$23:$AU$46,,$AD293), 1 / ($AW$23:$AW$46*CM293), N($AK$23:$AK$46&gt;$AI293))
) / 1000</f>
        <v>0</v>
      </c>
      <c r="CP293" s="237">
        <f t="shared" si="448"/>
        <v>0</v>
      </c>
      <c r="CQ293" s="210"/>
    </row>
    <row r="294" spans="1:95" s="76" customFormat="1" ht="14.25" customHeight="1" x14ac:dyDescent="0.2">
      <c r="A294" s="238" t="b">
        <f t="shared" si="227"/>
        <v>0</v>
      </c>
      <c r="B294" s="239">
        <v>272</v>
      </c>
      <c r="C294" s="258"/>
      <c r="D294" s="258"/>
      <c r="E294" s="240"/>
      <c r="F294" s="241" t="str">
        <f>IF(ISBLANK(E294), "", VLOOKUP(E294, Z!$A$2:$C$4127, 3, FALSE))</f>
        <v/>
      </c>
      <c r="G294" s="242"/>
      <c r="H294" s="242"/>
      <c r="I294" s="243"/>
      <c r="J294" s="244"/>
      <c r="K294" s="259"/>
      <c r="L294" s="260"/>
      <c r="M294" s="247" t="str" cm="1">
        <f t="array" ref="M294">IF($K294&gt;0, INDEX(Clean,1+AG294,$C$1), "")</f>
        <v/>
      </c>
      <c r="N294" s="245"/>
      <c r="O294" s="245"/>
      <c r="P294" s="246"/>
      <c r="Q294" s="248">
        <f t="shared" si="425"/>
        <v>0</v>
      </c>
      <c r="R294" s="247" t="str" cm="1">
        <f t="array" ref="R294">IF($K294&gt;0, INDEX(Clean,1+AH294,$C$1), "")</f>
        <v/>
      </c>
      <c r="S294" s="245"/>
      <c r="T294" s="245"/>
      <c r="U294" s="246"/>
      <c r="V294" s="248">
        <f t="shared" si="426"/>
        <v>0</v>
      </c>
      <c r="W294" s="261"/>
      <c r="X294" s="258"/>
      <c r="Y294" s="240"/>
      <c r="Z294" s="241" t="str">
        <f>IF(ISBLANK(Y294), "", VLOOKUP(Y294, Z!$A$2:$C$4127, 3, FALSE))</f>
        <v/>
      </c>
      <c r="AA294" s="262"/>
      <c r="AB294" s="249">
        <f t="shared" si="452"/>
        <v>0</v>
      </c>
      <c r="AC294" s="210"/>
      <c r="AD294" s="236">
        <f t="shared" si="449"/>
        <v>1</v>
      </c>
      <c r="AE294" s="236">
        <f t="shared" si="450"/>
        <v>1</v>
      </c>
      <c r="AF294" s="236">
        <f t="shared" si="451"/>
        <v>0</v>
      </c>
      <c r="AG294" s="236">
        <v>1</v>
      </c>
      <c r="AH294" s="236">
        <v>0</v>
      </c>
      <c r="AI294" s="236">
        <f t="shared" si="427"/>
        <v>-100</v>
      </c>
      <c r="AJ294" s="210"/>
      <c r="AK294" s="254"/>
      <c r="AL294" s="254"/>
      <c r="AM294" s="255"/>
      <c r="AN294" s="255"/>
      <c r="AO294" s="255"/>
      <c r="AP294" s="255"/>
      <c r="AQ294" s="255"/>
      <c r="AR294" s="255"/>
      <c r="AS294" s="255"/>
      <c r="AT294" s="255"/>
      <c r="AU294" s="255"/>
      <c r="AV294" s="255"/>
      <c r="AW294" s="255"/>
      <c r="AX294" s="210"/>
      <c r="AY294" s="236" cm="1">
        <f t="array" ref="AY294">INDEX(Use, $AD294, 4)</f>
        <v>7</v>
      </c>
      <c r="AZ294" s="236">
        <f t="shared" si="428"/>
        <v>32</v>
      </c>
      <c r="BA294" s="236">
        <f t="shared" si="239"/>
        <v>13</v>
      </c>
      <c r="BB294" s="236">
        <f t="shared" si="240"/>
        <v>0</v>
      </c>
      <c r="BC294" s="252" cm="1">
        <f t="array" ref="BC294">K294/IF($L294&gt;0, INDEX($AO$23:$AU$77, $L294+20, $AD294), 1)</f>
        <v>0</v>
      </c>
      <c r="BD294" s="237">
        <f t="shared" si="429"/>
        <v>0</v>
      </c>
      <c r="BE294" s="236">
        <v>35</v>
      </c>
      <c r="BF294" s="237">
        <f t="shared" si="430"/>
        <v>52.55</v>
      </c>
      <c r="BG294" s="253">
        <f t="shared" si="431"/>
        <v>2.7676728869374316</v>
      </c>
      <c r="BH294" s="253" cm="1">
        <f t="array" ref="BH294">$BC294 * SUMPRODUCT(INDEX($AL$77:$AN$82,,$AE294),INDEX($AO$77:$AU$82,,$AD294), N($AK$77:$AK$82&gt;$AI294)) / BG294 / 1000</f>
        <v>0</v>
      </c>
      <c r="BI294" s="250">
        <f t="shared" si="244"/>
        <v>30</v>
      </c>
      <c r="BJ294" s="237">
        <f t="shared" si="432"/>
        <v>46.033333333333331</v>
      </c>
      <c r="BK294" s="253">
        <f t="shared" si="433"/>
        <v>3.2297395388556791</v>
      </c>
      <c r="BL294" s="253" cm="1">
        <f t="array" ref="BL294">$BC294 * IF($AD294&lt;=2,
SUMPRODUCT(INDEX($AL$72:$AN$76,,$AE294), INDEX($AO$72:$AU$76,,$AD294), 1 / ($AV$72:$AV$76*BK294 + (1-$AV$72:$AV$76)*BG294), N($AK$72:$AK$76&gt;$AI294)),
SUMPRODUCT(INDEX($AL$67:$AN$76,,$AE294), INDEX($AO$67:$AU$76,,$AD294), 1 / ($AW$67:$AW$76*BK294 + (1-$AW$67:$AW$76)*BG294), N($AK$67:$AK$76&gt;$AI294))
) / 1000</f>
        <v>0</v>
      </c>
      <c r="BM294" s="250">
        <f t="shared" si="247"/>
        <v>25</v>
      </c>
      <c r="BN294" s="237">
        <f t="shared" si="434"/>
        <v>39.516666666666666</v>
      </c>
      <c r="BO294" s="253">
        <f t="shared" si="435"/>
        <v>3.877011788826243</v>
      </c>
      <c r="BP294" s="253" cm="1">
        <f t="array" ref="BP294">$BC294 * IF($AD294&lt;=2,
SUMPRODUCT(INDEX($AL$67:$AN$71,,$AE294), INDEX($AO$67:$AU$71,,$AD294), 1 / ($AV$67:$AV$71*BO294 + (1-$AV$67:$AV$71)*BK294), N($AK$67:$AK$71&gt;$AI294)),
SUMPRODUCT(INDEX($AL$57:$AN$66,,$AE294), INDEX($AO$57:$AU$66,,$AD294), 1 / ($AW$57:$AW$66*BO294 + (1-$AW$57:$AW$66)*BK294), N($AK$57:$AK$66&gt;$AI294))
) / 1000</f>
        <v>0</v>
      </c>
      <c r="BQ294" s="250">
        <f t="shared" si="250"/>
        <v>20</v>
      </c>
      <c r="BR294" s="237">
        <f t="shared" si="436"/>
        <v>33</v>
      </c>
      <c r="BS294" s="253">
        <f t="shared" si="437"/>
        <v>4.8487499999999999</v>
      </c>
      <c r="BT294" s="253" cm="1">
        <f t="array" ref="BT294">$BC294 * IF($AD294&lt;=2,
SUMPRODUCT(INDEX($AL$62:$AN$66,,$AE294), INDEX($AO$62:$AU$66,,$AD294), 1 / ($AV$62:$AV$66*BS294 + (1-$AV$62:$AV$66)*BO294), N($AK$62:$AK$66&gt;$AI294)),
SUMPRODUCT(INDEX($AL$47:$AN$56,,$AE294), INDEX($AO$47:$AU$56,,$AD294), 1 / ($AW$47:$AW$56*BS294 + (1-$AW$47:$AW$56)*BO294), N($AK$47:$AK$56&gt;$AI294))
) / 1000</f>
        <v>0</v>
      </c>
      <c r="BU294" s="253" cm="1">
        <f t="array" ref="BU294">$BC294 * IF($AD294&lt;=2,
SUMPRODUCT(INDEX($AL$23:$AN$61,,$AE294), INDEX($AO$23:$AU$61,,$AD294), 1 / ($AV$23:$AV$61*BS294), N($AK$23:$AK$61&gt;$AI294)),
SUMPRODUCT(INDEX($AL$23:$AN$46,,$AE294), INDEX($AO$23:$AU$46,,$AD294), 1 / ($AW$23:$AW$46*BS294), N($AK$23:$AK$46&gt;$AI294))
) / 1000</f>
        <v>0</v>
      </c>
      <c r="BV294" s="237">
        <f t="shared" si="438"/>
        <v>0</v>
      </c>
      <c r="BW294" s="210"/>
      <c r="BX294" s="237">
        <f t="shared" si="439"/>
        <v>0</v>
      </c>
      <c r="BY294" s="236">
        <v>35</v>
      </c>
      <c r="BZ294" s="237">
        <f t="shared" si="440"/>
        <v>48</v>
      </c>
      <c r="CA294" s="253">
        <f t="shared" si="441"/>
        <v>3.0748170731707316</v>
      </c>
      <c r="CB294" s="253" cm="1">
        <f t="array" ref="CB294">$BC294 * SUMPRODUCT(INDEX($AL$77:$AN$82,,$AE294),INDEX($AO$77:$AU$82,,$AD294), N($AK$77:$AK$82&gt;$AI294)) / CA294 / 1000</f>
        <v>0</v>
      </c>
      <c r="CC294" s="250">
        <f t="shared" si="257"/>
        <v>30</v>
      </c>
      <c r="CD294" s="237">
        <f t="shared" si="442"/>
        <v>43</v>
      </c>
      <c r="CE294" s="253">
        <f t="shared" si="443"/>
        <v>3.5018750000000001</v>
      </c>
      <c r="CF294" s="253" cm="1">
        <f t="array" ref="CF294">$BC294 * IF($AD294&lt;=2,
SUMPRODUCT(INDEX($AL$72:$AN$76,,$AE294), INDEX($AO$72:$AU$76,,$AD294), 1 / ($AV$72:$AV$76*CE294 + (1-$AV$72:$AV$76)*CA294), N($AK$72:$AK$76&gt;$AI294)),
SUMPRODUCT(INDEX($AL$67:$AN$76,,$AE294), INDEX($AO$67:$AU$76,,$AD294), 1 / ($AW$67:$AW$76*CE294 + (1-$AW$67:$AW$76)*CA294), N($AK$67:$AK$76&gt;$AI294))
) / 1000</f>
        <v>0</v>
      </c>
      <c r="CG294" s="250">
        <f t="shared" si="260"/>
        <v>25</v>
      </c>
      <c r="CH294" s="237">
        <f t="shared" si="444"/>
        <v>38</v>
      </c>
      <c r="CI294" s="253">
        <f t="shared" si="445"/>
        <v>4.0666935483870965</v>
      </c>
      <c r="CJ294" s="253" cm="1">
        <f t="array" ref="CJ294">$BC294 * IF($AD294&lt;=2,
SUMPRODUCT(INDEX($AL$67:$AN$71,,$AE294), INDEX($AO$67:$AU$71,,$AD294), 1 / ($AV$67:$AV$71*CI294 + (1-$AV$67:$AV$71)*CE294), N($AK$67:$AK$71&gt;$AI294)),
SUMPRODUCT(INDEX($AL$57:$AN$66,,$AE294), INDEX($AO$57:$AU$66,,$AD294), 1 / ($AW$57:$AW$66*CI294 + (1-$AW$57:$AW$66)*CE294), N($AK$57:$AK$66&gt;$AI294))
) / 1000</f>
        <v>0</v>
      </c>
      <c r="CK294" s="250">
        <f t="shared" si="263"/>
        <v>20</v>
      </c>
      <c r="CL294" s="237">
        <f t="shared" si="446"/>
        <v>33</v>
      </c>
      <c r="CM294" s="253">
        <f t="shared" si="447"/>
        <v>4.8487499999999999</v>
      </c>
      <c r="CN294" s="253" cm="1">
        <f t="array" ref="CN294">$BC294 * IF($AD294&lt;=2,
SUMPRODUCT(INDEX($AL$62:$AN$66,,$AE294), INDEX($AO$62:$AU$66,,$AD294), 1 / ($AV$62:$AV$66*CM294 + (1-$AV$62:$AV$66)*CI294), N($AK$62:$AK$66&gt;$AI294)),
SUMPRODUCT(INDEX($AL$47:$AN$56,,$AE294), INDEX($AO$47:$AU$56,,$AD294), 1 / ($AW$47:$AW$56*CM294 + (1-$AW$47:$AW$56)*CI294), N($AK$47:$AK$56&gt;$AI294))
) / 1000</f>
        <v>0</v>
      </c>
      <c r="CO294" s="253" cm="1">
        <f t="array" ref="CO294">$BC294 * IF($AD294&lt;=2,
SUMPRODUCT(INDEX($AL$23:$AN$61,,$AE294), INDEX($AO$23:$AU$61,,$AD294), 1 / ($AV$23:$AV$61*CM294), N($AK$23:$AK$61&gt;$AI294)),
SUMPRODUCT(INDEX($AL$23:$AN$46,,$AE294), INDEX($AO$23:$AU$46,,$AD294), 1 / ($AW$23:$AW$46*CM294), N($AK$23:$AK$46&gt;$AI294))
) / 1000</f>
        <v>0</v>
      </c>
      <c r="CP294" s="237">
        <f t="shared" si="448"/>
        <v>0</v>
      </c>
      <c r="CQ294" s="210"/>
    </row>
    <row r="295" spans="1:95" s="76" customFormat="1" ht="14.25" customHeight="1" x14ac:dyDescent="0.2">
      <c r="A295" s="238" t="b">
        <f t="shared" si="227"/>
        <v>0</v>
      </c>
      <c r="B295" s="239">
        <v>273</v>
      </c>
      <c r="C295" s="258"/>
      <c r="D295" s="258"/>
      <c r="E295" s="240"/>
      <c r="F295" s="241" t="str">
        <f>IF(ISBLANK(E295), "", VLOOKUP(E295, Z!$A$2:$C$4127, 3, FALSE))</f>
        <v/>
      </c>
      <c r="G295" s="242"/>
      <c r="H295" s="242"/>
      <c r="I295" s="243"/>
      <c r="J295" s="244"/>
      <c r="K295" s="259"/>
      <c r="L295" s="260"/>
      <c r="M295" s="247" t="str" cm="1">
        <f t="array" ref="M295">IF($K295&gt;0, INDEX(Clean,1+AG295,$C$1), "")</f>
        <v/>
      </c>
      <c r="N295" s="245"/>
      <c r="O295" s="245"/>
      <c r="P295" s="246"/>
      <c r="Q295" s="248">
        <f t="shared" si="425"/>
        <v>0</v>
      </c>
      <c r="R295" s="247" t="str" cm="1">
        <f t="array" ref="R295">IF($K295&gt;0, INDEX(Clean,1+AH295,$C$1), "")</f>
        <v/>
      </c>
      <c r="S295" s="245"/>
      <c r="T295" s="245"/>
      <c r="U295" s="246"/>
      <c r="V295" s="248">
        <f t="shared" si="426"/>
        <v>0</v>
      </c>
      <c r="W295" s="261"/>
      <c r="X295" s="258"/>
      <c r="Y295" s="240"/>
      <c r="Z295" s="241" t="str">
        <f>IF(ISBLANK(Y295), "", VLOOKUP(Y295, Z!$A$2:$C$4127, 3, FALSE))</f>
        <v/>
      </c>
      <c r="AA295" s="262"/>
      <c r="AB295" s="249">
        <f t="shared" si="452"/>
        <v>0</v>
      </c>
      <c r="AC295" s="210"/>
      <c r="AD295" s="236">
        <f t="shared" si="449"/>
        <v>1</v>
      </c>
      <c r="AE295" s="236">
        <f t="shared" si="450"/>
        <v>1</v>
      </c>
      <c r="AF295" s="236">
        <f t="shared" si="451"/>
        <v>0</v>
      </c>
      <c r="AG295" s="236">
        <v>1</v>
      </c>
      <c r="AH295" s="236">
        <v>0</v>
      </c>
      <c r="AI295" s="236">
        <f t="shared" si="427"/>
        <v>-100</v>
      </c>
      <c r="AJ295" s="210"/>
      <c r="AK295" s="254"/>
      <c r="AL295" s="254"/>
      <c r="AM295" s="255"/>
      <c r="AN295" s="255"/>
      <c r="AO295" s="255"/>
      <c r="AP295" s="255"/>
      <c r="AQ295" s="255"/>
      <c r="AR295" s="255"/>
      <c r="AS295" s="255"/>
      <c r="AT295" s="255"/>
      <c r="AU295" s="255"/>
      <c r="AV295" s="255"/>
      <c r="AW295" s="255"/>
      <c r="AX295" s="210"/>
      <c r="AY295" s="236" cm="1">
        <f t="array" ref="AY295">INDEX(Use, $AD295, 4)</f>
        <v>7</v>
      </c>
      <c r="AZ295" s="236">
        <f t="shared" si="428"/>
        <v>32</v>
      </c>
      <c r="BA295" s="236">
        <f t="shared" si="239"/>
        <v>13</v>
      </c>
      <c r="BB295" s="236">
        <f t="shared" si="240"/>
        <v>0</v>
      </c>
      <c r="BC295" s="252" cm="1">
        <f t="array" ref="BC295">K295/IF($L295&gt;0, INDEX($AO$23:$AU$77, $L295+20, $AD295), 1)</f>
        <v>0</v>
      </c>
      <c r="BD295" s="237">
        <f t="shared" si="429"/>
        <v>0</v>
      </c>
      <c r="BE295" s="236">
        <v>35</v>
      </c>
      <c r="BF295" s="237">
        <f t="shared" si="430"/>
        <v>52.55</v>
      </c>
      <c r="BG295" s="253">
        <f t="shared" si="431"/>
        <v>2.7676728869374316</v>
      </c>
      <c r="BH295" s="253" cm="1">
        <f t="array" ref="BH295">$BC295 * SUMPRODUCT(INDEX($AL$77:$AN$82,,$AE295),INDEX($AO$77:$AU$82,,$AD295), N($AK$77:$AK$82&gt;$AI295)) / BG295 / 1000</f>
        <v>0</v>
      </c>
      <c r="BI295" s="250">
        <f t="shared" si="244"/>
        <v>30</v>
      </c>
      <c r="BJ295" s="237">
        <f t="shared" si="432"/>
        <v>46.033333333333331</v>
      </c>
      <c r="BK295" s="253">
        <f t="shared" si="433"/>
        <v>3.2297395388556791</v>
      </c>
      <c r="BL295" s="253" cm="1">
        <f t="array" ref="BL295">$BC295 * IF($AD295&lt;=2,
SUMPRODUCT(INDEX($AL$72:$AN$76,,$AE295), INDEX($AO$72:$AU$76,,$AD295), 1 / ($AV$72:$AV$76*BK295 + (1-$AV$72:$AV$76)*BG295), N($AK$72:$AK$76&gt;$AI295)),
SUMPRODUCT(INDEX($AL$67:$AN$76,,$AE295), INDEX($AO$67:$AU$76,,$AD295), 1 / ($AW$67:$AW$76*BK295 + (1-$AW$67:$AW$76)*BG295), N($AK$67:$AK$76&gt;$AI295))
) / 1000</f>
        <v>0</v>
      </c>
      <c r="BM295" s="250">
        <f t="shared" si="247"/>
        <v>25</v>
      </c>
      <c r="BN295" s="237">
        <f t="shared" si="434"/>
        <v>39.516666666666666</v>
      </c>
      <c r="BO295" s="253">
        <f t="shared" si="435"/>
        <v>3.877011788826243</v>
      </c>
      <c r="BP295" s="253" cm="1">
        <f t="array" ref="BP295">$BC295 * IF($AD295&lt;=2,
SUMPRODUCT(INDEX($AL$67:$AN$71,,$AE295), INDEX($AO$67:$AU$71,,$AD295), 1 / ($AV$67:$AV$71*BO295 + (1-$AV$67:$AV$71)*BK295), N($AK$67:$AK$71&gt;$AI295)),
SUMPRODUCT(INDEX($AL$57:$AN$66,,$AE295), INDEX($AO$57:$AU$66,,$AD295), 1 / ($AW$57:$AW$66*BO295 + (1-$AW$57:$AW$66)*BK295), N($AK$57:$AK$66&gt;$AI295))
) / 1000</f>
        <v>0</v>
      </c>
      <c r="BQ295" s="250">
        <f t="shared" si="250"/>
        <v>20</v>
      </c>
      <c r="BR295" s="237">
        <f t="shared" si="436"/>
        <v>33</v>
      </c>
      <c r="BS295" s="253">
        <f t="shared" si="437"/>
        <v>4.8487499999999999</v>
      </c>
      <c r="BT295" s="253" cm="1">
        <f t="array" ref="BT295">$BC295 * IF($AD295&lt;=2,
SUMPRODUCT(INDEX($AL$62:$AN$66,,$AE295), INDEX($AO$62:$AU$66,,$AD295), 1 / ($AV$62:$AV$66*BS295 + (1-$AV$62:$AV$66)*BO295), N($AK$62:$AK$66&gt;$AI295)),
SUMPRODUCT(INDEX($AL$47:$AN$56,,$AE295), INDEX($AO$47:$AU$56,,$AD295), 1 / ($AW$47:$AW$56*BS295 + (1-$AW$47:$AW$56)*BO295), N($AK$47:$AK$56&gt;$AI295))
) / 1000</f>
        <v>0</v>
      </c>
      <c r="BU295" s="253" cm="1">
        <f t="array" ref="BU295">$BC295 * IF($AD295&lt;=2,
SUMPRODUCT(INDEX($AL$23:$AN$61,,$AE295), INDEX($AO$23:$AU$61,,$AD295), 1 / ($AV$23:$AV$61*BS295), N($AK$23:$AK$61&gt;$AI295)),
SUMPRODUCT(INDEX($AL$23:$AN$46,,$AE295), INDEX($AO$23:$AU$46,,$AD295), 1 / ($AW$23:$AW$46*BS295), N($AK$23:$AK$46&gt;$AI295))
) / 1000</f>
        <v>0</v>
      </c>
      <c r="BV295" s="237">
        <f t="shared" si="438"/>
        <v>0</v>
      </c>
      <c r="BW295" s="210"/>
      <c r="BX295" s="237">
        <f t="shared" si="439"/>
        <v>0</v>
      </c>
      <c r="BY295" s="236">
        <v>35</v>
      </c>
      <c r="BZ295" s="237">
        <f t="shared" si="440"/>
        <v>48</v>
      </c>
      <c r="CA295" s="253">
        <f t="shared" si="441"/>
        <v>3.0748170731707316</v>
      </c>
      <c r="CB295" s="253" cm="1">
        <f t="array" ref="CB295">$BC295 * SUMPRODUCT(INDEX($AL$77:$AN$82,,$AE295),INDEX($AO$77:$AU$82,,$AD295), N($AK$77:$AK$82&gt;$AI295)) / CA295 / 1000</f>
        <v>0</v>
      </c>
      <c r="CC295" s="250">
        <f t="shared" si="257"/>
        <v>30</v>
      </c>
      <c r="CD295" s="237">
        <f t="shared" si="442"/>
        <v>43</v>
      </c>
      <c r="CE295" s="253">
        <f t="shared" si="443"/>
        <v>3.5018750000000001</v>
      </c>
      <c r="CF295" s="253" cm="1">
        <f t="array" ref="CF295">$BC295 * IF($AD295&lt;=2,
SUMPRODUCT(INDEX($AL$72:$AN$76,,$AE295), INDEX($AO$72:$AU$76,,$AD295), 1 / ($AV$72:$AV$76*CE295 + (1-$AV$72:$AV$76)*CA295), N($AK$72:$AK$76&gt;$AI295)),
SUMPRODUCT(INDEX($AL$67:$AN$76,,$AE295), INDEX($AO$67:$AU$76,,$AD295), 1 / ($AW$67:$AW$76*CE295 + (1-$AW$67:$AW$76)*CA295), N($AK$67:$AK$76&gt;$AI295))
) / 1000</f>
        <v>0</v>
      </c>
      <c r="CG295" s="250">
        <f t="shared" si="260"/>
        <v>25</v>
      </c>
      <c r="CH295" s="237">
        <f t="shared" si="444"/>
        <v>38</v>
      </c>
      <c r="CI295" s="253">
        <f t="shared" si="445"/>
        <v>4.0666935483870965</v>
      </c>
      <c r="CJ295" s="253" cm="1">
        <f t="array" ref="CJ295">$BC295 * IF($AD295&lt;=2,
SUMPRODUCT(INDEX($AL$67:$AN$71,,$AE295), INDEX($AO$67:$AU$71,,$AD295), 1 / ($AV$67:$AV$71*CI295 + (1-$AV$67:$AV$71)*CE295), N($AK$67:$AK$71&gt;$AI295)),
SUMPRODUCT(INDEX($AL$57:$AN$66,,$AE295), INDEX($AO$57:$AU$66,,$AD295), 1 / ($AW$57:$AW$66*CI295 + (1-$AW$57:$AW$66)*CE295), N($AK$57:$AK$66&gt;$AI295))
) / 1000</f>
        <v>0</v>
      </c>
      <c r="CK295" s="250">
        <f t="shared" si="263"/>
        <v>20</v>
      </c>
      <c r="CL295" s="237">
        <f t="shared" si="446"/>
        <v>33</v>
      </c>
      <c r="CM295" s="253">
        <f t="shared" si="447"/>
        <v>4.8487499999999999</v>
      </c>
      <c r="CN295" s="253" cm="1">
        <f t="array" ref="CN295">$BC295 * IF($AD295&lt;=2,
SUMPRODUCT(INDEX($AL$62:$AN$66,,$AE295), INDEX($AO$62:$AU$66,,$AD295), 1 / ($AV$62:$AV$66*CM295 + (1-$AV$62:$AV$66)*CI295), N($AK$62:$AK$66&gt;$AI295)),
SUMPRODUCT(INDEX($AL$47:$AN$56,,$AE295), INDEX($AO$47:$AU$56,,$AD295), 1 / ($AW$47:$AW$56*CM295 + (1-$AW$47:$AW$56)*CI295), N($AK$47:$AK$56&gt;$AI295))
) / 1000</f>
        <v>0</v>
      </c>
      <c r="CO295" s="253" cm="1">
        <f t="array" ref="CO295">$BC295 * IF($AD295&lt;=2,
SUMPRODUCT(INDEX($AL$23:$AN$61,,$AE295), INDEX($AO$23:$AU$61,,$AD295), 1 / ($AV$23:$AV$61*CM295), N($AK$23:$AK$61&gt;$AI295)),
SUMPRODUCT(INDEX($AL$23:$AN$46,,$AE295), INDEX($AO$23:$AU$46,,$AD295), 1 / ($AW$23:$AW$46*CM295), N($AK$23:$AK$46&gt;$AI295))
) / 1000</f>
        <v>0</v>
      </c>
      <c r="CP295" s="237">
        <f t="shared" si="448"/>
        <v>0</v>
      </c>
      <c r="CQ295" s="210"/>
    </row>
    <row r="296" spans="1:95" s="76" customFormat="1" ht="14.25" customHeight="1" x14ac:dyDescent="0.2">
      <c r="A296" s="238" t="b">
        <f t="shared" si="227"/>
        <v>0</v>
      </c>
      <c r="B296" s="239">
        <v>274</v>
      </c>
      <c r="C296" s="258"/>
      <c r="D296" s="258"/>
      <c r="E296" s="240"/>
      <c r="F296" s="241" t="str">
        <f>IF(ISBLANK(E296), "", VLOOKUP(E296, Z!$A$2:$C$4127, 3, FALSE))</f>
        <v/>
      </c>
      <c r="G296" s="242"/>
      <c r="H296" s="242"/>
      <c r="I296" s="243"/>
      <c r="J296" s="244"/>
      <c r="K296" s="259"/>
      <c r="L296" s="260"/>
      <c r="M296" s="247" t="str" cm="1">
        <f t="array" ref="M296">IF($K296&gt;0, INDEX(Clean,1+AG296,$C$1), "")</f>
        <v/>
      </c>
      <c r="N296" s="245"/>
      <c r="O296" s="245"/>
      <c r="P296" s="246"/>
      <c r="Q296" s="248">
        <f t="shared" si="425"/>
        <v>0</v>
      </c>
      <c r="R296" s="247" t="str" cm="1">
        <f t="array" ref="R296">IF($K296&gt;0, INDEX(Clean,1+AH296,$C$1), "")</f>
        <v/>
      </c>
      <c r="S296" s="245"/>
      <c r="T296" s="245"/>
      <c r="U296" s="246"/>
      <c r="V296" s="248">
        <f t="shared" si="426"/>
        <v>0</v>
      </c>
      <c r="W296" s="261"/>
      <c r="X296" s="258"/>
      <c r="Y296" s="240"/>
      <c r="Z296" s="241" t="str">
        <f>IF(ISBLANK(Y296), "", VLOOKUP(Y296, Z!$A$2:$C$4127, 3, FALSE))</f>
        <v/>
      </c>
      <c r="AA296" s="262"/>
      <c r="AB296" s="249">
        <f t="shared" si="452"/>
        <v>0</v>
      </c>
      <c r="AC296" s="210"/>
      <c r="AD296" s="236">
        <f t="shared" si="449"/>
        <v>1</v>
      </c>
      <c r="AE296" s="236">
        <f t="shared" si="450"/>
        <v>1</v>
      </c>
      <c r="AF296" s="236">
        <f t="shared" si="451"/>
        <v>0</v>
      </c>
      <c r="AG296" s="236">
        <v>1</v>
      </c>
      <c r="AH296" s="236">
        <v>0</v>
      </c>
      <c r="AI296" s="236">
        <f t="shared" si="427"/>
        <v>-100</v>
      </c>
      <c r="AJ296" s="210"/>
      <c r="AK296" s="254"/>
      <c r="AL296" s="254"/>
      <c r="AM296" s="255"/>
      <c r="AN296" s="255"/>
      <c r="AO296" s="255"/>
      <c r="AP296" s="255"/>
      <c r="AQ296" s="255"/>
      <c r="AR296" s="255"/>
      <c r="AS296" s="255"/>
      <c r="AT296" s="255"/>
      <c r="AU296" s="255"/>
      <c r="AV296" s="255"/>
      <c r="AW296" s="255"/>
      <c r="AX296" s="210"/>
      <c r="AY296" s="236" cm="1">
        <f t="array" ref="AY296">INDEX(Use, $AD296, 4)</f>
        <v>7</v>
      </c>
      <c r="AZ296" s="236">
        <f t="shared" si="428"/>
        <v>32</v>
      </c>
      <c r="BA296" s="236">
        <f t="shared" si="239"/>
        <v>13</v>
      </c>
      <c r="BB296" s="236">
        <f t="shared" si="240"/>
        <v>0</v>
      </c>
      <c r="BC296" s="252" cm="1">
        <f t="array" ref="BC296">K296/IF($L296&gt;0, INDEX($AO$23:$AU$77, $L296+20, $AD296), 1)</f>
        <v>0</v>
      </c>
      <c r="BD296" s="237">
        <f t="shared" si="429"/>
        <v>0</v>
      </c>
      <c r="BE296" s="236">
        <v>35</v>
      </c>
      <c r="BF296" s="237">
        <f t="shared" si="430"/>
        <v>52.55</v>
      </c>
      <c r="BG296" s="253">
        <f t="shared" si="431"/>
        <v>2.7676728869374316</v>
      </c>
      <c r="BH296" s="253" cm="1">
        <f t="array" ref="BH296">$BC296 * SUMPRODUCT(INDEX($AL$77:$AN$82,,$AE296),INDEX($AO$77:$AU$82,,$AD296), N($AK$77:$AK$82&gt;$AI296)) / BG296 / 1000</f>
        <v>0</v>
      </c>
      <c r="BI296" s="250">
        <f t="shared" si="244"/>
        <v>30</v>
      </c>
      <c r="BJ296" s="237">
        <f t="shared" si="432"/>
        <v>46.033333333333331</v>
      </c>
      <c r="BK296" s="253">
        <f t="shared" si="433"/>
        <v>3.2297395388556791</v>
      </c>
      <c r="BL296" s="253" cm="1">
        <f t="array" ref="BL296">$BC296 * IF($AD296&lt;=2,
SUMPRODUCT(INDEX($AL$72:$AN$76,,$AE296), INDEX($AO$72:$AU$76,,$AD296), 1 / ($AV$72:$AV$76*BK296 + (1-$AV$72:$AV$76)*BG296), N($AK$72:$AK$76&gt;$AI296)),
SUMPRODUCT(INDEX($AL$67:$AN$76,,$AE296), INDEX($AO$67:$AU$76,,$AD296), 1 / ($AW$67:$AW$76*BK296 + (1-$AW$67:$AW$76)*BG296), N($AK$67:$AK$76&gt;$AI296))
) / 1000</f>
        <v>0</v>
      </c>
      <c r="BM296" s="250">
        <f t="shared" si="247"/>
        <v>25</v>
      </c>
      <c r="BN296" s="237">
        <f t="shared" si="434"/>
        <v>39.516666666666666</v>
      </c>
      <c r="BO296" s="253">
        <f t="shared" si="435"/>
        <v>3.877011788826243</v>
      </c>
      <c r="BP296" s="253" cm="1">
        <f t="array" ref="BP296">$BC296 * IF($AD296&lt;=2,
SUMPRODUCT(INDEX($AL$67:$AN$71,,$AE296), INDEX($AO$67:$AU$71,,$AD296), 1 / ($AV$67:$AV$71*BO296 + (1-$AV$67:$AV$71)*BK296), N($AK$67:$AK$71&gt;$AI296)),
SUMPRODUCT(INDEX($AL$57:$AN$66,,$AE296), INDEX($AO$57:$AU$66,,$AD296), 1 / ($AW$57:$AW$66*BO296 + (1-$AW$57:$AW$66)*BK296), N($AK$57:$AK$66&gt;$AI296))
) / 1000</f>
        <v>0</v>
      </c>
      <c r="BQ296" s="250">
        <f t="shared" si="250"/>
        <v>20</v>
      </c>
      <c r="BR296" s="237">
        <f t="shared" si="436"/>
        <v>33</v>
      </c>
      <c r="BS296" s="253">
        <f t="shared" si="437"/>
        <v>4.8487499999999999</v>
      </c>
      <c r="BT296" s="253" cm="1">
        <f t="array" ref="BT296">$BC296 * IF($AD296&lt;=2,
SUMPRODUCT(INDEX($AL$62:$AN$66,,$AE296), INDEX($AO$62:$AU$66,,$AD296), 1 / ($AV$62:$AV$66*BS296 + (1-$AV$62:$AV$66)*BO296), N($AK$62:$AK$66&gt;$AI296)),
SUMPRODUCT(INDEX($AL$47:$AN$56,,$AE296), INDEX($AO$47:$AU$56,,$AD296), 1 / ($AW$47:$AW$56*BS296 + (1-$AW$47:$AW$56)*BO296), N($AK$47:$AK$56&gt;$AI296))
) / 1000</f>
        <v>0</v>
      </c>
      <c r="BU296" s="253" cm="1">
        <f t="array" ref="BU296">$BC296 * IF($AD296&lt;=2,
SUMPRODUCT(INDEX($AL$23:$AN$61,,$AE296), INDEX($AO$23:$AU$61,,$AD296), 1 / ($AV$23:$AV$61*BS296), N($AK$23:$AK$61&gt;$AI296)),
SUMPRODUCT(INDEX($AL$23:$AN$46,,$AE296), INDEX($AO$23:$AU$46,,$AD296), 1 / ($AW$23:$AW$46*BS296), N($AK$23:$AK$46&gt;$AI296))
) / 1000</f>
        <v>0</v>
      </c>
      <c r="BV296" s="237">
        <f t="shared" si="438"/>
        <v>0</v>
      </c>
      <c r="BW296" s="210"/>
      <c r="BX296" s="237">
        <f t="shared" si="439"/>
        <v>0</v>
      </c>
      <c r="BY296" s="236">
        <v>35</v>
      </c>
      <c r="BZ296" s="237">
        <f t="shared" si="440"/>
        <v>48</v>
      </c>
      <c r="CA296" s="253">
        <f t="shared" si="441"/>
        <v>3.0748170731707316</v>
      </c>
      <c r="CB296" s="253" cm="1">
        <f t="array" ref="CB296">$BC296 * SUMPRODUCT(INDEX($AL$77:$AN$82,,$AE296),INDEX($AO$77:$AU$82,,$AD296), N($AK$77:$AK$82&gt;$AI296)) / CA296 / 1000</f>
        <v>0</v>
      </c>
      <c r="CC296" s="250">
        <f t="shared" si="257"/>
        <v>30</v>
      </c>
      <c r="CD296" s="237">
        <f t="shared" si="442"/>
        <v>43</v>
      </c>
      <c r="CE296" s="253">
        <f t="shared" si="443"/>
        <v>3.5018750000000001</v>
      </c>
      <c r="CF296" s="253" cm="1">
        <f t="array" ref="CF296">$BC296 * IF($AD296&lt;=2,
SUMPRODUCT(INDEX($AL$72:$AN$76,,$AE296), INDEX($AO$72:$AU$76,,$AD296), 1 / ($AV$72:$AV$76*CE296 + (1-$AV$72:$AV$76)*CA296), N($AK$72:$AK$76&gt;$AI296)),
SUMPRODUCT(INDEX($AL$67:$AN$76,,$AE296), INDEX($AO$67:$AU$76,,$AD296), 1 / ($AW$67:$AW$76*CE296 + (1-$AW$67:$AW$76)*CA296), N($AK$67:$AK$76&gt;$AI296))
) / 1000</f>
        <v>0</v>
      </c>
      <c r="CG296" s="250">
        <f t="shared" si="260"/>
        <v>25</v>
      </c>
      <c r="CH296" s="237">
        <f t="shared" si="444"/>
        <v>38</v>
      </c>
      <c r="CI296" s="253">
        <f t="shared" si="445"/>
        <v>4.0666935483870965</v>
      </c>
      <c r="CJ296" s="253" cm="1">
        <f t="array" ref="CJ296">$BC296 * IF($AD296&lt;=2,
SUMPRODUCT(INDEX($AL$67:$AN$71,,$AE296), INDEX($AO$67:$AU$71,,$AD296), 1 / ($AV$67:$AV$71*CI296 + (1-$AV$67:$AV$71)*CE296), N($AK$67:$AK$71&gt;$AI296)),
SUMPRODUCT(INDEX($AL$57:$AN$66,,$AE296), INDEX($AO$57:$AU$66,,$AD296), 1 / ($AW$57:$AW$66*CI296 + (1-$AW$57:$AW$66)*CE296), N($AK$57:$AK$66&gt;$AI296))
) / 1000</f>
        <v>0</v>
      </c>
      <c r="CK296" s="250">
        <f t="shared" si="263"/>
        <v>20</v>
      </c>
      <c r="CL296" s="237">
        <f t="shared" si="446"/>
        <v>33</v>
      </c>
      <c r="CM296" s="253">
        <f t="shared" si="447"/>
        <v>4.8487499999999999</v>
      </c>
      <c r="CN296" s="253" cm="1">
        <f t="array" ref="CN296">$BC296 * IF($AD296&lt;=2,
SUMPRODUCT(INDEX($AL$62:$AN$66,,$AE296), INDEX($AO$62:$AU$66,,$AD296), 1 / ($AV$62:$AV$66*CM296 + (1-$AV$62:$AV$66)*CI296), N($AK$62:$AK$66&gt;$AI296)),
SUMPRODUCT(INDEX($AL$47:$AN$56,,$AE296), INDEX($AO$47:$AU$56,,$AD296), 1 / ($AW$47:$AW$56*CM296 + (1-$AW$47:$AW$56)*CI296), N($AK$47:$AK$56&gt;$AI296))
) / 1000</f>
        <v>0</v>
      </c>
      <c r="CO296" s="253" cm="1">
        <f t="array" ref="CO296">$BC296 * IF($AD296&lt;=2,
SUMPRODUCT(INDEX($AL$23:$AN$61,,$AE296), INDEX($AO$23:$AU$61,,$AD296), 1 / ($AV$23:$AV$61*CM296), N($AK$23:$AK$61&gt;$AI296)),
SUMPRODUCT(INDEX($AL$23:$AN$46,,$AE296), INDEX($AO$23:$AU$46,,$AD296), 1 / ($AW$23:$AW$46*CM296), N($AK$23:$AK$46&gt;$AI296))
) / 1000</f>
        <v>0</v>
      </c>
      <c r="CP296" s="237">
        <f t="shared" si="448"/>
        <v>0</v>
      </c>
      <c r="CQ296" s="210"/>
    </row>
    <row r="297" spans="1:95" s="76" customFormat="1" ht="14.25" customHeight="1" x14ac:dyDescent="0.2">
      <c r="A297" s="238" t="b">
        <f t="shared" si="227"/>
        <v>0</v>
      </c>
      <c r="B297" s="239">
        <v>275</v>
      </c>
      <c r="C297" s="258"/>
      <c r="D297" s="258"/>
      <c r="E297" s="240"/>
      <c r="F297" s="241" t="str">
        <f>IF(ISBLANK(E297), "", VLOOKUP(E297, Z!$A$2:$C$4127, 3, FALSE))</f>
        <v/>
      </c>
      <c r="G297" s="242"/>
      <c r="H297" s="242"/>
      <c r="I297" s="243"/>
      <c r="J297" s="244"/>
      <c r="K297" s="259"/>
      <c r="L297" s="260"/>
      <c r="M297" s="247" t="str" cm="1">
        <f t="array" ref="M297">IF($K297&gt;0, INDEX(Clean,1+AG297,$C$1), "")</f>
        <v/>
      </c>
      <c r="N297" s="245"/>
      <c r="O297" s="245"/>
      <c r="P297" s="246"/>
      <c r="Q297" s="248">
        <f t="shared" si="425"/>
        <v>0</v>
      </c>
      <c r="R297" s="247" t="str" cm="1">
        <f t="array" ref="R297">IF($K297&gt;0, INDEX(Clean,1+AH297,$C$1), "")</f>
        <v/>
      </c>
      <c r="S297" s="245"/>
      <c r="T297" s="245"/>
      <c r="U297" s="246"/>
      <c r="V297" s="248">
        <f t="shared" si="426"/>
        <v>0</v>
      </c>
      <c r="W297" s="261"/>
      <c r="X297" s="258"/>
      <c r="Y297" s="240"/>
      <c r="Z297" s="241" t="str">
        <f>IF(ISBLANK(Y297), "", VLOOKUP(Y297, Z!$A$2:$C$4127, 3, FALSE))</f>
        <v/>
      </c>
      <c r="AA297" s="262"/>
      <c r="AB297" s="249">
        <f t="shared" si="452"/>
        <v>0</v>
      </c>
      <c r="AC297" s="210"/>
      <c r="AD297" s="236">
        <f t="shared" si="449"/>
        <v>1</v>
      </c>
      <c r="AE297" s="236">
        <f t="shared" si="450"/>
        <v>1</v>
      </c>
      <c r="AF297" s="236">
        <f t="shared" si="451"/>
        <v>0</v>
      </c>
      <c r="AG297" s="236">
        <v>1</v>
      </c>
      <c r="AH297" s="236">
        <v>0</v>
      </c>
      <c r="AI297" s="236">
        <f t="shared" si="427"/>
        <v>-100</v>
      </c>
      <c r="AJ297" s="210"/>
      <c r="AK297" s="254"/>
      <c r="AL297" s="254"/>
      <c r="AM297" s="255"/>
      <c r="AN297" s="255"/>
      <c r="AO297" s="255"/>
      <c r="AP297" s="255"/>
      <c r="AQ297" s="255"/>
      <c r="AR297" s="255"/>
      <c r="AS297" s="255"/>
      <c r="AT297" s="255"/>
      <c r="AU297" s="255"/>
      <c r="AV297" s="255"/>
      <c r="AW297" s="255"/>
      <c r="AX297" s="210"/>
      <c r="AY297" s="236" cm="1">
        <f t="array" ref="AY297">INDEX(Use, $AD297, 4)</f>
        <v>7</v>
      </c>
      <c r="AZ297" s="236">
        <f t="shared" si="428"/>
        <v>32</v>
      </c>
      <c r="BA297" s="236">
        <f t="shared" si="239"/>
        <v>13</v>
      </c>
      <c r="BB297" s="236">
        <f t="shared" si="240"/>
        <v>0</v>
      </c>
      <c r="BC297" s="252" cm="1">
        <f t="array" ref="BC297">K297/IF($L297&gt;0, INDEX($AO$23:$AU$77, $L297+20, $AD297), 1)</f>
        <v>0</v>
      </c>
      <c r="BD297" s="237">
        <f t="shared" si="429"/>
        <v>0</v>
      </c>
      <c r="BE297" s="236">
        <v>35</v>
      </c>
      <c r="BF297" s="237">
        <f t="shared" si="430"/>
        <v>52.55</v>
      </c>
      <c r="BG297" s="253">
        <f t="shared" si="431"/>
        <v>2.7676728869374316</v>
      </c>
      <c r="BH297" s="253" cm="1">
        <f t="array" ref="BH297">$BC297 * SUMPRODUCT(INDEX($AL$77:$AN$82,,$AE297),INDEX($AO$77:$AU$82,,$AD297), N($AK$77:$AK$82&gt;$AI297)) / BG297 / 1000</f>
        <v>0</v>
      </c>
      <c r="BI297" s="250">
        <f t="shared" si="244"/>
        <v>30</v>
      </c>
      <c r="BJ297" s="237">
        <f t="shared" si="432"/>
        <v>46.033333333333331</v>
      </c>
      <c r="BK297" s="253">
        <f t="shared" si="433"/>
        <v>3.2297395388556791</v>
      </c>
      <c r="BL297" s="253" cm="1">
        <f t="array" ref="BL297">$BC297 * IF($AD297&lt;=2,
SUMPRODUCT(INDEX($AL$72:$AN$76,,$AE297), INDEX($AO$72:$AU$76,,$AD297), 1 / ($AV$72:$AV$76*BK297 + (1-$AV$72:$AV$76)*BG297), N($AK$72:$AK$76&gt;$AI297)),
SUMPRODUCT(INDEX($AL$67:$AN$76,,$AE297), INDEX($AO$67:$AU$76,,$AD297), 1 / ($AW$67:$AW$76*BK297 + (1-$AW$67:$AW$76)*BG297), N($AK$67:$AK$76&gt;$AI297))
) / 1000</f>
        <v>0</v>
      </c>
      <c r="BM297" s="250">
        <f t="shared" si="247"/>
        <v>25</v>
      </c>
      <c r="BN297" s="237">
        <f t="shared" si="434"/>
        <v>39.516666666666666</v>
      </c>
      <c r="BO297" s="253">
        <f t="shared" si="435"/>
        <v>3.877011788826243</v>
      </c>
      <c r="BP297" s="253" cm="1">
        <f t="array" ref="BP297">$BC297 * IF($AD297&lt;=2,
SUMPRODUCT(INDEX($AL$67:$AN$71,,$AE297), INDEX($AO$67:$AU$71,,$AD297), 1 / ($AV$67:$AV$71*BO297 + (1-$AV$67:$AV$71)*BK297), N($AK$67:$AK$71&gt;$AI297)),
SUMPRODUCT(INDEX($AL$57:$AN$66,,$AE297), INDEX($AO$57:$AU$66,,$AD297), 1 / ($AW$57:$AW$66*BO297 + (1-$AW$57:$AW$66)*BK297), N($AK$57:$AK$66&gt;$AI297))
) / 1000</f>
        <v>0</v>
      </c>
      <c r="BQ297" s="250">
        <f t="shared" si="250"/>
        <v>20</v>
      </c>
      <c r="BR297" s="237">
        <f t="shared" si="436"/>
        <v>33</v>
      </c>
      <c r="BS297" s="253">
        <f t="shared" si="437"/>
        <v>4.8487499999999999</v>
      </c>
      <c r="BT297" s="253" cm="1">
        <f t="array" ref="BT297">$BC297 * IF($AD297&lt;=2,
SUMPRODUCT(INDEX($AL$62:$AN$66,,$AE297), INDEX($AO$62:$AU$66,,$AD297), 1 / ($AV$62:$AV$66*BS297 + (1-$AV$62:$AV$66)*BO297), N($AK$62:$AK$66&gt;$AI297)),
SUMPRODUCT(INDEX($AL$47:$AN$56,,$AE297), INDEX($AO$47:$AU$56,,$AD297), 1 / ($AW$47:$AW$56*BS297 + (1-$AW$47:$AW$56)*BO297), N($AK$47:$AK$56&gt;$AI297))
) / 1000</f>
        <v>0</v>
      </c>
      <c r="BU297" s="253" cm="1">
        <f t="array" ref="BU297">$BC297 * IF($AD297&lt;=2,
SUMPRODUCT(INDEX($AL$23:$AN$61,,$AE297), INDEX($AO$23:$AU$61,,$AD297), 1 / ($AV$23:$AV$61*BS297), N($AK$23:$AK$61&gt;$AI297)),
SUMPRODUCT(INDEX($AL$23:$AN$46,,$AE297), INDEX($AO$23:$AU$46,,$AD297), 1 / ($AW$23:$AW$46*BS297), N($AK$23:$AK$46&gt;$AI297))
) / 1000</f>
        <v>0</v>
      </c>
      <c r="BV297" s="237">
        <f t="shared" si="438"/>
        <v>0</v>
      </c>
      <c r="BW297" s="210"/>
      <c r="BX297" s="237">
        <f t="shared" si="439"/>
        <v>0</v>
      </c>
      <c r="BY297" s="236">
        <v>35</v>
      </c>
      <c r="BZ297" s="237">
        <f t="shared" si="440"/>
        <v>48</v>
      </c>
      <c r="CA297" s="253">
        <f t="shared" si="441"/>
        <v>3.0748170731707316</v>
      </c>
      <c r="CB297" s="253" cm="1">
        <f t="array" ref="CB297">$BC297 * SUMPRODUCT(INDEX($AL$77:$AN$82,,$AE297),INDEX($AO$77:$AU$82,,$AD297), N($AK$77:$AK$82&gt;$AI297)) / CA297 / 1000</f>
        <v>0</v>
      </c>
      <c r="CC297" s="250">
        <f t="shared" si="257"/>
        <v>30</v>
      </c>
      <c r="CD297" s="237">
        <f t="shared" si="442"/>
        <v>43</v>
      </c>
      <c r="CE297" s="253">
        <f t="shared" si="443"/>
        <v>3.5018750000000001</v>
      </c>
      <c r="CF297" s="253" cm="1">
        <f t="array" ref="CF297">$BC297 * IF($AD297&lt;=2,
SUMPRODUCT(INDEX($AL$72:$AN$76,,$AE297), INDEX($AO$72:$AU$76,,$AD297), 1 / ($AV$72:$AV$76*CE297 + (1-$AV$72:$AV$76)*CA297), N($AK$72:$AK$76&gt;$AI297)),
SUMPRODUCT(INDEX($AL$67:$AN$76,,$AE297), INDEX($AO$67:$AU$76,,$AD297), 1 / ($AW$67:$AW$76*CE297 + (1-$AW$67:$AW$76)*CA297), N($AK$67:$AK$76&gt;$AI297))
) / 1000</f>
        <v>0</v>
      </c>
      <c r="CG297" s="250">
        <f t="shared" si="260"/>
        <v>25</v>
      </c>
      <c r="CH297" s="237">
        <f t="shared" si="444"/>
        <v>38</v>
      </c>
      <c r="CI297" s="253">
        <f t="shared" si="445"/>
        <v>4.0666935483870965</v>
      </c>
      <c r="CJ297" s="253" cm="1">
        <f t="array" ref="CJ297">$BC297 * IF($AD297&lt;=2,
SUMPRODUCT(INDEX($AL$67:$AN$71,,$AE297), INDEX($AO$67:$AU$71,,$AD297), 1 / ($AV$67:$AV$71*CI297 + (1-$AV$67:$AV$71)*CE297), N($AK$67:$AK$71&gt;$AI297)),
SUMPRODUCT(INDEX($AL$57:$AN$66,,$AE297), INDEX($AO$57:$AU$66,,$AD297), 1 / ($AW$57:$AW$66*CI297 + (1-$AW$57:$AW$66)*CE297), N($AK$57:$AK$66&gt;$AI297))
) / 1000</f>
        <v>0</v>
      </c>
      <c r="CK297" s="250">
        <f t="shared" si="263"/>
        <v>20</v>
      </c>
      <c r="CL297" s="237">
        <f t="shared" si="446"/>
        <v>33</v>
      </c>
      <c r="CM297" s="253">
        <f t="shared" si="447"/>
        <v>4.8487499999999999</v>
      </c>
      <c r="CN297" s="253" cm="1">
        <f t="array" ref="CN297">$BC297 * IF($AD297&lt;=2,
SUMPRODUCT(INDEX($AL$62:$AN$66,,$AE297), INDEX($AO$62:$AU$66,,$AD297), 1 / ($AV$62:$AV$66*CM297 + (1-$AV$62:$AV$66)*CI297), N($AK$62:$AK$66&gt;$AI297)),
SUMPRODUCT(INDEX($AL$47:$AN$56,,$AE297), INDEX($AO$47:$AU$56,,$AD297), 1 / ($AW$47:$AW$56*CM297 + (1-$AW$47:$AW$56)*CI297), N($AK$47:$AK$56&gt;$AI297))
) / 1000</f>
        <v>0</v>
      </c>
      <c r="CO297" s="253" cm="1">
        <f t="array" ref="CO297">$BC297 * IF($AD297&lt;=2,
SUMPRODUCT(INDEX($AL$23:$AN$61,,$AE297), INDEX($AO$23:$AU$61,,$AD297), 1 / ($AV$23:$AV$61*CM297), N($AK$23:$AK$61&gt;$AI297)),
SUMPRODUCT(INDEX($AL$23:$AN$46,,$AE297), INDEX($AO$23:$AU$46,,$AD297), 1 / ($AW$23:$AW$46*CM297), N($AK$23:$AK$46&gt;$AI297))
) / 1000</f>
        <v>0</v>
      </c>
      <c r="CP297" s="237">
        <f t="shared" si="448"/>
        <v>0</v>
      </c>
      <c r="CQ297" s="210"/>
    </row>
    <row r="298" spans="1:95" s="76" customFormat="1" ht="14.25" customHeight="1" x14ac:dyDescent="0.2">
      <c r="A298" s="238" t="b">
        <f t="shared" si="227"/>
        <v>0</v>
      </c>
      <c r="B298" s="239">
        <v>276</v>
      </c>
      <c r="C298" s="258"/>
      <c r="D298" s="258"/>
      <c r="E298" s="240"/>
      <c r="F298" s="241" t="str">
        <f>IF(ISBLANK(E298), "", VLOOKUP(E298, Z!$A$2:$C$4127, 3, FALSE))</f>
        <v/>
      </c>
      <c r="G298" s="242"/>
      <c r="H298" s="242"/>
      <c r="I298" s="243"/>
      <c r="J298" s="244"/>
      <c r="K298" s="259"/>
      <c r="L298" s="260"/>
      <c r="M298" s="247" t="str" cm="1">
        <f t="array" ref="M298">IF($K298&gt;0, INDEX(Clean,1+AG298,$C$1), "")</f>
        <v/>
      </c>
      <c r="N298" s="245"/>
      <c r="O298" s="245"/>
      <c r="P298" s="246"/>
      <c r="Q298" s="248">
        <f t="shared" si="425"/>
        <v>0</v>
      </c>
      <c r="R298" s="247" t="str" cm="1">
        <f t="array" ref="R298">IF($K298&gt;0, INDEX(Clean,1+AH298,$C$1), "")</f>
        <v/>
      </c>
      <c r="S298" s="245"/>
      <c r="T298" s="245"/>
      <c r="U298" s="246"/>
      <c r="V298" s="248">
        <f t="shared" si="426"/>
        <v>0</v>
      </c>
      <c r="W298" s="261"/>
      <c r="X298" s="258"/>
      <c r="Y298" s="240"/>
      <c r="Z298" s="241" t="str">
        <f>IF(ISBLANK(Y298), "", VLOOKUP(Y298, Z!$A$2:$C$4127, 3, FALSE))</f>
        <v/>
      </c>
      <c r="AA298" s="262"/>
      <c r="AB298" s="249">
        <f t="shared" si="452"/>
        <v>0</v>
      </c>
      <c r="AC298" s="210"/>
      <c r="AD298" s="236">
        <f t="shared" si="449"/>
        <v>1</v>
      </c>
      <c r="AE298" s="236">
        <f t="shared" si="450"/>
        <v>1</v>
      </c>
      <c r="AF298" s="236">
        <f t="shared" si="451"/>
        <v>0</v>
      </c>
      <c r="AG298" s="236">
        <v>1</v>
      </c>
      <c r="AH298" s="236">
        <v>0</v>
      </c>
      <c r="AI298" s="236">
        <f t="shared" si="427"/>
        <v>-100</v>
      </c>
      <c r="AJ298" s="210"/>
      <c r="AK298" s="254"/>
      <c r="AL298" s="254"/>
      <c r="AM298" s="255"/>
      <c r="AN298" s="255"/>
      <c r="AO298" s="255"/>
      <c r="AP298" s="255"/>
      <c r="AQ298" s="255"/>
      <c r="AR298" s="255"/>
      <c r="AS298" s="255"/>
      <c r="AT298" s="255"/>
      <c r="AU298" s="255"/>
      <c r="AV298" s="255"/>
      <c r="AW298" s="255"/>
      <c r="AX298" s="210"/>
      <c r="AY298" s="236" cm="1">
        <f t="array" ref="AY298">INDEX(Use, $AD298, 4)</f>
        <v>7</v>
      </c>
      <c r="AZ298" s="236">
        <f t="shared" si="428"/>
        <v>32</v>
      </c>
      <c r="BA298" s="236">
        <f t="shared" si="239"/>
        <v>13</v>
      </c>
      <c r="BB298" s="236">
        <f t="shared" si="240"/>
        <v>0</v>
      </c>
      <c r="BC298" s="252" cm="1">
        <f t="array" ref="BC298">K298/IF($L298&gt;0, INDEX($AO$23:$AU$77, $L298+20, $AD298), 1)</f>
        <v>0</v>
      </c>
      <c r="BD298" s="237">
        <f t="shared" si="429"/>
        <v>0</v>
      </c>
      <c r="BE298" s="236">
        <v>35</v>
      </c>
      <c r="BF298" s="237">
        <f t="shared" si="430"/>
        <v>52.55</v>
      </c>
      <c r="BG298" s="253">
        <f t="shared" si="431"/>
        <v>2.7676728869374316</v>
      </c>
      <c r="BH298" s="253" cm="1">
        <f t="array" ref="BH298">$BC298 * SUMPRODUCT(INDEX($AL$77:$AN$82,,$AE298),INDEX($AO$77:$AU$82,,$AD298), N($AK$77:$AK$82&gt;$AI298)) / BG298 / 1000</f>
        <v>0</v>
      </c>
      <c r="BI298" s="250">
        <f t="shared" si="244"/>
        <v>30</v>
      </c>
      <c r="BJ298" s="237">
        <f t="shared" si="432"/>
        <v>46.033333333333331</v>
      </c>
      <c r="BK298" s="253">
        <f t="shared" si="433"/>
        <v>3.2297395388556791</v>
      </c>
      <c r="BL298" s="253" cm="1">
        <f t="array" ref="BL298">$BC298 * IF($AD298&lt;=2,
SUMPRODUCT(INDEX($AL$72:$AN$76,,$AE298), INDEX($AO$72:$AU$76,,$AD298), 1 / ($AV$72:$AV$76*BK298 + (1-$AV$72:$AV$76)*BG298), N($AK$72:$AK$76&gt;$AI298)),
SUMPRODUCT(INDEX($AL$67:$AN$76,,$AE298), INDEX($AO$67:$AU$76,,$AD298), 1 / ($AW$67:$AW$76*BK298 + (1-$AW$67:$AW$76)*BG298), N($AK$67:$AK$76&gt;$AI298))
) / 1000</f>
        <v>0</v>
      </c>
      <c r="BM298" s="250">
        <f t="shared" si="247"/>
        <v>25</v>
      </c>
      <c r="BN298" s="237">
        <f t="shared" si="434"/>
        <v>39.516666666666666</v>
      </c>
      <c r="BO298" s="253">
        <f t="shared" si="435"/>
        <v>3.877011788826243</v>
      </c>
      <c r="BP298" s="253" cm="1">
        <f t="array" ref="BP298">$BC298 * IF($AD298&lt;=2,
SUMPRODUCT(INDEX($AL$67:$AN$71,,$AE298), INDEX($AO$67:$AU$71,,$AD298), 1 / ($AV$67:$AV$71*BO298 + (1-$AV$67:$AV$71)*BK298), N($AK$67:$AK$71&gt;$AI298)),
SUMPRODUCT(INDEX($AL$57:$AN$66,,$AE298), INDEX($AO$57:$AU$66,,$AD298), 1 / ($AW$57:$AW$66*BO298 + (1-$AW$57:$AW$66)*BK298), N($AK$57:$AK$66&gt;$AI298))
) / 1000</f>
        <v>0</v>
      </c>
      <c r="BQ298" s="250">
        <f t="shared" si="250"/>
        <v>20</v>
      </c>
      <c r="BR298" s="237">
        <f t="shared" si="436"/>
        <v>33</v>
      </c>
      <c r="BS298" s="253">
        <f t="shared" si="437"/>
        <v>4.8487499999999999</v>
      </c>
      <c r="BT298" s="253" cm="1">
        <f t="array" ref="BT298">$BC298 * IF($AD298&lt;=2,
SUMPRODUCT(INDEX($AL$62:$AN$66,,$AE298), INDEX($AO$62:$AU$66,,$AD298), 1 / ($AV$62:$AV$66*BS298 + (1-$AV$62:$AV$66)*BO298), N($AK$62:$AK$66&gt;$AI298)),
SUMPRODUCT(INDEX($AL$47:$AN$56,,$AE298), INDEX($AO$47:$AU$56,,$AD298), 1 / ($AW$47:$AW$56*BS298 + (1-$AW$47:$AW$56)*BO298), N($AK$47:$AK$56&gt;$AI298))
) / 1000</f>
        <v>0</v>
      </c>
      <c r="BU298" s="253" cm="1">
        <f t="array" ref="BU298">$BC298 * IF($AD298&lt;=2,
SUMPRODUCT(INDEX($AL$23:$AN$61,,$AE298), INDEX($AO$23:$AU$61,,$AD298), 1 / ($AV$23:$AV$61*BS298), N($AK$23:$AK$61&gt;$AI298)),
SUMPRODUCT(INDEX($AL$23:$AN$46,,$AE298), INDEX($AO$23:$AU$46,,$AD298), 1 / ($AW$23:$AW$46*BS298), N($AK$23:$AK$46&gt;$AI298))
) / 1000</f>
        <v>0</v>
      </c>
      <c r="BV298" s="237">
        <f t="shared" si="438"/>
        <v>0</v>
      </c>
      <c r="BW298" s="210"/>
      <c r="BX298" s="237">
        <f t="shared" si="439"/>
        <v>0</v>
      </c>
      <c r="BY298" s="236">
        <v>35</v>
      </c>
      <c r="BZ298" s="237">
        <f t="shared" si="440"/>
        <v>48</v>
      </c>
      <c r="CA298" s="253">
        <f t="shared" si="441"/>
        <v>3.0748170731707316</v>
      </c>
      <c r="CB298" s="253" cm="1">
        <f t="array" ref="CB298">$BC298 * SUMPRODUCT(INDEX($AL$77:$AN$82,,$AE298),INDEX($AO$77:$AU$82,,$AD298), N($AK$77:$AK$82&gt;$AI298)) / CA298 / 1000</f>
        <v>0</v>
      </c>
      <c r="CC298" s="250">
        <f t="shared" si="257"/>
        <v>30</v>
      </c>
      <c r="CD298" s="237">
        <f t="shared" si="442"/>
        <v>43</v>
      </c>
      <c r="CE298" s="253">
        <f t="shared" si="443"/>
        <v>3.5018750000000001</v>
      </c>
      <c r="CF298" s="253" cm="1">
        <f t="array" ref="CF298">$BC298 * IF($AD298&lt;=2,
SUMPRODUCT(INDEX($AL$72:$AN$76,,$AE298), INDEX($AO$72:$AU$76,,$AD298), 1 / ($AV$72:$AV$76*CE298 + (1-$AV$72:$AV$76)*CA298), N($AK$72:$AK$76&gt;$AI298)),
SUMPRODUCT(INDEX($AL$67:$AN$76,,$AE298), INDEX($AO$67:$AU$76,,$AD298), 1 / ($AW$67:$AW$76*CE298 + (1-$AW$67:$AW$76)*CA298), N($AK$67:$AK$76&gt;$AI298))
) / 1000</f>
        <v>0</v>
      </c>
      <c r="CG298" s="250">
        <f t="shared" si="260"/>
        <v>25</v>
      </c>
      <c r="CH298" s="237">
        <f t="shared" si="444"/>
        <v>38</v>
      </c>
      <c r="CI298" s="253">
        <f t="shared" si="445"/>
        <v>4.0666935483870965</v>
      </c>
      <c r="CJ298" s="253" cm="1">
        <f t="array" ref="CJ298">$BC298 * IF($AD298&lt;=2,
SUMPRODUCT(INDEX($AL$67:$AN$71,,$AE298), INDEX($AO$67:$AU$71,,$AD298), 1 / ($AV$67:$AV$71*CI298 + (1-$AV$67:$AV$71)*CE298), N($AK$67:$AK$71&gt;$AI298)),
SUMPRODUCT(INDEX($AL$57:$AN$66,,$AE298), INDEX($AO$57:$AU$66,,$AD298), 1 / ($AW$57:$AW$66*CI298 + (1-$AW$57:$AW$66)*CE298), N($AK$57:$AK$66&gt;$AI298))
) / 1000</f>
        <v>0</v>
      </c>
      <c r="CK298" s="250">
        <f t="shared" si="263"/>
        <v>20</v>
      </c>
      <c r="CL298" s="237">
        <f t="shared" si="446"/>
        <v>33</v>
      </c>
      <c r="CM298" s="253">
        <f t="shared" si="447"/>
        <v>4.8487499999999999</v>
      </c>
      <c r="CN298" s="253" cm="1">
        <f t="array" ref="CN298">$BC298 * IF($AD298&lt;=2,
SUMPRODUCT(INDEX($AL$62:$AN$66,,$AE298), INDEX($AO$62:$AU$66,,$AD298), 1 / ($AV$62:$AV$66*CM298 + (1-$AV$62:$AV$66)*CI298), N($AK$62:$AK$66&gt;$AI298)),
SUMPRODUCT(INDEX($AL$47:$AN$56,,$AE298), INDEX($AO$47:$AU$56,,$AD298), 1 / ($AW$47:$AW$56*CM298 + (1-$AW$47:$AW$56)*CI298), N($AK$47:$AK$56&gt;$AI298))
) / 1000</f>
        <v>0</v>
      </c>
      <c r="CO298" s="253" cm="1">
        <f t="array" ref="CO298">$BC298 * IF($AD298&lt;=2,
SUMPRODUCT(INDEX($AL$23:$AN$61,,$AE298), INDEX($AO$23:$AU$61,,$AD298), 1 / ($AV$23:$AV$61*CM298), N($AK$23:$AK$61&gt;$AI298)),
SUMPRODUCT(INDEX($AL$23:$AN$46,,$AE298), INDEX($AO$23:$AU$46,,$AD298), 1 / ($AW$23:$AW$46*CM298), N($AK$23:$AK$46&gt;$AI298))
) / 1000</f>
        <v>0</v>
      </c>
      <c r="CP298" s="237">
        <f t="shared" si="448"/>
        <v>0</v>
      </c>
      <c r="CQ298" s="210"/>
    </row>
    <row r="299" spans="1:95" s="76" customFormat="1" ht="14.25" customHeight="1" x14ac:dyDescent="0.2">
      <c r="A299" s="238" t="b">
        <f t="shared" si="227"/>
        <v>0</v>
      </c>
      <c r="B299" s="239">
        <v>277</v>
      </c>
      <c r="C299" s="258"/>
      <c r="D299" s="258"/>
      <c r="E299" s="240"/>
      <c r="F299" s="241" t="str">
        <f>IF(ISBLANK(E299), "", VLOOKUP(E299, Z!$A$2:$C$4127, 3, FALSE))</f>
        <v/>
      </c>
      <c r="G299" s="242"/>
      <c r="H299" s="242"/>
      <c r="I299" s="243"/>
      <c r="J299" s="244"/>
      <c r="K299" s="259"/>
      <c r="L299" s="260"/>
      <c r="M299" s="247" t="str" cm="1">
        <f t="array" ref="M299">IF($K299&gt;0, INDEX(Clean,1+AG299,$C$1), "")</f>
        <v/>
      </c>
      <c r="N299" s="245"/>
      <c r="O299" s="245"/>
      <c r="P299" s="246"/>
      <c r="Q299" s="248">
        <f t="shared" si="425"/>
        <v>0</v>
      </c>
      <c r="R299" s="247" t="str" cm="1">
        <f t="array" ref="R299">IF($K299&gt;0, INDEX(Clean,1+AH299,$C$1), "")</f>
        <v/>
      </c>
      <c r="S299" s="245"/>
      <c r="T299" s="245"/>
      <c r="U299" s="246"/>
      <c r="V299" s="248">
        <f t="shared" si="426"/>
        <v>0</v>
      </c>
      <c r="W299" s="261"/>
      <c r="X299" s="258"/>
      <c r="Y299" s="240"/>
      <c r="Z299" s="241" t="str">
        <f>IF(ISBLANK(Y299), "", VLOOKUP(Y299, Z!$A$2:$C$4127, 3, FALSE))</f>
        <v/>
      </c>
      <c r="AA299" s="262"/>
      <c r="AB299" s="249">
        <f t="shared" si="452"/>
        <v>0</v>
      </c>
      <c r="AC299" s="210"/>
      <c r="AD299" s="236">
        <f t="shared" si="449"/>
        <v>1</v>
      </c>
      <c r="AE299" s="236">
        <f t="shared" si="450"/>
        <v>1</v>
      </c>
      <c r="AF299" s="236">
        <f t="shared" si="451"/>
        <v>0</v>
      </c>
      <c r="AG299" s="236">
        <v>1</v>
      </c>
      <c r="AH299" s="236">
        <v>0</v>
      </c>
      <c r="AI299" s="236">
        <f t="shared" si="427"/>
        <v>-100</v>
      </c>
      <c r="AJ299" s="210"/>
      <c r="AK299" s="254"/>
      <c r="AL299" s="254"/>
      <c r="AM299" s="255"/>
      <c r="AN299" s="255"/>
      <c r="AO299" s="255"/>
      <c r="AP299" s="255"/>
      <c r="AQ299" s="255"/>
      <c r="AR299" s="255"/>
      <c r="AS299" s="255"/>
      <c r="AT299" s="255"/>
      <c r="AU299" s="255"/>
      <c r="AV299" s="255"/>
      <c r="AW299" s="255"/>
      <c r="AX299" s="210"/>
      <c r="AY299" s="236" cm="1">
        <f t="array" ref="AY299">INDEX(Use, $AD299, 4)</f>
        <v>7</v>
      </c>
      <c r="AZ299" s="236">
        <f t="shared" si="428"/>
        <v>32</v>
      </c>
      <c r="BA299" s="236">
        <f t="shared" si="239"/>
        <v>13</v>
      </c>
      <c r="BB299" s="236">
        <f t="shared" si="240"/>
        <v>0</v>
      </c>
      <c r="BC299" s="252" cm="1">
        <f t="array" ref="BC299">K299/IF($L299&gt;0, INDEX($AO$23:$AU$77, $L299+20, $AD299), 1)</f>
        <v>0</v>
      </c>
      <c r="BD299" s="237">
        <f t="shared" si="429"/>
        <v>0</v>
      </c>
      <c r="BE299" s="236">
        <v>35</v>
      </c>
      <c r="BF299" s="237">
        <f t="shared" si="430"/>
        <v>52.55</v>
      </c>
      <c r="BG299" s="253">
        <f t="shared" si="431"/>
        <v>2.7676728869374316</v>
      </c>
      <c r="BH299" s="253" cm="1">
        <f t="array" ref="BH299">$BC299 * SUMPRODUCT(INDEX($AL$77:$AN$82,,$AE299),INDEX($AO$77:$AU$82,,$AD299), N($AK$77:$AK$82&gt;$AI299)) / BG299 / 1000</f>
        <v>0</v>
      </c>
      <c r="BI299" s="250">
        <f t="shared" si="244"/>
        <v>30</v>
      </c>
      <c r="BJ299" s="237">
        <f t="shared" si="432"/>
        <v>46.033333333333331</v>
      </c>
      <c r="BK299" s="253">
        <f t="shared" si="433"/>
        <v>3.2297395388556791</v>
      </c>
      <c r="BL299" s="253" cm="1">
        <f t="array" ref="BL299">$BC299 * IF($AD299&lt;=2,
SUMPRODUCT(INDEX($AL$72:$AN$76,,$AE299), INDEX($AO$72:$AU$76,,$AD299), 1 / ($AV$72:$AV$76*BK299 + (1-$AV$72:$AV$76)*BG299), N($AK$72:$AK$76&gt;$AI299)),
SUMPRODUCT(INDEX($AL$67:$AN$76,,$AE299), INDEX($AO$67:$AU$76,,$AD299), 1 / ($AW$67:$AW$76*BK299 + (1-$AW$67:$AW$76)*BG299), N($AK$67:$AK$76&gt;$AI299))
) / 1000</f>
        <v>0</v>
      </c>
      <c r="BM299" s="250">
        <f t="shared" si="247"/>
        <v>25</v>
      </c>
      <c r="BN299" s="237">
        <f t="shared" si="434"/>
        <v>39.516666666666666</v>
      </c>
      <c r="BO299" s="253">
        <f t="shared" si="435"/>
        <v>3.877011788826243</v>
      </c>
      <c r="BP299" s="253" cm="1">
        <f t="array" ref="BP299">$BC299 * IF($AD299&lt;=2,
SUMPRODUCT(INDEX($AL$67:$AN$71,,$AE299), INDEX($AO$67:$AU$71,,$AD299), 1 / ($AV$67:$AV$71*BO299 + (1-$AV$67:$AV$71)*BK299), N($AK$67:$AK$71&gt;$AI299)),
SUMPRODUCT(INDEX($AL$57:$AN$66,,$AE299), INDEX($AO$57:$AU$66,,$AD299), 1 / ($AW$57:$AW$66*BO299 + (1-$AW$57:$AW$66)*BK299), N($AK$57:$AK$66&gt;$AI299))
) / 1000</f>
        <v>0</v>
      </c>
      <c r="BQ299" s="250">
        <f t="shared" si="250"/>
        <v>20</v>
      </c>
      <c r="BR299" s="237">
        <f t="shared" si="436"/>
        <v>33</v>
      </c>
      <c r="BS299" s="253">
        <f t="shared" si="437"/>
        <v>4.8487499999999999</v>
      </c>
      <c r="BT299" s="253" cm="1">
        <f t="array" ref="BT299">$BC299 * IF($AD299&lt;=2,
SUMPRODUCT(INDEX($AL$62:$AN$66,,$AE299), INDEX($AO$62:$AU$66,,$AD299), 1 / ($AV$62:$AV$66*BS299 + (1-$AV$62:$AV$66)*BO299), N($AK$62:$AK$66&gt;$AI299)),
SUMPRODUCT(INDEX($AL$47:$AN$56,,$AE299), INDEX($AO$47:$AU$56,,$AD299), 1 / ($AW$47:$AW$56*BS299 + (1-$AW$47:$AW$56)*BO299), N($AK$47:$AK$56&gt;$AI299))
) / 1000</f>
        <v>0</v>
      </c>
      <c r="BU299" s="253" cm="1">
        <f t="array" ref="BU299">$BC299 * IF($AD299&lt;=2,
SUMPRODUCT(INDEX($AL$23:$AN$61,,$AE299), INDEX($AO$23:$AU$61,,$AD299), 1 / ($AV$23:$AV$61*BS299), N($AK$23:$AK$61&gt;$AI299)),
SUMPRODUCT(INDEX($AL$23:$AN$46,,$AE299), INDEX($AO$23:$AU$46,,$AD299), 1 / ($AW$23:$AW$46*BS299), N($AK$23:$AK$46&gt;$AI299))
) / 1000</f>
        <v>0</v>
      </c>
      <c r="BV299" s="237">
        <f t="shared" si="438"/>
        <v>0</v>
      </c>
      <c r="BW299" s="210"/>
      <c r="BX299" s="237">
        <f t="shared" si="439"/>
        <v>0</v>
      </c>
      <c r="BY299" s="236">
        <v>35</v>
      </c>
      <c r="BZ299" s="237">
        <f t="shared" si="440"/>
        <v>48</v>
      </c>
      <c r="CA299" s="253">
        <f t="shared" si="441"/>
        <v>3.0748170731707316</v>
      </c>
      <c r="CB299" s="253" cm="1">
        <f t="array" ref="CB299">$BC299 * SUMPRODUCT(INDEX($AL$77:$AN$82,,$AE299),INDEX($AO$77:$AU$82,,$AD299), N($AK$77:$AK$82&gt;$AI299)) / CA299 / 1000</f>
        <v>0</v>
      </c>
      <c r="CC299" s="250">
        <f t="shared" si="257"/>
        <v>30</v>
      </c>
      <c r="CD299" s="237">
        <f t="shared" si="442"/>
        <v>43</v>
      </c>
      <c r="CE299" s="253">
        <f t="shared" si="443"/>
        <v>3.5018750000000001</v>
      </c>
      <c r="CF299" s="253" cm="1">
        <f t="array" ref="CF299">$BC299 * IF($AD299&lt;=2,
SUMPRODUCT(INDEX($AL$72:$AN$76,,$AE299), INDEX($AO$72:$AU$76,,$AD299), 1 / ($AV$72:$AV$76*CE299 + (1-$AV$72:$AV$76)*CA299), N($AK$72:$AK$76&gt;$AI299)),
SUMPRODUCT(INDEX($AL$67:$AN$76,,$AE299), INDEX($AO$67:$AU$76,,$AD299), 1 / ($AW$67:$AW$76*CE299 + (1-$AW$67:$AW$76)*CA299), N($AK$67:$AK$76&gt;$AI299))
) / 1000</f>
        <v>0</v>
      </c>
      <c r="CG299" s="250">
        <f t="shared" si="260"/>
        <v>25</v>
      </c>
      <c r="CH299" s="237">
        <f t="shared" si="444"/>
        <v>38</v>
      </c>
      <c r="CI299" s="253">
        <f t="shared" si="445"/>
        <v>4.0666935483870965</v>
      </c>
      <c r="CJ299" s="253" cm="1">
        <f t="array" ref="CJ299">$BC299 * IF($AD299&lt;=2,
SUMPRODUCT(INDEX($AL$67:$AN$71,,$AE299), INDEX($AO$67:$AU$71,,$AD299), 1 / ($AV$67:$AV$71*CI299 + (1-$AV$67:$AV$71)*CE299), N($AK$67:$AK$71&gt;$AI299)),
SUMPRODUCT(INDEX($AL$57:$AN$66,,$AE299), INDEX($AO$57:$AU$66,,$AD299), 1 / ($AW$57:$AW$66*CI299 + (1-$AW$57:$AW$66)*CE299), N($AK$57:$AK$66&gt;$AI299))
) / 1000</f>
        <v>0</v>
      </c>
      <c r="CK299" s="250">
        <f t="shared" si="263"/>
        <v>20</v>
      </c>
      <c r="CL299" s="237">
        <f t="shared" si="446"/>
        <v>33</v>
      </c>
      <c r="CM299" s="253">
        <f t="shared" si="447"/>
        <v>4.8487499999999999</v>
      </c>
      <c r="CN299" s="253" cm="1">
        <f t="array" ref="CN299">$BC299 * IF($AD299&lt;=2,
SUMPRODUCT(INDEX($AL$62:$AN$66,,$AE299), INDEX($AO$62:$AU$66,,$AD299), 1 / ($AV$62:$AV$66*CM299 + (1-$AV$62:$AV$66)*CI299), N($AK$62:$AK$66&gt;$AI299)),
SUMPRODUCT(INDEX($AL$47:$AN$56,,$AE299), INDEX($AO$47:$AU$56,,$AD299), 1 / ($AW$47:$AW$56*CM299 + (1-$AW$47:$AW$56)*CI299), N($AK$47:$AK$56&gt;$AI299))
) / 1000</f>
        <v>0</v>
      </c>
      <c r="CO299" s="253" cm="1">
        <f t="array" ref="CO299">$BC299 * IF($AD299&lt;=2,
SUMPRODUCT(INDEX($AL$23:$AN$61,,$AE299), INDEX($AO$23:$AU$61,,$AD299), 1 / ($AV$23:$AV$61*CM299), N($AK$23:$AK$61&gt;$AI299)),
SUMPRODUCT(INDEX($AL$23:$AN$46,,$AE299), INDEX($AO$23:$AU$46,,$AD299), 1 / ($AW$23:$AW$46*CM299), N($AK$23:$AK$46&gt;$AI299))
) / 1000</f>
        <v>0</v>
      </c>
      <c r="CP299" s="237">
        <f t="shared" si="448"/>
        <v>0</v>
      </c>
      <c r="CQ299" s="210"/>
    </row>
    <row r="300" spans="1:95" s="76" customFormat="1" ht="14.25" customHeight="1" x14ac:dyDescent="0.2">
      <c r="A300" s="238" t="b">
        <f t="shared" si="227"/>
        <v>0</v>
      </c>
      <c r="B300" s="239">
        <v>278</v>
      </c>
      <c r="C300" s="258"/>
      <c r="D300" s="258"/>
      <c r="E300" s="240"/>
      <c r="F300" s="241" t="str">
        <f>IF(ISBLANK(E300), "", VLOOKUP(E300, Z!$A$2:$C$4127, 3, FALSE))</f>
        <v/>
      </c>
      <c r="G300" s="242"/>
      <c r="H300" s="242"/>
      <c r="I300" s="243"/>
      <c r="J300" s="244"/>
      <c r="K300" s="259"/>
      <c r="L300" s="260"/>
      <c r="M300" s="247" t="str" cm="1">
        <f t="array" ref="M300">IF($K300&gt;0, INDEX(Clean,1+AG300,$C$1), "")</f>
        <v/>
      </c>
      <c r="N300" s="245"/>
      <c r="O300" s="245"/>
      <c r="P300" s="246"/>
      <c r="Q300" s="248">
        <f t="shared" si="425"/>
        <v>0</v>
      </c>
      <c r="R300" s="247" t="str" cm="1">
        <f t="array" ref="R300">IF($K300&gt;0, INDEX(Clean,1+AH300,$C$1), "")</f>
        <v/>
      </c>
      <c r="S300" s="245"/>
      <c r="T300" s="245"/>
      <c r="U300" s="246"/>
      <c r="V300" s="248">
        <f t="shared" si="426"/>
        <v>0</v>
      </c>
      <c r="W300" s="261"/>
      <c r="X300" s="258"/>
      <c r="Y300" s="240"/>
      <c r="Z300" s="241" t="str">
        <f>IF(ISBLANK(Y300), "", VLOOKUP(Y300, Z!$A$2:$C$4127, 3, FALSE))</f>
        <v/>
      </c>
      <c r="AA300" s="262"/>
      <c r="AB300" s="249">
        <f t="shared" si="452"/>
        <v>0</v>
      </c>
      <c r="AC300" s="210"/>
      <c r="AD300" s="236">
        <f t="shared" si="449"/>
        <v>1</v>
      </c>
      <c r="AE300" s="236">
        <f t="shared" si="450"/>
        <v>1</v>
      </c>
      <c r="AF300" s="236">
        <f t="shared" si="451"/>
        <v>0</v>
      </c>
      <c r="AG300" s="236">
        <v>1</v>
      </c>
      <c r="AH300" s="236">
        <v>0</v>
      </c>
      <c r="AI300" s="236">
        <f t="shared" si="427"/>
        <v>-100</v>
      </c>
      <c r="AJ300" s="210"/>
      <c r="AK300" s="254"/>
      <c r="AL300" s="254"/>
      <c r="AM300" s="255"/>
      <c r="AN300" s="255"/>
      <c r="AO300" s="255"/>
      <c r="AP300" s="255"/>
      <c r="AQ300" s="255"/>
      <c r="AR300" s="255"/>
      <c r="AS300" s="255"/>
      <c r="AT300" s="255"/>
      <c r="AU300" s="255"/>
      <c r="AV300" s="255"/>
      <c r="AW300" s="255"/>
      <c r="AX300" s="210"/>
      <c r="AY300" s="236" cm="1">
        <f t="array" ref="AY300">INDEX(Use, $AD300, 4)</f>
        <v>7</v>
      </c>
      <c r="AZ300" s="236">
        <f t="shared" si="428"/>
        <v>32</v>
      </c>
      <c r="BA300" s="236">
        <f t="shared" si="239"/>
        <v>13</v>
      </c>
      <c r="BB300" s="236">
        <f t="shared" si="240"/>
        <v>0</v>
      </c>
      <c r="BC300" s="252" cm="1">
        <f t="array" ref="BC300">K300/IF($L300&gt;0, INDEX($AO$23:$AU$77, $L300+20, $AD300), 1)</f>
        <v>0</v>
      </c>
      <c r="BD300" s="237">
        <f t="shared" si="429"/>
        <v>0</v>
      </c>
      <c r="BE300" s="236">
        <v>35</v>
      </c>
      <c r="BF300" s="237">
        <f t="shared" si="430"/>
        <v>52.55</v>
      </c>
      <c r="BG300" s="253">
        <f t="shared" si="431"/>
        <v>2.7676728869374316</v>
      </c>
      <c r="BH300" s="253" cm="1">
        <f t="array" ref="BH300">$BC300 * SUMPRODUCT(INDEX($AL$77:$AN$82,,$AE300),INDEX($AO$77:$AU$82,,$AD300), N($AK$77:$AK$82&gt;$AI300)) / BG300 / 1000</f>
        <v>0</v>
      </c>
      <c r="BI300" s="250">
        <f t="shared" si="244"/>
        <v>30</v>
      </c>
      <c r="BJ300" s="237">
        <f t="shared" si="432"/>
        <v>46.033333333333331</v>
      </c>
      <c r="BK300" s="253">
        <f t="shared" si="433"/>
        <v>3.2297395388556791</v>
      </c>
      <c r="BL300" s="253" cm="1">
        <f t="array" ref="BL300">$BC300 * IF($AD300&lt;=2,
SUMPRODUCT(INDEX($AL$72:$AN$76,,$AE300), INDEX($AO$72:$AU$76,,$AD300), 1 / ($AV$72:$AV$76*BK300 + (1-$AV$72:$AV$76)*BG300), N($AK$72:$AK$76&gt;$AI300)),
SUMPRODUCT(INDEX($AL$67:$AN$76,,$AE300), INDEX($AO$67:$AU$76,,$AD300), 1 / ($AW$67:$AW$76*BK300 + (1-$AW$67:$AW$76)*BG300), N($AK$67:$AK$76&gt;$AI300))
) / 1000</f>
        <v>0</v>
      </c>
      <c r="BM300" s="250">
        <f t="shared" si="247"/>
        <v>25</v>
      </c>
      <c r="BN300" s="237">
        <f t="shared" si="434"/>
        <v>39.516666666666666</v>
      </c>
      <c r="BO300" s="253">
        <f t="shared" si="435"/>
        <v>3.877011788826243</v>
      </c>
      <c r="BP300" s="253" cm="1">
        <f t="array" ref="BP300">$BC300 * IF($AD300&lt;=2,
SUMPRODUCT(INDEX($AL$67:$AN$71,,$AE300), INDEX($AO$67:$AU$71,,$AD300), 1 / ($AV$67:$AV$71*BO300 + (1-$AV$67:$AV$71)*BK300), N($AK$67:$AK$71&gt;$AI300)),
SUMPRODUCT(INDEX($AL$57:$AN$66,,$AE300), INDEX($AO$57:$AU$66,,$AD300), 1 / ($AW$57:$AW$66*BO300 + (1-$AW$57:$AW$66)*BK300), N($AK$57:$AK$66&gt;$AI300))
) / 1000</f>
        <v>0</v>
      </c>
      <c r="BQ300" s="250">
        <f t="shared" si="250"/>
        <v>20</v>
      </c>
      <c r="BR300" s="237">
        <f t="shared" si="436"/>
        <v>33</v>
      </c>
      <c r="BS300" s="253">
        <f t="shared" si="437"/>
        <v>4.8487499999999999</v>
      </c>
      <c r="BT300" s="253" cm="1">
        <f t="array" ref="BT300">$BC300 * IF($AD300&lt;=2,
SUMPRODUCT(INDEX($AL$62:$AN$66,,$AE300), INDEX($AO$62:$AU$66,,$AD300), 1 / ($AV$62:$AV$66*BS300 + (1-$AV$62:$AV$66)*BO300), N($AK$62:$AK$66&gt;$AI300)),
SUMPRODUCT(INDEX($AL$47:$AN$56,,$AE300), INDEX($AO$47:$AU$56,,$AD300), 1 / ($AW$47:$AW$56*BS300 + (1-$AW$47:$AW$56)*BO300), N($AK$47:$AK$56&gt;$AI300))
) / 1000</f>
        <v>0</v>
      </c>
      <c r="BU300" s="253" cm="1">
        <f t="array" ref="BU300">$BC300 * IF($AD300&lt;=2,
SUMPRODUCT(INDEX($AL$23:$AN$61,,$AE300), INDEX($AO$23:$AU$61,,$AD300), 1 / ($AV$23:$AV$61*BS300), N($AK$23:$AK$61&gt;$AI300)),
SUMPRODUCT(INDEX($AL$23:$AN$46,,$AE300), INDEX($AO$23:$AU$46,,$AD300), 1 / ($AW$23:$AW$46*BS300), N($AK$23:$AK$46&gt;$AI300))
) / 1000</f>
        <v>0</v>
      </c>
      <c r="BV300" s="237">
        <f t="shared" si="438"/>
        <v>0</v>
      </c>
      <c r="BW300" s="210"/>
      <c r="BX300" s="237">
        <f t="shared" si="439"/>
        <v>0</v>
      </c>
      <c r="BY300" s="236">
        <v>35</v>
      </c>
      <c r="BZ300" s="237">
        <f t="shared" si="440"/>
        <v>48</v>
      </c>
      <c r="CA300" s="253">
        <f t="shared" si="441"/>
        <v>3.0748170731707316</v>
      </c>
      <c r="CB300" s="253" cm="1">
        <f t="array" ref="CB300">$BC300 * SUMPRODUCT(INDEX($AL$77:$AN$82,,$AE300),INDEX($AO$77:$AU$82,,$AD300), N($AK$77:$AK$82&gt;$AI300)) / CA300 / 1000</f>
        <v>0</v>
      </c>
      <c r="CC300" s="250">
        <f t="shared" si="257"/>
        <v>30</v>
      </c>
      <c r="CD300" s="237">
        <f t="shared" si="442"/>
        <v>43</v>
      </c>
      <c r="CE300" s="253">
        <f t="shared" si="443"/>
        <v>3.5018750000000001</v>
      </c>
      <c r="CF300" s="253" cm="1">
        <f t="array" ref="CF300">$BC300 * IF($AD300&lt;=2,
SUMPRODUCT(INDEX($AL$72:$AN$76,,$AE300), INDEX($AO$72:$AU$76,,$AD300), 1 / ($AV$72:$AV$76*CE300 + (1-$AV$72:$AV$76)*CA300), N($AK$72:$AK$76&gt;$AI300)),
SUMPRODUCT(INDEX($AL$67:$AN$76,,$AE300), INDEX($AO$67:$AU$76,,$AD300), 1 / ($AW$67:$AW$76*CE300 + (1-$AW$67:$AW$76)*CA300), N($AK$67:$AK$76&gt;$AI300))
) / 1000</f>
        <v>0</v>
      </c>
      <c r="CG300" s="250">
        <f t="shared" si="260"/>
        <v>25</v>
      </c>
      <c r="CH300" s="237">
        <f t="shared" si="444"/>
        <v>38</v>
      </c>
      <c r="CI300" s="253">
        <f t="shared" si="445"/>
        <v>4.0666935483870965</v>
      </c>
      <c r="CJ300" s="253" cm="1">
        <f t="array" ref="CJ300">$BC300 * IF($AD300&lt;=2,
SUMPRODUCT(INDEX($AL$67:$AN$71,,$AE300), INDEX($AO$67:$AU$71,,$AD300), 1 / ($AV$67:$AV$71*CI300 + (1-$AV$67:$AV$71)*CE300), N($AK$67:$AK$71&gt;$AI300)),
SUMPRODUCT(INDEX($AL$57:$AN$66,,$AE300), INDEX($AO$57:$AU$66,,$AD300), 1 / ($AW$57:$AW$66*CI300 + (1-$AW$57:$AW$66)*CE300), N($AK$57:$AK$66&gt;$AI300))
) / 1000</f>
        <v>0</v>
      </c>
      <c r="CK300" s="250">
        <f t="shared" si="263"/>
        <v>20</v>
      </c>
      <c r="CL300" s="237">
        <f t="shared" si="446"/>
        <v>33</v>
      </c>
      <c r="CM300" s="253">
        <f t="shared" si="447"/>
        <v>4.8487499999999999</v>
      </c>
      <c r="CN300" s="253" cm="1">
        <f t="array" ref="CN300">$BC300 * IF($AD300&lt;=2,
SUMPRODUCT(INDEX($AL$62:$AN$66,,$AE300), INDEX($AO$62:$AU$66,,$AD300), 1 / ($AV$62:$AV$66*CM300 + (1-$AV$62:$AV$66)*CI300), N($AK$62:$AK$66&gt;$AI300)),
SUMPRODUCT(INDEX($AL$47:$AN$56,,$AE300), INDEX($AO$47:$AU$56,,$AD300), 1 / ($AW$47:$AW$56*CM300 + (1-$AW$47:$AW$56)*CI300), N($AK$47:$AK$56&gt;$AI300))
) / 1000</f>
        <v>0</v>
      </c>
      <c r="CO300" s="253" cm="1">
        <f t="array" ref="CO300">$BC300 * IF($AD300&lt;=2,
SUMPRODUCT(INDEX($AL$23:$AN$61,,$AE300), INDEX($AO$23:$AU$61,,$AD300), 1 / ($AV$23:$AV$61*CM300), N($AK$23:$AK$61&gt;$AI300)),
SUMPRODUCT(INDEX($AL$23:$AN$46,,$AE300), INDEX($AO$23:$AU$46,,$AD300), 1 / ($AW$23:$AW$46*CM300), N($AK$23:$AK$46&gt;$AI300))
) / 1000</f>
        <v>0</v>
      </c>
      <c r="CP300" s="237">
        <f t="shared" si="448"/>
        <v>0</v>
      </c>
      <c r="CQ300" s="210"/>
    </row>
    <row r="301" spans="1:95" s="76" customFormat="1" ht="14.25" customHeight="1" x14ac:dyDescent="0.2">
      <c r="A301" s="238" t="b">
        <f t="shared" si="227"/>
        <v>0</v>
      </c>
      <c r="B301" s="239">
        <v>279</v>
      </c>
      <c r="C301" s="258"/>
      <c r="D301" s="258"/>
      <c r="E301" s="240"/>
      <c r="F301" s="241" t="str">
        <f>IF(ISBLANK(E301), "", VLOOKUP(E301, Z!$A$2:$C$4127, 3, FALSE))</f>
        <v/>
      </c>
      <c r="G301" s="242"/>
      <c r="H301" s="242"/>
      <c r="I301" s="243"/>
      <c r="J301" s="244"/>
      <c r="K301" s="259"/>
      <c r="L301" s="260"/>
      <c r="M301" s="247" t="str" cm="1">
        <f t="array" ref="M301">IF($K301&gt;0, INDEX(Clean,1+AG301,$C$1), "")</f>
        <v/>
      </c>
      <c r="N301" s="245"/>
      <c r="O301" s="245"/>
      <c r="P301" s="246"/>
      <c r="Q301" s="248">
        <f t="shared" si="425"/>
        <v>0</v>
      </c>
      <c r="R301" s="247" t="str" cm="1">
        <f t="array" ref="R301">IF($K301&gt;0, INDEX(Clean,1+AH301,$C$1), "")</f>
        <v/>
      </c>
      <c r="S301" s="245"/>
      <c r="T301" s="245"/>
      <c r="U301" s="246"/>
      <c r="V301" s="248">
        <f t="shared" si="426"/>
        <v>0</v>
      </c>
      <c r="W301" s="261"/>
      <c r="X301" s="258"/>
      <c r="Y301" s="240"/>
      <c r="Z301" s="241" t="str">
        <f>IF(ISBLANK(Y301), "", VLOOKUP(Y301, Z!$A$2:$C$4127, 3, FALSE))</f>
        <v/>
      </c>
      <c r="AA301" s="262"/>
      <c r="AB301" s="249">
        <f t="shared" si="452"/>
        <v>0</v>
      </c>
      <c r="AC301" s="210"/>
      <c r="AD301" s="236">
        <f t="shared" si="449"/>
        <v>1</v>
      </c>
      <c r="AE301" s="236">
        <f t="shared" si="450"/>
        <v>1</v>
      </c>
      <c r="AF301" s="236">
        <f t="shared" si="451"/>
        <v>0</v>
      </c>
      <c r="AG301" s="236">
        <v>1</v>
      </c>
      <c r="AH301" s="236">
        <v>0</v>
      </c>
      <c r="AI301" s="236">
        <f t="shared" si="427"/>
        <v>-100</v>
      </c>
      <c r="AJ301" s="210"/>
      <c r="AK301" s="254"/>
      <c r="AL301" s="254"/>
      <c r="AM301" s="255"/>
      <c r="AN301" s="255"/>
      <c r="AO301" s="255"/>
      <c r="AP301" s="255"/>
      <c r="AQ301" s="255"/>
      <c r="AR301" s="255"/>
      <c r="AS301" s="255"/>
      <c r="AT301" s="255"/>
      <c r="AU301" s="255"/>
      <c r="AV301" s="255"/>
      <c r="AW301" s="255"/>
      <c r="AX301" s="210"/>
      <c r="AY301" s="236" cm="1">
        <f t="array" ref="AY301">INDEX(Use, $AD301, 4)</f>
        <v>7</v>
      </c>
      <c r="AZ301" s="236">
        <f t="shared" si="428"/>
        <v>32</v>
      </c>
      <c r="BA301" s="236">
        <f t="shared" si="239"/>
        <v>13</v>
      </c>
      <c r="BB301" s="236">
        <f t="shared" si="240"/>
        <v>0</v>
      </c>
      <c r="BC301" s="252" cm="1">
        <f t="array" ref="BC301">K301/IF($L301&gt;0, INDEX($AO$23:$AU$77, $L301+20, $AD301), 1)</f>
        <v>0</v>
      </c>
      <c r="BD301" s="237">
        <f t="shared" si="429"/>
        <v>0</v>
      </c>
      <c r="BE301" s="236">
        <v>35</v>
      </c>
      <c r="BF301" s="237">
        <f t="shared" si="430"/>
        <v>52.55</v>
      </c>
      <c r="BG301" s="253">
        <f t="shared" si="431"/>
        <v>2.7676728869374316</v>
      </c>
      <c r="BH301" s="253" cm="1">
        <f t="array" ref="BH301">$BC301 * SUMPRODUCT(INDEX($AL$77:$AN$82,,$AE301),INDEX($AO$77:$AU$82,,$AD301), N($AK$77:$AK$82&gt;$AI301)) / BG301 / 1000</f>
        <v>0</v>
      </c>
      <c r="BI301" s="250">
        <f t="shared" si="244"/>
        <v>30</v>
      </c>
      <c r="BJ301" s="237">
        <f t="shared" si="432"/>
        <v>46.033333333333331</v>
      </c>
      <c r="BK301" s="253">
        <f t="shared" si="433"/>
        <v>3.2297395388556791</v>
      </c>
      <c r="BL301" s="253" cm="1">
        <f t="array" ref="BL301">$BC301 * IF($AD301&lt;=2,
SUMPRODUCT(INDEX($AL$72:$AN$76,,$AE301), INDEX($AO$72:$AU$76,,$AD301), 1 / ($AV$72:$AV$76*BK301 + (1-$AV$72:$AV$76)*BG301), N($AK$72:$AK$76&gt;$AI301)),
SUMPRODUCT(INDEX($AL$67:$AN$76,,$AE301), INDEX($AO$67:$AU$76,,$AD301), 1 / ($AW$67:$AW$76*BK301 + (1-$AW$67:$AW$76)*BG301), N($AK$67:$AK$76&gt;$AI301))
) / 1000</f>
        <v>0</v>
      </c>
      <c r="BM301" s="250">
        <f t="shared" si="247"/>
        <v>25</v>
      </c>
      <c r="BN301" s="237">
        <f t="shared" si="434"/>
        <v>39.516666666666666</v>
      </c>
      <c r="BO301" s="253">
        <f t="shared" si="435"/>
        <v>3.877011788826243</v>
      </c>
      <c r="BP301" s="253" cm="1">
        <f t="array" ref="BP301">$BC301 * IF($AD301&lt;=2,
SUMPRODUCT(INDEX($AL$67:$AN$71,,$AE301), INDEX($AO$67:$AU$71,,$AD301), 1 / ($AV$67:$AV$71*BO301 + (1-$AV$67:$AV$71)*BK301), N($AK$67:$AK$71&gt;$AI301)),
SUMPRODUCT(INDEX($AL$57:$AN$66,,$AE301), INDEX($AO$57:$AU$66,,$AD301), 1 / ($AW$57:$AW$66*BO301 + (1-$AW$57:$AW$66)*BK301), N($AK$57:$AK$66&gt;$AI301))
) / 1000</f>
        <v>0</v>
      </c>
      <c r="BQ301" s="250">
        <f t="shared" si="250"/>
        <v>20</v>
      </c>
      <c r="BR301" s="237">
        <f t="shared" si="436"/>
        <v>33</v>
      </c>
      <c r="BS301" s="253">
        <f t="shared" si="437"/>
        <v>4.8487499999999999</v>
      </c>
      <c r="BT301" s="253" cm="1">
        <f t="array" ref="BT301">$BC301 * IF($AD301&lt;=2,
SUMPRODUCT(INDEX($AL$62:$AN$66,,$AE301), INDEX($AO$62:$AU$66,,$AD301), 1 / ($AV$62:$AV$66*BS301 + (1-$AV$62:$AV$66)*BO301), N($AK$62:$AK$66&gt;$AI301)),
SUMPRODUCT(INDEX($AL$47:$AN$56,,$AE301), INDEX($AO$47:$AU$56,,$AD301), 1 / ($AW$47:$AW$56*BS301 + (1-$AW$47:$AW$56)*BO301), N($AK$47:$AK$56&gt;$AI301))
) / 1000</f>
        <v>0</v>
      </c>
      <c r="BU301" s="253" cm="1">
        <f t="array" ref="BU301">$BC301 * IF($AD301&lt;=2,
SUMPRODUCT(INDEX($AL$23:$AN$61,,$AE301), INDEX($AO$23:$AU$61,,$AD301), 1 / ($AV$23:$AV$61*BS301), N($AK$23:$AK$61&gt;$AI301)),
SUMPRODUCT(INDEX($AL$23:$AN$46,,$AE301), INDEX($AO$23:$AU$46,,$AD301), 1 / ($AW$23:$AW$46*BS301), N($AK$23:$AK$46&gt;$AI301))
) / 1000</f>
        <v>0</v>
      </c>
      <c r="BV301" s="237">
        <f t="shared" si="438"/>
        <v>0</v>
      </c>
      <c r="BW301" s="210"/>
      <c r="BX301" s="237">
        <f t="shared" si="439"/>
        <v>0</v>
      </c>
      <c r="BY301" s="236">
        <v>35</v>
      </c>
      <c r="BZ301" s="237">
        <f t="shared" si="440"/>
        <v>48</v>
      </c>
      <c r="CA301" s="253">
        <f t="shared" si="441"/>
        <v>3.0748170731707316</v>
      </c>
      <c r="CB301" s="253" cm="1">
        <f t="array" ref="CB301">$BC301 * SUMPRODUCT(INDEX($AL$77:$AN$82,,$AE301),INDEX($AO$77:$AU$82,,$AD301), N($AK$77:$AK$82&gt;$AI301)) / CA301 / 1000</f>
        <v>0</v>
      </c>
      <c r="CC301" s="250">
        <f t="shared" si="257"/>
        <v>30</v>
      </c>
      <c r="CD301" s="237">
        <f t="shared" si="442"/>
        <v>43</v>
      </c>
      <c r="CE301" s="253">
        <f t="shared" si="443"/>
        <v>3.5018750000000001</v>
      </c>
      <c r="CF301" s="253" cm="1">
        <f t="array" ref="CF301">$BC301 * IF($AD301&lt;=2,
SUMPRODUCT(INDEX($AL$72:$AN$76,,$AE301), INDEX($AO$72:$AU$76,,$AD301), 1 / ($AV$72:$AV$76*CE301 + (1-$AV$72:$AV$76)*CA301), N($AK$72:$AK$76&gt;$AI301)),
SUMPRODUCT(INDEX($AL$67:$AN$76,,$AE301), INDEX($AO$67:$AU$76,,$AD301), 1 / ($AW$67:$AW$76*CE301 + (1-$AW$67:$AW$76)*CA301), N($AK$67:$AK$76&gt;$AI301))
) / 1000</f>
        <v>0</v>
      </c>
      <c r="CG301" s="250">
        <f t="shared" si="260"/>
        <v>25</v>
      </c>
      <c r="CH301" s="237">
        <f t="shared" si="444"/>
        <v>38</v>
      </c>
      <c r="CI301" s="253">
        <f t="shared" si="445"/>
        <v>4.0666935483870965</v>
      </c>
      <c r="CJ301" s="253" cm="1">
        <f t="array" ref="CJ301">$BC301 * IF($AD301&lt;=2,
SUMPRODUCT(INDEX($AL$67:$AN$71,,$AE301), INDEX($AO$67:$AU$71,,$AD301), 1 / ($AV$67:$AV$71*CI301 + (1-$AV$67:$AV$71)*CE301), N($AK$67:$AK$71&gt;$AI301)),
SUMPRODUCT(INDEX($AL$57:$AN$66,,$AE301), INDEX($AO$57:$AU$66,,$AD301), 1 / ($AW$57:$AW$66*CI301 + (1-$AW$57:$AW$66)*CE301), N($AK$57:$AK$66&gt;$AI301))
) / 1000</f>
        <v>0</v>
      </c>
      <c r="CK301" s="250">
        <f t="shared" si="263"/>
        <v>20</v>
      </c>
      <c r="CL301" s="237">
        <f t="shared" si="446"/>
        <v>33</v>
      </c>
      <c r="CM301" s="253">
        <f t="shared" si="447"/>
        <v>4.8487499999999999</v>
      </c>
      <c r="CN301" s="253" cm="1">
        <f t="array" ref="CN301">$BC301 * IF($AD301&lt;=2,
SUMPRODUCT(INDEX($AL$62:$AN$66,,$AE301), INDEX($AO$62:$AU$66,,$AD301), 1 / ($AV$62:$AV$66*CM301 + (1-$AV$62:$AV$66)*CI301), N($AK$62:$AK$66&gt;$AI301)),
SUMPRODUCT(INDEX($AL$47:$AN$56,,$AE301), INDEX($AO$47:$AU$56,,$AD301), 1 / ($AW$47:$AW$56*CM301 + (1-$AW$47:$AW$56)*CI301), N($AK$47:$AK$56&gt;$AI301))
) / 1000</f>
        <v>0</v>
      </c>
      <c r="CO301" s="253" cm="1">
        <f t="array" ref="CO301">$BC301 * IF($AD301&lt;=2,
SUMPRODUCT(INDEX($AL$23:$AN$61,,$AE301), INDEX($AO$23:$AU$61,,$AD301), 1 / ($AV$23:$AV$61*CM301), N($AK$23:$AK$61&gt;$AI301)),
SUMPRODUCT(INDEX($AL$23:$AN$46,,$AE301), INDEX($AO$23:$AU$46,,$AD301), 1 / ($AW$23:$AW$46*CM301), N($AK$23:$AK$46&gt;$AI301))
) / 1000</f>
        <v>0</v>
      </c>
      <c r="CP301" s="237">
        <f t="shared" si="448"/>
        <v>0</v>
      </c>
      <c r="CQ301" s="210"/>
    </row>
    <row r="302" spans="1:95" s="76" customFormat="1" ht="14.25" customHeight="1" x14ac:dyDescent="0.2">
      <c r="A302" s="238" t="b">
        <f t="shared" si="227"/>
        <v>0</v>
      </c>
      <c r="B302" s="239">
        <v>280</v>
      </c>
      <c r="C302" s="258"/>
      <c r="D302" s="258"/>
      <c r="E302" s="240"/>
      <c r="F302" s="241" t="str">
        <f>IF(ISBLANK(E302), "", VLOOKUP(E302, Z!$A$2:$C$4127, 3, FALSE))</f>
        <v/>
      </c>
      <c r="G302" s="242"/>
      <c r="H302" s="242"/>
      <c r="I302" s="243"/>
      <c r="J302" s="244"/>
      <c r="K302" s="259"/>
      <c r="L302" s="260"/>
      <c r="M302" s="247" t="str" cm="1">
        <f t="array" ref="M302">IF($K302&gt;0, INDEX(Clean,1+AG302,$C$1), "")</f>
        <v/>
      </c>
      <c r="N302" s="245"/>
      <c r="O302" s="245"/>
      <c r="P302" s="246"/>
      <c r="Q302" s="248">
        <f t="shared" si="425"/>
        <v>0</v>
      </c>
      <c r="R302" s="247" t="str" cm="1">
        <f t="array" ref="R302">IF($K302&gt;0, INDEX(Clean,1+AH302,$C$1), "")</f>
        <v/>
      </c>
      <c r="S302" s="245"/>
      <c r="T302" s="245"/>
      <c r="U302" s="246"/>
      <c r="V302" s="248">
        <f t="shared" si="426"/>
        <v>0</v>
      </c>
      <c r="W302" s="261"/>
      <c r="X302" s="258"/>
      <c r="Y302" s="240"/>
      <c r="Z302" s="241" t="str">
        <f>IF(ISBLANK(Y302), "", VLOOKUP(Y302, Z!$A$2:$C$4127, 3, FALSE))</f>
        <v/>
      </c>
      <c r="AA302" s="262"/>
      <c r="AB302" s="249">
        <f t="shared" si="452"/>
        <v>0</v>
      </c>
      <c r="AC302" s="210"/>
      <c r="AD302" s="236">
        <f t="shared" si="449"/>
        <v>1</v>
      </c>
      <c r="AE302" s="236">
        <f t="shared" si="450"/>
        <v>1</v>
      </c>
      <c r="AF302" s="236">
        <f t="shared" si="451"/>
        <v>0</v>
      </c>
      <c r="AG302" s="236">
        <v>1</v>
      </c>
      <c r="AH302" s="236">
        <v>0</v>
      </c>
      <c r="AI302" s="236">
        <f t="shared" si="427"/>
        <v>-100</v>
      </c>
      <c r="AJ302" s="210"/>
      <c r="AK302" s="254"/>
      <c r="AL302" s="254"/>
      <c r="AM302" s="255"/>
      <c r="AN302" s="255"/>
      <c r="AO302" s="255"/>
      <c r="AP302" s="255"/>
      <c r="AQ302" s="255"/>
      <c r="AR302" s="255"/>
      <c r="AS302" s="255"/>
      <c r="AT302" s="255"/>
      <c r="AU302" s="255"/>
      <c r="AV302" s="255"/>
      <c r="AW302" s="255"/>
      <c r="AX302" s="210"/>
      <c r="AY302" s="236" cm="1">
        <f t="array" ref="AY302">INDEX(Use, $AD302, 4)</f>
        <v>7</v>
      </c>
      <c r="AZ302" s="236">
        <f t="shared" si="428"/>
        <v>32</v>
      </c>
      <c r="BA302" s="236">
        <f t="shared" si="239"/>
        <v>13</v>
      </c>
      <c r="BB302" s="236">
        <f t="shared" si="240"/>
        <v>0</v>
      </c>
      <c r="BC302" s="252" cm="1">
        <f t="array" ref="BC302">K302/IF($L302&gt;0, INDEX($AO$23:$AU$77, $L302+20, $AD302), 1)</f>
        <v>0</v>
      </c>
      <c r="BD302" s="237">
        <f t="shared" si="429"/>
        <v>0</v>
      </c>
      <c r="BE302" s="236">
        <v>35</v>
      </c>
      <c r="BF302" s="237">
        <f t="shared" si="430"/>
        <v>52.55</v>
      </c>
      <c r="BG302" s="253">
        <f t="shared" si="431"/>
        <v>2.7676728869374316</v>
      </c>
      <c r="BH302" s="253" cm="1">
        <f t="array" ref="BH302">$BC302 * SUMPRODUCT(INDEX($AL$77:$AN$82,,$AE302),INDEX($AO$77:$AU$82,,$AD302), N($AK$77:$AK$82&gt;$AI302)) / BG302 / 1000</f>
        <v>0</v>
      </c>
      <c r="BI302" s="250">
        <f t="shared" si="244"/>
        <v>30</v>
      </c>
      <c r="BJ302" s="237">
        <f t="shared" si="432"/>
        <v>46.033333333333331</v>
      </c>
      <c r="BK302" s="253">
        <f t="shared" si="433"/>
        <v>3.2297395388556791</v>
      </c>
      <c r="BL302" s="253" cm="1">
        <f t="array" ref="BL302">$BC302 * IF($AD302&lt;=2,
SUMPRODUCT(INDEX($AL$72:$AN$76,,$AE302), INDEX($AO$72:$AU$76,,$AD302), 1 / ($AV$72:$AV$76*BK302 + (1-$AV$72:$AV$76)*BG302), N($AK$72:$AK$76&gt;$AI302)),
SUMPRODUCT(INDEX($AL$67:$AN$76,,$AE302), INDEX($AO$67:$AU$76,,$AD302), 1 / ($AW$67:$AW$76*BK302 + (1-$AW$67:$AW$76)*BG302), N($AK$67:$AK$76&gt;$AI302))
) / 1000</f>
        <v>0</v>
      </c>
      <c r="BM302" s="250">
        <f t="shared" si="247"/>
        <v>25</v>
      </c>
      <c r="BN302" s="237">
        <f t="shared" si="434"/>
        <v>39.516666666666666</v>
      </c>
      <c r="BO302" s="253">
        <f t="shared" si="435"/>
        <v>3.877011788826243</v>
      </c>
      <c r="BP302" s="253" cm="1">
        <f t="array" ref="BP302">$BC302 * IF($AD302&lt;=2,
SUMPRODUCT(INDEX($AL$67:$AN$71,,$AE302), INDEX($AO$67:$AU$71,,$AD302), 1 / ($AV$67:$AV$71*BO302 + (1-$AV$67:$AV$71)*BK302), N($AK$67:$AK$71&gt;$AI302)),
SUMPRODUCT(INDEX($AL$57:$AN$66,,$AE302), INDEX($AO$57:$AU$66,,$AD302), 1 / ($AW$57:$AW$66*BO302 + (1-$AW$57:$AW$66)*BK302), N($AK$57:$AK$66&gt;$AI302))
) / 1000</f>
        <v>0</v>
      </c>
      <c r="BQ302" s="250">
        <f t="shared" si="250"/>
        <v>20</v>
      </c>
      <c r="BR302" s="237">
        <f t="shared" si="436"/>
        <v>33</v>
      </c>
      <c r="BS302" s="253">
        <f t="shared" si="437"/>
        <v>4.8487499999999999</v>
      </c>
      <c r="BT302" s="253" cm="1">
        <f t="array" ref="BT302">$BC302 * IF($AD302&lt;=2,
SUMPRODUCT(INDEX($AL$62:$AN$66,,$AE302), INDEX($AO$62:$AU$66,,$AD302), 1 / ($AV$62:$AV$66*BS302 + (1-$AV$62:$AV$66)*BO302), N($AK$62:$AK$66&gt;$AI302)),
SUMPRODUCT(INDEX($AL$47:$AN$56,,$AE302), INDEX($AO$47:$AU$56,,$AD302), 1 / ($AW$47:$AW$56*BS302 + (1-$AW$47:$AW$56)*BO302), N($AK$47:$AK$56&gt;$AI302))
) / 1000</f>
        <v>0</v>
      </c>
      <c r="BU302" s="253" cm="1">
        <f t="array" ref="BU302">$BC302 * IF($AD302&lt;=2,
SUMPRODUCT(INDEX($AL$23:$AN$61,,$AE302), INDEX($AO$23:$AU$61,,$AD302), 1 / ($AV$23:$AV$61*BS302), N($AK$23:$AK$61&gt;$AI302)),
SUMPRODUCT(INDEX($AL$23:$AN$46,,$AE302), INDEX($AO$23:$AU$46,,$AD302), 1 / ($AW$23:$AW$46*BS302), N($AK$23:$AK$46&gt;$AI302))
) / 1000</f>
        <v>0</v>
      </c>
      <c r="BV302" s="237">
        <f t="shared" si="438"/>
        <v>0</v>
      </c>
      <c r="BW302" s="210"/>
      <c r="BX302" s="237">
        <f t="shared" si="439"/>
        <v>0</v>
      </c>
      <c r="BY302" s="236">
        <v>35</v>
      </c>
      <c r="BZ302" s="237">
        <f t="shared" si="440"/>
        <v>48</v>
      </c>
      <c r="CA302" s="253">
        <f t="shared" si="441"/>
        <v>3.0748170731707316</v>
      </c>
      <c r="CB302" s="253" cm="1">
        <f t="array" ref="CB302">$BC302 * SUMPRODUCT(INDEX($AL$77:$AN$82,,$AE302),INDEX($AO$77:$AU$82,,$AD302), N($AK$77:$AK$82&gt;$AI302)) / CA302 / 1000</f>
        <v>0</v>
      </c>
      <c r="CC302" s="250">
        <f t="shared" si="257"/>
        <v>30</v>
      </c>
      <c r="CD302" s="237">
        <f t="shared" si="442"/>
        <v>43</v>
      </c>
      <c r="CE302" s="253">
        <f t="shared" si="443"/>
        <v>3.5018750000000001</v>
      </c>
      <c r="CF302" s="253" cm="1">
        <f t="array" ref="CF302">$BC302 * IF($AD302&lt;=2,
SUMPRODUCT(INDEX($AL$72:$AN$76,,$AE302), INDEX($AO$72:$AU$76,,$AD302), 1 / ($AV$72:$AV$76*CE302 + (1-$AV$72:$AV$76)*CA302), N($AK$72:$AK$76&gt;$AI302)),
SUMPRODUCT(INDEX($AL$67:$AN$76,,$AE302), INDEX($AO$67:$AU$76,,$AD302), 1 / ($AW$67:$AW$76*CE302 + (1-$AW$67:$AW$76)*CA302), N($AK$67:$AK$76&gt;$AI302))
) / 1000</f>
        <v>0</v>
      </c>
      <c r="CG302" s="250">
        <f t="shared" si="260"/>
        <v>25</v>
      </c>
      <c r="CH302" s="237">
        <f t="shared" si="444"/>
        <v>38</v>
      </c>
      <c r="CI302" s="253">
        <f t="shared" si="445"/>
        <v>4.0666935483870965</v>
      </c>
      <c r="CJ302" s="253" cm="1">
        <f t="array" ref="CJ302">$BC302 * IF($AD302&lt;=2,
SUMPRODUCT(INDEX($AL$67:$AN$71,,$AE302), INDEX($AO$67:$AU$71,,$AD302), 1 / ($AV$67:$AV$71*CI302 + (1-$AV$67:$AV$71)*CE302), N($AK$67:$AK$71&gt;$AI302)),
SUMPRODUCT(INDEX($AL$57:$AN$66,,$AE302), INDEX($AO$57:$AU$66,,$AD302), 1 / ($AW$57:$AW$66*CI302 + (1-$AW$57:$AW$66)*CE302), N($AK$57:$AK$66&gt;$AI302))
) / 1000</f>
        <v>0</v>
      </c>
      <c r="CK302" s="250">
        <f t="shared" si="263"/>
        <v>20</v>
      </c>
      <c r="CL302" s="237">
        <f t="shared" si="446"/>
        <v>33</v>
      </c>
      <c r="CM302" s="253">
        <f t="shared" si="447"/>
        <v>4.8487499999999999</v>
      </c>
      <c r="CN302" s="253" cm="1">
        <f t="array" ref="CN302">$BC302 * IF($AD302&lt;=2,
SUMPRODUCT(INDEX($AL$62:$AN$66,,$AE302), INDEX($AO$62:$AU$66,,$AD302), 1 / ($AV$62:$AV$66*CM302 + (1-$AV$62:$AV$66)*CI302), N($AK$62:$AK$66&gt;$AI302)),
SUMPRODUCT(INDEX($AL$47:$AN$56,,$AE302), INDEX($AO$47:$AU$56,,$AD302), 1 / ($AW$47:$AW$56*CM302 + (1-$AW$47:$AW$56)*CI302), N($AK$47:$AK$56&gt;$AI302))
) / 1000</f>
        <v>0</v>
      </c>
      <c r="CO302" s="253" cm="1">
        <f t="array" ref="CO302">$BC302 * IF($AD302&lt;=2,
SUMPRODUCT(INDEX($AL$23:$AN$61,,$AE302), INDEX($AO$23:$AU$61,,$AD302), 1 / ($AV$23:$AV$61*CM302), N($AK$23:$AK$61&gt;$AI302)),
SUMPRODUCT(INDEX($AL$23:$AN$46,,$AE302), INDEX($AO$23:$AU$46,,$AD302), 1 / ($AW$23:$AW$46*CM302), N($AK$23:$AK$46&gt;$AI302))
) / 1000</f>
        <v>0</v>
      </c>
      <c r="CP302" s="237">
        <f t="shared" si="448"/>
        <v>0</v>
      </c>
      <c r="CQ302" s="210"/>
    </row>
    <row r="303" spans="1:95" s="76" customFormat="1" ht="14.25" customHeight="1" x14ac:dyDescent="0.2">
      <c r="A303" s="238" t="b">
        <f t="shared" si="227"/>
        <v>0</v>
      </c>
      <c r="B303" s="239">
        <v>281</v>
      </c>
      <c r="C303" s="258"/>
      <c r="D303" s="258"/>
      <c r="E303" s="240"/>
      <c r="F303" s="241" t="str">
        <f>IF(ISBLANK(E303), "", VLOOKUP(E303, Z!$A$2:$C$4127, 3, FALSE))</f>
        <v/>
      </c>
      <c r="G303" s="242"/>
      <c r="H303" s="242"/>
      <c r="I303" s="243"/>
      <c r="J303" s="244"/>
      <c r="K303" s="259"/>
      <c r="L303" s="260"/>
      <c r="M303" s="247" t="str" cm="1">
        <f t="array" ref="M303">IF($K303&gt;0, INDEX(Clean,1+AG303,$C$1), "")</f>
        <v/>
      </c>
      <c r="N303" s="245"/>
      <c r="O303" s="245"/>
      <c r="P303" s="246"/>
      <c r="Q303" s="248">
        <f t="shared" si="425"/>
        <v>0</v>
      </c>
      <c r="R303" s="247" t="str" cm="1">
        <f t="array" ref="R303">IF($K303&gt;0, INDEX(Clean,1+AH303,$C$1), "")</f>
        <v/>
      </c>
      <c r="S303" s="245"/>
      <c r="T303" s="245"/>
      <c r="U303" s="246"/>
      <c r="V303" s="248">
        <f t="shared" si="426"/>
        <v>0</v>
      </c>
      <c r="W303" s="261"/>
      <c r="X303" s="258"/>
      <c r="Y303" s="240"/>
      <c r="Z303" s="241" t="str">
        <f>IF(ISBLANK(Y303), "", VLOOKUP(Y303, Z!$A$2:$C$4127, 3, FALSE))</f>
        <v/>
      </c>
      <c r="AA303" s="262"/>
      <c r="AB303" s="249">
        <f t="shared" si="452"/>
        <v>0</v>
      </c>
      <c r="AC303" s="210"/>
      <c r="AD303" s="236">
        <f t="shared" si="449"/>
        <v>1</v>
      </c>
      <c r="AE303" s="236">
        <f t="shared" si="450"/>
        <v>1</v>
      </c>
      <c r="AF303" s="236">
        <f t="shared" si="451"/>
        <v>0</v>
      </c>
      <c r="AG303" s="236">
        <v>1</v>
      </c>
      <c r="AH303" s="236">
        <v>0</v>
      </c>
      <c r="AI303" s="236">
        <f t="shared" si="427"/>
        <v>-100</v>
      </c>
      <c r="AJ303" s="210"/>
      <c r="AK303" s="254"/>
      <c r="AL303" s="254"/>
      <c r="AM303" s="255"/>
      <c r="AN303" s="255"/>
      <c r="AO303" s="255"/>
      <c r="AP303" s="255"/>
      <c r="AQ303" s="255"/>
      <c r="AR303" s="255"/>
      <c r="AS303" s="255"/>
      <c r="AT303" s="255"/>
      <c r="AU303" s="255"/>
      <c r="AV303" s="255"/>
      <c r="AW303" s="255"/>
      <c r="AX303" s="210"/>
      <c r="AY303" s="236" cm="1">
        <f t="array" ref="AY303">INDEX(Use, $AD303, 4)</f>
        <v>7</v>
      </c>
      <c r="AZ303" s="236">
        <f t="shared" si="428"/>
        <v>32</v>
      </c>
      <c r="BA303" s="236">
        <f t="shared" si="239"/>
        <v>13</v>
      </c>
      <c r="BB303" s="236">
        <f t="shared" si="240"/>
        <v>0</v>
      </c>
      <c r="BC303" s="252" cm="1">
        <f t="array" ref="BC303">K303/IF($L303&gt;0, INDEX($AO$23:$AU$77, $L303+20, $AD303), 1)</f>
        <v>0</v>
      </c>
      <c r="BD303" s="237">
        <f t="shared" si="429"/>
        <v>0</v>
      </c>
      <c r="BE303" s="236">
        <v>35</v>
      </c>
      <c r="BF303" s="237">
        <f t="shared" si="430"/>
        <v>52.55</v>
      </c>
      <c r="BG303" s="253">
        <f t="shared" si="431"/>
        <v>2.7676728869374316</v>
      </c>
      <c r="BH303" s="253" cm="1">
        <f t="array" ref="BH303">$BC303 * SUMPRODUCT(INDEX($AL$77:$AN$82,,$AE303),INDEX($AO$77:$AU$82,,$AD303), N($AK$77:$AK$82&gt;$AI303)) / BG303 / 1000</f>
        <v>0</v>
      </c>
      <c r="BI303" s="250">
        <f t="shared" si="244"/>
        <v>30</v>
      </c>
      <c r="BJ303" s="237">
        <f t="shared" si="432"/>
        <v>46.033333333333331</v>
      </c>
      <c r="BK303" s="253">
        <f t="shared" si="433"/>
        <v>3.2297395388556791</v>
      </c>
      <c r="BL303" s="253" cm="1">
        <f t="array" ref="BL303">$BC303 * IF($AD303&lt;=2,
SUMPRODUCT(INDEX($AL$72:$AN$76,,$AE303), INDEX($AO$72:$AU$76,,$AD303), 1 / ($AV$72:$AV$76*BK303 + (1-$AV$72:$AV$76)*BG303), N($AK$72:$AK$76&gt;$AI303)),
SUMPRODUCT(INDEX($AL$67:$AN$76,,$AE303), INDEX($AO$67:$AU$76,,$AD303), 1 / ($AW$67:$AW$76*BK303 + (1-$AW$67:$AW$76)*BG303), N($AK$67:$AK$76&gt;$AI303))
) / 1000</f>
        <v>0</v>
      </c>
      <c r="BM303" s="250">
        <f t="shared" si="247"/>
        <v>25</v>
      </c>
      <c r="BN303" s="237">
        <f t="shared" si="434"/>
        <v>39.516666666666666</v>
      </c>
      <c r="BO303" s="253">
        <f t="shared" si="435"/>
        <v>3.877011788826243</v>
      </c>
      <c r="BP303" s="253" cm="1">
        <f t="array" ref="BP303">$BC303 * IF($AD303&lt;=2,
SUMPRODUCT(INDEX($AL$67:$AN$71,,$AE303), INDEX($AO$67:$AU$71,,$AD303), 1 / ($AV$67:$AV$71*BO303 + (1-$AV$67:$AV$71)*BK303), N($AK$67:$AK$71&gt;$AI303)),
SUMPRODUCT(INDEX($AL$57:$AN$66,,$AE303), INDEX($AO$57:$AU$66,,$AD303), 1 / ($AW$57:$AW$66*BO303 + (1-$AW$57:$AW$66)*BK303), N($AK$57:$AK$66&gt;$AI303))
) / 1000</f>
        <v>0</v>
      </c>
      <c r="BQ303" s="250">
        <f t="shared" si="250"/>
        <v>20</v>
      </c>
      <c r="BR303" s="237">
        <f t="shared" si="436"/>
        <v>33</v>
      </c>
      <c r="BS303" s="253">
        <f t="shared" si="437"/>
        <v>4.8487499999999999</v>
      </c>
      <c r="BT303" s="253" cm="1">
        <f t="array" ref="BT303">$BC303 * IF($AD303&lt;=2,
SUMPRODUCT(INDEX($AL$62:$AN$66,,$AE303), INDEX($AO$62:$AU$66,,$AD303), 1 / ($AV$62:$AV$66*BS303 + (1-$AV$62:$AV$66)*BO303), N($AK$62:$AK$66&gt;$AI303)),
SUMPRODUCT(INDEX($AL$47:$AN$56,,$AE303), INDEX($AO$47:$AU$56,,$AD303), 1 / ($AW$47:$AW$56*BS303 + (1-$AW$47:$AW$56)*BO303), N($AK$47:$AK$56&gt;$AI303))
) / 1000</f>
        <v>0</v>
      </c>
      <c r="BU303" s="253" cm="1">
        <f t="array" ref="BU303">$BC303 * IF($AD303&lt;=2,
SUMPRODUCT(INDEX($AL$23:$AN$61,,$AE303), INDEX($AO$23:$AU$61,,$AD303), 1 / ($AV$23:$AV$61*BS303), N($AK$23:$AK$61&gt;$AI303)),
SUMPRODUCT(INDEX($AL$23:$AN$46,,$AE303), INDEX($AO$23:$AU$46,,$AD303), 1 / ($AW$23:$AW$46*BS303), N($AK$23:$AK$46&gt;$AI303))
) / 1000</f>
        <v>0</v>
      </c>
      <c r="BV303" s="237">
        <f t="shared" si="438"/>
        <v>0</v>
      </c>
      <c r="BW303" s="210"/>
      <c r="BX303" s="237">
        <f t="shared" si="439"/>
        <v>0</v>
      </c>
      <c r="BY303" s="236">
        <v>35</v>
      </c>
      <c r="BZ303" s="237">
        <f t="shared" si="440"/>
        <v>48</v>
      </c>
      <c r="CA303" s="253">
        <f t="shared" si="441"/>
        <v>3.0748170731707316</v>
      </c>
      <c r="CB303" s="253" cm="1">
        <f t="array" ref="CB303">$BC303 * SUMPRODUCT(INDEX($AL$77:$AN$82,,$AE303),INDEX($AO$77:$AU$82,,$AD303), N($AK$77:$AK$82&gt;$AI303)) / CA303 / 1000</f>
        <v>0</v>
      </c>
      <c r="CC303" s="250">
        <f t="shared" si="257"/>
        <v>30</v>
      </c>
      <c r="CD303" s="237">
        <f t="shared" si="442"/>
        <v>43</v>
      </c>
      <c r="CE303" s="253">
        <f t="shared" si="443"/>
        <v>3.5018750000000001</v>
      </c>
      <c r="CF303" s="253" cm="1">
        <f t="array" ref="CF303">$BC303 * IF($AD303&lt;=2,
SUMPRODUCT(INDEX($AL$72:$AN$76,,$AE303), INDEX($AO$72:$AU$76,,$AD303), 1 / ($AV$72:$AV$76*CE303 + (1-$AV$72:$AV$76)*CA303), N($AK$72:$AK$76&gt;$AI303)),
SUMPRODUCT(INDEX($AL$67:$AN$76,,$AE303), INDEX($AO$67:$AU$76,,$AD303), 1 / ($AW$67:$AW$76*CE303 + (1-$AW$67:$AW$76)*CA303), N($AK$67:$AK$76&gt;$AI303))
) / 1000</f>
        <v>0</v>
      </c>
      <c r="CG303" s="250">
        <f t="shared" si="260"/>
        <v>25</v>
      </c>
      <c r="CH303" s="237">
        <f t="shared" si="444"/>
        <v>38</v>
      </c>
      <c r="CI303" s="253">
        <f t="shared" si="445"/>
        <v>4.0666935483870965</v>
      </c>
      <c r="CJ303" s="253" cm="1">
        <f t="array" ref="CJ303">$BC303 * IF($AD303&lt;=2,
SUMPRODUCT(INDEX($AL$67:$AN$71,,$AE303), INDEX($AO$67:$AU$71,,$AD303), 1 / ($AV$67:$AV$71*CI303 + (1-$AV$67:$AV$71)*CE303), N($AK$67:$AK$71&gt;$AI303)),
SUMPRODUCT(INDEX($AL$57:$AN$66,,$AE303), INDEX($AO$57:$AU$66,,$AD303), 1 / ($AW$57:$AW$66*CI303 + (1-$AW$57:$AW$66)*CE303), N($AK$57:$AK$66&gt;$AI303))
) / 1000</f>
        <v>0</v>
      </c>
      <c r="CK303" s="250">
        <f t="shared" si="263"/>
        <v>20</v>
      </c>
      <c r="CL303" s="237">
        <f t="shared" si="446"/>
        <v>33</v>
      </c>
      <c r="CM303" s="253">
        <f t="shared" si="447"/>
        <v>4.8487499999999999</v>
      </c>
      <c r="CN303" s="253" cm="1">
        <f t="array" ref="CN303">$BC303 * IF($AD303&lt;=2,
SUMPRODUCT(INDEX($AL$62:$AN$66,,$AE303), INDEX($AO$62:$AU$66,,$AD303), 1 / ($AV$62:$AV$66*CM303 + (1-$AV$62:$AV$66)*CI303), N($AK$62:$AK$66&gt;$AI303)),
SUMPRODUCT(INDEX($AL$47:$AN$56,,$AE303), INDEX($AO$47:$AU$56,,$AD303), 1 / ($AW$47:$AW$56*CM303 + (1-$AW$47:$AW$56)*CI303), N($AK$47:$AK$56&gt;$AI303))
) / 1000</f>
        <v>0</v>
      </c>
      <c r="CO303" s="253" cm="1">
        <f t="array" ref="CO303">$BC303 * IF($AD303&lt;=2,
SUMPRODUCT(INDEX($AL$23:$AN$61,,$AE303), INDEX($AO$23:$AU$61,,$AD303), 1 / ($AV$23:$AV$61*CM303), N($AK$23:$AK$61&gt;$AI303)),
SUMPRODUCT(INDEX($AL$23:$AN$46,,$AE303), INDEX($AO$23:$AU$46,,$AD303), 1 / ($AW$23:$AW$46*CM303), N($AK$23:$AK$46&gt;$AI303))
) / 1000</f>
        <v>0</v>
      </c>
      <c r="CP303" s="237">
        <f t="shared" si="448"/>
        <v>0</v>
      </c>
      <c r="CQ303" s="210"/>
    </row>
    <row r="304" spans="1:95" s="76" customFormat="1" ht="14.25" customHeight="1" x14ac:dyDescent="0.2">
      <c r="A304" s="238" t="b">
        <f t="shared" si="227"/>
        <v>0</v>
      </c>
      <c r="B304" s="239">
        <v>282</v>
      </c>
      <c r="C304" s="258"/>
      <c r="D304" s="258"/>
      <c r="E304" s="240"/>
      <c r="F304" s="241" t="str">
        <f>IF(ISBLANK(E304), "", VLOOKUP(E304, Z!$A$2:$C$4127, 3, FALSE))</f>
        <v/>
      </c>
      <c r="G304" s="242"/>
      <c r="H304" s="242"/>
      <c r="I304" s="243"/>
      <c r="J304" s="244"/>
      <c r="K304" s="259"/>
      <c r="L304" s="260"/>
      <c r="M304" s="247" t="str" cm="1">
        <f t="array" ref="M304">IF($K304&gt;0, INDEX(Clean,1+AG304,$C$1), "")</f>
        <v/>
      </c>
      <c r="N304" s="245"/>
      <c r="O304" s="245"/>
      <c r="P304" s="246"/>
      <c r="Q304" s="248">
        <f t="shared" si="425"/>
        <v>0</v>
      </c>
      <c r="R304" s="247" t="str" cm="1">
        <f t="array" ref="R304">IF($K304&gt;0, INDEX(Clean,1+AH304,$C$1), "")</f>
        <v/>
      </c>
      <c r="S304" s="245"/>
      <c r="T304" s="245"/>
      <c r="U304" s="246"/>
      <c r="V304" s="248">
        <f t="shared" si="426"/>
        <v>0</v>
      </c>
      <c r="W304" s="261"/>
      <c r="X304" s="258"/>
      <c r="Y304" s="240"/>
      <c r="Z304" s="241" t="str">
        <f>IF(ISBLANK(Y304), "", VLOOKUP(Y304, Z!$A$2:$C$4127, 3, FALSE))</f>
        <v/>
      </c>
      <c r="AA304" s="262"/>
      <c r="AB304" s="249">
        <f t="shared" si="452"/>
        <v>0</v>
      </c>
      <c r="AC304" s="210"/>
      <c r="AD304" s="236">
        <f t="shared" si="449"/>
        <v>1</v>
      </c>
      <c r="AE304" s="236">
        <f t="shared" si="450"/>
        <v>1</v>
      </c>
      <c r="AF304" s="236">
        <f t="shared" si="451"/>
        <v>0</v>
      </c>
      <c r="AG304" s="236">
        <v>1</v>
      </c>
      <c r="AH304" s="236">
        <v>0</v>
      </c>
      <c r="AI304" s="236">
        <f t="shared" si="427"/>
        <v>-100</v>
      </c>
      <c r="AJ304" s="210"/>
      <c r="AK304" s="254"/>
      <c r="AL304" s="254"/>
      <c r="AM304" s="255"/>
      <c r="AN304" s="255"/>
      <c r="AO304" s="255"/>
      <c r="AP304" s="255"/>
      <c r="AQ304" s="255"/>
      <c r="AR304" s="255"/>
      <c r="AS304" s="255"/>
      <c r="AT304" s="255"/>
      <c r="AU304" s="255"/>
      <c r="AV304" s="255"/>
      <c r="AW304" s="255"/>
      <c r="AX304" s="210"/>
      <c r="AY304" s="236" cm="1">
        <f t="array" ref="AY304">INDEX(Use, $AD304, 4)</f>
        <v>7</v>
      </c>
      <c r="AZ304" s="236">
        <f t="shared" si="428"/>
        <v>32</v>
      </c>
      <c r="BA304" s="236">
        <f t="shared" si="239"/>
        <v>13</v>
      </c>
      <c r="BB304" s="236">
        <f t="shared" si="240"/>
        <v>0</v>
      </c>
      <c r="BC304" s="252" cm="1">
        <f t="array" ref="BC304">K304/IF($L304&gt;0, INDEX($AO$23:$AU$77, $L304+20, $AD304), 1)</f>
        <v>0</v>
      </c>
      <c r="BD304" s="237">
        <f t="shared" si="429"/>
        <v>0</v>
      </c>
      <c r="BE304" s="236">
        <v>35</v>
      </c>
      <c r="BF304" s="237">
        <f t="shared" si="430"/>
        <v>52.55</v>
      </c>
      <c r="BG304" s="253">
        <f t="shared" si="431"/>
        <v>2.7676728869374316</v>
      </c>
      <c r="BH304" s="253" cm="1">
        <f t="array" ref="BH304">$BC304 * SUMPRODUCT(INDEX($AL$77:$AN$82,,$AE304),INDEX($AO$77:$AU$82,,$AD304), N($AK$77:$AK$82&gt;$AI304)) / BG304 / 1000</f>
        <v>0</v>
      </c>
      <c r="BI304" s="250">
        <f t="shared" si="244"/>
        <v>30</v>
      </c>
      <c r="BJ304" s="237">
        <f t="shared" si="432"/>
        <v>46.033333333333331</v>
      </c>
      <c r="BK304" s="253">
        <f t="shared" si="433"/>
        <v>3.2297395388556791</v>
      </c>
      <c r="BL304" s="253" cm="1">
        <f t="array" ref="BL304">$BC304 * IF($AD304&lt;=2,
SUMPRODUCT(INDEX($AL$72:$AN$76,,$AE304), INDEX($AO$72:$AU$76,,$AD304), 1 / ($AV$72:$AV$76*BK304 + (1-$AV$72:$AV$76)*BG304), N($AK$72:$AK$76&gt;$AI304)),
SUMPRODUCT(INDEX($AL$67:$AN$76,,$AE304), INDEX($AO$67:$AU$76,,$AD304), 1 / ($AW$67:$AW$76*BK304 + (1-$AW$67:$AW$76)*BG304), N($AK$67:$AK$76&gt;$AI304))
) / 1000</f>
        <v>0</v>
      </c>
      <c r="BM304" s="250">
        <f t="shared" si="247"/>
        <v>25</v>
      </c>
      <c r="BN304" s="237">
        <f t="shared" si="434"/>
        <v>39.516666666666666</v>
      </c>
      <c r="BO304" s="253">
        <f t="shared" si="435"/>
        <v>3.877011788826243</v>
      </c>
      <c r="BP304" s="253" cm="1">
        <f t="array" ref="BP304">$BC304 * IF($AD304&lt;=2,
SUMPRODUCT(INDEX($AL$67:$AN$71,,$AE304), INDEX($AO$67:$AU$71,,$AD304), 1 / ($AV$67:$AV$71*BO304 + (1-$AV$67:$AV$71)*BK304), N($AK$67:$AK$71&gt;$AI304)),
SUMPRODUCT(INDEX($AL$57:$AN$66,,$AE304), INDEX($AO$57:$AU$66,,$AD304), 1 / ($AW$57:$AW$66*BO304 + (1-$AW$57:$AW$66)*BK304), N($AK$57:$AK$66&gt;$AI304))
) / 1000</f>
        <v>0</v>
      </c>
      <c r="BQ304" s="250">
        <f t="shared" si="250"/>
        <v>20</v>
      </c>
      <c r="BR304" s="237">
        <f t="shared" si="436"/>
        <v>33</v>
      </c>
      <c r="BS304" s="253">
        <f t="shared" si="437"/>
        <v>4.8487499999999999</v>
      </c>
      <c r="BT304" s="253" cm="1">
        <f t="array" ref="BT304">$BC304 * IF($AD304&lt;=2,
SUMPRODUCT(INDEX($AL$62:$AN$66,,$AE304), INDEX($AO$62:$AU$66,,$AD304), 1 / ($AV$62:$AV$66*BS304 + (1-$AV$62:$AV$66)*BO304), N($AK$62:$AK$66&gt;$AI304)),
SUMPRODUCT(INDEX($AL$47:$AN$56,,$AE304), INDEX($AO$47:$AU$56,,$AD304), 1 / ($AW$47:$AW$56*BS304 + (1-$AW$47:$AW$56)*BO304), N($AK$47:$AK$56&gt;$AI304))
) / 1000</f>
        <v>0</v>
      </c>
      <c r="BU304" s="253" cm="1">
        <f t="array" ref="BU304">$BC304 * IF($AD304&lt;=2,
SUMPRODUCT(INDEX($AL$23:$AN$61,,$AE304), INDEX($AO$23:$AU$61,,$AD304), 1 / ($AV$23:$AV$61*BS304), N($AK$23:$AK$61&gt;$AI304)),
SUMPRODUCT(INDEX($AL$23:$AN$46,,$AE304), INDEX($AO$23:$AU$46,,$AD304), 1 / ($AW$23:$AW$46*BS304), N($AK$23:$AK$46&gt;$AI304))
) / 1000</f>
        <v>0</v>
      </c>
      <c r="BV304" s="237">
        <f t="shared" si="438"/>
        <v>0</v>
      </c>
      <c r="BW304" s="210"/>
      <c r="BX304" s="237">
        <f t="shared" si="439"/>
        <v>0</v>
      </c>
      <c r="BY304" s="236">
        <v>35</v>
      </c>
      <c r="BZ304" s="237">
        <f t="shared" si="440"/>
        <v>48</v>
      </c>
      <c r="CA304" s="253">
        <f t="shared" si="441"/>
        <v>3.0748170731707316</v>
      </c>
      <c r="CB304" s="253" cm="1">
        <f t="array" ref="CB304">$BC304 * SUMPRODUCT(INDEX($AL$77:$AN$82,,$AE304),INDEX($AO$77:$AU$82,,$AD304), N($AK$77:$AK$82&gt;$AI304)) / CA304 / 1000</f>
        <v>0</v>
      </c>
      <c r="CC304" s="250">
        <f t="shared" si="257"/>
        <v>30</v>
      </c>
      <c r="CD304" s="237">
        <f t="shared" si="442"/>
        <v>43</v>
      </c>
      <c r="CE304" s="253">
        <f t="shared" si="443"/>
        <v>3.5018750000000001</v>
      </c>
      <c r="CF304" s="253" cm="1">
        <f t="array" ref="CF304">$BC304 * IF($AD304&lt;=2,
SUMPRODUCT(INDEX($AL$72:$AN$76,,$AE304), INDEX($AO$72:$AU$76,,$AD304), 1 / ($AV$72:$AV$76*CE304 + (1-$AV$72:$AV$76)*CA304), N($AK$72:$AK$76&gt;$AI304)),
SUMPRODUCT(INDEX($AL$67:$AN$76,,$AE304), INDEX($AO$67:$AU$76,,$AD304), 1 / ($AW$67:$AW$76*CE304 + (1-$AW$67:$AW$76)*CA304), N($AK$67:$AK$76&gt;$AI304))
) / 1000</f>
        <v>0</v>
      </c>
      <c r="CG304" s="250">
        <f t="shared" si="260"/>
        <v>25</v>
      </c>
      <c r="CH304" s="237">
        <f t="shared" si="444"/>
        <v>38</v>
      </c>
      <c r="CI304" s="253">
        <f t="shared" si="445"/>
        <v>4.0666935483870965</v>
      </c>
      <c r="CJ304" s="253" cm="1">
        <f t="array" ref="CJ304">$BC304 * IF($AD304&lt;=2,
SUMPRODUCT(INDEX($AL$67:$AN$71,,$AE304), INDEX($AO$67:$AU$71,,$AD304), 1 / ($AV$67:$AV$71*CI304 + (1-$AV$67:$AV$71)*CE304), N($AK$67:$AK$71&gt;$AI304)),
SUMPRODUCT(INDEX($AL$57:$AN$66,,$AE304), INDEX($AO$57:$AU$66,,$AD304), 1 / ($AW$57:$AW$66*CI304 + (1-$AW$57:$AW$66)*CE304), N($AK$57:$AK$66&gt;$AI304))
) / 1000</f>
        <v>0</v>
      </c>
      <c r="CK304" s="250">
        <f t="shared" si="263"/>
        <v>20</v>
      </c>
      <c r="CL304" s="237">
        <f t="shared" si="446"/>
        <v>33</v>
      </c>
      <c r="CM304" s="253">
        <f t="shared" si="447"/>
        <v>4.8487499999999999</v>
      </c>
      <c r="CN304" s="253" cm="1">
        <f t="array" ref="CN304">$BC304 * IF($AD304&lt;=2,
SUMPRODUCT(INDEX($AL$62:$AN$66,,$AE304), INDEX($AO$62:$AU$66,,$AD304), 1 / ($AV$62:$AV$66*CM304 + (1-$AV$62:$AV$66)*CI304), N($AK$62:$AK$66&gt;$AI304)),
SUMPRODUCT(INDEX($AL$47:$AN$56,,$AE304), INDEX($AO$47:$AU$56,,$AD304), 1 / ($AW$47:$AW$56*CM304 + (1-$AW$47:$AW$56)*CI304), N($AK$47:$AK$56&gt;$AI304))
) / 1000</f>
        <v>0</v>
      </c>
      <c r="CO304" s="253" cm="1">
        <f t="array" ref="CO304">$BC304 * IF($AD304&lt;=2,
SUMPRODUCT(INDEX($AL$23:$AN$61,,$AE304), INDEX($AO$23:$AU$61,,$AD304), 1 / ($AV$23:$AV$61*CM304), N($AK$23:$AK$61&gt;$AI304)),
SUMPRODUCT(INDEX($AL$23:$AN$46,,$AE304), INDEX($AO$23:$AU$46,,$AD304), 1 / ($AW$23:$AW$46*CM304), N($AK$23:$AK$46&gt;$AI304))
) / 1000</f>
        <v>0</v>
      </c>
      <c r="CP304" s="237">
        <f t="shared" si="448"/>
        <v>0</v>
      </c>
      <c r="CQ304" s="210"/>
    </row>
    <row r="305" spans="1:95" s="76" customFormat="1" ht="14.25" customHeight="1" x14ac:dyDescent="0.2">
      <c r="A305" s="238" t="b">
        <f t="shared" si="227"/>
        <v>0</v>
      </c>
      <c r="B305" s="239">
        <v>283</v>
      </c>
      <c r="C305" s="258"/>
      <c r="D305" s="258"/>
      <c r="E305" s="240"/>
      <c r="F305" s="241" t="str">
        <f>IF(ISBLANK(E305), "", VLOOKUP(E305, Z!$A$2:$C$4127, 3, FALSE))</f>
        <v/>
      </c>
      <c r="G305" s="242"/>
      <c r="H305" s="242"/>
      <c r="I305" s="243"/>
      <c r="J305" s="244"/>
      <c r="K305" s="259"/>
      <c r="L305" s="260"/>
      <c r="M305" s="247" t="str" cm="1">
        <f t="array" ref="M305">IF($K305&gt;0, INDEX(Clean,1+AG305,$C$1), "")</f>
        <v/>
      </c>
      <c r="N305" s="245"/>
      <c r="O305" s="245"/>
      <c r="P305" s="246"/>
      <c r="Q305" s="248">
        <f t="shared" si="425"/>
        <v>0</v>
      </c>
      <c r="R305" s="247" t="str" cm="1">
        <f t="array" ref="R305">IF($K305&gt;0, INDEX(Clean,1+AH305,$C$1), "")</f>
        <v/>
      </c>
      <c r="S305" s="245"/>
      <c r="T305" s="245"/>
      <c r="U305" s="246"/>
      <c r="V305" s="248">
        <f t="shared" si="426"/>
        <v>0</v>
      </c>
      <c r="W305" s="261"/>
      <c r="X305" s="258"/>
      <c r="Y305" s="240"/>
      <c r="Z305" s="241" t="str">
        <f>IF(ISBLANK(Y305), "", VLOOKUP(Y305, Z!$A$2:$C$4127, 3, FALSE))</f>
        <v/>
      </c>
      <c r="AA305" s="262"/>
      <c r="AB305" s="249">
        <f t="shared" si="452"/>
        <v>0</v>
      </c>
      <c r="AC305" s="210"/>
      <c r="AD305" s="236">
        <f t="shared" si="449"/>
        <v>1</v>
      </c>
      <c r="AE305" s="236">
        <f t="shared" si="450"/>
        <v>1</v>
      </c>
      <c r="AF305" s="236">
        <f t="shared" si="451"/>
        <v>0</v>
      </c>
      <c r="AG305" s="236">
        <v>1</v>
      </c>
      <c r="AH305" s="236">
        <v>0</v>
      </c>
      <c r="AI305" s="236">
        <f t="shared" si="427"/>
        <v>-100</v>
      </c>
      <c r="AJ305" s="210"/>
      <c r="AK305" s="254"/>
      <c r="AL305" s="254"/>
      <c r="AM305" s="255"/>
      <c r="AN305" s="255"/>
      <c r="AO305" s="255"/>
      <c r="AP305" s="255"/>
      <c r="AQ305" s="255"/>
      <c r="AR305" s="255"/>
      <c r="AS305" s="255"/>
      <c r="AT305" s="255"/>
      <c r="AU305" s="255"/>
      <c r="AV305" s="255"/>
      <c r="AW305" s="255"/>
      <c r="AX305" s="210"/>
      <c r="AY305" s="236" cm="1">
        <f t="array" ref="AY305">INDEX(Use, $AD305, 4)</f>
        <v>7</v>
      </c>
      <c r="AZ305" s="236">
        <f t="shared" si="428"/>
        <v>32</v>
      </c>
      <c r="BA305" s="236">
        <f t="shared" si="239"/>
        <v>13</v>
      </c>
      <c r="BB305" s="236">
        <f t="shared" si="240"/>
        <v>0</v>
      </c>
      <c r="BC305" s="252" cm="1">
        <f t="array" ref="BC305">K305/IF($L305&gt;0, INDEX($AO$23:$AU$77, $L305+20, $AD305), 1)</f>
        <v>0</v>
      </c>
      <c r="BD305" s="237">
        <f t="shared" si="429"/>
        <v>0</v>
      </c>
      <c r="BE305" s="236">
        <v>35</v>
      </c>
      <c r="BF305" s="237">
        <f t="shared" si="430"/>
        <v>52.55</v>
      </c>
      <c r="BG305" s="253">
        <f t="shared" si="431"/>
        <v>2.7676728869374316</v>
      </c>
      <c r="BH305" s="253" cm="1">
        <f t="array" ref="BH305">$BC305 * SUMPRODUCT(INDEX($AL$77:$AN$82,,$AE305),INDEX($AO$77:$AU$82,,$AD305), N($AK$77:$AK$82&gt;$AI305)) / BG305 / 1000</f>
        <v>0</v>
      </c>
      <c r="BI305" s="250">
        <f t="shared" si="244"/>
        <v>30</v>
      </c>
      <c r="BJ305" s="237">
        <f t="shared" si="432"/>
        <v>46.033333333333331</v>
      </c>
      <c r="BK305" s="253">
        <f t="shared" si="433"/>
        <v>3.2297395388556791</v>
      </c>
      <c r="BL305" s="253" cm="1">
        <f t="array" ref="BL305">$BC305 * IF($AD305&lt;=2,
SUMPRODUCT(INDEX($AL$72:$AN$76,,$AE305), INDEX($AO$72:$AU$76,,$AD305), 1 / ($AV$72:$AV$76*BK305 + (1-$AV$72:$AV$76)*BG305), N($AK$72:$AK$76&gt;$AI305)),
SUMPRODUCT(INDEX($AL$67:$AN$76,,$AE305), INDEX($AO$67:$AU$76,,$AD305), 1 / ($AW$67:$AW$76*BK305 + (1-$AW$67:$AW$76)*BG305), N($AK$67:$AK$76&gt;$AI305))
) / 1000</f>
        <v>0</v>
      </c>
      <c r="BM305" s="250">
        <f t="shared" si="247"/>
        <v>25</v>
      </c>
      <c r="BN305" s="237">
        <f t="shared" si="434"/>
        <v>39.516666666666666</v>
      </c>
      <c r="BO305" s="253">
        <f t="shared" si="435"/>
        <v>3.877011788826243</v>
      </c>
      <c r="BP305" s="253" cm="1">
        <f t="array" ref="BP305">$BC305 * IF($AD305&lt;=2,
SUMPRODUCT(INDEX($AL$67:$AN$71,,$AE305), INDEX($AO$67:$AU$71,,$AD305), 1 / ($AV$67:$AV$71*BO305 + (1-$AV$67:$AV$71)*BK305), N($AK$67:$AK$71&gt;$AI305)),
SUMPRODUCT(INDEX($AL$57:$AN$66,,$AE305), INDEX($AO$57:$AU$66,,$AD305), 1 / ($AW$57:$AW$66*BO305 + (1-$AW$57:$AW$66)*BK305), N($AK$57:$AK$66&gt;$AI305))
) / 1000</f>
        <v>0</v>
      </c>
      <c r="BQ305" s="250">
        <f t="shared" si="250"/>
        <v>20</v>
      </c>
      <c r="BR305" s="237">
        <f t="shared" si="436"/>
        <v>33</v>
      </c>
      <c r="BS305" s="253">
        <f t="shared" si="437"/>
        <v>4.8487499999999999</v>
      </c>
      <c r="BT305" s="253" cm="1">
        <f t="array" ref="BT305">$BC305 * IF($AD305&lt;=2,
SUMPRODUCT(INDEX($AL$62:$AN$66,,$AE305), INDEX($AO$62:$AU$66,,$AD305), 1 / ($AV$62:$AV$66*BS305 + (1-$AV$62:$AV$66)*BO305), N($AK$62:$AK$66&gt;$AI305)),
SUMPRODUCT(INDEX($AL$47:$AN$56,,$AE305), INDEX($AO$47:$AU$56,,$AD305), 1 / ($AW$47:$AW$56*BS305 + (1-$AW$47:$AW$56)*BO305), N($AK$47:$AK$56&gt;$AI305))
) / 1000</f>
        <v>0</v>
      </c>
      <c r="BU305" s="253" cm="1">
        <f t="array" ref="BU305">$BC305 * IF($AD305&lt;=2,
SUMPRODUCT(INDEX($AL$23:$AN$61,,$AE305), INDEX($AO$23:$AU$61,,$AD305), 1 / ($AV$23:$AV$61*BS305), N($AK$23:$AK$61&gt;$AI305)),
SUMPRODUCT(INDEX($AL$23:$AN$46,,$AE305), INDEX($AO$23:$AU$46,,$AD305), 1 / ($AW$23:$AW$46*BS305), N($AK$23:$AK$46&gt;$AI305))
) / 1000</f>
        <v>0</v>
      </c>
      <c r="BV305" s="237">
        <f t="shared" si="438"/>
        <v>0</v>
      </c>
      <c r="BW305" s="210"/>
      <c r="BX305" s="237">
        <f t="shared" si="439"/>
        <v>0</v>
      </c>
      <c r="BY305" s="236">
        <v>35</v>
      </c>
      <c r="BZ305" s="237">
        <f t="shared" si="440"/>
        <v>48</v>
      </c>
      <c r="CA305" s="253">
        <f t="shared" si="441"/>
        <v>3.0748170731707316</v>
      </c>
      <c r="CB305" s="253" cm="1">
        <f t="array" ref="CB305">$BC305 * SUMPRODUCT(INDEX($AL$77:$AN$82,,$AE305),INDEX($AO$77:$AU$82,,$AD305), N($AK$77:$AK$82&gt;$AI305)) / CA305 / 1000</f>
        <v>0</v>
      </c>
      <c r="CC305" s="250">
        <f t="shared" si="257"/>
        <v>30</v>
      </c>
      <c r="CD305" s="237">
        <f t="shared" si="442"/>
        <v>43</v>
      </c>
      <c r="CE305" s="253">
        <f t="shared" si="443"/>
        <v>3.5018750000000001</v>
      </c>
      <c r="CF305" s="253" cm="1">
        <f t="array" ref="CF305">$BC305 * IF($AD305&lt;=2,
SUMPRODUCT(INDEX($AL$72:$AN$76,,$AE305), INDEX($AO$72:$AU$76,,$AD305), 1 / ($AV$72:$AV$76*CE305 + (1-$AV$72:$AV$76)*CA305), N($AK$72:$AK$76&gt;$AI305)),
SUMPRODUCT(INDEX($AL$67:$AN$76,,$AE305), INDEX($AO$67:$AU$76,,$AD305), 1 / ($AW$67:$AW$76*CE305 + (1-$AW$67:$AW$76)*CA305), N($AK$67:$AK$76&gt;$AI305))
) / 1000</f>
        <v>0</v>
      </c>
      <c r="CG305" s="250">
        <f t="shared" si="260"/>
        <v>25</v>
      </c>
      <c r="CH305" s="237">
        <f t="shared" si="444"/>
        <v>38</v>
      </c>
      <c r="CI305" s="253">
        <f t="shared" si="445"/>
        <v>4.0666935483870965</v>
      </c>
      <c r="CJ305" s="253" cm="1">
        <f t="array" ref="CJ305">$BC305 * IF($AD305&lt;=2,
SUMPRODUCT(INDEX($AL$67:$AN$71,,$AE305), INDEX($AO$67:$AU$71,,$AD305), 1 / ($AV$67:$AV$71*CI305 + (1-$AV$67:$AV$71)*CE305), N($AK$67:$AK$71&gt;$AI305)),
SUMPRODUCT(INDEX($AL$57:$AN$66,,$AE305), INDEX($AO$57:$AU$66,,$AD305), 1 / ($AW$57:$AW$66*CI305 + (1-$AW$57:$AW$66)*CE305), N($AK$57:$AK$66&gt;$AI305))
) / 1000</f>
        <v>0</v>
      </c>
      <c r="CK305" s="250">
        <f t="shared" si="263"/>
        <v>20</v>
      </c>
      <c r="CL305" s="237">
        <f t="shared" si="446"/>
        <v>33</v>
      </c>
      <c r="CM305" s="253">
        <f t="shared" si="447"/>
        <v>4.8487499999999999</v>
      </c>
      <c r="CN305" s="253" cm="1">
        <f t="array" ref="CN305">$BC305 * IF($AD305&lt;=2,
SUMPRODUCT(INDEX($AL$62:$AN$66,,$AE305), INDEX($AO$62:$AU$66,,$AD305), 1 / ($AV$62:$AV$66*CM305 + (1-$AV$62:$AV$66)*CI305), N($AK$62:$AK$66&gt;$AI305)),
SUMPRODUCT(INDEX($AL$47:$AN$56,,$AE305), INDEX($AO$47:$AU$56,,$AD305), 1 / ($AW$47:$AW$56*CM305 + (1-$AW$47:$AW$56)*CI305), N($AK$47:$AK$56&gt;$AI305))
) / 1000</f>
        <v>0</v>
      </c>
      <c r="CO305" s="253" cm="1">
        <f t="array" ref="CO305">$BC305 * IF($AD305&lt;=2,
SUMPRODUCT(INDEX($AL$23:$AN$61,,$AE305), INDEX($AO$23:$AU$61,,$AD305), 1 / ($AV$23:$AV$61*CM305), N($AK$23:$AK$61&gt;$AI305)),
SUMPRODUCT(INDEX($AL$23:$AN$46,,$AE305), INDEX($AO$23:$AU$46,,$AD305), 1 / ($AW$23:$AW$46*CM305), N($AK$23:$AK$46&gt;$AI305))
) / 1000</f>
        <v>0</v>
      </c>
      <c r="CP305" s="237">
        <f t="shared" si="448"/>
        <v>0</v>
      </c>
      <c r="CQ305" s="210"/>
    </row>
    <row r="306" spans="1:95" s="76" customFormat="1" ht="14.25" customHeight="1" x14ac:dyDescent="0.2">
      <c r="A306" s="238" t="b">
        <f t="shared" si="227"/>
        <v>0</v>
      </c>
      <c r="B306" s="239">
        <v>284</v>
      </c>
      <c r="C306" s="258"/>
      <c r="D306" s="258"/>
      <c r="E306" s="240"/>
      <c r="F306" s="241" t="str">
        <f>IF(ISBLANK(E306), "", VLOOKUP(E306, Z!$A$2:$C$4127, 3, FALSE))</f>
        <v/>
      </c>
      <c r="G306" s="242"/>
      <c r="H306" s="242"/>
      <c r="I306" s="243"/>
      <c r="J306" s="244"/>
      <c r="K306" s="259"/>
      <c r="L306" s="260"/>
      <c r="M306" s="247" t="str" cm="1">
        <f t="array" ref="M306">IF($K306&gt;0, INDEX(Clean,1+AG306,$C$1), "")</f>
        <v/>
      </c>
      <c r="N306" s="245"/>
      <c r="O306" s="245"/>
      <c r="P306" s="246"/>
      <c r="Q306" s="248">
        <f t="shared" si="425"/>
        <v>0</v>
      </c>
      <c r="R306" s="247" t="str" cm="1">
        <f t="array" ref="R306">IF($K306&gt;0, INDEX(Clean,1+AH306,$C$1), "")</f>
        <v/>
      </c>
      <c r="S306" s="245"/>
      <c r="T306" s="245"/>
      <c r="U306" s="246"/>
      <c r="V306" s="248">
        <f t="shared" si="426"/>
        <v>0</v>
      </c>
      <c r="W306" s="261"/>
      <c r="X306" s="258"/>
      <c r="Y306" s="240"/>
      <c r="Z306" s="241" t="str">
        <f>IF(ISBLANK(Y306), "", VLOOKUP(Y306, Z!$A$2:$C$4127, 3, FALSE))</f>
        <v/>
      </c>
      <c r="AA306" s="262"/>
      <c r="AB306" s="249">
        <f t="shared" si="452"/>
        <v>0</v>
      </c>
      <c r="AC306" s="210"/>
      <c r="AD306" s="236">
        <f t="shared" si="449"/>
        <v>1</v>
      </c>
      <c r="AE306" s="236">
        <f t="shared" si="450"/>
        <v>1</v>
      </c>
      <c r="AF306" s="236">
        <f t="shared" si="451"/>
        <v>0</v>
      </c>
      <c r="AG306" s="236">
        <v>1</v>
      </c>
      <c r="AH306" s="236">
        <v>0</v>
      </c>
      <c r="AI306" s="236">
        <f t="shared" si="427"/>
        <v>-100</v>
      </c>
      <c r="AJ306" s="210"/>
      <c r="AK306" s="254"/>
      <c r="AL306" s="254"/>
      <c r="AM306" s="255"/>
      <c r="AN306" s="255"/>
      <c r="AO306" s="255"/>
      <c r="AP306" s="255"/>
      <c r="AQ306" s="255"/>
      <c r="AR306" s="255"/>
      <c r="AS306" s="255"/>
      <c r="AT306" s="255"/>
      <c r="AU306" s="255"/>
      <c r="AV306" s="255"/>
      <c r="AW306" s="255"/>
      <c r="AX306" s="210"/>
      <c r="AY306" s="236" cm="1">
        <f t="array" ref="AY306">INDEX(Use, $AD306, 4)</f>
        <v>7</v>
      </c>
      <c r="AZ306" s="236">
        <f t="shared" si="428"/>
        <v>32</v>
      </c>
      <c r="BA306" s="236">
        <f t="shared" si="239"/>
        <v>13</v>
      </c>
      <c r="BB306" s="236">
        <f t="shared" si="240"/>
        <v>0</v>
      </c>
      <c r="BC306" s="252" cm="1">
        <f t="array" ref="BC306">K306/IF($L306&gt;0, INDEX($AO$23:$AU$77, $L306+20, $AD306), 1)</f>
        <v>0</v>
      </c>
      <c r="BD306" s="237">
        <f t="shared" si="429"/>
        <v>0</v>
      </c>
      <c r="BE306" s="236">
        <v>35</v>
      </c>
      <c r="BF306" s="237">
        <f t="shared" si="430"/>
        <v>52.55</v>
      </c>
      <c r="BG306" s="253">
        <f t="shared" si="431"/>
        <v>2.7676728869374316</v>
      </c>
      <c r="BH306" s="253" cm="1">
        <f t="array" ref="BH306">$BC306 * SUMPRODUCT(INDEX($AL$77:$AN$82,,$AE306),INDEX($AO$77:$AU$82,,$AD306), N($AK$77:$AK$82&gt;$AI306)) / BG306 / 1000</f>
        <v>0</v>
      </c>
      <c r="BI306" s="250">
        <f t="shared" si="244"/>
        <v>30</v>
      </c>
      <c r="BJ306" s="237">
        <f t="shared" si="432"/>
        <v>46.033333333333331</v>
      </c>
      <c r="BK306" s="253">
        <f t="shared" si="433"/>
        <v>3.2297395388556791</v>
      </c>
      <c r="BL306" s="253" cm="1">
        <f t="array" ref="BL306">$BC306 * IF($AD306&lt;=2,
SUMPRODUCT(INDEX($AL$72:$AN$76,,$AE306), INDEX($AO$72:$AU$76,,$AD306), 1 / ($AV$72:$AV$76*BK306 + (1-$AV$72:$AV$76)*BG306), N($AK$72:$AK$76&gt;$AI306)),
SUMPRODUCT(INDEX($AL$67:$AN$76,,$AE306), INDEX($AO$67:$AU$76,,$AD306), 1 / ($AW$67:$AW$76*BK306 + (1-$AW$67:$AW$76)*BG306), N($AK$67:$AK$76&gt;$AI306))
) / 1000</f>
        <v>0</v>
      </c>
      <c r="BM306" s="250">
        <f t="shared" si="247"/>
        <v>25</v>
      </c>
      <c r="BN306" s="237">
        <f t="shared" si="434"/>
        <v>39.516666666666666</v>
      </c>
      <c r="BO306" s="253">
        <f t="shared" si="435"/>
        <v>3.877011788826243</v>
      </c>
      <c r="BP306" s="253" cm="1">
        <f t="array" ref="BP306">$BC306 * IF($AD306&lt;=2,
SUMPRODUCT(INDEX($AL$67:$AN$71,,$AE306), INDEX($AO$67:$AU$71,,$AD306), 1 / ($AV$67:$AV$71*BO306 + (1-$AV$67:$AV$71)*BK306), N($AK$67:$AK$71&gt;$AI306)),
SUMPRODUCT(INDEX($AL$57:$AN$66,,$AE306), INDEX($AO$57:$AU$66,,$AD306), 1 / ($AW$57:$AW$66*BO306 + (1-$AW$57:$AW$66)*BK306), N($AK$57:$AK$66&gt;$AI306))
) / 1000</f>
        <v>0</v>
      </c>
      <c r="BQ306" s="250">
        <f t="shared" si="250"/>
        <v>20</v>
      </c>
      <c r="BR306" s="237">
        <f t="shared" si="436"/>
        <v>33</v>
      </c>
      <c r="BS306" s="253">
        <f t="shared" si="437"/>
        <v>4.8487499999999999</v>
      </c>
      <c r="BT306" s="253" cm="1">
        <f t="array" ref="BT306">$BC306 * IF($AD306&lt;=2,
SUMPRODUCT(INDEX($AL$62:$AN$66,,$AE306), INDEX($AO$62:$AU$66,,$AD306), 1 / ($AV$62:$AV$66*BS306 + (1-$AV$62:$AV$66)*BO306), N($AK$62:$AK$66&gt;$AI306)),
SUMPRODUCT(INDEX($AL$47:$AN$56,,$AE306), INDEX($AO$47:$AU$56,,$AD306), 1 / ($AW$47:$AW$56*BS306 + (1-$AW$47:$AW$56)*BO306), N($AK$47:$AK$56&gt;$AI306))
) / 1000</f>
        <v>0</v>
      </c>
      <c r="BU306" s="253" cm="1">
        <f t="array" ref="BU306">$BC306 * IF($AD306&lt;=2,
SUMPRODUCT(INDEX($AL$23:$AN$61,,$AE306), INDEX($AO$23:$AU$61,,$AD306), 1 / ($AV$23:$AV$61*BS306), N($AK$23:$AK$61&gt;$AI306)),
SUMPRODUCT(INDEX($AL$23:$AN$46,,$AE306), INDEX($AO$23:$AU$46,,$AD306), 1 / ($AW$23:$AW$46*BS306), N($AK$23:$AK$46&gt;$AI306))
) / 1000</f>
        <v>0</v>
      </c>
      <c r="BV306" s="237">
        <f t="shared" si="438"/>
        <v>0</v>
      </c>
      <c r="BW306" s="210"/>
      <c r="BX306" s="237">
        <f t="shared" si="439"/>
        <v>0</v>
      </c>
      <c r="BY306" s="236">
        <v>35</v>
      </c>
      <c r="BZ306" s="237">
        <f t="shared" si="440"/>
        <v>48</v>
      </c>
      <c r="CA306" s="253">
        <f t="shared" si="441"/>
        <v>3.0748170731707316</v>
      </c>
      <c r="CB306" s="253" cm="1">
        <f t="array" ref="CB306">$BC306 * SUMPRODUCT(INDEX($AL$77:$AN$82,,$AE306),INDEX($AO$77:$AU$82,,$AD306), N($AK$77:$AK$82&gt;$AI306)) / CA306 / 1000</f>
        <v>0</v>
      </c>
      <c r="CC306" s="250">
        <f t="shared" si="257"/>
        <v>30</v>
      </c>
      <c r="CD306" s="237">
        <f t="shared" si="442"/>
        <v>43</v>
      </c>
      <c r="CE306" s="253">
        <f t="shared" si="443"/>
        <v>3.5018750000000001</v>
      </c>
      <c r="CF306" s="253" cm="1">
        <f t="array" ref="CF306">$BC306 * IF($AD306&lt;=2,
SUMPRODUCT(INDEX($AL$72:$AN$76,,$AE306), INDEX($AO$72:$AU$76,,$AD306), 1 / ($AV$72:$AV$76*CE306 + (1-$AV$72:$AV$76)*CA306), N($AK$72:$AK$76&gt;$AI306)),
SUMPRODUCT(INDEX($AL$67:$AN$76,,$AE306), INDEX($AO$67:$AU$76,,$AD306), 1 / ($AW$67:$AW$76*CE306 + (1-$AW$67:$AW$76)*CA306), N($AK$67:$AK$76&gt;$AI306))
) / 1000</f>
        <v>0</v>
      </c>
      <c r="CG306" s="250">
        <f t="shared" si="260"/>
        <v>25</v>
      </c>
      <c r="CH306" s="237">
        <f t="shared" si="444"/>
        <v>38</v>
      </c>
      <c r="CI306" s="253">
        <f t="shared" si="445"/>
        <v>4.0666935483870965</v>
      </c>
      <c r="CJ306" s="253" cm="1">
        <f t="array" ref="CJ306">$BC306 * IF($AD306&lt;=2,
SUMPRODUCT(INDEX($AL$67:$AN$71,,$AE306), INDEX($AO$67:$AU$71,,$AD306), 1 / ($AV$67:$AV$71*CI306 + (1-$AV$67:$AV$71)*CE306), N($AK$67:$AK$71&gt;$AI306)),
SUMPRODUCT(INDEX($AL$57:$AN$66,,$AE306), INDEX($AO$57:$AU$66,,$AD306), 1 / ($AW$57:$AW$66*CI306 + (1-$AW$57:$AW$66)*CE306), N($AK$57:$AK$66&gt;$AI306))
) / 1000</f>
        <v>0</v>
      </c>
      <c r="CK306" s="250">
        <f t="shared" si="263"/>
        <v>20</v>
      </c>
      <c r="CL306" s="237">
        <f t="shared" si="446"/>
        <v>33</v>
      </c>
      <c r="CM306" s="253">
        <f t="shared" si="447"/>
        <v>4.8487499999999999</v>
      </c>
      <c r="CN306" s="253" cm="1">
        <f t="array" ref="CN306">$BC306 * IF($AD306&lt;=2,
SUMPRODUCT(INDEX($AL$62:$AN$66,,$AE306), INDEX($AO$62:$AU$66,,$AD306), 1 / ($AV$62:$AV$66*CM306 + (1-$AV$62:$AV$66)*CI306), N($AK$62:$AK$66&gt;$AI306)),
SUMPRODUCT(INDEX($AL$47:$AN$56,,$AE306), INDEX($AO$47:$AU$56,,$AD306), 1 / ($AW$47:$AW$56*CM306 + (1-$AW$47:$AW$56)*CI306), N($AK$47:$AK$56&gt;$AI306))
) / 1000</f>
        <v>0</v>
      </c>
      <c r="CO306" s="253" cm="1">
        <f t="array" ref="CO306">$BC306 * IF($AD306&lt;=2,
SUMPRODUCT(INDEX($AL$23:$AN$61,,$AE306), INDEX($AO$23:$AU$61,,$AD306), 1 / ($AV$23:$AV$61*CM306), N($AK$23:$AK$61&gt;$AI306)),
SUMPRODUCT(INDEX($AL$23:$AN$46,,$AE306), INDEX($AO$23:$AU$46,,$AD306), 1 / ($AW$23:$AW$46*CM306), N($AK$23:$AK$46&gt;$AI306))
) / 1000</f>
        <v>0</v>
      </c>
      <c r="CP306" s="237">
        <f t="shared" si="448"/>
        <v>0</v>
      </c>
      <c r="CQ306" s="210"/>
    </row>
    <row r="307" spans="1:95" s="76" customFormat="1" ht="14.25" customHeight="1" x14ac:dyDescent="0.2">
      <c r="A307" s="238" t="b">
        <f t="shared" si="227"/>
        <v>0</v>
      </c>
      <c r="B307" s="239">
        <v>285</v>
      </c>
      <c r="C307" s="258"/>
      <c r="D307" s="258"/>
      <c r="E307" s="240"/>
      <c r="F307" s="241" t="str">
        <f>IF(ISBLANK(E307), "", VLOOKUP(E307, Z!$A$2:$C$4127, 3, FALSE))</f>
        <v/>
      </c>
      <c r="G307" s="242"/>
      <c r="H307" s="242"/>
      <c r="I307" s="243"/>
      <c r="J307" s="244"/>
      <c r="K307" s="259"/>
      <c r="L307" s="260"/>
      <c r="M307" s="247" t="str" cm="1">
        <f t="array" ref="M307">IF($K307&gt;0, INDEX(Clean,1+AG307,$C$1), "")</f>
        <v/>
      </c>
      <c r="N307" s="245"/>
      <c r="O307" s="245"/>
      <c r="P307" s="246"/>
      <c r="Q307" s="248">
        <f t="shared" si="425"/>
        <v>0</v>
      </c>
      <c r="R307" s="247" t="str" cm="1">
        <f t="array" ref="R307">IF($K307&gt;0, INDEX(Clean,1+AH307,$C$1), "")</f>
        <v/>
      </c>
      <c r="S307" s="245"/>
      <c r="T307" s="245"/>
      <c r="U307" s="246"/>
      <c r="V307" s="248">
        <f t="shared" si="426"/>
        <v>0</v>
      </c>
      <c r="W307" s="261"/>
      <c r="X307" s="258"/>
      <c r="Y307" s="240"/>
      <c r="Z307" s="241" t="str">
        <f>IF(ISBLANK(Y307), "", VLOOKUP(Y307, Z!$A$2:$C$4127, 3, FALSE))</f>
        <v/>
      </c>
      <c r="AA307" s="262"/>
      <c r="AB307" s="249">
        <f t="shared" si="452"/>
        <v>0</v>
      </c>
      <c r="AC307" s="210"/>
      <c r="AD307" s="236">
        <f t="shared" si="449"/>
        <v>1</v>
      </c>
      <c r="AE307" s="236">
        <f t="shared" si="450"/>
        <v>1</v>
      </c>
      <c r="AF307" s="236">
        <f t="shared" si="451"/>
        <v>0</v>
      </c>
      <c r="AG307" s="236">
        <v>1</v>
      </c>
      <c r="AH307" s="236">
        <v>0</v>
      </c>
      <c r="AI307" s="236">
        <f t="shared" si="427"/>
        <v>-100</v>
      </c>
      <c r="AJ307" s="210"/>
      <c r="AK307" s="254"/>
      <c r="AL307" s="254"/>
      <c r="AM307" s="255"/>
      <c r="AN307" s="255"/>
      <c r="AO307" s="255"/>
      <c r="AP307" s="255"/>
      <c r="AQ307" s="255"/>
      <c r="AR307" s="255"/>
      <c r="AS307" s="255"/>
      <c r="AT307" s="255"/>
      <c r="AU307" s="255"/>
      <c r="AV307" s="255"/>
      <c r="AW307" s="255"/>
      <c r="AX307" s="210"/>
      <c r="AY307" s="236" cm="1">
        <f t="array" ref="AY307">INDEX(Use, $AD307, 4)</f>
        <v>7</v>
      </c>
      <c r="AZ307" s="236">
        <f t="shared" si="428"/>
        <v>32</v>
      </c>
      <c r="BA307" s="236">
        <f t="shared" si="239"/>
        <v>13</v>
      </c>
      <c r="BB307" s="236">
        <f t="shared" si="240"/>
        <v>0</v>
      </c>
      <c r="BC307" s="252" cm="1">
        <f t="array" ref="BC307">K307/IF($L307&gt;0, INDEX($AO$23:$AU$77, $L307+20, $AD307), 1)</f>
        <v>0</v>
      </c>
      <c r="BD307" s="237">
        <f t="shared" si="429"/>
        <v>0</v>
      </c>
      <c r="BE307" s="236">
        <v>35</v>
      </c>
      <c r="BF307" s="237">
        <f t="shared" si="430"/>
        <v>52.55</v>
      </c>
      <c r="BG307" s="253">
        <f t="shared" si="431"/>
        <v>2.7676728869374316</v>
      </c>
      <c r="BH307" s="253" cm="1">
        <f t="array" ref="BH307">$BC307 * SUMPRODUCT(INDEX($AL$77:$AN$82,,$AE307),INDEX($AO$77:$AU$82,,$AD307), N($AK$77:$AK$82&gt;$AI307)) / BG307 / 1000</f>
        <v>0</v>
      </c>
      <c r="BI307" s="250">
        <f t="shared" si="244"/>
        <v>30</v>
      </c>
      <c r="BJ307" s="237">
        <f t="shared" si="432"/>
        <v>46.033333333333331</v>
      </c>
      <c r="BK307" s="253">
        <f t="shared" si="433"/>
        <v>3.2297395388556791</v>
      </c>
      <c r="BL307" s="253" cm="1">
        <f t="array" ref="BL307">$BC307 * IF($AD307&lt;=2,
SUMPRODUCT(INDEX($AL$72:$AN$76,,$AE307), INDEX($AO$72:$AU$76,,$AD307), 1 / ($AV$72:$AV$76*BK307 + (1-$AV$72:$AV$76)*BG307), N($AK$72:$AK$76&gt;$AI307)),
SUMPRODUCT(INDEX($AL$67:$AN$76,,$AE307), INDEX($AO$67:$AU$76,,$AD307), 1 / ($AW$67:$AW$76*BK307 + (1-$AW$67:$AW$76)*BG307), N($AK$67:$AK$76&gt;$AI307))
) / 1000</f>
        <v>0</v>
      </c>
      <c r="BM307" s="250">
        <f t="shared" si="247"/>
        <v>25</v>
      </c>
      <c r="BN307" s="237">
        <f t="shared" si="434"/>
        <v>39.516666666666666</v>
      </c>
      <c r="BO307" s="253">
        <f t="shared" si="435"/>
        <v>3.877011788826243</v>
      </c>
      <c r="BP307" s="253" cm="1">
        <f t="array" ref="BP307">$BC307 * IF($AD307&lt;=2,
SUMPRODUCT(INDEX($AL$67:$AN$71,,$AE307), INDEX($AO$67:$AU$71,,$AD307), 1 / ($AV$67:$AV$71*BO307 + (1-$AV$67:$AV$71)*BK307), N($AK$67:$AK$71&gt;$AI307)),
SUMPRODUCT(INDEX($AL$57:$AN$66,,$AE307), INDEX($AO$57:$AU$66,,$AD307), 1 / ($AW$57:$AW$66*BO307 + (1-$AW$57:$AW$66)*BK307), N($AK$57:$AK$66&gt;$AI307))
) / 1000</f>
        <v>0</v>
      </c>
      <c r="BQ307" s="250">
        <f t="shared" si="250"/>
        <v>20</v>
      </c>
      <c r="BR307" s="237">
        <f t="shared" si="436"/>
        <v>33</v>
      </c>
      <c r="BS307" s="253">
        <f t="shared" si="437"/>
        <v>4.8487499999999999</v>
      </c>
      <c r="BT307" s="253" cm="1">
        <f t="array" ref="BT307">$BC307 * IF($AD307&lt;=2,
SUMPRODUCT(INDEX($AL$62:$AN$66,,$AE307), INDEX($AO$62:$AU$66,,$AD307), 1 / ($AV$62:$AV$66*BS307 + (1-$AV$62:$AV$66)*BO307), N($AK$62:$AK$66&gt;$AI307)),
SUMPRODUCT(INDEX($AL$47:$AN$56,,$AE307), INDEX($AO$47:$AU$56,,$AD307), 1 / ($AW$47:$AW$56*BS307 + (1-$AW$47:$AW$56)*BO307), N($AK$47:$AK$56&gt;$AI307))
) / 1000</f>
        <v>0</v>
      </c>
      <c r="BU307" s="253" cm="1">
        <f t="array" ref="BU307">$BC307 * IF($AD307&lt;=2,
SUMPRODUCT(INDEX($AL$23:$AN$61,,$AE307), INDEX($AO$23:$AU$61,,$AD307), 1 / ($AV$23:$AV$61*BS307), N($AK$23:$AK$61&gt;$AI307)),
SUMPRODUCT(INDEX($AL$23:$AN$46,,$AE307), INDEX($AO$23:$AU$46,,$AD307), 1 / ($AW$23:$AW$46*BS307), N($AK$23:$AK$46&gt;$AI307))
) / 1000</f>
        <v>0</v>
      </c>
      <c r="BV307" s="237">
        <f t="shared" si="438"/>
        <v>0</v>
      </c>
      <c r="BW307" s="210"/>
      <c r="BX307" s="237">
        <f t="shared" si="439"/>
        <v>0</v>
      </c>
      <c r="BY307" s="236">
        <v>35</v>
      </c>
      <c r="BZ307" s="237">
        <f t="shared" si="440"/>
        <v>48</v>
      </c>
      <c r="CA307" s="253">
        <f t="shared" si="441"/>
        <v>3.0748170731707316</v>
      </c>
      <c r="CB307" s="253" cm="1">
        <f t="array" ref="CB307">$BC307 * SUMPRODUCT(INDEX($AL$77:$AN$82,,$AE307),INDEX($AO$77:$AU$82,,$AD307), N($AK$77:$AK$82&gt;$AI307)) / CA307 / 1000</f>
        <v>0</v>
      </c>
      <c r="CC307" s="250">
        <f t="shared" si="257"/>
        <v>30</v>
      </c>
      <c r="CD307" s="237">
        <f t="shared" si="442"/>
        <v>43</v>
      </c>
      <c r="CE307" s="253">
        <f t="shared" si="443"/>
        <v>3.5018750000000001</v>
      </c>
      <c r="CF307" s="253" cm="1">
        <f t="array" ref="CF307">$BC307 * IF($AD307&lt;=2,
SUMPRODUCT(INDEX($AL$72:$AN$76,,$AE307), INDEX($AO$72:$AU$76,,$AD307), 1 / ($AV$72:$AV$76*CE307 + (1-$AV$72:$AV$76)*CA307), N($AK$72:$AK$76&gt;$AI307)),
SUMPRODUCT(INDEX($AL$67:$AN$76,,$AE307), INDEX($AO$67:$AU$76,,$AD307), 1 / ($AW$67:$AW$76*CE307 + (1-$AW$67:$AW$76)*CA307), N($AK$67:$AK$76&gt;$AI307))
) / 1000</f>
        <v>0</v>
      </c>
      <c r="CG307" s="250">
        <f t="shared" si="260"/>
        <v>25</v>
      </c>
      <c r="CH307" s="237">
        <f t="shared" si="444"/>
        <v>38</v>
      </c>
      <c r="CI307" s="253">
        <f t="shared" si="445"/>
        <v>4.0666935483870965</v>
      </c>
      <c r="CJ307" s="253" cm="1">
        <f t="array" ref="CJ307">$BC307 * IF($AD307&lt;=2,
SUMPRODUCT(INDEX($AL$67:$AN$71,,$AE307), INDEX($AO$67:$AU$71,,$AD307), 1 / ($AV$67:$AV$71*CI307 + (1-$AV$67:$AV$71)*CE307), N($AK$67:$AK$71&gt;$AI307)),
SUMPRODUCT(INDEX($AL$57:$AN$66,,$AE307), INDEX($AO$57:$AU$66,,$AD307), 1 / ($AW$57:$AW$66*CI307 + (1-$AW$57:$AW$66)*CE307), N($AK$57:$AK$66&gt;$AI307))
) / 1000</f>
        <v>0</v>
      </c>
      <c r="CK307" s="250">
        <f t="shared" si="263"/>
        <v>20</v>
      </c>
      <c r="CL307" s="237">
        <f t="shared" si="446"/>
        <v>33</v>
      </c>
      <c r="CM307" s="253">
        <f t="shared" si="447"/>
        <v>4.8487499999999999</v>
      </c>
      <c r="CN307" s="253" cm="1">
        <f t="array" ref="CN307">$BC307 * IF($AD307&lt;=2,
SUMPRODUCT(INDEX($AL$62:$AN$66,,$AE307), INDEX($AO$62:$AU$66,,$AD307), 1 / ($AV$62:$AV$66*CM307 + (1-$AV$62:$AV$66)*CI307), N($AK$62:$AK$66&gt;$AI307)),
SUMPRODUCT(INDEX($AL$47:$AN$56,,$AE307), INDEX($AO$47:$AU$56,,$AD307), 1 / ($AW$47:$AW$56*CM307 + (1-$AW$47:$AW$56)*CI307), N($AK$47:$AK$56&gt;$AI307))
) / 1000</f>
        <v>0</v>
      </c>
      <c r="CO307" s="253" cm="1">
        <f t="array" ref="CO307">$BC307 * IF($AD307&lt;=2,
SUMPRODUCT(INDEX($AL$23:$AN$61,,$AE307), INDEX($AO$23:$AU$61,,$AD307), 1 / ($AV$23:$AV$61*CM307), N($AK$23:$AK$61&gt;$AI307)),
SUMPRODUCT(INDEX($AL$23:$AN$46,,$AE307), INDEX($AO$23:$AU$46,,$AD307), 1 / ($AW$23:$AW$46*CM307), N($AK$23:$AK$46&gt;$AI307))
) / 1000</f>
        <v>0</v>
      </c>
      <c r="CP307" s="237">
        <f t="shared" si="448"/>
        <v>0</v>
      </c>
      <c r="CQ307" s="210"/>
    </row>
    <row r="308" spans="1:95" s="76" customFormat="1" ht="14.25" customHeight="1" x14ac:dyDescent="0.2">
      <c r="A308" s="238" t="b">
        <f t="shared" si="227"/>
        <v>0</v>
      </c>
      <c r="B308" s="239">
        <v>286</v>
      </c>
      <c r="C308" s="258"/>
      <c r="D308" s="258"/>
      <c r="E308" s="240"/>
      <c r="F308" s="241" t="str">
        <f>IF(ISBLANK(E308), "", VLOOKUP(E308, Z!$A$2:$C$4127, 3, FALSE))</f>
        <v/>
      </c>
      <c r="G308" s="242"/>
      <c r="H308" s="242"/>
      <c r="I308" s="243"/>
      <c r="J308" s="244"/>
      <c r="K308" s="259"/>
      <c r="L308" s="260"/>
      <c r="M308" s="247" t="str" cm="1">
        <f t="array" ref="M308">IF($K308&gt;0, INDEX(Clean,1+AG308,$C$1), "")</f>
        <v/>
      </c>
      <c r="N308" s="245"/>
      <c r="O308" s="245"/>
      <c r="P308" s="246"/>
      <c r="Q308" s="248">
        <f t="shared" si="425"/>
        <v>0</v>
      </c>
      <c r="R308" s="247" t="str" cm="1">
        <f t="array" ref="R308">IF($K308&gt;0, INDEX(Clean,1+AH308,$C$1), "")</f>
        <v/>
      </c>
      <c r="S308" s="245"/>
      <c r="T308" s="245"/>
      <c r="U308" s="246"/>
      <c r="V308" s="248">
        <f t="shared" si="426"/>
        <v>0</v>
      </c>
      <c r="W308" s="261"/>
      <c r="X308" s="258"/>
      <c r="Y308" s="240"/>
      <c r="Z308" s="241" t="str">
        <f>IF(ISBLANK(Y308), "", VLOOKUP(Y308, Z!$A$2:$C$4127, 3, FALSE))</f>
        <v/>
      </c>
      <c r="AA308" s="262"/>
      <c r="AB308" s="249">
        <f t="shared" si="452"/>
        <v>0</v>
      </c>
      <c r="AC308" s="210"/>
      <c r="AD308" s="236">
        <f t="shared" si="449"/>
        <v>1</v>
      </c>
      <c r="AE308" s="236">
        <f t="shared" si="450"/>
        <v>1</v>
      </c>
      <c r="AF308" s="236">
        <f t="shared" si="451"/>
        <v>0</v>
      </c>
      <c r="AG308" s="236">
        <v>1</v>
      </c>
      <c r="AH308" s="236">
        <v>0</v>
      </c>
      <c r="AI308" s="236">
        <f t="shared" si="427"/>
        <v>-100</v>
      </c>
      <c r="AJ308" s="210"/>
      <c r="AK308" s="254"/>
      <c r="AL308" s="254"/>
      <c r="AM308" s="255"/>
      <c r="AN308" s="255"/>
      <c r="AO308" s="255"/>
      <c r="AP308" s="255"/>
      <c r="AQ308" s="255"/>
      <c r="AR308" s="255"/>
      <c r="AS308" s="255"/>
      <c r="AT308" s="255"/>
      <c r="AU308" s="255"/>
      <c r="AV308" s="255"/>
      <c r="AW308" s="255"/>
      <c r="AX308" s="210"/>
      <c r="AY308" s="236" cm="1">
        <f t="array" ref="AY308">INDEX(Use, $AD308, 4)</f>
        <v>7</v>
      </c>
      <c r="AZ308" s="236">
        <f t="shared" si="428"/>
        <v>32</v>
      </c>
      <c r="BA308" s="236">
        <f t="shared" si="239"/>
        <v>13</v>
      </c>
      <c r="BB308" s="236">
        <f t="shared" si="240"/>
        <v>0</v>
      </c>
      <c r="BC308" s="252" cm="1">
        <f t="array" ref="BC308">K308/IF($L308&gt;0, INDEX($AO$23:$AU$77, $L308+20, $AD308), 1)</f>
        <v>0</v>
      </c>
      <c r="BD308" s="237">
        <f t="shared" si="429"/>
        <v>0</v>
      </c>
      <c r="BE308" s="236">
        <v>35</v>
      </c>
      <c r="BF308" s="237">
        <f t="shared" si="430"/>
        <v>52.55</v>
      </c>
      <c r="BG308" s="253">
        <f t="shared" si="431"/>
        <v>2.7676728869374316</v>
      </c>
      <c r="BH308" s="253" cm="1">
        <f t="array" ref="BH308">$BC308 * SUMPRODUCT(INDEX($AL$77:$AN$82,,$AE308),INDEX($AO$77:$AU$82,,$AD308), N($AK$77:$AK$82&gt;$AI308)) / BG308 / 1000</f>
        <v>0</v>
      </c>
      <c r="BI308" s="250">
        <f t="shared" si="244"/>
        <v>30</v>
      </c>
      <c r="BJ308" s="237">
        <f t="shared" si="432"/>
        <v>46.033333333333331</v>
      </c>
      <c r="BK308" s="253">
        <f t="shared" si="433"/>
        <v>3.2297395388556791</v>
      </c>
      <c r="BL308" s="253" cm="1">
        <f t="array" ref="BL308">$BC308 * IF($AD308&lt;=2,
SUMPRODUCT(INDEX($AL$72:$AN$76,,$AE308), INDEX($AO$72:$AU$76,,$AD308), 1 / ($AV$72:$AV$76*BK308 + (1-$AV$72:$AV$76)*BG308), N($AK$72:$AK$76&gt;$AI308)),
SUMPRODUCT(INDEX($AL$67:$AN$76,,$AE308), INDEX($AO$67:$AU$76,,$AD308), 1 / ($AW$67:$AW$76*BK308 + (1-$AW$67:$AW$76)*BG308), N($AK$67:$AK$76&gt;$AI308))
) / 1000</f>
        <v>0</v>
      </c>
      <c r="BM308" s="250">
        <f t="shared" si="247"/>
        <v>25</v>
      </c>
      <c r="BN308" s="237">
        <f t="shared" si="434"/>
        <v>39.516666666666666</v>
      </c>
      <c r="BO308" s="253">
        <f t="shared" si="435"/>
        <v>3.877011788826243</v>
      </c>
      <c r="BP308" s="253" cm="1">
        <f t="array" ref="BP308">$BC308 * IF($AD308&lt;=2,
SUMPRODUCT(INDEX($AL$67:$AN$71,,$AE308), INDEX($AO$67:$AU$71,,$AD308), 1 / ($AV$67:$AV$71*BO308 + (1-$AV$67:$AV$71)*BK308), N($AK$67:$AK$71&gt;$AI308)),
SUMPRODUCT(INDEX($AL$57:$AN$66,,$AE308), INDEX($AO$57:$AU$66,,$AD308), 1 / ($AW$57:$AW$66*BO308 + (1-$AW$57:$AW$66)*BK308), N($AK$57:$AK$66&gt;$AI308))
) / 1000</f>
        <v>0</v>
      </c>
      <c r="BQ308" s="250">
        <f t="shared" si="250"/>
        <v>20</v>
      </c>
      <c r="BR308" s="237">
        <f t="shared" si="436"/>
        <v>33</v>
      </c>
      <c r="BS308" s="253">
        <f t="shared" si="437"/>
        <v>4.8487499999999999</v>
      </c>
      <c r="BT308" s="253" cm="1">
        <f t="array" ref="BT308">$BC308 * IF($AD308&lt;=2,
SUMPRODUCT(INDEX($AL$62:$AN$66,,$AE308), INDEX($AO$62:$AU$66,,$AD308), 1 / ($AV$62:$AV$66*BS308 + (1-$AV$62:$AV$66)*BO308), N($AK$62:$AK$66&gt;$AI308)),
SUMPRODUCT(INDEX($AL$47:$AN$56,,$AE308), INDEX($AO$47:$AU$56,,$AD308), 1 / ($AW$47:$AW$56*BS308 + (1-$AW$47:$AW$56)*BO308), N($AK$47:$AK$56&gt;$AI308))
) / 1000</f>
        <v>0</v>
      </c>
      <c r="BU308" s="253" cm="1">
        <f t="array" ref="BU308">$BC308 * IF($AD308&lt;=2,
SUMPRODUCT(INDEX($AL$23:$AN$61,,$AE308), INDEX($AO$23:$AU$61,,$AD308), 1 / ($AV$23:$AV$61*BS308), N($AK$23:$AK$61&gt;$AI308)),
SUMPRODUCT(INDEX($AL$23:$AN$46,,$AE308), INDEX($AO$23:$AU$46,,$AD308), 1 / ($AW$23:$AW$46*BS308), N($AK$23:$AK$46&gt;$AI308))
) / 1000</f>
        <v>0</v>
      </c>
      <c r="BV308" s="237">
        <f t="shared" si="438"/>
        <v>0</v>
      </c>
      <c r="BW308" s="210"/>
      <c r="BX308" s="237">
        <f t="shared" si="439"/>
        <v>0</v>
      </c>
      <c r="BY308" s="236">
        <v>35</v>
      </c>
      <c r="BZ308" s="237">
        <f t="shared" si="440"/>
        <v>48</v>
      </c>
      <c r="CA308" s="253">
        <f t="shared" si="441"/>
        <v>3.0748170731707316</v>
      </c>
      <c r="CB308" s="253" cm="1">
        <f t="array" ref="CB308">$BC308 * SUMPRODUCT(INDEX($AL$77:$AN$82,,$AE308),INDEX($AO$77:$AU$82,,$AD308), N($AK$77:$AK$82&gt;$AI308)) / CA308 / 1000</f>
        <v>0</v>
      </c>
      <c r="CC308" s="250">
        <f t="shared" si="257"/>
        <v>30</v>
      </c>
      <c r="CD308" s="237">
        <f t="shared" si="442"/>
        <v>43</v>
      </c>
      <c r="CE308" s="253">
        <f t="shared" si="443"/>
        <v>3.5018750000000001</v>
      </c>
      <c r="CF308" s="253" cm="1">
        <f t="array" ref="CF308">$BC308 * IF($AD308&lt;=2,
SUMPRODUCT(INDEX($AL$72:$AN$76,,$AE308), INDEX($AO$72:$AU$76,,$AD308), 1 / ($AV$72:$AV$76*CE308 + (1-$AV$72:$AV$76)*CA308), N($AK$72:$AK$76&gt;$AI308)),
SUMPRODUCT(INDEX($AL$67:$AN$76,,$AE308), INDEX($AO$67:$AU$76,,$AD308), 1 / ($AW$67:$AW$76*CE308 + (1-$AW$67:$AW$76)*CA308), N($AK$67:$AK$76&gt;$AI308))
) / 1000</f>
        <v>0</v>
      </c>
      <c r="CG308" s="250">
        <f t="shared" si="260"/>
        <v>25</v>
      </c>
      <c r="CH308" s="237">
        <f t="shared" si="444"/>
        <v>38</v>
      </c>
      <c r="CI308" s="253">
        <f t="shared" si="445"/>
        <v>4.0666935483870965</v>
      </c>
      <c r="CJ308" s="253" cm="1">
        <f t="array" ref="CJ308">$BC308 * IF($AD308&lt;=2,
SUMPRODUCT(INDEX($AL$67:$AN$71,,$AE308), INDEX($AO$67:$AU$71,,$AD308), 1 / ($AV$67:$AV$71*CI308 + (1-$AV$67:$AV$71)*CE308), N($AK$67:$AK$71&gt;$AI308)),
SUMPRODUCT(INDEX($AL$57:$AN$66,,$AE308), INDEX($AO$57:$AU$66,,$AD308), 1 / ($AW$57:$AW$66*CI308 + (1-$AW$57:$AW$66)*CE308), N($AK$57:$AK$66&gt;$AI308))
) / 1000</f>
        <v>0</v>
      </c>
      <c r="CK308" s="250">
        <f t="shared" si="263"/>
        <v>20</v>
      </c>
      <c r="CL308" s="237">
        <f t="shared" si="446"/>
        <v>33</v>
      </c>
      <c r="CM308" s="253">
        <f t="shared" si="447"/>
        <v>4.8487499999999999</v>
      </c>
      <c r="CN308" s="253" cm="1">
        <f t="array" ref="CN308">$BC308 * IF($AD308&lt;=2,
SUMPRODUCT(INDEX($AL$62:$AN$66,,$AE308), INDEX($AO$62:$AU$66,,$AD308), 1 / ($AV$62:$AV$66*CM308 + (1-$AV$62:$AV$66)*CI308), N($AK$62:$AK$66&gt;$AI308)),
SUMPRODUCT(INDEX($AL$47:$AN$56,,$AE308), INDEX($AO$47:$AU$56,,$AD308), 1 / ($AW$47:$AW$56*CM308 + (1-$AW$47:$AW$56)*CI308), N($AK$47:$AK$56&gt;$AI308))
) / 1000</f>
        <v>0</v>
      </c>
      <c r="CO308" s="253" cm="1">
        <f t="array" ref="CO308">$BC308 * IF($AD308&lt;=2,
SUMPRODUCT(INDEX($AL$23:$AN$61,,$AE308), INDEX($AO$23:$AU$61,,$AD308), 1 / ($AV$23:$AV$61*CM308), N($AK$23:$AK$61&gt;$AI308)),
SUMPRODUCT(INDEX($AL$23:$AN$46,,$AE308), INDEX($AO$23:$AU$46,,$AD308), 1 / ($AW$23:$AW$46*CM308), N($AK$23:$AK$46&gt;$AI308))
) / 1000</f>
        <v>0</v>
      </c>
      <c r="CP308" s="237">
        <f t="shared" si="448"/>
        <v>0</v>
      </c>
      <c r="CQ308" s="210"/>
    </row>
    <row r="309" spans="1:95" s="76" customFormat="1" ht="14.25" customHeight="1" x14ac:dyDescent="0.2">
      <c r="A309" s="238" t="b">
        <f t="shared" si="227"/>
        <v>0</v>
      </c>
      <c r="B309" s="239">
        <v>287</v>
      </c>
      <c r="C309" s="258"/>
      <c r="D309" s="258"/>
      <c r="E309" s="240"/>
      <c r="F309" s="241" t="str">
        <f>IF(ISBLANK(E309), "", VLOOKUP(E309, Z!$A$2:$C$4127, 3, FALSE))</f>
        <v/>
      </c>
      <c r="G309" s="242"/>
      <c r="H309" s="242"/>
      <c r="I309" s="243"/>
      <c r="J309" s="244"/>
      <c r="K309" s="259"/>
      <c r="L309" s="260"/>
      <c r="M309" s="247" t="str" cm="1">
        <f t="array" ref="M309">IF($K309&gt;0, INDEX(Clean,1+AG309,$C$1), "")</f>
        <v/>
      </c>
      <c r="N309" s="245"/>
      <c r="O309" s="245"/>
      <c r="P309" s="246"/>
      <c r="Q309" s="248">
        <f t="shared" si="425"/>
        <v>0</v>
      </c>
      <c r="R309" s="247" t="str" cm="1">
        <f t="array" ref="R309">IF($K309&gt;0, INDEX(Clean,1+AH309,$C$1), "")</f>
        <v/>
      </c>
      <c r="S309" s="245"/>
      <c r="T309" s="245"/>
      <c r="U309" s="246"/>
      <c r="V309" s="248">
        <f t="shared" si="426"/>
        <v>0</v>
      </c>
      <c r="W309" s="261"/>
      <c r="X309" s="258"/>
      <c r="Y309" s="240"/>
      <c r="Z309" s="241" t="str">
        <f>IF(ISBLANK(Y309), "", VLOOKUP(Y309, Z!$A$2:$C$4127, 3, FALSE))</f>
        <v/>
      </c>
      <c r="AA309" s="262"/>
      <c r="AB309" s="249">
        <f t="shared" si="452"/>
        <v>0</v>
      </c>
      <c r="AC309" s="210"/>
      <c r="AD309" s="236">
        <f t="shared" si="449"/>
        <v>1</v>
      </c>
      <c r="AE309" s="236">
        <f t="shared" si="450"/>
        <v>1</v>
      </c>
      <c r="AF309" s="236">
        <f t="shared" si="451"/>
        <v>0</v>
      </c>
      <c r="AG309" s="236">
        <v>1</v>
      </c>
      <c r="AH309" s="236">
        <v>0</v>
      </c>
      <c r="AI309" s="236">
        <f t="shared" si="427"/>
        <v>-100</v>
      </c>
      <c r="AJ309" s="210"/>
      <c r="AK309" s="254"/>
      <c r="AL309" s="254"/>
      <c r="AM309" s="255"/>
      <c r="AN309" s="255"/>
      <c r="AO309" s="255"/>
      <c r="AP309" s="255"/>
      <c r="AQ309" s="255"/>
      <c r="AR309" s="255"/>
      <c r="AS309" s="255"/>
      <c r="AT309" s="255"/>
      <c r="AU309" s="255"/>
      <c r="AV309" s="255"/>
      <c r="AW309" s="255"/>
      <c r="AX309" s="210"/>
      <c r="AY309" s="236" cm="1">
        <f t="array" ref="AY309">INDEX(Use, $AD309, 4)</f>
        <v>7</v>
      </c>
      <c r="AZ309" s="236">
        <f t="shared" si="428"/>
        <v>32</v>
      </c>
      <c r="BA309" s="236">
        <f t="shared" si="239"/>
        <v>13</v>
      </c>
      <c r="BB309" s="236">
        <f t="shared" si="240"/>
        <v>0</v>
      </c>
      <c r="BC309" s="252" cm="1">
        <f t="array" ref="BC309">K309/IF($L309&gt;0, INDEX($AO$23:$AU$77, $L309+20, $AD309), 1)</f>
        <v>0</v>
      </c>
      <c r="BD309" s="237">
        <f t="shared" si="429"/>
        <v>0</v>
      </c>
      <c r="BE309" s="236">
        <v>35</v>
      </c>
      <c r="BF309" s="237">
        <f t="shared" si="430"/>
        <v>52.55</v>
      </c>
      <c r="BG309" s="253">
        <f t="shared" si="431"/>
        <v>2.7676728869374316</v>
      </c>
      <c r="BH309" s="253" cm="1">
        <f t="array" ref="BH309">$BC309 * SUMPRODUCT(INDEX($AL$77:$AN$82,,$AE309),INDEX($AO$77:$AU$82,,$AD309), N($AK$77:$AK$82&gt;$AI309)) / BG309 / 1000</f>
        <v>0</v>
      </c>
      <c r="BI309" s="250">
        <f t="shared" si="244"/>
        <v>30</v>
      </c>
      <c r="BJ309" s="237">
        <f t="shared" si="432"/>
        <v>46.033333333333331</v>
      </c>
      <c r="BK309" s="253">
        <f t="shared" si="433"/>
        <v>3.2297395388556791</v>
      </c>
      <c r="BL309" s="253" cm="1">
        <f t="array" ref="BL309">$BC309 * IF($AD309&lt;=2,
SUMPRODUCT(INDEX($AL$72:$AN$76,,$AE309), INDEX($AO$72:$AU$76,,$AD309), 1 / ($AV$72:$AV$76*BK309 + (1-$AV$72:$AV$76)*BG309), N($AK$72:$AK$76&gt;$AI309)),
SUMPRODUCT(INDEX($AL$67:$AN$76,,$AE309), INDEX($AO$67:$AU$76,,$AD309), 1 / ($AW$67:$AW$76*BK309 + (1-$AW$67:$AW$76)*BG309), N($AK$67:$AK$76&gt;$AI309))
) / 1000</f>
        <v>0</v>
      </c>
      <c r="BM309" s="250">
        <f t="shared" si="247"/>
        <v>25</v>
      </c>
      <c r="BN309" s="237">
        <f t="shared" si="434"/>
        <v>39.516666666666666</v>
      </c>
      <c r="BO309" s="253">
        <f t="shared" si="435"/>
        <v>3.877011788826243</v>
      </c>
      <c r="BP309" s="253" cm="1">
        <f t="array" ref="BP309">$BC309 * IF($AD309&lt;=2,
SUMPRODUCT(INDEX($AL$67:$AN$71,,$AE309), INDEX($AO$67:$AU$71,,$AD309), 1 / ($AV$67:$AV$71*BO309 + (1-$AV$67:$AV$71)*BK309), N($AK$67:$AK$71&gt;$AI309)),
SUMPRODUCT(INDEX($AL$57:$AN$66,,$AE309), INDEX($AO$57:$AU$66,,$AD309), 1 / ($AW$57:$AW$66*BO309 + (1-$AW$57:$AW$66)*BK309), N($AK$57:$AK$66&gt;$AI309))
) / 1000</f>
        <v>0</v>
      </c>
      <c r="BQ309" s="250">
        <f t="shared" si="250"/>
        <v>20</v>
      </c>
      <c r="BR309" s="237">
        <f t="shared" si="436"/>
        <v>33</v>
      </c>
      <c r="BS309" s="253">
        <f t="shared" si="437"/>
        <v>4.8487499999999999</v>
      </c>
      <c r="BT309" s="253" cm="1">
        <f t="array" ref="BT309">$BC309 * IF($AD309&lt;=2,
SUMPRODUCT(INDEX($AL$62:$AN$66,,$AE309), INDEX($AO$62:$AU$66,,$AD309), 1 / ($AV$62:$AV$66*BS309 + (1-$AV$62:$AV$66)*BO309), N($AK$62:$AK$66&gt;$AI309)),
SUMPRODUCT(INDEX($AL$47:$AN$56,,$AE309), INDEX($AO$47:$AU$56,,$AD309), 1 / ($AW$47:$AW$56*BS309 + (1-$AW$47:$AW$56)*BO309), N($AK$47:$AK$56&gt;$AI309))
) / 1000</f>
        <v>0</v>
      </c>
      <c r="BU309" s="253" cm="1">
        <f t="array" ref="BU309">$BC309 * IF($AD309&lt;=2,
SUMPRODUCT(INDEX($AL$23:$AN$61,,$AE309), INDEX($AO$23:$AU$61,,$AD309), 1 / ($AV$23:$AV$61*BS309), N($AK$23:$AK$61&gt;$AI309)),
SUMPRODUCT(INDEX($AL$23:$AN$46,,$AE309), INDEX($AO$23:$AU$46,,$AD309), 1 / ($AW$23:$AW$46*BS309), N($AK$23:$AK$46&gt;$AI309))
) / 1000</f>
        <v>0</v>
      </c>
      <c r="BV309" s="237">
        <f t="shared" si="438"/>
        <v>0</v>
      </c>
      <c r="BW309" s="210"/>
      <c r="BX309" s="237">
        <f t="shared" si="439"/>
        <v>0</v>
      </c>
      <c r="BY309" s="236">
        <v>35</v>
      </c>
      <c r="BZ309" s="237">
        <f t="shared" si="440"/>
        <v>48</v>
      </c>
      <c r="CA309" s="253">
        <f t="shared" si="441"/>
        <v>3.0748170731707316</v>
      </c>
      <c r="CB309" s="253" cm="1">
        <f t="array" ref="CB309">$BC309 * SUMPRODUCT(INDEX($AL$77:$AN$82,,$AE309),INDEX($AO$77:$AU$82,,$AD309), N($AK$77:$AK$82&gt;$AI309)) / CA309 / 1000</f>
        <v>0</v>
      </c>
      <c r="CC309" s="250">
        <f t="shared" si="257"/>
        <v>30</v>
      </c>
      <c r="CD309" s="237">
        <f t="shared" si="442"/>
        <v>43</v>
      </c>
      <c r="CE309" s="253">
        <f t="shared" si="443"/>
        <v>3.5018750000000001</v>
      </c>
      <c r="CF309" s="253" cm="1">
        <f t="array" ref="CF309">$BC309 * IF($AD309&lt;=2,
SUMPRODUCT(INDEX($AL$72:$AN$76,,$AE309), INDEX($AO$72:$AU$76,,$AD309), 1 / ($AV$72:$AV$76*CE309 + (1-$AV$72:$AV$76)*CA309), N($AK$72:$AK$76&gt;$AI309)),
SUMPRODUCT(INDEX($AL$67:$AN$76,,$AE309), INDEX($AO$67:$AU$76,,$AD309), 1 / ($AW$67:$AW$76*CE309 + (1-$AW$67:$AW$76)*CA309), N($AK$67:$AK$76&gt;$AI309))
) / 1000</f>
        <v>0</v>
      </c>
      <c r="CG309" s="250">
        <f t="shared" si="260"/>
        <v>25</v>
      </c>
      <c r="CH309" s="237">
        <f t="shared" si="444"/>
        <v>38</v>
      </c>
      <c r="CI309" s="253">
        <f t="shared" si="445"/>
        <v>4.0666935483870965</v>
      </c>
      <c r="CJ309" s="253" cm="1">
        <f t="array" ref="CJ309">$BC309 * IF($AD309&lt;=2,
SUMPRODUCT(INDEX($AL$67:$AN$71,,$AE309), INDEX($AO$67:$AU$71,,$AD309), 1 / ($AV$67:$AV$71*CI309 + (1-$AV$67:$AV$71)*CE309), N($AK$67:$AK$71&gt;$AI309)),
SUMPRODUCT(INDEX($AL$57:$AN$66,,$AE309), INDEX($AO$57:$AU$66,,$AD309), 1 / ($AW$57:$AW$66*CI309 + (1-$AW$57:$AW$66)*CE309), N($AK$57:$AK$66&gt;$AI309))
) / 1000</f>
        <v>0</v>
      </c>
      <c r="CK309" s="250">
        <f t="shared" si="263"/>
        <v>20</v>
      </c>
      <c r="CL309" s="237">
        <f t="shared" si="446"/>
        <v>33</v>
      </c>
      <c r="CM309" s="253">
        <f t="shared" si="447"/>
        <v>4.8487499999999999</v>
      </c>
      <c r="CN309" s="253" cm="1">
        <f t="array" ref="CN309">$BC309 * IF($AD309&lt;=2,
SUMPRODUCT(INDEX($AL$62:$AN$66,,$AE309), INDEX($AO$62:$AU$66,,$AD309), 1 / ($AV$62:$AV$66*CM309 + (1-$AV$62:$AV$66)*CI309), N($AK$62:$AK$66&gt;$AI309)),
SUMPRODUCT(INDEX($AL$47:$AN$56,,$AE309), INDEX($AO$47:$AU$56,,$AD309), 1 / ($AW$47:$AW$56*CM309 + (1-$AW$47:$AW$56)*CI309), N($AK$47:$AK$56&gt;$AI309))
) / 1000</f>
        <v>0</v>
      </c>
      <c r="CO309" s="253" cm="1">
        <f t="array" ref="CO309">$BC309 * IF($AD309&lt;=2,
SUMPRODUCT(INDEX($AL$23:$AN$61,,$AE309), INDEX($AO$23:$AU$61,,$AD309), 1 / ($AV$23:$AV$61*CM309), N($AK$23:$AK$61&gt;$AI309)),
SUMPRODUCT(INDEX($AL$23:$AN$46,,$AE309), INDEX($AO$23:$AU$46,,$AD309), 1 / ($AW$23:$AW$46*CM309), N($AK$23:$AK$46&gt;$AI309))
) / 1000</f>
        <v>0</v>
      </c>
      <c r="CP309" s="237">
        <f t="shared" si="448"/>
        <v>0</v>
      </c>
      <c r="CQ309" s="210"/>
    </row>
    <row r="310" spans="1:95" s="76" customFormat="1" ht="14.25" customHeight="1" x14ac:dyDescent="0.2">
      <c r="A310" s="238" t="b">
        <f t="shared" si="227"/>
        <v>0</v>
      </c>
      <c r="B310" s="239">
        <v>288</v>
      </c>
      <c r="C310" s="258"/>
      <c r="D310" s="258"/>
      <c r="E310" s="240"/>
      <c r="F310" s="241" t="str">
        <f>IF(ISBLANK(E310), "", VLOOKUP(E310, Z!$A$2:$C$4127, 3, FALSE))</f>
        <v/>
      </c>
      <c r="G310" s="242"/>
      <c r="H310" s="242"/>
      <c r="I310" s="243"/>
      <c r="J310" s="244"/>
      <c r="K310" s="259"/>
      <c r="L310" s="260"/>
      <c r="M310" s="247" t="str" cm="1">
        <f t="array" ref="M310">IF($K310&gt;0, INDEX(Clean,1+AG310,$C$1), "")</f>
        <v/>
      </c>
      <c r="N310" s="245"/>
      <c r="O310" s="245"/>
      <c r="P310" s="246"/>
      <c r="Q310" s="248">
        <f t="shared" si="425"/>
        <v>0</v>
      </c>
      <c r="R310" s="247" t="str" cm="1">
        <f t="array" ref="R310">IF($K310&gt;0, INDEX(Clean,1+AH310,$C$1), "")</f>
        <v/>
      </c>
      <c r="S310" s="245"/>
      <c r="T310" s="245"/>
      <c r="U310" s="246"/>
      <c r="V310" s="248">
        <f t="shared" si="426"/>
        <v>0</v>
      </c>
      <c r="W310" s="261"/>
      <c r="X310" s="258"/>
      <c r="Y310" s="240"/>
      <c r="Z310" s="241" t="str">
        <f>IF(ISBLANK(Y310), "", VLOOKUP(Y310, Z!$A$2:$C$4127, 3, FALSE))</f>
        <v/>
      </c>
      <c r="AA310" s="262"/>
      <c r="AB310" s="249">
        <f t="shared" si="452"/>
        <v>0</v>
      </c>
      <c r="AC310" s="210"/>
      <c r="AD310" s="236">
        <f t="shared" si="449"/>
        <v>1</v>
      </c>
      <c r="AE310" s="236">
        <f t="shared" si="450"/>
        <v>1</v>
      </c>
      <c r="AF310" s="236">
        <f t="shared" si="451"/>
        <v>0</v>
      </c>
      <c r="AG310" s="236">
        <v>1</v>
      </c>
      <c r="AH310" s="236">
        <v>0</v>
      </c>
      <c r="AI310" s="236">
        <f t="shared" si="427"/>
        <v>-100</v>
      </c>
      <c r="AJ310" s="210"/>
      <c r="AK310" s="254"/>
      <c r="AL310" s="254"/>
      <c r="AM310" s="255"/>
      <c r="AN310" s="255"/>
      <c r="AO310" s="255"/>
      <c r="AP310" s="255"/>
      <c r="AQ310" s="255"/>
      <c r="AR310" s="255"/>
      <c r="AS310" s="255"/>
      <c r="AT310" s="255"/>
      <c r="AU310" s="255"/>
      <c r="AV310" s="255"/>
      <c r="AW310" s="255"/>
      <c r="AX310" s="210"/>
      <c r="AY310" s="236" cm="1">
        <f t="array" ref="AY310">INDEX(Use, $AD310, 4)</f>
        <v>7</v>
      </c>
      <c r="AZ310" s="236">
        <f t="shared" si="428"/>
        <v>32</v>
      </c>
      <c r="BA310" s="236">
        <f t="shared" si="239"/>
        <v>13</v>
      </c>
      <c r="BB310" s="236">
        <f t="shared" si="240"/>
        <v>0</v>
      </c>
      <c r="BC310" s="252" cm="1">
        <f t="array" ref="BC310">K310/IF($L310&gt;0, INDEX($AO$23:$AU$77, $L310+20, $AD310), 1)</f>
        <v>0</v>
      </c>
      <c r="BD310" s="237">
        <f t="shared" si="429"/>
        <v>0</v>
      </c>
      <c r="BE310" s="236">
        <v>35</v>
      </c>
      <c r="BF310" s="237">
        <f t="shared" si="430"/>
        <v>52.55</v>
      </c>
      <c r="BG310" s="253">
        <f t="shared" si="431"/>
        <v>2.7676728869374316</v>
      </c>
      <c r="BH310" s="253" cm="1">
        <f t="array" ref="BH310">$BC310 * SUMPRODUCT(INDEX($AL$77:$AN$82,,$AE310),INDEX($AO$77:$AU$82,,$AD310), N($AK$77:$AK$82&gt;$AI310)) / BG310 / 1000</f>
        <v>0</v>
      </c>
      <c r="BI310" s="250">
        <f t="shared" si="244"/>
        <v>30</v>
      </c>
      <c r="BJ310" s="237">
        <f t="shared" si="432"/>
        <v>46.033333333333331</v>
      </c>
      <c r="BK310" s="253">
        <f t="shared" si="433"/>
        <v>3.2297395388556791</v>
      </c>
      <c r="BL310" s="253" cm="1">
        <f t="array" ref="BL310">$BC310 * IF($AD310&lt;=2,
SUMPRODUCT(INDEX($AL$72:$AN$76,,$AE310), INDEX($AO$72:$AU$76,,$AD310), 1 / ($AV$72:$AV$76*BK310 + (1-$AV$72:$AV$76)*BG310), N($AK$72:$AK$76&gt;$AI310)),
SUMPRODUCT(INDEX($AL$67:$AN$76,,$AE310), INDEX($AO$67:$AU$76,,$AD310), 1 / ($AW$67:$AW$76*BK310 + (1-$AW$67:$AW$76)*BG310), N($AK$67:$AK$76&gt;$AI310))
) / 1000</f>
        <v>0</v>
      </c>
      <c r="BM310" s="250">
        <f t="shared" si="247"/>
        <v>25</v>
      </c>
      <c r="BN310" s="237">
        <f t="shared" si="434"/>
        <v>39.516666666666666</v>
      </c>
      <c r="BO310" s="253">
        <f t="shared" si="435"/>
        <v>3.877011788826243</v>
      </c>
      <c r="BP310" s="253" cm="1">
        <f t="array" ref="BP310">$BC310 * IF($AD310&lt;=2,
SUMPRODUCT(INDEX($AL$67:$AN$71,,$AE310), INDEX($AO$67:$AU$71,,$AD310), 1 / ($AV$67:$AV$71*BO310 + (1-$AV$67:$AV$71)*BK310), N($AK$67:$AK$71&gt;$AI310)),
SUMPRODUCT(INDEX($AL$57:$AN$66,,$AE310), INDEX($AO$57:$AU$66,,$AD310), 1 / ($AW$57:$AW$66*BO310 + (1-$AW$57:$AW$66)*BK310), N($AK$57:$AK$66&gt;$AI310))
) / 1000</f>
        <v>0</v>
      </c>
      <c r="BQ310" s="250">
        <f t="shared" si="250"/>
        <v>20</v>
      </c>
      <c r="BR310" s="237">
        <f t="shared" si="436"/>
        <v>33</v>
      </c>
      <c r="BS310" s="253">
        <f t="shared" si="437"/>
        <v>4.8487499999999999</v>
      </c>
      <c r="BT310" s="253" cm="1">
        <f t="array" ref="BT310">$BC310 * IF($AD310&lt;=2,
SUMPRODUCT(INDEX($AL$62:$AN$66,,$AE310), INDEX($AO$62:$AU$66,,$AD310), 1 / ($AV$62:$AV$66*BS310 + (1-$AV$62:$AV$66)*BO310), N($AK$62:$AK$66&gt;$AI310)),
SUMPRODUCT(INDEX($AL$47:$AN$56,,$AE310), INDEX($AO$47:$AU$56,,$AD310), 1 / ($AW$47:$AW$56*BS310 + (1-$AW$47:$AW$56)*BO310), N($AK$47:$AK$56&gt;$AI310))
) / 1000</f>
        <v>0</v>
      </c>
      <c r="BU310" s="253" cm="1">
        <f t="array" ref="BU310">$BC310 * IF($AD310&lt;=2,
SUMPRODUCT(INDEX($AL$23:$AN$61,,$AE310), INDEX($AO$23:$AU$61,,$AD310), 1 / ($AV$23:$AV$61*BS310), N($AK$23:$AK$61&gt;$AI310)),
SUMPRODUCT(INDEX($AL$23:$AN$46,,$AE310), INDEX($AO$23:$AU$46,,$AD310), 1 / ($AW$23:$AW$46*BS310), N($AK$23:$AK$46&gt;$AI310))
) / 1000</f>
        <v>0</v>
      </c>
      <c r="BV310" s="237">
        <f t="shared" si="438"/>
        <v>0</v>
      </c>
      <c r="BW310" s="210"/>
      <c r="BX310" s="237">
        <f t="shared" si="439"/>
        <v>0</v>
      </c>
      <c r="BY310" s="236">
        <v>35</v>
      </c>
      <c r="BZ310" s="237">
        <f t="shared" si="440"/>
        <v>48</v>
      </c>
      <c r="CA310" s="253">
        <f t="shared" si="441"/>
        <v>3.0748170731707316</v>
      </c>
      <c r="CB310" s="253" cm="1">
        <f t="array" ref="CB310">$BC310 * SUMPRODUCT(INDEX($AL$77:$AN$82,,$AE310),INDEX($AO$77:$AU$82,,$AD310), N($AK$77:$AK$82&gt;$AI310)) / CA310 / 1000</f>
        <v>0</v>
      </c>
      <c r="CC310" s="250">
        <f t="shared" si="257"/>
        <v>30</v>
      </c>
      <c r="CD310" s="237">
        <f t="shared" si="442"/>
        <v>43</v>
      </c>
      <c r="CE310" s="253">
        <f t="shared" si="443"/>
        <v>3.5018750000000001</v>
      </c>
      <c r="CF310" s="253" cm="1">
        <f t="array" ref="CF310">$BC310 * IF($AD310&lt;=2,
SUMPRODUCT(INDEX($AL$72:$AN$76,,$AE310), INDEX($AO$72:$AU$76,,$AD310), 1 / ($AV$72:$AV$76*CE310 + (1-$AV$72:$AV$76)*CA310), N($AK$72:$AK$76&gt;$AI310)),
SUMPRODUCT(INDEX($AL$67:$AN$76,,$AE310), INDEX($AO$67:$AU$76,,$AD310), 1 / ($AW$67:$AW$76*CE310 + (1-$AW$67:$AW$76)*CA310), N($AK$67:$AK$76&gt;$AI310))
) / 1000</f>
        <v>0</v>
      </c>
      <c r="CG310" s="250">
        <f t="shared" si="260"/>
        <v>25</v>
      </c>
      <c r="CH310" s="237">
        <f t="shared" si="444"/>
        <v>38</v>
      </c>
      <c r="CI310" s="253">
        <f t="shared" si="445"/>
        <v>4.0666935483870965</v>
      </c>
      <c r="CJ310" s="253" cm="1">
        <f t="array" ref="CJ310">$BC310 * IF($AD310&lt;=2,
SUMPRODUCT(INDEX($AL$67:$AN$71,,$AE310), INDEX($AO$67:$AU$71,,$AD310), 1 / ($AV$67:$AV$71*CI310 + (1-$AV$67:$AV$71)*CE310), N($AK$67:$AK$71&gt;$AI310)),
SUMPRODUCT(INDEX($AL$57:$AN$66,,$AE310), INDEX($AO$57:$AU$66,,$AD310), 1 / ($AW$57:$AW$66*CI310 + (1-$AW$57:$AW$66)*CE310), N($AK$57:$AK$66&gt;$AI310))
) / 1000</f>
        <v>0</v>
      </c>
      <c r="CK310" s="250">
        <f t="shared" si="263"/>
        <v>20</v>
      </c>
      <c r="CL310" s="237">
        <f t="shared" si="446"/>
        <v>33</v>
      </c>
      <c r="CM310" s="253">
        <f t="shared" si="447"/>
        <v>4.8487499999999999</v>
      </c>
      <c r="CN310" s="253" cm="1">
        <f t="array" ref="CN310">$BC310 * IF($AD310&lt;=2,
SUMPRODUCT(INDEX($AL$62:$AN$66,,$AE310), INDEX($AO$62:$AU$66,,$AD310), 1 / ($AV$62:$AV$66*CM310 + (1-$AV$62:$AV$66)*CI310), N($AK$62:$AK$66&gt;$AI310)),
SUMPRODUCT(INDEX($AL$47:$AN$56,,$AE310), INDEX($AO$47:$AU$56,,$AD310), 1 / ($AW$47:$AW$56*CM310 + (1-$AW$47:$AW$56)*CI310), N($AK$47:$AK$56&gt;$AI310))
) / 1000</f>
        <v>0</v>
      </c>
      <c r="CO310" s="253" cm="1">
        <f t="array" ref="CO310">$BC310 * IF($AD310&lt;=2,
SUMPRODUCT(INDEX($AL$23:$AN$61,,$AE310), INDEX($AO$23:$AU$61,,$AD310), 1 / ($AV$23:$AV$61*CM310), N($AK$23:$AK$61&gt;$AI310)),
SUMPRODUCT(INDEX($AL$23:$AN$46,,$AE310), INDEX($AO$23:$AU$46,,$AD310), 1 / ($AW$23:$AW$46*CM310), N($AK$23:$AK$46&gt;$AI310))
) / 1000</f>
        <v>0</v>
      </c>
      <c r="CP310" s="237">
        <f t="shared" si="448"/>
        <v>0</v>
      </c>
      <c r="CQ310" s="210"/>
    </row>
    <row r="311" spans="1:95" s="76" customFormat="1" ht="14.25" customHeight="1" x14ac:dyDescent="0.2">
      <c r="A311" s="238" t="b">
        <f t="shared" si="227"/>
        <v>0</v>
      </c>
      <c r="B311" s="239">
        <v>289</v>
      </c>
      <c r="C311" s="258"/>
      <c r="D311" s="258"/>
      <c r="E311" s="240"/>
      <c r="F311" s="241" t="str">
        <f>IF(ISBLANK(E311), "", VLOOKUP(E311, Z!$A$2:$C$4127, 3, FALSE))</f>
        <v/>
      </c>
      <c r="G311" s="242"/>
      <c r="H311" s="242"/>
      <c r="I311" s="243"/>
      <c r="J311" s="244"/>
      <c r="K311" s="259"/>
      <c r="L311" s="260"/>
      <c r="M311" s="247" t="str" cm="1">
        <f t="array" ref="M311">IF($K311&gt;0, INDEX(Clean,1+AG311,$C$1), "")</f>
        <v/>
      </c>
      <c r="N311" s="245"/>
      <c r="O311" s="245"/>
      <c r="P311" s="246"/>
      <c r="Q311" s="248">
        <f t="shared" si="425"/>
        <v>0</v>
      </c>
      <c r="R311" s="247" t="str" cm="1">
        <f t="array" ref="R311">IF($K311&gt;0, INDEX(Clean,1+AH311,$C$1), "")</f>
        <v/>
      </c>
      <c r="S311" s="245"/>
      <c r="T311" s="245"/>
      <c r="U311" s="246"/>
      <c r="V311" s="248">
        <f t="shared" si="426"/>
        <v>0</v>
      </c>
      <c r="W311" s="261"/>
      <c r="X311" s="258"/>
      <c r="Y311" s="240"/>
      <c r="Z311" s="241" t="str">
        <f>IF(ISBLANK(Y311), "", VLOOKUP(Y311, Z!$A$2:$C$4127, 3, FALSE))</f>
        <v/>
      </c>
      <c r="AA311" s="262"/>
      <c r="AB311" s="249">
        <f t="shared" si="452"/>
        <v>0</v>
      </c>
      <c r="AC311" s="210"/>
      <c r="AD311" s="236">
        <f t="shared" si="449"/>
        <v>1</v>
      </c>
      <c r="AE311" s="236">
        <f t="shared" si="450"/>
        <v>1</v>
      </c>
      <c r="AF311" s="236">
        <f t="shared" si="451"/>
        <v>0</v>
      </c>
      <c r="AG311" s="236">
        <v>1</v>
      </c>
      <c r="AH311" s="236">
        <v>0</v>
      </c>
      <c r="AI311" s="236">
        <f t="shared" si="427"/>
        <v>-100</v>
      </c>
      <c r="AJ311" s="210"/>
      <c r="AK311" s="254"/>
      <c r="AL311" s="254"/>
      <c r="AM311" s="255"/>
      <c r="AN311" s="255"/>
      <c r="AO311" s="255"/>
      <c r="AP311" s="255"/>
      <c r="AQ311" s="255"/>
      <c r="AR311" s="255"/>
      <c r="AS311" s="255"/>
      <c r="AT311" s="255"/>
      <c r="AU311" s="255"/>
      <c r="AV311" s="255"/>
      <c r="AW311" s="255"/>
      <c r="AX311" s="210"/>
      <c r="AY311" s="236" cm="1">
        <f t="array" ref="AY311">INDEX(Use, $AD311, 4)</f>
        <v>7</v>
      </c>
      <c r="AZ311" s="236">
        <f t="shared" si="428"/>
        <v>32</v>
      </c>
      <c r="BA311" s="236">
        <f t="shared" si="239"/>
        <v>13</v>
      </c>
      <c r="BB311" s="236">
        <f t="shared" si="240"/>
        <v>0</v>
      </c>
      <c r="BC311" s="252" cm="1">
        <f t="array" ref="BC311">K311/IF($L311&gt;0, INDEX($AO$23:$AU$77, $L311+20, $AD311), 1)</f>
        <v>0</v>
      </c>
      <c r="BD311" s="237">
        <f t="shared" si="429"/>
        <v>0</v>
      </c>
      <c r="BE311" s="236">
        <v>35</v>
      </c>
      <c r="BF311" s="237">
        <f t="shared" si="430"/>
        <v>52.55</v>
      </c>
      <c r="BG311" s="253">
        <f t="shared" si="431"/>
        <v>2.7676728869374316</v>
      </c>
      <c r="BH311" s="253" cm="1">
        <f t="array" ref="BH311">$BC311 * SUMPRODUCT(INDEX($AL$77:$AN$82,,$AE311),INDEX($AO$77:$AU$82,,$AD311), N($AK$77:$AK$82&gt;$AI311)) / BG311 / 1000</f>
        <v>0</v>
      </c>
      <c r="BI311" s="250">
        <f t="shared" si="244"/>
        <v>30</v>
      </c>
      <c r="BJ311" s="237">
        <f t="shared" si="432"/>
        <v>46.033333333333331</v>
      </c>
      <c r="BK311" s="253">
        <f t="shared" si="433"/>
        <v>3.2297395388556791</v>
      </c>
      <c r="BL311" s="253" cm="1">
        <f t="array" ref="BL311">$BC311 * IF($AD311&lt;=2,
SUMPRODUCT(INDEX($AL$72:$AN$76,,$AE311), INDEX($AO$72:$AU$76,,$AD311), 1 / ($AV$72:$AV$76*BK311 + (1-$AV$72:$AV$76)*BG311), N($AK$72:$AK$76&gt;$AI311)),
SUMPRODUCT(INDEX($AL$67:$AN$76,,$AE311), INDEX($AO$67:$AU$76,,$AD311), 1 / ($AW$67:$AW$76*BK311 + (1-$AW$67:$AW$76)*BG311), N($AK$67:$AK$76&gt;$AI311))
) / 1000</f>
        <v>0</v>
      </c>
      <c r="BM311" s="250">
        <f t="shared" si="247"/>
        <v>25</v>
      </c>
      <c r="BN311" s="237">
        <f t="shared" si="434"/>
        <v>39.516666666666666</v>
      </c>
      <c r="BO311" s="253">
        <f t="shared" si="435"/>
        <v>3.877011788826243</v>
      </c>
      <c r="BP311" s="253" cm="1">
        <f t="array" ref="BP311">$BC311 * IF($AD311&lt;=2,
SUMPRODUCT(INDEX($AL$67:$AN$71,,$AE311), INDEX($AO$67:$AU$71,,$AD311), 1 / ($AV$67:$AV$71*BO311 + (1-$AV$67:$AV$71)*BK311), N($AK$67:$AK$71&gt;$AI311)),
SUMPRODUCT(INDEX($AL$57:$AN$66,,$AE311), INDEX($AO$57:$AU$66,,$AD311), 1 / ($AW$57:$AW$66*BO311 + (1-$AW$57:$AW$66)*BK311), N($AK$57:$AK$66&gt;$AI311))
) / 1000</f>
        <v>0</v>
      </c>
      <c r="BQ311" s="250">
        <f t="shared" si="250"/>
        <v>20</v>
      </c>
      <c r="BR311" s="237">
        <f t="shared" si="436"/>
        <v>33</v>
      </c>
      <c r="BS311" s="253">
        <f t="shared" si="437"/>
        <v>4.8487499999999999</v>
      </c>
      <c r="BT311" s="253" cm="1">
        <f t="array" ref="BT311">$BC311 * IF($AD311&lt;=2,
SUMPRODUCT(INDEX($AL$62:$AN$66,,$AE311), INDEX($AO$62:$AU$66,,$AD311), 1 / ($AV$62:$AV$66*BS311 + (1-$AV$62:$AV$66)*BO311), N($AK$62:$AK$66&gt;$AI311)),
SUMPRODUCT(INDEX($AL$47:$AN$56,,$AE311), INDEX($AO$47:$AU$56,,$AD311), 1 / ($AW$47:$AW$56*BS311 + (1-$AW$47:$AW$56)*BO311), N($AK$47:$AK$56&gt;$AI311))
) / 1000</f>
        <v>0</v>
      </c>
      <c r="BU311" s="253" cm="1">
        <f t="array" ref="BU311">$BC311 * IF($AD311&lt;=2,
SUMPRODUCT(INDEX($AL$23:$AN$61,,$AE311), INDEX($AO$23:$AU$61,,$AD311), 1 / ($AV$23:$AV$61*BS311), N($AK$23:$AK$61&gt;$AI311)),
SUMPRODUCT(INDEX($AL$23:$AN$46,,$AE311), INDEX($AO$23:$AU$46,,$AD311), 1 / ($AW$23:$AW$46*BS311), N($AK$23:$AK$46&gt;$AI311))
) / 1000</f>
        <v>0</v>
      </c>
      <c r="BV311" s="237">
        <f t="shared" si="438"/>
        <v>0</v>
      </c>
      <c r="BW311" s="210"/>
      <c r="BX311" s="237">
        <f t="shared" si="439"/>
        <v>0</v>
      </c>
      <c r="BY311" s="236">
        <v>35</v>
      </c>
      <c r="BZ311" s="237">
        <f t="shared" si="440"/>
        <v>48</v>
      </c>
      <c r="CA311" s="253">
        <f t="shared" si="441"/>
        <v>3.0748170731707316</v>
      </c>
      <c r="CB311" s="253" cm="1">
        <f t="array" ref="CB311">$BC311 * SUMPRODUCT(INDEX($AL$77:$AN$82,,$AE311),INDEX($AO$77:$AU$82,,$AD311), N($AK$77:$AK$82&gt;$AI311)) / CA311 / 1000</f>
        <v>0</v>
      </c>
      <c r="CC311" s="250">
        <f t="shared" si="257"/>
        <v>30</v>
      </c>
      <c r="CD311" s="237">
        <f t="shared" si="442"/>
        <v>43</v>
      </c>
      <c r="CE311" s="253">
        <f t="shared" si="443"/>
        <v>3.5018750000000001</v>
      </c>
      <c r="CF311" s="253" cm="1">
        <f t="array" ref="CF311">$BC311 * IF($AD311&lt;=2,
SUMPRODUCT(INDEX($AL$72:$AN$76,,$AE311), INDEX($AO$72:$AU$76,,$AD311), 1 / ($AV$72:$AV$76*CE311 + (1-$AV$72:$AV$76)*CA311), N($AK$72:$AK$76&gt;$AI311)),
SUMPRODUCT(INDEX($AL$67:$AN$76,,$AE311), INDEX($AO$67:$AU$76,,$AD311), 1 / ($AW$67:$AW$76*CE311 + (1-$AW$67:$AW$76)*CA311), N($AK$67:$AK$76&gt;$AI311))
) / 1000</f>
        <v>0</v>
      </c>
      <c r="CG311" s="250">
        <f t="shared" si="260"/>
        <v>25</v>
      </c>
      <c r="CH311" s="237">
        <f t="shared" si="444"/>
        <v>38</v>
      </c>
      <c r="CI311" s="253">
        <f t="shared" si="445"/>
        <v>4.0666935483870965</v>
      </c>
      <c r="CJ311" s="253" cm="1">
        <f t="array" ref="CJ311">$BC311 * IF($AD311&lt;=2,
SUMPRODUCT(INDEX($AL$67:$AN$71,,$AE311), INDEX($AO$67:$AU$71,,$AD311), 1 / ($AV$67:$AV$71*CI311 + (1-$AV$67:$AV$71)*CE311), N($AK$67:$AK$71&gt;$AI311)),
SUMPRODUCT(INDEX($AL$57:$AN$66,,$AE311), INDEX($AO$57:$AU$66,,$AD311), 1 / ($AW$57:$AW$66*CI311 + (1-$AW$57:$AW$66)*CE311), N($AK$57:$AK$66&gt;$AI311))
) / 1000</f>
        <v>0</v>
      </c>
      <c r="CK311" s="250">
        <f t="shared" si="263"/>
        <v>20</v>
      </c>
      <c r="CL311" s="237">
        <f t="shared" si="446"/>
        <v>33</v>
      </c>
      <c r="CM311" s="253">
        <f t="shared" si="447"/>
        <v>4.8487499999999999</v>
      </c>
      <c r="CN311" s="253" cm="1">
        <f t="array" ref="CN311">$BC311 * IF($AD311&lt;=2,
SUMPRODUCT(INDEX($AL$62:$AN$66,,$AE311), INDEX($AO$62:$AU$66,,$AD311), 1 / ($AV$62:$AV$66*CM311 + (1-$AV$62:$AV$66)*CI311), N($AK$62:$AK$66&gt;$AI311)),
SUMPRODUCT(INDEX($AL$47:$AN$56,,$AE311), INDEX($AO$47:$AU$56,,$AD311), 1 / ($AW$47:$AW$56*CM311 + (1-$AW$47:$AW$56)*CI311), N($AK$47:$AK$56&gt;$AI311))
) / 1000</f>
        <v>0</v>
      </c>
      <c r="CO311" s="253" cm="1">
        <f t="array" ref="CO311">$BC311 * IF($AD311&lt;=2,
SUMPRODUCT(INDEX($AL$23:$AN$61,,$AE311), INDEX($AO$23:$AU$61,,$AD311), 1 / ($AV$23:$AV$61*CM311), N($AK$23:$AK$61&gt;$AI311)),
SUMPRODUCT(INDEX($AL$23:$AN$46,,$AE311), INDEX($AO$23:$AU$46,,$AD311), 1 / ($AW$23:$AW$46*CM311), N($AK$23:$AK$46&gt;$AI311))
) / 1000</f>
        <v>0</v>
      </c>
      <c r="CP311" s="237">
        <f t="shared" si="448"/>
        <v>0</v>
      </c>
      <c r="CQ311" s="210"/>
    </row>
    <row r="312" spans="1:95" s="76" customFormat="1" ht="14.25" customHeight="1" x14ac:dyDescent="0.2">
      <c r="A312" s="238" t="b">
        <f t="shared" si="227"/>
        <v>0</v>
      </c>
      <c r="B312" s="239">
        <v>290</v>
      </c>
      <c r="C312" s="258"/>
      <c r="D312" s="258"/>
      <c r="E312" s="240"/>
      <c r="F312" s="241" t="str">
        <f>IF(ISBLANK(E312), "", VLOOKUP(E312, Z!$A$2:$C$4127, 3, FALSE))</f>
        <v/>
      </c>
      <c r="G312" s="242"/>
      <c r="H312" s="242"/>
      <c r="I312" s="243"/>
      <c r="J312" s="244"/>
      <c r="K312" s="259"/>
      <c r="L312" s="260"/>
      <c r="M312" s="247" t="str" cm="1">
        <f t="array" ref="M312">IF($K312&gt;0, INDEX(Clean,1+AG312,$C$1), "")</f>
        <v/>
      </c>
      <c r="N312" s="245"/>
      <c r="O312" s="245"/>
      <c r="P312" s="246"/>
      <c r="Q312" s="248">
        <f t="shared" si="425"/>
        <v>0</v>
      </c>
      <c r="R312" s="247" t="str" cm="1">
        <f t="array" ref="R312">IF($K312&gt;0, INDEX(Clean,1+AH312,$C$1), "")</f>
        <v/>
      </c>
      <c r="S312" s="245"/>
      <c r="T312" s="245"/>
      <c r="U312" s="246"/>
      <c r="V312" s="248">
        <f t="shared" si="426"/>
        <v>0</v>
      </c>
      <c r="W312" s="261"/>
      <c r="X312" s="258"/>
      <c r="Y312" s="240"/>
      <c r="Z312" s="241" t="str">
        <f>IF(ISBLANK(Y312), "", VLOOKUP(Y312, Z!$A$2:$C$4127, 3, FALSE))</f>
        <v/>
      </c>
      <c r="AA312" s="262"/>
      <c r="AB312" s="249">
        <f t="shared" si="452"/>
        <v>0</v>
      </c>
      <c r="AC312" s="210"/>
      <c r="AD312" s="236">
        <f t="shared" si="449"/>
        <v>1</v>
      </c>
      <c r="AE312" s="236">
        <f t="shared" si="450"/>
        <v>1</v>
      </c>
      <c r="AF312" s="236">
        <f t="shared" si="451"/>
        <v>0</v>
      </c>
      <c r="AG312" s="236">
        <v>1</v>
      </c>
      <c r="AH312" s="236">
        <v>0</v>
      </c>
      <c r="AI312" s="236">
        <f t="shared" si="427"/>
        <v>-100</v>
      </c>
      <c r="AJ312" s="210"/>
      <c r="AK312" s="254"/>
      <c r="AL312" s="254"/>
      <c r="AM312" s="255"/>
      <c r="AN312" s="255"/>
      <c r="AO312" s="255"/>
      <c r="AP312" s="255"/>
      <c r="AQ312" s="255"/>
      <c r="AR312" s="255"/>
      <c r="AS312" s="255"/>
      <c r="AT312" s="255"/>
      <c r="AU312" s="255"/>
      <c r="AV312" s="255"/>
      <c r="AW312" s="255"/>
      <c r="AX312" s="210"/>
      <c r="AY312" s="236" cm="1">
        <f t="array" ref="AY312">INDEX(Use, $AD312, 4)</f>
        <v>7</v>
      </c>
      <c r="AZ312" s="236">
        <f t="shared" si="428"/>
        <v>32</v>
      </c>
      <c r="BA312" s="236">
        <f t="shared" si="239"/>
        <v>13</v>
      </c>
      <c r="BB312" s="236">
        <f t="shared" si="240"/>
        <v>0</v>
      </c>
      <c r="BC312" s="252" cm="1">
        <f t="array" ref="BC312">K312/IF($L312&gt;0, INDEX($AO$23:$AU$77, $L312+20, $AD312), 1)</f>
        <v>0</v>
      </c>
      <c r="BD312" s="237">
        <f t="shared" si="429"/>
        <v>0</v>
      </c>
      <c r="BE312" s="236">
        <v>35</v>
      </c>
      <c r="BF312" s="237">
        <f t="shared" si="430"/>
        <v>52.55</v>
      </c>
      <c r="BG312" s="253">
        <f t="shared" si="431"/>
        <v>2.7676728869374316</v>
      </c>
      <c r="BH312" s="253" cm="1">
        <f t="array" ref="BH312">$BC312 * SUMPRODUCT(INDEX($AL$77:$AN$82,,$AE312),INDEX($AO$77:$AU$82,,$AD312), N($AK$77:$AK$82&gt;$AI312)) / BG312 / 1000</f>
        <v>0</v>
      </c>
      <c r="BI312" s="250">
        <f t="shared" si="244"/>
        <v>30</v>
      </c>
      <c r="BJ312" s="237">
        <f t="shared" si="432"/>
        <v>46.033333333333331</v>
      </c>
      <c r="BK312" s="253">
        <f t="shared" si="433"/>
        <v>3.2297395388556791</v>
      </c>
      <c r="BL312" s="253" cm="1">
        <f t="array" ref="BL312">$BC312 * IF($AD312&lt;=2,
SUMPRODUCT(INDEX($AL$72:$AN$76,,$AE312), INDEX($AO$72:$AU$76,,$AD312), 1 / ($AV$72:$AV$76*BK312 + (1-$AV$72:$AV$76)*BG312), N($AK$72:$AK$76&gt;$AI312)),
SUMPRODUCT(INDEX($AL$67:$AN$76,,$AE312), INDEX($AO$67:$AU$76,,$AD312), 1 / ($AW$67:$AW$76*BK312 + (1-$AW$67:$AW$76)*BG312), N($AK$67:$AK$76&gt;$AI312))
) / 1000</f>
        <v>0</v>
      </c>
      <c r="BM312" s="250">
        <f t="shared" si="247"/>
        <v>25</v>
      </c>
      <c r="BN312" s="237">
        <f t="shared" si="434"/>
        <v>39.516666666666666</v>
      </c>
      <c r="BO312" s="253">
        <f t="shared" si="435"/>
        <v>3.877011788826243</v>
      </c>
      <c r="BP312" s="253" cm="1">
        <f t="array" ref="BP312">$BC312 * IF($AD312&lt;=2,
SUMPRODUCT(INDEX($AL$67:$AN$71,,$AE312), INDEX($AO$67:$AU$71,,$AD312), 1 / ($AV$67:$AV$71*BO312 + (1-$AV$67:$AV$71)*BK312), N($AK$67:$AK$71&gt;$AI312)),
SUMPRODUCT(INDEX($AL$57:$AN$66,,$AE312), INDEX($AO$57:$AU$66,,$AD312), 1 / ($AW$57:$AW$66*BO312 + (1-$AW$57:$AW$66)*BK312), N($AK$57:$AK$66&gt;$AI312))
) / 1000</f>
        <v>0</v>
      </c>
      <c r="BQ312" s="250">
        <f t="shared" si="250"/>
        <v>20</v>
      </c>
      <c r="BR312" s="237">
        <f t="shared" si="436"/>
        <v>33</v>
      </c>
      <c r="BS312" s="253">
        <f t="shared" si="437"/>
        <v>4.8487499999999999</v>
      </c>
      <c r="BT312" s="253" cm="1">
        <f t="array" ref="BT312">$BC312 * IF($AD312&lt;=2,
SUMPRODUCT(INDEX($AL$62:$AN$66,,$AE312), INDEX($AO$62:$AU$66,,$AD312), 1 / ($AV$62:$AV$66*BS312 + (1-$AV$62:$AV$66)*BO312), N($AK$62:$AK$66&gt;$AI312)),
SUMPRODUCT(INDEX($AL$47:$AN$56,,$AE312), INDEX($AO$47:$AU$56,,$AD312), 1 / ($AW$47:$AW$56*BS312 + (1-$AW$47:$AW$56)*BO312), N($AK$47:$AK$56&gt;$AI312))
) / 1000</f>
        <v>0</v>
      </c>
      <c r="BU312" s="253" cm="1">
        <f t="array" ref="BU312">$BC312 * IF($AD312&lt;=2,
SUMPRODUCT(INDEX($AL$23:$AN$61,,$AE312), INDEX($AO$23:$AU$61,,$AD312), 1 / ($AV$23:$AV$61*BS312), N($AK$23:$AK$61&gt;$AI312)),
SUMPRODUCT(INDEX($AL$23:$AN$46,,$AE312), INDEX($AO$23:$AU$46,,$AD312), 1 / ($AW$23:$AW$46*BS312), N($AK$23:$AK$46&gt;$AI312))
) / 1000</f>
        <v>0</v>
      </c>
      <c r="BV312" s="237">
        <f t="shared" si="438"/>
        <v>0</v>
      </c>
      <c r="BW312" s="210"/>
      <c r="BX312" s="237">
        <f t="shared" si="439"/>
        <v>0</v>
      </c>
      <c r="BY312" s="236">
        <v>35</v>
      </c>
      <c r="BZ312" s="237">
        <f t="shared" si="440"/>
        <v>48</v>
      </c>
      <c r="CA312" s="253">
        <f t="shared" si="441"/>
        <v>3.0748170731707316</v>
      </c>
      <c r="CB312" s="253" cm="1">
        <f t="array" ref="CB312">$BC312 * SUMPRODUCT(INDEX($AL$77:$AN$82,,$AE312),INDEX($AO$77:$AU$82,,$AD312), N($AK$77:$AK$82&gt;$AI312)) / CA312 / 1000</f>
        <v>0</v>
      </c>
      <c r="CC312" s="250">
        <f t="shared" si="257"/>
        <v>30</v>
      </c>
      <c r="CD312" s="237">
        <f t="shared" si="442"/>
        <v>43</v>
      </c>
      <c r="CE312" s="253">
        <f t="shared" si="443"/>
        <v>3.5018750000000001</v>
      </c>
      <c r="CF312" s="253" cm="1">
        <f t="array" ref="CF312">$BC312 * IF($AD312&lt;=2,
SUMPRODUCT(INDEX($AL$72:$AN$76,,$AE312), INDEX($AO$72:$AU$76,,$AD312), 1 / ($AV$72:$AV$76*CE312 + (1-$AV$72:$AV$76)*CA312), N($AK$72:$AK$76&gt;$AI312)),
SUMPRODUCT(INDEX($AL$67:$AN$76,,$AE312), INDEX($AO$67:$AU$76,,$AD312), 1 / ($AW$67:$AW$76*CE312 + (1-$AW$67:$AW$76)*CA312), N($AK$67:$AK$76&gt;$AI312))
) / 1000</f>
        <v>0</v>
      </c>
      <c r="CG312" s="250">
        <f t="shared" si="260"/>
        <v>25</v>
      </c>
      <c r="CH312" s="237">
        <f t="shared" si="444"/>
        <v>38</v>
      </c>
      <c r="CI312" s="253">
        <f t="shared" si="445"/>
        <v>4.0666935483870965</v>
      </c>
      <c r="CJ312" s="253" cm="1">
        <f t="array" ref="CJ312">$BC312 * IF($AD312&lt;=2,
SUMPRODUCT(INDEX($AL$67:$AN$71,,$AE312), INDEX($AO$67:$AU$71,,$AD312), 1 / ($AV$67:$AV$71*CI312 + (1-$AV$67:$AV$71)*CE312), N($AK$67:$AK$71&gt;$AI312)),
SUMPRODUCT(INDEX($AL$57:$AN$66,,$AE312), INDEX($AO$57:$AU$66,,$AD312), 1 / ($AW$57:$AW$66*CI312 + (1-$AW$57:$AW$66)*CE312), N($AK$57:$AK$66&gt;$AI312))
) / 1000</f>
        <v>0</v>
      </c>
      <c r="CK312" s="250">
        <f t="shared" si="263"/>
        <v>20</v>
      </c>
      <c r="CL312" s="237">
        <f t="shared" si="446"/>
        <v>33</v>
      </c>
      <c r="CM312" s="253">
        <f t="shared" si="447"/>
        <v>4.8487499999999999</v>
      </c>
      <c r="CN312" s="253" cm="1">
        <f t="array" ref="CN312">$BC312 * IF($AD312&lt;=2,
SUMPRODUCT(INDEX($AL$62:$AN$66,,$AE312), INDEX($AO$62:$AU$66,,$AD312), 1 / ($AV$62:$AV$66*CM312 + (1-$AV$62:$AV$66)*CI312), N($AK$62:$AK$66&gt;$AI312)),
SUMPRODUCT(INDEX($AL$47:$AN$56,,$AE312), INDEX($AO$47:$AU$56,,$AD312), 1 / ($AW$47:$AW$56*CM312 + (1-$AW$47:$AW$56)*CI312), N($AK$47:$AK$56&gt;$AI312))
) / 1000</f>
        <v>0</v>
      </c>
      <c r="CO312" s="253" cm="1">
        <f t="array" ref="CO312">$BC312 * IF($AD312&lt;=2,
SUMPRODUCT(INDEX($AL$23:$AN$61,,$AE312), INDEX($AO$23:$AU$61,,$AD312), 1 / ($AV$23:$AV$61*CM312), N($AK$23:$AK$61&gt;$AI312)),
SUMPRODUCT(INDEX($AL$23:$AN$46,,$AE312), INDEX($AO$23:$AU$46,,$AD312), 1 / ($AW$23:$AW$46*CM312), N($AK$23:$AK$46&gt;$AI312))
) / 1000</f>
        <v>0</v>
      </c>
      <c r="CP312" s="237">
        <f t="shared" si="448"/>
        <v>0</v>
      </c>
      <c r="CQ312" s="210"/>
    </row>
    <row r="313" spans="1:95" s="76" customFormat="1" ht="14.25" customHeight="1" x14ac:dyDescent="0.2">
      <c r="A313" s="238" t="b">
        <f t="shared" si="227"/>
        <v>0</v>
      </c>
      <c r="B313" s="239">
        <v>291</v>
      </c>
      <c r="C313" s="258"/>
      <c r="D313" s="258"/>
      <c r="E313" s="240"/>
      <c r="F313" s="241" t="str">
        <f>IF(ISBLANK(E313), "", VLOOKUP(E313, Z!$A$2:$C$4127, 3, FALSE))</f>
        <v/>
      </c>
      <c r="G313" s="242"/>
      <c r="H313" s="242"/>
      <c r="I313" s="243"/>
      <c r="J313" s="244"/>
      <c r="K313" s="259"/>
      <c r="L313" s="260"/>
      <c r="M313" s="247" t="str" cm="1">
        <f t="array" ref="M313">IF($K313&gt;0, INDEX(Clean,1+AG313,$C$1), "")</f>
        <v/>
      </c>
      <c r="N313" s="245"/>
      <c r="O313" s="245"/>
      <c r="P313" s="246"/>
      <c r="Q313" s="248">
        <f t="shared" si="425"/>
        <v>0</v>
      </c>
      <c r="R313" s="247" t="str" cm="1">
        <f t="array" ref="R313">IF($K313&gt;0, INDEX(Clean,1+AH313,$C$1), "")</f>
        <v/>
      </c>
      <c r="S313" s="245"/>
      <c r="T313" s="245"/>
      <c r="U313" s="246"/>
      <c r="V313" s="248">
        <f t="shared" si="426"/>
        <v>0</v>
      </c>
      <c r="W313" s="261"/>
      <c r="X313" s="258"/>
      <c r="Y313" s="240"/>
      <c r="Z313" s="241" t="str">
        <f>IF(ISBLANK(Y313), "", VLOOKUP(Y313, Z!$A$2:$C$4127, 3, FALSE))</f>
        <v/>
      </c>
      <c r="AA313" s="262"/>
      <c r="AB313" s="249">
        <f t="shared" si="452"/>
        <v>0</v>
      </c>
      <c r="AC313" s="210"/>
      <c r="AD313" s="236">
        <f t="shared" si="449"/>
        <v>1</v>
      </c>
      <c r="AE313" s="236">
        <f t="shared" si="450"/>
        <v>1</v>
      </c>
      <c r="AF313" s="236">
        <f t="shared" si="451"/>
        <v>0</v>
      </c>
      <c r="AG313" s="236">
        <v>1</v>
      </c>
      <c r="AH313" s="236">
        <v>0</v>
      </c>
      <c r="AI313" s="236">
        <f t="shared" si="427"/>
        <v>-100</v>
      </c>
      <c r="AJ313" s="210"/>
      <c r="AK313" s="254"/>
      <c r="AL313" s="254"/>
      <c r="AM313" s="255"/>
      <c r="AN313" s="255"/>
      <c r="AO313" s="255"/>
      <c r="AP313" s="255"/>
      <c r="AQ313" s="255"/>
      <c r="AR313" s="255"/>
      <c r="AS313" s="255"/>
      <c r="AT313" s="255"/>
      <c r="AU313" s="255"/>
      <c r="AV313" s="255"/>
      <c r="AW313" s="255"/>
      <c r="AX313" s="210"/>
      <c r="AY313" s="236" cm="1">
        <f t="array" ref="AY313">INDEX(Use, $AD313, 4)</f>
        <v>7</v>
      </c>
      <c r="AZ313" s="236">
        <f t="shared" si="428"/>
        <v>32</v>
      </c>
      <c r="BA313" s="236">
        <f t="shared" si="239"/>
        <v>13</v>
      </c>
      <c r="BB313" s="236">
        <f t="shared" si="240"/>
        <v>0</v>
      </c>
      <c r="BC313" s="252" cm="1">
        <f t="array" ref="BC313">K313/IF($L313&gt;0, INDEX($AO$23:$AU$77, $L313+20, $AD313), 1)</f>
        <v>0</v>
      </c>
      <c r="BD313" s="237">
        <f t="shared" si="429"/>
        <v>0</v>
      </c>
      <c r="BE313" s="236">
        <v>35</v>
      </c>
      <c r="BF313" s="237">
        <f t="shared" si="430"/>
        <v>52.55</v>
      </c>
      <c r="BG313" s="253">
        <f t="shared" si="431"/>
        <v>2.7676728869374316</v>
      </c>
      <c r="BH313" s="253" cm="1">
        <f t="array" ref="BH313">$BC313 * SUMPRODUCT(INDEX($AL$77:$AN$82,,$AE313),INDEX($AO$77:$AU$82,,$AD313), N($AK$77:$AK$82&gt;$AI313)) / BG313 / 1000</f>
        <v>0</v>
      </c>
      <c r="BI313" s="250">
        <f t="shared" si="244"/>
        <v>30</v>
      </c>
      <c r="BJ313" s="237">
        <f t="shared" si="432"/>
        <v>46.033333333333331</v>
      </c>
      <c r="BK313" s="253">
        <f t="shared" si="433"/>
        <v>3.2297395388556791</v>
      </c>
      <c r="BL313" s="253" cm="1">
        <f t="array" ref="BL313">$BC313 * IF($AD313&lt;=2,
SUMPRODUCT(INDEX($AL$72:$AN$76,,$AE313), INDEX($AO$72:$AU$76,,$AD313), 1 / ($AV$72:$AV$76*BK313 + (1-$AV$72:$AV$76)*BG313), N($AK$72:$AK$76&gt;$AI313)),
SUMPRODUCT(INDEX($AL$67:$AN$76,,$AE313), INDEX($AO$67:$AU$76,,$AD313), 1 / ($AW$67:$AW$76*BK313 + (1-$AW$67:$AW$76)*BG313), N($AK$67:$AK$76&gt;$AI313))
) / 1000</f>
        <v>0</v>
      </c>
      <c r="BM313" s="250">
        <f t="shared" si="247"/>
        <v>25</v>
      </c>
      <c r="BN313" s="237">
        <f t="shared" si="434"/>
        <v>39.516666666666666</v>
      </c>
      <c r="BO313" s="253">
        <f t="shared" si="435"/>
        <v>3.877011788826243</v>
      </c>
      <c r="BP313" s="253" cm="1">
        <f t="array" ref="BP313">$BC313 * IF($AD313&lt;=2,
SUMPRODUCT(INDEX($AL$67:$AN$71,,$AE313), INDEX($AO$67:$AU$71,,$AD313), 1 / ($AV$67:$AV$71*BO313 + (1-$AV$67:$AV$71)*BK313), N($AK$67:$AK$71&gt;$AI313)),
SUMPRODUCT(INDEX($AL$57:$AN$66,,$AE313), INDEX($AO$57:$AU$66,,$AD313), 1 / ($AW$57:$AW$66*BO313 + (1-$AW$57:$AW$66)*BK313), N($AK$57:$AK$66&gt;$AI313))
) / 1000</f>
        <v>0</v>
      </c>
      <c r="BQ313" s="250">
        <f t="shared" si="250"/>
        <v>20</v>
      </c>
      <c r="BR313" s="237">
        <f t="shared" si="436"/>
        <v>33</v>
      </c>
      <c r="BS313" s="253">
        <f t="shared" si="437"/>
        <v>4.8487499999999999</v>
      </c>
      <c r="BT313" s="253" cm="1">
        <f t="array" ref="BT313">$BC313 * IF($AD313&lt;=2,
SUMPRODUCT(INDEX($AL$62:$AN$66,,$AE313), INDEX($AO$62:$AU$66,,$AD313), 1 / ($AV$62:$AV$66*BS313 + (1-$AV$62:$AV$66)*BO313), N($AK$62:$AK$66&gt;$AI313)),
SUMPRODUCT(INDEX($AL$47:$AN$56,,$AE313), INDEX($AO$47:$AU$56,,$AD313), 1 / ($AW$47:$AW$56*BS313 + (1-$AW$47:$AW$56)*BO313), N($AK$47:$AK$56&gt;$AI313))
) / 1000</f>
        <v>0</v>
      </c>
      <c r="BU313" s="253" cm="1">
        <f t="array" ref="BU313">$BC313 * IF($AD313&lt;=2,
SUMPRODUCT(INDEX($AL$23:$AN$61,,$AE313), INDEX($AO$23:$AU$61,,$AD313), 1 / ($AV$23:$AV$61*BS313), N($AK$23:$AK$61&gt;$AI313)),
SUMPRODUCT(INDEX($AL$23:$AN$46,,$AE313), INDEX($AO$23:$AU$46,,$AD313), 1 / ($AW$23:$AW$46*BS313), N($AK$23:$AK$46&gt;$AI313))
) / 1000</f>
        <v>0</v>
      </c>
      <c r="BV313" s="237">
        <f t="shared" si="438"/>
        <v>0</v>
      </c>
      <c r="BW313" s="210"/>
      <c r="BX313" s="237">
        <f t="shared" si="439"/>
        <v>0</v>
      </c>
      <c r="BY313" s="236">
        <v>35</v>
      </c>
      <c r="BZ313" s="237">
        <f t="shared" si="440"/>
        <v>48</v>
      </c>
      <c r="CA313" s="253">
        <f t="shared" si="441"/>
        <v>3.0748170731707316</v>
      </c>
      <c r="CB313" s="253" cm="1">
        <f t="array" ref="CB313">$BC313 * SUMPRODUCT(INDEX($AL$77:$AN$82,,$AE313),INDEX($AO$77:$AU$82,,$AD313), N($AK$77:$AK$82&gt;$AI313)) / CA313 / 1000</f>
        <v>0</v>
      </c>
      <c r="CC313" s="250">
        <f t="shared" si="257"/>
        <v>30</v>
      </c>
      <c r="CD313" s="237">
        <f t="shared" si="442"/>
        <v>43</v>
      </c>
      <c r="CE313" s="253">
        <f t="shared" si="443"/>
        <v>3.5018750000000001</v>
      </c>
      <c r="CF313" s="253" cm="1">
        <f t="array" ref="CF313">$BC313 * IF($AD313&lt;=2,
SUMPRODUCT(INDEX($AL$72:$AN$76,,$AE313), INDEX($AO$72:$AU$76,,$AD313), 1 / ($AV$72:$AV$76*CE313 + (1-$AV$72:$AV$76)*CA313), N($AK$72:$AK$76&gt;$AI313)),
SUMPRODUCT(INDEX($AL$67:$AN$76,,$AE313), INDEX($AO$67:$AU$76,,$AD313), 1 / ($AW$67:$AW$76*CE313 + (1-$AW$67:$AW$76)*CA313), N($AK$67:$AK$76&gt;$AI313))
) / 1000</f>
        <v>0</v>
      </c>
      <c r="CG313" s="250">
        <f t="shared" si="260"/>
        <v>25</v>
      </c>
      <c r="CH313" s="237">
        <f t="shared" si="444"/>
        <v>38</v>
      </c>
      <c r="CI313" s="253">
        <f t="shared" si="445"/>
        <v>4.0666935483870965</v>
      </c>
      <c r="CJ313" s="253" cm="1">
        <f t="array" ref="CJ313">$BC313 * IF($AD313&lt;=2,
SUMPRODUCT(INDEX($AL$67:$AN$71,,$AE313), INDEX($AO$67:$AU$71,,$AD313), 1 / ($AV$67:$AV$71*CI313 + (1-$AV$67:$AV$71)*CE313), N($AK$67:$AK$71&gt;$AI313)),
SUMPRODUCT(INDEX($AL$57:$AN$66,,$AE313), INDEX($AO$57:$AU$66,,$AD313), 1 / ($AW$57:$AW$66*CI313 + (1-$AW$57:$AW$66)*CE313), N($AK$57:$AK$66&gt;$AI313))
) / 1000</f>
        <v>0</v>
      </c>
      <c r="CK313" s="250">
        <f t="shared" si="263"/>
        <v>20</v>
      </c>
      <c r="CL313" s="237">
        <f t="shared" si="446"/>
        <v>33</v>
      </c>
      <c r="CM313" s="253">
        <f t="shared" si="447"/>
        <v>4.8487499999999999</v>
      </c>
      <c r="CN313" s="253" cm="1">
        <f t="array" ref="CN313">$BC313 * IF($AD313&lt;=2,
SUMPRODUCT(INDEX($AL$62:$AN$66,,$AE313), INDEX($AO$62:$AU$66,,$AD313), 1 / ($AV$62:$AV$66*CM313 + (1-$AV$62:$AV$66)*CI313), N($AK$62:$AK$66&gt;$AI313)),
SUMPRODUCT(INDEX($AL$47:$AN$56,,$AE313), INDEX($AO$47:$AU$56,,$AD313), 1 / ($AW$47:$AW$56*CM313 + (1-$AW$47:$AW$56)*CI313), N($AK$47:$AK$56&gt;$AI313))
) / 1000</f>
        <v>0</v>
      </c>
      <c r="CO313" s="253" cm="1">
        <f t="array" ref="CO313">$BC313 * IF($AD313&lt;=2,
SUMPRODUCT(INDEX($AL$23:$AN$61,,$AE313), INDEX($AO$23:$AU$61,,$AD313), 1 / ($AV$23:$AV$61*CM313), N($AK$23:$AK$61&gt;$AI313)),
SUMPRODUCT(INDEX($AL$23:$AN$46,,$AE313), INDEX($AO$23:$AU$46,,$AD313), 1 / ($AW$23:$AW$46*CM313), N($AK$23:$AK$46&gt;$AI313))
) / 1000</f>
        <v>0</v>
      </c>
      <c r="CP313" s="237">
        <f t="shared" si="448"/>
        <v>0</v>
      </c>
      <c r="CQ313" s="210"/>
    </row>
    <row r="314" spans="1:95" s="76" customFormat="1" ht="14.25" customHeight="1" x14ac:dyDescent="0.2">
      <c r="A314" s="238" t="b">
        <f t="shared" si="227"/>
        <v>0</v>
      </c>
      <c r="B314" s="239">
        <v>292</v>
      </c>
      <c r="C314" s="258"/>
      <c r="D314" s="258"/>
      <c r="E314" s="240"/>
      <c r="F314" s="241" t="str">
        <f>IF(ISBLANK(E314), "", VLOOKUP(E314, Z!$A$2:$C$4127, 3, FALSE))</f>
        <v/>
      </c>
      <c r="G314" s="242"/>
      <c r="H314" s="242"/>
      <c r="I314" s="243"/>
      <c r="J314" s="244"/>
      <c r="K314" s="259"/>
      <c r="L314" s="260"/>
      <c r="M314" s="247" t="str" cm="1">
        <f t="array" ref="M314">IF($K314&gt;0, INDEX(Clean,1+AG314,$C$1), "")</f>
        <v/>
      </c>
      <c r="N314" s="245"/>
      <c r="O314" s="245"/>
      <c r="P314" s="246"/>
      <c r="Q314" s="248">
        <f t="shared" si="425"/>
        <v>0</v>
      </c>
      <c r="R314" s="247" t="str" cm="1">
        <f t="array" ref="R314">IF($K314&gt;0, INDEX(Clean,1+AH314,$C$1), "")</f>
        <v/>
      </c>
      <c r="S314" s="245"/>
      <c r="T314" s="245"/>
      <c r="U314" s="246"/>
      <c r="V314" s="248">
        <f t="shared" si="426"/>
        <v>0</v>
      </c>
      <c r="W314" s="261"/>
      <c r="X314" s="258"/>
      <c r="Y314" s="240"/>
      <c r="Z314" s="241" t="str">
        <f>IF(ISBLANK(Y314), "", VLOOKUP(Y314, Z!$A$2:$C$4127, 3, FALSE))</f>
        <v/>
      </c>
      <c r="AA314" s="262"/>
      <c r="AB314" s="249">
        <f t="shared" si="452"/>
        <v>0</v>
      </c>
      <c r="AC314" s="210"/>
      <c r="AD314" s="236">
        <f t="shared" si="449"/>
        <v>1</v>
      </c>
      <c r="AE314" s="236">
        <f t="shared" si="450"/>
        <v>1</v>
      </c>
      <c r="AF314" s="236">
        <f t="shared" si="451"/>
        <v>0</v>
      </c>
      <c r="AG314" s="236">
        <v>1</v>
      </c>
      <c r="AH314" s="236">
        <v>0</v>
      </c>
      <c r="AI314" s="236">
        <f t="shared" si="427"/>
        <v>-100</v>
      </c>
      <c r="AJ314" s="210"/>
      <c r="AK314" s="254"/>
      <c r="AL314" s="254"/>
      <c r="AM314" s="255"/>
      <c r="AN314" s="255"/>
      <c r="AO314" s="255"/>
      <c r="AP314" s="255"/>
      <c r="AQ314" s="255"/>
      <c r="AR314" s="255"/>
      <c r="AS314" s="255"/>
      <c r="AT314" s="255"/>
      <c r="AU314" s="255"/>
      <c r="AV314" s="255"/>
      <c r="AW314" s="255"/>
      <c r="AX314" s="210"/>
      <c r="AY314" s="236" cm="1">
        <f t="array" ref="AY314">INDEX(Use, $AD314, 4)</f>
        <v>7</v>
      </c>
      <c r="AZ314" s="236">
        <f t="shared" si="428"/>
        <v>32</v>
      </c>
      <c r="BA314" s="236">
        <f t="shared" si="239"/>
        <v>13</v>
      </c>
      <c r="BB314" s="236">
        <f t="shared" si="240"/>
        <v>0</v>
      </c>
      <c r="BC314" s="252" cm="1">
        <f t="array" ref="BC314">K314/IF($L314&gt;0, INDEX($AO$23:$AU$77, $L314+20, $AD314), 1)</f>
        <v>0</v>
      </c>
      <c r="BD314" s="237">
        <f t="shared" si="429"/>
        <v>0</v>
      </c>
      <c r="BE314" s="236">
        <v>35</v>
      </c>
      <c r="BF314" s="237">
        <f t="shared" si="430"/>
        <v>52.55</v>
      </c>
      <c r="BG314" s="253">
        <f t="shared" si="431"/>
        <v>2.7676728869374316</v>
      </c>
      <c r="BH314" s="253" cm="1">
        <f t="array" ref="BH314">$BC314 * SUMPRODUCT(INDEX($AL$77:$AN$82,,$AE314),INDEX($AO$77:$AU$82,,$AD314), N($AK$77:$AK$82&gt;$AI314)) / BG314 / 1000</f>
        <v>0</v>
      </c>
      <c r="BI314" s="250">
        <f t="shared" si="244"/>
        <v>30</v>
      </c>
      <c r="BJ314" s="237">
        <f t="shared" si="432"/>
        <v>46.033333333333331</v>
      </c>
      <c r="BK314" s="253">
        <f t="shared" si="433"/>
        <v>3.2297395388556791</v>
      </c>
      <c r="BL314" s="253" cm="1">
        <f t="array" ref="BL314">$BC314 * IF($AD314&lt;=2,
SUMPRODUCT(INDEX($AL$72:$AN$76,,$AE314), INDEX($AO$72:$AU$76,,$AD314), 1 / ($AV$72:$AV$76*BK314 + (1-$AV$72:$AV$76)*BG314), N($AK$72:$AK$76&gt;$AI314)),
SUMPRODUCT(INDEX($AL$67:$AN$76,,$AE314), INDEX($AO$67:$AU$76,,$AD314), 1 / ($AW$67:$AW$76*BK314 + (1-$AW$67:$AW$76)*BG314), N($AK$67:$AK$76&gt;$AI314))
) / 1000</f>
        <v>0</v>
      </c>
      <c r="BM314" s="250">
        <f t="shared" si="247"/>
        <v>25</v>
      </c>
      <c r="BN314" s="237">
        <f t="shared" si="434"/>
        <v>39.516666666666666</v>
      </c>
      <c r="BO314" s="253">
        <f t="shared" si="435"/>
        <v>3.877011788826243</v>
      </c>
      <c r="BP314" s="253" cm="1">
        <f t="array" ref="BP314">$BC314 * IF($AD314&lt;=2,
SUMPRODUCT(INDEX($AL$67:$AN$71,,$AE314), INDEX($AO$67:$AU$71,,$AD314), 1 / ($AV$67:$AV$71*BO314 + (1-$AV$67:$AV$71)*BK314), N($AK$67:$AK$71&gt;$AI314)),
SUMPRODUCT(INDEX($AL$57:$AN$66,,$AE314), INDEX($AO$57:$AU$66,,$AD314), 1 / ($AW$57:$AW$66*BO314 + (1-$AW$57:$AW$66)*BK314), N($AK$57:$AK$66&gt;$AI314))
) / 1000</f>
        <v>0</v>
      </c>
      <c r="BQ314" s="250">
        <f t="shared" si="250"/>
        <v>20</v>
      </c>
      <c r="BR314" s="237">
        <f t="shared" si="436"/>
        <v>33</v>
      </c>
      <c r="BS314" s="253">
        <f t="shared" si="437"/>
        <v>4.8487499999999999</v>
      </c>
      <c r="BT314" s="253" cm="1">
        <f t="array" ref="BT314">$BC314 * IF($AD314&lt;=2,
SUMPRODUCT(INDEX($AL$62:$AN$66,,$AE314), INDEX($AO$62:$AU$66,,$AD314), 1 / ($AV$62:$AV$66*BS314 + (1-$AV$62:$AV$66)*BO314), N($AK$62:$AK$66&gt;$AI314)),
SUMPRODUCT(INDEX($AL$47:$AN$56,,$AE314), INDEX($AO$47:$AU$56,,$AD314), 1 / ($AW$47:$AW$56*BS314 + (1-$AW$47:$AW$56)*BO314), N($AK$47:$AK$56&gt;$AI314))
) / 1000</f>
        <v>0</v>
      </c>
      <c r="BU314" s="253" cm="1">
        <f t="array" ref="BU314">$BC314 * IF($AD314&lt;=2,
SUMPRODUCT(INDEX($AL$23:$AN$61,,$AE314), INDEX($AO$23:$AU$61,,$AD314), 1 / ($AV$23:$AV$61*BS314), N($AK$23:$AK$61&gt;$AI314)),
SUMPRODUCT(INDEX($AL$23:$AN$46,,$AE314), INDEX($AO$23:$AU$46,,$AD314), 1 / ($AW$23:$AW$46*BS314), N($AK$23:$AK$46&gt;$AI314))
) / 1000</f>
        <v>0</v>
      </c>
      <c r="BV314" s="237">
        <f t="shared" si="438"/>
        <v>0</v>
      </c>
      <c r="BW314" s="210"/>
      <c r="BX314" s="237">
        <f t="shared" si="439"/>
        <v>0</v>
      </c>
      <c r="BY314" s="236">
        <v>35</v>
      </c>
      <c r="BZ314" s="237">
        <f t="shared" si="440"/>
        <v>48</v>
      </c>
      <c r="CA314" s="253">
        <f t="shared" si="441"/>
        <v>3.0748170731707316</v>
      </c>
      <c r="CB314" s="253" cm="1">
        <f t="array" ref="CB314">$BC314 * SUMPRODUCT(INDEX($AL$77:$AN$82,,$AE314),INDEX($AO$77:$AU$82,,$AD314), N($AK$77:$AK$82&gt;$AI314)) / CA314 / 1000</f>
        <v>0</v>
      </c>
      <c r="CC314" s="250">
        <f t="shared" si="257"/>
        <v>30</v>
      </c>
      <c r="CD314" s="237">
        <f t="shared" si="442"/>
        <v>43</v>
      </c>
      <c r="CE314" s="253">
        <f t="shared" si="443"/>
        <v>3.5018750000000001</v>
      </c>
      <c r="CF314" s="253" cm="1">
        <f t="array" ref="CF314">$BC314 * IF($AD314&lt;=2,
SUMPRODUCT(INDEX($AL$72:$AN$76,,$AE314), INDEX($AO$72:$AU$76,,$AD314), 1 / ($AV$72:$AV$76*CE314 + (1-$AV$72:$AV$76)*CA314), N($AK$72:$AK$76&gt;$AI314)),
SUMPRODUCT(INDEX($AL$67:$AN$76,,$AE314), INDEX($AO$67:$AU$76,,$AD314), 1 / ($AW$67:$AW$76*CE314 + (1-$AW$67:$AW$76)*CA314), N($AK$67:$AK$76&gt;$AI314))
) / 1000</f>
        <v>0</v>
      </c>
      <c r="CG314" s="250">
        <f t="shared" si="260"/>
        <v>25</v>
      </c>
      <c r="CH314" s="237">
        <f t="shared" si="444"/>
        <v>38</v>
      </c>
      <c r="CI314" s="253">
        <f t="shared" si="445"/>
        <v>4.0666935483870965</v>
      </c>
      <c r="CJ314" s="253" cm="1">
        <f t="array" ref="CJ314">$BC314 * IF($AD314&lt;=2,
SUMPRODUCT(INDEX($AL$67:$AN$71,,$AE314), INDEX($AO$67:$AU$71,,$AD314), 1 / ($AV$67:$AV$71*CI314 + (1-$AV$67:$AV$71)*CE314), N($AK$67:$AK$71&gt;$AI314)),
SUMPRODUCT(INDEX($AL$57:$AN$66,,$AE314), INDEX($AO$57:$AU$66,,$AD314), 1 / ($AW$57:$AW$66*CI314 + (1-$AW$57:$AW$66)*CE314), N($AK$57:$AK$66&gt;$AI314))
) / 1000</f>
        <v>0</v>
      </c>
      <c r="CK314" s="250">
        <f t="shared" si="263"/>
        <v>20</v>
      </c>
      <c r="CL314" s="237">
        <f t="shared" si="446"/>
        <v>33</v>
      </c>
      <c r="CM314" s="253">
        <f t="shared" si="447"/>
        <v>4.8487499999999999</v>
      </c>
      <c r="CN314" s="253" cm="1">
        <f t="array" ref="CN314">$BC314 * IF($AD314&lt;=2,
SUMPRODUCT(INDEX($AL$62:$AN$66,,$AE314), INDEX($AO$62:$AU$66,,$AD314), 1 / ($AV$62:$AV$66*CM314 + (1-$AV$62:$AV$66)*CI314), N($AK$62:$AK$66&gt;$AI314)),
SUMPRODUCT(INDEX($AL$47:$AN$56,,$AE314), INDEX($AO$47:$AU$56,,$AD314), 1 / ($AW$47:$AW$56*CM314 + (1-$AW$47:$AW$56)*CI314), N($AK$47:$AK$56&gt;$AI314))
) / 1000</f>
        <v>0</v>
      </c>
      <c r="CO314" s="253" cm="1">
        <f t="array" ref="CO314">$BC314 * IF($AD314&lt;=2,
SUMPRODUCT(INDEX($AL$23:$AN$61,,$AE314), INDEX($AO$23:$AU$61,,$AD314), 1 / ($AV$23:$AV$61*CM314), N($AK$23:$AK$61&gt;$AI314)),
SUMPRODUCT(INDEX($AL$23:$AN$46,,$AE314), INDEX($AO$23:$AU$46,,$AD314), 1 / ($AW$23:$AW$46*CM314), N($AK$23:$AK$46&gt;$AI314))
) / 1000</f>
        <v>0</v>
      </c>
      <c r="CP314" s="237">
        <f t="shared" si="448"/>
        <v>0</v>
      </c>
      <c r="CQ314" s="210"/>
    </row>
    <row r="315" spans="1:95" s="76" customFormat="1" ht="14.25" customHeight="1" x14ac:dyDescent="0.2">
      <c r="A315" s="238" t="b">
        <f t="shared" si="227"/>
        <v>0</v>
      </c>
      <c r="B315" s="239">
        <v>293</v>
      </c>
      <c r="C315" s="258"/>
      <c r="D315" s="258"/>
      <c r="E315" s="240"/>
      <c r="F315" s="241" t="str">
        <f>IF(ISBLANK(E315), "", VLOOKUP(E315, Z!$A$2:$C$4127, 3, FALSE))</f>
        <v/>
      </c>
      <c r="G315" s="242"/>
      <c r="H315" s="242"/>
      <c r="I315" s="243"/>
      <c r="J315" s="244"/>
      <c r="K315" s="259"/>
      <c r="L315" s="260"/>
      <c r="M315" s="247" t="str" cm="1">
        <f t="array" ref="M315">IF($K315&gt;0, INDEX(Clean,1+AG315,$C$1), "")</f>
        <v/>
      </c>
      <c r="N315" s="245"/>
      <c r="O315" s="245"/>
      <c r="P315" s="246"/>
      <c r="Q315" s="248">
        <f t="shared" ref="Q315:Q378" si="453">BV315*1000</f>
        <v>0</v>
      </c>
      <c r="R315" s="247" t="str" cm="1">
        <f t="array" ref="R315">IF($K315&gt;0, INDEX(Clean,1+AH315,$C$1), "")</f>
        <v/>
      </c>
      <c r="S315" s="245"/>
      <c r="T315" s="245"/>
      <c r="U315" s="246"/>
      <c r="V315" s="248">
        <f t="shared" ref="V315:V378" si="454">CP315*1000</f>
        <v>0</v>
      </c>
      <c r="W315" s="261"/>
      <c r="X315" s="258"/>
      <c r="Y315" s="240"/>
      <c r="Z315" s="241" t="str">
        <f>IF(ISBLANK(Y315), "", VLOOKUP(Y315, Z!$A$2:$C$4127, 3, FALSE))</f>
        <v/>
      </c>
      <c r="AA315" s="262"/>
      <c r="AB315" s="249">
        <f t="shared" si="452"/>
        <v>0</v>
      </c>
      <c r="AC315" s="210"/>
      <c r="AD315" s="236">
        <f t="shared" si="449"/>
        <v>1</v>
      </c>
      <c r="AE315" s="236">
        <f t="shared" si="450"/>
        <v>1</v>
      </c>
      <c r="AF315" s="236">
        <f t="shared" si="451"/>
        <v>0</v>
      </c>
      <c r="AG315" s="236">
        <v>1</v>
      </c>
      <c r="AH315" s="236">
        <v>0</v>
      </c>
      <c r="AI315" s="236">
        <f t="shared" ref="AI315:AI378" si="455">IF(AND(J315="x", AD315=5), 11, IF(AND(J315="x", AD315=6), 19, -100))</f>
        <v>-100</v>
      </c>
      <c r="AJ315" s="210"/>
      <c r="AK315" s="254"/>
      <c r="AL315" s="254"/>
      <c r="AM315" s="255"/>
      <c r="AN315" s="255"/>
      <c r="AO315" s="255"/>
      <c r="AP315" s="255"/>
      <c r="AQ315" s="255"/>
      <c r="AR315" s="255"/>
      <c r="AS315" s="255"/>
      <c r="AT315" s="255"/>
      <c r="AU315" s="255"/>
      <c r="AV315" s="255"/>
      <c r="AW315" s="255"/>
      <c r="AX315" s="210"/>
      <c r="AY315" s="236" cm="1">
        <f t="array" ref="AY315">INDEX(Use, $AD315, 4)</f>
        <v>7</v>
      </c>
      <c r="AZ315" s="236">
        <f t="shared" ref="AZ315:AZ378" si="456">MAX(25, AY315+25)</f>
        <v>32</v>
      </c>
      <c r="BA315" s="236">
        <f t="shared" si="239"/>
        <v>13</v>
      </c>
      <c r="BB315" s="236">
        <f t="shared" si="240"/>
        <v>0</v>
      </c>
      <c r="BC315" s="252" cm="1">
        <f t="array" ref="BC315">K315/IF($L315&gt;0, INDEX($AO$23:$AU$77, $L315+20, $AD315), 1)</f>
        <v>0</v>
      </c>
      <c r="BD315" s="237">
        <f t="shared" ref="BD315:BD378" si="457">P315 /  IF(AD315&lt;=2, 0.7 + 0.3 * (O315-20)/(35-20), 0.4 + 0.6 * (O315-5)/(35-5))</f>
        <v>0</v>
      </c>
      <c r="BE315" s="236">
        <v>35</v>
      </c>
      <c r="BF315" s="237">
        <f t="shared" ref="BF315:BF378" si="458">MAX($N315, MAX($AZ315, $BE315 + $BA315 + $BB315 + 0.35*$AG315*$BA315 + BD315))</f>
        <v>52.55</v>
      </c>
      <c r="BG315" s="253">
        <f t="shared" ref="BG315:BG378" si="459">0.45*($AY315+273.15)/(BF315-$AY315)</f>
        <v>2.7676728869374316</v>
      </c>
      <c r="BH315" s="253" cm="1">
        <f t="array" ref="BH315">$BC315 * SUMPRODUCT(INDEX($AL$77:$AN$82,,$AE315),INDEX($AO$77:$AU$82,,$AD315), N($AK$77:$AK$82&gt;$AI315)) / BG315 / 1000</f>
        <v>0</v>
      </c>
      <c r="BI315" s="250">
        <f t="shared" si="244"/>
        <v>30</v>
      </c>
      <c r="BJ315" s="237">
        <f t="shared" ref="BJ315:BJ378" si="460">MAX($N315, MAX($AZ315, BI315 + $BA315 + $BB315 + IF($AD315&lt;=2, (BI315-20)/(35-20), 0.6+0.4*(BI315-5)/(35-5))*0.35*$AG315*$BA315) + IF($AD315&lt;=2,0.9,0.8)*$BD315)</f>
        <v>46.033333333333331</v>
      </c>
      <c r="BK315" s="253">
        <f t="shared" ref="BK315:BK378" si="461">0.45*($AY315+273.15)/(BJ315-$AY315)</f>
        <v>3.2297395388556791</v>
      </c>
      <c r="BL315" s="253" cm="1">
        <f t="array" ref="BL315">$BC315 * IF($AD315&lt;=2,
SUMPRODUCT(INDEX($AL$72:$AN$76,,$AE315), INDEX($AO$72:$AU$76,,$AD315), 1 / ($AV$72:$AV$76*BK315 + (1-$AV$72:$AV$76)*BG315), N($AK$72:$AK$76&gt;$AI315)),
SUMPRODUCT(INDEX($AL$67:$AN$76,,$AE315), INDEX($AO$67:$AU$76,,$AD315), 1 / ($AW$67:$AW$76*BK315 + (1-$AW$67:$AW$76)*BG315), N($AK$67:$AK$76&gt;$AI315))
) / 1000</f>
        <v>0</v>
      </c>
      <c r="BM315" s="250">
        <f t="shared" si="247"/>
        <v>25</v>
      </c>
      <c r="BN315" s="237">
        <f t="shared" ref="BN315:BN378" si="462">MAX($N315, MAX($AZ315, BM315 + $BA315 + $BB315 + IF($AD315&lt;=2, (BM315-20)/(35-20), 0.6+0.4*(BM315-5)/(35-5))*0.35*$AG315*$BA315) + IF($AD315&lt;=2,0.8,0.6)*$BD315)</f>
        <v>39.516666666666666</v>
      </c>
      <c r="BO315" s="253">
        <f t="shared" ref="BO315:BO378" si="463">0.45*($AY315+273.15)/(BN315-$AY315)</f>
        <v>3.877011788826243</v>
      </c>
      <c r="BP315" s="253" cm="1">
        <f t="array" ref="BP315">$BC315 * IF($AD315&lt;=2,
SUMPRODUCT(INDEX($AL$67:$AN$71,,$AE315), INDEX($AO$67:$AU$71,,$AD315), 1 / ($AV$67:$AV$71*BO315 + (1-$AV$67:$AV$71)*BK315), N($AK$67:$AK$71&gt;$AI315)),
SUMPRODUCT(INDEX($AL$57:$AN$66,,$AE315), INDEX($AO$57:$AU$66,,$AD315), 1 / ($AW$57:$AW$66*BO315 + (1-$AW$57:$AW$66)*BK315), N($AK$57:$AK$66&gt;$AI315))
) / 1000</f>
        <v>0</v>
      </c>
      <c r="BQ315" s="250">
        <f t="shared" si="250"/>
        <v>20</v>
      </c>
      <c r="BR315" s="237">
        <f t="shared" ref="BR315:BR378" si="464">MAX($N315, MAX($AZ315, BQ315 + $BA315 + $BB315 + IF($AD315&lt;=2, (BQ315-20)/(35-20), 0.6+0.4*(BQ315-5)/(35-5))*0.35*$AG315*$BA315) + IF($AD315&lt;=2,0.7,0.4)*$BD315)</f>
        <v>33</v>
      </c>
      <c r="BS315" s="253">
        <f t="shared" ref="BS315:BS378" si="465">0.45*($AY315+273.15)/(BR315-$AY315)</f>
        <v>4.8487499999999999</v>
      </c>
      <c r="BT315" s="253" cm="1">
        <f t="array" ref="BT315">$BC315 * IF($AD315&lt;=2,
SUMPRODUCT(INDEX($AL$62:$AN$66,,$AE315), INDEX($AO$62:$AU$66,,$AD315), 1 / ($AV$62:$AV$66*BS315 + (1-$AV$62:$AV$66)*BO315), N($AK$62:$AK$66&gt;$AI315)),
SUMPRODUCT(INDEX($AL$47:$AN$56,,$AE315), INDEX($AO$47:$AU$56,,$AD315), 1 / ($AW$47:$AW$56*BS315 + (1-$AW$47:$AW$56)*BO315), N($AK$47:$AK$56&gt;$AI315))
) / 1000</f>
        <v>0</v>
      </c>
      <c r="BU315" s="253" cm="1">
        <f t="array" ref="BU315">$BC315 * IF($AD315&lt;=2,
SUMPRODUCT(INDEX($AL$23:$AN$61,,$AE315), INDEX($AO$23:$AU$61,,$AD315), 1 / ($AV$23:$AV$61*BS315), N($AK$23:$AK$61&gt;$AI315)),
SUMPRODUCT(INDEX($AL$23:$AN$46,,$AE315), INDEX($AO$23:$AU$46,,$AD315), 1 / ($AW$23:$AW$46*BS315), N($AK$23:$AK$46&gt;$AI315))
) / 1000</f>
        <v>0</v>
      </c>
      <c r="BV315" s="237">
        <f t="shared" ref="BV315:BV378" si="466">BH315+BL315+BP315+BT315+BU315</f>
        <v>0</v>
      </c>
      <c r="BW315" s="210"/>
      <c r="BX315" s="237">
        <f t="shared" ref="BX315:BX378" si="467">U315 /  IF(AD315&lt;=2, 0.7 + 0.3 * (T315-20)/(35-20), 0.4 + 0.6 * (T315-5)/(35-5))</f>
        <v>0</v>
      </c>
      <c r="BY315" s="236">
        <v>35</v>
      </c>
      <c r="BZ315" s="237">
        <f t="shared" ref="BZ315:BZ378" si="468">MAX($S315, MAX($AZ315, $BE315 + $BA315 + $BB315 + 0.35*$AH315*$BA315 + BX315))</f>
        <v>48</v>
      </c>
      <c r="CA315" s="253">
        <f t="shared" ref="CA315:CA378" si="469">0.45*($AY315+273.15)/(BZ315-$AY315)</f>
        <v>3.0748170731707316</v>
      </c>
      <c r="CB315" s="253" cm="1">
        <f t="array" ref="CB315">$BC315 * SUMPRODUCT(INDEX($AL$77:$AN$82,,$AE315),INDEX($AO$77:$AU$82,,$AD315), N($AK$77:$AK$82&gt;$AI315)) / CA315 / 1000</f>
        <v>0</v>
      </c>
      <c r="CC315" s="250">
        <f t="shared" si="257"/>
        <v>30</v>
      </c>
      <c r="CD315" s="237">
        <f t="shared" ref="CD315:CD378" si="470">MAX($S315, MAX($AZ315, CC315 + $BA315 + $BB315 + IF($AD315&lt;=2, (CC315-20)/(35-20), 0.6+0.4*(CC315-5)/(35-5))*0.35*$AH315*$BA315) + IF($AD315&lt;=2,0.9,0.8)*$BX315)</f>
        <v>43</v>
      </c>
      <c r="CE315" s="253">
        <f t="shared" ref="CE315:CE378" si="471">0.45*($AY315+273.15)/(CD315-$AY315)</f>
        <v>3.5018750000000001</v>
      </c>
      <c r="CF315" s="253" cm="1">
        <f t="array" ref="CF315">$BC315 * IF($AD315&lt;=2,
SUMPRODUCT(INDEX($AL$72:$AN$76,,$AE315), INDEX($AO$72:$AU$76,,$AD315), 1 / ($AV$72:$AV$76*CE315 + (1-$AV$72:$AV$76)*CA315), N($AK$72:$AK$76&gt;$AI315)),
SUMPRODUCT(INDEX($AL$67:$AN$76,,$AE315), INDEX($AO$67:$AU$76,,$AD315), 1 / ($AW$67:$AW$76*CE315 + (1-$AW$67:$AW$76)*CA315), N($AK$67:$AK$76&gt;$AI315))
) / 1000</f>
        <v>0</v>
      </c>
      <c r="CG315" s="250">
        <f t="shared" si="260"/>
        <v>25</v>
      </c>
      <c r="CH315" s="237">
        <f t="shared" ref="CH315:CH378" si="472">MAX($S315, MAX($AZ315, CG315 + $BA315 + $BB315 + IF($AD315&lt;=2, (CG315-20)/(35-20), 0.6+0.4*(CG315-5)/(35-5))*0.35*$AH315*$BA315) + IF($AD315&lt;=2,0.8,0.6)*$BX315)</f>
        <v>38</v>
      </c>
      <c r="CI315" s="253">
        <f t="shared" ref="CI315:CI378" si="473">0.45*($AY315+273.15)/(CH315-$AY315)</f>
        <v>4.0666935483870965</v>
      </c>
      <c r="CJ315" s="253" cm="1">
        <f t="array" ref="CJ315">$BC315 * IF($AD315&lt;=2,
SUMPRODUCT(INDEX($AL$67:$AN$71,,$AE315), INDEX($AO$67:$AU$71,,$AD315), 1 / ($AV$67:$AV$71*CI315 + (1-$AV$67:$AV$71)*CE315), N($AK$67:$AK$71&gt;$AI315)),
SUMPRODUCT(INDEX($AL$57:$AN$66,,$AE315), INDEX($AO$57:$AU$66,,$AD315), 1 / ($AW$57:$AW$66*CI315 + (1-$AW$57:$AW$66)*CE315), N($AK$57:$AK$66&gt;$AI315))
) / 1000</f>
        <v>0</v>
      </c>
      <c r="CK315" s="250">
        <f t="shared" si="263"/>
        <v>20</v>
      </c>
      <c r="CL315" s="237">
        <f t="shared" ref="CL315:CL378" si="474">MAX($S315, MAX($AZ315, CK315 + $BA315 + $BB315 + IF($AD315&lt;=2, (CK315-20)/(35-20), 0.6+0.4*(CK315-5)/(35-5))*0.35*$AH315*$BA315) + IF($AD315&lt;=2,0.7,0.4)*$BX315)</f>
        <v>33</v>
      </c>
      <c r="CM315" s="253">
        <f t="shared" ref="CM315:CM378" si="475">0.45*($AY315+273.15)/(CL315-$AY315)</f>
        <v>4.8487499999999999</v>
      </c>
      <c r="CN315" s="253" cm="1">
        <f t="array" ref="CN315">$BC315 * IF($AD315&lt;=2,
SUMPRODUCT(INDEX($AL$62:$AN$66,,$AE315), INDEX($AO$62:$AU$66,,$AD315), 1 / ($AV$62:$AV$66*CM315 + (1-$AV$62:$AV$66)*CI315), N($AK$62:$AK$66&gt;$AI315)),
SUMPRODUCT(INDEX($AL$47:$AN$56,,$AE315), INDEX($AO$47:$AU$56,,$AD315), 1 / ($AW$47:$AW$56*CM315 + (1-$AW$47:$AW$56)*CI315), N($AK$47:$AK$56&gt;$AI315))
) / 1000</f>
        <v>0</v>
      </c>
      <c r="CO315" s="253" cm="1">
        <f t="array" ref="CO315">$BC315 * IF($AD315&lt;=2,
SUMPRODUCT(INDEX($AL$23:$AN$61,,$AE315), INDEX($AO$23:$AU$61,,$AD315), 1 / ($AV$23:$AV$61*CM315), N($AK$23:$AK$61&gt;$AI315)),
SUMPRODUCT(INDEX($AL$23:$AN$46,,$AE315), INDEX($AO$23:$AU$46,,$AD315), 1 / ($AW$23:$AW$46*CM315), N($AK$23:$AK$46&gt;$AI315))
) / 1000</f>
        <v>0</v>
      </c>
      <c r="CP315" s="237">
        <f t="shared" ref="CP315:CP378" si="476">CB315+CF315+CJ315+CN315+CO315</f>
        <v>0</v>
      </c>
      <c r="CQ315" s="210"/>
    </row>
    <row r="316" spans="1:95" s="76" customFormat="1" ht="14.25" customHeight="1" x14ac:dyDescent="0.2">
      <c r="A316" s="238" t="b">
        <f t="shared" si="227"/>
        <v>0</v>
      </c>
      <c r="B316" s="239">
        <v>294</v>
      </c>
      <c r="C316" s="258"/>
      <c r="D316" s="258"/>
      <c r="E316" s="240"/>
      <c r="F316" s="241" t="str">
        <f>IF(ISBLANK(E316), "", VLOOKUP(E316, Z!$A$2:$C$4127, 3, FALSE))</f>
        <v/>
      </c>
      <c r="G316" s="242"/>
      <c r="H316" s="242"/>
      <c r="I316" s="243"/>
      <c r="J316" s="244"/>
      <c r="K316" s="259"/>
      <c r="L316" s="260"/>
      <c r="M316" s="247" t="str" cm="1">
        <f t="array" ref="M316">IF($K316&gt;0, INDEX(Clean,1+AG316,$C$1), "")</f>
        <v/>
      </c>
      <c r="N316" s="245"/>
      <c r="O316" s="245"/>
      <c r="P316" s="246"/>
      <c r="Q316" s="248">
        <f t="shared" si="453"/>
        <v>0</v>
      </c>
      <c r="R316" s="247" t="str" cm="1">
        <f t="array" ref="R316">IF($K316&gt;0, INDEX(Clean,1+AH316,$C$1), "")</f>
        <v/>
      </c>
      <c r="S316" s="245"/>
      <c r="T316" s="245"/>
      <c r="U316" s="246"/>
      <c r="V316" s="248">
        <f t="shared" si="454"/>
        <v>0</v>
      </c>
      <c r="W316" s="261"/>
      <c r="X316" s="258"/>
      <c r="Y316" s="240"/>
      <c r="Z316" s="241" t="str">
        <f>IF(ISBLANK(Y316), "", VLOOKUP(Y316, Z!$A$2:$C$4127, 3, FALSE))</f>
        <v/>
      </c>
      <c r="AA316" s="262"/>
      <c r="AB316" s="249">
        <f t="shared" si="452"/>
        <v>0</v>
      </c>
      <c r="AC316" s="210"/>
      <c r="AD316" s="236">
        <f t="shared" ref="AD316:AD379" si="477">IF(ISBLANK(H316), 1, IFERROR(MATCH(H316, INDEX(Use,,1), 0), IFERROR(MATCH(H316, INDEX(Use,,2), 0), MATCH(H316, INDEX(Use,,3), 0))))</f>
        <v>1</v>
      </c>
      <c r="AE316" s="236">
        <f t="shared" ref="AE316:AE379" si="478">IF(ISBLANK(G316), 1, IFERROR(MATCH(G316, INDEX(Loc,,1), 0), IFERROR(MATCH(G316, INDEX(Loc,,2), 0), MATCH(G316, INDEX(Loc,,3), 0))))</f>
        <v>1</v>
      </c>
      <c r="AF316" s="236">
        <f t="shared" ref="AF316:AF379" si="479">_xlfn.IFNA(IF(IFERROR(MATCH(I316, INDEX(Medium,,1), 0), IFERROR(MATCH(I316, INDEX(Medium,,2), 0), MATCH(I316, INDEX(Medium,,3), 0))) = 2, 1, 0), 0)</f>
        <v>0</v>
      </c>
      <c r="AG316" s="236">
        <v>1</v>
      </c>
      <c r="AH316" s="236">
        <v>0</v>
      </c>
      <c r="AI316" s="236">
        <f t="shared" si="455"/>
        <v>-100</v>
      </c>
      <c r="AJ316" s="210"/>
      <c r="AK316" s="254"/>
      <c r="AL316" s="254"/>
      <c r="AM316" s="255"/>
      <c r="AN316" s="255"/>
      <c r="AO316" s="255"/>
      <c r="AP316" s="255"/>
      <c r="AQ316" s="255"/>
      <c r="AR316" s="255"/>
      <c r="AS316" s="255"/>
      <c r="AT316" s="255"/>
      <c r="AU316" s="255"/>
      <c r="AV316" s="255"/>
      <c r="AW316" s="255"/>
      <c r="AX316" s="210"/>
      <c r="AY316" s="236" cm="1">
        <f t="array" ref="AY316">INDEX(Use, $AD316, 4)</f>
        <v>7</v>
      </c>
      <c r="AZ316" s="236">
        <f t="shared" si="456"/>
        <v>32</v>
      </c>
      <c r="BA316" s="236">
        <f t="shared" si="239"/>
        <v>13</v>
      </c>
      <c r="BB316" s="236">
        <f t="shared" si="240"/>
        <v>0</v>
      </c>
      <c r="BC316" s="252" cm="1">
        <f t="array" ref="BC316">K316/IF($L316&gt;0, INDEX($AO$23:$AU$77, $L316+20, $AD316), 1)</f>
        <v>0</v>
      </c>
      <c r="BD316" s="237">
        <f t="shared" si="457"/>
        <v>0</v>
      </c>
      <c r="BE316" s="236">
        <v>35</v>
      </c>
      <c r="BF316" s="237">
        <f t="shared" si="458"/>
        <v>52.55</v>
      </c>
      <c r="BG316" s="253">
        <f t="shared" si="459"/>
        <v>2.7676728869374316</v>
      </c>
      <c r="BH316" s="253" cm="1">
        <f t="array" ref="BH316">$BC316 * SUMPRODUCT(INDEX($AL$77:$AN$82,,$AE316),INDEX($AO$77:$AU$82,,$AD316), N($AK$77:$AK$82&gt;$AI316)) / BG316 / 1000</f>
        <v>0</v>
      </c>
      <c r="BI316" s="250">
        <f t="shared" si="244"/>
        <v>30</v>
      </c>
      <c r="BJ316" s="237">
        <f t="shared" si="460"/>
        <v>46.033333333333331</v>
      </c>
      <c r="BK316" s="253">
        <f t="shared" si="461"/>
        <v>3.2297395388556791</v>
      </c>
      <c r="BL316" s="253" cm="1">
        <f t="array" ref="BL316">$BC316 * IF($AD316&lt;=2,
SUMPRODUCT(INDEX($AL$72:$AN$76,,$AE316), INDEX($AO$72:$AU$76,,$AD316), 1 / ($AV$72:$AV$76*BK316 + (1-$AV$72:$AV$76)*BG316), N($AK$72:$AK$76&gt;$AI316)),
SUMPRODUCT(INDEX($AL$67:$AN$76,,$AE316), INDEX($AO$67:$AU$76,,$AD316), 1 / ($AW$67:$AW$76*BK316 + (1-$AW$67:$AW$76)*BG316), N($AK$67:$AK$76&gt;$AI316))
) / 1000</f>
        <v>0</v>
      </c>
      <c r="BM316" s="250">
        <f t="shared" si="247"/>
        <v>25</v>
      </c>
      <c r="BN316" s="237">
        <f t="shared" si="462"/>
        <v>39.516666666666666</v>
      </c>
      <c r="BO316" s="253">
        <f t="shared" si="463"/>
        <v>3.877011788826243</v>
      </c>
      <c r="BP316" s="253" cm="1">
        <f t="array" ref="BP316">$BC316 * IF($AD316&lt;=2,
SUMPRODUCT(INDEX($AL$67:$AN$71,,$AE316), INDEX($AO$67:$AU$71,,$AD316), 1 / ($AV$67:$AV$71*BO316 + (1-$AV$67:$AV$71)*BK316), N($AK$67:$AK$71&gt;$AI316)),
SUMPRODUCT(INDEX($AL$57:$AN$66,,$AE316), INDEX($AO$57:$AU$66,,$AD316), 1 / ($AW$57:$AW$66*BO316 + (1-$AW$57:$AW$66)*BK316), N($AK$57:$AK$66&gt;$AI316))
) / 1000</f>
        <v>0</v>
      </c>
      <c r="BQ316" s="250">
        <f t="shared" si="250"/>
        <v>20</v>
      </c>
      <c r="BR316" s="237">
        <f t="shared" si="464"/>
        <v>33</v>
      </c>
      <c r="BS316" s="253">
        <f t="shared" si="465"/>
        <v>4.8487499999999999</v>
      </c>
      <c r="BT316" s="253" cm="1">
        <f t="array" ref="BT316">$BC316 * IF($AD316&lt;=2,
SUMPRODUCT(INDEX($AL$62:$AN$66,,$AE316), INDEX($AO$62:$AU$66,,$AD316), 1 / ($AV$62:$AV$66*BS316 + (1-$AV$62:$AV$66)*BO316), N($AK$62:$AK$66&gt;$AI316)),
SUMPRODUCT(INDEX($AL$47:$AN$56,,$AE316), INDEX($AO$47:$AU$56,,$AD316), 1 / ($AW$47:$AW$56*BS316 + (1-$AW$47:$AW$56)*BO316), N($AK$47:$AK$56&gt;$AI316))
) / 1000</f>
        <v>0</v>
      </c>
      <c r="BU316" s="253" cm="1">
        <f t="array" ref="BU316">$BC316 * IF($AD316&lt;=2,
SUMPRODUCT(INDEX($AL$23:$AN$61,,$AE316), INDEX($AO$23:$AU$61,,$AD316), 1 / ($AV$23:$AV$61*BS316), N($AK$23:$AK$61&gt;$AI316)),
SUMPRODUCT(INDEX($AL$23:$AN$46,,$AE316), INDEX($AO$23:$AU$46,,$AD316), 1 / ($AW$23:$AW$46*BS316), N($AK$23:$AK$46&gt;$AI316))
) / 1000</f>
        <v>0</v>
      </c>
      <c r="BV316" s="237">
        <f t="shared" si="466"/>
        <v>0</v>
      </c>
      <c r="BW316" s="210"/>
      <c r="BX316" s="237">
        <f t="shared" si="467"/>
        <v>0</v>
      </c>
      <c r="BY316" s="236">
        <v>35</v>
      </c>
      <c r="BZ316" s="237">
        <f t="shared" si="468"/>
        <v>48</v>
      </c>
      <c r="CA316" s="253">
        <f t="shared" si="469"/>
        <v>3.0748170731707316</v>
      </c>
      <c r="CB316" s="253" cm="1">
        <f t="array" ref="CB316">$BC316 * SUMPRODUCT(INDEX($AL$77:$AN$82,,$AE316),INDEX($AO$77:$AU$82,,$AD316), N($AK$77:$AK$82&gt;$AI316)) / CA316 / 1000</f>
        <v>0</v>
      </c>
      <c r="CC316" s="250">
        <f t="shared" si="257"/>
        <v>30</v>
      </c>
      <c r="CD316" s="237">
        <f t="shared" si="470"/>
        <v>43</v>
      </c>
      <c r="CE316" s="253">
        <f t="shared" si="471"/>
        <v>3.5018750000000001</v>
      </c>
      <c r="CF316" s="253" cm="1">
        <f t="array" ref="CF316">$BC316 * IF($AD316&lt;=2,
SUMPRODUCT(INDEX($AL$72:$AN$76,,$AE316), INDEX($AO$72:$AU$76,,$AD316), 1 / ($AV$72:$AV$76*CE316 + (1-$AV$72:$AV$76)*CA316), N($AK$72:$AK$76&gt;$AI316)),
SUMPRODUCT(INDEX($AL$67:$AN$76,,$AE316), INDEX($AO$67:$AU$76,,$AD316), 1 / ($AW$67:$AW$76*CE316 + (1-$AW$67:$AW$76)*CA316), N($AK$67:$AK$76&gt;$AI316))
) / 1000</f>
        <v>0</v>
      </c>
      <c r="CG316" s="250">
        <f t="shared" si="260"/>
        <v>25</v>
      </c>
      <c r="CH316" s="237">
        <f t="shared" si="472"/>
        <v>38</v>
      </c>
      <c r="CI316" s="253">
        <f t="shared" si="473"/>
        <v>4.0666935483870965</v>
      </c>
      <c r="CJ316" s="253" cm="1">
        <f t="array" ref="CJ316">$BC316 * IF($AD316&lt;=2,
SUMPRODUCT(INDEX($AL$67:$AN$71,,$AE316), INDEX($AO$67:$AU$71,,$AD316), 1 / ($AV$67:$AV$71*CI316 + (1-$AV$67:$AV$71)*CE316), N($AK$67:$AK$71&gt;$AI316)),
SUMPRODUCT(INDEX($AL$57:$AN$66,,$AE316), INDEX($AO$57:$AU$66,,$AD316), 1 / ($AW$57:$AW$66*CI316 + (1-$AW$57:$AW$66)*CE316), N($AK$57:$AK$66&gt;$AI316))
) / 1000</f>
        <v>0</v>
      </c>
      <c r="CK316" s="250">
        <f t="shared" si="263"/>
        <v>20</v>
      </c>
      <c r="CL316" s="237">
        <f t="shared" si="474"/>
        <v>33</v>
      </c>
      <c r="CM316" s="253">
        <f t="shared" si="475"/>
        <v>4.8487499999999999</v>
      </c>
      <c r="CN316" s="253" cm="1">
        <f t="array" ref="CN316">$BC316 * IF($AD316&lt;=2,
SUMPRODUCT(INDEX($AL$62:$AN$66,,$AE316), INDEX($AO$62:$AU$66,,$AD316), 1 / ($AV$62:$AV$66*CM316 + (1-$AV$62:$AV$66)*CI316), N($AK$62:$AK$66&gt;$AI316)),
SUMPRODUCT(INDEX($AL$47:$AN$56,,$AE316), INDEX($AO$47:$AU$56,,$AD316), 1 / ($AW$47:$AW$56*CM316 + (1-$AW$47:$AW$56)*CI316), N($AK$47:$AK$56&gt;$AI316))
) / 1000</f>
        <v>0</v>
      </c>
      <c r="CO316" s="253" cm="1">
        <f t="array" ref="CO316">$BC316 * IF($AD316&lt;=2,
SUMPRODUCT(INDEX($AL$23:$AN$61,,$AE316), INDEX($AO$23:$AU$61,,$AD316), 1 / ($AV$23:$AV$61*CM316), N($AK$23:$AK$61&gt;$AI316)),
SUMPRODUCT(INDEX($AL$23:$AN$46,,$AE316), INDEX($AO$23:$AU$46,,$AD316), 1 / ($AW$23:$AW$46*CM316), N($AK$23:$AK$46&gt;$AI316))
) / 1000</f>
        <v>0</v>
      </c>
      <c r="CP316" s="237">
        <f t="shared" si="476"/>
        <v>0</v>
      </c>
      <c r="CQ316" s="210"/>
    </row>
    <row r="317" spans="1:95" s="76" customFormat="1" ht="14.25" customHeight="1" x14ac:dyDescent="0.2">
      <c r="A317" s="238" t="b">
        <f t="shared" si="227"/>
        <v>0</v>
      </c>
      <c r="B317" s="239">
        <v>295</v>
      </c>
      <c r="C317" s="258"/>
      <c r="D317" s="258"/>
      <c r="E317" s="240"/>
      <c r="F317" s="241" t="str">
        <f>IF(ISBLANK(E317), "", VLOOKUP(E317, Z!$A$2:$C$4127, 3, FALSE))</f>
        <v/>
      </c>
      <c r="G317" s="242"/>
      <c r="H317" s="242"/>
      <c r="I317" s="243"/>
      <c r="J317" s="244"/>
      <c r="K317" s="259"/>
      <c r="L317" s="260"/>
      <c r="M317" s="247" t="str" cm="1">
        <f t="array" ref="M317">IF($K317&gt;0, INDEX(Clean,1+AG317,$C$1), "")</f>
        <v/>
      </c>
      <c r="N317" s="245"/>
      <c r="O317" s="245"/>
      <c r="P317" s="246"/>
      <c r="Q317" s="248">
        <f t="shared" si="453"/>
        <v>0</v>
      </c>
      <c r="R317" s="247" t="str" cm="1">
        <f t="array" ref="R317">IF($K317&gt;0, INDEX(Clean,1+AH317,$C$1), "")</f>
        <v/>
      </c>
      <c r="S317" s="245"/>
      <c r="T317" s="245"/>
      <c r="U317" s="246"/>
      <c r="V317" s="248">
        <f t="shared" si="454"/>
        <v>0</v>
      </c>
      <c r="W317" s="261"/>
      <c r="X317" s="258"/>
      <c r="Y317" s="240"/>
      <c r="Z317" s="241" t="str">
        <f>IF(ISBLANK(Y317), "", VLOOKUP(Y317, Z!$A$2:$C$4127, 3, FALSE))</f>
        <v/>
      </c>
      <c r="AA317" s="262"/>
      <c r="AB317" s="249">
        <f t="shared" si="452"/>
        <v>0</v>
      </c>
      <c r="AC317" s="210"/>
      <c r="AD317" s="236">
        <f t="shared" si="477"/>
        <v>1</v>
      </c>
      <c r="AE317" s="236">
        <f t="shared" si="478"/>
        <v>1</v>
      </c>
      <c r="AF317" s="236">
        <f t="shared" si="479"/>
        <v>0</v>
      </c>
      <c r="AG317" s="236">
        <v>1</v>
      </c>
      <c r="AH317" s="236">
        <v>0</v>
      </c>
      <c r="AI317" s="236">
        <f t="shared" si="455"/>
        <v>-100</v>
      </c>
      <c r="AJ317" s="210"/>
      <c r="AK317" s="254"/>
      <c r="AL317" s="254"/>
      <c r="AM317" s="255"/>
      <c r="AN317" s="255"/>
      <c r="AO317" s="255"/>
      <c r="AP317" s="255"/>
      <c r="AQ317" s="255"/>
      <c r="AR317" s="255"/>
      <c r="AS317" s="255"/>
      <c r="AT317" s="255"/>
      <c r="AU317" s="255"/>
      <c r="AV317" s="255"/>
      <c r="AW317" s="255"/>
      <c r="AX317" s="210"/>
      <c r="AY317" s="236" cm="1">
        <f t="array" ref="AY317">INDEX(Use, $AD317, 4)</f>
        <v>7</v>
      </c>
      <c r="AZ317" s="236">
        <f t="shared" si="456"/>
        <v>32</v>
      </c>
      <c r="BA317" s="236">
        <f t="shared" si="239"/>
        <v>13</v>
      </c>
      <c r="BB317" s="236">
        <f t="shared" si="240"/>
        <v>0</v>
      </c>
      <c r="BC317" s="252" cm="1">
        <f t="array" ref="BC317">K317/IF($L317&gt;0, INDEX($AO$23:$AU$77, $L317+20, $AD317), 1)</f>
        <v>0</v>
      </c>
      <c r="BD317" s="237">
        <f t="shared" si="457"/>
        <v>0</v>
      </c>
      <c r="BE317" s="236">
        <v>35</v>
      </c>
      <c r="BF317" s="237">
        <f t="shared" si="458"/>
        <v>52.55</v>
      </c>
      <c r="BG317" s="253">
        <f t="shared" si="459"/>
        <v>2.7676728869374316</v>
      </c>
      <c r="BH317" s="253" cm="1">
        <f t="array" ref="BH317">$BC317 * SUMPRODUCT(INDEX($AL$77:$AN$82,,$AE317),INDEX($AO$77:$AU$82,,$AD317), N($AK$77:$AK$82&gt;$AI317)) / BG317 / 1000</f>
        <v>0</v>
      </c>
      <c r="BI317" s="250">
        <f t="shared" si="244"/>
        <v>30</v>
      </c>
      <c r="BJ317" s="237">
        <f t="shared" si="460"/>
        <v>46.033333333333331</v>
      </c>
      <c r="BK317" s="253">
        <f t="shared" si="461"/>
        <v>3.2297395388556791</v>
      </c>
      <c r="BL317" s="253" cm="1">
        <f t="array" ref="BL317">$BC317 * IF($AD317&lt;=2,
SUMPRODUCT(INDEX($AL$72:$AN$76,,$AE317), INDEX($AO$72:$AU$76,,$AD317), 1 / ($AV$72:$AV$76*BK317 + (1-$AV$72:$AV$76)*BG317), N($AK$72:$AK$76&gt;$AI317)),
SUMPRODUCT(INDEX($AL$67:$AN$76,,$AE317), INDEX($AO$67:$AU$76,,$AD317), 1 / ($AW$67:$AW$76*BK317 + (1-$AW$67:$AW$76)*BG317), N($AK$67:$AK$76&gt;$AI317))
) / 1000</f>
        <v>0</v>
      </c>
      <c r="BM317" s="250">
        <f t="shared" si="247"/>
        <v>25</v>
      </c>
      <c r="BN317" s="237">
        <f t="shared" si="462"/>
        <v>39.516666666666666</v>
      </c>
      <c r="BO317" s="253">
        <f t="shared" si="463"/>
        <v>3.877011788826243</v>
      </c>
      <c r="BP317" s="253" cm="1">
        <f t="array" ref="BP317">$BC317 * IF($AD317&lt;=2,
SUMPRODUCT(INDEX($AL$67:$AN$71,,$AE317), INDEX($AO$67:$AU$71,,$AD317), 1 / ($AV$67:$AV$71*BO317 + (1-$AV$67:$AV$71)*BK317), N($AK$67:$AK$71&gt;$AI317)),
SUMPRODUCT(INDEX($AL$57:$AN$66,,$AE317), INDEX($AO$57:$AU$66,,$AD317), 1 / ($AW$57:$AW$66*BO317 + (1-$AW$57:$AW$66)*BK317), N($AK$57:$AK$66&gt;$AI317))
) / 1000</f>
        <v>0</v>
      </c>
      <c r="BQ317" s="250">
        <f t="shared" si="250"/>
        <v>20</v>
      </c>
      <c r="BR317" s="237">
        <f t="shared" si="464"/>
        <v>33</v>
      </c>
      <c r="BS317" s="253">
        <f t="shared" si="465"/>
        <v>4.8487499999999999</v>
      </c>
      <c r="BT317" s="253" cm="1">
        <f t="array" ref="BT317">$BC317 * IF($AD317&lt;=2,
SUMPRODUCT(INDEX($AL$62:$AN$66,,$AE317), INDEX($AO$62:$AU$66,,$AD317), 1 / ($AV$62:$AV$66*BS317 + (1-$AV$62:$AV$66)*BO317), N($AK$62:$AK$66&gt;$AI317)),
SUMPRODUCT(INDEX($AL$47:$AN$56,,$AE317), INDEX($AO$47:$AU$56,,$AD317), 1 / ($AW$47:$AW$56*BS317 + (1-$AW$47:$AW$56)*BO317), N($AK$47:$AK$56&gt;$AI317))
) / 1000</f>
        <v>0</v>
      </c>
      <c r="BU317" s="253" cm="1">
        <f t="array" ref="BU317">$BC317 * IF($AD317&lt;=2,
SUMPRODUCT(INDEX($AL$23:$AN$61,,$AE317), INDEX($AO$23:$AU$61,,$AD317), 1 / ($AV$23:$AV$61*BS317), N($AK$23:$AK$61&gt;$AI317)),
SUMPRODUCT(INDEX($AL$23:$AN$46,,$AE317), INDEX($AO$23:$AU$46,,$AD317), 1 / ($AW$23:$AW$46*BS317), N($AK$23:$AK$46&gt;$AI317))
) / 1000</f>
        <v>0</v>
      </c>
      <c r="BV317" s="237">
        <f t="shared" si="466"/>
        <v>0</v>
      </c>
      <c r="BW317" s="210"/>
      <c r="BX317" s="237">
        <f t="shared" si="467"/>
        <v>0</v>
      </c>
      <c r="BY317" s="236">
        <v>35</v>
      </c>
      <c r="BZ317" s="237">
        <f t="shared" si="468"/>
        <v>48</v>
      </c>
      <c r="CA317" s="253">
        <f t="shared" si="469"/>
        <v>3.0748170731707316</v>
      </c>
      <c r="CB317" s="253" cm="1">
        <f t="array" ref="CB317">$BC317 * SUMPRODUCT(INDEX($AL$77:$AN$82,,$AE317),INDEX($AO$77:$AU$82,,$AD317), N($AK$77:$AK$82&gt;$AI317)) / CA317 / 1000</f>
        <v>0</v>
      </c>
      <c r="CC317" s="250">
        <f t="shared" si="257"/>
        <v>30</v>
      </c>
      <c r="CD317" s="237">
        <f t="shared" si="470"/>
        <v>43</v>
      </c>
      <c r="CE317" s="253">
        <f t="shared" si="471"/>
        <v>3.5018750000000001</v>
      </c>
      <c r="CF317" s="253" cm="1">
        <f t="array" ref="CF317">$BC317 * IF($AD317&lt;=2,
SUMPRODUCT(INDEX($AL$72:$AN$76,,$AE317), INDEX($AO$72:$AU$76,,$AD317), 1 / ($AV$72:$AV$76*CE317 + (1-$AV$72:$AV$76)*CA317), N($AK$72:$AK$76&gt;$AI317)),
SUMPRODUCT(INDEX($AL$67:$AN$76,,$AE317), INDEX($AO$67:$AU$76,,$AD317), 1 / ($AW$67:$AW$76*CE317 + (1-$AW$67:$AW$76)*CA317), N($AK$67:$AK$76&gt;$AI317))
) / 1000</f>
        <v>0</v>
      </c>
      <c r="CG317" s="250">
        <f t="shared" si="260"/>
        <v>25</v>
      </c>
      <c r="CH317" s="237">
        <f t="shared" si="472"/>
        <v>38</v>
      </c>
      <c r="CI317" s="253">
        <f t="shared" si="473"/>
        <v>4.0666935483870965</v>
      </c>
      <c r="CJ317" s="253" cm="1">
        <f t="array" ref="CJ317">$BC317 * IF($AD317&lt;=2,
SUMPRODUCT(INDEX($AL$67:$AN$71,,$AE317), INDEX($AO$67:$AU$71,,$AD317), 1 / ($AV$67:$AV$71*CI317 + (1-$AV$67:$AV$71)*CE317), N($AK$67:$AK$71&gt;$AI317)),
SUMPRODUCT(INDEX($AL$57:$AN$66,,$AE317), INDEX($AO$57:$AU$66,,$AD317), 1 / ($AW$57:$AW$66*CI317 + (1-$AW$57:$AW$66)*CE317), N($AK$57:$AK$66&gt;$AI317))
) / 1000</f>
        <v>0</v>
      </c>
      <c r="CK317" s="250">
        <f t="shared" si="263"/>
        <v>20</v>
      </c>
      <c r="CL317" s="237">
        <f t="shared" si="474"/>
        <v>33</v>
      </c>
      <c r="CM317" s="253">
        <f t="shared" si="475"/>
        <v>4.8487499999999999</v>
      </c>
      <c r="CN317" s="253" cm="1">
        <f t="array" ref="CN317">$BC317 * IF($AD317&lt;=2,
SUMPRODUCT(INDEX($AL$62:$AN$66,,$AE317), INDEX($AO$62:$AU$66,,$AD317), 1 / ($AV$62:$AV$66*CM317 + (1-$AV$62:$AV$66)*CI317), N($AK$62:$AK$66&gt;$AI317)),
SUMPRODUCT(INDEX($AL$47:$AN$56,,$AE317), INDEX($AO$47:$AU$56,,$AD317), 1 / ($AW$47:$AW$56*CM317 + (1-$AW$47:$AW$56)*CI317), N($AK$47:$AK$56&gt;$AI317))
) / 1000</f>
        <v>0</v>
      </c>
      <c r="CO317" s="253" cm="1">
        <f t="array" ref="CO317">$BC317 * IF($AD317&lt;=2,
SUMPRODUCT(INDEX($AL$23:$AN$61,,$AE317), INDEX($AO$23:$AU$61,,$AD317), 1 / ($AV$23:$AV$61*CM317), N($AK$23:$AK$61&gt;$AI317)),
SUMPRODUCT(INDEX($AL$23:$AN$46,,$AE317), INDEX($AO$23:$AU$46,,$AD317), 1 / ($AW$23:$AW$46*CM317), N($AK$23:$AK$46&gt;$AI317))
) / 1000</f>
        <v>0</v>
      </c>
      <c r="CP317" s="237">
        <f t="shared" si="476"/>
        <v>0</v>
      </c>
      <c r="CQ317" s="210"/>
    </row>
    <row r="318" spans="1:95" s="76" customFormat="1" ht="14.25" customHeight="1" x14ac:dyDescent="0.2">
      <c r="A318" s="238" t="b">
        <f t="shared" si="227"/>
        <v>0</v>
      </c>
      <c r="B318" s="239">
        <v>296</v>
      </c>
      <c r="C318" s="258"/>
      <c r="D318" s="258"/>
      <c r="E318" s="240"/>
      <c r="F318" s="241" t="str">
        <f>IF(ISBLANK(E318), "", VLOOKUP(E318, Z!$A$2:$C$4127, 3, FALSE))</f>
        <v/>
      </c>
      <c r="G318" s="242"/>
      <c r="H318" s="242"/>
      <c r="I318" s="243"/>
      <c r="J318" s="244"/>
      <c r="K318" s="259"/>
      <c r="L318" s="260"/>
      <c r="M318" s="247" t="str" cm="1">
        <f t="array" ref="M318">IF($K318&gt;0, INDEX(Clean,1+AG318,$C$1), "")</f>
        <v/>
      </c>
      <c r="N318" s="245"/>
      <c r="O318" s="245"/>
      <c r="P318" s="246"/>
      <c r="Q318" s="248">
        <f t="shared" si="453"/>
        <v>0</v>
      </c>
      <c r="R318" s="247" t="str" cm="1">
        <f t="array" ref="R318">IF($K318&gt;0, INDEX(Clean,1+AH318,$C$1), "")</f>
        <v/>
      </c>
      <c r="S318" s="245"/>
      <c r="T318" s="245"/>
      <c r="U318" s="246"/>
      <c r="V318" s="248">
        <f t="shared" si="454"/>
        <v>0</v>
      </c>
      <c r="W318" s="261"/>
      <c r="X318" s="258"/>
      <c r="Y318" s="240"/>
      <c r="Z318" s="241" t="str">
        <f>IF(ISBLANK(Y318), "", VLOOKUP(Y318, Z!$A$2:$C$4127, 3, FALSE))</f>
        <v/>
      </c>
      <c r="AA318" s="262"/>
      <c r="AB318" s="249">
        <f t="shared" si="452"/>
        <v>0</v>
      </c>
      <c r="AC318" s="210"/>
      <c r="AD318" s="236">
        <f t="shared" si="477"/>
        <v>1</v>
      </c>
      <c r="AE318" s="236">
        <f t="shared" si="478"/>
        <v>1</v>
      </c>
      <c r="AF318" s="236">
        <f t="shared" si="479"/>
        <v>0</v>
      </c>
      <c r="AG318" s="236">
        <v>1</v>
      </c>
      <c r="AH318" s="236">
        <v>0</v>
      </c>
      <c r="AI318" s="236">
        <f t="shared" si="455"/>
        <v>-100</v>
      </c>
      <c r="AJ318" s="210"/>
      <c r="AK318" s="254"/>
      <c r="AL318" s="254"/>
      <c r="AM318" s="255"/>
      <c r="AN318" s="255"/>
      <c r="AO318" s="255"/>
      <c r="AP318" s="255"/>
      <c r="AQ318" s="255"/>
      <c r="AR318" s="255"/>
      <c r="AS318" s="255"/>
      <c r="AT318" s="255"/>
      <c r="AU318" s="255"/>
      <c r="AV318" s="255"/>
      <c r="AW318" s="255"/>
      <c r="AX318" s="210"/>
      <c r="AY318" s="236" cm="1">
        <f t="array" ref="AY318">INDEX(Use, $AD318, 4)</f>
        <v>7</v>
      </c>
      <c r="AZ318" s="236">
        <f t="shared" si="456"/>
        <v>32</v>
      </c>
      <c r="BA318" s="236">
        <f t="shared" si="239"/>
        <v>13</v>
      </c>
      <c r="BB318" s="236">
        <f t="shared" si="240"/>
        <v>0</v>
      </c>
      <c r="BC318" s="252" cm="1">
        <f t="array" ref="BC318">K318/IF($L318&gt;0, INDEX($AO$23:$AU$77, $L318+20, $AD318), 1)</f>
        <v>0</v>
      </c>
      <c r="BD318" s="237">
        <f t="shared" si="457"/>
        <v>0</v>
      </c>
      <c r="BE318" s="236">
        <v>35</v>
      </c>
      <c r="BF318" s="237">
        <f t="shared" si="458"/>
        <v>52.55</v>
      </c>
      <c r="BG318" s="253">
        <f t="shared" si="459"/>
        <v>2.7676728869374316</v>
      </c>
      <c r="BH318" s="253" cm="1">
        <f t="array" ref="BH318">$BC318 * SUMPRODUCT(INDEX($AL$77:$AN$82,,$AE318),INDEX($AO$77:$AU$82,,$AD318), N($AK$77:$AK$82&gt;$AI318)) / BG318 / 1000</f>
        <v>0</v>
      </c>
      <c r="BI318" s="250">
        <f t="shared" si="244"/>
        <v>30</v>
      </c>
      <c r="BJ318" s="237">
        <f t="shared" si="460"/>
        <v>46.033333333333331</v>
      </c>
      <c r="BK318" s="253">
        <f t="shared" si="461"/>
        <v>3.2297395388556791</v>
      </c>
      <c r="BL318" s="253" cm="1">
        <f t="array" ref="BL318">$BC318 * IF($AD318&lt;=2,
SUMPRODUCT(INDEX($AL$72:$AN$76,,$AE318), INDEX($AO$72:$AU$76,,$AD318), 1 / ($AV$72:$AV$76*BK318 + (1-$AV$72:$AV$76)*BG318), N($AK$72:$AK$76&gt;$AI318)),
SUMPRODUCT(INDEX($AL$67:$AN$76,,$AE318), INDEX($AO$67:$AU$76,,$AD318), 1 / ($AW$67:$AW$76*BK318 + (1-$AW$67:$AW$76)*BG318), N($AK$67:$AK$76&gt;$AI318))
) / 1000</f>
        <v>0</v>
      </c>
      <c r="BM318" s="250">
        <f t="shared" si="247"/>
        <v>25</v>
      </c>
      <c r="BN318" s="237">
        <f t="shared" si="462"/>
        <v>39.516666666666666</v>
      </c>
      <c r="BO318" s="253">
        <f t="shared" si="463"/>
        <v>3.877011788826243</v>
      </c>
      <c r="BP318" s="253" cm="1">
        <f t="array" ref="BP318">$BC318 * IF($AD318&lt;=2,
SUMPRODUCT(INDEX($AL$67:$AN$71,,$AE318), INDEX($AO$67:$AU$71,,$AD318), 1 / ($AV$67:$AV$71*BO318 + (1-$AV$67:$AV$71)*BK318), N($AK$67:$AK$71&gt;$AI318)),
SUMPRODUCT(INDEX($AL$57:$AN$66,,$AE318), INDEX($AO$57:$AU$66,,$AD318), 1 / ($AW$57:$AW$66*BO318 + (1-$AW$57:$AW$66)*BK318), N($AK$57:$AK$66&gt;$AI318))
) / 1000</f>
        <v>0</v>
      </c>
      <c r="BQ318" s="250">
        <f t="shared" si="250"/>
        <v>20</v>
      </c>
      <c r="BR318" s="237">
        <f t="shared" si="464"/>
        <v>33</v>
      </c>
      <c r="BS318" s="253">
        <f t="shared" si="465"/>
        <v>4.8487499999999999</v>
      </c>
      <c r="BT318" s="253" cm="1">
        <f t="array" ref="BT318">$BC318 * IF($AD318&lt;=2,
SUMPRODUCT(INDEX($AL$62:$AN$66,,$AE318), INDEX($AO$62:$AU$66,,$AD318), 1 / ($AV$62:$AV$66*BS318 + (1-$AV$62:$AV$66)*BO318), N($AK$62:$AK$66&gt;$AI318)),
SUMPRODUCT(INDEX($AL$47:$AN$56,,$AE318), INDEX($AO$47:$AU$56,,$AD318), 1 / ($AW$47:$AW$56*BS318 + (1-$AW$47:$AW$56)*BO318), N($AK$47:$AK$56&gt;$AI318))
) / 1000</f>
        <v>0</v>
      </c>
      <c r="BU318" s="253" cm="1">
        <f t="array" ref="BU318">$BC318 * IF($AD318&lt;=2,
SUMPRODUCT(INDEX($AL$23:$AN$61,,$AE318), INDEX($AO$23:$AU$61,,$AD318), 1 / ($AV$23:$AV$61*BS318), N($AK$23:$AK$61&gt;$AI318)),
SUMPRODUCT(INDEX($AL$23:$AN$46,,$AE318), INDEX($AO$23:$AU$46,,$AD318), 1 / ($AW$23:$AW$46*BS318), N($AK$23:$AK$46&gt;$AI318))
) / 1000</f>
        <v>0</v>
      </c>
      <c r="BV318" s="237">
        <f t="shared" si="466"/>
        <v>0</v>
      </c>
      <c r="BW318" s="210"/>
      <c r="BX318" s="237">
        <f t="shared" si="467"/>
        <v>0</v>
      </c>
      <c r="BY318" s="236">
        <v>35</v>
      </c>
      <c r="BZ318" s="237">
        <f t="shared" si="468"/>
        <v>48</v>
      </c>
      <c r="CA318" s="253">
        <f t="shared" si="469"/>
        <v>3.0748170731707316</v>
      </c>
      <c r="CB318" s="253" cm="1">
        <f t="array" ref="CB318">$BC318 * SUMPRODUCT(INDEX($AL$77:$AN$82,,$AE318),INDEX($AO$77:$AU$82,,$AD318), N($AK$77:$AK$82&gt;$AI318)) / CA318 / 1000</f>
        <v>0</v>
      </c>
      <c r="CC318" s="250">
        <f t="shared" si="257"/>
        <v>30</v>
      </c>
      <c r="CD318" s="237">
        <f t="shared" si="470"/>
        <v>43</v>
      </c>
      <c r="CE318" s="253">
        <f t="shared" si="471"/>
        <v>3.5018750000000001</v>
      </c>
      <c r="CF318" s="253" cm="1">
        <f t="array" ref="CF318">$BC318 * IF($AD318&lt;=2,
SUMPRODUCT(INDEX($AL$72:$AN$76,,$AE318), INDEX($AO$72:$AU$76,,$AD318), 1 / ($AV$72:$AV$76*CE318 + (1-$AV$72:$AV$76)*CA318), N($AK$72:$AK$76&gt;$AI318)),
SUMPRODUCT(INDEX($AL$67:$AN$76,,$AE318), INDEX($AO$67:$AU$76,,$AD318), 1 / ($AW$67:$AW$76*CE318 + (1-$AW$67:$AW$76)*CA318), N($AK$67:$AK$76&gt;$AI318))
) / 1000</f>
        <v>0</v>
      </c>
      <c r="CG318" s="250">
        <f t="shared" si="260"/>
        <v>25</v>
      </c>
      <c r="CH318" s="237">
        <f t="shared" si="472"/>
        <v>38</v>
      </c>
      <c r="CI318" s="253">
        <f t="shared" si="473"/>
        <v>4.0666935483870965</v>
      </c>
      <c r="CJ318" s="253" cm="1">
        <f t="array" ref="CJ318">$BC318 * IF($AD318&lt;=2,
SUMPRODUCT(INDEX($AL$67:$AN$71,,$AE318), INDEX($AO$67:$AU$71,,$AD318), 1 / ($AV$67:$AV$71*CI318 + (1-$AV$67:$AV$71)*CE318), N($AK$67:$AK$71&gt;$AI318)),
SUMPRODUCT(INDEX($AL$57:$AN$66,,$AE318), INDEX($AO$57:$AU$66,,$AD318), 1 / ($AW$57:$AW$66*CI318 + (1-$AW$57:$AW$66)*CE318), N($AK$57:$AK$66&gt;$AI318))
) / 1000</f>
        <v>0</v>
      </c>
      <c r="CK318" s="250">
        <f t="shared" si="263"/>
        <v>20</v>
      </c>
      <c r="CL318" s="237">
        <f t="shared" si="474"/>
        <v>33</v>
      </c>
      <c r="CM318" s="253">
        <f t="shared" si="475"/>
        <v>4.8487499999999999</v>
      </c>
      <c r="CN318" s="253" cm="1">
        <f t="array" ref="CN318">$BC318 * IF($AD318&lt;=2,
SUMPRODUCT(INDEX($AL$62:$AN$66,,$AE318), INDEX($AO$62:$AU$66,,$AD318), 1 / ($AV$62:$AV$66*CM318 + (1-$AV$62:$AV$66)*CI318), N($AK$62:$AK$66&gt;$AI318)),
SUMPRODUCT(INDEX($AL$47:$AN$56,,$AE318), INDEX($AO$47:$AU$56,,$AD318), 1 / ($AW$47:$AW$56*CM318 + (1-$AW$47:$AW$56)*CI318), N($AK$47:$AK$56&gt;$AI318))
) / 1000</f>
        <v>0</v>
      </c>
      <c r="CO318" s="253" cm="1">
        <f t="array" ref="CO318">$BC318 * IF($AD318&lt;=2,
SUMPRODUCT(INDEX($AL$23:$AN$61,,$AE318), INDEX($AO$23:$AU$61,,$AD318), 1 / ($AV$23:$AV$61*CM318), N($AK$23:$AK$61&gt;$AI318)),
SUMPRODUCT(INDEX($AL$23:$AN$46,,$AE318), INDEX($AO$23:$AU$46,,$AD318), 1 / ($AW$23:$AW$46*CM318), N($AK$23:$AK$46&gt;$AI318))
) / 1000</f>
        <v>0</v>
      </c>
      <c r="CP318" s="237">
        <f t="shared" si="476"/>
        <v>0</v>
      </c>
      <c r="CQ318" s="210"/>
    </row>
    <row r="319" spans="1:95" s="76" customFormat="1" ht="14.25" customHeight="1" x14ac:dyDescent="0.2">
      <c r="A319" s="238" t="b">
        <f t="shared" si="227"/>
        <v>0</v>
      </c>
      <c r="B319" s="239">
        <v>297</v>
      </c>
      <c r="C319" s="258"/>
      <c r="D319" s="258"/>
      <c r="E319" s="240"/>
      <c r="F319" s="241" t="str">
        <f>IF(ISBLANK(E319), "", VLOOKUP(E319, Z!$A$2:$C$4127, 3, FALSE))</f>
        <v/>
      </c>
      <c r="G319" s="242"/>
      <c r="H319" s="242"/>
      <c r="I319" s="243"/>
      <c r="J319" s="244"/>
      <c r="K319" s="259"/>
      <c r="L319" s="260"/>
      <c r="M319" s="247" t="str" cm="1">
        <f t="array" ref="M319">IF($K319&gt;0, INDEX(Clean,1+AG319,$C$1), "")</f>
        <v/>
      </c>
      <c r="N319" s="245"/>
      <c r="O319" s="245"/>
      <c r="P319" s="246"/>
      <c r="Q319" s="248">
        <f t="shared" si="453"/>
        <v>0</v>
      </c>
      <c r="R319" s="247" t="str" cm="1">
        <f t="array" ref="R319">IF($K319&gt;0, INDEX(Clean,1+AH319,$C$1), "")</f>
        <v/>
      </c>
      <c r="S319" s="245"/>
      <c r="T319" s="245"/>
      <c r="U319" s="246"/>
      <c r="V319" s="248">
        <f t="shared" si="454"/>
        <v>0</v>
      </c>
      <c r="W319" s="261"/>
      <c r="X319" s="258"/>
      <c r="Y319" s="240"/>
      <c r="Z319" s="241" t="str">
        <f>IF(ISBLANK(Y319), "", VLOOKUP(Y319, Z!$A$2:$C$4127, 3, FALSE))</f>
        <v/>
      </c>
      <c r="AA319" s="262"/>
      <c r="AB319" s="249">
        <f t="shared" si="452"/>
        <v>0</v>
      </c>
      <c r="AC319" s="210"/>
      <c r="AD319" s="236">
        <f t="shared" si="477"/>
        <v>1</v>
      </c>
      <c r="AE319" s="236">
        <f t="shared" si="478"/>
        <v>1</v>
      </c>
      <c r="AF319" s="236">
        <f t="shared" si="479"/>
        <v>0</v>
      </c>
      <c r="AG319" s="236">
        <v>1</v>
      </c>
      <c r="AH319" s="236">
        <v>0</v>
      </c>
      <c r="AI319" s="236">
        <f t="shared" si="455"/>
        <v>-100</v>
      </c>
      <c r="AJ319" s="210"/>
      <c r="AK319" s="254"/>
      <c r="AL319" s="254"/>
      <c r="AM319" s="255"/>
      <c r="AN319" s="255"/>
      <c r="AO319" s="255"/>
      <c r="AP319" s="255"/>
      <c r="AQ319" s="255"/>
      <c r="AR319" s="255"/>
      <c r="AS319" s="255"/>
      <c r="AT319" s="255"/>
      <c r="AU319" s="255"/>
      <c r="AV319" s="255"/>
      <c r="AW319" s="255"/>
      <c r="AX319" s="210"/>
      <c r="AY319" s="236" cm="1">
        <f t="array" ref="AY319">INDEX(Use, $AD319, 4)</f>
        <v>7</v>
      </c>
      <c r="AZ319" s="236">
        <f t="shared" si="456"/>
        <v>32</v>
      </c>
      <c r="BA319" s="236">
        <f t="shared" si="239"/>
        <v>13</v>
      </c>
      <c r="BB319" s="236">
        <f t="shared" si="240"/>
        <v>0</v>
      </c>
      <c r="BC319" s="252" cm="1">
        <f t="array" ref="BC319">K319/IF($L319&gt;0, INDEX($AO$23:$AU$77, $L319+20, $AD319), 1)</f>
        <v>0</v>
      </c>
      <c r="BD319" s="237">
        <f t="shared" si="457"/>
        <v>0</v>
      </c>
      <c r="BE319" s="236">
        <v>35</v>
      </c>
      <c r="BF319" s="237">
        <f t="shared" si="458"/>
        <v>52.55</v>
      </c>
      <c r="BG319" s="253">
        <f t="shared" si="459"/>
        <v>2.7676728869374316</v>
      </c>
      <c r="BH319" s="253" cm="1">
        <f t="array" ref="BH319">$BC319 * SUMPRODUCT(INDEX($AL$77:$AN$82,,$AE319),INDEX($AO$77:$AU$82,,$AD319), N($AK$77:$AK$82&gt;$AI319)) / BG319 / 1000</f>
        <v>0</v>
      </c>
      <c r="BI319" s="250">
        <f t="shared" si="244"/>
        <v>30</v>
      </c>
      <c r="BJ319" s="237">
        <f t="shared" si="460"/>
        <v>46.033333333333331</v>
      </c>
      <c r="BK319" s="253">
        <f t="shared" si="461"/>
        <v>3.2297395388556791</v>
      </c>
      <c r="BL319" s="253" cm="1">
        <f t="array" ref="BL319">$BC319 * IF($AD319&lt;=2,
SUMPRODUCT(INDEX($AL$72:$AN$76,,$AE319), INDEX($AO$72:$AU$76,,$AD319), 1 / ($AV$72:$AV$76*BK319 + (1-$AV$72:$AV$76)*BG319), N($AK$72:$AK$76&gt;$AI319)),
SUMPRODUCT(INDEX($AL$67:$AN$76,,$AE319), INDEX($AO$67:$AU$76,,$AD319), 1 / ($AW$67:$AW$76*BK319 + (1-$AW$67:$AW$76)*BG319), N($AK$67:$AK$76&gt;$AI319))
) / 1000</f>
        <v>0</v>
      </c>
      <c r="BM319" s="250">
        <f t="shared" si="247"/>
        <v>25</v>
      </c>
      <c r="BN319" s="237">
        <f t="shared" si="462"/>
        <v>39.516666666666666</v>
      </c>
      <c r="BO319" s="253">
        <f t="shared" si="463"/>
        <v>3.877011788826243</v>
      </c>
      <c r="BP319" s="253" cm="1">
        <f t="array" ref="BP319">$BC319 * IF($AD319&lt;=2,
SUMPRODUCT(INDEX($AL$67:$AN$71,,$AE319), INDEX($AO$67:$AU$71,,$AD319), 1 / ($AV$67:$AV$71*BO319 + (1-$AV$67:$AV$71)*BK319), N($AK$67:$AK$71&gt;$AI319)),
SUMPRODUCT(INDEX($AL$57:$AN$66,,$AE319), INDEX($AO$57:$AU$66,,$AD319), 1 / ($AW$57:$AW$66*BO319 + (1-$AW$57:$AW$66)*BK319), N($AK$57:$AK$66&gt;$AI319))
) / 1000</f>
        <v>0</v>
      </c>
      <c r="BQ319" s="250">
        <f t="shared" si="250"/>
        <v>20</v>
      </c>
      <c r="BR319" s="237">
        <f t="shared" si="464"/>
        <v>33</v>
      </c>
      <c r="BS319" s="253">
        <f t="shared" si="465"/>
        <v>4.8487499999999999</v>
      </c>
      <c r="BT319" s="253" cm="1">
        <f t="array" ref="BT319">$BC319 * IF($AD319&lt;=2,
SUMPRODUCT(INDEX($AL$62:$AN$66,,$AE319), INDEX($AO$62:$AU$66,,$AD319), 1 / ($AV$62:$AV$66*BS319 + (1-$AV$62:$AV$66)*BO319), N($AK$62:$AK$66&gt;$AI319)),
SUMPRODUCT(INDEX($AL$47:$AN$56,,$AE319), INDEX($AO$47:$AU$56,,$AD319), 1 / ($AW$47:$AW$56*BS319 + (1-$AW$47:$AW$56)*BO319), N($AK$47:$AK$56&gt;$AI319))
) / 1000</f>
        <v>0</v>
      </c>
      <c r="BU319" s="253" cm="1">
        <f t="array" ref="BU319">$BC319 * IF($AD319&lt;=2,
SUMPRODUCT(INDEX($AL$23:$AN$61,,$AE319), INDEX($AO$23:$AU$61,,$AD319), 1 / ($AV$23:$AV$61*BS319), N($AK$23:$AK$61&gt;$AI319)),
SUMPRODUCT(INDEX($AL$23:$AN$46,,$AE319), INDEX($AO$23:$AU$46,,$AD319), 1 / ($AW$23:$AW$46*BS319), N($AK$23:$AK$46&gt;$AI319))
) / 1000</f>
        <v>0</v>
      </c>
      <c r="BV319" s="237">
        <f t="shared" si="466"/>
        <v>0</v>
      </c>
      <c r="BW319" s="210"/>
      <c r="BX319" s="237">
        <f t="shared" si="467"/>
        <v>0</v>
      </c>
      <c r="BY319" s="236">
        <v>35</v>
      </c>
      <c r="BZ319" s="237">
        <f t="shared" si="468"/>
        <v>48</v>
      </c>
      <c r="CA319" s="253">
        <f t="shared" si="469"/>
        <v>3.0748170731707316</v>
      </c>
      <c r="CB319" s="253" cm="1">
        <f t="array" ref="CB319">$BC319 * SUMPRODUCT(INDEX($AL$77:$AN$82,,$AE319),INDEX($AO$77:$AU$82,,$AD319), N($AK$77:$AK$82&gt;$AI319)) / CA319 / 1000</f>
        <v>0</v>
      </c>
      <c r="CC319" s="250">
        <f t="shared" si="257"/>
        <v>30</v>
      </c>
      <c r="CD319" s="237">
        <f t="shared" si="470"/>
        <v>43</v>
      </c>
      <c r="CE319" s="253">
        <f t="shared" si="471"/>
        <v>3.5018750000000001</v>
      </c>
      <c r="CF319" s="253" cm="1">
        <f t="array" ref="CF319">$BC319 * IF($AD319&lt;=2,
SUMPRODUCT(INDEX($AL$72:$AN$76,,$AE319), INDEX($AO$72:$AU$76,,$AD319), 1 / ($AV$72:$AV$76*CE319 + (1-$AV$72:$AV$76)*CA319), N($AK$72:$AK$76&gt;$AI319)),
SUMPRODUCT(INDEX($AL$67:$AN$76,,$AE319), INDEX($AO$67:$AU$76,,$AD319), 1 / ($AW$67:$AW$76*CE319 + (1-$AW$67:$AW$76)*CA319), N($AK$67:$AK$76&gt;$AI319))
) / 1000</f>
        <v>0</v>
      </c>
      <c r="CG319" s="250">
        <f t="shared" si="260"/>
        <v>25</v>
      </c>
      <c r="CH319" s="237">
        <f t="shared" si="472"/>
        <v>38</v>
      </c>
      <c r="CI319" s="253">
        <f t="shared" si="473"/>
        <v>4.0666935483870965</v>
      </c>
      <c r="CJ319" s="253" cm="1">
        <f t="array" ref="CJ319">$BC319 * IF($AD319&lt;=2,
SUMPRODUCT(INDEX($AL$67:$AN$71,,$AE319), INDEX($AO$67:$AU$71,,$AD319), 1 / ($AV$67:$AV$71*CI319 + (1-$AV$67:$AV$71)*CE319), N($AK$67:$AK$71&gt;$AI319)),
SUMPRODUCT(INDEX($AL$57:$AN$66,,$AE319), INDEX($AO$57:$AU$66,,$AD319), 1 / ($AW$57:$AW$66*CI319 + (1-$AW$57:$AW$66)*CE319), N($AK$57:$AK$66&gt;$AI319))
) / 1000</f>
        <v>0</v>
      </c>
      <c r="CK319" s="250">
        <f t="shared" si="263"/>
        <v>20</v>
      </c>
      <c r="CL319" s="237">
        <f t="shared" si="474"/>
        <v>33</v>
      </c>
      <c r="CM319" s="253">
        <f t="shared" si="475"/>
        <v>4.8487499999999999</v>
      </c>
      <c r="CN319" s="253" cm="1">
        <f t="array" ref="CN319">$BC319 * IF($AD319&lt;=2,
SUMPRODUCT(INDEX($AL$62:$AN$66,,$AE319), INDEX($AO$62:$AU$66,,$AD319), 1 / ($AV$62:$AV$66*CM319 + (1-$AV$62:$AV$66)*CI319), N($AK$62:$AK$66&gt;$AI319)),
SUMPRODUCT(INDEX($AL$47:$AN$56,,$AE319), INDEX($AO$47:$AU$56,,$AD319), 1 / ($AW$47:$AW$56*CM319 + (1-$AW$47:$AW$56)*CI319), N($AK$47:$AK$56&gt;$AI319))
) / 1000</f>
        <v>0</v>
      </c>
      <c r="CO319" s="253" cm="1">
        <f t="array" ref="CO319">$BC319 * IF($AD319&lt;=2,
SUMPRODUCT(INDEX($AL$23:$AN$61,,$AE319), INDEX($AO$23:$AU$61,,$AD319), 1 / ($AV$23:$AV$61*CM319), N($AK$23:$AK$61&gt;$AI319)),
SUMPRODUCT(INDEX($AL$23:$AN$46,,$AE319), INDEX($AO$23:$AU$46,,$AD319), 1 / ($AW$23:$AW$46*CM319), N($AK$23:$AK$46&gt;$AI319))
) / 1000</f>
        <v>0</v>
      </c>
      <c r="CP319" s="237">
        <f t="shared" si="476"/>
        <v>0</v>
      </c>
      <c r="CQ319" s="210"/>
    </row>
    <row r="320" spans="1:95" s="76" customFormat="1" ht="14.25" customHeight="1" x14ac:dyDescent="0.2">
      <c r="A320" s="238" t="b">
        <f t="shared" si="227"/>
        <v>0</v>
      </c>
      <c r="B320" s="239">
        <v>298</v>
      </c>
      <c r="C320" s="258"/>
      <c r="D320" s="258"/>
      <c r="E320" s="240"/>
      <c r="F320" s="241" t="str">
        <f>IF(ISBLANK(E320), "", VLOOKUP(E320, Z!$A$2:$C$4127, 3, FALSE))</f>
        <v/>
      </c>
      <c r="G320" s="242"/>
      <c r="H320" s="242"/>
      <c r="I320" s="243"/>
      <c r="J320" s="244"/>
      <c r="K320" s="259"/>
      <c r="L320" s="260"/>
      <c r="M320" s="247" t="str" cm="1">
        <f t="array" ref="M320">IF($K320&gt;0, INDEX(Clean,1+AG320,$C$1), "")</f>
        <v/>
      </c>
      <c r="N320" s="245"/>
      <c r="O320" s="245"/>
      <c r="P320" s="246"/>
      <c r="Q320" s="248">
        <f t="shared" si="453"/>
        <v>0</v>
      </c>
      <c r="R320" s="247" t="str" cm="1">
        <f t="array" ref="R320">IF($K320&gt;0, INDEX(Clean,1+AH320,$C$1), "")</f>
        <v/>
      </c>
      <c r="S320" s="245"/>
      <c r="T320" s="245"/>
      <c r="U320" s="246"/>
      <c r="V320" s="248">
        <f t="shared" si="454"/>
        <v>0</v>
      </c>
      <c r="W320" s="261"/>
      <c r="X320" s="258"/>
      <c r="Y320" s="240"/>
      <c r="Z320" s="241" t="str">
        <f>IF(ISBLANK(Y320), "", VLOOKUP(Y320, Z!$A$2:$C$4127, 3, FALSE))</f>
        <v/>
      </c>
      <c r="AA320" s="262"/>
      <c r="AB320" s="249">
        <f t="shared" si="452"/>
        <v>0</v>
      </c>
      <c r="AC320" s="210"/>
      <c r="AD320" s="236">
        <f t="shared" si="477"/>
        <v>1</v>
      </c>
      <c r="AE320" s="236">
        <f t="shared" si="478"/>
        <v>1</v>
      </c>
      <c r="AF320" s="236">
        <f t="shared" si="479"/>
        <v>0</v>
      </c>
      <c r="AG320" s="236">
        <v>1</v>
      </c>
      <c r="AH320" s="236">
        <v>0</v>
      </c>
      <c r="AI320" s="236">
        <f t="shared" si="455"/>
        <v>-100</v>
      </c>
      <c r="AJ320" s="210"/>
      <c r="AK320" s="254"/>
      <c r="AL320" s="254"/>
      <c r="AM320" s="255"/>
      <c r="AN320" s="255"/>
      <c r="AO320" s="255"/>
      <c r="AP320" s="255"/>
      <c r="AQ320" s="255"/>
      <c r="AR320" s="255"/>
      <c r="AS320" s="255"/>
      <c r="AT320" s="255"/>
      <c r="AU320" s="255"/>
      <c r="AV320" s="255"/>
      <c r="AW320" s="255"/>
      <c r="AX320" s="210"/>
      <c r="AY320" s="236" cm="1">
        <f t="array" ref="AY320">INDEX(Use, $AD320, 4)</f>
        <v>7</v>
      </c>
      <c r="AZ320" s="236">
        <f t="shared" si="456"/>
        <v>32</v>
      </c>
      <c r="BA320" s="236">
        <f t="shared" si="239"/>
        <v>13</v>
      </c>
      <c r="BB320" s="236">
        <f t="shared" si="240"/>
        <v>0</v>
      </c>
      <c r="BC320" s="252" cm="1">
        <f t="array" ref="BC320">K320/IF($L320&gt;0, INDEX($AO$23:$AU$77, $L320+20, $AD320), 1)</f>
        <v>0</v>
      </c>
      <c r="BD320" s="237">
        <f t="shared" si="457"/>
        <v>0</v>
      </c>
      <c r="BE320" s="236">
        <v>35</v>
      </c>
      <c r="BF320" s="237">
        <f t="shared" si="458"/>
        <v>52.55</v>
      </c>
      <c r="BG320" s="253">
        <f t="shared" si="459"/>
        <v>2.7676728869374316</v>
      </c>
      <c r="BH320" s="253" cm="1">
        <f t="array" ref="BH320">$BC320 * SUMPRODUCT(INDEX($AL$77:$AN$82,,$AE320),INDEX($AO$77:$AU$82,,$AD320), N($AK$77:$AK$82&gt;$AI320)) / BG320 / 1000</f>
        <v>0</v>
      </c>
      <c r="BI320" s="250">
        <f t="shared" si="244"/>
        <v>30</v>
      </c>
      <c r="BJ320" s="237">
        <f t="shared" si="460"/>
        <v>46.033333333333331</v>
      </c>
      <c r="BK320" s="253">
        <f t="shared" si="461"/>
        <v>3.2297395388556791</v>
      </c>
      <c r="BL320" s="253" cm="1">
        <f t="array" ref="BL320">$BC320 * IF($AD320&lt;=2,
SUMPRODUCT(INDEX($AL$72:$AN$76,,$AE320), INDEX($AO$72:$AU$76,,$AD320), 1 / ($AV$72:$AV$76*BK320 + (1-$AV$72:$AV$76)*BG320), N($AK$72:$AK$76&gt;$AI320)),
SUMPRODUCT(INDEX($AL$67:$AN$76,,$AE320), INDEX($AO$67:$AU$76,,$AD320), 1 / ($AW$67:$AW$76*BK320 + (1-$AW$67:$AW$76)*BG320), N($AK$67:$AK$76&gt;$AI320))
) / 1000</f>
        <v>0</v>
      </c>
      <c r="BM320" s="250">
        <f t="shared" si="247"/>
        <v>25</v>
      </c>
      <c r="BN320" s="237">
        <f t="shared" si="462"/>
        <v>39.516666666666666</v>
      </c>
      <c r="BO320" s="253">
        <f t="shared" si="463"/>
        <v>3.877011788826243</v>
      </c>
      <c r="BP320" s="253" cm="1">
        <f t="array" ref="BP320">$BC320 * IF($AD320&lt;=2,
SUMPRODUCT(INDEX($AL$67:$AN$71,,$AE320), INDEX($AO$67:$AU$71,,$AD320), 1 / ($AV$67:$AV$71*BO320 + (1-$AV$67:$AV$71)*BK320), N($AK$67:$AK$71&gt;$AI320)),
SUMPRODUCT(INDEX($AL$57:$AN$66,,$AE320), INDEX($AO$57:$AU$66,,$AD320), 1 / ($AW$57:$AW$66*BO320 + (1-$AW$57:$AW$66)*BK320), N($AK$57:$AK$66&gt;$AI320))
) / 1000</f>
        <v>0</v>
      </c>
      <c r="BQ320" s="250">
        <f t="shared" si="250"/>
        <v>20</v>
      </c>
      <c r="BR320" s="237">
        <f t="shared" si="464"/>
        <v>33</v>
      </c>
      <c r="BS320" s="253">
        <f t="shared" si="465"/>
        <v>4.8487499999999999</v>
      </c>
      <c r="BT320" s="253" cm="1">
        <f t="array" ref="BT320">$BC320 * IF($AD320&lt;=2,
SUMPRODUCT(INDEX($AL$62:$AN$66,,$AE320), INDEX($AO$62:$AU$66,,$AD320), 1 / ($AV$62:$AV$66*BS320 + (1-$AV$62:$AV$66)*BO320), N($AK$62:$AK$66&gt;$AI320)),
SUMPRODUCT(INDEX($AL$47:$AN$56,,$AE320), INDEX($AO$47:$AU$56,,$AD320), 1 / ($AW$47:$AW$56*BS320 + (1-$AW$47:$AW$56)*BO320), N($AK$47:$AK$56&gt;$AI320))
) / 1000</f>
        <v>0</v>
      </c>
      <c r="BU320" s="253" cm="1">
        <f t="array" ref="BU320">$BC320 * IF($AD320&lt;=2,
SUMPRODUCT(INDEX($AL$23:$AN$61,,$AE320), INDEX($AO$23:$AU$61,,$AD320), 1 / ($AV$23:$AV$61*BS320), N($AK$23:$AK$61&gt;$AI320)),
SUMPRODUCT(INDEX($AL$23:$AN$46,,$AE320), INDEX($AO$23:$AU$46,,$AD320), 1 / ($AW$23:$AW$46*BS320), N($AK$23:$AK$46&gt;$AI320))
) / 1000</f>
        <v>0</v>
      </c>
      <c r="BV320" s="237">
        <f t="shared" si="466"/>
        <v>0</v>
      </c>
      <c r="BW320" s="210"/>
      <c r="BX320" s="237">
        <f t="shared" si="467"/>
        <v>0</v>
      </c>
      <c r="BY320" s="236">
        <v>35</v>
      </c>
      <c r="BZ320" s="237">
        <f t="shared" si="468"/>
        <v>48</v>
      </c>
      <c r="CA320" s="253">
        <f t="shared" si="469"/>
        <v>3.0748170731707316</v>
      </c>
      <c r="CB320" s="253" cm="1">
        <f t="array" ref="CB320">$BC320 * SUMPRODUCT(INDEX($AL$77:$AN$82,,$AE320),INDEX($AO$77:$AU$82,,$AD320), N($AK$77:$AK$82&gt;$AI320)) / CA320 / 1000</f>
        <v>0</v>
      </c>
      <c r="CC320" s="250">
        <f t="shared" si="257"/>
        <v>30</v>
      </c>
      <c r="CD320" s="237">
        <f t="shared" si="470"/>
        <v>43</v>
      </c>
      <c r="CE320" s="253">
        <f t="shared" si="471"/>
        <v>3.5018750000000001</v>
      </c>
      <c r="CF320" s="253" cm="1">
        <f t="array" ref="CF320">$BC320 * IF($AD320&lt;=2,
SUMPRODUCT(INDEX($AL$72:$AN$76,,$AE320), INDEX($AO$72:$AU$76,,$AD320), 1 / ($AV$72:$AV$76*CE320 + (1-$AV$72:$AV$76)*CA320), N($AK$72:$AK$76&gt;$AI320)),
SUMPRODUCT(INDEX($AL$67:$AN$76,,$AE320), INDEX($AO$67:$AU$76,,$AD320), 1 / ($AW$67:$AW$76*CE320 + (1-$AW$67:$AW$76)*CA320), N($AK$67:$AK$76&gt;$AI320))
) / 1000</f>
        <v>0</v>
      </c>
      <c r="CG320" s="250">
        <f t="shared" si="260"/>
        <v>25</v>
      </c>
      <c r="CH320" s="237">
        <f t="shared" si="472"/>
        <v>38</v>
      </c>
      <c r="CI320" s="253">
        <f t="shared" si="473"/>
        <v>4.0666935483870965</v>
      </c>
      <c r="CJ320" s="253" cm="1">
        <f t="array" ref="CJ320">$BC320 * IF($AD320&lt;=2,
SUMPRODUCT(INDEX($AL$67:$AN$71,,$AE320), INDEX($AO$67:$AU$71,,$AD320), 1 / ($AV$67:$AV$71*CI320 + (1-$AV$67:$AV$71)*CE320), N($AK$67:$AK$71&gt;$AI320)),
SUMPRODUCT(INDEX($AL$57:$AN$66,,$AE320), INDEX($AO$57:$AU$66,,$AD320), 1 / ($AW$57:$AW$66*CI320 + (1-$AW$57:$AW$66)*CE320), N($AK$57:$AK$66&gt;$AI320))
) / 1000</f>
        <v>0</v>
      </c>
      <c r="CK320" s="250">
        <f t="shared" si="263"/>
        <v>20</v>
      </c>
      <c r="CL320" s="237">
        <f t="shared" si="474"/>
        <v>33</v>
      </c>
      <c r="CM320" s="253">
        <f t="shared" si="475"/>
        <v>4.8487499999999999</v>
      </c>
      <c r="CN320" s="253" cm="1">
        <f t="array" ref="CN320">$BC320 * IF($AD320&lt;=2,
SUMPRODUCT(INDEX($AL$62:$AN$66,,$AE320), INDEX($AO$62:$AU$66,,$AD320), 1 / ($AV$62:$AV$66*CM320 + (1-$AV$62:$AV$66)*CI320), N($AK$62:$AK$66&gt;$AI320)),
SUMPRODUCT(INDEX($AL$47:$AN$56,,$AE320), INDEX($AO$47:$AU$56,,$AD320), 1 / ($AW$47:$AW$56*CM320 + (1-$AW$47:$AW$56)*CI320), N($AK$47:$AK$56&gt;$AI320))
) / 1000</f>
        <v>0</v>
      </c>
      <c r="CO320" s="253" cm="1">
        <f t="array" ref="CO320">$BC320 * IF($AD320&lt;=2,
SUMPRODUCT(INDEX($AL$23:$AN$61,,$AE320), INDEX($AO$23:$AU$61,,$AD320), 1 / ($AV$23:$AV$61*CM320), N($AK$23:$AK$61&gt;$AI320)),
SUMPRODUCT(INDEX($AL$23:$AN$46,,$AE320), INDEX($AO$23:$AU$46,,$AD320), 1 / ($AW$23:$AW$46*CM320), N($AK$23:$AK$46&gt;$AI320))
) / 1000</f>
        <v>0</v>
      </c>
      <c r="CP320" s="237">
        <f t="shared" si="476"/>
        <v>0</v>
      </c>
      <c r="CQ320" s="210"/>
    </row>
    <row r="321" spans="1:95" s="76" customFormat="1" ht="14.25" customHeight="1" x14ac:dyDescent="0.2">
      <c r="A321" s="238" t="b">
        <f t="shared" si="227"/>
        <v>0</v>
      </c>
      <c r="B321" s="239">
        <v>299</v>
      </c>
      <c r="C321" s="258"/>
      <c r="D321" s="258"/>
      <c r="E321" s="240"/>
      <c r="F321" s="241" t="str">
        <f>IF(ISBLANK(E321), "", VLOOKUP(E321, Z!$A$2:$C$4127, 3, FALSE))</f>
        <v/>
      </c>
      <c r="G321" s="242"/>
      <c r="H321" s="242"/>
      <c r="I321" s="243"/>
      <c r="J321" s="244"/>
      <c r="K321" s="259"/>
      <c r="L321" s="260"/>
      <c r="M321" s="247" t="str" cm="1">
        <f t="array" ref="M321">IF($K321&gt;0, INDEX(Clean,1+AG321,$C$1), "")</f>
        <v/>
      </c>
      <c r="N321" s="245"/>
      <c r="O321" s="245"/>
      <c r="P321" s="246"/>
      <c r="Q321" s="248">
        <f t="shared" si="453"/>
        <v>0</v>
      </c>
      <c r="R321" s="247" t="str" cm="1">
        <f t="array" ref="R321">IF($K321&gt;0, INDEX(Clean,1+AH321,$C$1), "")</f>
        <v/>
      </c>
      <c r="S321" s="245"/>
      <c r="T321" s="245"/>
      <c r="U321" s="246"/>
      <c r="V321" s="248">
        <f t="shared" si="454"/>
        <v>0</v>
      </c>
      <c r="W321" s="261"/>
      <c r="X321" s="258"/>
      <c r="Y321" s="240"/>
      <c r="Z321" s="241" t="str">
        <f>IF(ISBLANK(Y321), "", VLOOKUP(Y321, Z!$A$2:$C$4127, 3, FALSE))</f>
        <v/>
      </c>
      <c r="AA321" s="262"/>
      <c r="AB321" s="249">
        <f t="shared" si="452"/>
        <v>0</v>
      </c>
      <c r="AC321" s="210"/>
      <c r="AD321" s="236">
        <f t="shared" si="477"/>
        <v>1</v>
      </c>
      <c r="AE321" s="236">
        <f t="shared" si="478"/>
        <v>1</v>
      </c>
      <c r="AF321" s="236">
        <f t="shared" si="479"/>
        <v>0</v>
      </c>
      <c r="AG321" s="236">
        <v>1</v>
      </c>
      <c r="AH321" s="236">
        <v>0</v>
      </c>
      <c r="AI321" s="236">
        <f t="shared" si="455"/>
        <v>-100</v>
      </c>
      <c r="AJ321" s="210"/>
      <c r="AK321" s="254"/>
      <c r="AL321" s="254"/>
      <c r="AM321" s="255"/>
      <c r="AN321" s="255"/>
      <c r="AO321" s="255"/>
      <c r="AP321" s="255"/>
      <c r="AQ321" s="255"/>
      <c r="AR321" s="255"/>
      <c r="AS321" s="255"/>
      <c r="AT321" s="255"/>
      <c r="AU321" s="255"/>
      <c r="AV321" s="255"/>
      <c r="AW321" s="255"/>
      <c r="AX321" s="210"/>
      <c r="AY321" s="236" cm="1">
        <f t="array" ref="AY321">INDEX(Use, $AD321, 4)</f>
        <v>7</v>
      </c>
      <c r="AZ321" s="236">
        <f t="shared" si="456"/>
        <v>32</v>
      </c>
      <c r="BA321" s="236">
        <f t="shared" si="239"/>
        <v>13</v>
      </c>
      <c r="BB321" s="236">
        <f t="shared" si="240"/>
        <v>0</v>
      </c>
      <c r="BC321" s="252" cm="1">
        <f t="array" ref="BC321">K321/IF($L321&gt;0, INDEX($AO$23:$AU$77, $L321+20, $AD321), 1)</f>
        <v>0</v>
      </c>
      <c r="BD321" s="237">
        <f t="shared" si="457"/>
        <v>0</v>
      </c>
      <c r="BE321" s="236">
        <v>35</v>
      </c>
      <c r="BF321" s="237">
        <f t="shared" si="458"/>
        <v>52.55</v>
      </c>
      <c r="BG321" s="253">
        <f t="shared" si="459"/>
        <v>2.7676728869374316</v>
      </c>
      <c r="BH321" s="253" cm="1">
        <f t="array" ref="BH321">$BC321 * SUMPRODUCT(INDEX($AL$77:$AN$82,,$AE321),INDEX($AO$77:$AU$82,,$AD321), N($AK$77:$AK$82&gt;$AI321)) / BG321 / 1000</f>
        <v>0</v>
      </c>
      <c r="BI321" s="250">
        <f t="shared" si="244"/>
        <v>30</v>
      </c>
      <c r="BJ321" s="237">
        <f t="shared" si="460"/>
        <v>46.033333333333331</v>
      </c>
      <c r="BK321" s="253">
        <f t="shared" si="461"/>
        <v>3.2297395388556791</v>
      </c>
      <c r="BL321" s="253" cm="1">
        <f t="array" ref="BL321">$BC321 * IF($AD321&lt;=2,
SUMPRODUCT(INDEX($AL$72:$AN$76,,$AE321), INDEX($AO$72:$AU$76,,$AD321), 1 / ($AV$72:$AV$76*BK321 + (1-$AV$72:$AV$76)*BG321), N($AK$72:$AK$76&gt;$AI321)),
SUMPRODUCT(INDEX($AL$67:$AN$76,,$AE321), INDEX($AO$67:$AU$76,,$AD321), 1 / ($AW$67:$AW$76*BK321 + (1-$AW$67:$AW$76)*BG321), N($AK$67:$AK$76&gt;$AI321))
) / 1000</f>
        <v>0</v>
      </c>
      <c r="BM321" s="250">
        <f t="shared" si="247"/>
        <v>25</v>
      </c>
      <c r="BN321" s="237">
        <f t="shared" si="462"/>
        <v>39.516666666666666</v>
      </c>
      <c r="BO321" s="253">
        <f t="shared" si="463"/>
        <v>3.877011788826243</v>
      </c>
      <c r="BP321" s="253" cm="1">
        <f t="array" ref="BP321">$BC321 * IF($AD321&lt;=2,
SUMPRODUCT(INDEX($AL$67:$AN$71,,$AE321), INDEX($AO$67:$AU$71,,$AD321), 1 / ($AV$67:$AV$71*BO321 + (1-$AV$67:$AV$71)*BK321), N($AK$67:$AK$71&gt;$AI321)),
SUMPRODUCT(INDEX($AL$57:$AN$66,,$AE321), INDEX($AO$57:$AU$66,,$AD321), 1 / ($AW$57:$AW$66*BO321 + (1-$AW$57:$AW$66)*BK321), N($AK$57:$AK$66&gt;$AI321))
) / 1000</f>
        <v>0</v>
      </c>
      <c r="BQ321" s="250">
        <f t="shared" si="250"/>
        <v>20</v>
      </c>
      <c r="BR321" s="237">
        <f t="shared" si="464"/>
        <v>33</v>
      </c>
      <c r="BS321" s="253">
        <f t="shared" si="465"/>
        <v>4.8487499999999999</v>
      </c>
      <c r="BT321" s="253" cm="1">
        <f t="array" ref="BT321">$BC321 * IF($AD321&lt;=2,
SUMPRODUCT(INDEX($AL$62:$AN$66,,$AE321), INDEX($AO$62:$AU$66,,$AD321), 1 / ($AV$62:$AV$66*BS321 + (1-$AV$62:$AV$66)*BO321), N($AK$62:$AK$66&gt;$AI321)),
SUMPRODUCT(INDEX($AL$47:$AN$56,,$AE321), INDEX($AO$47:$AU$56,,$AD321), 1 / ($AW$47:$AW$56*BS321 + (1-$AW$47:$AW$56)*BO321), N($AK$47:$AK$56&gt;$AI321))
) / 1000</f>
        <v>0</v>
      </c>
      <c r="BU321" s="253" cm="1">
        <f t="array" ref="BU321">$BC321 * IF($AD321&lt;=2,
SUMPRODUCT(INDEX($AL$23:$AN$61,,$AE321), INDEX($AO$23:$AU$61,,$AD321), 1 / ($AV$23:$AV$61*BS321), N($AK$23:$AK$61&gt;$AI321)),
SUMPRODUCT(INDEX($AL$23:$AN$46,,$AE321), INDEX($AO$23:$AU$46,,$AD321), 1 / ($AW$23:$AW$46*BS321), N($AK$23:$AK$46&gt;$AI321))
) / 1000</f>
        <v>0</v>
      </c>
      <c r="BV321" s="237">
        <f t="shared" si="466"/>
        <v>0</v>
      </c>
      <c r="BW321" s="210"/>
      <c r="BX321" s="237">
        <f t="shared" si="467"/>
        <v>0</v>
      </c>
      <c r="BY321" s="236">
        <v>35</v>
      </c>
      <c r="BZ321" s="237">
        <f t="shared" si="468"/>
        <v>48</v>
      </c>
      <c r="CA321" s="253">
        <f t="shared" si="469"/>
        <v>3.0748170731707316</v>
      </c>
      <c r="CB321" s="253" cm="1">
        <f t="array" ref="CB321">$BC321 * SUMPRODUCT(INDEX($AL$77:$AN$82,,$AE321),INDEX($AO$77:$AU$82,,$AD321), N($AK$77:$AK$82&gt;$AI321)) / CA321 / 1000</f>
        <v>0</v>
      </c>
      <c r="CC321" s="250">
        <f t="shared" si="257"/>
        <v>30</v>
      </c>
      <c r="CD321" s="237">
        <f t="shared" si="470"/>
        <v>43</v>
      </c>
      <c r="CE321" s="253">
        <f t="shared" si="471"/>
        <v>3.5018750000000001</v>
      </c>
      <c r="CF321" s="253" cm="1">
        <f t="array" ref="CF321">$BC321 * IF($AD321&lt;=2,
SUMPRODUCT(INDEX($AL$72:$AN$76,,$AE321), INDEX($AO$72:$AU$76,,$AD321), 1 / ($AV$72:$AV$76*CE321 + (1-$AV$72:$AV$76)*CA321), N($AK$72:$AK$76&gt;$AI321)),
SUMPRODUCT(INDEX($AL$67:$AN$76,,$AE321), INDEX($AO$67:$AU$76,,$AD321), 1 / ($AW$67:$AW$76*CE321 + (1-$AW$67:$AW$76)*CA321), N($AK$67:$AK$76&gt;$AI321))
) / 1000</f>
        <v>0</v>
      </c>
      <c r="CG321" s="250">
        <f t="shared" si="260"/>
        <v>25</v>
      </c>
      <c r="CH321" s="237">
        <f t="shared" si="472"/>
        <v>38</v>
      </c>
      <c r="CI321" s="253">
        <f t="shared" si="473"/>
        <v>4.0666935483870965</v>
      </c>
      <c r="CJ321" s="253" cm="1">
        <f t="array" ref="CJ321">$BC321 * IF($AD321&lt;=2,
SUMPRODUCT(INDEX($AL$67:$AN$71,,$AE321), INDEX($AO$67:$AU$71,,$AD321), 1 / ($AV$67:$AV$71*CI321 + (1-$AV$67:$AV$71)*CE321), N($AK$67:$AK$71&gt;$AI321)),
SUMPRODUCT(INDEX($AL$57:$AN$66,,$AE321), INDEX($AO$57:$AU$66,,$AD321), 1 / ($AW$57:$AW$66*CI321 + (1-$AW$57:$AW$66)*CE321), N($AK$57:$AK$66&gt;$AI321))
) / 1000</f>
        <v>0</v>
      </c>
      <c r="CK321" s="250">
        <f t="shared" si="263"/>
        <v>20</v>
      </c>
      <c r="CL321" s="237">
        <f t="shared" si="474"/>
        <v>33</v>
      </c>
      <c r="CM321" s="253">
        <f t="shared" si="475"/>
        <v>4.8487499999999999</v>
      </c>
      <c r="CN321" s="253" cm="1">
        <f t="array" ref="CN321">$BC321 * IF($AD321&lt;=2,
SUMPRODUCT(INDEX($AL$62:$AN$66,,$AE321), INDEX($AO$62:$AU$66,,$AD321), 1 / ($AV$62:$AV$66*CM321 + (1-$AV$62:$AV$66)*CI321), N($AK$62:$AK$66&gt;$AI321)),
SUMPRODUCT(INDEX($AL$47:$AN$56,,$AE321), INDEX($AO$47:$AU$56,,$AD321), 1 / ($AW$47:$AW$56*CM321 + (1-$AW$47:$AW$56)*CI321), N($AK$47:$AK$56&gt;$AI321))
) / 1000</f>
        <v>0</v>
      </c>
      <c r="CO321" s="253" cm="1">
        <f t="array" ref="CO321">$BC321 * IF($AD321&lt;=2,
SUMPRODUCT(INDEX($AL$23:$AN$61,,$AE321), INDEX($AO$23:$AU$61,,$AD321), 1 / ($AV$23:$AV$61*CM321), N($AK$23:$AK$61&gt;$AI321)),
SUMPRODUCT(INDEX($AL$23:$AN$46,,$AE321), INDEX($AO$23:$AU$46,,$AD321), 1 / ($AW$23:$AW$46*CM321), N($AK$23:$AK$46&gt;$AI321))
) / 1000</f>
        <v>0</v>
      </c>
      <c r="CP321" s="237">
        <f t="shared" si="476"/>
        <v>0</v>
      </c>
      <c r="CQ321" s="210"/>
    </row>
    <row r="322" spans="1:95" s="76" customFormat="1" ht="14.25" customHeight="1" x14ac:dyDescent="0.2">
      <c r="A322" s="238" t="b">
        <f t="shared" si="227"/>
        <v>0</v>
      </c>
      <c r="B322" s="239">
        <v>300</v>
      </c>
      <c r="C322" s="258"/>
      <c r="D322" s="258"/>
      <c r="E322" s="240"/>
      <c r="F322" s="241" t="str">
        <f>IF(ISBLANK(E322), "", VLOOKUP(E322, Z!$A$2:$C$4127, 3, FALSE))</f>
        <v/>
      </c>
      <c r="G322" s="242"/>
      <c r="H322" s="242"/>
      <c r="I322" s="243"/>
      <c r="J322" s="244"/>
      <c r="K322" s="259"/>
      <c r="L322" s="260"/>
      <c r="M322" s="247" t="str" cm="1">
        <f t="array" ref="M322">IF($K322&gt;0, INDEX(Clean,1+AG322,$C$1), "")</f>
        <v/>
      </c>
      <c r="N322" s="245"/>
      <c r="O322" s="245"/>
      <c r="P322" s="246"/>
      <c r="Q322" s="248">
        <f t="shared" si="453"/>
        <v>0</v>
      </c>
      <c r="R322" s="247" t="str" cm="1">
        <f t="array" ref="R322">IF($K322&gt;0, INDEX(Clean,1+AH322,$C$1), "")</f>
        <v/>
      </c>
      <c r="S322" s="245"/>
      <c r="T322" s="245"/>
      <c r="U322" s="246"/>
      <c r="V322" s="248">
        <f t="shared" si="454"/>
        <v>0</v>
      </c>
      <c r="W322" s="261"/>
      <c r="X322" s="258"/>
      <c r="Y322" s="240"/>
      <c r="Z322" s="241" t="str">
        <f>IF(ISBLANK(Y322), "", VLOOKUP(Y322, Z!$A$2:$C$4127, 3, FALSE))</f>
        <v/>
      </c>
      <c r="AA322" s="262"/>
      <c r="AB322" s="249">
        <f t="shared" si="452"/>
        <v>0</v>
      </c>
      <c r="AC322" s="210"/>
      <c r="AD322" s="236">
        <f t="shared" si="477"/>
        <v>1</v>
      </c>
      <c r="AE322" s="236">
        <f t="shared" si="478"/>
        <v>1</v>
      </c>
      <c r="AF322" s="236">
        <f t="shared" si="479"/>
        <v>0</v>
      </c>
      <c r="AG322" s="236">
        <v>1</v>
      </c>
      <c r="AH322" s="236">
        <v>0</v>
      </c>
      <c r="AI322" s="236">
        <f t="shared" si="455"/>
        <v>-100</v>
      </c>
      <c r="AJ322" s="210"/>
      <c r="AK322" s="254"/>
      <c r="AL322" s="254"/>
      <c r="AM322" s="255"/>
      <c r="AN322" s="255"/>
      <c r="AO322" s="255"/>
      <c r="AP322" s="255"/>
      <c r="AQ322" s="255"/>
      <c r="AR322" s="255"/>
      <c r="AS322" s="255"/>
      <c r="AT322" s="255"/>
      <c r="AU322" s="255"/>
      <c r="AV322" s="255"/>
      <c r="AW322" s="255"/>
      <c r="AX322" s="210"/>
      <c r="AY322" s="236" cm="1">
        <f t="array" ref="AY322">INDEX(Use, $AD322, 4)</f>
        <v>7</v>
      </c>
      <c r="AZ322" s="236">
        <f t="shared" si="456"/>
        <v>32</v>
      </c>
      <c r="BA322" s="236">
        <f t="shared" si="239"/>
        <v>13</v>
      </c>
      <c r="BB322" s="236">
        <f t="shared" si="240"/>
        <v>0</v>
      </c>
      <c r="BC322" s="252" cm="1">
        <f t="array" ref="BC322">K322/IF($L322&gt;0, INDEX($AO$23:$AU$77, $L322+20, $AD322), 1)</f>
        <v>0</v>
      </c>
      <c r="BD322" s="237">
        <f t="shared" si="457"/>
        <v>0</v>
      </c>
      <c r="BE322" s="236">
        <v>35</v>
      </c>
      <c r="BF322" s="237">
        <f t="shared" si="458"/>
        <v>52.55</v>
      </c>
      <c r="BG322" s="253">
        <f t="shared" si="459"/>
        <v>2.7676728869374316</v>
      </c>
      <c r="BH322" s="253" cm="1">
        <f t="array" ref="BH322">$BC322 * SUMPRODUCT(INDEX($AL$77:$AN$82,,$AE322),INDEX($AO$77:$AU$82,,$AD322), N($AK$77:$AK$82&gt;$AI322)) / BG322 / 1000</f>
        <v>0</v>
      </c>
      <c r="BI322" s="250">
        <f t="shared" si="244"/>
        <v>30</v>
      </c>
      <c r="BJ322" s="237">
        <f t="shared" si="460"/>
        <v>46.033333333333331</v>
      </c>
      <c r="BK322" s="253">
        <f t="shared" si="461"/>
        <v>3.2297395388556791</v>
      </c>
      <c r="BL322" s="253" cm="1">
        <f t="array" ref="BL322">$BC322 * IF($AD322&lt;=2,
SUMPRODUCT(INDEX($AL$72:$AN$76,,$AE322), INDEX($AO$72:$AU$76,,$AD322), 1 / ($AV$72:$AV$76*BK322 + (1-$AV$72:$AV$76)*BG322), N($AK$72:$AK$76&gt;$AI322)),
SUMPRODUCT(INDEX($AL$67:$AN$76,,$AE322), INDEX($AO$67:$AU$76,,$AD322), 1 / ($AW$67:$AW$76*BK322 + (1-$AW$67:$AW$76)*BG322), N($AK$67:$AK$76&gt;$AI322))
) / 1000</f>
        <v>0</v>
      </c>
      <c r="BM322" s="250">
        <f t="shared" si="247"/>
        <v>25</v>
      </c>
      <c r="BN322" s="237">
        <f t="shared" si="462"/>
        <v>39.516666666666666</v>
      </c>
      <c r="BO322" s="253">
        <f t="shared" si="463"/>
        <v>3.877011788826243</v>
      </c>
      <c r="BP322" s="253" cm="1">
        <f t="array" ref="BP322">$BC322 * IF($AD322&lt;=2,
SUMPRODUCT(INDEX($AL$67:$AN$71,,$AE322), INDEX($AO$67:$AU$71,,$AD322), 1 / ($AV$67:$AV$71*BO322 + (1-$AV$67:$AV$71)*BK322), N($AK$67:$AK$71&gt;$AI322)),
SUMPRODUCT(INDEX($AL$57:$AN$66,,$AE322), INDEX($AO$57:$AU$66,,$AD322), 1 / ($AW$57:$AW$66*BO322 + (1-$AW$57:$AW$66)*BK322), N($AK$57:$AK$66&gt;$AI322))
) / 1000</f>
        <v>0</v>
      </c>
      <c r="BQ322" s="250">
        <f t="shared" si="250"/>
        <v>20</v>
      </c>
      <c r="BR322" s="237">
        <f t="shared" si="464"/>
        <v>33</v>
      </c>
      <c r="BS322" s="253">
        <f t="shared" si="465"/>
        <v>4.8487499999999999</v>
      </c>
      <c r="BT322" s="253" cm="1">
        <f t="array" ref="BT322">$BC322 * IF($AD322&lt;=2,
SUMPRODUCT(INDEX($AL$62:$AN$66,,$AE322), INDEX($AO$62:$AU$66,,$AD322), 1 / ($AV$62:$AV$66*BS322 + (1-$AV$62:$AV$66)*BO322), N($AK$62:$AK$66&gt;$AI322)),
SUMPRODUCT(INDEX($AL$47:$AN$56,,$AE322), INDEX($AO$47:$AU$56,,$AD322), 1 / ($AW$47:$AW$56*BS322 + (1-$AW$47:$AW$56)*BO322), N($AK$47:$AK$56&gt;$AI322))
) / 1000</f>
        <v>0</v>
      </c>
      <c r="BU322" s="253" cm="1">
        <f t="array" ref="BU322">$BC322 * IF($AD322&lt;=2,
SUMPRODUCT(INDEX($AL$23:$AN$61,,$AE322), INDEX($AO$23:$AU$61,,$AD322), 1 / ($AV$23:$AV$61*BS322), N($AK$23:$AK$61&gt;$AI322)),
SUMPRODUCT(INDEX($AL$23:$AN$46,,$AE322), INDEX($AO$23:$AU$46,,$AD322), 1 / ($AW$23:$AW$46*BS322), N($AK$23:$AK$46&gt;$AI322))
) / 1000</f>
        <v>0</v>
      </c>
      <c r="BV322" s="237">
        <f t="shared" si="466"/>
        <v>0</v>
      </c>
      <c r="BW322" s="210"/>
      <c r="BX322" s="237">
        <f t="shared" si="467"/>
        <v>0</v>
      </c>
      <c r="BY322" s="236">
        <v>35</v>
      </c>
      <c r="BZ322" s="237">
        <f t="shared" si="468"/>
        <v>48</v>
      </c>
      <c r="CA322" s="253">
        <f t="shared" si="469"/>
        <v>3.0748170731707316</v>
      </c>
      <c r="CB322" s="253" cm="1">
        <f t="array" ref="CB322">$BC322 * SUMPRODUCT(INDEX($AL$77:$AN$82,,$AE322),INDEX($AO$77:$AU$82,,$AD322), N($AK$77:$AK$82&gt;$AI322)) / CA322 / 1000</f>
        <v>0</v>
      </c>
      <c r="CC322" s="250">
        <f t="shared" si="257"/>
        <v>30</v>
      </c>
      <c r="CD322" s="237">
        <f t="shared" si="470"/>
        <v>43</v>
      </c>
      <c r="CE322" s="253">
        <f t="shared" si="471"/>
        <v>3.5018750000000001</v>
      </c>
      <c r="CF322" s="253" cm="1">
        <f t="array" ref="CF322">$BC322 * IF($AD322&lt;=2,
SUMPRODUCT(INDEX($AL$72:$AN$76,,$AE322), INDEX($AO$72:$AU$76,,$AD322), 1 / ($AV$72:$AV$76*CE322 + (1-$AV$72:$AV$76)*CA322), N($AK$72:$AK$76&gt;$AI322)),
SUMPRODUCT(INDEX($AL$67:$AN$76,,$AE322), INDEX($AO$67:$AU$76,,$AD322), 1 / ($AW$67:$AW$76*CE322 + (1-$AW$67:$AW$76)*CA322), N($AK$67:$AK$76&gt;$AI322))
) / 1000</f>
        <v>0</v>
      </c>
      <c r="CG322" s="250">
        <f t="shared" si="260"/>
        <v>25</v>
      </c>
      <c r="CH322" s="237">
        <f t="shared" si="472"/>
        <v>38</v>
      </c>
      <c r="CI322" s="253">
        <f t="shared" si="473"/>
        <v>4.0666935483870965</v>
      </c>
      <c r="CJ322" s="253" cm="1">
        <f t="array" ref="CJ322">$BC322 * IF($AD322&lt;=2,
SUMPRODUCT(INDEX($AL$67:$AN$71,,$AE322), INDEX($AO$67:$AU$71,,$AD322), 1 / ($AV$67:$AV$71*CI322 + (1-$AV$67:$AV$71)*CE322), N($AK$67:$AK$71&gt;$AI322)),
SUMPRODUCT(INDEX($AL$57:$AN$66,,$AE322), INDEX($AO$57:$AU$66,,$AD322), 1 / ($AW$57:$AW$66*CI322 + (1-$AW$57:$AW$66)*CE322), N($AK$57:$AK$66&gt;$AI322))
) / 1000</f>
        <v>0</v>
      </c>
      <c r="CK322" s="250">
        <f t="shared" si="263"/>
        <v>20</v>
      </c>
      <c r="CL322" s="237">
        <f t="shared" si="474"/>
        <v>33</v>
      </c>
      <c r="CM322" s="253">
        <f t="shared" si="475"/>
        <v>4.8487499999999999</v>
      </c>
      <c r="CN322" s="253" cm="1">
        <f t="array" ref="CN322">$BC322 * IF($AD322&lt;=2,
SUMPRODUCT(INDEX($AL$62:$AN$66,,$AE322), INDEX($AO$62:$AU$66,,$AD322), 1 / ($AV$62:$AV$66*CM322 + (1-$AV$62:$AV$66)*CI322), N($AK$62:$AK$66&gt;$AI322)),
SUMPRODUCT(INDEX($AL$47:$AN$56,,$AE322), INDEX($AO$47:$AU$56,,$AD322), 1 / ($AW$47:$AW$56*CM322 + (1-$AW$47:$AW$56)*CI322), N($AK$47:$AK$56&gt;$AI322))
) / 1000</f>
        <v>0</v>
      </c>
      <c r="CO322" s="253" cm="1">
        <f t="array" ref="CO322">$BC322 * IF($AD322&lt;=2,
SUMPRODUCT(INDEX($AL$23:$AN$61,,$AE322), INDEX($AO$23:$AU$61,,$AD322), 1 / ($AV$23:$AV$61*CM322), N($AK$23:$AK$61&gt;$AI322)),
SUMPRODUCT(INDEX($AL$23:$AN$46,,$AE322), INDEX($AO$23:$AU$46,,$AD322), 1 / ($AW$23:$AW$46*CM322), N($AK$23:$AK$46&gt;$AI322))
) / 1000</f>
        <v>0</v>
      </c>
      <c r="CP322" s="237">
        <f t="shared" si="476"/>
        <v>0</v>
      </c>
      <c r="CQ322" s="210"/>
    </row>
    <row r="323" spans="1:95" s="76" customFormat="1" ht="14.25" customHeight="1" x14ac:dyDescent="0.2">
      <c r="A323" s="238" t="b">
        <f t="shared" si="227"/>
        <v>0</v>
      </c>
      <c r="B323" s="239">
        <v>301</v>
      </c>
      <c r="C323" s="258"/>
      <c r="D323" s="258"/>
      <c r="E323" s="240"/>
      <c r="F323" s="241" t="str">
        <f>IF(ISBLANK(E323), "", VLOOKUP(E323, Z!$A$2:$C$4127, 3, FALSE))</f>
        <v/>
      </c>
      <c r="G323" s="242"/>
      <c r="H323" s="242"/>
      <c r="I323" s="243"/>
      <c r="J323" s="244"/>
      <c r="K323" s="259"/>
      <c r="L323" s="260"/>
      <c r="M323" s="247" t="str" cm="1">
        <f t="array" ref="M323">IF($K323&gt;0, INDEX(Clean,1+AG323,$C$1), "")</f>
        <v/>
      </c>
      <c r="N323" s="245"/>
      <c r="O323" s="245"/>
      <c r="P323" s="246"/>
      <c r="Q323" s="248">
        <f t="shared" si="453"/>
        <v>0</v>
      </c>
      <c r="R323" s="247" t="str" cm="1">
        <f t="array" ref="R323">IF($K323&gt;0, INDEX(Clean,1+AH323,$C$1), "")</f>
        <v/>
      </c>
      <c r="S323" s="245"/>
      <c r="T323" s="245"/>
      <c r="U323" s="246"/>
      <c r="V323" s="248">
        <f t="shared" si="454"/>
        <v>0</v>
      </c>
      <c r="W323" s="261"/>
      <c r="X323" s="258"/>
      <c r="Y323" s="240"/>
      <c r="Z323" s="241" t="str">
        <f>IF(ISBLANK(Y323), "", VLOOKUP(Y323, Z!$A$2:$C$4127, 3, FALSE))</f>
        <v/>
      </c>
      <c r="AA323" s="262"/>
      <c r="AB323" s="249">
        <f t="shared" si="452"/>
        <v>0</v>
      </c>
      <c r="AC323" s="210"/>
      <c r="AD323" s="236">
        <f t="shared" si="477"/>
        <v>1</v>
      </c>
      <c r="AE323" s="236">
        <f t="shared" si="478"/>
        <v>1</v>
      </c>
      <c r="AF323" s="236">
        <f t="shared" si="479"/>
        <v>0</v>
      </c>
      <c r="AG323" s="236">
        <v>1</v>
      </c>
      <c r="AH323" s="236">
        <v>0</v>
      </c>
      <c r="AI323" s="236">
        <f t="shared" si="455"/>
        <v>-100</v>
      </c>
      <c r="AJ323" s="210"/>
      <c r="AK323" s="254"/>
      <c r="AL323" s="254"/>
      <c r="AM323" s="255"/>
      <c r="AN323" s="255"/>
      <c r="AO323" s="255"/>
      <c r="AP323" s="255"/>
      <c r="AQ323" s="255"/>
      <c r="AR323" s="255"/>
      <c r="AS323" s="255"/>
      <c r="AT323" s="255"/>
      <c r="AU323" s="255"/>
      <c r="AV323" s="255"/>
      <c r="AW323" s="255"/>
      <c r="AX323" s="210"/>
      <c r="AY323" s="236" cm="1">
        <f t="array" ref="AY323">INDEX(Use, $AD323, 4)</f>
        <v>7</v>
      </c>
      <c r="AZ323" s="236">
        <f t="shared" si="456"/>
        <v>32</v>
      </c>
      <c r="BA323" s="236">
        <f t="shared" si="239"/>
        <v>13</v>
      </c>
      <c r="BB323" s="236">
        <f t="shared" si="240"/>
        <v>0</v>
      </c>
      <c r="BC323" s="252" cm="1">
        <f t="array" ref="BC323">K323/IF($L323&gt;0, INDEX($AO$23:$AU$77, $L323+20, $AD323), 1)</f>
        <v>0</v>
      </c>
      <c r="BD323" s="237">
        <f t="shared" si="457"/>
        <v>0</v>
      </c>
      <c r="BE323" s="236">
        <v>35</v>
      </c>
      <c r="BF323" s="237">
        <f t="shared" si="458"/>
        <v>52.55</v>
      </c>
      <c r="BG323" s="253">
        <f t="shared" si="459"/>
        <v>2.7676728869374316</v>
      </c>
      <c r="BH323" s="253" cm="1">
        <f t="array" ref="BH323">$BC323 * SUMPRODUCT(INDEX($AL$77:$AN$82,,$AE323),INDEX($AO$77:$AU$82,,$AD323), N($AK$77:$AK$82&gt;$AI323)) / BG323 / 1000</f>
        <v>0</v>
      </c>
      <c r="BI323" s="250">
        <f t="shared" si="244"/>
        <v>30</v>
      </c>
      <c r="BJ323" s="237">
        <f t="shared" si="460"/>
        <v>46.033333333333331</v>
      </c>
      <c r="BK323" s="253">
        <f t="shared" si="461"/>
        <v>3.2297395388556791</v>
      </c>
      <c r="BL323" s="253" cm="1">
        <f t="array" ref="BL323">$BC323 * IF($AD323&lt;=2,
SUMPRODUCT(INDEX($AL$72:$AN$76,,$AE323), INDEX($AO$72:$AU$76,,$AD323), 1 / ($AV$72:$AV$76*BK323 + (1-$AV$72:$AV$76)*BG323), N($AK$72:$AK$76&gt;$AI323)),
SUMPRODUCT(INDEX($AL$67:$AN$76,,$AE323), INDEX($AO$67:$AU$76,,$AD323), 1 / ($AW$67:$AW$76*BK323 + (1-$AW$67:$AW$76)*BG323), N($AK$67:$AK$76&gt;$AI323))
) / 1000</f>
        <v>0</v>
      </c>
      <c r="BM323" s="250">
        <f t="shared" si="247"/>
        <v>25</v>
      </c>
      <c r="BN323" s="237">
        <f t="shared" si="462"/>
        <v>39.516666666666666</v>
      </c>
      <c r="BO323" s="253">
        <f t="shared" si="463"/>
        <v>3.877011788826243</v>
      </c>
      <c r="BP323" s="253" cm="1">
        <f t="array" ref="BP323">$BC323 * IF($AD323&lt;=2,
SUMPRODUCT(INDEX($AL$67:$AN$71,,$AE323), INDEX($AO$67:$AU$71,,$AD323), 1 / ($AV$67:$AV$71*BO323 + (1-$AV$67:$AV$71)*BK323), N($AK$67:$AK$71&gt;$AI323)),
SUMPRODUCT(INDEX($AL$57:$AN$66,,$AE323), INDEX($AO$57:$AU$66,,$AD323), 1 / ($AW$57:$AW$66*BO323 + (1-$AW$57:$AW$66)*BK323), N($AK$57:$AK$66&gt;$AI323))
) / 1000</f>
        <v>0</v>
      </c>
      <c r="BQ323" s="250">
        <f t="shared" si="250"/>
        <v>20</v>
      </c>
      <c r="BR323" s="237">
        <f t="shared" si="464"/>
        <v>33</v>
      </c>
      <c r="BS323" s="253">
        <f t="shared" si="465"/>
        <v>4.8487499999999999</v>
      </c>
      <c r="BT323" s="253" cm="1">
        <f t="array" ref="BT323">$BC323 * IF($AD323&lt;=2,
SUMPRODUCT(INDEX($AL$62:$AN$66,,$AE323), INDEX($AO$62:$AU$66,,$AD323), 1 / ($AV$62:$AV$66*BS323 + (1-$AV$62:$AV$66)*BO323), N($AK$62:$AK$66&gt;$AI323)),
SUMPRODUCT(INDEX($AL$47:$AN$56,,$AE323), INDEX($AO$47:$AU$56,,$AD323), 1 / ($AW$47:$AW$56*BS323 + (1-$AW$47:$AW$56)*BO323), N($AK$47:$AK$56&gt;$AI323))
) / 1000</f>
        <v>0</v>
      </c>
      <c r="BU323" s="253" cm="1">
        <f t="array" ref="BU323">$BC323 * IF($AD323&lt;=2,
SUMPRODUCT(INDEX($AL$23:$AN$61,,$AE323), INDEX($AO$23:$AU$61,,$AD323), 1 / ($AV$23:$AV$61*BS323), N($AK$23:$AK$61&gt;$AI323)),
SUMPRODUCT(INDEX($AL$23:$AN$46,,$AE323), INDEX($AO$23:$AU$46,,$AD323), 1 / ($AW$23:$AW$46*BS323), N($AK$23:$AK$46&gt;$AI323))
) / 1000</f>
        <v>0</v>
      </c>
      <c r="BV323" s="237">
        <f t="shared" si="466"/>
        <v>0</v>
      </c>
      <c r="BW323" s="210"/>
      <c r="BX323" s="237">
        <f t="shared" si="467"/>
        <v>0</v>
      </c>
      <c r="BY323" s="236">
        <v>35</v>
      </c>
      <c r="BZ323" s="237">
        <f t="shared" si="468"/>
        <v>48</v>
      </c>
      <c r="CA323" s="253">
        <f t="shared" si="469"/>
        <v>3.0748170731707316</v>
      </c>
      <c r="CB323" s="253" cm="1">
        <f t="array" ref="CB323">$BC323 * SUMPRODUCT(INDEX($AL$77:$AN$82,,$AE323),INDEX($AO$77:$AU$82,,$AD323), N($AK$77:$AK$82&gt;$AI323)) / CA323 / 1000</f>
        <v>0</v>
      </c>
      <c r="CC323" s="250">
        <f t="shared" si="257"/>
        <v>30</v>
      </c>
      <c r="CD323" s="237">
        <f t="shared" si="470"/>
        <v>43</v>
      </c>
      <c r="CE323" s="253">
        <f t="shared" si="471"/>
        <v>3.5018750000000001</v>
      </c>
      <c r="CF323" s="253" cm="1">
        <f t="array" ref="CF323">$BC323 * IF($AD323&lt;=2,
SUMPRODUCT(INDEX($AL$72:$AN$76,,$AE323), INDEX($AO$72:$AU$76,,$AD323), 1 / ($AV$72:$AV$76*CE323 + (1-$AV$72:$AV$76)*CA323), N($AK$72:$AK$76&gt;$AI323)),
SUMPRODUCT(INDEX($AL$67:$AN$76,,$AE323), INDEX($AO$67:$AU$76,,$AD323), 1 / ($AW$67:$AW$76*CE323 + (1-$AW$67:$AW$76)*CA323), N($AK$67:$AK$76&gt;$AI323))
) / 1000</f>
        <v>0</v>
      </c>
      <c r="CG323" s="250">
        <f t="shared" si="260"/>
        <v>25</v>
      </c>
      <c r="CH323" s="237">
        <f t="shared" si="472"/>
        <v>38</v>
      </c>
      <c r="CI323" s="253">
        <f t="shared" si="473"/>
        <v>4.0666935483870965</v>
      </c>
      <c r="CJ323" s="253" cm="1">
        <f t="array" ref="CJ323">$BC323 * IF($AD323&lt;=2,
SUMPRODUCT(INDEX($AL$67:$AN$71,,$AE323), INDEX($AO$67:$AU$71,,$AD323), 1 / ($AV$67:$AV$71*CI323 + (1-$AV$67:$AV$71)*CE323), N($AK$67:$AK$71&gt;$AI323)),
SUMPRODUCT(INDEX($AL$57:$AN$66,,$AE323), INDEX($AO$57:$AU$66,,$AD323), 1 / ($AW$57:$AW$66*CI323 + (1-$AW$57:$AW$66)*CE323), N($AK$57:$AK$66&gt;$AI323))
) / 1000</f>
        <v>0</v>
      </c>
      <c r="CK323" s="250">
        <f t="shared" si="263"/>
        <v>20</v>
      </c>
      <c r="CL323" s="237">
        <f t="shared" si="474"/>
        <v>33</v>
      </c>
      <c r="CM323" s="253">
        <f t="shared" si="475"/>
        <v>4.8487499999999999</v>
      </c>
      <c r="CN323" s="253" cm="1">
        <f t="array" ref="CN323">$BC323 * IF($AD323&lt;=2,
SUMPRODUCT(INDEX($AL$62:$AN$66,,$AE323), INDEX($AO$62:$AU$66,,$AD323), 1 / ($AV$62:$AV$66*CM323 + (1-$AV$62:$AV$66)*CI323), N($AK$62:$AK$66&gt;$AI323)),
SUMPRODUCT(INDEX($AL$47:$AN$56,,$AE323), INDEX($AO$47:$AU$56,,$AD323), 1 / ($AW$47:$AW$56*CM323 + (1-$AW$47:$AW$56)*CI323), N($AK$47:$AK$56&gt;$AI323))
) / 1000</f>
        <v>0</v>
      </c>
      <c r="CO323" s="253" cm="1">
        <f t="array" ref="CO323">$BC323 * IF($AD323&lt;=2,
SUMPRODUCT(INDEX($AL$23:$AN$61,,$AE323), INDEX($AO$23:$AU$61,,$AD323), 1 / ($AV$23:$AV$61*CM323), N($AK$23:$AK$61&gt;$AI323)),
SUMPRODUCT(INDEX($AL$23:$AN$46,,$AE323), INDEX($AO$23:$AU$46,,$AD323), 1 / ($AW$23:$AW$46*CM323), N($AK$23:$AK$46&gt;$AI323))
) / 1000</f>
        <v>0</v>
      </c>
      <c r="CP323" s="237">
        <f t="shared" si="476"/>
        <v>0</v>
      </c>
      <c r="CQ323" s="210"/>
    </row>
    <row r="324" spans="1:95" s="76" customFormat="1" ht="14.25" customHeight="1" x14ac:dyDescent="0.2">
      <c r="A324" s="238" t="b">
        <f t="shared" si="227"/>
        <v>0</v>
      </c>
      <c r="B324" s="239">
        <v>302</v>
      </c>
      <c r="C324" s="258"/>
      <c r="D324" s="258"/>
      <c r="E324" s="240"/>
      <c r="F324" s="241" t="str">
        <f>IF(ISBLANK(E324), "", VLOOKUP(E324, Z!$A$2:$C$4127, 3, FALSE))</f>
        <v/>
      </c>
      <c r="G324" s="242"/>
      <c r="H324" s="242"/>
      <c r="I324" s="243"/>
      <c r="J324" s="244"/>
      <c r="K324" s="259"/>
      <c r="L324" s="260"/>
      <c r="M324" s="247" t="str" cm="1">
        <f t="array" ref="M324">IF($K324&gt;0, INDEX(Clean,1+AG324,$C$1), "")</f>
        <v/>
      </c>
      <c r="N324" s="245"/>
      <c r="O324" s="245"/>
      <c r="P324" s="246"/>
      <c r="Q324" s="248">
        <f t="shared" si="453"/>
        <v>0</v>
      </c>
      <c r="R324" s="247" t="str" cm="1">
        <f t="array" ref="R324">IF($K324&gt;0, INDEX(Clean,1+AH324,$C$1), "")</f>
        <v/>
      </c>
      <c r="S324" s="245"/>
      <c r="T324" s="245"/>
      <c r="U324" s="246"/>
      <c r="V324" s="248">
        <f t="shared" si="454"/>
        <v>0</v>
      </c>
      <c r="W324" s="261"/>
      <c r="X324" s="258"/>
      <c r="Y324" s="240"/>
      <c r="Z324" s="241" t="str">
        <f>IF(ISBLANK(Y324), "", VLOOKUP(Y324, Z!$A$2:$C$4127, 3, FALSE))</f>
        <v/>
      </c>
      <c r="AA324" s="262"/>
      <c r="AB324" s="249">
        <f t="shared" si="452"/>
        <v>0</v>
      </c>
      <c r="AC324" s="210"/>
      <c r="AD324" s="236">
        <f t="shared" si="477"/>
        <v>1</v>
      </c>
      <c r="AE324" s="236">
        <f t="shared" si="478"/>
        <v>1</v>
      </c>
      <c r="AF324" s="236">
        <f t="shared" si="479"/>
        <v>0</v>
      </c>
      <c r="AG324" s="236">
        <v>1</v>
      </c>
      <c r="AH324" s="236">
        <v>0</v>
      </c>
      <c r="AI324" s="236">
        <f t="shared" si="455"/>
        <v>-100</v>
      </c>
      <c r="AJ324" s="210"/>
      <c r="AK324" s="254"/>
      <c r="AL324" s="254"/>
      <c r="AM324" s="255"/>
      <c r="AN324" s="255"/>
      <c r="AO324" s="255"/>
      <c r="AP324" s="255"/>
      <c r="AQ324" s="255"/>
      <c r="AR324" s="255"/>
      <c r="AS324" s="255"/>
      <c r="AT324" s="255"/>
      <c r="AU324" s="255"/>
      <c r="AV324" s="255"/>
      <c r="AW324" s="255"/>
      <c r="AX324" s="210"/>
      <c r="AY324" s="236" cm="1">
        <f t="array" ref="AY324">INDEX(Use, $AD324, 4)</f>
        <v>7</v>
      </c>
      <c r="AZ324" s="236">
        <f t="shared" si="456"/>
        <v>32</v>
      </c>
      <c r="BA324" s="236">
        <f t="shared" si="239"/>
        <v>13</v>
      </c>
      <c r="BB324" s="236">
        <f t="shared" si="240"/>
        <v>0</v>
      </c>
      <c r="BC324" s="252" cm="1">
        <f t="array" ref="BC324">K324/IF($L324&gt;0, INDEX($AO$23:$AU$77, $L324+20, $AD324), 1)</f>
        <v>0</v>
      </c>
      <c r="BD324" s="237">
        <f t="shared" si="457"/>
        <v>0</v>
      </c>
      <c r="BE324" s="236">
        <v>35</v>
      </c>
      <c r="BF324" s="237">
        <f t="shared" si="458"/>
        <v>52.55</v>
      </c>
      <c r="BG324" s="253">
        <f t="shared" si="459"/>
        <v>2.7676728869374316</v>
      </c>
      <c r="BH324" s="253" cm="1">
        <f t="array" ref="BH324">$BC324 * SUMPRODUCT(INDEX($AL$77:$AN$82,,$AE324),INDEX($AO$77:$AU$82,,$AD324), N($AK$77:$AK$82&gt;$AI324)) / BG324 / 1000</f>
        <v>0</v>
      </c>
      <c r="BI324" s="250">
        <f t="shared" si="244"/>
        <v>30</v>
      </c>
      <c r="BJ324" s="237">
        <f t="shared" si="460"/>
        <v>46.033333333333331</v>
      </c>
      <c r="BK324" s="253">
        <f t="shared" si="461"/>
        <v>3.2297395388556791</v>
      </c>
      <c r="BL324" s="253" cm="1">
        <f t="array" ref="BL324">$BC324 * IF($AD324&lt;=2,
SUMPRODUCT(INDEX($AL$72:$AN$76,,$AE324), INDEX($AO$72:$AU$76,,$AD324), 1 / ($AV$72:$AV$76*BK324 + (1-$AV$72:$AV$76)*BG324), N($AK$72:$AK$76&gt;$AI324)),
SUMPRODUCT(INDEX($AL$67:$AN$76,,$AE324), INDEX($AO$67:$AU$76,,$AD324), 1 / ($AW$67:$AW$76*BK324 + (1-$AW$67:$AW$76)*BG324), N($AK$67:$AK$76&gt;$AI324))
) / 1000</f>
        <v>0</v>
      </c>
      <c r="BM324" s="250">
        <f t="shared" si="247"/>
        <v>25</v>
      </c>
      <c r="BN324" s="237">
        <f t="shared" si="462"/>
        <v>39.516666666666666</v>
      </c>
      <c r="BO324" s="253">
        <f t="shared" si="463"/>
        <v>3.877011788826243</v>
      </c>
      <c r="BP324" s="253" cm="1">
        <f t="array" ref="BP324">$BC324 * IF($AD324&lt;=2,
SUMPRODUCT(INDEX($AL$67:$AN$71,,$AE324), INDEX($AO$67:$AU$71,,$AD324), 1 / ($AV$67:$AV$71*BO324 + (1-$AV$67:$AV$71)*BK324), N($AK$67:$AK$71&gt;$AI324)),
SUMPRODUCT(INDEX($AL$57:$AN$66,,$AE324), INDEX($AO$57:$AU$66,,$AD324), 1 / ($AW$57:$AW$66*BO324 + (1-$AW$57:$AW$66)*BK324), N($AK$57:$AK$66&gt;$AI324))
) / 1000</f>
        <v>0</v>
      </c>
      <c r="BQ324" s="250">
        <f t="shared" si="250"/>
        <v>20</v>
      </c>
      <c r="BR324" s="237">
        <f t="shared" si="464"/>
        <v>33</v>
      </c>
      <c r="BS324" s="253">
        <f t="shared" si="465"/>
        <v>4.8487499999999999</v>
      </c>
      <c r="BT324" s="253" cm="1">
        <f t="array" ref="BT324">$BC324 * IF($AD324&lt;=2,
SUMPRODUCT(INDEX($AL$62:$AN$66,,$AE324), INDEX($AO$62:$AU$66,,$AD324), 1 / ($AV$62:$AV$66*BS324 + (1-$AV$62:$AV$66)*BO324), N($AK$62:$AK$66&gt;$AI324)),
SUMPRODUCT(INDEX($AL$47:$AN$56,,$AE324), INDEX($AO$47:$AU$56,,$AD324), 1 / ($AW$47:$AW$56*BS324 + (1-$AW$47:$AW$56)*BO324), N($AK$47:$AK$56&gt;$AI324))
) / 1000</f>
        <v>0</v>
      </c>
      <c r="BU324" s="253" cm="1">
        <f t="array" ref="BU324">$BC324 * IF($AD324&lt;=2,
SUMPRODUCT(INDEX($AL$23:$AN$61,,$AE324), INDEX($AO$23:$AU$61,,$AD324), 1 / ($AV$23:$AV$61*BS324), N($AK$23:$AK$61&gt;$AI324)),
SUMPRODUCT(INDEX($AL$23:$AN$46,,$AE324), INDEX($AO$23:$AU$46,,$AD324), 1 / ($AW$23:$AW$46*BS324), N($AK$23:$AK$46&gt;$AI324))
) / 1000</f>
        <v>0</v>
      </c>
      <c r="BV324" s="237">
        <f t="shared" si="466"/>
        <v>0</v>
      </c>
      <c r="BW324" s="210"/>
      <c r="BX324" s="237">
        <f t="shared" si="467"/>
        <v>0</v>
      </c>
      <c r="BY324" s="236">
        <v>35</v>
      </c>
      <c r="BZ324" s="237">
        <f t="shared" si="468"/>
        <v>48</v>
      </c>
      <c r="CA324" s="253">
        <f t="shared" si="469"/>
        <v>3.0748170731707316</v>
      </c>
      <c r="CB324" s="253" cm="1">
        <f t="array" ref="CB324">$BC324 * SUMPRODUCT(INDEX($AL$77:$AN$82,,$AE324),INDEX($AO$77:$AU$82,,$AD324), N($AK$77:$AK$82&gt;$AI324)) / CA324 / 1000</f>
        <v>0</v>
      </c>
      <c r="CC324" s="250">
        <f t="shared" si="257"/>
        <v>30</v>
      </c>
      <c r="CD324" s="237">
        <f t="shared" si="470"/>
        <v>43</v>
      </c>
      <c r="CE324" s="253">
        <f t="shared" si="471"/>
        <v>3.5018750000000001</v>
      </c>
      <c r="CF324" s="253" cm="1">
        <f t="array" ref="CF324">$BC324 * IF($AD324&lt;=2,
SUMPRODUCT(INDEX($AL$72:$AN$76,,$AE324), INDEX($AO$72:$AU$76,,$AD324), 1 / ($AV$72:$AV$76*CE324 + (1-$AV$72:$AV$76)*CA324), N($AK$72:$AK$76&gt;$AI324)),
SUMPRODUCT(INDEX($AL$67:$AN$76,,$AE324), INDEX($AO$67:$AU$76,,$AD324), 1 / ($AW$67:$AW$76*CE324 + (1-$AW$67:$AW$76)*CA324), N($AK$67:$AK$76&gt;$AI324))
) / 1000</f>
        <v>0</v>
      </c>
      <c r="CG324" s="250">
        <f t="shared" si="260"/>
        <v>25</v>
      </c>
      <c r="CH324" s="237">
        <f t="shared" si="472"/>
        <v>38</v>
      </c>
      <c r="CI324" s="253">
        <f t="shared" si="473"/>
        <v>4.0666935483870965</v>
      </c>
      <c r="CJ324" s="253" cm="1">
        <f t="array" ref="CJ324">$BC324 * IF($AD324&lt;=2,
SUMPRODUCT(INDEX($AL$67:$AN$71,,$AE324), INDEX($AO$67:$AU$71,,$AD324), 1 / ($AV$67:$AV$71*CI324 + (1-$AV$67:$AV$71)*CE324), N($AK$67:$AK$71&gt;$AI324)),
SUMPRODUCT(INDEX($AL$57:$AN$66,,$AE324), INDEX($AO$57:$AU$66,,$AD324), 1 / ($AW$57:$AW$66*CI324 + (1-$AW$57:$AW$66)*CE324), N($AK$57:$AK$66&gt;$AI324))
) / 1000</f>
        <v>0</v>
      </c>
      <c r="CK324" s="250">
        <f t="shared" si="263"/>
        <v>20</v>
      </c>
      <c r="CL324" s="237">
        <f t="shared" si="474"/>
        <v>33</v>
      </c>
      <c r="CM324" s="253">
        <f t="shared" si="475"/>
        <v>4.8487499999999999</v>
      </c>
      <c r="CN324" s="253" cm="1">
        <f t="array" ref="CN324">$BC324 * IF($AD324&lt;=2,
SUMPRODUCT(INDEX($AL$62:$AN$66,,$AE324), INDEX($AO$62:$AU$66,,$AD324), 1 / ($AV$62:$AV$66*CM324 + (1-$AV$62:$AV$66)*CI324), N($AK$62:$AK$66&gt;$AI324)),
SUMPRODUCT(INDEX($AL$47:$AN$56,,$AE324), INDEX($AO$47:$AU$56,,$AD324), 1 / ($AW$47:$AW$56*CM324 + (1-$AW$47:$AW$56)*CI324), N($AK$47:$AK$56&gt;$AI324))
) / 1000</f>
        <v>0</v>
      </c>
      <c r="CO324" s="253" cm="1">
        <f t="array" ref="CO324">$BC324 * IF($AD324&lt;=2,
SUMPRODUCT(INDEX($AL$23:$AN$61,,$AE324), INDEX($AO$23:$AU$61,,$AD324), 1 / ($AV$23:$AV$61*CM324), N($AK$23:$AK$61&gt;$AI324)),
SUMPRODUCT(INDEX($AL$23:$AN$46,,$AE324), INDEX($AO$23:$AU$46,,$AD324), 1 / ($AW$23:$AW$46*CM324), N($AK$23:$AK$46&gt;$AI324))
) / 1000</f>
        <v>0</v>
      </c>
      <c r="CP324" s="237">
        <f t="shared" si="476"/>
        <v>0</v>
      </c>
      <c r="CQ324" s="210"/>
    </row>
    <row r="325" spans="1:95" s="76" customFormat="1" ht="14.25" customHeight="1" x14ac:dyDescent="0.2">
      <c r="A325" s="238" t="b">
        <f t="shared" si="227"/>
        <v>0</v>
      </c>
      <c r="B325" s="239">
        <v>303</v>
      </c>
      <c r="C325" s="258"/>
      <c r="D325" s="258"/>
      <c r="E325" s="240"/>
      <c r="F325" s="241" t="str">
        <f>IF(ISBLANK(E325), "", VLOOKUP(E325, Z!$A$2:$C$4127, 3, FALSE))</f>
        <v/>
      </c>
      <c r="G325" s="242"/>
      <c r="H325" s="242"/>
      <c r="I325" s="243"/>
      <c r="J325" s="244"/>
      <c r="K325" s="259"/>
      <c r="L325" s="260"/>
      <c r="M325" s="247" t="str" cm="1">
        <f t="array" ref="M325">IF($K325&gt;0, INDEX(Clean,1+AG325,$C$1), "")</f>
        <v/>
      </c>
      <c r="N325" s="245"/>
      <c r="O325" s="245"/>
      <c r="P325" s="246"/>
      <c r="Q325" s="248">
        <f t="shared" si="453"/>
        <v>0</v>
      </c>
      <c r="R325" s="247" t="str" cm="1">
        <f t="array" ref="R325">IF($K325&gt;0, INDEX(Clean,1+AH325,$C$1), "")</f>
        <v/>
      </c>
      <c r="S325" s="245"/>
      <c r="T325" s="245"/>
      <c r="U325" s="246"/>
      <c r="V325" s="248">
        <f t="shared" si="454"/>
        <v>0</v>
      </c>
      <c r="W325" s="261"/>
      <c r="X325" s="258"/>
      <c r="Y325" s="240"/>
      <c r="Z325" s="241" t="str">
        <f>IF(ISBLANK(Y325), "", VLOOKUP(Y325, Z!$A$2:$C$4127, 3, FALSE))</f>
        <v/>
      </c>
      <c r="AA325" s="262"/>
      <c r="AB325" s="249">
        <f t="shared" si="452"/>
        <v>0</v>
      </c>
      <c r="AC325" s="210"/>
      <c r="AD325" s="236">
        <f t="shared" si="477"/>
        <v>1</v>
      </c>
      <c r="AE325" s="236">
        <f t="shared" si="478"/>
        <v>1</v>
      </c>
      <c r="AF325" s="236">
        <f t="shared" si="479"/>
        <v>0</v>
      </c>
      <c r="AG325" s="236">
        <v>1</v>
      </c>
      <c r="AH325" s="236">
        <v>0</v>
      </c>
      <c r="AI325" s="236">
        <f t="shared" si="455"/>
        <v>-100</v>
      </c>
      <c r="AJ325" s="210"/>
      <c r="AK325" s="254"/>
      <c r="AL325" s="254"/>
      <c r="AM325" s="255"/>
      <c r="AN325" s="255"/>
      <c r="AO325" s="255"/>
      <c r="AP325" s="255"/>
      <c r="AQ325" s="255"/>
      <c r="AR325" s="255"/>
      <c r="AS325" s="255"/>
      <c r="AT325" s="255"/>
      <c r="AU325" s="255"/>
      <c r="AV325" s="255"/>
      <c r="AW325" s="255"/>
      <c r="AX325" s="210"/>
      <c r="AY325" s="236" cm="1">
        <f t="array" ref="AY325">INDEX(Use, $AD325, 4)</f>
        <v>7</v>
      </c>
      <c r="AZ325" s="236">
        <f t="shared" si="456"/>
        <v>32</v>
      </c>
      <c r="BA325" s="236">
        <f t="shared" si="239"/>
        <v>13</v>
      </c>
      <c r="BB325" s="236">
        <f t="shared" si="240"/>
        <v>0</v>
      </c>
      <c r="BC325" s="252" cm="1">
        <f t="array" ref="BC325">K325/IF($L325&gt;0, INDEX($AO$23:$AU$77, $L325+20, $AD325), 1)</f>
        <v>0</v>
      </c>
      <c r="BD325" s="237">
        <f t="shared" si="457"/>
        <v>0</v>
      </c>
      <c r="BE325" s="236">
        <v>35</v>
      </c>
      <c r="BF325" s="237">
        <f t="shared" si="458"/>
        <v>52.55</v>
      </c>
      <c r="BG325" s="253">
        <f t="shared" si="459"/>
        <v>2.7676728869374316</v>
      </c>
      <c r="BH325" s="253" cm="1">
        <f t="array" ref="BH325">$BC325 * SUMPRODUCT(INDEX($AL$77:$AN$82,,$AE325),INDEX($AO$77:$AU$82,,$AD325), N($AK$77:$AK$82&gt;$AI325)) / BG325 / 1000</f>
        <v>0</v>
      </c>
      <c r="BI325" s="250">
        <f t="shared" si="244"/>
        <v>30</v>
      </c>
      <c r="BJ325" s="237">
        <f t="shared" si="460"/>
        <v>46.033333333333331</v>
      </c>
      <c r="BK325" s="253">
        <f t="shared" si="461"/>
        <v>3.2297395388556791</v>
      </c>
      <c r="BL325" s="253" cm="1">
        <f t="array" ref="BL325">$BC325 * IF($AD325&lt;=2,
SUMPRODUCT(INDEX($AL$72:$AN$76,,$AE325), INDEX($AO$72:$AU$76,,$AD325), 1 / ($AV$72:$AV$76*BK325 + (1-$AV$72:$AV$76)*BG325), N($AK$72:$AK$76&gt;$AI325)),
SUMPRODUCT(INDEX($AL$67:$AN$76,,$AE325), INDEX($AO$67:$AU$76,,$AD325), 1 / ($AW$67:$AW$76*BK325 + (1-$AW$67:$AW$76)*BG325), N($AK$67:$AK$76&gt;$AI325))
) / 1000</f>
        <v>0</v>
      </c>
      <c r="BM325" s="250">
        <f t="shared" si="247"/>
        <v>25</v>
      </c>
      <c r="BN325" s="237">
        <f t="shared" si="462"/>
        <v>39.516666666666666</v>
      </c>
      <c r="BO325" s="253">
        <f t="shared" si="463"/>
        <v>3.877011788826243</v>
      </c>
      <c r="BP325" s="253" cm="1">
        <f t="array" ref="BP325">$BC325 * IF($AD325&lt;=2,
SUMPRODUCT(INDEX($AL$67:$AN$71,,$AE325), INDEX($AO$67:$AU$71,,$AD325), 1 / ($AV$67:$AV$71*BO325 + (1-$AV$67:$AV$71)*BK325), N($AK$67:$AK$71&gt;$AI325)),
SUMPRODUCT(INDEX($AL$57:$AN$66,,$AE325), INDEX($AO$57:$AU$66,,$AD325), 1 / ($AW$57:$AW$66*BO325 + (1-$AW$57:$AW$66)*BK325), N($AK$57:$AK$66&gt;$AI325))
) / 1000</f>
        <v>0</v>
      </c>
      <c r="BQ325" s="250">
        <f t="shared" si="250"/>
        <v>20</v>
      </c>
      <c r="BR325" s="237">
        <f t="shared" si="464"/>
        <v>33</v>
      </c>
      <c r="BS325" s="253">
        <f t="shared" si="465"/>
        <v>4.8487499999999999</v>
      </c>
      <c r="BT325" s="253" cm="1">
        <f t="array" ref="BT325">$BC325 * IF($AD325&lt;=2,
SUMPRODUCT(INDEX($AL$62:$AN$66,,$AE325), INDEX($AO$62:$AU$66,,$AD325), 1 / ($AV$62:$AV$66*BS325 + (1-$AV$62:$AV$66)*BO325), N($AK$62:$AK$66&gt;$AI325)),
SUMPRODUCT(INDEX($AL$47:$AN$56,,$AE325), INDEX($AO$47:$AU$56,,$AD325), 1 / ($AW$47:$AW$56*BS325 + (1-$AW$47:$AW$56)*BO325), N($AK$47:$AK$56&gt;$AI325))
) / 1000</f>
        <v>0</v>
      </c>
      <c r="BU325" s="253" cm="1">
        <f t="array" ref="BU325">$BC325 * IF($AD325&lt;=2,
SUMPRODUCT(INDEX($AL$23:$AN$61,,$AE325), INDEX($AO$23:$AU$61,,$AD325), 1 / ($AV$23:$AV$61*BS325), N($AK$23:$AK$61&gt;$AI325)),
SUMPRODUCT(INDEX($AL$23:$AN$46,,$AE325), INDEX($AO$23:$AU$46,,$AD325), 1 / ($AW$23:$AW$46*BS325), N($AK$23:$AK$46&gt;$AI325))
) / 1000</f>
        <v>0</v>
      </c>
      <c r="BV325" s="237">
        <f t="shared" si="466"/>
        <v>0</v>
      </c>
      <c r="BW325" s="210"/>
      <c r="BX325" s="237">
        <f t="shared" si="467"/>
        <v>0</v>
      </c>
      <c r="BY325" s="236">
        <v>35</v>
      </c>
      <c r="BZ325" s="237">
        <f t="shared" si="468"/>
        <v>48</v>
      </c>
      <c r="CA325" s="253">
        <f t="shared" si="469"/>
        <v>3.0748170731707316</v>
      </c>
      <c r="CB325" s="253" cm="1">
        <f t="array" ref="CB325">$BC325 * SUMPRODUCT(INDEX($AL$77:$AN$82,,$AE325),INDEX($AO$77:$AU$82,,$AD325), N($AK$77:$AK$82&gt;$AI325)) / CA325 / 1000</f>
        <v>0</v>
      </c>
      <c r="CC325" s="250">
        <f t="shared" si="257"/>
        <v>30</v>
      </c>
      <c r="CD325" s="237">
        <f t="shared" si="470"/>
        <v>43</v>
      </c>
      <c r="CE325" s="253">
        <f t="shared" si="471"/>
        <v>3.5018750000000001</v>
      </c>
      <c r="CF325" s="253" cm="1">
        <f t="array" ref="CF325">$BC325 * IF($AD325&lt;=2,
SUMPRODUCT(INDEX($AL$72:$AN$76,,$AE325), INDEX($AO$72:$AU$76,,$AD325), 1 / ($AV$72:$AV$76*CE325 + (1-$AV$72:$AV$76)*CA325), N($AK$72:$AK$76&gt;$AI325)),
SUMPRODUCT(INDEX($AL$67:$AN$76,,$AE325), INDEX($AO$67:$AU$76,,$AD325), 1 / ($AW$67:$AW$76*CE325 + (1-$AW$67:$AW$76)*CA325), N($AK$67:$AK$76&gt;$AI325))
) / 1000</f>
        <v>0</v>
      </c>
      <c r="CG325" s="250">
        <f t="shared" si="260"/>
        <v>25</v>
      </c>
      <c r="CH325" s="237">
        <f t="shared" si="472"/>
        <v>38</v>
      </c>
      <c r="CI325" s="253">
        <f t="shared" si="473"/>
        <v>4.0666935483870965</v>
      </c>
      <c r="CJ325" s="253" cm="1">
        <f t="array" ref="CJ325">$BC325 * IF($AD325&lt;=2,
SUMPRODUCT(INDEX($AL$67:$AN$71,,$AE325), INDEX($AO$67:$AU$71,,$AD325), 1 / ($AV$67:$AV$71*CI325 + (1-$AV$67:$AV$71)*CE325), N($AK$67:$AK$71&gt;$AI325)),
SUMPRODUCT(INDEX($AL$57:$AN$66,,$AE325), INDEX($AO$57:$AU$66,,$AD325), 1 / ($AW$57:$AW$66*CI325 + (1-$AW$57:$AW$66)*CE325), N($AK$57:$AK$66&gt;$AI325))
) / 1000</f>
        <v>0</v>
      </c>
      <c r="CK325" s="250">
        <f t="shared" si="263"/>
        <v>20</v>
      </c>
      <c r="CL325" s="237">
        <f t="shared" si="474"/>
        <v>33</v>
      </c>
      <c r="CM325" s="253">
        <f t="shared" si="475"/>
        <v>4.8487499999999999</v>
      </c>
      <c r="CN325" s="253" cm="1">
        <f t="array" ref="CN325">$BC325 * IF($AD325&lt;=2,
SUMPRODUCT(INDEX($AL$62:$AN$66,,$AE325), INDEX($AO$62:$AU$66,,$AD325), 1 / ($AV$62:$AV$66*CM325 + (1-$AV$62:$AV$66)*CI325), N($AK$62:$AK$66&gt;$AI325)),
SUMPRODUCT(INDEX($AL$47:$AN$56,,$AE325), INDEX($AO$47:$AU$56,,$AD325), 1 / ($AW$47:$AW$56*CM325 + (1-$AW$47:$AW$56)*CI325), N($AK$47:$AK$56&gt;$AI325))
) / 1000</f>
        <v>0</v>
      </c>
      <c r="CO325" s="253" cm="1">
        <f t="array" ref="CO325">$BC325 * IF($AD325&lt;=2,
SUMPRODUCT(INDEX($AL$23:$AN$61,,$AE325), INDEX($AO$23:$AU$61,,$AD325), 1 / ($AV$23:$AV$61*CM325), N($AK$23:$AK$61&gt;$AI325)),
SUMPRODUCT(INDEX($AL$23:$AN$46,,$AE325), INDEX($AO$23:$AU$46,,$AD325), 1 / ($AW$23:$AW$46*CM325), N($AK$23:$AK$46&gt;$AI325))
) / 1000</f>
        <v>0</v>
      </c>
      <c r="CP325" s="237">
        <f t="shared" si="476"/>
        <v>0</v>
      </c>
      <c r="CQ325" s="210"/>
    </row>
    <row r="326" spans="1:95" s="76" customFormat="1" ht="14.25" customHeight="1" x14ac:dyDescent="0.2">
      <c r="A326" s="238" t="b">
        <f t="shared" si="227"/>
        <v>0</v>
      </c>
      <c r="B326" s="239">
        <v>304</v>
      </c>
      <c r="C326" s="258"/>
      <c r="D326" s="258"/>
      <c r="E326" s="240"/>
      <c r="F326" s="241" t="str">
        <f>IF(ISBLANK(E326), "", VLOOKUP(E326, Z!$A$2:$C$4127, 3, FALSE))</f>
        <v/>
      </c>
      <c r="G326" s="242"/>
      <c r="H326" s="242"/>
      <c r="I326" s="243"/>
      <c r="J326" s="244"/>
      <c r="K326" s="259"/>
      <c r="L326" s="260"/>
      <c r="M326" s="247" t="str" cm="1">
        <f t="array" ref="M326">IF($K326&gt;0, INDEX(Clean,1+AG326,$C$1), "")</f>
        <v/>
      </c>
      <c r="N326" s="245"/>
      <c r="O326" s="245"/>
      <c r="P326" s="246"/>
      <c r="Q326" s="248">
        <f t="shared" si="453"/>
        <v>0</v>
      </c>
      <c r="R326" s="247" t="str" cm="1">
        <f t="array" ref="R326">IF($K326&gt;0, INDEX(Clean,1+AH326,$C$1), "")</f>
        <v/>
      </c>
      <c r="S326" s="245"/>
      <c r="T326" s="245"/>
      <c r="U326" s="246"/>
      <c r="V326" s="248">
        <f t="shared" si="454"/>
        <v>0</v>
      </c>
      <c r="W326" s="261"/>
      <c r="X326" s="258"/>
      <c r="Y326" s="240"/>
      <c r="Z326" s="241" t="str">
        <f>IF(ISBLANK(Y326), "", VLOOKUP(Y326, Z!$A$2:$C$4127, 3, FALSE))</f>
        <v/>
      </c>
      <c r="AA326" s="262"/>
      <c r="AB326" s="249">
        <f t="shared" si="452"/>
        <v>0</v>
      </c>
      <c r="AC326" s="210"/>
      <c r="AD326" s="236">
        <f t="shared" si="477"/>
        <v>1</v>
      </c>
      <c r="AE326" s="236">
        <f t="shared" si="478"/>
        <v>1</v>
      </c>
      <c r="AF326" s="236">
        <f t="shared" si="479"/>
        <v>0</v>
      </c>
      <c r="AG326" s="236">
        <v>1</v>
      </c>
      <c r="AH326" s="236">
        <v>0</v>
      </c>
      <c r="AI326" s="236">
        <f t="shared" si="455"/>
        <v>-100</v>
      </c>
      <c r="AJ326" s="210"/>
      <c r="AK326" s="254"/>
      <c r="AL326" s="254"/>
      <c r="AM326" s="255"/>
      <c r="AN326" s="255"/>
      <c r="AO326" s="255"/>
      <c r="AP326" s="255"/>
      <c r="AQ326" s="255"/>
      <c r="AR326" s="255"/>
      <c r="AS326" s="255"/>
      <c r="AT326" s="255"/>
      <c r="AU326" s="255"/>
      <c r="AV326" s="255"/>
      <c r="AW326" s="255"/>
      <c r="AX326" s="210"/>
      <c r="AY326" s="236" cm="1">
        <f t="array" ref="AY326">INDEX(Use, $AD326, 4)</f>
        <v>7</v>
      </c>
      <c r="AZ326" s="236">
        <f t="shared" si="456"/>
        <v>32</v>
      </c>
      <c r="BA326" s="236">
        <f t="shared" si="239"/>
        <v>13</v>
      </c>
      <c r="BB326" s="236">
        <f t="shared" si="240"/>
        <v>0</v>
      </c>
      <c r="BC326" s="252" cm="1">
        <f t="array" ref="BC326">K326/IF($L326&gt;0, INDEX($AO$23:$AU$77, $L326+20, $AD326), 1)</f>
        <v>0</v>
      </c>
      <c r="BD326" s="237">
        <f t="shared" si="457"/>
        <v>0</v>
      </c>
      <c r="BE326" s="236">
        <v>35</v>
      </c>
      <c r="BF326" s="237">
        <f t="shared" si="458"/>
        <v>52.55</v>
      </c>
      <c r="BG326" s="253">
        <f t="shared" si="459"/>
        <v>2.7676728869374316</v>
      </c>
      <c r="BH326" s="253" cm="1">
        <f t="array" ref="BH326">$BC326 * SUMPRODUCT(INDEX($AL$77:$AN$82,,$AE326),INDEX($AO$77:$AU$82,,$AD326), N($AK$77:$AK$82&gt;$AI326)) / BG326 / 1000</f>
        <v>0</v>
      </c>
      <c r="BI326" s="250">
        <f t="shared" si="244"/>
        <v>30</v>
      </c>
      <c r="BJ326" s="237">
        <f t="shared" si="460"/>
        <v>46.033333333333331</v>
      </c>
      <c r="BK326" s="253">
        <f t="shared" si="461"/>
        <v>3.2297395388556791</v>
      </c>
      <c r="BL326" s="253" cm="1">
        <f t="array" ref="BL326">$BC326 * IF($AD326&lt;=2,
SUMPRODUCT(INDEX($AL$72:$AN$76,,$AE326), INDEX($AO$72:$AU$76,,$AD326), 1 / ($AV$72:$AV$76*BK326 + (1-$AV$72:$AV$76)*BG326), N($AK$72:$AK$76&gt;$AI326)),
SUMPRODUCT(INDEX($AL$67:$AN$76,,$AE326), INDEX($AO$67:$AU$76,,$AD326), 1 / ($AW$67:$AW$76*BK326 + (1-$AW$67:$AW$76)*BG326), N($AK$67:$AK$76&gt;$AI326))
) / 1000</f>
        <v>0</v>
      </c>
      <c r="BM326" s="250">
        <f t="shared" si="247"/>
        <v>25</v>
      </c>
      <c r="BN326" s="237">
        <f t="shared" si="462"/>
        <v>39.516666666666666</v>
      </c>
      <c r="BO326" s="253">
        <f t="shared" si="463"/>
        <v>3.877011788826243</v>
      </c>
      <c r="BP326" s="253" cm="1">
        <f t="array" ref="BP326">$BC326 * IF($AD326&lt;=2,
SUMPRODUCT(INDEX($AL$67:$AN$71,,$AE326), INDEX($AO$67:$AU$71,,$AD326), 1 / ($AV$67:$AV$71*BO326 + (1-$AV$67:$AV$71)*BK326), N($AK$67:$AK$71&gt;$AI326)),
SUMPRODUCT(INDEX($AL$57:$AN$66,,$AE326), INDEX($AO$57:$AU$66,,$AD326), 1 / ($AW$57:$AW$66*BO326 + (1-$AW$57:$AW$66)*BK326), N($AK$57:$AK$66&gt;$AI326))
) / 1000</f>
        <v>0</v>
      </c>
      <c r="BQ326" s="250">
        <f t="shared" si="250"/>
        <v>20</v>
      </c>
      <c r="BR326" s="237">
        <f t="shared" si="464"/>
        <v>33</v>
      </c>
      <c r="BS326" s="253">
        <f t="shared" si="465"/>
        <v>4.8487499999999999</v>
      </c>
      <c r="BT326" s="253" cm="1">
        <f t="array" ref="BT326">$BC326 * IF($AD326&lt;=2,
SUMPRODUCT(INDEX($AL$62:$AN$66,,$AE326), INDEX($AO$62:$AU$66,,$AD326), 1 / ($AV$62:$AV$66*BS326 + (1-$AV$62:$AV$66)*BO326), N($AK$62:$AK$66&gt;$AI326)),
SUMPRODUCT(INDEX($AL$47:$AN$56,,$AE326), INDEX($AO$47:$AU$56,,$AD326), 1 / ($AW$47:$AW$56*BS326 + (1-$AW$47:$AW$56)*BO326), N($AK$47:$AK$56&gt;$AI326))
) / 1000</f>
        <v>0</v>
      </c>
      <c r="BU326" s="253" cm="1">
        <f t="array" ref="BU326">$BC326 * IF($AD326&lt;=2,
SUMPRODUCT(INDEX($AL$23:$AN$61,,$AE326), INDEX($AO$23:$AU$61,,$AD326), 1 / ($AV$23:$AV$61*BS326), N($AK$23:$AK$61&gt;$AI326)),
SUMPRODUCT(INDEX($AL$23:$AN$46,,$AE326), INDEX($AO$23:$AU$46,,$AD326), 1 / ($AW$23:$AW$46*BS326), N($AK$23:$AK$46&gt;$AI326))
) / 1000</f>
        <v>0</v>
      </c>
      <c r="BV326" s="237">
        <f t="shared" si="466"/>
        <v>0</v>
      </c>
      <c r="BW326" s="210"/>
      <c r="BX326" s="237">
        <f t="shared" si="467"/>
        <v>0</v>
      </c>
      <c r="BY326" s="236">
        <v>35</v>
      </c>
      <c r="BZ326" s="237">
        <f t="shared" si="468"/>
        <v>48</v>
      </c>
      <c r="CA326" s="253">
        <f t="shared" si="469"/>
        <v>3.0748170731707316</v>
      </c>
      <c r="CB326" s="253" cm="1">
        <f t="array" ref="CB326">$BC326 * SUMPRODUCT(INDEX($AL$77:$AN$82,,$AE326),INDEX($AO$77:$AU$82,,$AD326), N($AK$77:$AK$82&gt;$AI326)) / CA326 / 1000</f>
        <v>0</v>
      </c>
      <c r="CC326" s="250">
        <f t="shared" si="257"/>
        <v>30</v>
      </c>
      <c r="CD326" s="237">
        <f t="shared" si="470"/>
        <v>43</v>
      </c>
      <c r="CE326" s="253">
        <f t="shared" si="471"/>
        <v>3.5018750000000001</v>
      </c>
      <c r="CF326" s="253" cm="1">
        <f t="array" ref="CF326">$BC326 * IF($AD326&lt;=2,
SUMPRODUCT(INDEX($AL$72:$AN$76,,$AE326), INDEX($AO$72:$AU$76,,$AD326), 1 / ($AV$72:$AV$76*CE326 + (1-$AV$72:$AV$76)*CA326), N($AK$72:$AK$76&gt;$AI326)),
SUMPRODUCT(INDEX($AL$67:$AN$76,,$AE326), INDEX($AO$67:$AU$76,,$AD326), 1 / ($AW$67:$AW$76*CE326 + (1-$AW$67:$AW$76)*CA326), N($AK$67:$AK$76&gt;$AI326))
) / 1000</f>
        <v>0</v>
      </c>
      <c r="CG326" s="250">
        <f t="shared" si="260"/>
        <v>25</v>
      </c>
      <c r="CH326" s="237">
        <f t="shared" si="472"/>
        <v>38</v>
      </c>
      <c r="CI326" s="253">
        <f t="shared" si="473"/>
        <v>4.0666935483870965</v>
      </c>
      <c r="CJ326" s="253" cm="1">
        <f t="array" ref="CJ326">$BC326 * IF($AD326&lt;=2,
SUMPRODUCT(INDEX($AL$67:$AN$71,,$AE326), INDEX($AO$67:$AU$71,,$AD326), 1 / ($AV$67:$AV$71*CI326 + (1-$AV$67:$AV$71)*CE326), N($AK$67:$AK$71&gt;$AI326)),
SUMPRODUCT(INDEX($AL$57:$AN$66,,$AE326), INDEX($AO$57:$AU$66,,$AD326), 1 / ($AW$57:$AW$66*CI326 + (1-$AW$57:$AW$66)*CE326), N($AK$57:$AK$66&gt;$AI326))
) / 1000</f>
        <v>0</v>
      </c>
      <c r="CK326" s="250">
        <f t="shared" si="263"/>
        <v>20</v>
      </c>
      <c r="CL326" s="237">
        <f t="shared" si="474"/>
        <v>33</v>
      </c>
      <c r="CM326" s="253">
        <f t="shared" si="475"/>
        <v>4.8487499999999999</v>
      </c>
      <c r="CN326" s="253" cm="1">
        <f t="array" ref="CN326">$BC326 * IF($AD326&lt;=2,
SUMPRODUCT(INDEX($AL$62:$AN$66,,$AE326), INDEX($AO$62:$AU$66,,$AD326), 1 / ($AV$62:$AV$66*CM326 + (1-$AV$62:$AV$66)*CI326), N($AK$62:$AK$66&gt;$AI326)),
SUMPRODUCT(INDEX($AL$47:$AN$56,,$AE326), INDEX($AO$47:$AU$56,,$AD326), 1 / ($AW$47:$AW$56*CM326 + (1-$AW$47:$AW$56)*CI326), N($AK$47:$AK$56&gt;$AI326))
) / 1000</f>
        <v>0</v>
      </c>
      <c r="CO326" s="253" cm="1">
        <f t="array" ref="CO326">$BC326 * IF($AD326&lt;=2,
SUMPRODUCT(INDEX($AL$23:$AN$61,,$AE326), INDEX($AO$23:$AU$61,,$AD326), 1 / ($AV$23:$AV$61*CM326), N($AK$23:$AK$61&gt;$AI326)),
SUMPRODUCT(INDEX($AL$23:$AN$46,,$AE326), INDEX($AO$23:$AU$46,,$AD326), 1 / ($AW$23:$AW$46*CM326), N($AK$23:$AK$46&gt;$AI326))
) / 1000</f>
        <v>0</v>
      </c>
      <c r="CP326" s="237">
        <f t="shared" si="476"/>
        <v>0</v>
      </c>
      <c r="CQ326" s="210"/>
    </row>
    <row r="327" spans="1:95" s="76" customFormat="1" ht="14.25" customHeight="1" x14ac:dyDescent="0.2">
      <c r="A327" s="238" t="b">
        <f t="shared" si="227"/>
        <v>0</v>
      </c>
      <c r="B327" s="239">
        <v>305</v>
      </c>
      <c r="C327" s="258"/>
      <c r="D327" s="258"/>
      <c r="E327" s="240"/>
      <c r="F327" s="241" t="str">
        <f>IF(ISBLANK(E327), "", VLOOKUP(E327, Z!$A$2:$C$4127, 3, FALSE))</f>
        <v/>
      </c>
      <c r="G327" s="242"/>
      <c r="H327" s="242"/>
      <c r="I327" s="243"/>
      <c r="J327" s="244"/>
      <c r="K327" s="259"/>
      <c r="L327" s="260"/>
      <c r="M327" s="247" t="str" cm="1">
        <f t="array" ref="M327">IF($K327&gt;0, INDEX(Clean,1+AG327,$C$1), "")</f>
        <v/>
      </c>
      <c r="N327" s="245"/>
      <c r="O327" s="245"/>
      <c r="P327" s="246"/>
      <c r="Q327" s="248">
        <f t="shared" si="453"/>
        <v>0</v>
      </c>
      <c r="R327" s="247" t="str" cm="1">
        <f t="array" ref="R327">IF($K327&gt;0, INDEX(Clean,1+AH327,$C$1), "")</f>
        <v/>
      </c>
      <c r="S327" s="245"/>
      <c r="T327" s="245"/>
      <c r="U327" s="246"/>
      <c r="V327" s="248">
        <f t="shared" si="454"/>
        <v>0</v>
      </c>
      <c r="W327" s="261"/>
      <c r="X327" s="258"/>
      <c r="Y327" s="240"/>
      <c r="Z327" s="241" t="str">
        <f>IF(ISBLANK(Y327), "", VLOOKUP(Y327, Z!$A$2:$C$4127, 3, FALSE))</f>
        <v/>
      </c>
      <c r="AA327" s="262"/>
      <c r="AB327" s="249">
        <f t="shared" si="452"/>
        <v>0</v>
      </c>
      <c r="AC327" s="210"/>
      <c r="AD327" s="236">
        <f t="shared" si="477"/>
        <v>1</v>
      </c>
      <c r="AE327" s="236">
        <f t="shared" si="478"/>
        <v>1</v>
      </c>
      <c r="AF327" s="236">
        <f t="shared" si="479"/>
        <v>0</v>
      </c>
      <c r="AG327" s="236">
        <v>1</v>
      </c>
      <c r="AH327" s="236">
        <v>0</v>
      </c>
      <c r="AI327" s="236">
        <f t="shared" si="455"/>
        <v>-100</v>
      </c>
      <c r="AJ327" s="210"/>
      <c r="AK327" s="254"/>
      <c r="AL327" s="254"/>
      <c r="AM327" s="255"/>
      <c r="AN327" s="255"/>
      <c r="AO327" s="255"/>
      <c r="AP327" s="255"/>
      <c r="AQ327" s="255"/>
      <c r="AR327" s="255"/>
      <c r="AS327" s="255"/>
      <c r="AT327" s="255"/>
      <c r="AU327" s="255"/>
      <c r="AV327" s="255"/>
      <c r="AW327" s="255"/>
      <c r="AX327" s="210"/>
      <c r="AY327" s="236" cm="1">
        <f t="array" ref="AY327">INDEX(Use, $AD327, 4)</f>
        <v>7</v>
      </c>
      <c r="AZ327" s="236">
        <f t="shared" si="456"/>
        <v>32</v>
      </c>
      <c r="BA327" s="236">
        <f t="shared" si="239"/>
        <v>13</v>
      </c>
      <c r="BB327" s="236">
        <f t="shared" si="240"/>
        <v>0</v>
      </c>
      <c r="BC327" s="252" cm="1">
        <f t="array" ref="BC327">K327/IF($L327&gt;0, INDEX($AO$23:$AU$77, $L327+20, $AD327), 1)</f>
        <v>0</v>
      </c>
      <c r="BD327" s="237">
        <f t="shared" si="457"/>
        <v>0</v>
      </c>
      <c r="BE327" s="236">
        <v>35</v>
      </c>
      <c r="BF327" s="237">
        <f t="shared" si="458"/>
        <v>52.55</v>
      </c>
      <c r="BG327" s="253">
        <f t="shared" si="459"/>
        <v>2.7676728869374316</v>
      </c>
      <c r="BH327" s="253" cm="1">
        <f t="array" ref="BH327">$BC327 * SUMPRODUCT(INDEX($AL$77:$AN$82,,$AE327),INDEX($AO$77:$AU$82,,$AD327), N($AK$77:$AK$82&gt;$AI327)) / BG327 / 1000</f>
        <v>0</v>
      </c>
      <c r="BI327" s="250">
        <f t="shared" si="244"/>
        <v>30</v>
      </c>
      <c r="BJ327" s="237">
        <f t="shared" si="460"/>
        <v>46.033333333333331</v>
      </c>
      <c r="BK327" s="253">
        <f t="shared" si="461"/>
        <v>3.2297395388556791</v>
      </c>
      <c r="BL327" s="253" cm="1">
        <f t="array" ref="BL327">$BC327 * IF($AD327&lt;=2,
SUMPRODUCT(INDEX($AL$72:$AN$76,,$AE327), INDEX($AO$72:$AU$76,,$AD327), 1 / ($AV$72:$AV$76*BK327 + (1-$AV$72:$AV$76)*BG327), N($AK$72:$AK$76&gt;$AI327)),
SUMPRODUCT(INDEX($AL$67:$AN$76,,$AE327), INDEX($AO$67:$AU$76,,$AD327), 1 / ($AW$67:$AW$76*BK327 + (1-$AW$67:$AW$76)*BG327), N($AK$67:$AK$76&gt;$AI327))
) / 1000</f>
        <v>0</v>
      </c>
      <c r="BM327" s="250">
        <f t="shared" si="247"/>
        <v>25</v>
      </c>
      <c r="BN327" s="237">
        <f t="shared" si="462"/>
        <v>39.516666666666666</v>
      </c>
      <c r="BO327" s="253">
        <f t="shared" si="463"/>
        <v>3.877011788826243</v>
      </c>
      <c r="BP327" s="253" cm="1">
        <f t="array" ref="BP327">$BC327 * IF($AD327&lt;=2,
SUMPRODUCT(INDEX($AL$67:$AN$71,,$AE327), INDEX($AO$67:$AU$71,,$AD327), 1 / ($AV$67:$AV$71*BO327 + (1-$AV$67:$AV$71)*BK327), N($AK$67:$AK$71&gt;$AI327)),
SUMPRODUCT(INDEX($AL$57:$AN$66,,$AE327), INDEX($AO$57:$AU$66,,$AD327), 1 / ($AW$57:$AW$66*BO327 + (1-$AW$57:$AW$66)*BK327), N($AK$57:$AK$66&gt;$AI327))
) / 1000</f>
        <v>0</v>
      </c>
      <c r="BQ327" s="250">
        <f t="shared" si="250"/>
        <v>20</v>
      </c>
      <c r="BR327" s="237">
        <f t="shared" si="464"/>
        <v>33</v>
      </c>
      <c r="BS327" s="253">
        <f t="shared" si="465"/>
        <v>4.8487499999999999</v>
      </c>
      <c r="BT327" s="253" cm="1">
        <f t="array" ref="BT327">$BC327 * IF($AD327&lt;=2,
SUMPRODUCT(INDEX($AL$62:$AN$66,,$AE327), INDEX($AO$62:$AU$66,,$AD327), 1 / ($AV$62:$AV$66*BS327 + (1-$AV$62:$AV$66)*BO327), N($AK$62:$AK$66&gt;$AI327)),
SUMPRODUCT(INDEX($AL$47:$AN$56,,$AE327), INDEX($AO$47:$AU$56,,$AD327), 1 / ($AW$47:$AW$56*BS327 + (1-$AW$47:$AW$56)*BO327), N($AK$47:$AK$56&gt;$AI327))
) / 1000</f>
        <v>0</v>
      </c>
      <c r="BU327" s="253" cm="1">
        <f t="array" ref="BU327">$BC327 * IF($AD327&lt;=2,
SUMPRODUCT(INDEX($AL$23:$AN$61,,$AE327), INDEX($AO$23:$AU$61,,$AD327), 1 / ($AV$23:$AV$61*BS327), N($AK$23:$AK$61&gt;$AI327)),
SUMPRODUCT(INDEX($AL$23:$AN$46,,$AE327), INDEX($AO$23:$AU$46,,$AD327), 1 / ($AW$23:$AW$46*BS327), N($AK$23:$AK$46&gt;$AI327))
) / 1000</f>
        <v>0</v>
      </c>
      <c r="BV327" s="237">
        <f t="shared" si="466"/>
        <v>0</v>
      </c>
      <c r="BW327" s="210"/>
      <c r="BX327" s="237">
        <f t="shared" si="467"/>
        <v>0</v>
      </c>
      <c r="BY327" s="236">
        <v>35</v>
      </c>
      <c r="BZ327" s="237">
        <f t="shared" si="468"/>
        <v>48</v>
      </c>
      <c r="CA327" s="253">
        <f t="shared" si="469"/>
        <v>3.0748170731707316</v>
      </c>
      <c r="CB327" s="253" cm="1">
        <f t="array" ref="CB327">$BC327 * SUMPRODUCT(INDEX($AL$77:$AN$82,,$AE327),INDEX($AO$77:$AU$82,,$AD327), N($AK$77:$AK$82&gt;$AI327)) / CA327 / 1000</f>
        <v>0</v>
      </c>
      <c r="CC327" s="250">
        <f t="shared" si="257"/>
        <v>30</v>
      </c>
      <c r="CD327" s="237">
        <f t="shared" si="470"/>
        <v>43</v>
      </c>
      <c r="CE327" s="253">
        <f t="shared" si="471"/>
        <v>3.5018750000000001</v>
      </c>
      <c r="CF327" s="253" cm="1">
        <f t="array" ref="CF327">$BC327 * IF($AD327&lt;=2,
SUMPRODUCT(INDEX($AL$72:$AN$76,,$AE327), INDEX($AO$72:$AU$76,,$AD327), 1 / ($AV$72:$AV$76*CE327 + (1-$AV$72:$AV$76)*CA327), N($AK$72:$AK$76&gt;$AI327)),
SUMPRODUCT(INDEX($AL$67:$AN$76,,$AE327), INDEX($AO$67:$AU$76,,$AD327), 1 / ($AW$67:$AW$76*CE327 + (1-$AW$67:$AW$76)*CA327), N($AK$67:$AK$76&gt;$AI327))
) / 1000</f>
        <v>0</v>
      </c>
      <c r="CG327" s="250">
        <f t="shared" si="260"/>
        <v>25</v>
      </c>
      <c r="CH327" s="237">
        <f t="shared" si="472"/>
        <v>38</v>
      </c>
      <c r="CI327" s="253">
        <f t="shared" si="473"/>
        <v>4.0666935483870965</v>
      </c>
      <c r="CJ327" s="253" cm="1">
        <f t="array" ref="CJ327">$BC327 * IF($AD327&lt;=2,
SUMPRODUCT(INDEX($AL$67:$AN$71,,$AE327), INDEX($AO$67:$AU$71,,$AD327), 1 / ($AV$67:$AV$71*CI327 + (1-$AV$67:$AV$71)*CE327), N($AK$67:$AK$71&gt;$AI327)),
SUMPRODUCT(INDEX($AL$57:$AN$66,,$AE327), INDEX($AO$57:$AU$66,,$AD327), 1 / ($AW$57:$AW$66*CI327 + (1-$AW$57:$AW$66)*CE327), N($AK$57:$AK$66&gt;$AI327))
) / 1000</f>
        <v>0</v>
      </c>
      <c r="CK327" s="250">
        <f t="shared" si="263"/>
        <v>20</v>
      </c>
      <c r="CL327" s="237">
        <f t="shared" si="474"/>
        <v>33</v>
      </c>
      <c r="CM327" s="253">
        <f t="shared" si="475"/>
        <v>4.8487499999999999</v>
      </c>
      <c r="CN327" s="253" cm="1">
        <f t="array" ref="CN327">$BC327 * IF($AD327&lt;=2,
SUMPRODUCT(INDEX($AL$62:$AN$66,,$AE327), INDEX($AO$62:$AU$66,,$AD327), 1 / ($AV$62:$AV$66*CM327 + (1-$AV$62:$AV$66)*CI327), N($AK$62:$AK$66&gt;$AI327)),
SUMPRODUCT(INDEX($AL$47:$AN$56,,$AE327), INDEX($AO$47:$AU$56,,$AD327), 1 / ($AW$47:$AW$56*CM327 + (1-$AW$47:$AW$56)*CI327), N($AK$47:$AK$56&gt;$AI327))
) / 1000</f>
        <v>0</v>
      </c>
      <c r="CO327" s="253" cm="1">
        <f t="array" ref="CO327">$BC327 * IF($AD327&lt;=2,
SUMPRODUCT(INDEX($AL$23:$AN$61,,$AE327), INDEX($AO$23:$AU$61,,$AD327), 1 / ($AV$23:$AV$61*CM327), N($AK$23:$AK$61&gt;$AI327)),
SUMPRODUCT(INDEX($AL$23:$AN$46,,$AE327), INDEX($AO$23:$AU$46,,$AD327), 1 / ($AW$23:$AW$46*CM327), N($AK$23:$AK$46&gt;$AI327))
) / 1000</f>
        <v>0</v>
      </c>
      <c r="CP327" s="237">
        <f t="shared" si="476"/>
        <v>0</v>
      </c>
      <c r="CQ327" s="210"/>
    </row>
    <row r="328" spans="1:95" s="76" customFormat="1" ht="14.25" customHeight="1" x14ac:dyDescent="0.2">
      <c r="A328" s="238" t="b">
        <f t="shared" si="227"/>
        <v>0</v>
      </c>
      <c r="B328" s="239">
        <v>306</v>
      </c>
      <c r="C328" s="258"/>
      <c r="D328" s="258"/>
      <c r="E328" s="240"/>
      <c r="F328" s="241" t="str">
        <f>IF(ISBLANK(E328), "", VLOOKUP(E328, Z!$A$2:$C$4127, 3, FALSE))</f>
        <v/>
      </c>
      <c r="G328" s="242"/>
      <c r="H328" s="242"/>
      <c r="I328" s="243"/>
      <c r="J328" s="244"/>
      <c r="K328" s="259"/>
      <c r="L328" s="260"/>
      <c r="M328" s="247" t="str" cm="1">
        <f t="array" ref="M328">IF($K328&gt;0, INDEX(Clean,1+AG328,$C$1), "")</f>
        <v/>
      </c>
      <c r="N328" s="245"/>
      <c r="O328" s="245"/>
      <c r="P328" s="246"/>
      <c r="Q328" s="248">
        <f t="shared" si="453"/>
        <v>0</v>
      </c>
      <c r="R328" s="247" t="str" cm="1">
        <f t="array" ref="R328">IF($K328&gt;0, INDEX(Clean,1+AH328,$C$1), "")</f>
        <v/>
      </c>
      <c r="S328" s="245"/>
      <c r="T328" s="245"/>
      <c r="U328" s="246"/>
      <c r="V328" s="248">
        <f t="shared" si="454"/>
        <v>0</v>
      </c>
      <c r="W328" s="261"/>
      <c r="X328" s="258"/>
      <c r="Y328" s="240"/>
      <c r="Z328" s="241" t="str">
        <f>IF(ISBLANK(Y328), "", VLOOKUP(Y328, Z!$A$2:$C$4127, 3, FALSE))</f>
        <v/>
      </c>
      <c r="AA328" s="262"/>
      <c r="AB328" s="249">
        <f t="shared" si="452"/>
        <v>0</v>
      </c>
      <c r="AC328" s="210"/>
      <c r="AD328" s="236">
        <f t="shared" si="477"/>
        <v>1</v>
      </c>
      <c r="AE328" s="236">
        <f t="shared" si="478"/>
        <v>1</v>
      </c>
      <c r="AF328" s="236">
        <f t="shared" si="479"/>
        <v>0</v>
      </c>
      <c r="AG328" s="236">
        <v>1</v>
      </c>
      <c r="AH328" s="236">
        <v>0</v>
      </c>
      <c r="AI328" s="236">
        <f t="shared" si="455"/>
        <v>-100</v>
      </c>
      <c r="AJ328" s="210"/>
      <c r="AK328" s="254"/>
      <c r="AL328" s="254"/>
      <c r="AM328" s="255"/>
      <c r="AN328" s="255"/>
      <c r="AO328" s="255"/>
      <c r="AP328" s="255"/>
      <c r="AQ328" s="255"/>
      <c r="AR328" s="255"/>
      <c r="AS328" s="255"/>
      <c r="AT328" s="255"/>
      <c r="AU328" s="255"/>
      <c r="AV328" s="255"/>
      <c r="AW328" s="255"/>
      <c r="AX328" s="210"/>
      <c r="AY328" s="236" cm="1">
        <f t="array" ref="AY328">INDEX(Use, $AD328, 4)</f>
        <v>7</v>
      </c>
      <c r="AZ328" s="236">
        <f t="shared" si="456"/>
        <v>32</v>
      </c>
      <c r="BA328" s="236">
        <f t="shared" si="239"/>
        <v>13</v>
      </c>
      <c r="BB328" s="236">
        <f t="shared" si="240"/>
        <v>0</v>
      </c>
      <c r="BC328" s="252" cm="1">
        <f t="array" ref="BC328">K328/IF($L328&gt;0, INDEX($AO$23:$AU$77, $L328+20, $AD328), 1)</f>
        <v>0</v>
      </c>
      <c r="BD328" s="237">
        <f t="shared" si="457"/>
        <v>0</v>
      </c>
      <c r="BE328" s="236">
        <v>35</v>
      </c>
      <c r="BF328" s="237">
        <f t="shared" si="458"/>
        <v>52.55</v>
      </c>
      <c r="BG328" s="253">
        <f t="shared" si="459"/>
        <v>2.7676728869374316</v>
      </c>
      <c r="BH328" s="253" cm="1">
        <f t="array" ref="BH328">$BC328 * SUMPRODUCT(INDEX($AL$77:$AN$82,,$AE328),INDEX($AO$77:$AU$82,,$AD328), N($AK$77:$AK$82&gt;$AI328)) / BG328 / 1000</f>
        <v>0</v>
      </c>
      <c r="BI328" s="250">
        <f t="shared" si="244"/>
        <v>30</v>
      </c>
      <c r="BJ328" s="237">
        <f t="shared" si="460"/>
        <v>46.033333333333331</v>
      </c>
      <c r="BK328" s="253">
        <f t="shared" si="461"/>
        <v>3.2297395388556791</v>
      </c>
      <c r="BL328" s="253" cm="1">
        <f t="array" ref="BL328">$BC328 * IF($AD328&lt;=2,
SUMPRODUCT(INDEX($AL$72:$AN$76,,$AE328), INDEX($AO$72:$AU$76,,$AD328), 1 / ($AV$72:$AV$76*BK328 + (1-$AV$72:$AV$76)*BG328), N($AK$72:$AK$76&gt;$AI328)),
SUMPRODUCT(INDEX($AL$67:$AN$76,,$AE328), INDEX($AO$67:$AU$76,,$AD328), 1 / ($AW$67:$AW$76*BK328 + (1-$AW$67:$AW$76)*BG328), N($AK$67:$AK$76&gt;$AI328))
) / 1000</f>
        <v>0</v>
      </c>
      <c r="BM328" s="250">
        <f t="shared" si="247"/>
        <v>25</v>
      </c>
      <c r="BN328" s="237">
        <f t="shared" si="462"/>
        <v>39.516666666666666</v>
      </c>
      <c r="BO328" s="253">
        <f t="shared" si="463"/>
        <v>3.877011788826243</v>
      </c>
      <c r="BP328" s="253" cm="1">
        <f t="array" ref="BP328">$BC328 * IF($AD328&lt;=2,
SUMPRODUCT(INDEX($AL$67:$AN$71,,$AE328), INDEX($AO$67:$AU$71,,$AD328), 1 / ($AV$67:$AV$71*BO328 + (1-$AV$67:$AV$71)*BK328), N($AK$67:$AK$71&gt;$AI328)),
SUMPRODUCT(INDEX($AL$57:$AN$66,,$AE328), INDEX($AO$57:$AU$66,,$AD328), 1 / ($AW$57:$AW$66*BO328 + (1-$AW$57:$AW$66)*BK328), N($AK$57:$AK$66&gt;$AI328))
) / 1000</f>
        <v>0</v>
      </c>
      <c r="BQ328" s="250">
        <f t="shared" si="250"/>
        <v>20</v>
      </c>
      <c r="BR328" s="237">
        <f t="shared" si="464"/>
        <v>33</v>
      </c>
      <c r="BS328" s="253">
        <f t="shared" si="465"/>
        <v>4.8487499999999999</v>
      </c>
      <c r="BT328" s="253" cm="1">
        <f t="array" ref="BT328">$BC328 * IF($AD328&lt;=2,
SUMPRODUCT(INDEX($AL$62:$AN$66,,$AE328), INDEX($AO$62:$AU$66,,$AD328), 1 / ($AV$62:$AV$66*BS328 + (1-$AV$62:$AV$66)*BO328), N($AK$62:$AK$66&gt;$AI328)),
SUMPRODUCT(INDEX($AL$47:$AN$56,,$AE328), INDEX($AO$47:$AU$56,,$AD328), 1 / ($AW$47:$AW$56*BS328 + (1-$AW$47:$AW$56)*BO328), N($AK$47:$AK$56&gt;$AI328))
) / 1000</f>
        <v>0</v>
      </c>
      <c r="BU328" s="253" cm="1">
        <f t="array" ref="BU328">$BC328 * IF($AD328&lt;=2,
SUMPRODUCT(INDEX($AL$23:$AN$61,,$AE328), INDEX($AO$23:$AU$61,,$AD328), 1 / ($AV$23:$AV$61*BS328), N($AK$23:$AK$61&gt;$AI328)),
SUMPRODUCT(INDEX($AL$23:$AN$46,,$AE328), INDEX($AO$23:$AU$46,,$AD328), 1 / ($AW$23:$AW$46*BS328), N($AK$23:$AK$46&gt;$AI328))
) / 1000</f>
        <v>0</v>
      </c>
      <c r="BV328" s="237">
        <f t="shared" si="466"/>
        <v>0</v>
      </c>
      <c r="BW328" s="210"/>
      <c r="BX328" s="237">
        <f t="shared" si="467"/>
        <v>0</v>
      </c>
      <c r="BY328" s="236">
        <v>35</v>
      </c>
      <c r="BZ328" s="237">
        <f t="shared" si="468"/>
        <v>48</v>
      </c>
      <c r="CA328" s="253">
        <f t="shared" si="469"/>
        <v>3.0748170731707316</v>
      </c>
      <c r="CB328" s="253" cm="1">
        <f t="array" ref="CB328">$BC328 * SUMPRODUCT(INDEX($AL$77:$AN$82,,$AE328),INDEX($AO$77:$AU$82,,$AD328), N($AK$77:$AK$82&gt;$AI328)) / CA328 / 1000</f>
        <v>0</v>
      </c>
      <c r="CC328" s="250">
        <f t="shared" si="257"/>
        <v>30</v>
      </c>
      <c r="CD328" s="237">
        <f t="shared" si="470"/>
        <v>43</v>
      </c>
      <c r="CE328" s="253">
        <f t="shared" si="471"/>
        <v>3.5018750000000001</v>
      </c>
      <c r="CF328" s="253" cm="1">
        <f t="array" ref="CF328">$BC328 * IF($AD328&lt;=2,
SUMPRODUCT(INDEX($AL$72:$AN$76,,$AE328), INDEX($AO$72:$AU$76,,$AD328), 1 / ($AV$72:$AV$76*CE328 + (1-$AV$72:$AV$76)*CA328), N($AK$72:$AK$76&gt;$AI328)),
SUMPRODUCT(INDEX($AL$67:$AN$76,,$AE328), INDEX($AO$67:$AU$76,,$AD328), 1 / ($AW$67:$AW$76*CE328 + (1-$AW$67:$AW$76)*CA328), N($AK$67:$AK$76&gt;$AI328))
) / 1000</f>
        <v>0</v>
      </c>
      <c r="CG328" s="250">
        <f t="shared" si="260"/>
        <v>25</v>
      </c>
      <c r="CH328" s="237">
        <f t="shared" si="472"/>
        <v>38</v>
      </c>
      <c r="CI328" s="253">
        <f t="shared" si="473"/>
        <v>4.0666935483870965</v>
      </c>
      <c r="CJ328" s="253" cm="1">
        <f t="array" ref="CJ328">$BC328 * IF($AD328&lt;=2,
SUMPRODUCT(INDEX($AL$67:$AN$71,,$AE328), INDEX($AO$67:$AU$71,,$AD328), 1 / ($AV$67:$AV$71*CI328 + (1-$AV$67:$AV$71)*CE328), N($AK$67:$AK$71&gt;$AI328)),
SUMPRODUCT(INDEX($AL$57:$AN$66,,$AE328), INDEX($AO$57:$AU$66,,$AD328), 1 / ($AW$57:$AW$66*CI328 + (1-$AW$57:$AW$66)*CE328), N($AK$57:$AK$66&gt;$AI328))
) / 1000</f>
        <v>0</v>
      </c>
      <c r="CK328" s="250">
        <f t="shared" si="263"/>
        <v>20</v>
      </c>
      <c r="CL328" s="237">
        <f t="shared" si="474"/>
        <v>33</v>
      </c>
      <c r="CM328" s="253">
        <f t="shared" si="475"/>
        <v>4.8487499999999999</v>
      </c>
      <c r="CN328" s="253" cm="1">
        <f t="array" ref="CN328">$BC328 * IF($AD328&lt;=2,
SUMPRODUCT(INDEX($AL$62:$AN$66,,$AE328), INDEX($AO$62:$AU$66,,$AD328), 1 / ($AV$62:$AV$66*CM328 + (1-$AV$62:$AV$66)*CI328), N($AK$62:$AK$66&gt;$AI328)),
SUMPRODUCT(INDEX($AL$47:$AN$56,,$AE328), INDEX($AO$47:$AU$56,,$AD328), 1 / ($AW$47:$AW$56*CM328 + (1-$AW$47:$AW$56)*CI328), N($AK$47:$AK$56&gt;$AI328))
) / 1000</f>
        <v>0</v>
      </c>
      <c r="CO328" s="253" cm="1">
        <f t="array" ref="CO328">$BC328 * IF($AD328&lt;=2,
SUMPRODUCT(INDEX($AL$23:$AN$61,,$AE328), INDEX($AO$23:$AU$61,,$AD328), 1 / ($AV$23:$AV$61*CM328), N($AK$23:$AK$61&gt;$AI328)),
SUMPRODUCT(INDEX($AL$23:$AN$46,,$AE328), INDEX($AO$23:$AU$46,,$AD328), 1 / ($AW$23:$AW$46*CM328), N($AK$23:$AK$46&gt;$AI328))
) / 1000</f>
        <v>0</v>
      </c>
      <c r="CP328" s="237">
        <f t="shared" si="476"/>
        <v>0</v>
      </c>
      <c r="CQ328" s="210"/>
    </row>
    <row r="329" spans="1:95" s="76" customFormat="1" ht="14.25" customHeight="1" x14ac:dyDescent="0.2">
      <c r="A329" s="238" t="b">
        <f t="shared" si="227"/>
        <v>0</v>
      </c>
      <c r="B329" s="239">
        <v>307</v>
      </c>
      <c r="C329" s="258"/>
      <c r="D329" s="258"/>
      <c r="E329" s="240"/>
      <c r="F329" s="241" t="str">
        <f>IF(ISBLANK(E329), "", VLOOKUP(E329, Z!$A$2:$C$4127, 3, FALSE))</f>
        <v/>
      </c>
      <c r="G329" s="242"/>
      <c r="H329" s="242"/>
      <c r="I329" s="243"/>
      <c r="J329" s="244"/>
      <c r="K329" s="259"/>
      <c r="L329" s="260"/>
      <c r="M329" s="247" t="str" cm="1">
        <f t="array" ref="M329">IF($K329&gt;0, INDEX(Clean,1+AG329,$C$1), "")</f>
        <v/>
      </c>
      <c r="N329" s="245"/>
      <c r="O329" s="245"/>
      <c r="P329" s="246"/>
      <c r="Q329" s="248">
        <f t="shared" si="453"/>
        <v>0</v>
      </c>
      <c r="R329" s="247" t="str" cm="1">
        <f t="array" ref="R329">IF($K329&gt;0, INDEX(Clean,1+AH329,$C$1), "")</f>
        <v/>
      </c>
      <c r="S329" s="245"/>
      <c r="T329" s="245"/>
      <c r="U329" s="246"/>
      <c r="V329" s="248">
        <f t="shared" si="454"/>
        <v>0</v>
      </c>
      <c r="W329" s="261"/>
      <c r="X329" s="258"/>
      <c r="Y329" s="240"/>
      <c r="Z329" s="241" t="str">
        <f>IF(ISBLANK(Y329), "", VLOOKUP(Y329, Z!$A$2:$C$4127, 3, FALSE))</f>
        <v/>
      </c>
      <c r="AA329" s="262"/>
      <c r="AB329" s="249">
        <f t="shared" si="452"/>
        <v>0</v>
      </c>
      <c r="AC329" s="210"/>
      <c r="AD329" s="236">
        <f t="shared" si="477"/>
        <v>1</v>
      </c>
      <c r="AE329" s="236">
        <f t="shared" si="478"/>
        <v>1</v>
      </c>
      <c r="AF329" s="236">
        <f t="shared" si="479"/>
        <v>0</v>
      </c>
      <c r="AG329" s="236">
        <v>1</v>
      </c>
      <c r="AH329" s="236">
        <v>0</v>
      </c>
      <c r="AI329" s="236">
        <f t="shared" si="455"/>
        <v>-100</v>
      </c>
      <c r="AJ329" s="210"/>
      <c r="AK329" s="254"/>
      <c r="AL329" s="254"/>
      <c r="AM329" s="255"/>
      <c r="AN329" s="255"/>
      <c r="AO329" s="255"/>
      <c r="AP329" s="255"/>
      <c r="AQ329" s="255"/>
      <c r="AR329" s="255"/>
      <c r="AS329" s="255"/>
      <c r="AT329" s="255"/>
      <c r="AU329" s="255"/>
      <c r="AV329" s="255"/>
      <c r="AW329" s="255"/>
      <c r="AX329" s="210"/>
      <c r="AY329" s="236" cm="1">
        <f t="array" ref="AY329">INDEX(Use, $AD329, 4)</f>
        <v>7</v>
      </c>
      <c r="AZ329" s="236">
        <f t="shared" si="456"/>
        <v>32</v>
      </c>
      <c r="BA329" s="236">
        <f t="shared" si="239"/>
        <v>13</v>
      </c>
      <c r="BB329" s="236">
        <f t="shared" si="240"/>
        <v>0</v>
      </c>
      <c r="BC329" s="252" cm="1">
        <f t="array" ref="BC329">K329/IF($L329&gt;0, INDEX($AO$23:$AU$77, $L329+20, $AD329), 1)</f>
        <v>0</v>
      </c>
      <c r="BD329" s="237">
        <f t="shared" si="457"/>
        <v>0</v>
      </c>
      <c r="BE329" s="236">
        <v>35</v>
      </c>
      <c r="BF329" s="237">
        <f t="shared" si="458"/>
        <v>52.55</v>
      </c>
      <c r="BG329" s="253">
        <f t="shared" si="459"/>
        <v>2.7676728869374316</v>
      </c>
      <c r="BH329" s="253" cm="1">
        <f t="array" ref="BH329">$BC329 * SUMPRODUCT(INDEX($AL$77:$AN$82,,$AE329),INDEX($AO$77:$AU$82,,$AD329), N($AK$77:$AK$82&gt;$AI329)) / BG329 / 1000</f>
        <v>0</v>
      </c>
      <c r="BI329" s="250">
        <f t="shared" si="244"/>
        <v>30</v>
      </c>
      <c r="BJ329" s="237">
        <f t="shared" si="460"/>
        <v>46.033333333333331</v>
      </c>
      <c r="BK329" s="253">
        <f t="shared" si="461"/>
        <v>3.2297395388556791</v>
      </c>
      <c r="BL329" s="253" cm="1">
        <f t="array" ref="BL329">$BC329 * IF($AD329&lt;=2,
SUMPRODUCT(INDEX($AL$72:$AN$76,,$AE329), INDEX($AO$72:$AU$76,,$AD329), 1 / ($AV$72:$AV$76*BK329 + (1-$AV$72:$AV$76)*BG329), N($AK$72:$AK$76&gt;$AI329)),
SUMPRODUCT(INDEX($AL$67:$AN$76,,$AE329), INDEX($AO$67:$AU$76,,$AD329), 1 / ($AW$67:$AW$76*BK329 + (1-$AW$67:$AW$76)*BG329), N($AK$67:$AK$76&gt;$AI329))
) / 1000</f>
        <v>0</v>
      </c>
      <c r="BM329" s="250">
        <f t="shared" si="247"/>
        <v>25</v>
      </c>
      <c r="BN329" s="237">
        <f t="shared" si="462"/>
        <v>39.516666666666666</v>
      </c>
      <c r="BO329" s="253">
        <f t="shared" si="463"/>
        <v>3.877011788826243</v>
      </c>
      <c r="BP329" s="253" cm="1">
        <f t="array" ref="BP329">$BC329 * IF($AD329&lt;=2,
SUMPRODUCT(INDEX($AL$67:$AN$71,,$AE329), INDEX($AO$67:$AU$71,,$AD329), 1 / ($AV$67:$AV$71*BO329 + (1-$AV$67:$AV$71)*BK329), N($AK$67:$AK$71&gt;$AI329)),
SUMPRODUCT(INDEX($AL$57:$AN$66,,$AE329), INDEX($AO$57:$AU$66,,$AD329), 1 / ($AW$57:$AW$66*BO329 + (1-$AW$57:$AW$66)*BK329), N($AK$57:$AK$66&gt;$AI329))
) / 1000</f>
        <v>0</v>
      </c>
      <c r="BQ329" s="250">
        <f t="shared" si="250"/>
        <v>20</v>
      </c>
      <c r="BR329" s="237">
        <f t="shared" si="464"/>
        <v>33</v>
      </c>
      <c r="BS329" s="253">
        <f t="shared" si="465"/>
        <v>4.8487499999999999</v>
      </c>
      <c r="BT329" s="253" cm="1">
        <f t="array" ref="BT329">$BC329 * IF($AD329&lt;=2,
SUMPRODUCT(INDEX($AL$62:$AN$66,,$AE329), INDEX($AO$62:$AU$66,,$AD329), 1 / ($AV$62:$AV$66*BS329 + (1-$AV$62:$AV$66)*BO329), N($AK$62:$AK$66&gt;$AI329)),
SUMPRODUCT(INDEX($AL$47:$AN$56,,$AE329), INDEX($AO$47:$AU$56,,$AD329), 1 / ($AW$47:$AW$56*BS329 + (1-$AW$47:$AW$56)*BO329), N($AK$47:$AK$56&gt;$AI329))
) / 1000</f>
        <v>0</v>
      </c>
      <c r="BU329" s="253" cm="1">
        <f t="array" ref="BU329">$BC329 * IF($AD329&lt;=2,
SUMPRODUCT(INDEX($AL$23:$AN$61,,$AE329), INDEX($AO$23:$AU$61,,$AD329), 1 / ($AV$23:$AV$61*BS329), N($AK$23:$AK$61&gt;$AI329)),
SUMPRODUCT(INDEX($AL$23:$AN$46,,$AE329), INDEX($AO$23:$AU$46,,$AD329), 1 / ($AW$23:$AW$46*BS329), N($AK$23:$AK$46&gt;$AI329))
) / 1000</f>
        <v>0</v>
      </c>
      <c r="BV329" s="237">
        <f t="shared" si="466"/>
        <v>0</v>
      </c>
      <c r="BW329" s="210"/>
      <c r="BX329" s="237">
        <f t="shared" si="467"/>
        <v>0</v>
      </c>
      <c r="BY329" s="236">
        <v>35</v>
      </c>
      <c r="BZ329" s="237">
        <f t="shared" si="468"/>
        <v>48</v>
      </c>
      <c r="CA329" s="253">
        <f t="shared" si="469"/>
        <v>3.0748170731707316</v>
      </c>
      <c r="CB329" s="253" cm="1">
        <f t="array" ref="CB329">$BC329 * SUMPRODUCT(INDEX($AL$77:$AN$82,,$AE329),INDEX($AO$77:$AU$82,,$AD329), N($AK$77:$AK$82&gt;$AI329)) / CA329 / 1000</f>
        <v>0</v>
      </c>
      <c r="CC329" s="250">
        <f t="shared" si="257"/>
        <v>30</v>
      </c>
      <c r="CD329" s="237">
        <f t="shared" si="470"/>
        <v>43</v>
      </c>
      <c r="CE329" s="253">
        <f t="shared" si="471"/>
        <v>3.5018750000000001</v>
      </c>
      <c r="CF329" s="253" cm="1">
        <f t="array" ref="CF329">$BC329 * IF($AD329&lt;=2,
SUMPRODUCT(INDEX($AL$72:$AN$76,,$AE329), INDEX($AO$72:$AU$76,,$AD329), 1 / ($AV$72:$AV$76*CE329 + (1-$AV$72:$AV$76)*CA329), N($AK$72:$AK$76&gt;$AI329)),
SUMPRODUCT(INDEX($AL$67:$AN$76,,$AE329), INDEX($AO$67:$AU$76,,$AD329), 1 / ($AW$67:$AW$76*CE329 + (1-$AW$67:$AW$76)*CA329), N($AK$67:$AK$76&gt;$AI329))
) / 1000</f>
        <v>0</v>
      </c>
      <c r="CG329" s="250">
        <f t="shared" si="260"/>
        <v>25</v>
      </c>
      <c r="CH329" s="237">
        <f t="shared" si="472"/>
        <v>38</v>
      </c>
      <c r="CI329" s="253">
        <f t="shared" si="473"/>
        <v>4.0666935483870965</v>
      </c>
      <c r="CJ329" s="253" cm="1">
        <f t="array" ref="CJ329">$BC329 * IF($AD329&lt;=2,
SUMPRODUCT(INDEX($AL$67:$AN$71,,$AE329), INDEX($AO$67:$AU$71,,$AD329), 1 / ($AV$67:$AV$71*CI329 + (1-$AV$67:$AV$71)*CE329), N($AK$67:$AK$71&gt;$AI329)),
SUMPRODUCT(INDEX($AL$57:$AN$66,,$AE329), INDEX($AO$57:$AU$66,,$AD329), 1 / ($AW$57:$AW$66*CI329 + (1-$AW$57:$AW$66)*CE329), N($AK$57:$AK$66&gt;$AI329))
) / 1000</f>
        <v>0</v>
      </c>
      <c r="CK329" s="250">
        <f t="shared" si="263"/>
        <v>20</v>
      </c>
      <c r="CL329" s="237">
        <f t="shared" si="474"/>
        <v>33</v>
      </c>
      <c r="CM329" s="253">
        <f t="shared" si="475"/>
        <v>4.8487499999999999</v>
      </c>
      <c r="CN329" s="253" cm="1">
        <f t="array" ref="CN329">$BC329 * IF($AD329&lt;=2,
SUMPRODUCT(INDEX($AL$62:$AN$66,,$AE329), INDEX($AO$62:$AU$66,,$AD329), 1 / ($AV$62:$AV$66*CM329 + (1-$AV$62:$AV$66)*CI329), N($AK$62:$AK$66&gt;$AI329)),
SUMPRODUCT(INDEX($AL$47:$AN$56,,$AE329), INDEX($AO$47:$AU$56,,$AD329), 1 / ($AW$47:$AW$56*CM329 + (1-$AW$47:$AW$56)*CI329), N($AK$47:$AK$56&gt;$AI329))
) / 1000</f>
        <v>0</v>
      </c>
      <c r="CO329" s="253" cm="1">
        <f t="array" ref="CO329">$BC329 * IF($AD329&lt;=2,
SUMPRODUCT(INDEX($AL$23:$AN$61,,$AE329), INDEX($AO$23:$AU$61,,$AD329), 1 / ($AV$23:$AV$61*CM329), N($AK$23:$AK$61&gt;$AI329)),
SUMPRODUCT(INDEX($AL$23:$AN$46,,$AE329), INDEX($AO$23:$AU$46,,$AD329), 1 / ($AW$23:$AW$46*CM329), N($AK$23:$AK$46&gt;$AI329))
) / 1000</f>
        <v>0</v>
      </c>
      <c r="CP329" s="237">
        <f t="shared" si="476"/>
        <v>0</v>
      </c>
      <c r="CQ329" s="210"/>
    </row>
    <row r="330" spans="1:95" s="76" customFormat="1" ht="14.25" customHeight="1" x14ac:dyDescent="0.2">
      <c r="A330" s="238" t="b">
        <f t="shared" si="227"/>
        <v>0</v>
      </c>
      <c r="B330" s="239">
        <v>308</v>
      </c>
      <c r="C330" s="258"/>
      <c r="D330" s="258"/>
      <c r="E330" s="240"/>
      <c r="F330" s="241" t="str">
        <f>IF(ISBLANK(E330), "", VLOOKUP(E330, Z!$A$2:$C$4127, 3, FALSE))</f>
        <v/>
      </c>
      <c r="G330" s="242"/>
      <c r="H330" s="242"/>
      <c r="I330" s="243"/>
      <c r="J330" s="244"/>
      <c r="K330" s="259"/>
      <c r="L330" s="260"/>
      <c r="M330" s="247" t="str" cm="1">
        <f t="array" ref="M330">IF($K330&gt;0, INDEX(Clean,1+AG330,$C$1), "")</f>
        <v/>
      </c>
      <c r="N330" s="245"/>
      <c r="O330" s="245"/>
      <c r="P330" s="246"/>
      <c r="Q330" s="248">
        <f t="shared" si="453"/>
        <v>0</v>
      </c>
      <c r="R330" s="247" t="str" cm="1">
        <f t="array" ref="R330">IF($K330&gt;0, INDEX(Clean,1+AH330,$C$1), "")</f>
        <v/>
      </c>
      <c r="S330" s="245"/>
      <c r="T330" s="245"/>
      <c r="U330" s="246"/>
      <c r="V330" s="248">
        <f t="shared" si="454"/>
        <v>0</v>
      </c>
      <c r="W330" s="261"/>
      <c r="X330" s="258"/>
      <c r="Y330" s="240"/>
      <c r="Z330" s="241" t="str">
        <f>IF(ISBLANK(Y330), "", VLOOKUP(Y330, Z!$A$2:$C$4127, 3, FALSE))</f>
        <v/>
      </c>
      <c r="AA330" s="262"/>
      <c r="AB330" s="249">
        <f t="shared" si="452"/>
        <v>0</v>
      </c>
      <c r="AC330" s="210"/>
      <c r="AD330" s="236">
        <f t="shared" si="477"/>
        <v>1</v>
      </c>
      <c r="AE330" s="236">
        <f t="shared" si="478"/>
        <v>1</v>
      </c>
      <c r="AF330" s="236">
        <f t="shared" si="479"/>
        <v>0</v>
      </c>
      <c r="AG330" s="236">
        <v>1</v>
      </c>
      <c r="AH330" s="236">
        <v>0</v>
      </c>
      <c r="AI330" s="236">
        <f t="shared" si="455"/>
        <v>-100</v>
      </c>
      <c r="AJ330" s="210"/>
      <c r="AK330" s="254"/>
      <c r="AL330" s="254"/>
      <c r="AM330" s="255"/>
      <c r="AN330" s="255"/>
      <c r="AO330" s="255"/>
      <c r="AP330" s="255"/>
      <c r="AQ330" s="255"/>
      <c r="AR330" s="255"/>
      <c r="AS330" s="255"/>
      <c r="AT330" s="255"/>
      <c r="AU330" s="255"/>
      <c r="AV330" s="255"/>
      <c r="AW330" s="255"/>
      <c r="AX330" s="210"/>
      <c r="AY330" s="236" cm="1">
        <f t="array" ref="AY330">INDEX(Use, $AD330, 4)</f>
        <v>7</v>
      </c>
      <c r="AZ330" s="236">
        <f t="shared" si="456"/>
        <v>32</v>
      </c>
      <c r="BA330" s="236">
        <f t="shared" si="239"/>
        <v>13</v>
      </c>
      <c r="BB330" s="236">
        <f t="shared" si="240"/>
        <v>0</v>
      </c>
      <c r="BC330" s="252" cm="1">
        <f t="array" ref="BC330">K330/IF($L330&gt;0, INDEX($AO$23:$AU$77, $L330+20, $AD330), 1)</f>
        <v>0</v>
      </c>
      <c r="BD330" s="237">
        <f t="shared" si="457"/>
        <v>0</v>
      </c>
      <c r="BE330" s="236">
        <v>35</v>
      </c>
      <c r="BF330" s="237">
        <f t="shared" si="458"/>
        <v>52.55</v>
      </c>
      <c r="BG330" s="253">
        <f t="shared" si="459"/>
        <v>2.7676728869374316</v>
      </c>
      <c r="BH330" s="253" cm="1">
        <f t="array" ref="BH330">$BC330 * SUMPRODUCT(INDEX($AL$77:$AN$82,,$AE330),INDEX($AO$77:$AU$82,,$AD330), N($AK$77:$AK$82&gt;$AI330)) / BG330 / 1000</f>
        <v>0</v>
      </c>
      <c r="BI330" s="250">
        <f t="shared" si="244"/>
        <v>30</v>
      </c>
      <c r="BJ330" s="237">
        <f t="shared" si="460"/>
        <v>46.033333333333331</v>
      </c>
      <c r="BK330" s="253">
        <f t="shared" si="461"/>
        <v>3.2297395388556791</v>
      </c>
      <c r="BL330" s="253" cm="1">
        <f t="array" ref="BL330">$BC330 * IF($AD330&lt;=2,
SUMPRODUCT(INDEX($AL$72:$AN$76,,$AE330), INDEX($AO$72:$AU$76,,$AD330), 1 / ($AV$72:$AV$76*BK330 + (1-$AV$72:$AV$76)*BG330), N($AK$72:$AK$76&gt;$AI330)),
SUMPRODUCT(INDEX($AL$67:$AN$76,,$AE330), INDEX($AO$67:$AU$76,,$AD330), 1 / ($AW$67:$AW$76*BK330 + (1-$AW$67:$AW$76)*BG330), N($AK$67:$AK$76&gt;$AI330))
) / 1000</f>
        <v>0</v>
      </c>
      <c r="BM330" s="250">
        <f t="shared" si="247"/>
        <v>25</v>
      </c>
      <c r="BN330" s="237">
        <f t="shared" si="462"/>
        <v>39.516666666666666</v>
      </c>
      <c r="BO330" s="253">
        <f t="shared" si="463"/>
        <v>3.877011788826243</v>
      </c>
      <c r="BP330" s="253" cm="1">
        <f t="array" ref="BP330">$BC330 * IF($AD330&lt;=2,
SUMPRODUCT(INDEX($AL$67:$AN$71,,$AE330), INDEX($AO$67:$AU$71,,$AD330), 1 / ($AV$67:$AV$71*BO330 + (1-$AV$67:$AV$71)*BK330), N($AK$67:$AK$71&gt;$AI330)),
SUMPRODUCT(INDEX($AL$57:$AN$66,,$AE330), INDEX($AO$57:$AU$66,,$AD330), 1 / ($AW$57:$AW$66*BO330 + (1-$AW$57:$AW$66)*BK330), N($AK$57:$AK$66&gt;$AI330))
) / 1000</f>
        <v>0</v>
      </c>
      <c r="BQ330" s="250">
        <f t="shared" si="250"/>
        <v>20</v>
      </c>
      <c r="BR330" s="237">
        <f t="shared" si="464"/>
        <v>33</v>
      </c>
      <c r="BS330" s="253">
        <f t="shared" si="465"/>
        <v>4.8487499999999999</v>
      </c>
      <c r="BT330" s="253" cm="1">
        <f t="array" ref="BT330">$BC330 * IF($AD330&lt;=2,
SUMPRODUCT(INDEX($AL$62:$AN$66,,$AE330), INDEX($AO$62:$AU$66,,$AD330), 1 / ($AV$62:$AV$66*BS330 + (1-$AV$62:$AV$66)*BO330), N($AK$62:$AK$66&gt;$AI330)),
SUMPRODUCT(INDEX($AL$47:$AN$56,,$AE330), INDEX($AO$47:$AU$56,,$AD330), 1 / ($AW$47:$AW$56*BS330 + (1-$AW$47:$AW$56)*BO330), N($AK$47:$AK$56&gt;$AI330))
) / 1000</f>
        <v>0</v>
      </c>
      <c r="BU330" s="253" cm="1">
        <f t="array" ref="BU330">$BC330 * IF($AD330&lt;=2,
SUMPRODUCT(INDEX($AL$23:$AN$61,,$AE330), INDEX($AO$23:$AU$61,,$AD330), 1 / ($AV$23:$AV$61*BS330), N($AK$23:$AK$61&gt;$AI330)),
SUMPRODUCT(INDEX($AL$23:$AN$46,,$AE330), INDEX($AO$23:$AU$46,,$AD330), 1 / ($AW$23:$AW$46*BS330), N($AK$23:$AK$46&gt;$AI330))
) / 1000</f>
        <v>0</v>
      </c>
      <c r="BV330" s="237">
        <f t="shared" si="466"/>
        <v>0</v>
      </c>
      <c r="BW330" s="210"/>
      <c r="BX330" s="237">
        <f t="shared" si="467"/>
        <v>0</v>
      </c>
      <c r="BY330" s="236">
        <v>35</v>
      </c>
      <c r="BZ330" s="237">
        <f t="shared" si="468"/>
        <v>48</v>
      </c>
      <c r="CA330" s="253">
        <f t="shared" si="469"/>
        <v>3.0748170731707316</v>
      </c>
      <c r="CB330" s="253" cm="1">
        <f t="array" ref="CB330">$BC330 * SUMPRODUCT(INDEX($AL$77:$AN$82,,$AE330),INDEX($AO$77:$AU$82,,$AD330), N($AK$77:$AK$82&gt;$AI330)) / CA330 / 1000</f>
        <v>0</v>
      </c>
      <c r="CC330" s="250">
        <f t="shared" si="257"/>
        <v>30</v>
      </c>
      <c r="CD330" s="237">
        <f t="shared" si="470"/>
        <v>43</v>
      </c>
      <c r="CE330" s="253">
        <f t="shared" si="471"/>
        <v>3.5018750000000001</v>
      </c>
      <c r="CF330" s="253" cm="1">
        <f t="array" ref="CF330">$BC330 * IF($AD330&lt;=2,
SUMPRODUCT(INDEX($AL$72:$AN$76,,$AE330), INDEX($AO$72:$AU$76,,$AD330), 1 / ($AV$72:$AV$76*CE330 + (1-$AV$72:$AV$76)*CA330), N($AK$72:$AK$76&gt;$AI330)),
SUMPRODUCT(INDEX($AL$67:$AN$76,,$AE330), INDEX($AO$67:$AU$76,,$AD330), 1 / ($AW$67:$AW$76*CE330 + (1-$AW$67:$AW$76)*CA330), N($AK$67:$AK$76&gt;$AI330))
) / 1000</f>
        <v>0</v>
      </c>
      <c r="CG330" s="250">
        <f t="shared" si="260"/>
        <v>25</v>
      </c>
      <c r="CH330" s="237">
        <f t="shared" si="472"/>
        <v>38</v>
      </c>
      <c r="CI330" s="253">
        <f t="shared" si="473"/>
        <v>4.0666935483870965</v>
      </c>
      <c r="CJ330" s="253" cm="1">
        <f t="array" ref="CJ330">$BC330 * IF($AD330&lt;=2,
SUMPRODUCT(INDEX($AL$67:$AN$71,,$AE330), INDEX($AO$67:$AU$71,,$AD330), 1 / ($AV$67:$AV$71*CI330 + (1-$AV$67:$AV$71)*CE330), N($AK$67:$AK$71&gt;$AI330)),
SUMPRODUCT(INDEX($AL$57:$AN$66,,$AE330), INDEX($AO$57:$AU$66,,$AD330), 1 / ($AW$57:$AW$66*CI330 + (1-$AW$57:$AW$66)*CE330), N($AK$57:$AK$66&gt;$AI330))
) / 1000</f>
        <v>0</v>
      </c>
      <c r="CK330" s="250">
        <f t="shared" si="263"/>
        <v>20</v>
      </c>
      <c r="CL330" s="237">
        <f t="shared" si="474"/>
        <v>33</v>
      </c>
      <c r="CM330" s="253">
        <f t="shared" si="475"/>
        <v>4.8487499999999999</v>
      </c>
      <c r="CN330" s="253" cm="1">
        <f t="array" ref="CN330">$BC330 * IF($AD330&lt;=2,
SUMPRODUCT(INDEX($AL$62:$AN$66,,$AE330), INDEX($AO$62:$AU$66,,$AD330), 1 / ($AV$62:$AV$66*CM330 + (1-$AV$62:$AV$66)*CI330), N($AK$62:$AK$66&gt;$AI330)),
SUMPRODUCT(INDEX($AL$47:$AN$56,,$AE330), INDEX($AO$47:$AU$56,,$AD330), 1 / ($AW$47:$AW$56*CM330 + (1-$AW$47:$AW$56)*CI330), N($AK$47:$AK$56&gt;$AI330))
) / 1000</f>
        <v>0</v>
      </c>
      <c r="CO330" s="253" cm="1">
        <f t="array" ref="CO330">$BC330 * IF($AD330&lt;=2,
SUMPRODUCT(INDEX($AL$23:$AN$61,,$AE330), INDEX($AO$23:$AU$61,,$AD330), 1 / ($AV$23:$AV$61*CM330), N($AK$23:$AK$61&gt;$AI330)),
SUMPRODUCT(INDEX($AL$23:$AN$46,,$AE330), INDEX($AO$23:$AU$46,,$AD330), 1 / ($AW$23:$AW$46*CM330), N($AK$23:$AK$46&gt;$AI330))
) / 1000</f>
        <v>0</v>
      </c>
      <c r="CP330" s="237">
        <f t="shared" si="476"/>
        <v>0</v>
      </c>
      <c r="CQ330" s="210"/>
    </row>
    <row r="331" spans="1:95" s="76" customFormat="1" ht="14.25" customHeight="1" x14ac:dyDescent="0.2">
      <c r="A331" s="238" t="b">
        <f t="shared" si="227"/>
        <v>0</v>
      </c>
      <c r="B331" s="239">
        <v>309</v>
      </c>
      <c r="C331" s="258"/>
      <c r="D331" s="258"/>
      <c r="E331" s="240"/>
      <c r="F331" s="241" t="str">
        <f>IF(ISBLANK(E331), "", VLOOKUP(E331, Z!$A$2:$C$4127, 3, FALSE))</f>
        <v/>
      </c>
      <c r="G331" s="242"/>
      <c r="H331" s="242"/>
      <c r="I331" s="243"/>
      <c r="J331" s="244"/>
      <c r="K331" s="259"/>
      <c r="L331" s="260"/>
      <c r="M331" s="247" t="str" cm="1">
        <f t="array" ref="M331">IF($K331&gt;0, INDEX(Clean,1+AG331,$C$1), "")</f>
        <v/>
      </c>
      <c r="N331" s="245"/>
      <c r="O331" s="245"/>
      <c r="P331" s="246"/>
      <c r="Q331" s="248">
        <f t="shared" si="453"/>
        <v>0</v>
      </c>
      <c r="R331" s="247" t="str" cm="1">
        <f t="array" ref="R331">IF($K331&gt;0, INDEX(Clean,1+AH331,$C$1), "")</f>
        <v/>
      </c>
      <c r="S331" s="245"/>
      <c r="T331" s="245"/>
      <c r="U331" s="246"/>
      <c r="V331" s="248">
        <f t="shared" si="454"/>
        <v>0</v>
      </c>
      <c r="W331" s="261"/>
      <c r="X331" s="258"/>
      <c r="Y331" s="240"/>
      <c r="Z331" s="241" t="str">
        <f>IF(ISBLANK(Y331), "", VLOOKUP(Y331, Z!$A$2:$C$4127, 3, FALSE))</f>
        <v/>
      </c>
      <c r="AA331" s="262"/>
      <c r="AB331" s="249">
        <f t="shared" si="452"/>
        <v>0</v>
      </c>
      <c r="AC331" s="210"/>
      <c r="AD331" s="236">
        <f t="shared" si="477"/>
        <v>1</v>
      </c>
      <c r="AE331" s="236">
        <f t="shared" si="478"/>
        <v>1</v>
      </c>
      <c r="AF331" s="236">
        <f t="shared" si="479"/>
        <v>0</v>
      </c>
      <c r="AG331" s="236">
        <v>1</v>
      </c>
      <c r="AH331" s="236">
        <v>0</v>
      </c>
      <c r="AI331" s="236">
        <f t="shared" si="455"/>
        <v>-100</v>
      </c>
      <c r="AJ331" s="210"/>
      <c r="AK331" s="254"/>
      <c r="AL331" s="254"/>
      <c r="AM331" s="255"/>
      <c r="AN331" s="255"/>
      <c r="AO331" s="255"/>
      <c r="AP331" s="255"/>
      <c r="AQ331" s="255"/>
      <c r="AR331" s="255"/>
      <c r="AS331" s="255"/>
      <c r="AT331" s="255"/>
      <c r="AU331" s="255"/>
      <c r="AV331" s="255"/>
      <c r="AW331" s="255"/>
      <c r="AX331" s="210"/>
      <c r="AY331" s="236" cm="1">
        <f t="array" ref="AY331">INDEX(Use, $AD331, 4)</f>
        <v>7</v>
      </c>
      <c r="AZ331" s="236">
        <f t="shared" si="456"/>
        <v>32</v>
      </c>
      <c r="BA331" s="236">
        <f t="shared" si="239"/>
        <v>13</v>
      </c>
      <c r="BB331" s="236">
        <f t="shared" si="240"/>
        <v>0</v>
      </c>
      <c r="BC331" s="252" cm="1">
        <f t="array" ref="BC331">K331/IF($L331&gt;0, INDEX($AO$23:$AU$77, $L331+20, $AD331), 1)</f>
        <v>0</v>
      </c>
      <c r="BD331" s="237">
        <f t="shared" si="457"/>
        <v>0</v>
      </c>
      <c r="BE331" s="236">
        <v>35</v>
      </c>
      <c r="BF331" s="237">
        <f t="shared" si="458"/>
        <v>52.55</v>
      </c>
      <c r="BG331" s="253">
        <f t="shared" si="459"/>
        <v>2.7676728869374316</v>
      </c>
      <c r="BH331" s="253" cm="1">
        <f t="array" ref="BH331">$BC331 * SUMPRODUCT(INDEX($AL$77:$AN$82,,$AE331),INDEX($AO$77:$AU$82,,$AD331), N($AK$77:$AK$82&gt;$AI331)) / BG331 / 1000</f>
        <v>0</v>
      </c>
      <c r="BI331" s="250">
        <f t="shared" si="244"/>
        <v>30</v>
      </c>
      <c r="BJ331" s="237">
        <f t="shared" si="460"/>
        <v>46.033333333333331</v>
      </c>
      <c r="BK331" s="253">
        <f t="shared" si="461"/>
        <v>3.2297395388556791</v>
      </c>
      <c r="BL331" s="253" cm="1">
        <f t="array" ref="BL331">$BC331 * IF($AD331&lt;=2,
SUMPRODUCT(INDEX($AL$72:$AN$76,,$AE331), INDEX($AO$72:$AU$76,,$AD331), 1 / ($AV$72:$AV$76*BK331 + (1-$AV$72:$AV$76)*BG331), N($AK$72:$AK$76&gt;$AI331)),
SUMPRODUCT(INDEX($AL$67:$AN$76,,$AE331), INDEX($AO$67:$AU$76,,$AD331), 1 / ($AW$67:$AW$76*BK331 + (1-$AW$67:$AW$76)*BG331), N($AK$67:$AK$76&gt;$AI331))
) / 1000</f>
        <v>0</v>
      </c>
      <c r="BM331" s="250">
        <f t="shared" si="247"/>
        <v>25</v>
      </c>
      <c r="BN331" s="237">
        <f t="shared" si="462"/>
        <v>39.516666666666666</v>
      </c>
      <c r="BO331" s="253">
        <f t="shared" si="463"/>
        <v>3.877011788826243</v>
      </c>
      <c r="BP331" s="253" cm="1">
        <f t="array" ref="BP331">$BC331 * IF($AD331&lt;=2,
SUMPRODUCT(INDEX($AL$67:$AN$71,,$AE331), INDEX($AO$67:$AU$71,,$AD331), 1 / ($AV$67:$AV$71*BO331 + (1-$AV$67:$AV$71)*BK331), N($AK$67:$AK$71&gt;$AI331)),
SUMPRODUCT(INDEX($AL$57:$AN$66,,$AE331), INDEX($AO$57:$AU$66,,$AD331), 1 / ($AW$57:$AW$66*BO331 + (1-$AW$57:$AW$66)*BK331), N($AK$57:$AK$66&gt;$AI331))
) / 1000</f>
        <v>0</v>
      </c>
      <c r="BQ331" s="250">
        <f t="shared" si="250"/>
        <v>20</v>
      </c>
      <c r="BR331" s="237">
        <f t="shared" si="464"/>
        <v>33</v>
      </c>
      <c r="BS331" s="253">
        <f t="shared" si="465"/>
        <v>4.8487499999999999</v>
      </c>
      <c r="BT331" s="253" cm="1">
        <f t="array" ref="BT331">$BC331 * IF($AD331&lt;=2,
SUMPRODUCT(INDEX($AL$62:$AN$66,,$AE331), INDEX($AO$62:$AU$66,,$AD331), 1 / ($AV$62:$AV$66*BS331 + (1-$AV$62:$AV$66)*BO331), N($AK$62:$AK$66&gt;$AI331)),
SUMPRODUCT(INDEX($AL$47:$AN$56,,$AE331), INDEX($AO$47:$AU$56,,$AD331), 1 / ($AW$47:$AW$56*BS331 + (1-$AW$47:$AW$56)*BO331), N($AK$47:$AK$56&gt;$AI331))
) / 1000</f>
        <v>0</v>
      </c>
      <c r="BU331" s="253" cm="1">
        <f t="array" ref="BU331">$BC331 * IF($AD331&lt;=2,
SUMPRODUCT(INDEX($AL$23:$AN$61,,$AE331), INDEX($AO$23:$AU$61,,$AD331), 1 / ($AV$23:$AV$61*BS331), N($AK$23:$AK$61&gt;$AI331)),
SUMPRODUCT(INDEX($AL$23:$AN$46,,$AE331), INDEX($AO$23:$AU$46,,$AD331), 1 / ($AW$23:$AW$46*BS331), N($AK$23:$AK$46&gt;$AI331))
) / 1000</f>
        <v>0</v>
      </c>
      <c r="BV331" s="237">
        <f t="shared" si="466"/>
        <v>0</v>
      </c>
      <c r="BW331" s="210"/>
      <c r="BX331" s="237">
        <f t="shared" si="467"/>
        <v>0</v>
      </c>
      <c r="BY331" s="236">
        <v>35</v>
      </c>
      <c r="BZ331" s="237">
        <f t="shared" si="468"/>
        <v>48</v>
      </c>
      <c r="CA331" s="253">
        <f t="shared" si="469"/>
        <v>3.0748170731707316</v>
      </c>
      <c r="CB331" s="253" cm="1">
        <f t="array" ref="CB331">$BC331 * SUMPRODUCT(INDEX($AL$77:$AN$82,,$AE331),INDEX($AO$77:$AU$82,,$AD331), N($AK$77:$AK$82&gt;$AI331)) / CA331 / 1000</f>
        <v>0</v>
      </c>
      <c r="CC331" s="250">
        <f t="shared" si="257"/>
        <v>30</v>
      </c>
      <c r="CD331" s="237">
        <f t="shared" si="470"/>
        <v>43</v>
      </c>
      <c r="CE331" s="253">
        <f t="shared" si="471"/>
        <v>3.5018750000000001</v>
      </c>
      <c r="CF331" s="253" cm="1">
        <f t="array" ref="CF331">$BC331 * IF($AD331&lt;=2,
SUMPRODUCT(INDEX($AL$72:$AN$76,,$AE331), INDEX($AO$72:$AU$76,,$AD331), 1 / ($AV$72:$AV$76*CE331 + (1-$AV$72:$AV$76)*CA331), N($AK$72:$AK$76&gt;$AI331)),
SUMPRODUCT(INDEX($AL$67:$AN$76,,$AE331), INDEX($AO$67:$AU$76,,$AD331), 1 / ($AW$67:$AW$76*CE331 + (1-$AW$67:$AW$76)*CA331), N($AK$67:$AK$76&gt;$AI331))
) / 1000</f>
        <v>0</v>
      </c>
      <c r="CG331" s="250">
        <f t="shared" si="260"/>
        <v>25</v>
      </c>
      <c r="CH331" s="237">
        <f t="shared" si="472"/>
        <v>38</v>
      </c>
      <c r="CI331" s="253">
        <f t="shared" si="473"/>
        <v>4.0666935483870965</v>
      </c>
      <c r="CJ331" s="253" cm="1">
        <f t="array" ref="CJ331">$BC331 * IF($AD331&lt;=2,
SUMPRODUCT(INDEX($AL$67:$AN$71,,$AE331), INDEX($AO$67:$AU$71,,$AD331), 1 / ($AV$67:$AV$71*CI331 + (1-$AV$67:$AV$71)*CE331), N($AK$67:$AK$71&gt;$AI331)),
SUMPRODUCT(INDEX($AL$57:$AN$66,,$AE331), INDEX($AO$57:$AU$66,,$AD331), 1 / ($AW$57:$AW$66*CI331 + (1-$AW$57:$AW$66)*CE331), N($AK$57:$AK$66&gt;$AI331))
) / 1000</f>
        <v>0</v>
      </c>
      <c r="CK331" s="250">
        <f t="shared" si="263"/>
        <v>20</v>
      </c>
      <c r="CL331" s="237">
        <f t="shared" si="474"/>
        <v>33</v>
      </c>
      <c r="CM331" s="253">
        <f t="shared" si="475"/>
        <v>4.8487499999999999</v>
      </c>
      <c r="CN331" s="253" cm="1">
        <f t="array" ref="CN331">$BC331 * IF($AD331&lt;=2,
SUMPRODUCT(INDEX($AL$62:$AN$66,,$AE331), INDEX($AO$62:$AU$66,,$AD331), 1 / ($AV$62:$AV$66*CM331 + (1-$AV$62:$AV$66)*CI331), N($AK$62:$AK$66&gt;$AI331)),
SUMPRODUCT(INDEX($AL$47:$AN$56,,$AE331), INDEX($AO$47:$AU$56,,$AD331), 1 / ($AW$47:$AW$56*CM331 + (1-$AW$47:$AW$56)*CI331), N($AK$47:$AK$56&gt;$AI331))
) / 1000</f>
        <v>0</v>
      </c>
      <c r="CO331" s="253" cm="1">
        <f t="array" ref="CO331">$BC331 * IF($AD331&lt;=2,
SUMPRODUCT(INDEX($AL$23:$AN$61,,$AE331), INDEX($AO$23:$AU$61,,$AD331), 1 / ($AV$23:$AV$61*CM331), N($AK$23:$AK$61&gt;$AI331)),
SUMPRODUCT(INDEX($AL$23:$AN$46,,$AE331), INDEX($AO$23:$AU$46,,$AD331), 1 / ($AW$23:$AW$46*CM331), N($AK$23:$AK$46&gt;$AI331))
) / 1000</f>
        <v>0</v>
      </c>
      <c r="CP331" s="237">
        <f t="shared" si="476"/>
        <v>0</v>
      </c>
      <c r="CQ331" s="210"/>
    </row>
    <row r="332" spans="1:95" s="76" customFormat="1" ht="14.25" customHeight="1" x14ac:dyDescent="0.2">
      <c r="A332" s="238" t="b">
        <f t="shared" si="227"/>
        <v>0</v>
      </c>
      <c r="B332" s="239">
        <v>310</v>
      </c>
      <c r="C332" s="258"/>
      <c r="D332" s="258"/>
      <c r="E332" s="240"/>
      <c r="F332" s="241" t="str">
        <f>IF(ISBLANK(E332), "", VLOOKUP(E332, Z!$A$2:$C$4127, 3, FALSE))</f>
        <v/>
      </c>
      <c r="G332" s="242"/>
      <c r="H332" s="242"/>
      <c r="I332" s="243"/>
      <c r="J332" s="244"/>
      <c r="K332" s="259"/>
      <c r="L332" s="260"/>
      <c r="M332" s="247" t="str" cm="1">
        <f t="array" ref="M332">IF($K332&gt;0, INDEX(Clean,1+AG332,$C$1), "")</f>
        <v/>
      </c>
      <c r="N332" s="245"/>
      <c r="O332" s="245"/>
      <c r="P332" s="246"/>
      <c r="Q332" s="248">
        <f t="shared" si="453"/>
        <v>0</v>
      </c>
      <c r="R332" s="247" t="str" cm="1">
        <f t="array" ref="R332">IF($K332&gt;0, INDEX(Clean,1+AH332,$C$1), "")</f>
        <v/>
      </c>
      <c r="S332" s="245"/>
      <c r="T332" s="245"/>
      <c r="U332" s="246"/>
      <c r="V332" s="248">
        <f t="shared" si="454"/>
        <v>0</v>
      </c>
      <c r="W332" s="261"/>
      <c r="X332" s="258"/>
      <c r="Y332" s="240"/>
      <c r="Z332" s="241" t="str">
        <f>IF(ISBLANK(Y332), "", VLOOKUP(Y332, Z!$A$2:$C$4127, 3, FALSE))</f>
        <v/>
      </c>
      <c r="AA332" s="262"/>
      <c r="AB332" s="249">
        <f t="shared" si="452"/>
        <v>0</v>
      </c>
      <c r="AC332" s="210"/>
      <c r="AD332" s="236">
        <f t="shared" si="477"/>
        <v>1</v>
      </c>
      <c r="AE332" s="236">
        <f t="shared" si="478"/>
        <v>1</v>
      </c>
      <c r="AF332" s="236">
        <f t="shared" si="479"/>
        <v>0</v>
      </c>
      <c r="AG332" s="236">
        <v>1</v>
      </c>
      <c r="AH332" s="236">
        <v>0</v>
      </c>
      <c r="AI332" s="236">
        <f t="shared" si="455"/>
        <v>-100</v>
      </c>
      <c r="AJ332" s="210"/>
      <c r="AK332" s="254"/>
      <c r="AL332" s="254"/>
      <c r="AM332" s="255"/>
      <c r="AN332" s="255"/>
      <c r="AO332" s="255"/>
      <c r="AP332" s="255"/>
      <c r="AQ332" s="255"/>
      <c r="AR332" s="255"/>
      <c r="AS332" s="255"/>
      <c r="AT332" s="255"/>
      <c r="AU332" s="255"/>
      <c r="AV332" s="255"/>
      <c r="AW332" s="255"/>
      <c r="AX332" s="210"/>
      <c r="AY332" s="236" cm="1">
        <f t="array" ref="AY332">INDEX(Use, $AD332, 4)</f>
        <v>7</v>
      </c>
      <c r="AZ332" s="236">
        <f t="shared" si="456"/>
        <v>32</v>
      </c>
      <c r="BA332" s="236">
        <f t="shared" si="239"/>
        <v>13</v>
      </c>
      <c r="BB332" s="236">
        <f t="shared" si="240"/>
        <v>0</v>
      </c>
      <c r="BC332" s="252" cm="1">
        <f t="array" ref="BC332">K332/IF($L332&gt;0, INDEX($AO$23:$AU$77, $L332+20, $AD332), 1)</f>
        <v>0</v>
      </c>
      <c r="BD332" s="237">
        <f t="shared" si="457"/>
        <v>0</v>
      </c>
      <c r="BE332" s="236">
        <v>35</v>
      </c>
      <c r="BF332" s="237">
        <f t="shared" si="458"/>
        <v>52.55</v>
      </c>
      <c r="BG332" s="253">
        <f t="shared" si="459"/>
        <v>2.7676728869374316</v>
      </c>
      <c r="BH332" s="253" cm="1">
        <f t="array" ref="BH332">$BC332 * SUMPRODUCT(INDEX($AL$77:$AN$82,,$AE332),INDEX($AO$77:$AU$82,,$AD332), N($AK$77:$AK$82&gt;$AI332)) / BG332 / 1000</f>
        <v>0</v>
      </c>
      <c r="BI332" s="250">
        <f t="shared" si="244"/>
        <v>30</v>
      </c>
      <c r="BJ332" s="237">
        <f t="shared" si="460"/>
        <v>46.033333333333331</v>
      </c>
      <c r="BK332" s="253">
        <f t="shared" si="461"/>
        <v>3.2297395388556791</v>
      </c>
      <c r="BL332" s="253" cm="1">
        <f t="array" ref="BL332">$BC332 * IF($AD332&lt;=2,
SUMPRODUCT(INDEX($AL$72:$AN$76,,$AE332), INDEX($AO$72:$AU$76,,$AD332), 1 / ($AV$72:$AV$76*BK332 + (1-$AV$72:$AV$76)*BG332), N($AK$72:$AK$76&gt;$AI332)),
SUMPRODUCT(INDEX($AL$67:$AN$76,,$AE332), INDEX($AO$67:$AU$76,,$AD332), 1 / ($AW$67:$AW$76*BK332 + (1-$AW$67:$AW$76)*BG332), N($AK$67:$AK$76&gt;$AI332))
) / 1000</f>
        <v>0</v>
      </c>
      <c r="BM332" s="250">
        <f t="shared" si="247"/>
        <v>25</v>
      </c>
      <c r="BN332" s="237">
        <f t="shared" si="462"/>
        <v>39.516666666666666</v>
      </c>
      <c r="BO332" s="253">
        <f t="shared" si="463"/>
        <v>3.877011788826243</v>
      </c>
      <c r="BP332" s="253" cm="1">
        <f t="array" ref="BP332">$BC332 * IF($AD332&lt;=2,
SUMPRODUCT(INDEX($AL$67:$AN$71,,$AE332), INDEX($AO$67:$AU$71,,$AD332), 1 / ($AV$67:$AV$71*BO332 + (1-$AV$67:$AV$71)*BK332), N($AK$67:$AK$71&gt;$AI332)),
SUMPRODUCT(INDEX($AL$57:$AN$66,,$AE332), INDEX($AO$57:$AU$66,,$AD332), 1 / ($AW$57:$AW$66*BO332 + (1-$AW$57:$AW$66)*BK332), N($AK$57:$AK$66&gt;$AI332))
) / 1000</f>
        <v>0</v>
      </c>
      <c r="BQ332" s="250">
        <f t="shared" si="250"/>
        <v>20</v>
      </c>
      <c r="BR332" s="237">
        <f t="shared" si="464"/>
        <v>33</v>
      </c>
      <c r="BS332" s="253">
        <f t="shared" si="465"/>
        <v>4.8487499999999999</v>
      </c>
      <c r="BT332" s="253" cm="1">
        <f t="array" ref="BT332">$BC332 * IF($AD332&lt;=2,
SUMPRODUCT(INDEX($AL$62:$AN$66,,$AE332), INDEX($AO$62:$AU$66,,$AD332), 1 / ($AV$62:$AV$66*BS332 + (1-$AV$62:$AV$66)*BO332), N($AK$62:$AK$66&gt;$AI332)),
SUMPRODUCT(INDEX($AL$47:$AN$56,,$AE332), INDEX($AO$47:$AU$56,,$AD332), 1 / ($AW$47:$AW$56*BS332 + (1-$AW$47:$AW$56)*BO332), N($AK$47:$AK$56&gt;$AI332))
) / 1000</f>
        <v>0</v>
      </c>
      <c r="BU332" s="253" cm="1">
        <f t="array" ref="BU332">$BC332 * IF($AD332&lt;=2,
SUMPRODUCT(INDEX($AL$23:$AN$61,,$AE332), INDEX($AO$23:$AU$61,,$AD332), 1 / ($AV$23:$AV$61*BS332), N($AK$23:$AK$61&gt;$AI332)),
SUMPRODUCT(INDEX($AL$23:$AN$46,,$AE332), INDEX($AO$23:$AU$46,,$AD332), 1 / ($AW$23:$AW$46*BS332), N($AK$23:$AK$46&gt;$AI332))
) / 1000</f>
        <v>0</v>
      </c>
      <c r="BV332" s="237">
        <f t="shared" si="466"/>
        <v>0</v>
      </c>
      <c r="BW332" s="210"/>
      <c r="BX332" s="237">
        <f t="shared" si="467"/>
        <v>0</v>
      </c>
      <c r="BY332" s="236">
        <v>35</v>
      </c>
      <c r="BZ332" s="237">
        <f t="shared" si="468"/>
        <v>48</v>
      </c>
      <c r="CA332" s="253">
        <f t="shared" si="469"/>
        <v>3.0748170731707316</v>
      </c>
      <c r="CB332" s="253" cm="1">
        <f t="array" ref="CB332">$BC332 * SUMPRODUCT(INDEX($AL$77:$AN$82,,$AE332),INDEX($AO$77:$AU$82,,$AD332), N($AK$77:$AK$82&gt;$AI332)) / CA332 / 1000</f>
        <v>0</v>
      </c>
      <c r="CC332" s="250">
        <f t="shared" si="257"/>
        <v>30</v>
      </c>
      <c r="CD332" s="237">
        <f t="shared" si="470"/>
        <v>43</v>
      </c>
      <c r="CE332" s="253">
        <f t="shared" si="471"/>
        <v>3.5018750000000001</v>
      </c>
      <c r="CF332" s="253" cm="1">
        <f t="array" ref="CF332">$BC332 * IF($AD332&lt;=2,
SUMPRODUCT(INDEX($AL$72:$AN$76,,$AE332), INDEX($AO$72:$AU$76,,$AD332), 1 / ($AV$72:$AV$76*CE332 + (1-$AV$72:$AV$76)*CA332), N($AK$72:$AK$76&gt;$AI332)),
SUMPRODUCT(INDEX($AL$67:$AN$76,,$AE332), INDEX($AO$67:$AU$76,,$AD332), 1 / ($AW$67:$AW$76*CE332 + (1-$AW$67:$AW$76)*CA332), N($AK$67:$AK$76&gt;$AI332))
) / 1000</f>
        <v>0</v>
      </c>
      <c r="CG332" s="250">
        <f t="shared" si="260"/>
        <v>25</v>
      </c>
      <c r="CH332" s="237">
        <f t="shared" si="472"/>
        <v>38</v>
      </c>
      <c r="CI332" s="253">
        <f t="shared" si="473"/>
        <v>4.0666935483870965</v>
      </c>
      <c r="CJ332" s="253" cm="1">
        <f t="array" ref="CJ332">$BC332 * IF($AD332&lt;=2,
SUMPRODUCT(INDEX($AL$67:$AN$71,,$AE332), INDEX($AO$67:$AU$71,,$AD332), 1 / ($AV$67:$AV$71*CI332 + (1-$AV$67:$AV$71)*CE332), N($AK$67:$AK$71&gt;$AI332)),
SUMPRODUCT(INDEX($AL$57:$AN$66,,$AE332), INDEX($AO$57:$AU$66,,$AD332), 1 / ($AW$57:$AW$66*CI332 + (1-$AW$57:$AW$66)*CE332), N($AK$57:$AK$66&gt;$AI332))
) / 1000</f>
        <v>0</v>
      </c>
      <c r="CK332" s="250">
        <f t="shared" si="263"/>
        <v>20</v>
      </c>
      <c r="CL332" s="237">
        <f t="shared" si="474"/>
        <v>33</v>
      </c>
      <c r="CM332" s="253">
        <f t="shared" si="475"/>
        <v>4.8487499999999999</v>
      </c>
      <c r="CN332" s="253" cm="1">
        <f t="array" ref="CN332">$BC332 * IF($AD332&lt;=2,
SUMPRODUCT(INDEX($AL$62:$AN$66,,$AE332), INDEX($AO$62:$AU$66,,$AD332), 1 / ($AV$62:$AV$66*CM332 + (1-$AV$62:$AV$66)*CI332), N($AK$62:$AK$66&gt;$AI332)),
SUMPRODUCT(INDEX($AL$47:$AN$56,,$AE332), INDEX($AO$47:$AU$56,,$AD332), 1 / ($AW$47:$AW$56*CM332 + (1-$AW$47:$AW$56)*CI332), N($AK$47:$AK$56&gt;$AI332))
) / 1000</f>
        <v>0</v>
      </c>
      <c r="CO332" s="253" cm="1">
        <f t="array" ref="CO332">$BC332 * IF($AD332&lt;=2,
SUMPRODUCT(INDEX($AL$23:$AN$61,,$AE332), INDEX($AO$23:$AU$61,,$AD332), 1 / ($AV$23:$AV$61*CM332), N($AK$23:$AK$61&gt;$AI332)),
SUMPRODUCT(INDEX($AL$23:$AN$46,,$AE332), INDEX($AO$23:$AU$46,,$AD332), 1 / ($AW$23:$AW$46*CM332), N($AK$23:$AK$46&gt;$AI332))
) / 1000</f>
        <v>0</v>
      </c>
      <c r="CP332" s="237">
        <f t="shared" si="476"/>
        <v>0</v>
      </c>
      <c r="CQ332" s="210"/>
    </row>
    <row r="333" spans="1:95" s="76" customFormat="1" ht="14.25" customHeight="1" x14ac:dyDescent="0.2">
      <c r="A333" s="238" t="b">
        <f t="shared" si="227"/>
        <v>0</v>
      </c>
      <c r="B333" s="239">
        <v>311</v>
      </c>
      <c r="C333" s="258"/>
      <c r="D333" s="258"/>
      <c r="E333" s="240"/>
      <c r="F333" s="241" t="str">
        <f>IF(ISBLANK(E333), "", VLOOKUP(E333, Z!$A$2:$C$4127, 3, FALSE))</f>
        <v/>
      </c>
      <c r="G333" s="242"/>
      <c r="H333" s="242"/>
      <c r="I333" s="243"/>
      <c r="J333" s="244"/>
      <c r="K333" s="259"/>
      <c r="L333" s="260"/>
      <c r="M333" s="247" t="str" cm="1">
        <f t="array" ref="M333">IF($K333&gt;0, INDEX(Clean,1+AG333,$C$1), "")</f>
        <v/>
      </c>
      <c r="N333" s="245"/>
      <c r="O333" s="245"/>
      <c r="P333" s="246"/>
      <c r="Q333" s="248">
        <f t="shared" si="453"/>
        <v>0</v>
      </c>
      <c r="R333" s="247" t="str" cm="1">
        <f t="array" ref="R333">IF($K333&gt;0, INDEX(Clean,1+AH333,$C$1), "")</f>
        <v/>
      </c>
      <c r="S333" s="245"/>
      <c r="T333" s="245"/>
      <c r="U333" s="246"/>
      <c r="V333" s="248">
        <f t="shared" si="454"/>
        <v>0</v>
      </c>
      <c r="W333" s="261"/>
      <c r="X333" s="258"/>
      <c r="Y333" s="240"/>
      <c r="Z333" s="241" t="str">
        <f>IF(ISBLANK(Y333), "", VLOOKUP(Y333, Z!$A$2:$C$4127, 3, FALSE))</f>
        <v/>
      </c>
      <c r="AA333" s="262"/>
      <c r="AB333" s="249">
        <f t="shared" si="452"/>
        <v>0</v>
      </c>
      <c r="AC333" s="210"/>
      <c r="AD333" s="236">
        <f t="shared" si="477"/>
        <v>1</v>
      </c>
      <c r="AE333" s="236">
        <f t="shared" si="478"/>
        <v>1</v>
      </c>
      <c r="AF333" s="236">
        <f t="shared" si="479"/>
        <v>0</v>
      </c>
      <c r="AG333" s="236">
        <v>1</v>
      </c>
      <c r="AH333" s="236">
        <v>0</v>
      </c>
      <c r="AI333" s="236">
        <f t="shared" si="455"/>
        <v>-100</v>
      </c>
      <c r="AJ333" s="210"/>
      <c r="AK333" s="254"/>
      <c r="AL333" s="254"/>
      <c r="AM333" s="255"/>
      <c r="AN333" s="255"/>
      <c r="AO333" s="255"/>
      <c r="AP333" s="255"/>
      <c r="AQ333" s="255"/>
      <c r="AR333" s="255"/>
      <c r="AS333" s="255"/>
      <c r="AT333" s="255"/>
      <c r="AU333" s="255"/>
      <c r="AV333" s="255"/>
      <c r="AW333" s="255"/>
      <c r="AX333" s="210"/>
      <c r="AY333" s="236" cm="1">
        <f t="array" ref="AY333">INDEX(Use, $AD333, 4)</f>
        <v>7</v>
      </c>
      <c r="AZ333" s="236">
        <f t="shared" si="456"/>
        <v>32</v>
      </c>
      <c r="BA333" s="236">
        <f t="shared" si="239"/>
        <v>13</v>
      </c>
      <c r="BB333" s="236">
        <f t="shared" si="240"/>
        <v>0</v>
      </c>
      <c r="BC333" s="252" cm="1">
        <f t="array" ref="BC333">K333/IF($L333&gt;0, INDEX($AO$23:$AU$77, $L333+20, $AD333), 1)</f>
        <v>0</v>
      </c>
      <c r="BD333" s="237">
        <f t="shared" si="457"/>
        <v>0</v>
      </c>
      <c r="BE333" s="236">
        <v>35</v>
      </c>
      <c r="BF333" s="237">
        <f t="shared" si="458"/>
        <v>52.55</v>
      </c>
      <c r="BG333" s="253">
        <f t="shared" si="459"/>
        <v>2.7676728869374316</v>
      </c>
      <c r="BH333" s="253" cm="1">
        <f t="array" ref="BH333">$BC333 * SUMPRODUCT(INDEX($AL$77:$AN$82,,$AE333),INDEX($AO$77:$AU$82,,$AD333), N($AK$77:$AK$82&gt;$AI333)) / BG333 / 1000</f>
        <v>0</v>
      </c>
      <c r="BI333" s="250">
        <f t="shared" si="244"/>
        <v>30</v>
      </c>
      <c r="BJ333" s="237">
        <f t="shared" si="460"/>
        <v>46.033333333333331</v>
      </c>
      <c r="BK333" s="253">
        <f t="shared" si="461"/>
        <v>3.2297395388556791</v>
      </c>
      <c r="BL333" s="253" cm="1">
        <f t="array" ref="BL333">$BC333 * IF($AD333&lt;=2,
SUMPRODUCT(INDEX($AL$72:$AN$76,,$AE333), INDEX($AO$72:$AU$76,,$AD333), 1 / ($AV$72:$AV$76*BK333 + (1-$AV$72:$AV$76)*BG333), N($AK$72:$AK$76&gt;$AI333)),
SUMPRODUCT(INDEX($AL$67:$AN$76,,$AE333), INDEX($AO$67:$AU$76,,$AD333), 1 / ($AW$67:$AW$76*BK333 + (1-$AW$67:$AW$76)*BG333), N($AK$67:$AK$76&gt;$AI333))
) / 1000</f>
        <v>0</v>
      </c>
      <c r="BM333" s="250">
        <f t="shared" si="247"/>
        <v>25</v>
      </c>
      <c r="BN333" s="237">
        <f t="shared" si="462"/>
        <v>39.516666666666666</v>
      </c>
      <c r="BO333" s="253">
        <f t="shared" si="463"/>
        <v>3.877011788826243</v>
      </c>
      <c r="BP333" s="253" cm="1">
        <f t="array" ref="BP333">$BC333 * IF($AD333&lt;=2,
SUMPRODUCT(INDEX($AL$67:$AN$71,,$AE333), INDEX($AO$67:$AU$71,,$AD333), 1 / ($AV$67:$AV$71*BO333 + (1-$AV$67:$AV$71)*BK333), N($AK$67:$AK$71&gt;$AI333)),
SUMPRODUCT(INDEX($AL$57:$AN$66,,$AE333), INDEX($AO$57:$AU$66,,$AD333), 1 / ($AW$57:$AW$66*BO333 + (1-$AW$57:$AW$66)*BK333), N($AK$57:$AK$66&gt;$AI333))
) / 1000</f>
        <v>0</v>
      </c>
      <c r="BQ333" s="250">
        <f t="shared" si="250"/>
        <v>20</v>
      </c>
      <c r="BR333" s="237">
        <f t="shared" si="464"/>
        <v>33</v>
      </c>
      <c r="BS333" s="253">
        <f t="shared" si="465"/>
        <v>4.8487499999999999</v>
      </c>
      <c r="BT333" s="253" cm="1">
        <f t="array" ref="BT333">$BC333 * IF($AD333&lt;=2,
SUMPRODUCT(INDEX($AL$62:$AN$66,,$AE333), INDEX($AO$62:$AU$66,,$AD333), 1 / ($AV$62:$AV$66*BS333 + (1-$AV$62:$AV$66)*BO333), N($AK$62:$AK$66&gt;$AI333)),
SUMPRODUCT(INDEX($AL$47:$AN$56,,$AE333), INDEX($AO$47:$AU$56,,$AD333), 1 / ($AW$47:$AW$56*BS333 + (1-$AW$47:$AW$56)*BO333), N($AK$47:$AK$56&gt;$AI333))
) / 1000</f>
        <v>0</v>
      </c>
      <c r="BU333" s="253" cm="1">
        <f t="array" ref="BU333">$BC333 * IF($AD333&lt;=2,
SUMPRODUCT(INDEX($AL$23:$AN$61,,$AE333), INDEX($AO$23:$AU$61,,$AD333), 1 / ($AV$23:$AV$61*BS333), N($AK$23:$AK$61&gt;$AI333)),
SUMPRODUCT(INDEX($AL$23:$AN$46,,$AE333), INDEX($AO$23:$AU$46,,$AD333), 1 / ($AW$23:$AW$46*BS333), N($AK$23:$AK$46&gt;$AI333))
) / 1000</f>
        <v>0</v>
      </c>
      <c r="BV333" s="237">
        <f t="shared" si="466"/>
        <v>0</v>
      </c>
      <c r="BW333" s="210"/>
      <c r="BX333" s="237">
        <f t="shared" si="467"/>
        <v>0</v>
      </c>
      <c r="BY333" s="236">
        <v>35</v>
      </c>
      <c r="BZ333" s="237">
        <f t="shared" si="468"/>
        <v>48</v>
      </c>
      <c r="CA333" s="253">
        <f t="shared" si="469"/>
        <v>3.0748170731707316</v>
      </c>
      <c r="CB333" s="253" cm="1">
        <f t="array" ref="CB333">$BC333 * SUMPRODUCT(INDEX($AL$77:$AN$82,,$AE333),INDEX($AO$77:$AU$82,,$AD333), N($AK$77:$AK$82&gt;$AI333)) / CA333 / 1000</f>
        <v>0</v>
      </c>
      <c r="CC333" s="250">
        <f t="shared" si="257"/>
        <v>30</v>
      </c>
      <c r="CD333" s="237">
        <f t="shared" si="470"/>
        <v>43</v>
      </c>
      <c r="CE333" s="253">
        <f t="shared" si="471"/>
        <v>3.5018750000000001</v>
      </c>
      <c r="CF333" s="253" cm="1">
        <f t="array" ref="CF333">$BC333 * IF($AD333&lt;=2,
SUMPRODUCT(INDEX($AL$72:$AN$76,,$AE333), INDEX($AO$72:$AU$76,,$AD333), 1 / ($AV$72:$AV$76*CE333 + (1-$AV$72:$AV$76)*CA333), N($AK$72:$AK$76&gt;$AI333)),
SUMPRODUCT(INDEX($AL$67:$AN$76,,$AE333), INDEX($AO$67:$AU$76,,$AD333), 1 / ($AW$67:$AW$76*CE333 + (1-$AW$67:$AW$76)*CA333), N($AK$67:$AK$76&gt;$AI333))
) / 1000</f>
        <v>0</v>
      </c>
      <c r="CG333" s="250">
        <f t="shared" si="260"/>
        <v>25</v>
      </c>
      <c r="CH333" s="237">
        <f t="shared" si="472"/>
        <v>38</v>
      </c>
      <c r="CI333" s="253">
        <f t="shared" si="473"/>
        <v>4.0666935483870965</v>
      </c>
      <c r="CJ333" s="253" cm="1">
        <f t="array" ref="CJ333">$BC333 * IF($AD333&lt;=2,
SUMPRODUCT(INDEX($AL$67:$AN$71,,$AE333), INDEX($AO$67:$AU$71,,$AD333), 1 / ($AV$67:$AV$71*CI333 + (1-$AV$67:$AV$71)*CE333), N($AK$67:$AK$71&gt;$AI333)),
SUMPRODUCT(INDEX($AL$57:$AN$66,,$AE333), INDEX($AO$57:$AU$66,,$AD333), 1 / ($AW$57:$AW$66*CI333 + (1-$AW$57:$AW$66)*CE333), N($AK$57:$AK$66&gt;$AI333))
) / 1000</f>
        <v>0</v>
      </c>
      <c r="CK333" s="250">
        <f t="shared" si="263"/>
        <v>20</v>
      </c>
      <c r="CL333" s="237">
        <f t="shared" si="474"/>
        <v>33</v>
      </c>
      <c r="CM333" s="253">
        <f t="shared" si="475"/>
        <v>4.8487499999999999</v>
      </c>
      <c r="CN333" s="253" cm="1">
        <f t="array" ref="CN333">$BC333 * IF($AD333&lt;=2,
SUMPRODUCT(INDEX($AL$62:$AN$66,,$AE333), INDEX($AO$62:$AU$66,,$AD333), 1 / ($AV$62:$AV$66*CM333 + (1-$AV$62:$AV$66)*CI333), N($AK$62:$AK$66&gt;$AI333)),
SUMPRODUCT(INDEX($AL$47:$AN$56,,$AE333), INDEX($AO$47:$AU$56,,$AD333), 1 / ($AW$47:$AW$56*CM333 + (1-$AW$47:$AW$56)*CI333), N($AK$47:$AK$56&gt;$AI333))
) / 1000</f>
        <v>0</v>
      </c>
      <c r="CO333" s="253" cm="1">
        <f t="array" ref="CO333">$BC333 * IF($AD333&lt;=2,
SUMPRODUCT(INDEX($AL$23:$AN$61,,$AE333), INDEX($AO$23:$AU$61,,$AD333), 1 / ($AV$23:$AV$61*CM333), N($AK$23:$AK$61&gt;$AI333)),
SUMPRODUCT(INDEX($AL$23:$AN$46,,$AE333), INDEX($AO$23:$AU$46,,$AD333), 1 / ($AW$23:$AW$46*CM333), N($AK$23:$AK$46&gt;$AI333))
) / 1000</f>
        <v>0</v>
      </c>
      <c r="CP333" s="237">
        <f t="shared" si="476"/>
        <v>0</v>
      </c>
      <c r="CQ333" s="210"/>
    </row>
    <row r="334" spans="1:95" s="76" customFormat="1" ht="14.25" customHeight="1" x14ac:dyDescent="0.2">
      <c r="A334" s="238" t="b">
        <f t="shared" si="227"/>
        <v>0</v>
      </c>
      <c r="B334" s="239">
        <v>312</v>
      </c>
      <c r="C334" s="258"/>
      <c r="D334" s="258"/>
      <c r="E334" s="240"/>
      <c r="F334" s="241" t="str">
        <f>IF(ISBLANK(E334), "", VLOOKUP(E334, Z!$A$2:$C$4127, 3, FALSE))</f>
        <v/>
      </c>
      <c r="G334" s="242"/>
      <c r="H334" s="242"/>
      <c r="I334" s="243"/>
      <c r="J334" s="244"/>
      <c r="K334" s="259"/>
      <c r="L334" s="260"/>
      <c r="M334" s="247" t="str" cm="1">
        <f t="array" ref="M334">IF($K334&gt;0, INDEX(Clean,1+AG334,$C$1), "")</f>
        <v/>
      </c>
      <c r="N334" s="245"/>
      <c r="O334" s="245"/>
      <c r="P334" s="246"/>
      <c r="Q334" s="248">
        <f t="shared" si="453"/>
        <v>0</v>
      </c>
      <c r="R334" s="247" t="str" cm="1">
        <f t="array" ref="R334">IF($K334&gt;0, INDEX(Clean,1+AH334,$C$1), "")</f>
        <v/>
      </c>
      <c r="S334" s="245"/>
      <c r="T334" s="245"/>
      <c r="U334" s="246"/>
      <c r="V334" s="248">
        <f t="shared" si="454"/>
        <v>0</v>
      </c>
      <c r="W334" s="261"/>
      <c r="X334" s="258"/>
      <c r="Y334" s="240"/>
      <c r="Z334" s="241" t="str">
        <f>IF(ISBLANK(Y334), "", VLOOKUP(Y334, Z!$A$2:$C$4127, 3, FALSE))</f>
        <v/>
      </c>
      <c r="AA334" s="262"/>
      <c r="AB334" s="249">
        <f t="shared" si="452"/>
        <v>0</v>
      </c>
      <c r="AC334" s="210"/>
      <c r="AD334" s="236">
        <f t="shared" si="477"/>
        <v>1</v>
      </c>
      <c r="AE334" s="236">
        <f t="shared" si="478"/>
        <v>1</v>
      </c>
      <c r="AF334" s="236">
        <f t="shared" si="479"/>
        <v>0</v>
      </c>
      <c r="AG334" s="236">
        <v>1</v>
      </c>
      <c r="AH334" s="236">
        <v>0</v>
      </c>
      <c r="AI334" s="236">
        <f t="shared" si="455"/>
        <v>-100</v>
      </c>
      <c r="AJ334" s="210"/>
      <c r="AK334" s="254"/>
      <c r="AL334" s="254"/>
      <c r="AM334" s="255"/>
      <c r="AN334" s="255"/>
      <c r="AO334" s="255"/>
      <c r="AP334" s="255"/>
      <c r="AQ334" s="255"/>
      <c r="AR334" s="255"/>
      <c r="AS334" s="255"/>
      <c r="AT334" s="255"/>
      <c r="AU334" s="255"/>
      <c r="AV334" s="255"/>
      <c r="AW334" s="255"/>
      <c r="AX334" s="210"/>
      <c r="AY334" s="236" cm="1">
        <f t="array" ref="AY334">INDEX(Use, $AD334, 4)</f>
        <v>7</v>
      </c>
      <c r="AZ334" s="236">
        <f t="shared" si="456"/>
        <v>32</v>
      </c>
      <c r="BA334" s="236">
        <f t="shared" si="239"/>
        <v>13</v>
      </c>
      <c r="BB334" s="236">
        <f t="shared" si="240"/>
        <v>0</v>
      </c>
      <c r="BC334" s="252" cm="1">
        <f t="array" ref="BC334">K334/IF($L334&gt;0, INDEX($AO$23:$AU$77, $L334+20, $AD334), 1)</f>
        <v>0</v>
      </c>
      <c r="BD334" s="237">
        <f t="shared" si="457"/>
        <v>0</v>
      </c>
      <c r="BE334" s="236">
        <v>35</v>
      </c>
      <c r="BF334" s="237">
        <f t="shared" si="458"/>
        <v>52.55</v>
      </c>
      <c r="BG334" s="253">
        <f t="shared" si="459"/>
        <v>2.7676728869374316</v>
      </c>
      <c r="BH334" s="253" cm="1">
        <f t="array" ref="BH334">$BC334 * SUMPRODUCT(INDEX($AL$77:$AN$82,,$AE334),INDEX($AO$77:$AU$82,,$AD334), N($AK$77:$AK$82&gt;$AI334)) / BG334 / 1000</f>
        <v>0</v>
      </c>
      <c r="BI334" s="250">
        <f t="shared" si="244"/>
        <v>30</v>
      </c>
      <c r="BJ334" s="237">
        <f t="shared" si="460"/>
        <v>46.033333333333331</v>
      </c>
      <c r="BK334" s="253">
        <f t="shared" si="461"/>
        <v>3.2297395388556791</v>
      </c>
      <c r="BL334" s="253" cm="1">
        <f t="array" ref="BL334">$BC334 * IF($AD334&lt;=2,
SUMPRODUCT(INDEX($AL$72:$AN$76,,$AE334), INDEX($AO$72:$AU$76,,$AD334), 1 / ($AV$72:$AV$76*BK334 + (1-$AV$72:$AV$76)*BG334), N($AK$72:$AK$76&gt;$AI334)),
SUMPRODUCT(INDEX($AL$67:$AN$76,,$AE334), INDEX($AO$67:$AU$76,,$AD334), 1 / ($AW$67:$AW$76*BK334 + (1-$AW$67:$AW$76)*BG334), N($AK$67:$AK$76&gt;$AI334))
) / 1000</f>
        <v>0</v>
      </c>
      <c r="BM334" s="250">
        <f t="shared" si="247"/>
        <v>25</v>
      </c>
      <c r="BN334" s="237">
        <f t="shared" si="462"/>
        <v>39.516666666666666</v>
      </c>
      <c r="BO334" s="253">
        <f t="shared" si="463"/>
        <v>3.877011788826243</v>
      </c>
      <c r="BP334" s="253" cm="1">
        <f t="array" ref="BP334">$BC334 * IF($AD334&lt;=2,
SUMPRODUCT(INDEX($AL$67:$AN$71,,$AE334), INDEX($AO$67:$AU$71,,$AD334), 1 / ($AV$67:$AV$71*BO334 + (1-$AV$67:$AV$71)*BK334), N($AK$67:$AK$71&gt;$AI334)),
SUMPRODUCT(INDEX($AL$57:$AN$66,,$AE334), INDEX($AO$57:$AU$66,,$AD334), 1 / ($AW$57:$AW$66*BO334 + (1-$AW$57:$AW$66)*BK334), N($AK$57:$AK$66&gt;$AI334))
) / 1000</f>
        <v>0</v>
      </c>
      <c r="BQ334" s="250">
        <f t="shared" si="250"/>
        <v>20</v>
      </c>
      <c r="BR334" s="237">
        <f t="shared" si="464"/>
        <v>33</v>
      </c>
      <c r="BS334" s="253">
        <f t="shared" si="465"/>
        <v>4.8487499999999999</v>
      </c>
      <c r="BT334" s="253" cm="1">
        <f t="array" ref="BT334">$BC334 * IF($AD334&lt;=2,
SUMPRODUCT(INDEX($AL$62:$AN$66,,$AE334), INDEX($AO$62:$AU$66,,$AD334), 1 / ($AV$62:$AV$66*BS334 + (1-$AV$62:$AV$66)*BO334), N($AK$62:$AK$66&gt;$AI334)),
SUMPRODUCT(INDEX($AL$47:$AN$56,,$AE334), INDEX($AO$47:$AU$56,,$AD334), 1 / ($AW$47:$AW$56*BS334 + (1-$AW$47:$AW$56)*BO334), N($AK$47:$AK$56&gt;$AI334))
) / 1000</f>
        <v>0</v>
      </c>
      <c r="BU334" s="253" cm="1">
        <f t="array" ref="BU334">$BC334 * IF($AD334&lt;=2,
SUMPRODUCT(INDEX($AL$23:$AN$61,,$AE334), INDEX($AO$23:$AU$61,,$AD334), 1 / ($AV$23:$AV$61*BS334), N($AK$23:$AK$61&gt;$AI334)),
SUMPRODUCT(INDEX($AL$23:$AN$46,,$AE334), INDEX($AO$23:$AU$46,,$AD334), 1 / ($AW$23:$AW$46*BS334), N($AK$23:$AK$46&gt;$AI334))
) / 1000</f>
        <v>0</v>
      </c>
      <c r="BV334" s="237">
        <f t="shared" si="466"/>
        <v>0</v>
      </c>
      <c r="BW334" s="210"/>
      <c r="BX334" s="237">
        <f t="shared" si="467"/>
        <v>0</v>
      </c>
      <c r="BY334" s="236">
        <v>35</v>
      </c>
      <c r="BZ334" s="237">
        <f t="shared" si="468"/>
        <v>48</v>
      </c>
      <c r="CA334" s="253">
        <f t="shared" si="469"/>
        <v>3.0748170731707316</v>
      </c>
      <c r="CB334" s="253" cm="1">
        <f t="array" ref="CB334">$BC334 * SUMPRODUCT(INDEX($AL$77:$AN$82,,$AE334),INDEX($AO$77:$AU$82,,$AD334), N($AK$77:$AK$82&gt;$AI334)) / CA334 / 1000</f>
        <v>0</v>
      </c>
      <c r="CC334" s="250">
        <f t="shared" si="257"/>
        <v>30</v>
      </c>
      <c r="CD334" s="237">
        <f t="shared" si="470"/>
        <v>43</v>
      </c>
      <c r="CE334" s="253">
        <f t="shared" si="471"/>
        <v>3.5018750000000001</v>
      </c>
      <c r="CF334" s="253" cm="1">
        <f t="array" ref="CF334">$BC334 * IF($AD334&lt;=2,
SUMPRODUCT(INDEX($AL$72:$AN$76,,$AE334), INDEX($AO$72:$AU$76,,$AD334), 1 / ($AV$72:$AV$76*CE334 + (1-$AV$72:$AV$76)*CA334), N($AK$72:$AK$76&gt;$AI334)),
SUMPRODUCT(INDEX($AL$67:$AN$76,,$AE334), INDEX($AO$67:$AU$76,,$AD334), 1 / ($AW$67:$AW$76*CE334 + (1-$AW$67:$AW$76)*CA334), N($AK$67:$AK$76&gt;$AI334))
) / 1000</f>
        <v>0</v>
      </c>
      <c r="CG334" s="250">
        <f t="shared" si="260"/>
        <v>25</v>
      </c>
      <c r="CH334" s="237">
        <f t="shared" si="472"/>
        <v>38</v>
      </c>
      <c r="CI334" s="253">
        <f t="shared" si="473"/>
        <v>4.0666935483870965</v>
      </c>
      <c r="CJ334" s="253" cm="1">
        <f t="array" ref="CJ334">$BC334 * IF($AD334&lt;=2,
SUMPRODUCT(INDEX($AL$67:$AN$71,,$AE334), INDEX($AO$67:$AU$71,,$AD334), 1 / ($AV$67:$AV$71*CI334 + (1-$AV$67:$AV$71)*CE334), N($AK$67:$AK$71&gt;$AI334)),
SUMPRODUCT(INDEX($AL$57:$AN$66,,$AE334), INDEX($AO$57:$AU$66,,$AD334), 1 / ($AW$57:$AW$66*CI334 + (1-$AW$57:$AW$66)*CE334), N($AK$57:$AK$66&gt;$AI334))
) / 1000</f>
        <v>0</v>
      </c>
      <c r="CK334" s="250">
        <f t="shared" si="263"/>
        <v>20</v>
      </c>
      <c r="CL334" s="237">
        <f t="shared" si="474"/>
        <v>33</v>
      </c>
      <c r="CM334" s="253">
        <f t="shared" si="475"/>
        <v>4.8487499999999999</v>
      </c>
      <c r="CN334" s="253" cm="1">
        <f t="array" ref="CN334">$BC334 * IF($AD334&lt;=2,
SUMPRODUCT(INDEX($AL$62:$AN$66,,$AE334), INDEX($AO$62:$AU$66,,$AD334), 1 / ($AV$62:$AV$66*CM334 + (1-$AV$62:$AV$66)*CI334), N($AK$62:$AK$66&gt;$AI334)),
SUMPRODUCT(INDEX($AL$47:$AN$56,,$AE334), INDEX($AO$47:$AU$56,,$AD334), 1 / ($AW$47:$AW$56*CM334 + (1-$AW$47:$AW$56)*CI334), N($AK$47:$AK$56&gt;$AI334))
) / 1000</f>
        <v>0</v>
      </c>
      <c r="CO334" s="253" cm="1">
        <f t="array" ref="CO334">$BC334 * IF($AD334&lt;=2,
SUMPRODUCT(INDEX($AL$23:$AN$61,,$AE334), INDEX($AO$23:$AU$61,,$AD334), 1 / ($AV$23:$AV$61*CM334), N($AK$23:$AK$61&gt;$AI334)),
SUMPRODUCT(INDEX($AL$23:$AN$46,,$AE334), INDEX($AO$23:$AU$46,,$AD334), 1 / ($AW$23:$AW$46*CM334), N($AK$23:$AK$46&gt;$AI334))
) / 1000</f>
        <v>0</v>
      </c>
      <c r="CP334" s="237">
        <f t="shared" si="476"/>
        <v>0</v>
      </c>
      <c r="CQ334" s="210"/>
    </row>
    <row r="335" spans="1:95" s="76" customFormat="1" ht="14.25" customHeight="1" x14ac:dyDescent="0.2">
      <c r="A335" s="238" t="b">
        <f t="shared" si="227"/>
        <v>0</v>
      </c>
      <c r="B335" s="239">
        <v>313</v>
      </c>
      <c r="C335" s="258"/>
      <c r="D335" s="258"/>
      <c r="E335" s="240"/>
      <c r="F335" s="241" t="str">
        <f>IF(ISBLANK(E335), "", VLOOKUP(E335, Z!$A$2:$C$4127, 3, FALSE))</f>
        <v/>
      </c>
      <c r="G335" s="242"/>
      <c r="H335" s="242"/>
      <c r="I335" s="243"/>
      <c r="J335" s="244"/>
      <c r="K335" s="259"/>
      <c r="L335" s="260"/>
      <c r="M335" s="247" t="str" cm="1">
        <f t="array" ref="M335">IF($K335&gt;0, INDEX(Clean,1+AG335,$C$1), "")</f>
        <v/>
      </c>
      <c r="N335" s="245"/>
      <c r="O335" s="245"/>
      <c r="P335" s="246"/>
      <c r="Q335" s="248">
        <f t="shared" si="453"/>
        <v>0</v>
      </c>
      <c r="R335" s="247" t="str" cm="1">
        <f t="array" ref="R335">IF($K335&gt;0, INDEX(Clean,1+AH335,$C$1), "")</f>
        <v/>
      </c>
      <c r="S335" s="245"/>
      <c r="T335" s="245"/>
      <c r="U335" s="246"/>
      <c r="V335" s="248">
        <f t="shared" si="454"/>
        <v>0</v>
      </c>
      <c r="W335" s="261"/>
      <c r="X335" s="258"/>
      <c r="Y335" s="240"/>
      <c r="Z335" s="241" t="str">
        <f>IF(ISBLANK(Y335), "", VLOOKUP(Y335, Z!$A$2:$C$4127, 3, FALSE))</f>
        <v/>
      </c>
      <c r="AA335" s="262"/>
      <c r="AB335" s="249">
        <f t="shared" si="452"/>
        <v>0</v>
      </c>
      <c r="AC335" s="210"/>
      <c r="AD335" s="236">
        <f t="shared" si="477"/>
        <v>1</v>
      </c>
      <c r="AE335" s="236">
        <f t="shared" si="478"/>
        <v>1</v>
      </c>
      <c r="AF335" s="236">
        <f t="shared" si="479"/>
        <v>0</v>
      </c>
      <c r="AG335" s="236">
        <v>1</v>
      </c>
      <c r="AH335" s="236">
        <v>0</v>
      </c>
      <c r="AI335" s="236">
        <f t="shared" si="455"/>
        <v>-100</v>
      </c>
      <c r="AJ335" s="210"/>
      <c r="AK335" s="254"/>
      <c r="AL335" s="254"/>
      <c r="AM335" s="255"/>
      <c r="AN335" s="255"/>
      <c r="AO335" s="255"/>
      <c r="AP335" s="255"/>
      <c r="AQ335" s="255"/>
      <c r="AR335" s="255"/>
      <c r="AS335" s="255"/>
      <c r="AT335" s="255"/>
      <c r="AU335" s="255"/>
      <c r="AV335" s="255"/>
      <c r="AW335" s="255"/>
      <c r="AX335" s="210"/>
      <c r="AY335" s="236" cm="1">
        <f t="array" ref="AY335">INDEX(Use, $AD335, 4)</f>
        <v>7</v>
      </c>
      <c r="AZ335" s="236">
        <f t="shared" si="456"/>
        <v>32</v>
      </c>
      <c r="BA335" s="236">
        <f t="shared" si="239"/>
        <v>13</v>
      </c>
      <c r="BB335" s="236">
        <f t="shared" si="240"/>
        <v>0</v>
      </c>
      <c r="BC335" s="252" cm="1">
        <f t="array" ref="BC335">K335/IF($L335&gt;0, INDEX($AO$23:$AU$77, $L335+20, $AD335), 1)</f>
        <v>0</v>
      </c>
      <c r="BD335" s="237">
        <f t="shared" si="457"/>
        <v>0</v>
      </c>
      <c r="BE335" s="236">
        <v>35</v>
      </c>
      <c r="BF335" s="237">
        <f t="shared" si="458"/>
        <v>52.55</v>
      </c>
      <c r="BG335" s="253">
        <f t="shared" si="459"/>
        <v>2.7676728869374316</v>
      </c>
      <c r="BH335" s="253" cm="1">
        <f t="array" ref="BH335">$BC335 * SUMPRODUCT(INDEX($AL$77:$AN$82,,$AE335),INDEX($AO$77:$AU$82,,$AD335), N($AK$77:$AK$82&gt;$AI335)) / BG335 / 1000</f>
        <v>0</v>
      </c>
      <c r="BI335" s="250">
        <f t="shared" si="244"/>
        <v>30</v>
      </c>
      <c r="BJ335" s="237">
        <f t="shared" si="460"/>
        <v>46.033333333333331</v>
      </c>
      <c r="BK335" s="253">
        <f t="shared" si="461"/>
        <v>3.2297395388556791</v>
      </c>
      <c r="BL335" s="253" cm="1">
        <f t="array" ref="BL335">$BC335 * IF($AD335&lt;=2,
SUMPRODUCT(INDEX($AL$72:$AN$76,,$AE335), INDEX($AO$72:$AU$76,,$AD335), 1 / ($AV$72:$AV$76*BK335 + (1-$AV$72:$AV$76)*BG335), N($AK$72:$AK$76&gt;$AI335)),
SUMPRODUCT(INDEX($AL$67:$AN$76,,$AE335), INDEX($AO$67:$AU$76,,$AD335), 1 / ($AW$67:$AW$76*BK335 + (1-$AW$67:$AW$76)*BG335), N($AK$67:$AK$76&gt;$AI335))
) / 1000</f>
        <v>0</v>
      </c>
      <c r="BM335" s="250">
        <f t="shared" si="247"/>
        <v>25</v>
      </c>
      <c r="BN335" s="237">
        <f t="shared" si="462"/>
        <v>39.516666666666666</v>
      </c>
      <c r="BO335" s="253">
        <f t="shared" si="463"/>
        <v>3.877011788826243</v>
      </c>
      <c r="BP335" s="253" cm="1">
        <f t="array" ref="BP335">$BC335 * IF($AD335&lt;=2,
SUMPRODUCT(INDEX($AL$67:$AN$71,,$AE335), INDEX($AO$67:$AU$71,,$AD335), 1 / ($AV$67:$AV$71*BO335 + (1-$AV$67:$AV$71)*BK335), N($AK$67:$AK$71&gt;$AI335)),
SUMPRODUCT(INDEX($AL$57:$AN$66,,$AE335), INDEX($AO$57:$AU$66,,$AD335), 1 / ($AW$57:$AW$66*BO335 + (1-$AW$57:$AW$66)*BK335), N($AK$57:$AK$66&gt;$AI335))
) / 1000</f>
        <v>0</v>
      </c>
      <c r="BQ335" s="250">
        <f t="shared" si="250"/>
        <v>20</v>
      </c>
      <c r="BR335" s="237">
        <f t="shared" si="464"/>
        <v>33</v>
      </c>
      <c r="BS335" s="253">
        <f t="shared" si="465"/>
        <v>4.8487499999999999</v>
      </c>
      <c r="BT335" s="253" cm="1">
        <f t="array" ref="BT335">$BC335 * IF($AD335&lt;=2,
SUMPRODUCT(INDEX($AL$62:$AN$66,,$AE335), INDEX($AO$62:$AU$66,,$AD335), 1 / ($AV$62:$AV$66*BS335 + (1-$AV$62:$AV$66)*BO335), N($AK$62:$AK$66&gt;$AI335)),
SUMPRODUCT(INDEX($AL$47:$AN$56,,$AE335), INDEX($AO$47:$AU$56,,$AD335), 1 / ($AW$47:$AW$56*BS335 + (1-$AW$47:$AW$56)*BO335), N($AK$47:$AK$56&gt;$AI335))
) / 1000</f>
        <v>0</v>
      </c>
      <c r="BU335" s="253" cm="1">
        <f t="array" ref="BU335">$BC335 * IF($AD335&lt;=2,
SUMPRODUCT(INDEX($AL$23:$AN$61,,$AE335), INDEX($AO$23:$AU$61,,$AD335), 1 / ($AV$23:$AV$61*BS335), N($AK$23:$AK$61&gt;$AI335)),
SUMPRODUCT(INDEX($AL$23:$AN$46,,$AE335), INDEX($AO$23:$AU$46,,$AD335), 1 / ($AW$23:$AW$46*BS335), N($AK$23:$AK$46&gt;$AI335))
) / 1000</f>
        <v>0</v>
      </c>
      <c r="BV335" s="237">
        <f t="shared" si="466"/>
        <v>0</v>
      </c>
      <c r="BW335" s="210"/>
      <c r="BX335" s="237">
        <f t="shared" si="467"/>
        <v>0</v>
      </c>
      <c r="BY335" s="236">
        <v>35</v>
      </c>
      <c r="BZ335" s="237">
        <f t="shared" si="468"/>
        <v>48</v>
      </c>
      <c r="CA335" s="253">
        <f t="shared" si="469"/>
        <v>3.0748170731707316</v>
      </c>
      <c r="CB335" s="253" cm="1">
        <f t="array" ref="CB335">$BC335 * SUMPRODUCT(INDEX($AL$77:$AN$82,,$AE335),INDEX($AO$77:$AU$82,,$AD335), N($AK$77:$AK$82&gt;$AI335)) / CA335 / 1000</f>
        <v>0</v>
      </c>
      <c r="CC335" s="250">
        <f t="shared" si="257"/>
        <v>30</v>
      </c>
      <c r="CD335" s="237">
        <f t="shared" si="470"/>
        <v>43</v>
      </c>
      <c r="CE335" s="253">
        <f t="shared" si="471"/>
        <v>3.5018750000000001</v>
      </c>
      <c r="CF335" s="253" cm="1">
        <f t="array" ref="CF335">$BC335 * IF($AD335&lt;=2,
SUMPRODUCT(INDEX($AL$72:$AN$76,,$AE335), INDEX($AO$72:$AU$76,,$AD335), 1 / ($AV$72:$AV$76*CE335 + (1-$AV$72:$AV$76)*CA335), N($AK$72:$AK$76&gt;$AI335)),
SUMPRODUCT(INDEX($AL$67:$AN$76,,$AE335), INDEX($AO$67:$AU$76,,$AD335), 1 / ($AW$67:$AW$76*CE335 + (1-$AW$67:$AW$76)*CA335), N($AK$67:$AK$76&gt;$AI335))
) / 1000</f>
        <v>0</v>
      </c>
      <c r="CG335" s="250">
        <f t="shared" si="260"/>
        <v>25</v>
      </c>
      <c r="CH335" s="237">
        <f t="shared" si="472"/>
        <v>38</v>
      </c>
      <c r="CI335" s="253">
        <f t="shared" si="473"/>
        <v>4.0666935483870965</v>
      </c>
      <c r="CJ335" s="253" cm="1">
        <f t="array" ref="CJ335">$BC335 * IF($AD335&lt;=2,
SUMPRODUCT(INDEX($AL$67:$AN$71,,$AE335), INDEX($AO$67:$AU$71,,$AD335), 1 / ($AV$67:$AV$71*CI335 + (1-$AV$67:$AV$71)*CE335), N($AK$67:$AK$71&gt;$AI335)),
SUMPRODUCT(INDEX($AL$57:$AN$66,,$AE335), INDEX($AO$57:$AU$66,,$AD335), 1 / ($AW$57:$AW$66*CI335 + (1-$AW$57:$AW$66)*CE335), N($AK$57:$AK$66&gt;$AI335))
) / 1000</f>
        <v>0</v>
      </c>
      <c r="CK335" s="250">
        <f t="shared" si="263"/>
        <v>20</v>
      </c>
      <c r="CL335" s="237">
        <f t="shared" si="474"/>
        <v>33</v>
      </c>
      <c r="CM335" s="253">
        <f t="shared" si="475"/>
        <v>4.8487499999999999</v>
      </c>
      <c r="CN335" s="253" cm="1">
        <f t="array" ref="CN335">$BC335 * IF($AD335&lt;=2,
SUMPRODUCT(INDEX($AL$62:$AN$66,,$AE335), INDEX($AO$62:$AU$66,,$AD335), 1 / ($AV$62:$AV$66*CM335 + (1-$AV$62:$AV$66)*CI335), N($AK$62:$AK$66&gt;$AI335)),
SUMPRODUCT(INDEX($AL$47:$AN$56,,$AE335), INDEX($AO$47:$AU$56,,$AD335), 1 / ($AW$47:$AW$56*CM335 + (1-$AW$47:$AW$56)*CI335), N($AK$47:$AK$56&gt;$AI335))
) / 1000</f>
        <v>0</v>
      </c>
      <c r="CO335" s="253" cm="1">
        <f t="array" ref="CO335">$BC335 * IF($AD335&lt;=2,
SUMPRODUCT(INDEX($AL$23:$AN$61,,$AE335), INDEX($AO$23:$AU$61,,$AD335), 1 / ($AV$23:$AV$61*CM335), N($AK$23:$AK$61&gt;$AI335)),
SUMPRODUCT(INDEX($AL$23:$AN$46,,$AE335), INDEX($AO$23:$AU$46,,$AD335), 1 / ($AW$23:$AW$46*CM335), N($AK$23:$AK$46&gt;$AI335))
) / 1000</f>
        <v>0</v>
      </c>
      <c r="CP335" s="237">
        <f t="shared" si="476"/>
        <v>0</v>
      </c>
      <c r="CQ335" s="210"/>
    </row>
    <row r="336" spans="1:95" s="76" customFormat="1" ht="14.25" customHeight="1" x14ac:dyDescent="0.2">
      <c r="A336" s="238" t="b">
        <f t="shared" si="227"/>
        <v>0</v>
      </c>
      <c r="B336" s="239">
        <v>314</v>
      </c>
      <c r="C336" s="258"/>
      <c r="D336" s="258"/>
      <c r="E336" s="240"/>
      <c r="F336" s="241" t="str">
        <f>IF(ISBLANK(E336), "", VLOOKUP(E336, Z!$A$2:$C$4127, 3, FALSE))</f>
        <v/>
      </c>
      <c r="G336" s="242"/>
      <c r="H336" s="242"/>
      <c r="I336" s="243"/>
      <c r="J336" s="244"/>
      <c r="K336" s="259"/>
      <c r="L336" s="260"/>
      <c r="M336" s="247" t="str" cm="1">
        <f t="array" ref="M336">IF($K336&gt;0, INDEX(Clean,1+AG336,$C$1), "")</f>
        <v/>
      </c>
      <c r="N336" s="245"/>
      <c r="O336" s="245"/>
      <c r="P336" s="246"/>
      <c r="Q336" s="248">
        <f t="shared" si="453"/>
        <v>0</v>
      </c>
      <c r="R336" s="247" t="str" cm="1">
        <f t="array" ref="R336">IF($K336&gt;0, INDEX(Clean,1+AH336,$C$1), "")</f>
        <v/>
      </c>
      <c r="S336" s="245"/>
      <c r="T336" s="245"/>
      <c r="U336" s="246"/>
      <c r="V336" s="248">
        <f t="shared" si="454"/>
        <v>0</v>
      </c>
      <c r="W336" s="261"/>
      <c r="X336" s="258"/>
      <c r="Y336" s="240"/>
      <c r="Z336" s="241" t="str">
        <f>IF(ISBLANK(Y336), "", VLOOKUP(Y336, Z!$A$2:$C$4127, 3, FALSE))</f>
        <v/>
      </c>
      <c r="AA336" s="262"/>
      <c r="AB336" s="249">
        <f t="shared" si="452"/>
        <v>0</v>
      </c>
      <c r="AC336" s="210"/>
      <c r="AD336" s="236">
        <f t="shared" si="477"/>
        <v>1</v>
      </c>
      <c r="AE336" s="236">
        <f t="shared" si="478"/>
        <v>1</v>
      </c>
      <c r="AF336" s="236">
        <f t="shared" si="479"/>
        <v>0</v>
      </c>
      <c r="AG336" s="236">
        <v>1</v>
      </c>
      <c r="AH336" s="236">
        <v>0</v>
      </c>
      <c r="AI336" s="236">
        <f t="shared" si="455"/>
        <v>-100</v>
      </c>
      <c r="AJ336" s="210"/>
      <c r="AK336" s="254"/>
      <c r="AL336" s="254"/>
      <c r="AM336" s="255"/>
      <c r="AN336" s="255"/>
      <c r="AO336" s="255"/>
      <c r="AP336" s="255"/>
      <c r="AQ336" s="255"/>
      <c r="AR336" s="255"/>
      <c r="AS336" s="255"/>
      <c r="AT336" s="255"/>
      <c r="AU336" s="255"/>
      <c r="AV336" s="255"/>
      <c r="AW336" s="255"/>
      <c r="AX336" s="210"/>
      <c r="AY336" s="236" cm="1">
        <f t="array" ref="AY336">INDEX(Use, $AD336, 4)</f>
        <v>7</v>
      </c>
      <c r="AZ336" s="236">
        <f t="shared" si="456"/>
        <v>32</v>
      </c>
      <c r="BA336" s="236">
        <f t="shared" si="239"/>
        <v>13</v>
      </c>
      <c r="BB336" s="236">
        <f t="shared" si="240"/>
        <v>0</v>
      </c>
      <c r="BC336" s="252" cm="1">
        <f t="array" ref="BC336">K336/IF($L336&gt;0, INDEX($AO$23:$AU$77, $L336+20, $AD336), 1)</f>
        <v>0</v>
      </c>
      <c r="BD336" s="237">
        <f t="shared" si="457"/>
        <v>0</v>
      </c>
      <c r="BE336" s="236">
        <v>35</v>
      </c>
      <c r="BF336" s="237">
        <f t="shared" si="458"/>
        <v>52.55</v>
      </c>
      <c r="BG336" s="253">
        <f t="shared" si="459"/>
        <v>2.7676728869374316</v>
      </c>
      <c r="BH336" s="253" cm="1">
        <f t="array" ref="BH336">$BC336 * SUMPRODUCT(INDEX($AL$77:$AN$82,,$AE336),INDEX($AO$77:$AU$82,,$AD336), N($AK$77:$AK$82&gt;$AI336)) / BG336 / 1000</f>
        <v>0</v>
      </c>
      <c r="BI336" s="250">
        <f t="shared" si="244"/>
        <v>30</v>
      </c>
      <c r="BJ336" s="237">
        <f t="shared" si="460"/>
        <v>46.033333333333331</v>
      </c>
      <c r="BK336" s="253">
        <f t="shared" si="461"/>
        <v>3.2297395388556791</v>
      </c>
      <c r="BL336" s="253" cm="1">
        <f t="array" ref="BL336">$BC336 * IF($AD336&lt;=2,
SUMPRODUCT(INDEX($AL$72:$AN$76,,$AE336), INDEX($AO$72:$AU$76,,$AD336), 1 / ($AV$72:$AV$76*BK336 + (1-$AV$72:$AV$76)*BG336), N($AK$72:$AK$76&gt;$AI336)),
SUMPRODUCT(INDEX($AL$67:$AN$76,,$AE336), INDEX($AO$67:$AU$76,,$AD336), 1 / ($AW$67:$AW$76*BK336 + (1-$AW$67:$AW$76)*BG336), N($AK$67:$AK$76&gt;$AI336))
) / 1000</f>
        <v>0</v>
      </c>
      <c r="BM336" s="250">
        <f t="shared" si="247"/>
        <v>25</v>
      </c>
      <c r="BN336" s="237">
        <f t="shared" si="462"/>
        <v>39.516666666666666</v>
      </c>
      <c r="BO336" s="253">
        <f t="shared" si="463"/>
        <v>3.877011788826243</v>
      </c>
      <c r="BP336" s="253" cm="1">
        <f t="array" ref="BP336">$BC336 * IF($AD336&lt;=2,
SUMPRODUCT(INDEX($AL$67:$AN$71,,$AE336), INDEX($AO$67:$AU$71,,$AD336), 1 / ($AV$67:$AV$71*BO336 + (1-$AV$67:$AV$71)*BK336), N($AK$67:$AK$71&gt;$AI336)),
SUMPRODUCT(INDEX($AL$57:$AN$66,,$AE336), INDEX($AO$57:$AU$66,,$AD336), 1 / ($AW$57:$AW$66*BO336 + (1-$AW$57:$AW$66)*BK336), N($AK$57:$AK$66&gt;$AI336))
) / 1000</f>
        <v>0</v>
      </c>
      <c r="BQ336" s="250">
        <f t="shared" si="250"/>
        <v>20</v>
      </c>
      <c r="BR336" s="237">
        <f t="shared" si="464"/>
        <v>33</v>
      </c>
      <c r="BS336" s="253">
        <f t="shared" si="465"/>
        <v>4.8487499999999999</v>
      </c>
      <c r="BT336" s="253" cm="1">
        <f t="array" ref="BT336">$BC336 * IF($AD336&lt;=2,
SUMPRODUCT(INDEX($AL$62:$AN$66,,$AE336), INDEX($AO$62:$AU$66,,$AD336), 1 / ($AV$62:$AV$66*BS336 + (1-$AV$62:$AV$66)*BO336), N($AK$62:$AK$66&gt;$AI336)),
SUMPRODUCT(INDEX($AL$47:$AN$56,,$AE336), INDEX($AO$47:$AU$56,,$AD336), 1 / ($AW$47:$AW$56*BS336 + (1-$AW$47:$AW$56)*BO336), N($AK$47:$AK$56&gt;$AI336))
) / 1000</f>
        <v>0</v>
      </c>
      <c r="BU336" s="253" cm="1">
        <f t="array" ref="BU336">$BC336 * IF($AD336&lt;=2,
SUMPRODUCT(INDEX($AL$23:$AN$61,,$AE336), INDEX($AO$23:$AU$61,,$AD336), 1 / ($AV$23:$AV$61*BS336), N($AK$23:$AK$61&gt;$AI336)),
SUMPRODUCT(INDEX($AL$23:$AN$46,,$AE336), INDEX($AO$23:$AU$46,,$AD336), 1 / ($AW$23:$AW$46*BS336), N($AK$23:$AK$46&gt;$AI336))
) / 1000</f>
        <v>0</v>
      </c>
      <c r="BV336" s="237">
        <f t="shared" si="466"/>
        <v>0</v>
      </c>
      <c r="BW336" s="210"/>
      <c r="BX336" s="237">
        <f t="shared" si="467"/>
        <v>0</v>
      </c>
      <c r="BY336" s="236">
        <v>35</v>
      </c>
      <c r="BZ336" s="237">
        <f t="shared" si="468"/>
        <v>48</v>
      </c>
      <c r="CA336" s="253">
        <f t="shared" si="469"/>
        <v>3.0748170731707316</v>
      </c>
      <c r="CB336" s="253" cm="1">
        <f t="array" ref="CB336">$BC336 * SUMPRODUCT(INDEX($AL$77:$AN$82,,$AE336),INDEX($AO$77:$AU$82,,$AD336), N($AK$77:$AK$82&gt;$AI336)) / CA336 / 1000</f>
        <v>0</v>
      </c>
      <c r="CC336" s="250">
        <f t="shared" si="257"/>
        <v>30</v>
      </c>
      <c r="CD336" s="237">
        <f t="shared" si="470"/>
        <v>43</v>
      </c>
      <c r="CE336" s="253">
        <f t="shared" si="471"/>
        <v>3.5018750000000001</v>
      </c>
      <c r="CF336" s="253" cm="1">
        <f t="array" ref="CF336">$BC336 * IF($AD336&lt;=2,
SUMPRODUCT(INDEX($AL$72:$AN$76,,$AE336), INDEX($AO$72:$AU$76,,$AD336), 1 / ($AV$72:$AV$76*CE336 + (1-$AV$72:$AV$76)*CA336), N($AK$72:$AK$76&gt;$AI336)),
SUMPRODUCT(INDEX($AL$67:$AN$76,,$AE336), INDEX($AO$67:$AU$76,,$AD336), 1 / ($AW$67:$AW$76*CE336 + (1-$AW$67:$AW$76)*CA336), N($AK$67:$AK$76&gt;$AI336))
) / 1000</f>
        <v>0</v>
      </c>
      <c r="CG336" s="250">
        <f t="shared" si="260"/>
        <v>25</v>
      </c>
      <c r="CH336" s="237">
        <f t="shared" si="472"/>
        <v>38</v>
      </c>
      <c r="CI336" s="253">
        <f t="shared" si="473"/>
        <v>4.0666935483870965</v>
      </c>
      <c r="CJ336" s="253" cm="1">
        <f t="array" ref="CJ336">$BC336 * IF($AD336&lt;=2,
SUMPRODUCT(INDEX($AL$67:$AN$71,,$AE336), INDEX($AO$67:$AU$71,,$AD336), 1 / ($AV$67:$AV$71*CI336 + (1-$AV$67:$AV$71)*CE336), N($AK$67:$AK$71&gt;$AI336)),
SUMPRODUCT(INDEX($AL$57:$AN$66,,$AE336), INDEX($AO$57:$AU$66,,$AD336), 1 / ($AW$57:$AW$66*CI336 + (1-$AW$57:$AW$66)*CE336), N($AK$57:$AK$66&gt;$AI336))
) / 1000</f>
        <v>0</v>
      </c>
      <c r="CK336" s="250">
        <f t="shared" si="263"/>
        <v>20</v>
      </c>
      <c r="CL336" s="237">
        <f t="shared" si="474"/>
        <v>33</v>
      </c>
      <c r="CM336" s="253">
        <f t="shared" si="475"/>
        <v>4.8487499999999999</v>
      </c>
      <c r="CN336" s="253" cm="1">
        <f t="array" ref="CN336">$BC336 * IF($AD336&lt;=2,
SUMPRODUCT(INDEX($AL$62:$AN$66,,$AE336), INDEX($AO$62:$AU$66,,$AD336), 1 / ($AV$62:$AV$66*CM336 + (1-$AV$62:$AV$66)*CI336), N($AK$62:$AK$66&gt;$AI336)),
SUMPRODUCT(INDEX($AL$47:$AN$56,,$AE336), INDEX($AO$47:$AU$56,,$AD336), 1 / ($AW$47:$AW$56*CM336 + (1-$AW$47:$AW$56)*CI336), N($AK$47:$AK$56&gt;$AI336))
) / 1000</f>
        <v>0</v>
      </c>
      <c r="CO336" s="253" cm="1">
        <f t="array" ref="CO336">$BC336 * IF($AD336&lt;=2,
SUMPRODUCT(INDEX($AL$23:$AN$61,,$AE336), INDEX($AO$23:$AU$61,,$AD336), 1 / ($AV$23:$AV$61*CM336), N($AK$23:$AK$61&gt;$AI336)),
SUMPRODUCT(INDEX($AL$23:$AN$46,,$AE336), INDEX($AO$23:$AU$46,,$AD336), 1 / ($AW$23:$AW$46*CM336), N($AK$23:$AK$46&gt;$AI336))
) / 1000</f>
        <v>0</v>
      </c>
      <c r="CP336" s="237">
        <f t="shared" si="476"/>
        <v>0</v>
      </c>
      <c r="CQ336" s="210"/>
    </row>
    <row r="337" spans="1:95" s="76" customFormat="1" ht="14.25" customHeight="1" x14ac:dyDescent="0.2">
      <c r="A337" s="238" t="b">
        <f t="shared" si="227"/>
        <v>0</v>
      </c>
      <c r="B337" s="239">
        <v>315</v>
      </c>
      <c r="C337" s="258"/>
      <c r="D337" s="258"/>
      <c r="E337" s="240"/>
      <c r="F337" s="241" t="str">
        <f>IF(ISBLANK(E337), "", VLOOKUP(E337, Z!$A$2:$C$4127, 3, FALSE))</f>
        <v/>
      </c>
      <c r="G337" s="242"/>
      <c r="H337" s="242"/>
      <c r="I337" s="243"/>
      <c r="J337" s="244"/>
      <c r="K337" s="259"/>
      <c r="L337" s="260"/>
      <c r="M337" s="247" t="str" cm="1">
        <f t="array" ref="M337">IF($K337&gt;0, INDEX(Clean,1+AG337,$C$1), "")</f>
        <v/>
      </c>
      <c r="N337" s="245"/>
      <c r="O337" s="245"/>
      <c r="P337" s="246"/>
      <c r="Q337" s="248">
        <f t="shared" si="453"/>
        <v>0</v>
      </c>
      <c r="R337" s="247" t="str" cm="1">
        <f t="array" ref="R337">IF($K337&gt;0, INDEX(Clean,1+AH337,$C$1), "")</f>
        <v/>
      </c>
      <c r="S337" s="245"/>
      <c r="T337" s="245"/>
      <c r="U337" s="246"/>
      <c r="V337" s="248">
        <f t="shared" si="454"/>
        <v>0</v>
      </c>
      <c r="W337" s="261"/>
      <c r="X337" s="258"/>
      <c r="Y337" s="240"/>
      <c r="Z337" s="241" t="str">
        <f>IF(ISBLANK(Y337), "", VLOOKUP(Y337, Z!$A$2:$C$4127, 3, FALSE))</f>
        <v/>
      </c>
      <c r="AA337" s="262"/>
      <c r="AB337" s="249">
        <f t="shared" si="452"/>
        <v>0</v>
      </c>
      <c r="AC337" s="210"/>
      <c r="AD337" s="236">
        <f t="shared" si="477"/>
        <v>1</v>
      </c>
      <c r="AE337" s="236">
        <f t="shared" si="478"/>
        <v>1</v>
      </c>
      <c r="AF337" s="236">
        <f t="shared" si="479"/>
        <v>0</v>
      </c>
      <c r="AG337" s="236">
        <v>1</v>
      </c>
      <c r="AH337" s="236">
        <v>0</v>
      </c>
      <c r="AI337" s="236">
        <f t="shared" si="455"/>
        <v>-100</v>
      </c>
      <c r="AJ337" s="210"/>
      <c r="AK337" s="254"/>
      <c r="AL337" s="254"/>
      <c r="AM337" s="255"/>
      <c r="AN337" s="255"/>
      <c r="AO337" s="255"/>
      <c r="AP337" s="255"/>
      <c r="AQ337" s="255"/>
      <c r="AR337" s="255"/>
      <c r="AS337" s="255"/>
      <c r="AT337" s="255"/>
      <c r="AU337" s="255"/>
      <c r="AV337" s="255"/>
      <c r="AW337" s="255"/>
      <c r="AX337" s="210"/>
      <c r="AY337" s="236" cm="1">
        <f t="array" ref="AY337">INDEX(Use, $AD337, 4)</f>
        <v>7</v>
      </c>
      <c r="AZ337" s="236">
        <f t="shared" si="456"/>
        <v>32</v>
      </c>
      <c r="BA337" s="236">
        <f t="shared" si="239"/>
        <v>13</v>
      </c>
      <c r="BB337" s="236">
        <f t="shared" si="240"/>
        <v>0</v>
      </c>
      <c r="BC337" s="252" cm="1">
        <f t="array" ref="BC337">K337/IF($L337&gt;0, INDEX($AO$23:$AU$77, $L337+20, $AD337), 1)</f>
        <v>0</v>
      </c>
      <c r="BD337" s="237">
        <f t="shared" si="457"/>
        <v>0</v>
      </c>
      <c r="BE337" s="236">
        <v>35</v>
      </c>
      <c r="BF337" s="237">
        <f t="shared" si="458"/>
        <v>52.55</v>
      </c>
      <c r="BG337" s="253">
        <f t="shared" si="459"/>
        <v>2.7676728869374316</v>
      </c>
      <c r="BH337" s="253" cm="1">
        <f t="array" ref="BH337">$BC337 * SUMPRODUCT(INDEX($AL$77:$AN$82,,$AE337),INDEX($AO$77:$AU$82,,$AD337), N($AK$77:$AK$82&gt;$AI337)) / BG337 / 1000</f>
        <v>0</v>
      </c>
      <c r="BI337" s="250">
        <f t="shared" si="244"/>
        <v>30</v>
      </c>
      <c r="BJ337" s="237">
        <f t="shared" si="460"/>
        <v>46.033333333333331</v>
      </c>
      <c r="BK337" s="253">
        <f t="shared" si="461"/>
        <v>3.2297395388556791</v>
      </c>
      <c r="BL337" s="253" cm="1">
        <f t="array" ref="BL337">$BC337 * IF($AD337&lt;=2,
SUMPRODUCT(INDEX($AL$72:$AN$76,,$AE337), INDEX($AO$72:$AU$76,,$AD337), 1 / ($AV$72:$AV$76*BK337 + (1-$AV$72:$AV$76)*BG337), N($AK$72:$AK$76&gt;$AI337)),
SUMPRODUCT(INDEX($AL$67:$AN$76,,$AE337), INDEX($AO$67:$AU$76,,$AD337), 1 / ($AW$67:$AW$76*BK337 + (1-$AW$67:$AW$76)*BG337), N($AK$67:$AK$76&gt;$AI337))
) / 1000</f>
        <v>0</v>
      </c>
      <c r="BM337" s="250">
        <f t="shared" si="247"/>
        <v>25</v>
      </c>
      <c r="BN337" s="237">
        <f t="shared" si="462"/>
        <v>39.516666666666666</v>
      </c>
      <c r="BO337" s="253">
        <f t="shared" si="463"/>
        <v>3.877011788826243</v>
      </c>
      <c r="BP337" s="253" cm="1">
        <f t="array" ref="BP337">$BC337 * IF($AD337&lt;=2,
SUMPRODUCT(INDEX($AL$67:$AN$71,,$AE337), INDEX($AO$67:$AU$71,,$AD337), 1 / ($AV$67:$AV$71*BO337 + (1-$AV$67:$AV$71)*BK337), N($AK$67:$AK$71&gt;$AI337)),
SUMPRODUCT(INDEX($AL$57:$AN$66,,$AE337), INDEX($AO$57:$AU$66,,$AD337), 1 / ($AW$57:$AW$66*BO337 + (1-$AW$57:$AW$66)*BK337), N($AK$57:$AK$66&gt;$AI337))
) / 1000</f>
        <v>0</v>
      </c>
      <c r="BQ337" s="250">
        <f t="shared" si="250"/>
        <v>20</v>
      </c>
      <c r="BR337" s="237">
        <f t="shared" si="464"/>
        <v>33</v>
      </c>
      <c r="BS337" s="253">
        <f t="shared" si="465"/>
        <v>4.8487499999999999</v>
      </c>
      <c r="BT337" s="253" cm="1">
        <f t="array" ref="BT337">$BC337 * IF($AD337&lt;=2,
SUMPRODUCT(INDEX($AL$62:$AN$66,,$AE337), INDEX($AO$62:$AU$66,,$AD337), 1 / ($AV$62:$AV$66*BS337 + (1-$AV$62:$AV$66)*BO337), N($AK$62:$AK$66&gt;$AI337)),
SUMPRODUCT(INDEX($AL$47:$AN$56,,$AE337), INDEX($AO$47:$AU$56,,$AD337), 1 / ($AW$47:$AW$56*BS337 + (1-$AW$47:$AW$56)*BO337), N($AK$47:$AK$56&gt;$AI337))
) / 1000</f>
        <v>0</v>
      </c>
      <c r="BU337" s="253" cm="1">
        <f t="array" ref="BU337">$BC337 * IF($AD337&lt;=2,
SUMPRODUCT(INDEX($AL$23:$AN$61,,$AE337), INDEX($AO$23:$AU$61,,$AD337), 1 / ($AV$23:$AV$61*BS337), N($AK$23:$AK$61&gt;$AI337)),
SUMPRODUCT(INDEX($AL$23:$AN$46,,$AE337), INDEX($AO$23:$AU$46,,$AD337), 1 / ($AW$23:$AW$46*BS337), N($AK$23:$AK$46&gt;$AI337))
) / 1000</f>
        <v>0</v>
      </c>
      <c r="BV337" s="237">
        <f t="shared" si="466"/>
        <v>0</v>
      </c>
      <c r="BW337" s="210"/>
      <c r="BX337" s="237">
        <f t="shared" si="467"/>
        <v>0</v>
      </c>
      <c r="BY337" s="236">
        <v>35</v>
      </c>
      <c r="BZ337" s="237">
        <f t="shared" si="468"/>
        <v>48</v>
      </c>
      <c r="CA337" s="253">
        <f t="shared" si="469"/>
        <v>3.0748170731707316</v>
      </c>
      <c r="CB337" s="253" cm="1">
        <f t="array" ref="CB337">$BC337 * SUMPRODUCT(INDEX($AL$77:$AN$82,,$AE337),INDEX($AO$77:$AU$82,,$AD337), N($AK$77:$AK$82&gt;$AI337)) / CA337 / 1000</f>
        <v>0</v>
      </c>
      <c r="CC337" s="250">
        <f t="shared" si="257"/>
        <v>30</v>
      </c>
      <c r="CD337" s="237">
        <f t="shared" si="470"/>
        <v>43</v>
      </c>
      <c r="CE337" s="253">
        <f t="shared" si="471"/>
        <v>3.5018750000000001</v>
      </c>
      <c r="CF337" s="253" cm="1">
        <f t="array" ref="CF337">$BC337 * IF($AD337&lt;=2,
SUMPRODUCT(INDEX($AL$72:$AN$76,,$AE337), INDEX($AO$72:$AU$76,,$AD337), 1 / ($AV$72:$AV$76*CE337 + (1-$AV$72:$AV$76)*CA337), N($AK$72:$AK$76&gt;$AI337)),
SUMPRODUCT(INDEX($AL$67:$AN$76,,$AE337), INDEX($AO$67:$AU$76,,$AD337), 1 / ($AW$67:$AW$76*CE337 + (1-$AW$67:$AW$76)*CA337), N($AK$67:$AK$76&gt;$AI337))
) / 1000</f>
        <v>0</v>
      </c>
      <c r="CG337" s="250">
        <f t="shared" si="260"/>
        <v>25</v>
      </c>
      <c r="CH337" s="237">
        <f t="shared" si="472"/>
        <v>38</v>
      </c>
      <c r="CI337" s="253">
        <f t="shared" si="473"/>
        <v>4.0666935483870965</v>
      </c>
      <c r="CJ337" s="253" cm="1">
        <f t="array" ref="CJ337">$BC337 * IF($AD337&lt;=2,
SUMPRODUCT(INDEX($AL$67:$AN$71,,$AE337), INDEX($AO$67:$AU$71,,$AD337), 1 / ($AV$67:$AV$71*CI337 + (1-$AV$67:$AV$71)*CE337), N($AK$67:$AK$71&gt;$AI337)),
SUMPRODUCT(INDEX($AL$57:$AN$66,,$AE337), INDEX($AO$57:$AU$66,,$AD337), 1 / ($AW$57:$AW$66*CI337 + (1-$AW$57:$AW$66)*CE337), N($AK$57:$AK$66&gt;$AI337))
) / 1000</f>
        <v>0</v>
      </c>
      <c r="CK337" s="250">
        <f t="shared" si="263"/>
        <v>20</v>
      </c>
      <c r="CL337" s="237">
        <f t="shared" si="474"/>
        <v>33</v>
      </c>
      <c r="CM337" s="253">
        <f t="shared" si="475"/>
        <v>4.8487499999999999</v>
      </c>
      <c r="CN337" s="253" cm="1">
        <f t="array" ref="CN337">$BC337 * IF($AD337&lt;=2,
SUMPRODUCT(INDEX($AL$62:$AN$66,,$AE337), INDEX($AO$62:$AU$66,,$AD337), 1 / ($AV$62:$AV$66*CM337 + (1-$AV$62:$AV$66)*CI337), N($AK$62:$AK$66&gt;$AI337)),
SUMPRODUCT(INDEX($AL$47:$AN$56,,$AE337), INDEX($AO$47:$AU$56,,$AD337), 1 / ($AW$47:$AW$56*CM337 + (1-$AW$47:$AW$56)*CI337), N($AK$47:$AK$56&gt;$AI337))
) / 1000</f>
        <v>0</v>
      </c>
      <c r="CO337" s="253" cm="1">
        <f t="array" ref="CO337">$BC337 * IF($AD337&lt;=2,
SUMPRODUCT(INDEX($AL$23:$AN$61,,$AE337), INDEX($AO$23:$AU$61,,$AD337), 1 / ($AV$23:$AV$61*CM337), N($AK$23:$AK$61&gt;$AI337)),
SUMPRODUCT(INDEX($AL$23:$AN$46,,$AE337), INDEX($AO$23:$AU$46,,$AD337), 1 / ($AW$23:$AW$46*CM337), N($AK$23:$AK$46&gt;$AI337))
) / 1000</f>
        <v>0</v>
      </c>
      <c r="CP337" s="237">
        <f t="shared" si="476"/>
        <v>0</v>
      </c>
      <c r="CQ337" s="210"/>
    </row>
    <row r="338" spans="1:95" s="76" customFormat="1" ht="14.25" customHeight="1" x14ac:dyDescent="0.2">
      <c r="A338" s="238" t="b">
        <f t="shared" si="227"/>
        <v>0</v>
      </c>
      <c r="B338" s="239">
        <v>316</v>
      </c>
      <c r="C338" s="258"/>
      <c r="D338" s="258"/>
      <c r="E338" s="240"/>
      <c r="F338" s="241" t="str">
        <f>IF(ISBLANK(E338), "", VLOOKUP(E338, Z!$A$2:$C$4127, 3, FALSE))</f>
        <v/>
      </c>
      <c r="G338" s="242"/>
      <c r="H338" s="242"/>
      <c r="I338" s="243"/>
      <c r="J338" s="244"/>
      <c r="K338" s="259"/>
      <c r="L338" s="260"/>
      <c r="M338" s="247" t="str" cm="1">
        <f t="array" ref="M338">IF($K338&gt;0, INDEX(Clean,1+AG338,$C$1), "")</f>
        <v/>
      </c>
      <c r="N338" s="245"/>
      <c r="O338" s="245"/>
      <c r="P338" s="246"/>
      <c r="Q338" s="248">
        <f t="shared" si="453"/>
        <v>0</v>
      </c>
      <c r="R338" s="247" t="str" cm="1">
        <f t="array" ref="R338">IF($K338&gt;0, INDEX(Clean,1+AH338,$C$1), "")</f>
        <v/>
      </c>
      <c r="S338" s="245"/>
      <c r="T338" s="245"/>
      <c r="U338" s="246"/>
      <c r="V338" s="248">
        <f t="shared" si="454"/>
        <v>0</v>
      </c>
      <c r="W338" s="261"/>
      <c r="X338" s="258"/>
      <c r="Y338" s="240"/>
      <c r="Z338" s="241" t="str">
        <f>IF(ISBLANK(Y338), "", VLOOKUP(Y338, Z!$A$2:$C$4127, 3, FALSE))</f>
        <v/>
      </c>
      <c r="AA338" s="262"/>
      <c r="AB338" s="249">
        <f t="shared" si="452"/>
        <v>0</v>
      </c>
      <c r="AC338" s="210"/>
      <c r="AD338" s="236">
        <f t="shared" si="477"/>
        <v>1</v>
      </c>
      <c r="AE338" s="236">
        <f t="shared" si="478"/>
        <v>1</v>
      </c>
      <c r="AF338" s="236">
        <f t="shared" si="479"/>
        <v>0</v>
      </c>
      <c r="AG338" s="236">
        <v>1</v>
      </c>
      <c r="AH338" s="236">
        <v>0</v>
      </c>
      <c r="AI338" s="236">
        <f t="shared" si="455"/>
        <v>-100</v>
      </c>
      <c r="AJ338" s="210"/>
      <c r="AK338" s="254"/>
      <c r="AL338" s="254"/>
      <c r="AM338" s="255"/>
      <c r="AN338" s="255"/>
      <c r="AO338" s="255"/>
      <c r="AP338" s="255"/>
      <c r="AQ338" s="255"/>
      <c r="AR338" s="255"/>
      <c r="AS338" s="255"/>
      <c r="AT338" s="255"/>
      <c r="AU338" s="255"/>
      <c r="AV338" s="255"/>
      <c r="AW338" s="255"/>
      <c r="AX338" s="210"/>
      <c r="AY338" s="236" cm="1">
        <f t="array" ref="AY338">INDEX(Use, $AD338, 4)</f>
        <v>7</v>
      </c>
      <c r="AZ338" s="236">
        <f t="shared" si="456"/>
        <v>32</v>
      </c>
      <c r="BA338" s="236">
        <f t="shared" si="239"/>
        <v>13</v>
      </c>
      <c r="BB338" s="236">
        <f t="shared" si="240"/>
        <v>0</v>
      </c>
      <c r="BC338" s="252" cm="1">
        <f t="array" ref="BC338">K338/IF($L338&gt;0, INDEX($AO$23:$AU$77, $L338+20, $AD338), 1)</f>
        <v>0</v>
      </c>
      <c r="BD338" s="237">
        <f t="shared" si="457"/>
        <v>0</v>
      </c>
      <c r="BE338" s="236">
        <v>35</v>
      </c>
      <c r="BF338" s="237">
        <f t="shared" si="458"/>
        <v>52.55</v>
      </c>
      <c r="BG338" s="253">
        <f t="shared" si="459"/>
        <v>2.7676728869374316</v>
      </c>
      <c r="BH338" s="253" cm="1">
        <f t="array" ref="BH338">$BC338 * SUMPRODUCT(INDEX($AL$77:$AN$82,,$AE338),INDEX($AO$77:$AU$82,,$AD338), N($AK$77:$AK$82&gt;$AI338)) / BG338 / 1000</f>
        <v>0</v>
      </c>
      <c r="BI338" s="250">
        <f t="shared" si="244"/>
        <v>30</v>
      </c>
      <c r="BJ338" s="237">
        <f t="shared" si="460"/>
        <v>46.033333333333331</v>
      </c>
      <c r="BK338" s="253">
        <f t="shared" si="461"/>
        <v>3.2297395388556791</v>
      </c>
      <c r="BL338" s="253" cm="1">
        <f t="array" ref="BL338">$BC338 * IF($AD338&lt;=2,
SUMPRODUCT(INDEX($AL$72:$AN$76,,$AE338), INDEX($AO$72:$AU$76,,$AD338), 1 / ($AV$72:$AV$76*BK338 + (1-$AV$72:$AV$76)*BG338), N($AK$72:$AK$76&gt;$AI338)),
SUMPRODUCT(INDEX($AL$67:$AN$76,,$AE338), INDEX($AO$67:$AU$76,,$AD338), 1 / ($AW$67:$AW$76*BK338 + (1-$AW$67:$AW$76)*BG338), N($AK$67:$AK$76&gt;$AI338))
) / 1000</f>
        <v>0</v>
      </c>
      <c r="BM338" s="250">
        <f t="shared" si="247"/>
        <v>25</v>
      </c>
      <c r="BN338" s="237">
        <f t="shared" si="462"/>
        <v>39.516666666666666</v>
      </c>
      <c r="BO338" s="253">
        <f t="shared" si="463"/>
        <v>3.877011788826243</v>
      </c>
      <c r="BP338" s="253" cm="1">
        <f t="array" ref="BP338">$BC338 * IF($AD338&lt;=2,
SUMPRODUCT(INDEX($AL$67:$AN$71,,$AE338), INDEX($AO$67:$AU$71,,$AD338), 1 / ($AV$67:$AV$71*BO338 + (1-$AV$67:$AV$71)*BK338), N($AK$67:$AK$71&gt;$AI338)),
SUMPRODUCT(INDEX($AL$57:$AN$66,,$AE338), INDEX($AO$57:$AU$66,,$AD338), 1 / ($AW$57:$AW$66*BO338 + (1-$AW$57:$AW$66)*BK338), N($AK$57:$AK$66&gt;$AI338))
) / 1000</f>
        <v>0</v>
      </c>
      <c r="BQ338" s="250">
        <f t="shared" si="250"/>
        <v>20</v>
      </c>
      <c r="BR338" s="237">
        <f t="shared" si="464"/>
        <v>33</v>
      </c>
      <c r="BS338" s="253">
        <f t="shared" si="465"/>
        <v>4.8487499999999999</v>
      </c>
      <c r="BT338" s="253" cm="1">
        <f t="array" ref="BT338">$BC338 * IF($AD338&lt;=2,
SUMPRODUCT(INDEX($AL$62:$AN$66,,$AE338), INDEX($AO$62:$AU$66,,$AD338), 1 / ($AV$62:$AV$66*BS338 + (1-$AV$62:$AV$66)*BO338), N($AK$62:$AK$66&gt;$AI338)),
SUMPRODUCT(INDEX($AL$47:$AN$56,,$AE338), INDEX($AO$47:$AU$56,,$AD338), 1 / ($AW$47:$AW$56*BS338 + (1-$AW$47:$AW$56)*BO338), N($AK$47:$AK$56&gt;$AI338))
) / 1000</f>
        <v>0</v>
      </c>
      <c r="BU338" s="253" cm="1">
        <f t="array" ref="BU338">$BC338 * IF($AD338&lt;=2,
SUMPRODUCT(INDEX($AL$23:$AN$61,,$AE338), INDEX($AO$23:$AU$61,,$AD338), 1 / ($AV$23:$AV$61*BS338), N($AK$23:$AK$61&gt;$AI338)),
SUMPRODUCT(INDEX($AL$23:$AN$46,,$AE338), INDEX($AO$23:$AU$46,,$AD338), 1 / ($AW$23:$AW$46*BS338), N($AK$23:$AK$46&gt;$AI338))
) / 1000</f>
        <v>0</v>
      </c>
      <c r="BV338" s="237">
        <f t="shared" si="466"/>
        <v>0</v>
      </c>
      <c r="BW338" s="210"/>
      <c r="BX338" s="237">
        <f t="shared" si="467"/>
        <v>0</v>
      </c>
      <c r="BY338" s="236">
        <v>35</v>
      </c>
      <c r="BZ338" s="237">
        <f t="shared" si="468"/>
        <v>48</v>
      </c>
      <c r="CA338" s="253">
        <f t="shared" si="469"/>
        <v>3.0748170731707316</v>
      </c>
      <c r="CB338" s="253" cm="1">
        <f t="array" ref="CB338">$BC338 * SUMPRODUCT(INDEX($AL$77:$AN$82,,$AE338),INDEX($AO$77:$AU$82,,$AD338), N($AK$77:$AK$82&gt;$AI338)) / CA338 / 1000</f>
        <v>0</v>
      </c>
      <c r="CC338" s="250">
        <f t="shared" si="257"/>
        <v>30</v>
      </c>
      <c r="CD338" s="237">
        <f t="shared" si="470"/>
        <v>43</v>
      </c>
      <c r="CE338" s="253">
        <f t="shared" si="471"/>
        <v>3.5018750000000001</v>
      </c>
      <c r="CF338" s="253" cm="1">
        <f t="array" ref="CF338">$BC338 * IF($AD338&lt;=2,
SUMPRODUCT(INDEX($AL$72:$AN$76,,$AE338), INDEX($AO$72:$AU$76,,$AD338), 1 / ($AV$72:$AV$76*CE338 + (1-$AV$72:$AV$76)*CA338), N($AK$72:$AK$76&gt;$AI338)),
SUMPRODUCT(INDEX($AL$67:$AN$76,,$AE338), INDEX($AO$67:$AU$76,,$AD338), 1 / ($AW$67:$AW$76*CE338 + (1-$AW$67:$AW$76)*CA338), N($AK$67:$AK$76&gt;$AI338))
) / 1000</f>
        <v>0</v>
      </c>
      <c r="CG338" s="250">
        <f t="shared" si="260"/>
        <v>25</v>
      </c>
      <c r="CH338" s="237">
        <f t="shared" si="472"/>
        <v>38</v>
      </c>
      <c r="CI338" s="253">
        <f t="shared" si="473"/>
        <v>4.0666935483870965</v>
      </c>
      <c r="CJ338" s="253" cm="1">
        <f t="array" ref="CJ338">$BC338 * IF($AD338&lt;=2,
SUMPRODUCT(INDEX($AL$67:$AN$71,,$AE338), INDEX($AO$67:$AU$71,,$AD338), 1 / ($AV$67:$AV$71*CI338 + (1-$AV$67:$AV$71)*CE338), N($AK$67:$AK$71&gt;$AI338)),
SUMPRODUCT(INDEX($AL$57:$AN$66,,$AE338), INDEX($AO$57:$AU$66,,$AD338), 1 / ($AW$57:$AW$66*CI338 + (1-$AW$57:$AW$66)*CE338), N($AK$57:$AK$66&gt;$AI338))
) / 1000</f>
        <v>0</v>
      </c>
      <c r="CK338" s="250">
        <f t="shared" si="263"/>
        <v>20</v>
      </c>
      <c r="CL338" s="237">
        <f t="shared" si="474"/>
        <v>33</v>
      </c>
      <c r="CM338" s="253">
        <f t="shared" si="475"/>
        <v>4.8487499999999999</v>
      </c>
      <c r="CN338" s="253" cm="1">
        <f t="array" ref="CN338">$BC338 * IF($AD338&lt;=2,
SUMPRODUCT(INDEX($AL$62:$AN$66,,$AE338), INDEX($AO$62:$AU$66,,$AD338), 1 / ($AV$62:$AV$66*CM338 + (1-$AV$62:$AV$66)*CI338), N($AK$62:$AK$66&gt;$AI338)),
SUMPRODUCT(INDEX($AL$47:$AN$56,,$AE338), INDEX($AO$47:$AU$56,,$AD338), 1 / ($AW$47:$AW$56*CM338 + (1-$AW$47:$AW$56)*CI338), N($AK$47:$AK$56&gt;$AI338))
) / 1000</f>
        <v>0</v>
      </c>
      <c r="CO338" s="253" cm="1">
        <f t="array" ref="CO338">$BC338 * IF($AD338&lt;=2,
SUMPRODUCT(INDEX($AL$23:$AN$61,,$AE338), INDEX($AO$23:$AU$61,,$AD338), 1 / ($AV$23:$AV$61*CM338), N($AK$23:$AK$61&gt;$AI338)),
SUMPRODUCT(INDEX($AL$23:$AN$46,,$AE338), INDEX($AO$23:$AU$46,,$AD338), 1 / ($AW$23:$AW$46*CM338), N($AK$23:$AK$46&gt;$AI338))
) / 1000</f>
        <v>0</v>
      </c>
      <c r="CP338" s="237">
        <f t="shared" si="476"/>
        <v>0</v>
      </c>
      <c r="CQ338" s="210"/>
    </row>
    <row r="339" spans="1:95" s="76" customFormat="1" ht="14.25" customHeight="1" x14ac:dyDescent="0.2">
      <c r="A339" s="238" t="b">
        <f t="shared" si="227"/>
        <v>0</v>
      </c>
      <c r="B339" s="239">
        <v>317</v>
      </c>
      <c r="C339" s="258"/>
      <c r="D339" s="258"/>
      <c r="E339" s="240"/>
      <c r="F339" s="241" t="str">
        <f>IF(ISBLANK(E339), "", VLOOKUP(E339, Z!$A$2:$C$4127, 3, FALSE))</f>
        <v/>
      </c>
      <c r="G339" s="242"/>
      <c r="H339" s="242"/>
      <c r="I339" s="243"/>
      <c r="J339" s="244"/>
      <c r="K339" s="259"/>
      <c r="L339" s="260"/>
      <c r="M339" s="247" t="str" cm="1">
        <f t="array" ref="M339">IF($K339&gt;0, INDEX(Clean,1+AG339,$C$1), "")</f>
        <v/>
      </c>
      <c r="N339" s="245"/>
      <c r="O339" s="245"/>
      <c r="P339" s="246"/>
      <c r="Q339" s="248">
        <f t="shared" si="453"/>
        <v>0</v>
      </c>
      <c r="R339" s="247" t="str" cm="1">
        <f t="array" ref="R339">IF($K339&gt;0, INDEX(Clean,1+AH339,$C$1), "")</f>
        <v/>
      </c>
      <c r="S339" s="245"/>
      <c r="T339" s="245"/>
      <c r="U339" s="246"/>
      <c r="V339" s="248">
        <f t="shared" si="454"/>
        <v>0</v>
      </c>
      <c r="W339" s="261"/>
      <c r="X339" s="258"/>
      <c r="Y339" s="240"/>
      <c r="Z339" s="241" t="str">
        <f>IF(ISBLANK(Y339), "", VLOOKUP(Y339, Z!$A$2:$C$4127, 3, FALSE))</f>
        <v/>
      </c>
      <c r="AA339" s="262"/>
      <c r="AB339" s="249">
        <f t="shared" si="452"/>
        <v>0</v>
      </c>
      <c r="AC339" s="210"/>
      <c r="AD339" s="236">
        <f t="shared" si="477"/>
        <v>1</v>
      </c>
      <c r="AE339" s="236">
        <f t="shared" si="478"/>
        <v>1</v>
      </c>
      <c r="AF339" s="236">
        <f t="shared" si="479"/>
        <v>0</v>
      </c>
      <c r="AG339" s="236">
        <v>1</v>
      </c>
      <c r="AH339" s="236">
        <v>0</v>
      </c>
      <c r="AI339" s="236">
        <f t="shared" si="455"/>
        <v>-100</v>
      </c>
      <c r="AJ339" s="210"/>
      <c r="AK339" s="254"/>
      <c r="AL339" s="254"/>
      <c r="AM339" s="255"/>
      <c r="AN339" s="255"/>
      <c r="AO339" s="255"/>
      <c r="AP339" s="255"/>
      <c r="AQ339" s="255"/>
      <c r="AR339" s="255"/>
      <c r="AS339" s="255"/>
      <c r="AT339" s="255"/>
      <c r="AU339" s="255"/>
      <c r="AV339" s="255"/>
      <c r="AW339" s="255"/>
      <c r="AX339" s="210"/>
      <c r="AY339" s="236" cm="1">
        <f t="array" ref="AY339">INDEX(Use, $AD339, 4)</f>
        <v>7</v>
      </c>
      <c r="AZ339" s="236">
        <f t="shared" si="456"/>
        <v>32</v>
      </c>
      <c r="BA339" s="236">
        <f t="shared" si="239"/>
        <v>13</v>
      </c>
      <c r="BB339" s="236">
        <f t="shared" si="240"/>
        <v>0</v>
      </c>
      <c r="BC339" s="252" cm="1">
        <f t="array" ref="BC339">K339/IF($L339&gt;0, INDEX($AO$23:$AU$77, $L339+20, $AD339), 1)</f>
        <v>0</v>
      </c>
      <c r="BD339" s="237">
        <f t="shared" si="457"/>
        <v>0</v>
      </c>
      <c r="BE339" s="236">
        <v>35</v>
      </c>
      <c r="BF339" s="237">
        <f t="shared" si="458"/>
        <v>52.55</v>
      </c>
      <c r="BG339" s="253">
        <f t="shared" si="459"/>
        <v>2.7676728869374316</v>
      </c>
      <c r="BH339" s="253" cm="1">
        <f t="array" ref="BH339">$BC339 * SUMPRODUCT(INDEX($AL$77:$AN$82,,$AE339),INDEX($AO$77:$AU$82,,$AD339), N($AK$77:$AK$82&gt;$AI339)) / BG339 / 1000</f>
        <v>0</v>
      </c>
      <c r="BI339" s="250">
        <f t="shared" si="244"/>
        <v>30</v>
      </c>
      <c r="BJ339" s="237">
        <f t="shared" si="460"/>
        <v>46.033333333333331</v>
      </c>
      <c r="BK339" s="253">
        <f t="shared" si="461"/>
        <v>3.2297395388556791</v>
      </c>
      <c r="BL339" s="253" cm="1">
        <f t="array" ref="BL339">$BC339 * IF($AD339&lt;=2,
SUMPRODUCT(INDEX($AL$72:$AN$76,,$AE339), INDEX($AO$72:$AU$76,,$AD339), 1 / ($AV$72:$AV$76*BK339 + (1-$AV$72:$AV$76)*BG339), N($AK$72:$AK$76&gt;$AI339)),
SUMPRODUCT(INDEX($AL$67:$AN$76,,$AE339), INDEX($AO$67:$AU$76,,$AD339), 1 / ($AW$67:$AW$76*BK339 + (1-$AW$67:$AW$76)*BG339), N($AK$67:$AK$76&gt;$AI339))
) / 1000</f>
        <v>0</v>
      </c>
      <c r="BM339" s="250">
        <f t="shared" si="247"/>
        <v>25</v>
      </c>
      <c r="BN339" s="237">
        <f t="shared" si="462"/>
        <v>39.516666666666666</v>
      </c>
      <c r="BO339" s="253">
        <f t="shared" si="463"/>
        <v>3.877011788826243</v>
      </c>
      <c r="BP339" s="253" cm="1">
        <f t="array" ref="BP339">$BC339 * IF($AD339&lt;=2,
SUMPRODUCT(INDEX($AL$67:$AN$71,,$AE339), INDEX($AO$67:$AU$71,,$AD339), 1 / ($AV$67:$AV$71*BO339 + (1-$AV$67:$AV$71)*BK339), N($AK$67:$AK$71&gt;$AI339)),
SUMPRODUCT(INDEX($AL$57:$AN$66,,$AE339), INDEX($AO$57:$AU$66,,$AD339), 1 / ($AW$57:$AW$66*BO339 + (1-$AW$57:$AW$66)*BK339), N($AK$57:$AK$66&gt;$AI339))
) / 1000</f>
        <v>0</v>
      </c>
      <c r="BQ339" s="250">
        <f t="shared" si="250"/>
        <v>20</v>
      </c>
      <c r="BR339" s="237">
        <f t="shared" si="464"/>
        <v>33</v>
      </c>
      <c r="BS339" s="253">
        <f t="shared" si="465"/>
        <v>4.8487499999999999</v>
      </c>
      <c r="BT339" s="253" cm="1">
        <f t="array" ref="BT339">$BC339 * IF($AD339&lt;=2,
SUMPRODUCT(INDEX($AL$62:$AN$66,,$AE339), INDEX($AO$62:$AU$66,,$AD339), 1 / ($AV$62:$AV$66*BS339 + (1-$AV$62:$AV$66)*BO339), N($AK$62:$AK$66&gt;$AI339)),
SUMPRODUCT(INDEX($AL$47:$AN$56,,$AE339), INDEX($AO$47:$AU$56,,$AD339), 1 / ($AW$47:$AW$56*BS339 + (1-$AW$47:$AW$56)*BO339), N($AK$47:$AK$56&gt;$AI339))
) / 1000</f>
        <v>0</v>
      </c>
      <c r="BU339" s="253" cm="1">
        <f t="array" ref="BU339">$BC339 * IF($AD339&lt;=2,
SUMPRODUCT(INDEX($AL$23:$AN$61,,$AE339), INDEX($AO$23:$AU$61,,$AD339), 1 / ($AV$23:$AV$61*BS339), N($AK$23:$AK$61&gt;$AI339)),
SUMPRODUCT(INDEX($AL$23:$AN$46,,$AE339), INDEX($AO$23:$AU$46,,$AD339), 1 / ($AW$23:$AW$46*BS339), N($AK$23:$AK$46&gt;$AI339))
) / 1000</f>
        <v>0</v>
      </c>
      <c r="BV339" s="237">
        <f t="shared" si="466"/>
        <v>0</v>
      </c>
      <c r="BW339" s="210"/>
      <c r="BX339" s="237">
        <f t="shared" si="467"/>
        <v>0</v>
      </c>
      <c r="BY339" s="236">
        <v>35</v>
      </c>
      <c r="BZ339" s="237">
        <f t="shared" si="468"/>
        <v>48</v>
      </c>
      <c r="CA339" s="253">
        <f t="shared" si="469"/>
        <v>3.0748170731707316</v>
      </c>
      <c r="CB339" s="253" cm="1">
        <f t="array" ref="CB339">$BC339 * SUMPRODUCT(INDEX($AL$77:$AN$82,,$AE339),INDEX($AO$77:$AU$82,,$AD339), N($AK$77:$AK$82&gt;$AI339)) / CA339 / 1000</f>
        <v>0</v>
      </c>
      <c r="CC339" s="250">
        <f t="shared" si="257"/>
        <v>30</v>
      </c>
      <c r="CD339" s="237">
        <f t="shared" si="470"/>
        <v>43</v>
      </c>
      <c r="CE339" s="253">
        <f t="shared" si="471"/>
        <v>3.5018750000000001</v>
      </c>
      <c r="CF339" s="253" cm="1">
        <f t="array" ref="CF339">$BC339 * IF($AD339&lt;=2,
SUMPRODUCT(INDEX($AL$72:$AN$76,,$AE339), INDEX($AO$72:$AU$76,,$AD339), 1 / ($AV$72:$AV$76*CE339 + (1-$AV$72:$AV$76)*CA339), N($AK$72:$AK$76&gt;$AI339)),
SUMPRODUCT(INDEX($AL$67:$AN$76,,$AE339), INDEX($AO$67:$AU$76,,$AD339), 1 / ($AW$67:$AW$76*CE339 + (1-$AW$67:$AW$76)*CA339), N($AK$67:$AK$76&gt;$AI339))
) / 1000</f>
        <v>0</v>
      </c>
      <c r="CG339" s="250">
        <f t="shared" si="260"/>
        <v>25</v>
      </c>
      <c r="CH339" s="237">
        <f t="shared" si="472"/>
        <v>38</v>
      </c>
      <c r="CI339" s="253">
        <f t="shared" si="473"/>
        <v>4.0666935483870965</v>
      </c>
      <c r="CJ339" s="253" cm="1">
        <f t="array" ref="CJ339">$BC339 * IF($AD339&lt;=2,
SUMPRODUCT(INDEX($AL$67:$AN$71,,$AE339), INDEX($AO$67:$AU$71,,$AD339), 1 / ($AV$67:$AV$71*CI339 + (1-$AV$67:$AV$71)*CE339), N($AK$67:$AK$71&gt;$AI339)),
SUMPRODUCT(INDEX($AL$57:$AN$66,,$AE339), INDEX($AO$57:$AU$66,,$AD339), 1 / ($AW$57:$AW$66*CI339 + (1-$AW$57:$AW$66)*CE339), N($AK$57:$AK$66&gt;$AI339))
) / 1000</f>
        <v>0</v>
      </c>
      <c r="CK339" s="250">
        <f t="shared" si="263"/>
        <v>20</v>
      </c>
      <c r="CL339" s="237">
        <f t="shared" si="474"/>
        <v>33</v>
      </c>
      <c r="CM339" s="253">
        <f t="shared" si="475"/>
        <v>4.8487499999999999</v>
      </c>
      <c r="CN339" s="253" cm="1">
        <f t="array" ref="CN339">$BC339 * IF($AD339&lt;=2,
SUMPRODUCT(INDEX($AL$62:$AN$66,,$AE339), INDEX($AO$62:$AU$66,,$AD339), 1 / ($AV$62:$AV$66*CM339 + (1-$AV$62:$AV$66)*CI339), N($AK$62:$AK$66&gt;$AI339)),
SUMPRODUCT(INDEX($AL$47:$AN$56,,$AE339), INDEX($AO$47:$AU$56,,$AD339), 1 / ($AW$47:$AW$56*CM339 + (1-$AW$47:$AW$56)*CI339), N($AK$47:$AK$56&gt;$AI339))
) / 1000</f>
        <v>0</v>
      </c>
      <c r="CO339" s="253" cm="1">
        <f t="array" ref="CO339">$BC339 * IF($AD339&lt;=2,
SUMPRODUCT(INDEX($AL$23:$AN$61,,$AE339), INDEX($AO$23:$AU$61,,$AD339), 1 / ($AV$23:$AV$61*CM339), N($AK$23:$AK$61&gt;$AI339)),
SUMPRODUCT(INDEX($AL$23:$AN$46,,$AE339), INDEX($AO$23:$AU$46,,$AD339), 1 / ($AW$23:$AW$46*CM339), N($AK$23:$AK$46&gt;$AI339))
) / 1000</f>
        <v>0</v>
      </c>
      <c r="CP339" s="237">
        <f t="shared" si="476"/>
        <v>0</v>
      </c>
      <c r="CQ339" s="210"/>
    </row>
    <row r="340" spans="1:95" s="76" customFormat="1" ht="14.25" customHeight="1" x14ac:dyDescent="0.2">
      <c r="A340" s="238" t="b">
        <f t="shared" si="227"/>
        <v>0</v>
      </c>
      <c r="B340" s="239">
        <v>318</v>
      </c>
      <c r="C340" s="258"/>
      <c r="D340" s="258"/>
      <c r="E340" s="240"/>
      <c r="F340" s="241" t="str">
        <f>IF(ISBLANK(E340), "", VLOOKUP(E340, Z!$A$2:$C$4127, 3, FALSE))</f>
        <v/>
      </c>
      <c r="G340" s="242"/>
      <c r="H340" s="242"/>
      <c r="I340" s="243"/>
      <c r="J340" s="244"/>
      <c r="K340" s="259"/>
      <c r="L340" s="260"/>
      <c r="M340" s="247" t="str" cm="1">
        <f t="array" ref="M340">IF($K340&gt;0, INDEX(Clean,1+AG340,$C$1), "")</f>
        <v/>
      </c>
      <c r="N340" s="245"/>
      <c r="O340" s="245"/>
      <c r="P340" s="246"/>
      <c r="Q340" s="248">
        <f t="shared" si="453"/>
        <v>0</v>
      </c>
      <c r="R340" s="247" t="str" cm="1">
        <f t="array" ref="R340">IF($K340&gt;0, INDEX(Clean,1+AH340,$C$1), "")</f>
        <v/>
      </c>
      <c r="S340" s="245"/>
      <c r="T340" s="245"/>
      <c r="U340" s="246"/>
      <c r="V340" s="248">
        <f t="shared" si="454"/>
        <v>0</v>
      </c>
      <c r="W340" s="261"/>
      <c r="X340" s="258"/>
      <c r="Y340" s="240"/>
      <c r="Z340" s="241" t="str">
        <f>IF(ISBLANK(Y340), "", VLOOKUP(Y340, Z!$A$2:$C$4127, 3, FALSE))</f>
        <v/>
      </c>
      <c r="AA340" s="262"/>
      <c r="AB340" s="249">
        <f t="shared" si="452"/>
        <v>0</v>
      </c>
      <c r="AC340" s="210"/>
      <c r="AD340" s="236">
        <f t="shared" si="477"/>
        <v>1</v>
      </c>
      <c r="AE340" s="236">
        <f t="shared" si="478"/>
        <v>1</v>
      </c>
      <c r="AF340" s="236">
        <f t="shared" si="479"/>
        <v>0</v>
      </c>
      <c r="AG340" s="236">
        <v>1</v>
      </c>
      <c r="AH340" s="236">
        <v>0</v>
      </c>
      <c r="AI340" s="236">
        <f t="shared" si="455"/>
        <v>-100</v>
      </c>
      <c r="AJ340" s="210"/>
      <c r="AK340" s="254"/>
      <c r="AL340" s="254"/>
      <c r="AM340" s="255"/>
      <c r="AN340" s="255"/>
      <c r="AO340" s="255"/>
      <c r="AP340" s="255"/>
      <c r="AQ340" s="255"/>
      <c r="AR340" s="255"/>
      <c r="AS340" s="255"/>
      <c r="AT340" s="255"/>
      <c r="AU340" s="255"/>
      <c r="AV340" s="255"/>
      <c r="AW340" s="255"/>
      <c r="AX340" s="210"/>
      <c r="AY340" s="236" cm="1">
        <f t="array" ref="AY340">INDEX(Use, $AD340, 4)</f>
        <v>7</v>
      </c>
      <c r="AZ340" s="236">
        <f t="shared" si="456"/>
        <v>32</v>
      </c>
      <c r="BA340" s="236">
        <f t="shared" si="239"/>
        <v>13</v>
      </c>
      <c r="BB340" s="236">
        <f t="shared" si="240"/>
        <v>0</v>
      </c>
      <c r="BC340" s="252" cm="1">
        <f t="array" ref="BC340">K340/IF($L340&gt;0, INDEX($AO$23:$AU$77, $L340+20, $AD340), 1)</f>
        <v>0</v>
      </c>
      <c r="BD340" s="237">
        <f t="shared" si="457"/>
        <v>0</v>
      </c>
      <c r="BE340" s="236">
        <v>35</v>
      </c>
      <c r="BF340" s="237">
        <f t="shared" si="458"/>
        <v>52.55</v>
      </c>
      <c r="BG340" s="253">
        <f t="shared" si="459"/>
        <v>2.7676728869374316</v>
      </c>
      <c r="BH340" s="253" cm="1">
        <f t="array" ref="BH340">$BC340 * SUMPRODUCT(INDEX($AL$77:$AN$82,,$AE340),INDEX($AO$77:$AU$82,,$AD340), N($AK$77:$AK$82&gt;$AI340)) / BG340 / 1000</f>
        <v>0</v>
      </c>
      <c r="BI340" s="250">
        <f t="shared" si="244"/>
        <v>30</v>
      </c>
      <c r="BJ340" s="237">
        <f t="shared" si="460"/>
        <v>46.033333333333331</v>
      </c>
      <c r="BK340" s="253">
        <f t="shared" si="461"/>
        <v>3.2297395388556791</v>
      </c>
      <c r="BL340" s="253" cm="1">
        <f t="array" ref="BL340">$BC340 * IF($AD340&lt;=2,
SUMPRODUCT(INDEX($AL$72:$AN$76,,$AE340), INDEX($AO$72:$AU$76,,$AD340), 1 / ($AV$72:$AV$76*BK340 + (1-$AV$72:$AV$76)*BG340), N($AK$72:$AK$76&gt;$AI340)),
SUMPRODUCT(INDEX($AL$67:$AN$76,,$AE340), INDEX($AO$67:$AU$76,,$AD340), 1 / ($AW$67:$AW$76*BK340 + (1-$AW$67:$AW$76)*BG340), N($AK$67:$AK$76&gt;$AI340))
) / 1000</f>
        <v>0</v>
      </c>
      <c r="BM340" s="250">
        <f t="shared" si="247"/>
        <v>25</v>
      </c>
      <c r="BN340" s="237">
        <f t="shared" si="462"/>
        <v>39.516666666666666</v>
      </c>
      <c r="BO340" s="253">
        <f t="shared" si="463"/>
        <v>3.877011788826243</v>
      </c>
      <c r="BP340" s="253" cm="1">
        <f t="array" ref="BP340">$BC340 * IF($AD340&lt;=2,
SUMPRODUCT(INDEX($AL$67:$AN$71,,$AE340), INDEX($AO$67:$AU$71,,$AD340), 1 / ($AV$67:$AV$71*BO340 + (1-$AV$67:$AV$71)*BK340), N($AK$67:$AK$71&gt;$AI340)),
SUMPRODUCT(INDEX($AL$57:$AN$66,,$AE340), INDEX($AO$57:$AU$66,,$AD340), 1 / ($AW$57:$AW$66*BO340 + (1-$AW$57:$AW$66)*BK340), N($AK$57:$AK$66&gt;$AI340))
) / 1000</f>
        <v>0</v>
      </c>
      <c r="BQ340" s="250">
        <f t="shared" si="250"/>
        <v>20</v>
      </c>
      <c r="BR340" s="237">
        <f t="shared" si="464"/>
        <v>33</v>
      </c>
      <c r="BS340" s="253">
        <f t="shared" si="465"/>
        <v>4.8487499999999999</v>
      </c>
      <c r="BT340" s="253" cm="1">
        <f t="array" ref="BT340">$BC340 * IF($AD340&lt;=2,
SUMPRODUCT(INDEX($AL$62:$AN$66,,$AE340), INDEX($AO$62:$AU$66,,$AD340), 1 / ($AV$62:$AV$66*BS340 + (1-$AV$62:$AV$66)*BO340), N($AK$62:$AK$66&gt;$AI340)),
SUMPRODUCT(INDEX($AL$47:$AN$56,,$AE340), INDEX($AO$47:$AU$56,,$AD340), 1 / ($AW$47:$AW$56*BS340 + (1-$AW$47:$AW$56)*BO340), N($AK$47:$AK$56&gt;$AI340))
) / 1000</f>
        <v>0</v>
      </c>
      <c r="BU340" s="253" cm="1">
        <f t="array" ref="BU340">$BC340 * IF($AD340&lt;=2,
SUMPRODUCT(INDEX($AL$23:$AN$61,,$AE340), INDEX($AO$23:$AU$61,,$AD340), 1 / ($AV$23:$AV$61*BS340), N($AK$23:$AK$61&gt;$AI340)),
SUMPRODUCT(INDEX($AL$23:$AN$46,,$AE340), INDEX($AO$23:$AU$46,,$AD340), 1 / ($AW$23:$AW$46*BS340), N($AK$23:$AK$46&gt;$AI340))
) / 1000</f>
        <v>0</v>
      </c>
      <c r="BV340" s="237">
        <f t="shared" si="466"/>
        <v>0</v>
      </c>
      <c r="BW340" s="210"/>
      <c r="BX340" s="237">
        <f t="shared" si="467"/>
        <v>0</v>
      </c>
      <c r="BY340" s="236">
        <v>35</v>
      </c>
      <c r="BZ340" s="237">
        <f t="shared" si="468"/>
        <v>48</v>
      </c>
      <c r="CA340" s="253">
        <f t="shared" si="469"/>
        <v>3.0748170731707316</v>
      </c>
      <c r="CB340" s="253" cm="1">
        <f t="array" ref="CB340">$BC340 * SUMPRODUCT(INDEX($AL$77:$AN$82,,$AE340),INDEX($AO$77:$AU$82,,$AD340), N($AK$77:$AK$82&gt;$AI340)) / CA340 / 1000</f>
        <v>0</v>
      </c>
      <c r="CC340" s="250">
        <f t="shared" si="257"/>
        <v>30</v>
      </c>
      <c r="CD340" s="237">
        <f t="shared" si="470"/>
        <v>43</v>
      </c>
      <c r="CE340" s="253">
        <f t="shared" si="471"/>
        <v>3.5018750000000001</v>
      </c>
      <c r="CF340" s="253" cm="1">
        <f t="array" ref="CF340">$BC340 * IF($AD340&lt;=2,
SUMPRODUCT(INDEX($AL$72:$AN$76,,$AE340), INDEX($AO$72:$AU$76,,$AD340), 1 / ($AV$72:$AV$76*CE340 + (1-$AV$72:$AV$76)*CA340), N($AK$72:$AK$76&gt;$AI340)),
SUMPRODUCT(INDEX($AL$67:$AN$76,,$AE340), INDEX($AO$67:$AU$76,,$AD340), 1 / ($AW$67:$AW$76*CE340 + (1-$AW$67:$AW$76)*CA340), N($AK$67:$AK$76&gt;$AI340))
) / 1000</f>
        <v>0</v>
      </c>
      <c r="CG340" s="250">
        <f t="shared" si="260"/>
        <v>25</v>
      </c>
      <c r="CH340" s="237">
        <f t="shared" si="472"/>
        <v>38</v>
      </c>
      <c r="CI340" s="253">
        <f t="shared" si="473"/>
        <v>4.0666935483870965</v>
      </c>
      <c r="CJ340" s="253" cm="1">
        <f t="array" ref="CJ340">$BC340 * IF($AD340&lt;=2,
SUMPRODUCT(INDEX($AL$67:$AN$71,,$AE340), INDEX($AO$67:$AU$71,,$AD340), 1 / ($AV$67:$AV$71*CI340 + (1-$AV$67:$AV$71)*CE340), N($AK$67:$AK$71&gt;$AI340)),
SUMPRODUCT(INDEX($AL$57:$AN$66,,$AE340), INDEX($AO$57:$AU$66,,$AD340), 1 / ($AW$57:$AW$66*CI340 + (1-$AW$57:$AW$66)*CE340), N($AK$57:$AK$66&gt;$AI340))
) / 1000</f>
        <v>0</v>
      </c>
      <c r="CK340" s="250">
        <f t="shared" si="263"/>
        <v>20</v>
      </c>
      <c r="CL340" s="237">
        <f t="shared" si="474"/>
        <v>33</v>
      </c>
      <c r="CM340" s="253">
        <f t="shared" si="475"/>
        <v>4.8487499999999999</v>
      </c>
      <c r="CN340" s="253" cm="1">
        <f t="array" ref="CN340">$BC340 * IF($AD340&lt;=2,
SUMPRODUCT(INDEX($AL$62:$AN$66,,$AE340), INDEX($AO$62:$AU$66,,$AD340), 1 / ($AV$62:$AV$66*CM340 + (1-$AV$62:$AV$66)*CI340), N($AK$62:$AK$66&gt;$AI340)),
SUMPRODUCT(INDEX($AL$47:$AN$56,,$AE340), INDEX($AO$47:$AU$56,,$AD340), 1 / ($AW$47:$AW$56*CM340 + (1-$AW$47:$AW$56)*CI340), N($AK$47:$AK$56&gt;$AI340))
) / 1000</f>
        <v>0</v>
      </c>
      <c r="CO340" s="253" cm="1">
        <f t="array" ref="CO340">$BC340 * IF($AD340&lt;=2,
SUMPRODUCT(INDEX($AL$23:$AN$61,,$AE340), INDEX($AO$23:$AU$61,,$AD340), 1 / ($AV$23:$AV$61*CM340), N($AK$23:$AK$61&gt;$AI340)),
SUMPRODUCT(INDEX($AL$23:$AN$46,,$AE340), INDEX($AO$23:$AU$46,,$AD340), 1 / ($AW$23:$AW$46*CM340), N($AK$23:$AK$46&gt;$AI340))
) / 1000</f>
        <v>0</v>
      </c>
      <c r="CP340" s="237">
        <f t="shared" si="476"/>
        <v>0</v>
      </c>
      <c r="CQ340" s="210"/>
    </row>
    <row r="341" spans="1:95" s="76" customFormat="1" ht="14.25" customHeight="1" x14ac:dyDescent="0.2">
      <c r="A341" s="238" t="b">
        <f t="shared" si="227"/>
        <v>0</v>
      </c>
      <c r="B341" s="239">
        <v>319</v>
      </c>
      <c r="C341" s="258"/>
      <c r="D341" s="258"/>
      <c r="E341" s="240"/>
      <c r="F341" s="241" t="str">
        <f>IF(ISBLANK(E341), "", VLOOKUP(E341, Z!$A$2:$C$4127, 3, FALSE))</f>
        <v/>
      </c>
      <c r="G341" s="242"/>
      <c r="H341" s="242"/>
      <c r="I341" s="243"/>
      <c r="J341" s="244"/>
      <c r="K341" s="259"/>
      <c r="L341" s="260"/>
      <c r="M341" s="247" t="str" cm="1">
        <f t="array" ref="M341">IF($K341&gt;0, INDEX(Clean,1+AG341,$C$1), "")</f>
        <v/>
      </c>
      <c r="N341" s="245"/>
      <c r="O341" s="245"/>
      <c r="P341" s="246"/>
      <c r="Q341" s="248">
        <f t="shared" si="453"/>
        <v>0</v>
      </c>
      <c r="R341" s="247" t="str" cm="1">
        <f t="array" ref="R341">IF($K341&gt;0, INDEX(Clean,1+AH341,$C$1), "")</f>
        <v/>
      </c>
      <c r="S341" s="245"/>
      <c r="T341" s="245"/>
      <c r="U341" s="246"/>
      <c r="V341" s="248">
        <f t="shared" si="454"/>
        <v>0</v>
      </c>
      <c r="W341" s="261"/>
      <c r="X341" s="258"/>
      <c r="Y341" s="240"/>
      <c r="Z341" s="241" t="str">
        <f>IF(ISBLANK(Y341), "", VLOOKUP(Y341, Z!$A$2:$C$4127, 3, FALSE))</f>
        <v/>
      </c>
      <c r="AA341" s="262"/>
      <c r="AB341" s="249">
        <f t="shared" si="452"/>
        <v>0</v>
      </c>
      <c r="AC341" s="210"/>
      <c r="AD341" s="236">
        <f t="shared" si="477"/>
        <v>1</v>
      </c>
      <c r="AE341" s="236">
        <f t="shared" si="478"/>
        <v>1</v>
      </c>
      <c r="AF341" s="236">
        <f t="shared" si="479"/>
        <v>0</v>
      </c>
      <c r="AG341" s="236">
        <v>1</v>
      </c>
      <c r="AH341" s="236">
        <v>0</v>
      </c>
      <c r="AI341" s="236">
        <f t="shared" si="455"/>
        <v>-100</v>
      </c>
      <c r="AJ341" s="210"/>
      <c r="AK341" s="254"/>
      <c r="AL341" s="254"/>
      <c r="AM341" s="255"/>
      <c r="AN341" s="255"/>
      <c r="AO341" s="255"/>
      <c r="AP341" s="255"/>
      <c r="AQ341" s="255"/>
      <c r="AR341" s="255"/>
      <c r="AS341" s="255"/>
      <c r="AT341" s="255"/>
      <c r="AU341" s="255"/>
      <c r="AV341" s="255"/>
      <c r="AW341" s="255"/>
      <c r="AX341" s="210"/>
      <c r="AY341" s="236" cm="1">
        <f t="array" ref="AY341">INDEX(Use, $AD341, 4)</f>
        <v>7</v>
      </c>
      <c r="AZ341" s="236">
        <f t="shared" si="456"/>
        <v>32</v>
      </c>
      <c r="BA341" s="236">
        <f t="shared" si="239"/>
        <v>13</v>
      </c>
      <c r="BB341" s="236">
        <f t="shared" si="240"/>
        <v>0</v>
      </c>
      <c r="BC341" s="252" cm="1">
        <f t="array" ref="BC341">K341/IF($L341&gt;0, INDEX($AO$23:$AU$77, $L341+20, $AD341), 1)</f>
        <v>0</v>
      </c>
      <c r="BD341" s="237">
        <f t="shared" si="457"/>
        <v>0</v>
      </c>
      <c r="BE341" s="236">
        <v>35</v>
      </c>
      <c r="BF341" s="237">
        <f t="shared" si="458"/>
        <v>52.55</v>
      </c>
      <c r="BG341" s="253">
        <f t="shared" si="459"/>
        <v>2.7676728869374316</v>
      </c>
      <c r="BH341" s="253" cm="1">
        <f t="array" ref="BH341">$BC341 * SUMPRODUCT(INDEX($AL$77:$AN$82,,$AE341),INDEX($AO$77:$AU$82,,$AD341), N($AK$77:$AK$82&gt;$AI341)) / BG341 / 1000</f>
        <v>0</v>
      </c>
      <c r="BI341" s="250">
        <f t="shared" si="244"/>
        <v>30</v>
      </c>
      <c r="BJ341" s="237">
        <f t="shared" si="460"/>
        <v>46.033333333333331</v>
      </c>
      <c r="BK341" s="253">
        <f t="shared" si="461"/>
        <v>3.2297395388556791</v>
      </c>
      <c r="BL341" s="253" cm="1">
        <f t="array" ref="BL341">$BC341 * IF($AD341&lt;=2,
SUMPRODUCT(INDEX($AL$72:$AN$76,,$AE341), INDEX($AO$72:$AU$76,,$AD341), 1 / ($AV$72:$AV$76*BK341 + (1-$AV$72:$AV$76)*BG341), N($AK$72:$AK$76&gt;$AI341)),
SUMPRODUCT(INDEX($AL$67:$AN$76,,$AE341), INDEX($AO$67:$AU$76,,$AD341), 1 / ($AW$67:$AW$76*BK341 + (1-$AW$67:$AW$76)*BG341), N($AK$67:$AK$76&gt;$AI341))
) / 1000</f>
        <v>0</v>
      </c>
      <c r="BM341" s="250">
        <f t="shared" si="247"/>
        <v>25</v>
      </c>
      <c r="BN341" s="237">
        <f t="shared" si="462"/>
        <v>39.516666666666666</v>
      </c>
      <c r="BO341" s="253">
        <f t="shared" si="463"/>
        <v>3.877011788826243</v>
      </c>
      <c r="BP341" s="253" cm="1">
        <f t="array" ref="BP341">$BC341 * IF($AD341&lt;=2,
SUMPRODUCT(INDEX($AL$67:$AN$71,,$AE341), INDEX($AO$67:$AU$71,,$AD341), 1 / ($AV$67:$AV$71*BO341 + (1-$AV$67:$AV$71)*BK341), N($AK$67:$AK$71&gt;$AI341)),
SUMPRODUCT(INDEX($AL$57:$AN$66,,$AE341), INDEX($AO$57:$AU$66,,$AD341), 1 / ($AW$57:$AW$66*BO341 + (1-$AW$57:$AW$66)*BK341), N($AK$57:$AK$66&gt;$AI341))
) / 1000</f>
        <v>0</v>
      </c>
      <c r="BQ341" s="250">
        <f t="shared" si="250"/>
        <v>20</v>
      </c>
      <c r="BR341" s="237">
        <f t="shared" si="464"/>
        <v>33</v>
      </c>
      <c r="BS341" s="253">
        <f t="shared" si="465"/>
        <v>4.8487499999999999</v>
      </c>
      <c r="BT341" s="253" cm="1">
        <f t="array" ref="BT341">$BC341 * IF($AD341&lt;=2,
SUMPRODUCT(INDEX($AL$62:$AN$66,,$AE341), INDEX($AO$62:$AU$66,,$AD341), 1 / ($AV$62:$AV$66*BS341 + (1-$AV$62:$AV$66)*BO341), N($AK$62:$AK$66&gt;$AI341)),
SUMPRODUCT(INDEX($AL$47:$AN$56,,$AE341), INDEX($AO$47:$AU$56,,$AD341), 1 / ($AW$47:$AW$56*BS341 + (1-$AW$47:$AW$56)*BO341), N($AK$47:$AK$56&gt;$AI341))
) / 1000</f>
        <v>0</v>
      </c>
      <c r="BU341" s="253" cm="1">
        <f t="array" ref="BU341">$BC341 * IF($AD341&lt;=2,
SUMPRODUCT(INDEX($AL$23:$AN$61,,$AE341), INDEX($AO$23:$AU$61,,$AD341), 1 / ($AV$23:$AV$61*BS341), N($AK$23:$AK$61&gt;$AI341)),
SUMPRODUCT(INDEX($AL$23:$AN$46,,$AE341), INDEX($AO$23:$AU$46,,$AD341), 1 / ($AW$23:$AW$46*BS341), N($AK$23:$AK$46&gt;$AI341))
) / 1000</f>
        <v>0</v>
      </c>
      <c r="BV341" s="237">
        <f t="shared" si="466"/>
        <v>0</v>
      </c>
      <c r="BW341" s="210"/>
      <c r="BX341" s="237">
        <f t="shared" si="467"/>
        <v>0</v>
      </c>
      <c r="BY341" s="236">
        <v>35</v>
      </c>
      <c r="BZ341" s="237">
        <f t="shared" si="468"/>
        <v>48</v>
      </c>
      <c r="CA341" s="253">
        <f t="shared" si="469"/>
        <v>3.0748170731707316</v>
      </c>
      <c r="CB341" s="253" cm="1">
        <f t="array" ref="CB341">$BC341 * SUMPRODUCT(INDEX($AL$77:$AN$82,,$AE341),INDEX($AO$77:$AU$82,,$AD341), N($AK$77:$AK$82&gt;$AI341)) / CA341 / 1000</f>
        <v>0</v>
      </c>
      <c r="CC341" s="250">
        <f t="shared" si="257"/>
        <v>30</v>
      </c>
      <c r="CD341" s="237">
        <f t="shared" si="470"/>
        <v>43</v>
      </c>
      <c r="CE341" s="253">
        <f t="shared" si="471"/>
        <v>3.5018750000000001</v>
      </c>
      <c r="CF341" s="253" cm="1">
        <f t="array" ref="CF341">$BC341 * IF($AD341&lt;=2,
SUMPRODUCT(INDEX($AL$72:$AN$76,,$AE341), INDEX($AO$72:$AU$76,,$AD341), 1 / ($AV$72:$AV$76*CE341 + (1-$AV$72:$AV$76)*CA341), N($AK$72:$AK$76&gt;$AI341)),
SUMPRODUCT(INDEX($AL$67:$AN$76,,$AE341), INDEX($AO$67:$AU$76,,$AD341), 1 / ($AW$67:$AW$76*CE341 + (1-$AW$67:$AW$76)*CA341), N($AK$67:$AK$76&gt;$AI341))
) / 1000</f>
        <v>0</v>
      </c>
      <c r="CG341" s="250">
        <f t="shared" si="260"/>
        <v>25</v>
      </c>
      <c r="CH341" s="237">
        <f t="shared" si="472"/>
        <v>38</v>
      </c>
      <c r="CI341" s="253">
        <f t="shared" si="473"/>
        <v>4.0666935483870965</v>
      </c>
      <c r="CJ341" s="253" cm="1">
        <f t="array" ref="CJ341">$BC341 * IF($AD341&lt;=2,
SUMPRODUCT(INDEX($AL$67:$AN$71,,$AE341), INDEX($AO$67:$AU$71,,$AD341), 1 / ($AV$67:$AV$71*CI341 + (1-$AV$67:$AV$71)*CE341), N($AK$67:$AK$71&gt;$AI341)),
SUMPRODUCT(INDEX($AL$57:$AN$66,,$AE341), INDEX($AO$57:$AU$66,,$AD341), 1 / ($AW$57:$AW$66*CI341 + (1-$AW$57:$AW$66)*CE341), N($AK$57:$AK$66&gt;$AI341))
) / 1000</f>
        <v>0</v>
      </c>
      <c r="CK341" s="250">
        <f t="shared" si="263"/>
        <v>20</v>
      </c>
      <c r="CL341" s="237">
        <f t="shared" si="474"/>
        <v>33</v>
      </c>
      <c r="CM341" s="253">
        <f t="shared" si="475"/>
        <v>4.8487499999999999</v>
      </c>
      <c r="CN341" s="253" cm="1">
        <f t="array" ref="CN341">$BC341 * IF($AD341&lt;=2,
SUMPRODUCT(INDEX($AL$62:$AN$66,,$AE341), INDEX($AO$62:$AU$66,,$AD341), 1 / ($AV$62:$AV$66*CM341 + (1-$AV$62:$AV$66)*CI341), N($AK$62:$AK$66&gt;$AI341)),
SUMPRODUCT(INDEX($AL$47:$AN$56,,$AE341), INDEX($AO$47:$AU$56,,$AD341), 1 / ($AW$47:$AW$56*CM341 + (1-$AW$47:$AW$56)*CI341), N($AK$47:$AK$56&gt;$AI341))
) / 1000</f>
        <v>0</v>
      </c>
      <c r="CO341" s="253" cm="1">
        <f t="array" ref="CO341">$BC341 * IF($AD341&lt;=2,
SUMPRODUCT(INDEX($AL$23:$AN$61,,$AE341), INDEX($AO$23:$AU$61,,$AD341), 1 / ($AV$23:$AV$61*CM341), N($AK$23:$AK$61&gt;$AI341)),
SUMPRODUCT(INDEX($AL$23:$AN$46,,$AE341), INDEX($AO$23:$AU$46,,$AD341), 1 / ($AW$23:$AW$46*CM341), N($AK$23:$AK$46&gt;$AI341))
) / 1000</f>
        <v>0</v>
      </c>
      <c r="CP341" s="237">
        <f t="shared" si="476"/>
        <v>0</v>
      </c>
      <c r="CQ341" s="210"/>
    </row>
    <row r="342" spans="1:95" s="76" customFormat="1" ht="14.25" customHeight="1" x14ac:dyDescent="0.2">
      <c r="A342" s="238" t="b">
        <f t="shared" ref="A342:A405" si="480">IF(OR(AND($K342&gt;80, $AD342=1), AND($K342&gt;40, $AD342=3), AND($K342&gt;30, $AD342=4),), TRUE, FALSE)</f>
        <v>0</v>
      </c>
      <c r="B342" s="239">
        <v>320</v>
      </c>
      <c r="C342" s="258"/>
      <c r="D342" s="258"/>
      <c r="E342" s="240"/>
      <c r="F342" s="241" t="str">
        <f>IF(ISBLANK(E342), "", VLOOKUP(E342, Z!$A$2:$C$4127, 3, FALSE))</f>
        <v/>
      </c>
      <c r="G342" s="242"/>
      <c r="H342" s="242"/>
      <c r="I342" s="243"/>
      <c r="J342" s="244"/>
      <c r="K342" s="259"/>
      <c r="L342" s="260"/>
      <c r="M342" s="247" t="str" cm="1">
        <f t="array" ref="M342">IF($K342&gt;0, INDEX(Clean,1+AG342,$C$1), "")</f>
        <v/>
      </c>
      <c r="N342" s="245"/>
      <c r="O342" s="245"/>
      <c r="P342" s="246"/>
      <c r="Q342" s="248">
        <f t="shared" si="453"/>
        <v>0</v>
      </c>
      <c r="R342" s="247" t="str" cm="1">
        <f t="array" ref="R342">IF($K342&gt;0, INDEX(Clean,1+AH342,$C$1), "")</f>
        <v/>
      </c>
      <c r="S342" s="245"/>
      <c r="T342" s="245"/>
      <c r="U342" s="246"/>
      <c r="V342" s="248">
        <f t="shared" si="454"/>
        <v>0</v>
      </c>
      <c r="W342" s="261"/>
      <c r="X342" s="258"/>
      <c r="Y342" s="240"/>
      <c r="Z342" s="241" t="str">
        <f>IF(ISBLANK(Y342), "", VLOOKUP(Y342, Z!$A$2:$C$4127, 3, FALSE))</f>
        <v/>
      </c>
      <c r="AA342" s="262"/>
      <c r="AB342" s="249">
        <f t="shared" si="452"/>
        <v>0</v>
      </c>
      <c r="AC342" s="210"/>
      <c r="AD342" s="236">
        <f t="shared" si="477"/>
        <v>1</v>
      </c>
      <c r="AE342" s="236">
        <f t="shared" si="478"/>
        <v>1</v>
      </c>
      <c r="AF342" s="236">
        <f t="shared" si="479"/>
        <v>0</v>
      </c>
      <c r="AG342" s="236">
        <v>1</v>
      </c>
      <c r="AH342" s="236">
        <v>0</v>
      </c>
      <c r="AI342" s="236">
        <f t="shared" si="455"/>
        <v>-100</v>
      </c>
      <c r="AJ342" s="210"/>
      <c r="AK342" s="254"/>
      <c r="AL342" s="254"/>
      <c r="AM342" s="255"/>
      <c r="AN342" s="255"/>
      <c r="AO342" s="255"/>
      <c r="AP342" s="255"/>
      <c r="AQ342" s="255"/>
      <c r="AR342" s="255"/>
      <c r="AS342" s="255"/>
      <c r="AT342" s="255"/>
      <c r="AU342" s="255"/>
      <c r="AV342" s="255"/>
      <c r="AW342" s="255"/>
      <c r="AX342" s="210"/>
      <c r="AY342" s="236" cm="1">
        <f t="array" ref="AY342">INDEX(Use, $AD342, 4)</f>
        <v>7</v>
      </c>
      <c r="AZ342" s="236">
        <f t="shared" si="456"/>
        <v>32</v>
      </c>
      <c r="BA342" s="236">
        <f t="shared" si="239"/>
        <v>13</v>
      </c>
      <c r="BB342" s="236">
        <f t="shared" si="240"/>
        <v>0</v>
      </c>
      <c r="BC342" s="252" cm="1">
        <f t="array" ref="BC342">K342/IF($L342&gt;0, INDEX($AO$23:$AU$77, $L342+20, $AD342), 1)</f>
        <v>0</v>
      </c>
      <c r="BD342" s="237">
        <f t="shared" si="457"/>
        <v>0</v>
      </c>
      <c r="BE342" s="236">
        <v>35</v>
      </c>
      <c r="BF342" s="237">
        <f t="shared" si="458"/>
        <v>52.55</v>
      </c>
      <c r="BG342" s="253">
        <f t="shared" si="459"/>
        <v>2.7676728869374316</v>
      </c>
      <c r="BH342" s="253" cm="1">
        <f t="array" ref="BH342">$BC342 * SUMPRODUCT(INDEX($AL$77:$AN$82,,$AE342),INDEX($AO$77:$AU$82,,$AD342), N($AK$77:$AK$82&gt;$AI342)) / BG342 / 1000</f>
        <v>0</v>
      </c>
      <c r="BI342" s="250">
        <f t="shared" si="244"/>
        <v>30</v>
      </c>
      <c r="BJ342" s="237">
        <f t="shared" si="460"/>
        <v>46.033333333333331</v>
      </c>
      <c r="BK342" s="253">
        <f t="shared" si="461"/>
        <v>3.2297395388556791</v>
      </c>
      <c r="BL342" s="253" cm="1">
        <f t="array" ref="BL342">$BC342 * IF($AD342&lt;=2,
SUMPRODUCT(INDEX($AL$72:$AN$76,,$AE342), INDEX($AO$72:$AU$76,,$AD342), 1 / ($AV$72:$AV$76*BK342 + (1-$AV$72:$AV$76)*BG342), N($AK$72:$AK$76&gt;$AI342)),
SUMPRODUCT(INDEX($AL$67:$AN$76,,$AE342), INDEX($AO$67:$AU$76,,$AD342), 1 / ($AW$67:$AW$76*BK342 + (1-$AW$67:$AW$76)*BG342), N($AK$67:$AK$76&gt;$AI342))
) / 1000</f>
        <v>0</v>
      </c>
      <c r="BM342" s="250">
        <f t="shared" si="247"/>
        <v>25</v>
      </c>
      <c r="BN342" s="237">
        <f t="shared" si="462"/>
        <v>39.516666666666666</v>
      </c>
      <c r="BO342" s="253">
        <f t="shared" si="463"/>
        <v>3.877011788826243</v>
      </c>
      <c r="BP342" s="253" cm="1">
        <f t="array" ref="BP342">$BC342 * IF($AD342&lt;=2,
SUMPRODUCT(INDEX($AL$67:$AN$71,,$AE342), INDEX($AO$67:$AU$71,,$AD342), 1 / ($AV$67:$AV$71*BO342 + (1-$AV$67:$AV$71)*BK342), N($AK$67:$AK$71&gt;$AI342)),
SUMPRODUCT(INDEX($AL$57:$AN$66,,$AE342), INDEX($AO$57:$AU$66,,$AD342), 1 / ($AW$57:$AW$66*BO342 + (1-$AW$57:$AW$66)*BK342), N($AK$57:$AK$66&gt;$AI342))
) / 1000</f>
        <v>0</v>
      </c>
      <c r="BQ342" s="250">
        <f t="shared" si="250"/>
        <v>20</v>
      </c>
      <c r="BR342" s="237">
        <f t="shared" si="464"/>
        <v>33</v>
      </c>
      <c r="BS342" s="253">
        <f t="shared" si="465"/>
        <v>4.8487499999999999</v>
      </c>
      <c r="BT342" s="253" cm="1">
        <f t="array" ref="BT342">$BC342 * IF($AD342&lt;=2,
SUMPRODUCT(INDEX($AL$62:$AN$66,,$AE342), INDEX($AO$62:$AU$66,,$AD342), 1 / ($AV$62:$AV$66*BS342 + (1-$AV$62:$AV$66)*BO342), N($AK$62:$AK$66&gt;$AI342)),
SUMPRODUCT(INDEX($AL$47:$AN$56,,$AE342), INDEX($AO$47:$AU$56,,$AD342), 1 / ($AW$47:$AW$56*BS342 + (1-$AW$47:$AW$56)*BO342), N($AK$47:$AK$56&gt;$AI342))
) / 1000</f>
        <v>0</v>
      </c>
      <c r="BU342" s="253" cm="1">
        <f t="array" ref="BU342">$BC342 * IF($AD342&lt;=2,
SUMPRODUCT(INDEX($AL$23:$AN$61,,$AE342), INDEX($AO$23:$AU$61,,$AD342), 1 / ($AV$23:$AV$61*BS342), N($AK$23:$AK$61&gt;$AI342)),
SUMPRODUCT(INDEX($AL$23:$AN$46,,$AE342), INDEX($AO$23:$AU$46,,$AD342), 1 / ($AW$23:$AW$46*BS342), N($AK$23:$AK$46&gt;$AI342))
) / 1000</f>
        <v>0</v>
      </c>
      <c r="BV342" s="237">
        <f t="shared" si="466"/>
        <v>0</v>
      </c>
      <c r="BW342" s="210"/>
      <c r="BX342" s="237">
        <f t="shared" si="467"/>
        <v>0</v>
      </c>
      <c r="BY342" s="236">
        <v>35</v>
      </c>
      <c r="BZ342" s="237">
        <f t="shared" si="468"/>
        <v>48</v>
      </c>
      <c r="CA342" s="253">
        <f t="shared" si="469"/>
        <v>3.0748170731707316</v>
      </c>
      <c r="CB342" s="253" cm="1">
        <f t="array" ref="CB342">$BC342 * SUMPRODUCT(INDEX($AL$77:$AN$82,,$AE342),INDEX($AO$77:$AU$82,,$AD342), N($AK$77:$AK$82&gt;$AI342)) / CA342 / 1000</f>
        <v>0</v>
      </c>
      <c r="CC342" s="250">
        <f t="shared" si="257"/>
        <v>30</v>
      </c>
      <c r="CD342" s="237">
        <f t="shared" si="470"/>
        <v>43</v>
      </c>
      <c r="CE342" s="253">
        <f t="shared" si="471"/>
        <v>3.5018750000000001</v>
      </c>
      <c r="CF342" s="253" cm="1">
        <f t="array" ref="CF342">$BC342 * IF($AD342&lt;=2,
SUMPRODUCT(INDEX($AL$72:$AN$76,,$AE342), INDEX($AO$72:$AU$76,,$AD342), 1 / ($AV$72:$AV$76*CE342 + (1-$AV$72:$AV$76)*CA342), N($AK$72:$AK$76&gt;$AI342)),
SUMPRODUCT(INDEX($AL$67:$AN$76,,$AE342), INDEX($AO$67:$AU$76,,$AD342), 1 / ($AW$67:$AW$76*CE342 + (1-$AW$67:$AW$76)*CA342), N($AK$67:$AK$76&gt;$AI342))
) / 1000</f>
        <v>0</v>
      </c>
      <c r="CG342" s="250">
        <f t="shared" si="260"/>
        <v>25</v>
      </c>
      <c r="CH342" s="237">
        <f t="shared" si="472"/>
        <v>38</v>
      </c>
      <c r="CI342" s="253">
        <f t="shared" si="473"/>
        <v>4.0666935483870965</v>
      </c>
      <c r="CJ342" s="253" cm="1">
        <f t="array" ref="CJ342">$BC342 * IF($AD342&lt;=2,
SUMPRODUCT(INDEX($AL$67:$AN$71,,$AE342), INDEX($AO$67:$AU$71,,$AD342), 1 / ($AV$67:$AV$71*CI342 + (1-$AV$67:$AV$71)*CE342), N($AK$67:$AK$71&gt;$AI342)),
SUMPRODUCT(INDEX($AL$57:$AN$66,,$AE342), INDEX($AO$57:$AU$66,,$AD342), 1 / ($AW$57:$AW$66*CI342 + (1-$AW$57:$AW$66)*CE342), N($AK$57:$AK$66&gt;$AI342))
) / 1000</f>
        <v>0</v>
      </c>
      <c r="CK342" s="250">
        <f t="shared" si="263"/>
        <v>20</v>
      </c>
      <c r="CL342" s="237">
        <f t="shared" si="474"/>
        <v>33</v>
      </c>
      <c r="CM342" s="253">
        <f t="shared" si="475"/>
        <v>4.8487499999999999</v>
      </c>
      <c r="CN342" s="253" cm="1">
        <f t="array" ref="CN342">$BC342 * IF($AD342&lt;=2,
SUMPRODUCT(INDEX($AL$62:$AN$66,,$AE342), INDEX($AO$62:$AU$66,,$AD342), 1 / ($AV$62:$AV$66*CM342 + (1-$AV$62:$AV$66)*CI342), N($AK$62:$AK$66&gt;$AI342)),
SUMPRODUCT(INDEX($AL$47:$AN$56,,$AE342), INDEX($AO$47:$AU$56,,$AD342), 1 / ($AW$47:$AW$56*CM342 + (1-$AW$47:$AW$56)*CI342), N($AK$47:$AK$56&gt;$AI342))
) / 1000</f>
        <v>0</v>
      </c>
      <c r="CO342" s="253" cm="1">
        <f t="array" ref="CO342">$BC342 * IF($AD342&lt;=2,
SUMPRODUCT(INDEX($AL$23:$AN$61,,$AE342), INDEX($AO$23:$AU$61,,$AD342), 1 / ($AV$23:$AV$61*CM342), N($AK$23:$AK$61&gt;$AI342)),
SUMPRODUCT(INDEX($AL$23:$AN$46,,$AE342), INDEX($AO$23:$AU$46,,$AD342), 1 / ($AW$23:$AW$46*CM342), N($AK$23:$AK$46&gt;$AI342))
) / 1000</f>
        <v>0</v>
      </c>
      <c r="CP342" s="237">
        <f t="shared" si="476"/>
        <v>0</v>
      </c>
      <c r="CQ342" s="210"/>
    </row>
    <row r="343" spans="1:95" s="76" customFormat="1" ht="14.25" customHeight="1" x14ac:dyDescent="0.2">
      <c r="A343" s="238" t="b">
        <f t="shared" si="480"/>
        <v>0</v>
      </c>
      <c r="B343" s="239">
        <v>321</v>
      </c>
      <c r="C343" s="258"/>
      <c r="D343" s="258"/>
      <c r="E343" s="240"/>
      <c r="F343" s="241" t="str">
        <f>IF(ISBLANK(E343), "", VLOOKUP(E343, Z!$A$2:$C$4127, 3, FALSE))</f>
        <v/>
      </c>
      <c r="G343" s="242"/>
      <c r="H343" s="242"/>
      <c r="I343" s="243"/>
      <c r="J343" s="244"/>
      <c r="K343" s="259"/>
      <c r="L343" s="260"/>
      <c r="M343" s="247" t="str" cm="1">
        <f t="array" ref="M343">IF($K343&gt;0, INDEX(Clean,1+AG343,$C$1), "")</f>
        <v/>
      </c>
      <c r="N343" s="245"/>
      <c r="O343" s="245"/>
      <c r="P343" s="246"/>
      <c r="Q343" s="248">
        <f t="shared" si="453"/>
        <v>0</v>
      </c>
      <c r="R343" s="247" t="str" cm="1">
        <f t="array" ref="R343">IF($K343&gt;0, INDEX(Clean,1+AH343,$C$1), "")</f>
        <v/>
      </c>
      <c r="S343" s="245"/>
      <c r="T343" s="245"/>
      <c r="U343" s="246"/>
      <c r="V343" s="248">
        <f t="shared" si="454"/>
        <v>0</v>
      </c>
      <c r="W343" s="261"/>
      <c r="X343" s="258"/>
      <c r="Y343" s="240"/>
      <c r="Z343" s="241" t="str">
        <f>IF(ISBLANK(Y343), "", VLOOKUP(Y343, Z!$A$2:$C$4127, 3, FALSE))</f>
        <v/>
      </c>
      <c r="AA343" s="262"/>
      <c r="AB343" s="249">
        <f t="shared" si="452"/>
        <v>0</v>
      </c>
      <c r="AC343" s="210"/>
      <c r="AD343" s="236">
        <f t="shared" si="477"/>
        <v>1</v>
      </c>
      <c r="AE343" s="236">
        <f t="shared" si="478"/>
        <v>1</v>
      </c>
      <c r="AF343" s="236">
        <f t="shared" si="479"/>
        <v>0</v>
      </c>
      <c r="AG343" s="236">
        <v>1</v>
      </c>
      <c r="AH343" s="236">
        <v>0</v>
      </c>
      <c r="AI343" s="236">
        <f t="shared" si="455"/>
        <v>-100</v>
      </c>
      <c r="AJ343" s="210"/>
      <c r="AK343" s="254"/>
      <c r="AL343" s="254"/>
      <c r="AM343" s="255"/>
      <c r="AN343" s="255"/>
      <c r="AO343" s="255"/>
      <c r="AP343" s="255"/>
      <c r="AQ343" s="255"/>
      <c r="AR343" s="255"/>
      <c r="AS343" s="255"/>
      <c r="AT343" s="255"/>
      <c r="AU343" s="255"/>
      <c r="AV343" s="255"/>
      <c r="AW343" s="255"/>
      <c r="AX343" s="210"/>
      <c r="AY343" s="236" cm="1">
        <f t="array" ref="AY343">INDEX(Use, $AD343, 4)</f>
        <v>7</v>
      </c>
      <c r="AZ343" s="236">
        <f t="shared" si="456"/>
        <v>32</v>
      </c>
      <c r="BA343" s="236">
        <f t="shared" ref="BA343:BA406" si="481">IF($AF343=1, 6, IF($AD343=4, 10, 13))</f>
        <v>13</v>
      </c>
      <c r="BB343" s="236">
        <f t="shared" ref="BB343:BB406" si="482">IF($AF343=1, 9, 0)</f>
        <v>0</v>
      </c>
      <c r="BC343" s="252" cm="1">
        <f t="array" ref="BC343">K343/IF($L343&gt;0, INDEX($AO$23:$AU$77, $L343+20, $AD343), 1)</f>
        <v>0</v>
      </c>
      <c r="BD343" s="237">
        <f t="shared" si="457"/>
        <v>0</v>
      </c>
      <c r="BE343" s="236">
        <v>35</v>
      </c>
      <c r="BF343" s="237">
        <f t="shared" si="458"/>
        <v>52.55</v>
      </c>
      <c r="BG343" s="253">
        <f t="shared" si="459"/>
        <v>2.7676728869374316</v>
      </c>
      <c r="BH343" s="253" cm="1">
        <f t="array" ref="BH343">$BC343 * SUMPRODUCT(INDEX($AL$77:$AN$82,,$AE343),INDEX($AO$77:$AU$82,,$AD343), N($AK$77:$AK$82&gt;$AI343)) / BG343 / 1000</f>
        <v>0</v>
      </c>
      <c r="BI343" s="250">
        <f t="shared" ref="BI343:BI406" si="483">IF($AD343&lt;=2, 30, 25)</f>
        <v>30</v>
      </c>
      <c r="BJ343" s="237">
        <f t="shared" si="460"/>
        <v>46.033333333333331</v>
      </c>
      <c r="BK343" s="253">
        <f t="shared" si="461"/>
        <v>3.2297395388556791</v>
      </c>
      <c r="BL343" s="253" cm="1">
        <f t="array" ref="BL343">$BC343 * IF($AD343&lt;=2,
SUMPRODUCT(INDEX($AL$72:$AN$76,,$AE343), INDEX($AO$72:$AU$76,,$AD343), 1 / ($AV$72:$AV$76*BK343 + (1-$AV$72:$AV$76)*BG343), N($AK$72:$AK$76&gt;$AI343)),
SUMPRODUCT(INDEX($AL$67:$AN$76,,$AE343), INDEX($AO$67:$AU$76,,$AD343), 1 / ($AW$67:$AW$76*BK343 + (1-$AW$67:$AW$76)*BG343), N($AK$67:$AK$76&gt;$AI343))
) / 1000</f>
        <v>0</v>
      </c>
      <c r="BM343" s="250">
        <f t="shared" ref="BM343:BM406" si="484">IF($AD343&lt;=2, 25, 15)</f>
        <v>25</v>
      </c>
      <c r="BN343" s="237">
        <f t="shared" si="462"/>
        <v>39.516666666666666</v>
      </c>
      <c r="BO343" s="253">
        <f t="shared" si="463"/>
        <v>3.877011788826243</v>
      </c>
      <c r="BP343" s="253" cm="1">
        <f t="array" ref="BP343">$BC343 * IF($AD343&lt;=2,
SUMPRODUCT(INDEX($AL$67:$AN$71,,$AE343), INDEX($AO$67:$AU$71,,$AD343), 1 / ($AV$67:$AV$71*BO343 + (1-$AV$67:$AV$71)*BK343), N($AK$67:$AK$71&gt;$AI343)),
SUMPRODUCT(INDEX($AL$57:$AN$66,,$AE343), INDEX($AO$57:$AU$66,,$AD343), 1 / ($AW$57:$AW$66*BO343 + (1-$AW$57:$AW$66)*BK343), N($AK$57:$AK$66&gt;$AI343))
) / 1000</f>
        <v>0</v>
      </c>
      <c r="BQ343" s="250">
        <f t="shared" ref="BQ343:BQ406" si="485">IF($AD343&lt;=2, 20, 5)</f>
        <v>20</v>
      </c>
      <c r="BR343" s="237">
        <f t="shared" si="464"/>
        <v>33</v>
      </c>
      <c r="BS343" s="253">
        <f t="shared" si="465"/>
        <v>4.8487499999999999</v>
      </c>
      <c r="BT343" s="253" cm="1">
        <f t="array" ref="BT343">$BC343 * IF($AD343&lt;=2,
SUMPRODUCT(INDEX($AL$62:$AN$66,,$AE343), INDEX($AO$62:$AU$66,,$AD343), 1 / ($AV$62:$AV$66*BS343 + (1-$AV$62:$AV$66)*BO343), N($AK$62:$AK$66&gt;$AI343)),
SUMPRODUCT(INDEX($AL$47:$AN$56,,$AE343), INDEX($AO$47:$AU$56,,$AD343), 1 / ($AW$47:$AW$56*BS343 + (1-$AW$47:$AW$56)*BO343), N($AK$47:$AK$56&gt;$AI343))
) / 1000</f>
        <v>0</v>
      </c>
      <c r="BU343" s="253" cm="1">
        <f t="array" ref="BU343">$BC343 * IF($AD343&lt;=2,
SUMPRODUCT(INDEX($AL$23:$AN$61,,$AE343), INDEX($AO$23:$AU$61,,$AD343), 1 / ($AV$23:$AV$61*BS343), N($AK$23:$AK$61&gt;$AI343)),
SUMPRODUCT(INDEX($AL$23:$AN$46,,$AE343), INDEX($AO$23:$AU$46,,$AD343), 1 / ($AW$23:$AW$46*BS343), N($AK$23:$AK$46&gt;$AI343))
) / 1000</f>
        <v>0</v>
      </c>
      <c r="BV343" s="237">
        <f t="shared" si="466"/>
        <v>0</v>
      </c>
      <c r="BW343" s="210"/>
      <c r="BX343" s="237">
        <f t="shared" si="467"/>
        <v>0</v>
      </c>
      <c r="BY343" s="236">
        <v>35</v>
      </c>
      <c r="BZ343" s="237">
        <f t="shared" si="468"/>
        <v>48</v>
      </c>
      <c r="CA343" s="253">
        <f t="shared" si="469"/>
        <v>3.0748170731707316</v>
      </c>
      <c r="CB343" s="253" cm="1">
        <f t="array" ref="CB343">$BC343 * SUMPRODUCT(INDEX($AL$77:$AN$82,,$AE343),INDEX($AO$77:$AU$82,,$AD343), N($AK$77:$AK$82&gt;$AI343)) / CA343 / 1000</f>
        <v>0</v>
      </c>
      <c r="CC343" s="250">
        <f t="shared" ref="CC343:CC406" si="486">IF($AD343&lt;=2, 30, 25)</f>
        <v>30</v>
      </c>
      <c r="CD343" s="237">
        <f t="shared" si="470"/>
        <v>43</v>
      </c>
      <c r="CE343" s="253">
        <f t="shared" si="471"/>
        <v>3.5018750000000001</v>
      </c>
      <c r="CF343" s="253" cm="1">
        <f t="array" ref="CF343">$BC343 * IF($AD343&lt;=2,
SUMPRODUCT(INDEX($AL$72:$AN$76,,$AE343), INDEX($AO$72:$AU$76,,$AD343), 1 / ($AV$72:$AV$76*CE343 + (1-$AV$72:$AV$76)*CA343), N($AK$72:$AK$76&gt;$AI343)),
SUMPRODUCT(INDEX($AL$67:$AN$76,,$AE343), INDEX($AO$67:$AU$76,,$AD343), 1 / ($AW$67:$AW$76*CE343 + (1-$AW$67:$AW$76)*CA343), N($AK$67:$AK$76&gt;$AI343))
) / 1000</f>
        <v>0</v>
      </c>
      <c r="CG343" s="250">
        <f t="shared" ref="CG343:CG406" si="487">IF($AD343&lt;=2, 25, 15)</f>
        <v>25</v>
      </c>
      <c r="CH343" s="237">
        <f t="shared" si="472"/>
        <v>38</v>
      </c>
      <c r="CI343" s="253">
        <f t="shared" si="473"/>
        <v>4.0666935483870965</v>
      </c>
      <c r="CJ343" s="253" cm="1">
        <f t="array" ref="CJ343">$BC343 * IF($AD343&lt;=2,
SUMPRODUCT(INDEX($AL$67:$AN$71,,$AE343), INDEX($AO$67:$AU$71,,$AD343), 1 / ($AV$67:$AV$71*CI343 + (1-$AV$67:$AV$71)*CE343), N($AK$67:$AK$71&gt;$AI343)),
SUMPRODUCT(INDEX($AL$57:$AN$66,,$AE343), INDEX($AO$57:$AU$66,,$AD343), 1 / ($AW$57:$AW$66*CI343 + (1-$AW$57:$AW$66)*CE343), N($AK$57:$AK$66&gt;$AI343))
) / 1000</f>
        <v>0</v>
      </c>
      <c r="CK343" s="250">
        <f t="shared" ref="CK343:CK406" si="488">IF($AD343&lt;=2, 20, 5)</f>
        <v>20</v>
      </c>
      <c r="CL343" s="237">
        <f t="shared" si="474"/>
        <v>33</v>
      </c>
      <c r="CM343" s="253">
        <f t="shared" si="475"/>
        <v>4.8487499999999999</v>
      </c>
      <c r="CN343" s="253" cm="1">
        <f t="array" ref="CN343">$BC343 * IF($AD343&lt;=2,
SUMPRODUCT(INDEX($AL$62:$AN$66,,$AE343), INDEX($AO$62:$AU$66,,$AD343), 1 / ($AV$62:$AV$66*CM343 + (1-$AV$62:$AV$66)*CI343), N($AK$62:$AK$66&gt;$AI343)),
SUMPRODUCT(INDEX($AL$47:$AN$56,,$AE343), INDEX($AO$47:$AU$56,,$AD343), 1 / ($AW$47:$AW$56*CM343 + (1-$AW$47:$AW$56)*CI343), N($AK$47:$AK$56&gt;$AI343))
) / 1000</f>
        <v>0</v>
      </c>
      <c r="CO343" s="253" cm="1">
        <f t="array" ref="CO343">$BC343 * IF($AD343&lt;=2,
SUMPRODUCT(INDEX($AL$23:$AN$61,,$AE343), INDEX($AO$23:$AU$61,,$AD343), 1 / ($AV$23:$AV$61*CM343), N($AK$23:$AK$61&gt;$AI343)),
SUMPRODUCT(INDEX($AL$23:$AN$46,,$AE343), INDEX($AO$23:$AU$46,,$AD343), 1 / ($AW$23:$AW$46*CM343), N($AK$23:$AK$46&gt;$AI343))
) / 1000</f>
        <v>0</v>
      </c>
      <c r="CP343" s="237">
        <f t="shared" si="476"/>
        <v>0</v>
      </c>
      <c r="CQ343" s="210"/>
    </row>
    <row r="344" spans="1:95" s="76" customFormat="1" ht="14.25" customHeight="1" x14ac:dyDescent="0.2">
      <c r="A344" s="238" t="b">
        <f t="shared" si="480"/>
        <v>0</v>
      </c>
      <c r="B344" s="239">
        <v>322</v>
      </c>
      <c r="C344" s="258"/>
      <c r="D344" s="258"/>
      <c r="E344" s="240"/>
      <c r="F344" s="241" t="str">
        <f>IF(ISBLANK(E344), "", VLOOKUP(E344, Z!$A$2:$C$4127, 3, FALSE))</f>
        <v/>
      </c>
      <c r="G344" s="242"/>
      <c r="H344" s="242"/>
      <c r="I344" s="243"/>
      <c r="J344" s="244"/>
      <c r="K344" s="259"/>
      <c r="L344" s="260"/>
      <c r="M344" s="247" t="str" cm="1">
        <f t="array" ref="M344">IF($K344&gt;0, INDEX(Clean,1+AG344,$C$1), "")</f>
        <v/>
      </c>
      <c r="N344" s="245"/>
      <c r="O344" s="245"/>
      <c r="P344" s="246"/>
      <c r="Q344" s="248">
        <f t="shared" si="453"/>
        <v>0</v>
      </c>
      <c r="R344" s="247" t="str" cm="1">
        <f t="array" ref="R344">IF($K344&gt;0, INDEX(Clean,1+AH344,$C$1), "")</f>
        <v/>
      </c>
      <c r="S344" s="245"/>
      <c r="T344" s="245"/>
      <c r="U344" s="246"/>
      <c r="V344" s="248">
        <f t="shared" si="454"/>
        <v>0</v>
      </c>
      <c r="W344" s="261"/>
      <c r="X344" s="258"/>
      <c r="Y344" s="240"/>
      <c r="Z344" s="241" t="str">
        <f>IF(ISBLANK(Y344), "", VLOOKUP(Y344, Z!$A$2:$C$4127, 3, FALSE))</f>
        <v/>
      </c>
      <c r="AA344" s="262"/>
      <c r="AB344" s="249">
        <f t="shared" ref="AB344:AB407" si="489">0.75*$AJ$22*(Q344-V344)</f>
        <v>0</v>
      </c>
      <c r="AC344" s="210"/>
      <c r="AD344" s="236">
        <f t="shared" si="477"/>
        <v>1</v>
      </c>
      <c r="AE344" s="236">
        <f t="shared" si="478"/>
        <v>1</v>
      </c>
      <c r="AF344" s="236">
        <f t="shared" si="479"/>
        <v>0</v>
      </c>
      <c r="AG344" s="236">
        <v>1</v>
      </c>
      <c r="AH344" s="236">
        <v>0</v>
      </c>
      <c r="AI344" s="236">
        <f t="shared" si="455"/>
        <v>-100</v>
      </c>
      <c r="AJ344" s="210"/>
      <c r="AK344" s="254"/>
      <c r="AL344" s="254"/>
      <c r="AM344" s="255"/>
      <c r="AN344" s="255"/>
      <c r="AO344" s="255"/>
      <c r="AP344" s="255"/>
      <c r="AQ344" s="255"/>
      <c r="AR344" s="255"/>
      <c r="AS344" s="255"/>
      <c r="AT344" s="255"/>
      <c r="AU344" s="255"/>
      <c r="AV344" s="255"/>
      <c r="AW344" s="255"/>
      <c r="AX344" s="210"/>
      <c r="AY344" s="236" cm="1">
        <f t="array" ref="AY344">INDEX(Use, $AD344, 4)</f>
        <v>7</v>
      </c>
      <c r="AZ344" s="236">
        <f t="shared" si="456"/>
        <v>32</v>
      </c>
      <c r="BA344" s="236">
        <f t="shared" si="481"/>
        <v>13</v>
      </c>
      <c r="BB344" s="236">
        <f t="shared" si="482"/>
        <v>0</v>
      </c>
      <c r="BC344" s="252" cm="1">
        <f t="array" ref="BC344">K344/IF($L344&gt;0, INDEX($AO$23:$AU$77, $L344+20, $AD344), 1)</f>
        <v>0</v>
      </c>
      <c r="BD344" s="237">
        <f t="shared" si="457"/>
        <v>0</v>
      </c>
      <c r="BE344" s="236">
        <v>35</v>
      </c>
      <c r="BF344" s="237">
        <f t="shared" si="458"/>
        <v>52.55</v>
      </c>
      <c r="BG344" s="253">
        <f t="shared" si="459"/>
        <v>2.7676728869374316</v>
      </c>
      <c r="BH344" s="253" cm="1">
        <f t="array" ref="BH344">$BC344 * SUMPRODUCT(INDEX($AL$77:$AN$82,,$AE344),INDEX($AO$77:$AU$82,,$AD344), N($AK$77:$AK$82&gt;$AI344)) / BG344 / 1000</f>
        <v>0</v>
      </c>
      <c r="BI344" s="250">
        <f t="shared" si="483"/>
        <v>30</v>
      </c>
      <c r="BJ344" s="237">
        <f t="shared" si="460"/>
        <v>46.033333333333331</v>
      </c>
      <c r="BK344" s="253">
        <f t="shared" si="461"/>
        <v>3.2297395388556791</v>
      </c>
      <c r="BL344" s="253" cm="1">
        <f t="array" ref="BL344">$BC344 * IF($AD344&lt;=2,
SUMPRODUCT(INDEX($AL$72:$AN$76,,$AE344), INDEX($AO$72:$AU$76,,$AD344), 1 / ($AV$72:$AV$76*BK344 + (1-$AV$72:$AV$76)*BG344), N($AK$72:$AK$76&gt;$AI344)),
SUMPRODUCT(INDEX($AL$67:$AN$76,,$AE344), INDEX($AO$67:$AU$76,,$AD344), 1 / ($AW$67:$AW$76*BK344 + (1-$AW$67:$AW$76)*BG344), N($AK$67:$AK$76&gt;$AI344))
) / 1000</f>
        <v>0</v>
      </c>
      <c r="BM344" s="250">
        <f t="shared" si="484"/>
        <v>25</v>
      </c>
      <c r="BN344" s="237">
        <f t="shared" si="462"/>
        <v>39.516666666666666</v>
      </c>
      <c r="BO344" s="253">
        <f t="shared" si="463"/>
        <v>3.877011788826243</v>
      </c>
      <c r="BP344" s="253" cm="1">
        <f t="array" ref="BP344">$BC344 * IF($AD344&lt;=2,
SUMPRODUCT(INDEX($AL$67:$AN$71,,$AE344), INDEX($AO$67:$AU$71,,$AD344), 1 / ($AV$67:$AV$71*BO344 + (1-$AV$67:$AV$71)*BK344), N($AK$67:$AK$71&gt;$AI344)),
SUMPRODUCT(INDEX($AL$57:$AN$66,,$AE344), INDEX($AO$57:$AU$66,,$AD344), 1 / ($AW$57:$AW$66*BO344 + (1-$AW$57:$AW$66)*BK344), N($AK$57:$AK$66&gt;$AI344))
) / 1000</f>
        <v>0</v>
      </c>
      <c r="BQ344" s="250">
        <f t="shared" si="485"/>
        <v>20</v>
      </c>
      <c r="BR344" s="237">
        <f t="shared" si="464"/>
        <v>33</v>
      </c>
      <c r="BS344" s="253">
        <f t="shared" si="465"/>
        <v>4.8487499999999999</v>
      </c>
      <c r="BT344" s="253" cm="1">
        <f t="array" ref="BT344">$BC344 * IF($AD344&lt;=2,
SUMPRODUCT(INDEX($AL$62:$AN$66,,$AE344), INDEX($AO$62:$AU$66,,$AD344), 1 / ($AV$62:$AV$66*BS344 + (1-$AV$62:$AV$66)*BO344), N($AK$62:$AK$66&gt;$AI344)),
SUMPRODUCT(INDEX($AL$47:$AN$56,,$AE344), INDEX($AO$47:$AU$56,,$AD344), 1 / ($AW$47:$AW$56*BS344 + (1-$AW$47:$AW$56)*BO344), N($AK$47:$AK$56&gt;$AI344))
) / 1000</f>
        <v>0</v>
      </c>
      <c r="BU344" s="253" cm="1">
        <f t="array" ref="BU344">$BC344 * IF($AD344&lt;=2,
SUMPRODUCT(INDEX($AL$23:$AN$61,,$AE344), INDEX($AO$23:$AU$61,,$AD344), 1 / ($AV$23:$AV$61*BS344), N($AK$23:$AK$61&gt;$AI344)),
SUMPRODUCT(INDEX($AL$23:$AN$46,,$AE344), INDEX($AO$23:$AU$46,,$AD344), 1 / ($AW$23:$AW$46*BS344), N($AK$23:$AK$46&gt;$AI344))
) / 1000</f>
        <v>0</v>
      </c>
      <c r="BV344" s="237">
        <f t="shared" si="466"/>
        <v>0</v>
      </c>
      <c r="BW344" s="210"/>
      <c r="BX344" s="237">
        <f t="shared" si="467"/>
        <v>0</v>
      </c>
      <c r="BY344" s="236">
        <v>35</v>
      </c>
      <c r="BZ344" s="237">
        <f t="shared" si="468"/>
        <v>48</v>
      </c>
      <c r="CA344" s="253">
        <f t="shared" si="469"/>
        <v>3.0748170731707316</v>
      </c>
      <c r="CB344" s="253" cm="1">
        <f t="array" ref="CB344">$BC344 * SUMPRODUCT(INDEX($AL$77:$AN$82,,$AE344),INDEX($AO$77:$AU$82,,$AD344), N($AK$77:$AK$82&gt;$AI344)) / CA344 / 1000</f>
        <v>0</v>
      </c>
      <c r="CC344" s="250">
        <f t="shared" si="486"/>
        <v>30</v>
      </c>
      <c r="CD344" s="237">
        <f t="shared" si="470"/>
        <v>43</v>
      </c>
      <c r="CE344" s="253">
        <f t="shared" si="471"/>
        <v>3.5018750000000001</v>
      </c>
      <c r="CF344" s="253" cm="1">
        <f t="array" ref="CF344">$BC344 * IF($AD344&lt;=2,
SUMPRODUCT(INDEX($AL$72:$AN$76,,$AE344), INDEX($AO$72:$AU$76,,$AD344), 1 / ($AV$72:$AV$76*CE344 + (1-$AV$72:$AV$76)*CA344), N($AK$72:$AK$76&gt;$AI344)),
SUMPRODUCT(INDEX($AL$67:$AN$76,,$AE344), INDEX($AO$67:$AU$76,,$AD344), 1 / ($AW$67:$AW$76*CE344 + (1-$AW$67:$AW$76)*CA344), N($AK$67:$AK$76&gt;$AI344))
) / 1000</f>
        <v>0</v>
      </c>
      <c r="CG344" s="250">
        <f t="shared" si="487"/>
        <v>25</v>
      </c>
      <c r="CH344" s="237">
        <f t="shared" si="472"/>
        <v>38</v>
      </c>
      <c r="CI344" s="253">
        <f t="shared" si="473"/>
        <v>4.0666935483870965</v>
      </c>
      <c r="CJ344" s="253" cm="1">
        <f t="array" ref="CJ344">$BC344 * IF($AD344&lt;=2,
SUMPRODUCT(INDEX($AL$67:$AN$71,,$AE344), INDEX($AO$67:$AU$71,,$AD344), 1 / ($AV$67:$AV$71*CI344 + (1-$AV$67:$AV$71)*CE344), N($AK$67:$AK$71&gt;$AI344)),
SUMPRODUCT(INDEX($AL$57:$AN$66,,$AE344), INDEX($AO$57:$AU$66,,$AD344), 1 / ($AW$57:$AW$66*CI344 + (1-$AW$57:$AW$66)*CE344), N($AK$57:$AK$66&gt;$AI344))
) / 1000</f>
        <v>0</v>
      </c>
      <c r="CK344" s="250">
        <f t="shared" si="488"/>
        <v>20</v>
      </c>
      <c r="CL344" s="237">
        <f t="shared" si="474"/>
        <v>33</v>
      </c>
      <c r="CM344" s="253">
        <f t="shared" si="475"/>
        <v>4.8487499999999999</v>
      </c>
      <c r="CN344" s="253" cm="1">
        <f t="array" ref="CN344">$BC344 * IF($AD344&lt;=2,
SUMPRODUCT(INDEX($AL$62:$AN$66,,$AE344), INDEX($AO$62:$AU$66,,$AD344), 1 / ($AV$62:$AV$66*CM344 + (1-$AV$62:$AV$66)*CI344), N($AK$62:$AK$66&gt;$AI344)),
SUMPRODUCT(INDEX($AL$47:$AN$56,,$AE344), INDEX($AO$47:$AU$56,,$AD344), 1 / ($AW$47:$AW$56*CM344 + (1-$AW$47:$AW$56)*CI344), N($AK$47:$AK$56&gt;$AI344))
) / 1000</f>
        <v>0</v>
      </c>
      <c r="CO344" s="253" cm="1">
        <f t="array" ref="CO344">$BC344 * IF($AD344&lt;=2,
SUMPRODUCT(INDEX($AL$23:$AN$61,,$AE344), INDEX($AO$23:$AU$61,,$AD344), 1 / ($AV$23:$AV$61*CM344), N($AK$23:$AK$61&gt;$AI344)),
SUMPRODUCT(INDEX($AL$23:$AN$46,,$AE344), INDEX($AO$23:$AU$46,,$AD344), 1 / ($AW$23:$AW$46*CM344), N($AK$23:$AK$46&gt;$AI344))
) / 1000</f>
        <v>0</v>
      </c>
      <c r="CP344" s="237">
        <f t="shared" si="476"/>
        <v>0</v>
      </c>
      <c r="CQ344" s="210"/>
    </row>
    <row r="345" spans="1:95" s="76" customFormat="1" ht="14.25" customHeight="1" x14ac:dyDescent="0.2">
      <c r="A345" s="238" t="b">
        <f t="shared" si="480"/>
        <v>0</v>
      </c>
      <c r="B345" s="239">
        <v>323</v>
      </c>
      <c r="C345" s="258"/>
      <c r="D345" s="258"/>
      <c r="E345" s="240"/>
      <c r="F345" s="241" t="str">
        <f>IF(ISBLANK(E345), "", VLOOKUP(E345, Z!$A$2:$C$4127, 3, FALSE))</f>
        <v/>
      </c>
      <c r="G345" s="242"/>
      <c r="H345" s="242"/>
      <c r="I345" s="243"/>
      <c r="J345" s="244"/>
      <c r="K345" s="259"/>
      <c r="L345" s="260"/>
      <c r="M345" s="247" t="str" cm="1">
        <f t="array" ref="M345">IF($K345&gt;0, INDEX(Clean,1+AG345,$C$1), "")</f>
        <v/>
      </c>
      <c r="N345" s="245"/>
      <c r="O345" s="245"/>
      <c r="P345" s="246"/>
      <c r="Q345" s="248">
        <f t="shared" si="453"/>
        <v>0</v>
      </c>
      <c r="R345" s="247" t="str" cm="1">
        <f t="array" ref="R345">IF($K345&gt;0, INDEX(Clean,1+AH345,$C$1), "")</f>
        <v/>
      </c>
      <c r="S345" s="245"/>
      <c r="T345" s="245"/>
      <c r="U345" s="246"/>
      <c r="V345" s="248">
        <f t="shared" si="454"/>
        <v>0</v>
      </c>
      <c r="W345" s="261"/>
      <c r="X345" s="258"/>
      <c r="Y345" s="240"/>
      <c r="Z345" s="241" t="str">
        <f>IF(ISBLANK(Y345), "", VLOOKUP(Y345, Z!$A$2:$C$4127, 3, FALSE))</f>
        <v/>
      </c>
      <c r="AA345" s="262"/>
      <c r="AB345" s="249">
        <f t="shared" si="489"/>
        <v>0</v>
      </c>
      <c r="AC345" s="210"/>
      <c r="AD345" s="236">
        <f t="shared" si="477"/>
        <v>1</v>
      </c>
      <c r="AE345" s="236">
        <f t="shared" si="478"/>
        <v>1</v>
      </c>
      <c r="AF345" s="236">
        <f t="shared" si="479"/>
        <v>0</v>
      </c>
      <c r="AG345" s="236">
        <v>1</v>
      </c>
      <c r="AH345" s="236">
        <v>0</v>
      </c>
      <c r="AI345" s="236">
        <f t="shared" si="455"/>
        <v>-100</v>
      </c>
      <c r="AJ345" s="210"/>
      <c r="AK345" s="254"/>
      <c r="AL345" s="254"/>
      <c r="AM345" s="255"/>
      <c r="AN345" s="255"/>
      <c r="AO345" s="255"/>
      <c r="AP345" s="255"/>
      <c r="AQ345" s="255"/>
      <c r="AR345" s="255"/>
      <c r="AS345" s="255"/>
      <c r="AT345" s="255"/>
      <c r="AU345" s="255"/>
      <c r="AV345" s="255"/>
      <c r="AW345" s="255"/>
      <c r="AX345" s="210"/>
      <c r="AY345" s="236" cm="1">
        <f t="array" ref="AY345">INDEX(Use, $AD345, 4)</f>
        <v>7</v>
      </c>
      <c r="AZ345" s="236">
        <f t="shared" si="456"/>
        <v>32</v>
      </c>
      <c r="BA345" s="236">
        <f t="shared" si="481"/>
        <v>13</v>
      </c>
      <c r="BB345" s="236">
        <f t="shared" si="482"/>
        <v>0</v>
      </c>
      <c r="BC345" s="252" cm="1">
        <f t="array" ref="BC345">K345/IF($L345&gt;0, INDEX($AO$23:$AU$77, $L345+20, $AD345), 1)</f>
        <v>0</v>
      </c>
      <c r="BD345" s="237">
        <f t="shared" si="457"/>
        <v>0</v>
      </c>
      <c r="BE345" s="236">
        <v>35</v>
      </c>
      <c r="BF345" s="237">
        <f t="shared" si="458"/>
        <v>52.55</v>
      </c>
      <c r="BG345" s="253">
        <f t="shared" si="459"/>
        <v>2.7676728869374316</v>
      </c>
      <c r="BH345" s="253" cm="1">
        <f t="array" ref="BH345">$BC345 * SUMPRODUCT(INDEX($AL$77:$AN$82,,$AE345),INDEX($AO$77:$AU$82,,$AD345), N($AK$77:$AK$82&gt;$AI345)) / BG345 / 1000</f>
        <v>0</v>
      </c>
      <c r="BI345" s="250">
        <f t="shared" si="483"/>
        <v>30</v>
      </c>
      <c r="BJ345" s="237">
        <f t="shared" si="460"/>
        <v>46.033333333333331</v>
      </c>
      <c r="BK345" s="253">
        <f t="shared" si="461"/>
        <v>3.2297395388556791</v>
      </c>
      <c r="BL345" s="253" cm="1">
        <f t="array" ref="BL345">$BC345 * IF($AD345&lt;=2,
SUMPRODUCT(INDEX($AL$72:$AN$76,,$AE345), INDEX($AO$72:$AU$76,,$AD345), 1 / ($AV$72:$AV$76*BK345 + (1-$AV$72:$AV$76)*BG345), N($AK$72:$AK$76&gt;$AI345)),
SUMPRODUCT(INDEX($AL$67:$AN$76,,$AE345), INDEX($AO$67:$AU$76,,$AD345), 1 / ($AW$67:$AW$76*BK345 + (1-$AW$67:$AW$76)*BG345), N($AK$67:$AK$76&gt;$AI345))
) / 1000</f>
        <v>0</v>
      </c>
      <c r="BM345" s="250">
        <f t="shared" si="484"/>
        <v>25</v>
      </c>
      <c r="BN345" s="237">
        <f t="shared" si="462"/>
        <v>39.516666666666666</v>
      </c>
      <c r="BO345" s="253">
        <f t="shared" si="463"/>
        <v>3.877011788826243</v>
      </c>
      <c r="BP345" s="253" cm="1">
        <f t="array" ref="BP345">$BC345 * IF($AD345&lt;=2,
SUMPRODUCT(INDEX($AL$67:$AN$71,,$AE345), INDEX($AO$67:$AU$71,,$AD345), 1 / ($AV$67:$AV$71*BO345 + (1-$AV$67:$AV$71)*BK345), N($AK$67:$AK$71&gt;$AI345)),
SUMPRODUCT(INDEX($AL$57:$AN$66,,$AE345), INDEX($AO$57:$AU$66,,$AD345), 1 / ($AW$57:$AW$66*BO345 + (1-$AW$57:$AW$66)*BK345), N($AK$57:$AK$66&gt;$AI345))
) / 1000</f>
        <v>0</v>
      </c>
      <c r="BQ345" s="250">
        <f t="shared" si="485"/>
        <v>20</v>
      </c>
      <c r="BR345" s="237">
        <f t="shared" si="464"/>
        <v>33</v>
      </c>
      <c r="BS345" s="253">
        <f t="shared" si="465"/>
        <v>4.8487499999999999</v>
      </c>
      <c r="BT345" s="253" cm="1">
        <f t="array" ref="BT345">$BC345 * IF($AD345&lt;=2,
SUMPRODUCT(INDEX($AL$62:$AN$66,,$AE345), INDEX($AO$62:$AU$66,,$AD345), 1 / ($AV$62:$AV$66*BS345 + (1-$AV$62:$AV$66)*BO345), N($AK$62:$AK$66&gt;$AI345)),
SUMPRODUCT(INDEX($AL$47:$AN$56,,$AE345), INDEX($AO$47:$AU$56,,$AD345), 1 / ($AW$47:$AW$56*BS345 + (1-$AW$47:$AW$56)*BO345), N($AK$47:$AK$56&gt;$AI345))
) / 1000</f>
        <v>0</v>
      </c>
      <c r="BU345" s="253" cm="1">
        <f t="array" ref="BU345">$BC345 * IF($AD345&lt;=2,
SUMPRODUCT(INDEX($AL$23:$AN$61,,$AE345), INDEX($AO$23:$AU$61,,$AD345), 1 / ($AV$23:$AV$61*BS345), N($AK$23:$AK$61&gt;$AI345)),
SUMPRODUCT(INDEX($AL$23:$AN$46,,$AE345), INDEX($AO$23:$AU$46,,$AD345), 1 / ($AW$23:$AW$46*BS345), N($AK$23:$AK$46&gt;$AI345))
) / 1000</f>
        <v>0</v>
      </c>
      <c r="BV345" s="237">
        <f t="shared" si="466"/>
        <v>0</v>
      </c>
      <c r="BW345" s="210"/>
      <c r="BX345" s="237">
        <f t="shared" si="467"/>
        <v>0</v>
      </c>
      <c r="BY345" s="236">
        <v>35</v>
      </c>
      <c r="BZ345" s="237">
        <f t="shared" si="468"/>
        <v>48</v>
      </c>
      <c r="CA345" s="253">
        <f t="shared" si="469"/>
        <v>3.0748170731707316</v>
      </c>
      <c r="CB345" s="253" cm="1">
        <f t="array" ref="CB345">$BC345 * SUMPRODUCT(INDEX($AL$77:$AN$82,,$AE345),INDEX($AO$77:$AU$82,,$AD345), N($AK$77:$AK$82&gt;$AI345)) / CA345 / 1000</f>
        <v>0</v>
      </c>
      <c r="CC345" s="250">
        <f t="shared" si="486"/>
        <v>30</v>
      </c>
      <c r="CD345" s="237">
        <f t="shared" si="470"/>
        <v>43</v>
      </c>
      <c r="CE345" s="253">
        <f t="shared" si="471"/>
        <v>3.5018750000000001</v>
      </c>
      <c r="CF345" s="253" cm="1">
        <f t="array" ref="CF345">$BC345 * IF($AD345&lt;=2,
SUMPRODUCT(INDEX($AL$72:$AN$76,,$AE345), INDEX($AO$72:$AU$76,,$AD345), 1 / ($AV$72:$AV$76*CE345 + (1-$AV$72:$AV$76)*CA345), N($AK$72:$AK$76&gt;$AI345)),
SUMPRODUCT(INDEX($AL$67:$AN$76,,$AE345), INDEX($AO$67:$AU$76,,$AD345), 1 / ($AW$67:$AW$76*CE345 + (1-$AW$67:$AW$76)*CA345), N($AK$67:$AK$76&gt;$AI345))
) / 1000</f>
        <v>0</v>
      </c>
      <c r="CG345" s="250">
        <f t="shared" si="487"/>
        <v>25</v>
      </c>
      <c r="CH345" s="237">
        <f t="shared" si="472"/>
        <v>38</v>
      </c>
      <c r="CI345" s="253">
        <f t="shared" si="473"/>
        <v>4.0666935483870965</v>
      </c>
      <c r="CJ345" s="253" cm="1">
        <f t="array" ref="CJ345">$BC345 * IF($AD345&lt;=2,
SUMPRODUCT(INDEX($AL$67:$AN$71,,$AE345), INDEX($AO$67:$AU$71,,$AD345), 1 / ($AV$67:$AV$71*CI345 + (1-$AV$67:$AV$71)*CE345), N($AK$67:$AK$71&gt;$AI345)),
SUMPRODUCT(INDEX($AL$57:$AN$66,,$AE345), INDEX($AO$57:$AU$66,,$AD345), 1 / ($AW$57:$AW$66*CI345 + (1-$AW$57:$AW$66)*CE345), N($AK$57:$AK$66&gt;$AI345))
) / 1000</f>
        <v>0</v>
      </c>
      <c r="CK345" s="250">
        <f t="shared" si="488"/>
        <v>20</v>
      </c>
      <c r="CL345" s="237">
        <f t="shared" si="474"/>
        <v>33</v>
      </c>
      <c r="CM345" s="253">
        <f t="shared" si="475"/>
        <v>4.8487499999999999</v>
      </c>
      <c r="CN345" s="253" cm="1">
        <f t="array" ref="CN345">$BC345 * IF($AD345&lt;=2,
SUMPRODUCT(INDEX($AL$62:$AN$66,,$AE345), INDEX($AO$62:$AU$66,,$AD345), 1 / ($AV$62:$AV$66*CM345 + (1-$AV$62:$AV$66)*CI345), N($AK$62:$AK$66&gt;$AI345)),
SUMPRODUCT(INDEX($AL$47:$AN$56,,$AE345), INDEX($AO$47:$AU$56,,$AD345), 1 / ($AW$47:$AW$56*CM345 + (1-$AW$47:$AW$56)*CI345), N($AK$47:$AK$56&gt;$AI345))
) / 1000</f>
        <v>0</v>
      </c>
      <c r="CO345" s="253" cm="1">
        <f t="array" ref="CO345">$BC345 * IF($AD345&lt;=2,
SUMPRODUCT(INDEX($AL$23:$AN$61,,$AE345), INDEX($AO$23:$AU$61,,$AD345), 1 / ($AV$23:$AV$61*CM345), N($AK$23:$AK$61&gt;$AI345)),
SUMPRODUCT(INDEX($AL$23:$AN$46,,$AE345), INDEX($AO$23:$AU$46,,$AD345), 1 / ($AW$23:$AW$46*CM345), N($AK$23:$AK$46&gt;$AI345))
) / 1000</f>
        <v>0</v>
      </c>
      <c r="CP345" s="237">
        <f t="shared" si="476"/>
        <v>0</v>
      </c>
      <c r="CQ345" s="210"/>
    </row>
    <row r="346" spans="1:95" s="76" customFormat="1" ht="14.25" customHeight="1" x14ac:dyDescent="0.2">
      <c r="A346" s="238" t="b">
        <f t="shared" si="480"/>
        <v>0</v>
      </c>
      <c r="B346" s="239">
        <v>324</v>
      </c>
      <c r="C346" s="258"/>
      <c r="D346" s="258"/>
      <c r="E346" s="240"/>
      <c r="F346" s="241" t="str">
        <f>IF(ISBLANK(E346), "", VLOOKUP(E346, Z!$A$2:$C$4127, 3, FALSE))</f>
        <v/>
      </c>
      <c r="G346" s="242"/>
      <c r="H346" s="242"/>
      <c r="I346" s="243"/>
      <c r="J346" s="244"/>
      <c r="K346" s="259"/>
      <c r="L346" s="260"/>
      <c r="M346" s="247" t="str" cm="1">
        <f t="array" ref="M346">IF($K346&gt;0, INDEX(Clean,1+AG346,$C$1), "")</f>
        <v/>
      </c>
      <c r="N346" s="245"/>
      <c r="O346" s="245"/>
      <c r="P346" s="246"/>
      <c r="Q346" s="248">
        <f t="shared" si="453"/>
        <v>0</v>
      </c>
      <c r="R346" s="247" t="str" cm="1">
        <f t="array" ref="R346">IF($K346&gt;0, INDEX(Clean,1+AH346,$C$1), "")</f>
        <v/>
      </c>
      <c r="S346" s="245"/>
      <c r="T346" s="245"/>
      <c r="U346" s="246"/>
      <c r="V346" s="248">
        <f t="shared" si="454"/>
        <v>0</v>
      </c>
      <c r="W346" s="261"/>
      <c r="X346" s="258"/>
      <c r="Y346" s="240"/>
      <c r="Z346" s="241" t="str">
        <f>IF(ISBLANK(Y346), "", VLOOKUP(Y346, Z!$A$2:$C$4127, 3, FALSE))</f>
        <v/>
      </c>
      <c r="AA346" s="262"/>
      <c r="AB346" s="249">
        <f t="shared" si="489"/>
        <v>0</v>
      </c>
      <c r="AC346" s="210"/>
      <c r="AD346" s="236">
        <f t="shared" si="477"/>
        <v>1</v>
      </c>
      <c r="AE346" s="236">
        <f t="shared" si="478"/>
        <v>1</v>
      </c>
      <c r="AF346" s="236">
        <f t="shared" si="479"/>
        <v>0</v>
      </c>
      <c r="AG346" s="236">
        <v>1</v>
      </c>
      <c r="AH346" s="236">
        <v>0</v>
      </c>
      <c r="AI346" s="236">
        <f t="shared" si="455"/>
        <v>-100</v>
      </c>
      <c r="AJ346" s="210"/>
      <c r="AK346" s="254"/>
      <c r="AL346" s="254"/>
      <c r="AM346" s="255"/>
      <c r="AN346" s="255"/>
      <c r="AO346" s="255"/>
      <c r="AP346" s="255"/>
      <c r="AQ346" s="255"/>
      <c r="AR346" s="255"/>
      <c r="AS346" s="255"/>
      <c r="AT346" s="255"/>
      <c r="AU346" s="255"/>
      <c r="AV346" s="255"/>
      <c r="AW346" s="255"/>
      <c r="AX346" s="210"/>
      <c r="AY346" s="236" cm="1">
        <f t="array" ref="AY346">INDEX(Use, $AD346, 4)</f>
        <v>7</v>
      </c>
      <c r="AZ346" s="236">
        <f t="shared" si="456"/>
        <v>32</v>
      </c>
      <c r="BA346" s="236">
        <f t="shared" si="481"/>
        <v>13</v>
      </c>
      <c r="BB346" s="236">
        <f t="shared" si="482"/>
        <v>0</v>
      </c>
      <c r="BC346" s="252" cm="1">
        <f t="array" ref="BC346">K346/IF($L346&gt;0, INDEX($AO$23:$AU$77, $L346+20, $AD346), 1)</f>
        <v>0</v>
      </c>
      <c r="BD346" s="237">
        <f t="shared" si="457"/>
        <v>0</v>
      </c>
      <c r="BE346" s="236">
        <v>35</v>
      </c>
      <c r="BF346" s="237">
        <f t="shared" si="458"/>
        <v>52.55</v>
      </c>
      <c r="BG346" s="253">
        <f t="shared" si="459"/>
        <v>2.7676728869374316</v>
      </c>
      <c r="BH346" s="253" cm="1">
        <f t="array" ref="BH346">$BC346 * SUMPRODUCT(INDEX($AL$77:$AN$82,,$AE346),INDEX($AO$77:$AU$82,,$AD346), N($AK$77:$AK$82&gt;$AI346)) / BG346 / 1000</f>
        <v>0</v>
      </c>
      <c r="BI346" s="250">
        <f t="shared" si="483"/>
        <v>30</v>
      </c>
      <c r="BJ346" s="237">
        <f t="shared" si="460"/>
        <v>46.033333333333331</v>
      </c>
      <c r="BK346" s="253">
        <f t="shared" si="461"/>
        <v>3.2297395388556791</v>
      </c>
      <c r="BL346" s="253" cm="1">
        <f t="array" ref="BL346">$BC346 * IF($AD346&lt;=2,
SUMPRODUCT(INDEX($AL$72:$AN$76,,$AE346), INDEX($AO$72:$AU$76,,$AD346), 1 / ($AV$72:$AV$76*BK346 + (1-$AV$72:$AV$76)*BG346), N($AK$72:$AK$76&gt;$AI346)),
SUMPRODUCT(INDEX($AL$67:$AN$76,,$AE346), INDEX($AO$67:$AU$76,,$AD346), 1 / ($AW$67:$AW$76*BK346 + (1-$AW$67:$AW$76)*BG346), N($AK$67:$AK$76&gt;$AI346))
) / 1000</f>
        <v>0</v>
      </c>
      <c r="BM346" s="250">
        <f t="shared" si="484"/>
        <v>25</v>
      </c>
      <c r="BN346" s="237">
        <f t="shared" si="462"/>
        <v>39.516666666666666</v>
      </c>
      <c r="BO346" s="253">
        <f t="shared" si="463"/>
        <v>3.877011788826243</v>
      </c>
      <c r="BP346" s="253" cm="1">
        <f t="array" ref="BP346">$BC346 * IF($AD346&lt;=2,
SUMPRODUCT(INDEX($AL$67:$AN$71,,$AE346), INDEX($AO$67:$AU$71,,$AD346), 1 / ($AV$67:$AV$71*BO346 + (1-$AV$67:$AV$71)*BK346), N($AK$67:$AK$71&gt;$AI346)),
SUMPRODUCT(INDEX($AL$57:$AN$66,,$AE346), INDEX($AO$57:$AU$66,,$AD346), 1 / ($AW$57:$AW$66*BO346 + (1-$AW$57:$AW$66)*BK346), N($AK$57:$AK$66&gt;$AI346))
) / 1000</f>
        <v>0</v>
      </c>
      <c r="BQ346" s="250">
        <f t="shared" si="485"/>
        <v>20</v>
      </c>
      <c r="BR346" s="237">
        <f t="shared" si="464"/>
        <v>33</v>
      </c>
      <c r="BS346" s="253">
        <f t="shared" si="465"/>
        <v>4.8487499999999999</v>
      </c>
      <c r="BT346" s="253" cm="1">
        <f t="array" ref="BT346">$BC346 * IF($AD346&lt;=2,
SUMPRODUCT(INDEX($AL$62:$AN$66,,$AE346), INDEX($AO$62:$AU$66,,$AD346), 1 / ($AV$62:$AV$66*BS346 + (1-$AV$62:$AV$66)*BO346), N($AK$62:$AK$66&gt;$AI346)),
SUMPRODUCT(INDEX($AL$47:$AN$56,,$AE346), INDEX($AO$47:$AU$56,,$AD346), 1 / ($AW$47:$AW$56*BS346 + (1-$AW$47:$AW$56)*BO346), N($AK$47:$AK$56&gt;$AI346))
) / 1000</f>
        <v>0</v>
      </c>
      <c r="BU346" s="253" cm="1">
        <f t="array" ref="BU346">$BC346 * IF($AD346&lt;=2,
SUMPRODUCT(INDEX($AL$23:$AN$61,,$AE346), INDEX($AO$23:$AU$61,,$AD346), 1 / ($AV$23:$AV$61*BS346), N($AK$23:$AK$61&gt;$AI346)),
SUMPRODUCT(INDEX($AL$23:$AN$46,,$AE346), INDEX($AO$23:$AU$46,,$AD346), 1 / ($AW$23:$AW$46*BS346), N($AK$23:$AK$46&gt;$AI346))
) / 1000</f>
        <v>0</v>
      </c>
      <c r="BV346" s="237">
        <f t="shared" si="466"/>
        <v>0</v>
      </c>
      <c r="BW346" s="210"/>
      <c r="BX346" s="237">
        <f t="shared" si="467"/>
        <v>0</v>
      </c>
      <c r="BY346" s="236">
        <v>35</v>
      </c>
      <c r="BZ346" s="237">
        <f t="shared" si="468"/>
        <v>48</v>
      </c>
      <c r="CA346" s="253">
        <f t="shared" si="469"/>
        <v>3.0748170731707316</v>
      </c>
      <c r="CB346" s="253" cm="1">
        <f t="array" ref="CB346">$BC346 * SUMPRODUCT(INDEX($AL$77:$AN$82,,$AE346),INDEX($AO$77:$AU$82,,$AD346), N($AK$77:$AK$82&gt;$AI346)) / CA346 / 1000</f>
        <v>0</v>
      </c>
      <c r="CC346" s="250">
        <f t="shared" si="486"/>
        <v>30</v>
      </c>
      <c r="CD346" s="237">
        <f t="shared" si="470"/>
        <v>43</v>
      </c>
      <c r="CE346" s="253">
        <f t="shared" si="471"/>
        <v>3.5018750000000001</v>
      </c>
      <c r="CF346" s="253" cm="1">
        <f t="array" ref="CF346">$BC346 * IF($AD346&lt;=2,
SUMPRODUCT(INDEX($AL$72:$AN$76,,$AE346), INDEX($AO$72:$AU$76,,$AD346), 1 / ($AV$72:$AV$76*CE346 + (1-$AV$72:$AV$76)*CA346), N($AK$72:$AK$76&gt;$AI346)),
SUMPRODUCT(INDEX($AL$67:$AN$76,,$AE346), INDEX($AO$67:$AU$76,,$AD346), 1 / ($AW$67:$AW$76*CE346 + (1-$AW$67:$AW$76)*CA346), N($AK$67:$AK$76&gt;$AI346))
) / 1000</f>
        <v>0</v>
      </c>
      <c r="CG346" s="250">
        <f t="shared" si="487"/>
        <v>25</v>
      </c>
      <c r="CH346" s="237">
        <f t="shared" si="472"/>
        <v>38</v>
      </c>
      <c r="CI346" s="253">
        <f t="shared" si="473"/>
        <v>4.0666935483870965</v>
      </c>
      <c r="CJ346" s="253" cm="1">
        <f t="array" ref="CJ346">$BC346 * IF($AD346&lt;=2,
SUMPRODUCT(INDEX($AL$67:$AN$71,,$AE346), INDEX($AO$67:$AU$71,,$AD346), 1 / ($AV$67:$AV$71*CI346 + (1-$AV$67:$AV$71)*CE346), N($AK$67:$AK$71&gt;$AI346)),
SUMPRODUCT(INDEX($AL$57:$AN$66,,$AE346), INDEX($AO$57:$AU$66,,$AD346), 1 / ($AW$57:$AW$66*CI346 + (1-$AW$57:$AW$66)*CE346), N($AK$57:$AK$66&gt;$AI346))
) / 1000</f>
        <v>0</v>
      </c>
      <c r="CK346" s="250">
        <f t="shared" si="488"/>
        <v>20</v>
      </c>
      <c r="CL346" s="237">
        <f t="shared" si="474"/>
        <v>33</v>
      </c>
      <c r="CM346" s="253">
        <f t="shared" si="475"/>
        <v>4.8487499999999999</v>
      </c>
      <c r="CN346" s="253" cm="1">
        <f t="array" ref="CN346">$BC346 * IF($AD346&lt;=2,
SUMPRODUCT(INDEX($AL$62:$AN$66,,$AE346), INDEX($AO$62:$AU$66,,$AD346), 1 / ($AV$62:$AV$66*CM346 + (1-$AV$62:$AV$66)*CI346), N($AK$62:$AK$66&gt;$AI346)),
SUMPRODUCT(INDEX($AL$47:$AN$56,,$AE346), INDEX($AO$47:$AU$56,,$AD346), 1 / ($AW$47:$AW$56*CM346 + (1-$AW$47:$AW$56)*CI346), N($AK$47:$AK$56&gt;$AI346))
) / 1000</f>
        <v>0</v>
      </c>
      <c r="CO346" s="253" cm="1">
        <f t="array" ref="CO346">$BC346 * IF($AD346&lt;=2,
SUMPRODUCT(INDEX($AL$23:$AN$61,,$AE346), INDEX($AO$23:$AU$61,,$AD346), 1 / ($AV$23:$AV$61*CM346), N($AK$23:$AK$61&gt;$AI346)),
SUMPRODUCT(INDEX($AL$23:$AN$46,,$AE346), INDEX($AO$23:$AU$46,,$AD346), 1 / ($AW$23:$AW$46*CM346), N($AK$23:$AK$46&gt;$AI346))
) / 1000</f>
        <v>0</v>
      </c>
      <c r="CP346" s="237">
        <f t="shared" si="476"/>
        <v>0</v>
      </c>
      <c r="CQ346" s="210"/>
    </row>
    <row r="347" spans="1:95" s="76" customFormat="1" ht="14.25" customHeight="1" x14ac:dyDescent="0.2">
      <c r="A347" s="238" t="b">
        <f t="shared" si="480"/>
        <v>0</v>
      </c>
      <c r="B347" s="239">
        <v>325</v>
      </c>
      <c r="C347" s="258"/>
      <c r="D347" s="258"/>
      <c r="E347" s="240"/>
      <c r="F347" s="241" t="str">
        <f>IF(ISBLANK(E347), "", VLOOKUP(E347, Z!$A$2:$C$4127, 3, FALSE))</f>
        <v/>
      </c>
      <c r="G347" s="242"/>
      <c r="H347" s="242"/>
      <c r="I347" s="243"/>
      <c r="J347" s="244"/>
      <c r="K347" s="259"/>
      <c r="L347" s="260"/>
      <c r="M347" s="247" t="str" cm="1">
        <f t="array" ref="M347">IF($K347&gt;0, INDEX(Clean,1+AG347,$C$1), "")</f>
        <v/>
      </c>
      <c r="N347" s="245"/>
      <c r="O347" s="245"/>
      <c r="P347" s="246"/>
      <c r="Q347" s="248">
        <f t="shared" si="453"/>
        <v>0</v>
      </c>
      <c r="R347" s="247" t="str" cm="1">
        <f t="array" ref="R347">IF($K347&gt;0, INDEX(Clean,1+AH347,$C$1), "")</f>
        <v/>
      </c>
      <c r="S347" s="245"/>
      <c r="T347" s="245"/>
      <c r="U347" s="246"/>
      <c r="V347" s="248">
        <f t="shared" si="454"/>
        <v>0</v>
      </c>
      <c r="W347" s="261"/>
      <c r="X347" s="258"/>
      <c r="Y347" s="240"/>
      <c r="Z347" s="241" t="str">
        <f>IF(ISBLANK(Y347), "", VLOOKUP(Y347, Z!$A$2:$C$4127, 3, FALSE))</f>
        <v/>
      </c>
      <c r="AA347" s="262"/>
      <c r="AB347" s="249">
        <f t="shared" si="489"/>
        <v>0</v>
      </c>
      <c r="AC347" s="210"/>
      <c r="AD347" s="236">
        <f t="shared" si="477"/>
        <v>1</v>
      </c>
      <c r="AE347" s="236">
        <f t="shared" si="478"/>
        <v>1</v>
      </c>
      <c r="AF347" s="236">
        <f t="shared" si="479"/>
        <v>0</v>
      </c>
      <c r="AG347" s="236">
        <v>1</v>
      </c>
      <c r="AH347" s="236">
        <v>0</v>
      </c>
      <c r="AI347" s="236">
        <f t="shared" si="455"/>
        <v>-100</v>
      </c>
      <c r="AJ347" s="210"/>
      <c r="AK347" s="254"/>
      <c r="AL347" s="254"/>
      <c r="AM347" s="255"/>
      <c r="AN347" s="255"/>
      <c r="AO347" s="255"/>
      <c r="AP347" s="255"/>
      <c r="AQ347" s="255"/>
      <c r="AR347" s="255"/>
      <c r="AS347" s="255"/>
      <c r="AT347" s="255"/>
      <c r="AU347" s="255"/>
      <c r="AV347" s="255"/>
      <c r="AW347" s="255"/>
      <c r="AX347" s="210"/>
      <c r="AY347" s="236" cm="1">
        <f t="array" ref="AY347">INDEX(Use, $AD347, 4)</f>
        <v>7</v>
      </c>
      <c r="AZ347" s="236">
        <f t="shared" si="456"/>
        <v>32</v>
      </c>
      <c r="BA347" s="236">
        <f t="shared" si="481"/>
        <v>13</v>
      </c>
      <c r="BB347" s="236">
        <f t="shared" si="482"/>
        <v>0</v>
      </c>
      <c r="BC347" s="252" cm="1">
        <f t="array" ref="BC347">K347/IF($L347&gt;0, INDEX($AO$23:$AU$77, $L347+20, $AD347), 1)</f>
        <v>0</v>
      </c>
      <c r="BD347" s="237">
        <f t="shared" si="457"/>
        <v>0</v>
      </c>
      <c r="BE347" s="236">
        <v>35</v>
      </c>
      <c r="BF347" s="237">
        <f t="shared" si="458"/>
        <v>52.55</v>
      </c>
      <c r="BG347" s="253">
        <f t="shared" si="459"/>
        <v>2.7676728869374316</v>
      </c>
      <c r="BH347" s="253" cm="1">
        <f t="array" ref="BH347">$BC347 * SUMPRODUCT(INDEX($AL$77:$AN$82,,$AE347),INDEX($AO$77:$AU$82,,$AD347), N($AK$77:$AK$82&gt;$AI347)) / BG347 / 1000</f>
        <v>0</v>
      </c>
      <c r="BI347" s="250">
        <f t="shared" si="483"/>
        <v>30</v>
      </c>
      <c r="BJ347" s="237">
        <f t="shared" si="460"/>
        <v>46.033333333333331</v>
      </c>
      <c r="BK347" s="253">
        <f t="shared" si="461"/>
        <v>3.2297395388556791</v>
      </c>
      <c r="BL347" s="253" cm="1">
        <f t="array" ref="BL347">$BC347 * IF($AD347&lt;=2,
SUMPRODUCT(INDEX($AL$72:$AN$76,,$AE347), INDEX($AO$72:$AU$76,,$AD347), 1 / ($AV$72:$AV$76*BK347 + (1-$AV$72:$AV$76)*BG347), N($AK$72:$AK$76&gt;$AI347)),
SUMPRODUCT(INDEX($AL$67:$AN$76,,$AE347), INDEX($AO$67:$AU$76,,$AD347), 1 / ($AW$67:$AW$76*BK347 + (1-$AW$67:$AW$76)*BG347), N($AK$67:$AK$76&gt;$AI347))
) / 1000</f>
        <v>0</v>
      </c>
      <c r="BM347" s="250">
        <f t="shared" si="484"/>
        <v>25</v>
      </c>
      <c r="BN347" s="237">
        <f t="shared" si="462"/>
        <v>39.516666666666666</v>
      </c>
      <c r="BO347" s="253">
        <f t="shared" si="463"/>
        <v>3.877011788826243</v>
      </c>
      <c r="BP347" s="253" cm="1">
        <f t="array" ref="BP347">$BC347 * IF($AD347&lt;=2,
SUMPRODUCT(INDEX($AL$67:$AN$71,,$AE347), INDEX($AO$67:$AU$71,,$AD347), 1 / ($AV$67:$AV$71*BO347 + (1-$AV$67:$AV$71)*BK347), N($AK$67:$AK$71&gt;$AI347)),
SUMPRODUCT(INDEX($AL$57:$AN$66,,$AE347), INDEX($AO$57:$AU$66,,$AD347), 1 / ($AW$57:$AW$66*BO347 + (1-$AW$57:$AW$66)*BK347), N($AK$57:$AK$66&gt;$AI347))
) / 1000</f>
        <v>0</v>
      </c>
      <c r="BQ347" s="250">
        <f t="shared" si="485"/>
        <v>20</v>
      </c>
      <c r="BR347" s="237">
        <f t="shared" si="464"/>
        <v>33</v>
      </c>
      <c r="BS347" s="253">
        <f t="shared" si="465"/>
        <v>4.8487499999999999</v>
      </c>
      <c r="BT347" s="253" cm="1">
        <f t="array" ref="BT347">$BC347 * IF($AD347&lt;=2,
SUMPRODUCT(INDEX($AL$62:$AN$66,,$AE347), INDEX($AO$62:$AU$66,,$AD347), 1 / ($AV$62:$AV$66*BS347 + (1-$AV$62:$AV$66)*BO347), N($AK$62:$AK$66&gt;$AI347)),
SUMPRODUCT(INDEX($AL$47:$AN$56,,$AE347), INDEX($AO$47:$AU$56,,$AD347), 1 / ($AW$47:$AW$56*BS347 + (1-$AW$47:$AW$56)*BO347), N($AK$47:$AK$56&gt;$AI347))
) / 1000</f>
        <v>0</v>
      </c>
      <c r="BU347" s="253" cm="1">
        <f t="array" ref="BU347">$BC347 * IF($AD347&lt;=2,
SUMPRODUCT(INDEX($AL$23:$AN$61,,$AE347), INDEX($AO$23:$AU$61,,$AD347), 1 / ($AV$23:$AV$61*BS347), N($AK$23:$AK$61&gt;$AI347)),
SUMPRODUCT(INDEX($AL$23:$AN$46,,$AE347), INDEX($AO$23:$AU$46,,$AD347), 1 / ($AW$23:$AW$46*BS347), N($AK$23:$AK$46&gt;$AI347))
) / 1000</f>
        <v>0</v>
      </c>
      <c r="BV347" s="237">
        <f t="shared" si="466"/>
        <v>0</v>
      </c>
      <c r="BW347" s="210"/>
      <c r="BX347" s="237">
        <f t="shared" si="467"/>
        <v>0</v>
      </c>
      <c r="BY347" s="236">
        <v>35</v>
      </c>
      <c r="BZ347" s="237">
        <f t="shared" si="468"/>
        <v>48</v>
      </c>
      <c r="CA347" s="253">
        <f t="shared" si="469"/>
        <v>3.0748170731707316</v>
      </c>
      <c r="CB347" s="253" cm="1">
        <f t="array" ref="CB347">$BC347 * SUMPRODUCT(INDEX($AL$77:$AN$82,,$AE347),INDEX($AO$77:$AU$82,,$AD347), N($AK$77:$AK$82&gt;$AI347)) / CA347 / 1000</f>
        <v>0</v>
      </c>
      <c r="CC347" s="250">
        <f t="shared" si="486"/>
        <v>30</v>
      </c>
      <c r="CD347" s="237">
        <f t="shared" si="470"/>
        <v>43</v>
      </c>
      <c r="CE347" s="253">
        <f t="shared" si="471"/>
        <v>3.5018750000000001</v>
      </c>
      <c r="CF347" s="253" cm="1">
        <f t="array" ref="CF347">$BC347 * IF($AD347&lt;=2,
SUMPRODUCT(INDEX($AL$72:$AN$76,,$AE347), INDEX($AO$72:$AU$76,,$AD347), 1 / ($AV$72:$AV$76*CE347 + (1-$AV$72:$AV$76)*CA347), N($AK$72:$AK$76&gt;$AI347)),
SUMPRODUCT(INDEX($AL$67:$AN$76,,$AE347), INDEX($AO$67:$AU$76,,$AD347), 1 / ($AW$67:$AW$76*CE347 + (1-$AW$67:$AW$76)*CA347), N($AK$67:$AK$76&gt;$AI347))
) / 1000</f>
        <v>0</v>
      </c>
      <c r="CG347" s="250">
        <f t="shared" si="487"/>
        <v>25</v>
      </c>
      <c r="CH347" s="237">
        <f t="shared" si="472"/>
        <v>38</v>
      </c>
      <c r="CI347" s="253">
        <f t="shared" si="473"/>
        <v>4.0666935483870965</v>
      </c>
      <c r="CJ347" s="253" cm="1">
        <f t="array" ref="CJ347">$BC347 * IF($AD347&lt;=2,
SUMPRODUCT(INDEX($AL$67:$AN$71,,$AE347), INDEX($AO$67:$AU$71,,$AD347), 1 / ($AV$67:$AV$71*CI347 + (1-$AV$67:$AV$71)*CE347), N($AK$67:$AK$71&gt;$AI347)),
SUMPRODUCT(INDEX($AL$57:$AN$66,,$AE347), INDEX($AO$57:$AU$66,,$AD347), 1 / ($AW$57:$AW$66*CI347 + (1-$AW$57:$AW$66)*CE347), N($AK$57:$AK$66&gt;$AI347))
) / 1000</f>
        <v>0</v>
      </c>
      <c r="CK347" s="250">
        <f t="shared" si="488"/>
        <v>20</v>
      </c>
      <c r="CL347" s="237">
        <f t="shared" si="474"/>
        <v>33</v>
      </c>
      <c r="CM347" s="253">
        <f t="shared" si="475"/>
        <v>4.8487499999999999</v>
      </c>
      <c r="CN347" s="253" cm="1">
        <f t="array" ref="CN347">$BC347 * IF($AD347&lt;=2,
SUMPRODUCT(INDEX($AL$62:$AN$66,,$AE347), INDEX($AO$62:$AU$66,,$AD347), 1 / ($AV$62:$AV$66*CM347 + (1-$AV$62:$AV$66)*CI347), N($AK$62:$AK$66&gt;$AI347)),
SUMPRODUCT(INDEX($AL$47:$AN$56,,$AE347), INDEX($AO$47:$AU$56,,$AD347), 1 / ($AW$47:$AW$56*CM347 + (1-$AW$47:$AW$56)*CI347), N($AK$47:$AK$56&gt;$AI347))
) / 1000</f>
        <v>0</v>
      </c>
      <c r="CO347" s="253" cm="1">
        <f t="array" ref="CO347">$BC347 * IF($AD347&lt;=2,
SUMPRODUCT(INDEX($AL$23:$AN$61,,$AE347), INDEX($AO$23:$AU$61,,$AD347), 1 / ($AV$23:$AV$61*CM347), N($AK$23:$AK$61&gt;$AI347)),
SUMPRODUCT(INDEX($AL$23:$AN$46,,$AE347), INDEX($AO$23:$AU$46,,$AD347), 1 / ($AW$23:$AW$46*CM347), N($AK$23:$AK$46&gt;$AI347))
) / 1000</f>
        <v>0</v>
      </c>
      <c r="CP347" s="237">
        <f t="shared" si="476"/>
        <v>0</v>
      </c>
      <c r="CQ347" s="210"/>
    </row>
    <row r="348" spans="1:95" s="76" customFormat="1" ht="14.25" customHeight="1" x14ac:dyDescent="0.2">
      <c r="A348" s="238" t="b">
        <f t="shared" si="480"/>
        <v>0</v>
      </c>
      <c r="B348" s="239">
        <v>326</v>
      </c>
      <c r="C348" s="258"/>
      <c r="D348" s="258"/>
      <c r="E348" s="240"/>
      <c r="F348" s="241" t="str">
        <f>IF(ISBLANK(E348), "", VLOOKUP(E348, Z!$A$2:$C$4127, 3, FALSE))</f>
        <v/>
      </c>
      <c r="G348" s="242"/>
      <c r="H348" s="242"/>
      <c r="I348" s="243"/>
      <c r="J348" s="244"/>
      <c r="K348" s="259"/>
      <c r="L348" s="260"/>
      <c r="M348" s="247" t="str" cm="1">
        <f t="array" ref="M348">IF($K348&gt;0, INDEX(Clean,1+AG348,$C$1), "")</f>
        <v/>
      </c>
      <c r="N348" s="245"/>
      <c r="O348" s="245"/>
      <c r="P348" s="246"/>
      <c r="Q348" s="248">
        <f t="shared" si="453"/>
        <v>0</v>
      </c>
      <c r="R348" s="247" t="str" cm="1">
        <f t="array" ref="R348">IF($K348&gt;0, INDEX(Clean,1+AH348,$C$1), "")</f>
        <v/>
      </c>
      <c r="S348" s="245"/>
      <c r="T348" s="245"/>
      <c r="U348" s="246"/>
      <c r="V348" s="248">
        <f t="shared" si="454"/>
        <v>0</v>
      </c>
      <c r="W348" s="261"/>
      <c r="X348" s="258"/>
      <c r="Y348" s="240"/>
      <c r="Z348" s="241" t="str">
        <f>IF(ISBLANK(Y348), "", VLOOKUP(Y348, Z!$A$2:$C$4127, 3, FALSE))</f>
        <v/>
      </c>
      <c r="AA348" s="262"/>
      <c r="AB348" s="249">
        <f t="shared" si="489"/>
        <v>0</v>
      </c>
      <c r="AC348" s="210"/>
      <c r="AD348" s="236">
        <f t="shared" si="477"/>
        <v>1</v>
      </c>
      <c r="AE348" s="236">
        <f t="shared" si="478"/>
        <v>1</v>
      </c>
      <c r="AF348" s="236">
        <f t="shared" si="479"/>
        <v>0</v>
      </c>
      <c r="AG348" s="236">
        <v>1</v>
      </c>
      <c r="AH348" s="236">
        <v>0</v>
      </c>
      <c r="AI348" s="236">
        <f t="shared" si="455"/>
        <v>-100</v>
      </c>
      <c r="AJ348" s="210"/>
      <c r="AK348" s="254"/>
      <c r="AL348" s="254"/>
      <c r="AM348" s="255"/>
      <c r="AN348" s="255"/>
      <c r="AO348" s="255"/>
      <c r="AP348" s="255"/>
      <c r="AQ348" s="255"/>
      <c r="AR348" s="255"/>
      <c r="AS348" s="255"/>
      <c r="AT348" s="255"/>
      <c r="AU348" s="255"/>
      <c r="AV348" s="255"/>
      <c r="AW348" s="255"/>
      <c r="AX348" s="210"/>
      <c r="AY348" s="236" cm="1">
        <f t="array" ref="AY348">INDEX(Use, $AD348, 4)</f>
        <v>7</v>
      </c>
      <c r="AZ348" s="236">
        <f t="shared" si="456"/>
        <v>32</v>
      </c>
      <c r="BA348" s="236">
        <f t="shared" si="481"/>
        <v>13</v>
      </c>
      <c r="BB348" s="236">
        <f t="shared" si="482"/>
        <v>0</v>
      </c>
      <c r="BC348" s="252" cm="1">
        <f t="array" ref="BC348">K348/IF($L348&gt;0, INDEX($AO$23:$AU$77, $L348+20, $AD348), 1)</f>
        <v>0</v>
      </c>
      <c r="BD348" s="237">
        <f t="shared" si="457"/>
        <v>0</v>
      </c>
      <c r="BE348" s="236">
        <v>35</v>
      </c>
      <c r="BF348" s="237">
        <f t="shared" si="458"/>
        <v>52.55</v>
      </c>
      <c r="BG348" s="253">
        <f t="shared" si="459"/>
        <v>2.7676728869374316</v>
      </c>
      <c r="BH348" s="253" cm="1">
        <f t="array" ref="BH348">$BC348 * SUMPRODUCT(INDEX($AL$77:$AN$82,,$AE348),INDEX($AO$77:$AU$82,,$AD348), N($AK$77:$AK$82&gt;$AI348)) / BG348 / 1000</f>
        <v>0</v>
      </c>
      <c r="BI348" s="250">
        <f t="shared" si="483"/>
        <v>30</v>
      </c>
      <c r="BJ348" s="237">
        <f t="shared" si="460"/>
        <v>46.033333333333331</v>
      </c>
      <c r="BK348" s="253">
        <f t="shared" si="461"/>
        <v>3.2297395388556791</v>
      </c>
      <c r="BL348" s="253" cm="1">
        <f t="array" ref="BL348">$BC348 * IF($AD348&lt;=2,
SUMPRODUCT(INDEX($AL$72:$AN$76,,$AE348), INDEX($AO$72:$AU$76,,$AD348), 1 / ($AV$72:$AV$76*BK348 + (1-$AV$72:$AV$76)*BG348), N($AK$72:$AK$76&gt;$AI348)),
SUMPRODUCT(INDEX($AL$67:$AN$76,,$AE348), INDEX($AO$67:$AU$76,,$AD348), 1 / ($AW$67:$AW$76*BK348 + (1-$AW$67:$AW$76)*BG348), N($AK$67:$AK$76&gt;$AI348))
) / 1000</f>
        <v>0</v>
      </c>
      <c r="BM348" s="250">
        <f t="shared" si="484"/>
        <v>25</v>
      </c>
      <c r="BN348" s="237">
        <f t="shared" si="462"/>
        <v>39.516666666666666</v>
      </c>
      <c r="BO348" s="253">
        <f t="shared" si="463"/>
        <v>3.877011788826243</v>
      </c>
      <c r="BP348" s="253" cm="1">
        <f t="array" ref="BP348">$BC348 * IF($AD348&lt;=2,
SUMPRODUCT(INDEX($AL$67:$AN$71,,$AE348), INDEX($AO$67:$AU$71,,$AD348), 1 / ($AV$67:$AV$71*BO348 + (1-$AV$67:$AV$71)*BK348), N($AK$67:$AK$71&gt;$AI348)),
SUMPRODUCT(INDEX($AL$57:$AN$66,,$AE348), INDEX($AO$57:$AU$66,,$AD348), 1 / ($AW$57:$AW$66*BO348 + (1-$AW$57:$AW$66)*BK348), N($AK$57:$AK$66&gt;$AI348))
) / 1000</f>
        <v>0</v>
      </c>
      <c r="BQ348" s="250">
        <f t="shared" si="485"/>
        <v>20</v>
      </c>
      <c r="BR348" s="237">
        <f t="shared" si="464"/>
        <v>33</v>
      </c>
      <c r="BS348" s="253">
        <f t="shared" si="465"/>
        <v>4.8487499999999999</v>
      </c>
      <c r="BT348" s="253" cm="1">
        <f t="array" ref="BT348">$BC348 * IF($AD348&lt;=2,
SUMPRODUCT(INDEX($AL$62:$AN$66,,$AE348), INDEX($AO$62:$AU$66,,$AD348), 1 / ($AV$62:$AV$66*BS348 + (1-$AV$62:$AV$66)*BO348), N($AK$62:$AK$66&gt;$AI348)),
SUMPRODUCT(INDEX($AL$47:$AN$56,,$AE348), INDEX($AO$47:$AU$56,,$AD348), 1 / ($AW$47:$AW$56*BS348 + (1-$AW$47:$AW$56)*BO348), N($AK$47:$AK$56&gt;$AI348))
) / 1000</f>
        <v>0</v>
      </c>
      <c r="BU348" s="253" cm="1">
        <f t="array" ref="BU348">$BC348 * IF($AD348&lt;=2,
SUMPRODUCT(INDEX($AL$23:$AN$61,,$AE348), INDEX($AO$23:$AU$61,,$AD348), 1 / ($AV$23:$AV$61*BS348), N($AK$23:$AK$61&gt;$AI348)),
SUMPRODUCT(INDEX($AL$23:$AN$46,,$AE348), INDEX($AO$23:$AU$46,,$AD348), 1 / ($AW$23:$AW$46*BS348), N($AK$23:$AK$46&gt;$AI348))
) / 1000</f>
        <v>0</v>
      </c>
      <c r="BV348" s="237">
        <f t="shared" si="466"/>
        <v>0</v>
      </c>
      <c r="BW348" s="210"/>
      <c r="BX348" s="237">
        <f t="shared" si="467"/>
        <v>0</v>
      </c>
      <c r="BY348" s="236">
        <v>35</v>
      </c>
      <c r="BZ348" s="237">
        <f t="shared" si="468"/>
        <v>48</v>
      </c>
      <c r="CA348" s="253">
        <f t="shared" si="469"/>
        <v>3.0748170731707316</v>
      </c>
      <c r="CB348" s="253" cm="1">
        <f t="array" ref="CB348">$BC348 * SUMPRODUCT(INDEX($AL$77:$AN$82,,$AE348),INDEX($AO$77:$AU$82,,$AD348), N($AK$77:$AK$82&gt;$AI348)) / CA348 / 1000</f>
        <v>0</v>
      </c>
      <c r="CC348" s="250">
        <f t="shared" si="486"/>
        <v>30</v>
      </c>
      <c r="CD348" s="237">
        <f t="shared" si="470"/>
        <v>43</v>
      </c>
      <c r="CE348" s="253">
        <f t="shared" si="471"/>
        <v>3.5018750000000001</v>
      </c>
      <c r="CF348" s="253" cm="1">
        <f t="array" ref="CF348">$BC348 * IF($AD348&lt;=2,
SUMPRODUCT(INDEX($AL$72:$AN$76,,$AE348), INDEX($AO$72:$AU$76,,$AD348), 1 / ($AV$72:$AV$76*CE348 + (1-$AV$72:$AV$76)*CA348), N($AK$72:$AK$76&gt;$AI348)),
SUMPRODUCT(INDEX($AL$67:$AN$76,,$AE348), INDEX($AO$67:$AU$76,,$AD348), 1 / ($AW$67:$AW$76*CE348 + (1-$AW$67:$AW$76)*CA348), N($AK$67:$AK$76&gt;$AI348))
) / 1000</f>
        <v>0</v>
      </c>
      <c r="CG348" s="250">
        <f t="shared" si="487"/>
        <v>25</v>
      </c>
      <c r="CH348" s="237">
        <f t="shared" si="472"/>
        <v>38</v>
      </c>
      <c r="CI348" s="253">
        <f t="shared" si="473"/>
        <v>4.0666935483870965</v>
      </c>
      <c r="CJ348" s="253" cm="1">
        <f t="array" ref="CJ348">$BC348 * IF($AD348&lt;=2,
SUMPRODUCT(INDEX($AL$67:$AN$71,,$AE348), INDEX($AO$67:$AU$71,,$AD348), 1 / ($AV$67:$AV$71*CI348 + (1-$AV$67:$AV$71)*CE348), N($AK$67:$AK$71&gt;$AI348)),
SUMPRODUCT(INDEX($AL$57:$AN$66,,$AE348), INDEX($AO$57:$AU$66,,$AD348), 1 / ($AW$57:$AW$66*CI348 + (1-$AW$57:$AW$66)*CE348), N($AK$57:$AK$66&gt;$AI348))
) / 1000</f>
        <v>0</v>
      </c>
      <c r="CK348" s="250">
        <f t="shared" si="488"/>
        <v>20</v>
      </c>
      <c r="CL348" s="237">
        <f t="shared" si="474"/>
        <v>33</v>
      </c>
      <c r="CM348" s="253">
        <f t="shared" si="475"/>
        <v>4.8487499999999999</v>
      </c>
      <c r="CN348" s="253" cm="1">
        <f t="array" ref="CN348">$BC348 * IF($AD348&lt;=2,
SUMPRODUCT(INDEX($AL$62:$AN$66,,$AE348), INDEX($AO$62:$AU$66,,$AD348), 1 / ($AV$62:$AV$66*CM348 + (1-$AV$62:$AV$66)*CI348), N($AK$62:$AK$66&gt;$AI348)),
SUMPRODUCT(INDEX($AL$47:$AN$56,,$AE348), INDEX($AO$47:$AU$56,,$AD348), 1 / ($AW$47:$AW$56*CM348 + (1-$AW$47:$AW$56)*CI348), N($AK$47:$AK$56&gt;$AI348))
) / 1000</f>
        <v>0</v>
      </c>
      <c r="CO348" s="253" cm="1">
        <f t="array" ref="CO348">$BC348 * IF($AD348&lt;=2,
SUMPRODUCT(INDEX($AL$23:$AN$61,,$AE348), INDEX($AO$23:$AU$61,,$AD348), 1 / ($AV$23:$AV$61*CM348), N($AK$23:$AK$61&gt;$AI348)),
SUMPRODUCT(INDEX($AL$23:$AN$46,,$AE348), INDEX($AO$23:$AU$46,,$AD348), 1 / ($AW$23:$AW$46*CM348), N($AK$23:$AK$46&gt;$AI348))
) / 1000</f>
        <v>0</v>
      </c>
      <c r="CP348" s="237">
        <f t="shared" si="476"/>
        <v>0</v>
      </c>
      <c r="CQ348" s="210"/>
    </row>
    <row r="349" spans="1:95" s="76" customFormat="1" ht="14.25" customHeight="1" x14ac:dyDescent="0.2">
      <c r="A349" s="238" t="b">
        <f t="shared" si="480"/>
        <v>0</v>
      </c>
      <c r="B349" s="239">
        <v>327</v>
      </c>
      <c r="C349" s="258"/>
      <c r="D349" s="258"/>
      <c r="E349" s="240"/>
      <c r="F349" s="241" t="str">
        <f>IF(ISBLANK(E349), "", VLOOKUP(E349, Z!$A$2:$C$4127, 3, FALSE))</f>
        <v/>
      </c>
      <c r="G349" s="242"/>
      <c r="H349" s="242"/>
      <c r="I349" s="243"/>
      <c r="J349" s="244"/>
      <c r="K349" s="259"/>
      <c r="L349" s="260"/>
      <c r="M349" s="247" t="str" cm="1">
        <f t="array" ref="M349">IF($K349&gt;0, INDEX(Clean,1+AG349,$C$1), "")</f>
        <v/>
      </c>
      <c r="N349" s="245"/>
      <c r="O349" s="245"/>
      <c r="P349" s="246"/>
      <c r="Q349" s="248">
        <f t="shared" si="453"/>
        <v>0</v>
      </c>
      <c r="R349" s="247" t="str" cm="1">
        <f t="array" ref="R349">IF($K349&gt;0, INDEX(Clean,1+AH349,$C$1), "")</f>
        <v/>
      </c>
      <c r="S349" s="245"/>
      <c r="T349" s="245"/>
      <c r="U349" s="246"/>
      <c r="V349" s="248">
        <f t="shared" si="454"/>
        <v>0</v>
      </c>
      <c r="W349" s="261"/>
      <c r="X349" s="258"/>
      <c r="Y349" s="240"/>
      <c r="Z349" s="241" t="str">
        <f>IF(ISBLANK(Y349), "", VLOOKUP(Y349, Z!$A$2:$C$4127, 3, FALSE))</f>
        <v/>
      </c>
      <c r="AA349" s="262"/>
      <c r="AB349" s="249">
        <f t="shared" si="489"/>
        <v>0</v>
      </c>
      <c r="AC349" s="210"/>
      <c r="AD349" s="236">
        <f t="shared" si="477"/>
        <v>1</v>
      </c>
      <c r="AE349" s="236">
        <f t="shared" si="478"/>
        <v>1</v>
      </c>
      <c r="AF349" s="236">
        <f t="shared" si="479"/>
        <v>0</v>
      </c>
      <c r="AG349" s="236">
        <v>1</v>
      </c>
      <c r="AH349" s="236">
        <v>0</v>
      </c>
      <c r="AI349" s="236">
        <f t="shared" si="455"/>
        <v>-100</v>
      </c>
      <c r="AJ349" s="210"/>
      <c r="AK349" s="254"/>
      <c r="AL349" s="254"/>
      <c r="AM349" s="255"/>
      <c r="AN349" s="255"/>
      <c r="AO349" s="255"/>
      <c r="AP349" s="255"/>
      <c r="AQ349" s="255"/>
      <c r="AR349" s="255"/>
      <c r="AS349" s="255"/>
      <c r="AT349" s="255"/>
      <c r="AU349" s="255"/>
      <c r="AV349" s="255"/>
      <c r="AW349" s="255"/>
      <c r="AX349" s="210"/>
      <c r="AY349" s="236" cm="1">
        <f t="array" ref="AY349">INDEX(Use, $AD349, 4)</f>
        <v>7</v>
      </c>
      <c r="AZ349" s="236">
        <f t="shared" si="456"/>
        <v>32</v>
      </c>
      <c r="BA349" s="236">
        <f t="shared" si="481"/>
        <v>13</v>
      </c>
      <c r="BB349" s="236">
        <f t="shared" si="482"/>
        <v>0</v>
      </c>
      <c r="BC349" s="252" cm="1">
        <f t="array" ref="BC349">K349/IF($L349&gt;0, INDEX($AO$23:$AU$77, $L349+20, $AD349), 1)</f>
        <v>0</v>
      </c>
      <c r="BD349" s="237">
        <f t="shared" si="457"/>
        <v>0</v>
      </c>
      <c r="BE349" s="236">
        <v>35</v>
      </c>
      <c r="BF349" s="237">
        <f t="shared" si="458"/>
        <v>52.55</v>
      </c>
      <c r="BG349" s="253">
        <f t="shared" si="459"/>
        <v>2.7676728869374316</v>
      </c>
      <c r="BH349" s="253" cm="1">
        <f t="array" ref="BH349">$BC349 * SUMPRODUCT(INDEX($AL$77:$AN$82,,$AE349),INDEX($AO$77:$AU$82,,$AD349), N($AK$77:$AK$82&gt;$AI349)) / BG349 / 1000</f>
        <v>0</v>
      </c>
      <c r="BI349" s="250">
        <f t="shared" si="483"/>
        <v>30</v>
      </c>
      <c r="BJ349" s="237">
        <f t="shared" si="460"/>
        <v>46.033333333333331</v>
      </c>
      <c r="BK349" s="253">
        <f t="shared" si="461"/>
        <v>3.2297395388556791</v>
      </c>
      <c r="BL349" s="253" cm="1">
        <f t="array" ref="BL349">$BC349 * IF($AD349&lt;=2,
SUMPRODUCT(INDEX($AL$72:$AN$76,,$AE349), INDEX($AO$72:$AU$76,,$AD349), 1 / ($AV$72:$AV$76*BK349 + (1-$AV$72:$AV$76)*BG349), N($AK$72:$AK$76&gt;$AI349)),
SUMPRODUCT(INDEX($AL$67:$AN$76,,$AE349), INDEX($AO$67:$AU$76,,$AD349), 1 / ($AW$67:$AW$76*BK349 + (1-$AW$67:$AW$76)*BG349), N($AK$67:$AK$76&gt;$AI349))
) / 1000</f>
        <v>0</v>
      </c>
      <c r="BM349" s="250">
        <f t="shared" si="484"/>
        <v>25</v>
      </c>
      <c r="BN349" s="237">
        <f t="shared" si="462"/>
        <v>39.516666666666666</v>
      </c>
      <c r="BO349" s="253">
        <f t="shared" si="463"/>
        <v>3.877011788826243</v>
      </c>
      <c r="BP349" s="253" cm="1">
        <f t="array" ref="BP349">$BC349 * IF($AD349&lt;=2,
SUMPRODUCT(INDEX($AL$67:$AN$71,,$AE349), INDEX($AO$67:$AU$71,,$AD349), 1 / ($AV$67:$AV$71*BO349 + (1-$AV$67:$AV$71)*BK349), N($AK$67:$AK$71&gt;$AI349)),
SUMPRODUCT(INDEX($AL$57:$AN$66,,$AE349), INDEX($AO$57:$AU$66,,$AD349), 1 / ($AW$57:$AW$66*BO349 + (1-$AW$57:$AW$66)*BK349), N($AK$57:$AK$66&gt;$AI349))
) / 1000</f>
        <v>0</v>
      </c>
      <c r="BQ349" s="250">
        <f t="shared" si="485"/>
        <v>20</v>
      </c>
      <c r="BR349" s="237">
        <f t="shared" si="464"/>
        <v>33</v>
      </c>
      <c r="BS349" s="253">
        <f t="shared" si="465"/>
        <v>4.8487499999999999</v>
      </c>
      <c r="BT349" s="253" cm="1">
        <f t="array" ref="BT349">$BC349 * IF($AD349&lt;=2,
SUMPRODUCT(INDEX($AL$62:$AN$66,,$AE349), INDEX($AO$62:$AU$66,,$AD349), 1 / ($AV$62:$AV$66*BS349 + (1-$AV$62:$AV$66)*BO349), N($AK$62:$AK$66&gt;$AI349)),
SUMPRODUCT(INDEX($AL$47:$AN$56,,$AE349), INDEX($AO$47:$AU$56,,$AD349), 1 / ($AW$47:$AW$56*BS349 + (1-$AW$47:$AW$56)*BO349), N($AK$47:$AK$56&gt;$AI349))
) / 1000</f>
        <v>0</v>
      </c>
      <c r="BU349" s="253" cm="1">
        <f t="array" ref="BU349">$BC349 * IF($AD349&lt;=2,
SUMPRODUCT(INDEX($AL$23:$AN$61,,$AE349), INDEX($AO$23:$AU$61,,$AD349), 1 / ($AV$23:$AV$61*BS349), N($AK$23:$AK$61&gt;$AI349)),
SUMPRODUCT(INDEX($AL$23:$AN$46,,$AE349), INDEX($AO$23:$AU$46,,$AD349), 1 / ($AW$23:$AW$46*BS349), N($AK$23:$AK$46&gt;$AI349))
) / 1000</f>
        <v>0</v>
      </c>
      <c r="BV349" s="237">
        <f t="shared" si="466"/>
        <v>0</v>
      </c>
      <c r="BW349" s="210"/>
      <c r="BX349" s="237">
        <f t="shared" si="467"/>
        <v>0</v>
      </c>
      <c r="BY349" s="236">
        <v>35</v>
      </c>
      <c r="BZ349" s="237">
        <f t="shared" si="468"/>
        <v>48</v>
      </c>
      <c r="CA349" s="253">
        <f t="shared" si="469"/>
        <v>3.0748170731707316</v>
      </c>
      <c r="CB349" s="253" cm="1">
        <f t="array" ref="CB349">$BC349 * SUMPRODUCT(INDEX($AL$77:$AN$82,,$AE349),INDEX($AO$77:$AU$82,,$AD349), N($AK$77:$AK$82&gt;$AI349)) / CA349 / 1000</f>
        <v>0</v>
      </c>
      <c r="CC349" s="250">
        <f t="shared" si="486"/>
        <v>30</v>
      </c>
      <c r="CD349" s="237">
        <f t="shared" si="470"/>
        <v>43</v>
      </c>
      <c r="CE349" s="253">
        <f t="shared" si="471"/>
        <v>3.5018750000000001</v>
      </c>
      <c r="CF349" s="253" cm="1">
        <f t="array" ref="CF349">$BC349 * IF($AD349&lt;=2,
SUMPRODUCT(INDEX($AL$72:$AN$76,,$AE349), INDEX($AO$72:$AU$76,,$AD349), 1 / ($AV$72:$AV$76*CE349 + (1-$AV$72:$AV$76)*CA349), N($AK$72:$AK$76&gt;$AI349)),
SUMPRODUCT(INDEX($AL$67:$AN$76,,$AE349), INDEX($AO$67:$AU$76,,$AD349), 1 / ($AW$67:$AW$76*CE349 + (1-$AW$67:$AW$76)*CA349), N($AK$67:$AK$76&gt;$AI349))
) / 1000</f>
        <v>0</v>
      </c>
      <c r="CG349" s="250">
        <f t="shared" si="487"/>
        <v>25</v>
      </c>
      <c r="CH349" s="237">
        <f t="shared" si="472"/>
        <v>38</v>
      </c>
      <c r="CI349" s="253">
        <f t="shared" si="473"/>
        <v>4.0666935483870965</v>
      </c>
      <c r="CJ349" s="253" cm="1">
        <f t="array" ref="CJ349">$BC349 * IF($AD349&lt;=2,
SUMPRODUCT(INDEX($AL$67:$AN$71,,$AE349), INDEX($AO$67:$AU$71,,$AD349), 1 / ($AV$67:$AV$71*CI349 + (1-$AV$67:$AV$71)*CE349), N($AK$67:$AK$71&gt;$AI349)),
SUMPRODUCT(INDEX($AL$57:$AN$66,,$AE349), INDEX($AO$57:$AU$66,,$AD349), 1 / ($AW$57:$AW$66*CI349 + (1-$AW$57:$AW$66)*CE349), N($AK$57:$AK$66&gt;$AI349))
) / 1000</f>
        <v>0</v>
      </c>
      <c r="CK349" s="250">
        <f t="shared" si="488"/>
        <v>20</v>
      </c>
      <c r="CL349" s="237">
        <f t="shared" si="474"/>
        <v>33</v>
      </c>
      <c r="CM349" s="253">
        <f t="shared" si="475"/>
        <v>4.8487499999999999</v>
      </c>
      <c r="CN349" s="253" cm="1">
        <f t="array" ref="CN349">$BC349 * IF($AD349&lt;=2,
SUMPRODUCT(INDEX($AL$62:$AN$66,,$AE349), INDEX($AO$62:$AU$66,,$AD349), 1 / ($AV$62:$AV$66*CM349 + (1-$AV$62:$AV$66)*CI349), N($AK$62:$AK$66&gt;$AI349)),
SUMPRODUCT(INDEX($AL$47:$AN$56,,$AE349), INDEX($AO$47:$AU$56,,$AD349), 1 / ($AW$47:$AW$56*CM349 + (1-$AW$47:$AW$56)*CI349), N($AK$47:$AK$56&gt;$AI349))
) / 1000</f>
        <v>0</v>
      </c>
      <c r="CO349" s="253" cm="1">
        <f t="array" ref="CO349">$BC349 * IF($AD349&lt;=2,
SUMPRODUCT(INDEX($AL$23:$AN$61,,$AE349), INDEX($AO$23:$AU$61,,$AD349), 1 / ($AV$23:$AV$61*CM349), N($AK$23:$AK$61&gt;$AI349)),
SUMPRODUCT(INDEX($AL$23:$AN$46,,$AE349), INDEX($AO$23:$AU$46,,$AD349), 1 / ($AW$23:$AW$46*CM349), N($AK$23:$AK$46&gt;$AI349))
) / 1000</f>
        <v>0</v>
      </c>
      <c r="CP349" s="237">
        <f t="shared" si="476"/>
        <v>0</v>
      </c>
      <c r="CQ349" s="210"/>
    </row>
    <row r="350" spans="1:95" s="76" customFormat="1" ht="14.25" customHeight="1" x14ac:dyDescent="0.2">
      <c r="A350" s="238" t="b">
        <f t="shared" si="480"/>
        <v>0</v>
      </c>
      <c r="B350" s="239">
        <v>328</v>
      </c>
      <c r="C350" s="258"/>
      <c r="D350" s="258"/>
      <c r="E350" s="240"/>
      <c r="F350" s="241" t="str">
        <f>IF(ISBLANK(E350), "", VLOOKUP(E350, Z!$A$2:$C$4127, 3, FALSE))</f>
        <v/>
      </c>
      <c r="G350" s="242"/>
      <c r="H350" s="242"/>
      <c r="I350" s="243"/>
      <c r="J350" s="244"/>
      <c r="K350" s="259"/>
      <c r="L350" s="260"/>
      <c r="M350" s="247" t="str" cm="1">
        <f t="array" ref="M350">IF($K350&gt;0, INDEX(Clean,1+AG350,$C$1), "")</f>
        <v/>
      </c>
      <c r="N350" s="245"/>
      <c r="O350" s="245"/>
      <c r="P350" s="246"/>
      <c r="Q350" s="248">
        <f t="shared" si="453"/>
        <v>0</v>
      </c>
      <c r="R350" s="247" t="str" cm="1">
        <f t="array" ref="R350">IF($K350&gt;0, INDEX(Clean,1+AH350,$C$1), "")</f>
        <v/>
      </c>
      <c r="S350" s="245"/>
      <c r="T350" s="245"/>
      <c r="U350" s="246"/>
      <c r="V350" s="248">
        <f t="shared" si="454"/>
        <v>0</v>
      </c>
      <c r="W350" s="261"/>
      <c r="X350" s="258"/>
      <c r="Y350" s="240"/>
      <c r="Z350" s="241" t="str">
        <f>IF(ISBLANK(Y350), "", VLOOKUP(Y350, Z!$A$2:$C$4127, 3, FALSE))</f>
        <v/>
      </c>
      <c r="AA350" s="262"/>
      <c r="AB350" s="249">
        <f t="shared" si="489"/>
        <v>0</v>
      </c>
      <c r="AC350" s="210"/>
      <c r="AD350" s="236">
        <f t="shared" si="477"/>
        <v>1</v>
      </c>
      <c r="AE350" s="236">
        <f t="shared" si="478"/>
        <v>1</v>
      </c>
      <c r="AF350" s="236">
        <f t="shared" si="479"/>
        <v>0</v>
      </c>
      <c r="AG350" s="236">
        <v>1</v>
      </c>
      <c r="AH350" s="236">
        <v>0</v>
      </c>
      <c r="AI350" s="236">
        <f t="shared" si="455"/>
        <v>-100</v>
      </c>
      <c r="AJ350" s="210"/>
      <c r="AK350" s="254"/>
      <c r="AL350" s="254"/>
      <c r="AM350" s="255"/>
      <c r="AN350" s="255"/>
      <c r="AO350" s="255"/>
      <c r="AP350" s="255"/>
      <c r="AQ350" s="255"/>
      <c r="AR350" s="255"/>
      <c r="AS350" s="255"/>
      <c r="AT350" s="255"/>
      <c r="AU350" s="255"/>
      <c r="AV350" s="255"/>
      <c r="AW350" s="255"/>
      <c r="AX350" s="210"/>
      <c r="AY350" s="236" cm="1">
        <f t="array" ref="AY350">INDEX(Use, $AD350, 4)</f>
        <v>7</v>
      </c>
      <c r="AZ350" s="236">
        <f t="shared" si="456"/>
        <v>32</v>
      </c>
      <c r="BA350" s="236">
        <f t="shared" si="481"/>
        <v>13</v>
      </c>
      <c r="BB350" s="236">
        <f t="shared" si="482"/>
        <v>0</v>
      </c>
      <c r="BC350" s="252" cm="1">
        <f t="array" ref="BC350">K350/IF($L350&gt;0, INDEX($AO$23:$AU$77, $L350+20, $AD350), 1)</f>
        <v>0</v>
      </c>
      <c r="BD350" s="237">
        <f t="shared" si="457"/>
        <v>0</v>
      </c>
      <c r="BE350" s="236">
        <v>35</v>
      </c>
      <c r="BF350" s="237">
        <f t="shared" si="458"/>
        <v>52.55</v>
      </c>
      <c r="BG350" s="253">
        <f t="shared" si="459"/>
        <v>2.7676728869374316</v>
      </c>
      <c r="BH350" s="253" cm="1">
        <f t="array" ref="BH350">$BC350 * SUMPRODUCT(INDEX($AL$77:$AN$82,,$AE350),INDEX($AO$77:$AU$82,,$AD350), N($AK$77:$AK$82&gt;$AI350)) / BG350 / 1000</f>
        <v>0</v>
      </c>
      <c r="BI350" s="250">
        <f t="shared" si="483"/>
        <v>30</v>
      </c>
      <c r="BJ350" s="237">
        <f t="shared" si="460"/>
        <v>46.033333333333331</v>
      </c>
      <c r="BK350" s="253">
        <f t="shared" si="461"/>
        <v>3.2297395388556791</v>
      </c>
      <c r="BL350" s="253" cm="1">
        <f t="array" ref="BL350">$BC350 * IF($AD350&lt;=2,
SUMPRODUCT(INDEX($AL$72:$AN$76,,$AE350), INDEX($AO$72:$AU$76,,$AD350), 1 / ($AV$72:$AV$76*BK350 + (1-$AV$72:$AV$76)*BG350), N($AK$72:$AK$76&gt;$AI350)),
SUMPRODUCT(INDEX($AL$67:$AN$76,,$AE350), INDEX($AO$67:$AU$76,,$AD350), 1 / ($AW$67:$AW$76*BK350 + (1-$AW$67:$AW$76)*BG350), N($AK$67:$AK$76&gt;$AI350))
) / 1000</f>
        <v>0</v>
      </c>
      <c r="BM350" s="250">
        <f t="shared" si="484"/>
        <v>25</v>
      </c>
      <c r="BN350" s="237">
        <f t="shared" si="462"/>
        <v>39.516666666666666</v>
      </c>
      <c r="BO350" s="253">
        <f t="shared" si="463"/>
        <v>3.877011788826243</v>
      </c>
      <c r="BP350" s="253" cm="1">
        <f t="array" ref="BP350">$BC350 * IF($AD350&lt;=2,
SUMPRODUCT(INDEX($AL$67:$AN$71,,$AE350), INDEX($AO$67:$AU$71,,$AD350), 1 / ($AV$67:$AV$71*BO350 + (1-$AV$67:$AV$71)*BK350), N($AK$67:$AK$71&gt;$AI350)),
SUMPRODUCT(INDEX($AL$57:$AN$66,,$AE350), INDEX($AO$57:$AU$66,,$AD350), 1 / ($AW$57:$AW$66*BO350 + (1-$AW$57:$AW$66)*BK350), N($AK$57:$AK$66&gt;$AI350))
) / 1000</f>
        <v>0</v>
      </c>
      <c r="BQ350" s="250">
        <f t="shared" si="485"/>
        <v>20</v>
      </c>
      <c r="BR350" s="237">
        <f t="shared" si="464"/>
        <v>33</v>
      </c>
      <c r="BS350" s="253">
        <f t="shared" si="465"/>
        <v>4.8487499999999999</v>
      </c>
      <c r="BT350" s="253" cm="1">
        <f t="array" ref="BT350">$BC350 * IF($AD350&lt;=2,
SUMPRODUCT(INDEX($AL$62:$AN$66,,$AE350), INDEX($AO$62:$AU$66,,$AD350), 1 / ($AV$62:$AV$66*BS350 + (1-$AV$62:$AV$66)*BO350), N($AK$62:$AK$66&gt;$AI350)),
SUMPRODUCT(INDEX($AL$47:$AN$56,,$AE350), INDEX($AO$47:$AU$56,,$AD350), 1 / ($AW$47:$AW$56*BS350 + (1-$AW$47:$AW$56)*BO350), N($AK$47:$AK$56&gt;$AI350))
) / 1000</f>
        <v>0</v>
      </c>
      <c r="BU350" s="253" cm="1">
        <f t="array" ref="BU350">$BC350 * IF($AD350&lt;=2,
SUMPRODUCT(INDEX($AL$23:$AN$61,,$AE350), INDEX($AO$23:$AU$61,,$AD350), 1 / ($AV$23:$AV$61*BS350), N($AK$23:$AK$61&gt;$AI350)),
SUMPRODUCT(INDEX($AL$23:$AN$46,,$AE350), INDEX($AO$23:$AU$46,,$AD350), 1 / ($AW$23:$AW$46*BS350), N($AK$23:$AK$46&gt;$AI350))
) / 1000</f>
        <v>0</v>
      </c>
      <c r="BV350" s="237">
        <f t="shared" si="466"/>
        <v>0</v>
      </c>
      <c r="BW350" s="210"/>
      <c r="BX350" s="237">
        <f t="shared" si="467"/>
        <v>0</v>
      </c>
      <c r="BY350" s="236">
        <v>35</v>
      </c>
      <c r="BZ350" s="237">
        <f t="shared" si="468"/>
        <v>48</v>
      </c>
      <c r="CA350" s="253">
        <f t="shared" si="469"/>
        <v>3.0748170731707316</v>
      </c>
      <c r="CB350" s="253" cm="1">
        <f t="array" ref="CB350">$BC350 * SUMPRODUCT(INDEX($AL$77:$AN$82,,$AE350),INDEX($AO$77:$AU$82,,$AD350), N($AK$77:$AK$82&gt;$AI350)) / CA350 / 1000</f>
        <v>0</v>
      </c>
      <c r="CC350" s="250">
        <f t="shared" si="486"/>
        <v>30</v>
      </c>
      <c r="CD350" s="237">
        <f t="shared" si="470"/>
        <v>43</v>
      </c>
      <c r="CE350" s="253">
        <f t="shared" si="471"/>
        <v>3.5018750000000001</v>
      </c>
      <c r="CF350" s="253" cm="1">
        <f t="array" ref="CF350">$BC350 * IF($AD350&lt;=2,
SUMPRODUCT(INDEX($AL$72:$AN$76,,$AE350), INDEX($AO$72:$AU$76,,$AD350), 1 / ($AV$72:$AV$76*CE350 + (1-$AV$72:$AV$76)*CA350), N($AK$72:$AK$76&gt;$AI350)),
SUMPRODUCT(INDEX($AL$67:$AN$76,,$AE350), INDEX($AO$67:$AU$76,,$AD350), 1 / ($AW$67:$AW$76*CE350 + (1-$AW$67:$AW$76)*CA350), N($AK$67:$AK$76&gt;$AI350))
) / 1000</f>
        <v>0</v>
      </c>
      <c r="CG350" s="250">
        <f t="shared" si="487"/>
        <v>25</v>
      </c>
      <c r="CH350" s="237">
        <f t="shared" si="472"/>
        <v>38</v>
      </c>
      <c r="CI350" s="253">
        <f t="shared" si="473"/>
        <v>4.0666935483870965</v>
      </c>
      <c r="CJ350" s="253" cm="1">
        <f t="array" ref="CJ350">$BC350 * IF($AD350&lt;=2,
SUMPRODUCT(INDEX($AL$67:$AN$71,,$AE350), INDEX($AO$67:$AU$71,,$AD350), 1 / ($AV$67:$AV$71*CI350 + (1-$AV$67:$AV$71)*CE350), N($AK$67:$AK$71&gt;$AI350)),
SUMPRODUCT(INDEX($AL$57:$AN$66,,$AE350), INDEX($AO$57:$AU$66,,$AD350), 1 / ($AW$57:$AW$66*CI350 + (1-$AW$57:$AW$66)*CE350), N($AK$57:$AK$66&gt;$AI350))
) / 1000</f>
        <v>0</v>
      </c>
      <c r="CK350" s="250">
        <f t="shared" si="488"/>
        <v>20</v>
      </c>
      <c r="CL350" s="237">
        <f t="shared" si="474"/>
        <v>33</v>
      </c>
      <c r="CM350" s="253">
        <f t="shared" si="475"/>
        <v>4.8487499999999999</v>
      </c>
      <c r="CN350" s="253" cm="1">
        <f t="array" ref="CN350">$BC350 * IF($AD350&lt;=2,
SUMPRODUCT(INDEX($AL$62:$AN$66,,$AE350), INDEX($AO$62:$AU$66,,$AD350), 1 / ($AV$62:$AV$66*CM350 + (1-$AV$62:$AV$66)*CI350), N($AK$62:$AK$66&gt;$AI350)),
SUMPRODUCT(INDEX($AL$47:$AN$56,,$AE350), INDEX($AO$47:$AU$56,,$AD350), 1 / ($AW$47:$AW$56*CM350 + (1-$AW$47:$AW$56)*CI350), N($AK$47:$AK$56&gt;$AI350))
) / 1000</f>
        <v>0</v>
      </c>
      <c r="CO350" s="253" cm="1">
        <f t="array" ref="CO350">$BC350 * IF($AD350&lt;=2,
SUMPRODUCT(INDEX($AL$23:$AN$61,,$AE350), INDEX($AO$23:$AU$61,,$AD350), 1 / ($AV$23:$AV$61*CM350), N($AK$23:$AK$61&gt;$AI350)),
SUMPRODUCT(INDEX($AL$23:$AN$46,,$AE350), INDEX($AO$23:$AU$46,,$AD350), 1 / ($AW$23:$AW$46*CM350), N($AK$23:$AK$46&gt;$AI350))
) / 1000</f>
        <v>0</v>
      </c>
      <c r="CP350" s="237">
        <f t="shared" si="476"/>
        <v>0</v>
      </c>
      <c r="CQ350" s="210"/>
    </row>
    <row r="351" spans="1:95" s="76" customFormat="1" ht="14.25" customHeight="1" x14ac:dyDescent="0.2">
      <c r="A351" s="238" t="b">
        <f t="shared" si="480"/>
        <v>0</v>
      </c>
      <c r="B351" s="239">
        <v>329</v>
      </c>
      <c r="C351" s="258"/>
      <c r="D351" s="258"/>
      <c r="E351" s="240"/>
      <c r="F351" s="241" t="str">
        <f>IF(ISBLANK(E351), "", VLOOKUP(E351, Z!$A$2:$C$4127, 3, FALSE))</f>
        <v/>
      </c>
      <c r="G351" s="242"/>
      <c r="H351" s="242"/>
      <c r="I351" s="243"/>
      <c r="J351" s="244"/>
      <c r="K351" s="259"/>
      <c r="L351" s="260"/>
      <c r="M351" s="247" t="str" cm="1">
        <f t="array" ref="M351">IF($K351&gt;0, INDEX(Clean,1+AG351,$C$1), "")</f>
        <v/>
      </c>
      <c r="N351" s="245"/>
      <c r="O351" s="245"/>
      <c r="P351" s="246"/>
      <c r="Q351" s="248">
        <f t="shared" si="453"/>
        <v>0</v>
      </c>
      <c r="R351" s="247" t="str" cm="1">
        <f t="array" ref="R351">IF($K351&gt;0, INDEX(Clean,1+AH351,$C$1), "")</f>
        <v/>
      </c>
      <c r="S351" s="245"/>
      <c r="T351" s="245"/>
      <c r="U351" s="246"/>
      <c r="V351" s="248">
        <f t="shared" si="454"/>
        <v>0</v>
      </c>
      <c r="W351" s="261"/>
      <c r="X351" s="258"/>
      <c r="Y351" s="240"/>
      <c r="Z351" s="241" t="str">
        <f>IF(ISBLANK(Y351), "", VLOOKUP(Y351, Z!$A$2:$C$4127, 3, FALSE))</f>
        <v/>
      </c>
      <c r="AA351" s="262"/>
      <c r="AB351" s="249">
        <f t="shared" si="489"/>
        <v>0</v>
      </c>
      <c r="AC351" s="210"/>
      <c r="AD351" s="236">
        <f t="shared" si="477"/>
        <v>1</v>
      </c>
      <c r="AE351" s="236">
        <f t="shared" si="478"/>
        <v>1</v>
      </c>
      <c r="AF351" s="236">
        <f t="shared" si="479"/>
        <v>0</v>
      </c>
      <c r="AG351" s="236">
        <v>1</v>
      </c>
      <c r="AH351" s="236">
        <v>0</v>
      </c>
      <c r="AI351" s="236">
        <f t="shared" si="455"/>
        <v>-100</v>
      </c>
      <c r="AJ351" s="210"/>
      <c r="AK351" s="254"/>
      <c r="AL351" s="254"/>
      <c r="AM351" s="255"/>
      <c r="AN351" s="255"/>
      <c r="AO351" s="255"/>
      <c r="AP351" s="255"/>
      <c r="AQ351" s="255"/>
      <c r="AR351" s="255"/>
      <c r="AS351" s="255"/>
      <c r="AT351" s="255"/>
      <c r="AU351" s="255"/>
      <c r="AV351" s="255"/>
      <c r="AW351" s="255"/>
      <c r="AX351" s="210"/>
      <c r="AY351" s="236" cm="1">
        <f t="array" ref="AY351">INDEX(Use, $AD351, 4)</f>
        <v>7</v>
      </c>
      <c r="AZ351" s="236">
        <f t="shared" si="456"/>
        <v>32</v>
      </c>
      <c r="BA351" s="236">
        <f t="shared" si="481"/>
        <v>13</v>
      </c>
      <c r="BB351" s="236">
        <f t="shared" si="482"/>
        <v>0</v>
      </c>
      <c r="BC351" s="252" cm="1">
        <f t="array" ref="BC351">K351/IF($L351&gt;0, INDEX($AO$23:$AU$77, $L351+20, $AD351), 1)</f>
        <v>0</v>
      </c>
      <c r="BD351" s="237">
        <f t="shared" si="457"/>
        <v>0</v>
      </c>
      <c r="BE351" s="236">
        <v>35</v>
      </c>
      <c r="BF351" s="237">
        <f t="shared" si="458"/>
        <v>52.55</v>
      </c>
      <c r="BG351" s="253">
        <f t="shared" si="459"/>
        <v>2.7676728869374316</v>
      </c>
      <c r="BH351" s="253" cm="1">
        <f t="array" ref="BH351">$BC351 * SUMPRODUCT(INDEX($AL$77:$AN$82,,$AE351),INDEX($AO$77:$AU$82,,$AD351), N($AK$77:$AK$82&gt;$AI351)) / BG351 / 1000</f>
        <v>0</v>
      </c>
      <c r="BI351" s="250">
        <f t="shared" si="483"/>
        <v>30</v>
      </c>
      <c r="BJ351" s="237">
        <f t="shared" si="460"/>
        <v>46.033333333333331</v>
      </c>
      <c r="BK351" s="253">
        <f t="shared" si="461"/>
        <v>3.2297395388556791</v>
      </c>
      <c r="BL351" s="253" cm="1">
        <f t="array" ref="BL351">$BC351 * IF($AD351&lt;=2,
SUMPRODUCT(INDEX($AL$72:$AN$76,,$AE351), INDEX($AO$72:$AU$76,,$AD351), 1 / ($AV$72:$AV$76*BK351 + (1-$AV$72:$AV$76)*BG351), N($AK$72:$AK$76&gt;$AI351)),
SUMPRODUCT(INDEX($AL$67:$AN$76,,$AE351), INDEX($AO$67:$AU$76,,$AD351), 1 / ($AW$67:$AW$76*BK351 + (1-$AW$67:$AW$76)*BG351), N($AK$67:$AK$76&gt;$AI351))
) / 1000</f>
        <v>0</v>
      </c>
      <c r="BM351" s="250">
        <f t="shared" si="484"/>
        <v>25</v>
      </c>
      <c r="BN351" s="237">
        <f t="shared" si="462"/>
        <v>39.516666666666666</v>
      </c>
      <c r="BO351" s="253">
        <f t="shared" si="463"/>
        <v>3.877011788826243</v>
      </c>
      <c r="BP351" s="253" cm="1">
        <f t="array" ref="BP351">$BC351 * IF($AD351&lt;=2,
SUMPRODUCT(INDEX($AL$67:$AN$71,,$AE351), INDEX($AO$67:$AU$71,,$AD351), 1 / ($AV$67:$AV$71*BO351 + (1-$AV$67:$AV$71)*BK351), N($AK$67:$AK$71&gt;$AI351)),
SUMPRODUCT(INDEX($AL$57:$AN$66,,$AE351), INDEX($AO$57:$AU$66,,$AD351), 1 / ($AW$57:$AW$66*BO351 + (1-$AW$57:$AW$66)*BK351), N($AK$57:$AK$66&gt;$AI351))
) / 1000</f>
        <v>0</v>
      </c>
      <c r="BQ351" s="250">
        <f t="shared" si="485"/>
        <v>20</v>
      </c>
      <c r="BR351" s="237">
        <f t="shared" si="464"/>
        <v>33</v>
      </c>
      <c r="BS351" s="253">
        <f t="shared" si="465"/>
        <v>4.8487499999999999</v>
      </c>
      <c r="BT351" s="253" cm="1">
        <f t="array" ref="BT351">$BC351 * IF($AD351&lt;=2,
SUMPRODUCT(INDEX($AL$62:$AN$66,,$AE351), INDEX($AO$62:$AU$66,,$AD351), 1 / ($AV$62:$AV$66*BS351 + (1-$AV$62:$AV$66)*BO351), N($AK$62:$AK$66&gt;$AI351)),
SUMPRODUCT(INDEX($AL$47:$AN$56,,$AE351), INDEX($AO$47:$AU$56,,$AD351), 1 / ($AW$47:$AW$56*BS351 + (1-$AW$47:$AW$56)*BO351), N($AK$47:$AK$56&gt;$AI351))
) / 1000</f>
        <v>0</v>
      </c>
      <c r="BU351" s="253" cm="1">
        <f t="array" ref="BU351">$BC351 * IF($AD351&lt;=2,
SUMPRODUCT(INDEX($AL$23:$AN$61,,$AE351), INDEX($AO$23:$AU$61,,$AD351), 1 / ($AV$23:$AV$61*BS351), N($AK$23:$AK$61&gt;$AI351)),
SUMPRODUCT(INDEX($AL$23:$AN$46,,$AE351), INDEX($AO$23:$AU$46,,$AD351), 1 / ($AW$23:$AW$46*BS351), N($AK$23:$AK$46&gt;$AI351))
) / 1000</f>
        <v>0</v>
      </c>
      <c r="BV351" s="237">
        <f t="shared" si="466"/>
        <v>0</v>
      </c>
      <c r="BW351" s="210"/>
      <c r="BX351" s="237">
        <f t="shared" si="467"/>
        <v>0</v>
      </c>
      <c r="BY351" s="236">
        <v>35</v>
      </c>
      <c r="BZ351" s="237">
        <f t="shared" si="468"/>
        <v>48</v>
      </c>
      <c r="CA351" s="253">
        <f t="shared" si="469"/>
        <v>3.0748170731707316</v>
      </c>
      <c r="CB351" s="253" cm="1">
        <f t="array" ref="CB351">$BC351 * SUMPRODUCT(INDEX($AL$77:$AN$82,,$AE351),INDEX($AO$77:$AU$82,,$AD351), N($AK$77:$AK$82&gt;$AI351)) / CA351 / 1000</f>
        <v>0</v>
      </c>
      <c r="CC351" s="250">
        <f t="shared" si="486"/>
        <v>30</v>
      </c>
      <c r="CD351" s="237">
        <f t="shared" si="470"/>
        <v>43</v>
      </c>
      <c r="CE351" s="253">
        <f t="shared" si="471"/>
        <v>3.5018750000000001</v>
      </c>
      <c r="CF351" s="253" cm="1">
        <f t="array" ref="CF351">$BC351 * IF($AD351&lt;=2,
SUMPRODUCT(INDEX($AL$72:$AN$76,,$AE351), INDEX($AO$72:$AU$76,,$AD351), 1 / ($AV$72:$AV$76*CE351 + (1-$AV$72:$AV$76)*CA351), N($AK$72:$AK$76&gt;$AI351)),
SUMPRODUCT(INDEX($AL$67:$AN$76,,$AE351), INDEX($AO$67:$AU$76,,$AD351), 1 / ($AW$67:$AW$76*CE351 + (1-$AW$67:$AW$76)*CA351), N($AK$67:$AK$76&gt;$AI351))
) / 1000</f>
        <v>0</v>
      </c>
      <c r="CG351" s="250">
        <f t="shared" si="487"/>
        <v>25</v>
      </c>
      <c r="CH351" s="237">
        <f t="shared" si="472"/>
        <v>38</v>
      </c>
      <c r="CI351" s="253">
        <f t="shared" si="473"/>
        <v>4.0666935483870965</v>
      </c>
      <c r="CJ351" s="253" cm="1">
        <f t="array" ref="CJ351">$BC351 * IF($AD351&lt;=2,
SUMPRODUCT(INDEX($AL$67:$AN$71,,$AE351), INDEX($AO$67:$AU$71,,$AD351), 1 / ($AV$67:$AV$71*CI351 + (1-$AV$67:$AV$71)*CE351), N($AK$67:$AK$71&gt;$AI351)),
SUMPRODUCT(INDEX($AL$57:$AN$66,,$AE351), INDEX($AO$57:$AU$66,,$AD351), 1 / ($AW$57:$AW$66*CI351 + (1-$AW$57:$AW$66)*CE351), N($AK$57:$AK$66&gt;$AI351))
) / 1000</f>
        <v>0</v>
      </c>
      <c r="CK351" s="250">
        <f t="shared" si="488"/>
        <v>20</v>
      </c>
      <c r="CL351" s="237">
        <f t="shared" si="474"/>
        <v>33</v>
      </c>
      <c r="CM351" s="253">
        <f t="shared" si="475"/>
        <v>4.8487499999999999</v>
      </c>
      <c r="CN351" s="253" cm="1">
        <f t="array" ref="CN351">$BC351 * IF($AD351&lt;=2,
SUMPRODUCT(INDEX($AL$62:$AN$66,,$AE351), INDEX($AO$62:$AU$66,,$AD351), 1 / ($AV$62:$AV$66*CM351 + (1-$AV$62:$AV$66)*CI351), N($AK$62:$AK$66&gt;$AI351)),
SUMPRODUCT(INDEX($AL$47:$AN$56,,$AE351), INDEX($AO$47:$AU$56,,$AD351), 1 / ($AW$47:$AW$56*CM351 + (1-$AW$47:$AW$56)*CI351), N($AK$47:$AK$56&gt;$AI351))
) / 1000</f>
        <v>0</v>
      </c>
      <c r="CO351" s="253" cm="1">
        <f t="array" ref="CO351">$BC351 * IF($AD351&lt;=2,
SUMPRODUCT(INDEX($AL$23:$AN$61,,$AE351), INDEX($AO$23:$AU$61,,$AD351), 1 / ($AV$23:$AV$61*CM351), N($AK$23:$AK$61&gt;$AI351)),
SUMPRODUCT(INDEX($AL$23:$AN$46,,$AE351), INDEX($AO$23:$AU$46,,$AD351), 1 / ($AW$23:$AW$46*CM351), N($AK$23:$AK$46&gt;$AI351))
) / 1000</f>
        <v>0</v>
      </c>
      <c r="CP351" s="237">
        <f t="shared" si="476"/>
        <v>0</v>
      </c>
      <c r="CQ351" s="210"/>
    </row>
    <row r="352" spans="1:95" s="76" customFormat="1" ht="14.25" customHeight="1" x14ac:dyDescent="0.2">
      <c r="A352" s="238" t="b">
        <f t="shared" si="480"/>
        <v>0</v>
      </c>
      <c r="B352" s="239">
        <v>330</v>
      </c>
      <c r="C352" s="258"/>
      <c r="D352" s="258"/>
      <c r="E352" s="240"/>
      <c r="F352" s="241" t="str">
        <f>IF(ISBLANK(E352), "", VLOOKUP(E352, Z!$A$2:$C$4127, 3, FALSE))</f>
        <v/>
      </c>
      <c r="G352" s="242"/>
      <c r="H352" s="242"/>
      <c r="I352" s="243"/>
      <c r="J352" s="244"/>
      <c r="K352" s="259"/>
      <c r="L352" s="260"/>
      <c r="M352" s="247" t="str" cm="1">
        <f t="array" ref="M352">IF($K352&gt;0, INDEX(Clean,1+AG352,$C$1), "")</f>
        <v/>
      </c>
      <c r="N352" s="245"/>
      <c r="O352" s="245"/>
      <c r="P352" s="246"/>
      <c r="Q352" s="248">
        <f t="shared" si="453"/>
        <v>0</v>
      </c>
      <c r="R352" s="247" t="str" cm="1">
        <f t="array" ref="R352">IF($K352&gt;0, INDEX(Clean,1+AH352,$C$1), "")</f>
        <v/>
      </c>
      <c r="S352" s="245"/>
      <c r="T352" s="245"/>
      <c r="U352" s="246"/>
      <c r="V352" s="248">
        <f t="shared" si="454"/>
        <v>0</v>
      </c>
      <c r="W352" s="261"/>
      <c r="X352" s="258"/>
      <c r="Y352" s="240"/>
      <c r="Z352" s="241" t="str">
        <f>IF(ISBLANK(Y352), "", VLOOKUP(Y352, Z!$A$2:$C$4127, 3, FALSE))</f>
        <v/>
      </c>
      <c r="AA352" s="262"/>
      <c r="AB352" s="249">
        <f t="shared" si="489"/>
        <v>0</v>
      </c>
      <c r="AC352" s="210"/>
      <c r="AD352" s="236">
        <f t="shared" si="477"/>
        <v>1</v>
      </c>
      <c r="AE352" s="236">
        <f t="shared" si="478"/>
        <v>1</v>
      </c>
      <c r="AF352" s="236">
        <f t="shared" si="479"/>
        <v>0</v>
      </c>
      <c r="AG352" s="236">
        <v>1</v>
      </c>
      <c r="AH352" s="236">
        <v>0</v>
      </c>
      <c r="AI352" s="236">
        <f t="shared" si="455"/>
        <v>-100</v>
      </c>
      <c r="AJ352" s="210"/>
      <c r="AK352" s="254"/>
      <c r="AL352" s="254"/>
      <c r="AM352" s="255"/>
      <c r="AN352" s="255"/>
      <c r="AO352" s="255"/>
      <c r="AP352" s="255"/>
      <c r="AQ352" s="255"/>
      <c r="AR352" s="255"/>
      <c r="AS352" s="255"/>
      <c r="AT352" s="255"/>
      <c r="AU352" s="255"/>
      <c r="AV352" s="255"/>
      <c r="AW352" s="255"/>
      <c r="AX352" s="210"/>
      <c r="AY352" s="236" cm="1">
        <f t="array" ref="AY352">INDEX(Use, $AD352, 4)</f>
        <v>7</v>
      </c>
      <c r="AZ352" s="236">
        <f t="shared" si="456"/>
        <v>32</v>
      </c>
      <c r="BA352" s="236">
        <f t="shared" si="481"/>
        <v>13</v>
      </c>
      <c r="BB352" s="236">
        <f t="shared" si="482"/>
        <v>0</v>
      </c>
      <c r="BC352" s="252" cm="1">
        <f t="array" ref="BC352">K352/IF($L352&gt;0, INDEX($AO$23:$AU$77, $L352+20, $AD352), 1)</f>
        <v>0</v>
      </c>
      <c r="BD352" s="237">
        <f t="shared" si="457"/>
        <v>0</v>
      </c>
      <c r="BE352" s="236">
        <v>35</v>
      </c>
      <c r="BF352" s="237">
        <f t="shared" si="458"/>
        <v>52.55</v>
      </c>
      <c r="BG352" s="253">
        <f t="shared" si="459"/>
        <v>2.7676728869374316</v>
      </c>
      <c r="BH352" s="253" cm="1">
        <f t="array" ref="BH352">$BC352 * SUMPRODUCT(INDEX($AL$77:$AN$82,,$AE352),INDEX($AO$77:$AU$82,,$AD352), N($AK$77:$AK$82&gt;$AI352)) / BG352 / 1000</f>
        <v>0</v>
      </c>
      <c r="BI352" s="250">
        <f t="shared" si="483"/>
        <v>30</v>
      </c>
      <c r="BJ352" s="237">
        <f t="shared" si="460"/>
        <v>46.033333333333331</v>
      </c>
      <c r="BK352" s="253">
        <f t="shared" si="461"/>
        <v>3.2297395388556791</v>
      </c>
      <c r="BL352" s="253" cm="1">
        <f t="array" ref="BL352">$BC352 * IF($AD352&lt;=2,
SUMPRODUCT(INDEX($AL$72:$AN$76,,$AE352), INDEX($AO$72:$AU$76,,$AD352), 1 / ($AV$72:$AV$76*BK352 + (1-$AV$72:$AV$76)*BG352), N($AK$72:$AK$76&gt;$AI352)),
SUMPRODUCT(INDEX($AL$67:$AN$76,,$AE352), INDEX($AO$67:$AU$76,,$AD352), 1 / ($AW$67:$AW$76*BK352 + (1-$AW$67:$AW$76)*BG352), N($AK$67:$AK$76&gt;$AI352))
) / 1000</f>
        <v>0</v>
      </c>
      <c r="BM352" s="250">
        <f t="shared" si="484"/>
        <v>25</v>
      </c>
      <c r="BN352" s="237">
        <f t="shared" si="462"/>
        <v>39.516666666666666</v>
      </c>
      <c r="BO352" s="253">
        <f t="shared" si="463"/>
        <v>3.877011788826243</v>
      </c>
      <c r="BP352" s="253" cm="1">
        <f t="array" ref="BP352">$BC352 * IF($AD352&lt;=2,
SUMPRODUCT(INDEX($AL$67:$AN$71,,$AE352), INDEX($AO$67:$AU$71,,$AD352), 1 / ($AV$67:$AV$71*BO352 + (1-$AV$67:$AV$71)*BK352), N($AK$67:$AK$71&gt;$AI352)),
SUMPRODUCT(INDEX($AL$57:$AN$66,,$AE352), INDEX($AO$57:$AU$66,,$AD352), 1 / ($AW$57:$AW$66*BO352 + (1-$AW$57:$AW$66)*BK352), N($AK$57:$AK$66&gt;$AI352))
) / 1000</f>
        <v>0</v>
      </c>
      <c r="BQ352" s="250">
        <f t="shared" si="485"/>
        <v>20</v>
      </c>
      <c r="BR352" s="237">
        <f t="shared" si="464"/>
        <v>33</v>
      </c>
      <c r="BS352" s="253">
        <f t="shared" si="465"/>
        <v>4.8487499999999999</v>
      </c>
      <c r="BT352" s="253" cm="1">
        <f t="array" ref="BT352">$BC352 * IF($AD352&lt;=2,
SUMPRODUCT(INDEX($AL$62:$AN$66,,$AE352), INDEX($AO$62:$AU$66,,$AD352), 1 / ($AV$62:$AV$66*BS352 + (1-$AV$62:$AV$66)*BO352), N($AK$62:$AK$66&gt;$AI352)),
SUMPRODUCT(INDEX($AL$47:$AN$56,,$AE352), INDEX($AO$47:$AU$56,,$AD352), 1 / ($AW$47:$AW$56*BS352 + (1-$AW$47:$AW$56)*BO352), N($AK$47:$AK$56&gt;$AI352))
) / 1000</f>
        <v>0</v>
      </c>
      <c r="BU352" s="253" cm="1">
        <f t="array" ref="BU352">$BC352 * IF($AD352&lt;=2,
SUMPRODUCT(INDEX($AL$23:$AN$61,,$AE352), INDEX($AO$23:$AU$61,,$AD352), 1 / ($AV$23:$AV$61*BS352), N($AK$23:$AK$61&gt;$AI352)),
SUMPRODUCT(INDEX($AL$23:$AN$46,,$AE352), INDEX($AO$23:$AU$46,,$AD352), 1 / ($AW$23:$AW$46*BS352), N($AK$23:$AK$46&gt;$AI352))
) / 1000</f>
        <v>0</v>
      </c>
      <c r="BV352" s="237">
        <f t="shared" si="466"/>
        <v>0</v>
      </c>
      <c r="BW352" s="210"/>
      <c r="BX352" s="237">
        <f t="shared" si="467"/>
        <v>0</v>
      </c>
      <c r="BY352" s="236">
        <v>35</v>
      </c>
      <c r="BZ352" s="237">
        <f t="shared" si="468"/>
        <v>48</v>
      </c>
      <c r="CA352" s="253">
        <f t="shared" si="469"/>
        <v>3.0748170731707316</v>
      </c>
      <c r="CB352" s="253" cm="1">
        <f t="array" ref="CB352">$BC352 * SUMPRODUCT(INDEX($AL$77:$AN$82,,$AE352),INDEX($AO$77:$AU$82,,$AD352), N($AK$77:$AK$82&gt;$AI352)) / CA352 / 1000</f>
        <v>0</v>
      </c>
      <c r="CC352" s="250">
        <f t="shared" si="486"/>
        <v>30</v>
      </c>
      <c r="CD352" s="237">
        <f t="shared" si="470"/>
        <v>43</v>
      </c>
      <c r="CE352" s="253">
        <f t="shared" si="471"/>
        <v>3.5018750000000001</v>
      </c>
      <c r="CF352" s="253" cm="1">
        <f t="array" ref="CF352">$BC352 * IF($AD352&lt;=2,
SUMPRODUCT(INDEX($AL$72:$AN$76,,$AE352), INDEX($AO$72:$AU$76,,$AD352), 1 / ($AV$72:$AV$76*CE352 + (1-$AV$72:$AV$76)*CA352), N($AK$72:$AK$76&gt;$AI352)),
SUMPRODUCT(INDEX($AL$67:$AN$76,,$AE352), INDEX($AO$67:$AU$76,,$AD352), 1 / ($AW$67:$AW$76*CE352 + (1-$AW$67:$AW$76)*CA352), N($AK$67:$AK$76&gt;$AI352))
) / 1000</f>
        <v>0</v>
      </c>
      <c r="CG352" s="250">
        <f t="shared" si="487"/>
        <v>25</v>
      </c>
      <c r="CH352" s="237">
        <f t="shared" si="472"/>
        <v>38</v>
      </c>
      <c r="CI352" s="253">
        <f t="shared" si="473"/>
        <v>4.0666935483870965</v>
      </c>
      <c r="CJ352" s="253" cm="1">
        <f t="array" ref="CJ352">$BC352 * IF($AD352&lt;=2,
SUMPRODUCT(INDEX($AL$67:$AN$71,,$AE352), INDEX($AO$67:$AU$71,,$AD352), 1 / ($AV$67:$AV$71*CI352 + (1-$AV$67:$AV$71)*CE352), N($AK$67:$AK$71&gt;$AI352)),
SUMPRODUCT(INDEX($AL$57:$AN$66,,$AE352), INDEX($AO$57:$AU$66,,$AD352), 1 / ($AW$57:$AW$66*CI352 + (1-$AW$57:$AW$66)*CE352), N($AK$57:$AK$66&gt;$AI352))
) / 1000</f>
        <v>0</v>
      </c>
      <c r="CK352" s="250">
        <f t="shared" si="488"/>
        <v>20</v>
      </c>
      <c r="CL352" s="237">
        <f t="shared" si="474"/>
        <v>33</v>
      </c>
      <c r="CM352" s="253">
        <f t="shared" si="475"/>
        <v>4.8487499999999999</v>
      </c>
      <c r="CN352" s="253" cm="1">
        <f t="array" ref="CN352">$BC352 * IF($AD352&lt;=2,
SUMPRODUCT(INDEX($AL$62:$AN$66,,$AE352), INDEX($AO$62:$AU$66,,$AD352), 1 / ($AV$62:$AV$66*CM352 + (1-$AV$62:$AV$66)*CI352), N($AK$62:$AK$66&gt;$AI352)),
SUMPRODUCT(INDEX($AL$47:$AN$56,,$AE352), INDEX($AO$47:$AU$56,,$AD352), 1 / ($AW$47:$AW$56*CM352 + (1-$AW$47:$AW$56)*CI352), N($AK$47:$AK$56&gt;$AI352))
) / 1000</f>
        <v>0</v>
      </c>
      <c r="CO352" s="253" cm="1">
        <f t="array" ref="CO352">$BC352 * IF($AD352&lt;=2,
SUMPRODUCT(INDEX($AL$23:$AN$61,,$AE352), INDEX($AO$23:$AU$61,,$AD352), 1 / ($AV$23:$AV$61*CM352), N($AK$23:$AK$61&gt;$AI352)),
SUMPRODUCT(INDEX($AL$23:$AN$46,,$AE352), INDEX($AO$23:$AU$46,,$AD352), 1 / ($AW$23:$AW$46*CM352), N($AK$23:$AK$46&gt;$AI352))
) / 1000</f>
        <v>0</v>
      </c>
      <c r="CP352" s="237">
        <f t="shared" si="476"/>
        <v>0</v>
      </c>
      <c r="CQ352" s="210"/>
    </row>
    <row r="353" spans="1:95" s="76" customFormat="1" ht="14.25" customHeight="1" x14ac:dyDescent="0.2">
      <c r="A353" s="238" t="b">
        <f t="shared" si="480"/>
        <v>0</v>
      </c>
      <c r="B353" s="239">
        <v>331</v>
      </c>
      <c r="C353" s="258"/>
      <c r="D353" s="258"/>
      <c r="E353" s="240"/>
      <c r="F353" s="241" t="str">
        <f>IF(ISBLANK(E353), "", VLOOKUP(E353, Z!$A$2:$C$4127, 3, FALSE))</f>
        <v/>
      </c>
      <c r="G353" s="242"/>
      <c r="H353" s="242"/>
      <c r="I353" s="243"/>
      <c r="J353" s="244"/>
      <c r="K353" s="259"/>
      <c r="L353" s="260"/>
      <c r="M353" s="247" t="str" cm="1">
        <f t="array" ref="M353">IF($K353&gt;0, INDEX(Clean,1+AG353,$C$1), "")</f>
        <v/>
      </c>
      <c r="N353" s="245"/>
      <c r="O353" s="245"/>
      <c r="P353" s="246"/>
      <c r="Q353" s="248">
        <f t="shared" si="453"/>
        <v>0</v>
      </c>
      <c r="R353" s="247" t="str" cm="1">
        <f t="array" ref="R353">IF($K353&gt;0, INDEX(Clean,1+AH353,$C$1), "")</f>
        <v/>
      </c>
      <c r="S353" s="245"/>
      <c r="T353" s="245"/>
      <c r="U353" s="246"/>
      <c r="V353" s="248">
        <f t="shared" si="454"/>
        <v>0</v>
      </c>
      <c r="W353" s="261"/>
      <c r="X353" s="258"/>
      <c r="Y353" s="240"/>
      <c r="Z353" s="241" t="str">
        <f>IF(ISBLANK(Y353), "", VLOOKUP(Y353, Z!$A$2:$C$4127, 3, FALSE))</f>
        <v/>
      </c>
      <c r="AA353" s="262"/>
      <c r="AB353" s="249">
        <f t="shared" si="489"/>
        <v>0</v>
      </c>
      <c r="AC353" s="210"/>
      <c r="AD353" s="236">
        <f t="shared" si="477"/>
        <v>1</v>
      </c>
      <c r="AE353" s="236">
        <f t="shared" si="478"/>
        <v>1</v>
      </c>
      <c r="AF353" s="236">
        <f t="shared" si="479"/>
        <v>0</v>
      </c>
      <c r="AG353" s="236">
        <v>1</v>
      </c>
      <c r="AH353" s="236">
        <v>0</v>
      </c>
      <c r="AI353" s="236">
        <f t="shared" si="455"/>
        <v>-100</v>
      </c>
      <c r="AJ353" s="210"/>
      <c r="AK353" s="254"/>
      <c r="AL353" s="254"/>
      <c r="AM353" s="255"/>
      <c r="AN353" s="255"/>
      <c r="AO353" s="255"/>
      <c r="AP353" s="255"/>
      <c r="AQ353" s="255"/>
      <c r="AR353" s="255"/>
      <c r="AS353" s="255"/>
      <c r="AT353" s="255"/>
      <c r="AU353" s="255"/>
      <c r="AV353" s="255"/>
      <c r="AW353" s="255"/>
      <c r="AX353" s="210"/>
      <c r="AY353" s="236" cm="1">
        <f t="array" ref="AY353">INDEX(Use, $AD353, 4)</f>
        <v>7</v>
      </c>
      <c r="AZ353" s="236">
        <f t="shared" si="456"/>
        <v>32</v>
      </c>
      <c r="BA353" s="236">
        <f t="shared" si="481"/>
        <v>13</v>
      </c>
      <c r="BB353" s="236">
        <f t="shared" si="482"/>
        <v>0</v>
      </c>
      <c r="BC353" s="252" cm="1">
        <f t="array" ref="BC353">K353/IF($L353&gt;0, INDEX($AO$23:$AU$77, $L353+20, $AD353), 1)</f>
        <v>0</v>
      </c>
      <c r="BD353" s="237">
        <f t="shared" si="457"/>
        <v>0</v>
      </c>
      <c r="BE353" s="236">
        <v>35</v>
      </c>
      <c r="BF353" s="237">
        <f t="shared" si="458"/>
        <v>52.55</v>
      </c>
      <c r="BG353" s="253">
        <f t="shared" si="459"/>
        <v>2.7676728869374316</v>
      </c>
      <c r="BH353" s="253" cm="1">
        <f t="array" ref="BH353">$BC353 * SUMPRODUCT(INDEX($AL$77:$AN$82,,$AE353),INDEX($AO$77:$AU$82,,$AD353), N($AK$77:$AK$82&gt;$AI353)) / BG353 / 1000</f>
        <v>0</v>
      </c>
      <c r="BI353" s="250">
        <f t="shared" si="483"/>
        <v>30</v>
      </c>
      <c r="BJ353" s="237">
        <f t="shared" si="460"/>
        <v>46.033333333333331</v>
      </c>
      <c r="BK353" s="253">
        <f t="shared" si="461"/>
        <v>3.2297395388556791</v>
      </c>
      <c r="BL353" s="253" cm="1">
        <f t="array" ref="BL353">$BC353 * IF($AD353&lt;=2,
SUMPRODUCT(INDEX($AL$72:$AN$76,,$AE353), INDEX($AO$72:$AU$76,,$AD353), 1 / ($AV$72:$AV$76*BK353 + (1-$AV$72:$AV$76)*BG353), N($AK$72:$AK$76&gt;$AI353)),
SUMPRODUCT(INDEX($AL$67:$AN$76,,$AE353), INDEX($AO$67:$AU$76,,$AD353), 1 / ($AW$67:$AW$76*BK353 + (1-$AW$67:$AW$76)*BG353), N($AK$67:$AK$76&gt;$AI353))
) / 1000</f>
        <v>0</v>
      </c>
      <c r="BM353" s="250">
        <f t="shared" si="484"/>
        <v>25</v>
      </c>
      <c r="BN353" s="237">
        <f t="shared" si="462"/>
        <v>39.516666666666666</v>
      </c>
      <c r="BO353" s="253">
        <f t="shared" si="463"/>
        <v>3.877011788826243</v>
      </c>
      <c r="BP353" s="253" cm="1">
        <f t="array" ref="BP353">$BC353 * IF($AD353&lt;=2,
SUMPRODUCT(INDEX($AL$67:$AN$71,,$AE353), INDEX($AO$67:$AU$71,,$AD353), 1 / ($AV$67:$AV$71*BO353 + (1-$AV$67:$AV$71)*BK353), N($AK$67:$AK$71&gt;$AI353)),
SUMPRODUCT(INDEX($AL$57:$AN$66,,$AE353), INDEX($AO$57:$AU$66,,$AD353), 1 / ($AW$57:$AW$66*BO353 + (1-$AW$57:$AW$66)*BK353), N($AK$57:$AK$66&gt;$AI353))
) / 1000</f>
        <v>0</v>
      </c>
      <c r="BQ353" s="250">
        <f t="shared" si="485"/>
        <v>20</v>
      </c>
      <c r="BR353" s="237">
        <f t="shared" si="464"/>
        <v>33</v>
      </c>
      <c r="BS353" s="253">
        <f t="shared" si="465"/>
        <v>4.8487499999999999</v>
      </c>
      <c r="BT353" s="253" cm="1">
        <f t="array" ref="BT353">$BC353 * IF($AD353&lt;=2,
SUMPRODUCT(INDEX($AL$62:$AN$66,,$AE353), INDEX($AO$62:$AU$66,,$AD353), 1 / ($AV$62:$AV$66*BS353 + (1-$AV$62:$AV$66)*BO353), N($AK$62:$AK$66&gt;$AI353)),
SUMPRODUCT(INDEX($AL$47:$AN$56,,$AE353), INDEX($AO$47:$AU$56,,$AD353), 1 / ($AW$47:$AW$56*BS353 + (1-$AW$47:$AW$56)*BO353), N($AK$47:$AK$56&gt;$AI353))
) / 1000</f>
        <v>0</v>
      </c>
      <c r="BU353" s="253" cm="1">
        <f t="array" ref="BU353">$BC353 * IF($AD353&lt;=2,
SUMPRODUCT(INDEX($AL$23:$AN$61,,$AE353), INDEX($AO$23:$AU$61,,$AD353), 1 / ($AV$23:$AV$61*BS353), N($AK$23:$AK$61&gt;$AI353)),
SUMPRODUCT(INDEX($AL$23:$AN$46,,$AE353), INDEX($AO$23:$AU$46,,$AD353), 1 / ($AW$23:$AW$46*BS353), N($AK$23:$AK$46&gt;$AI353))
) / 1000</f>
        <v>0</v>
      </c>
      <c r="BV353" s="237">
        <f t="shared" si="466"/>
        <v>0</v>
      </c>
      <c r="BW353" s="210"/>
      <c r="BX353" s="237">
        <f t="shared" si="467"/>
        <v>0</v>
      </c>
      <c r="BY353" s="236">
        <v>35</v>
      </c>
      <c r="BZ353" s="237">
        <f t="shared" si="468"/>
        <v>48</v>
      </c>
      <c r="CA353" s="253">
        <f t="shared" si="469"/>
        <v>3.0748170731707316</v>
      </c>
      <c r="CB353" s="253" cm="1">
        <f t="array" ref="CB353">$BC353 * SUMPRODUCT(INDEX($AL$77:$AN$82,,$AE353),INDEX($AO$77:$AU$82,,$AD353), N($AK$77:$AK$82&gt;$AI353)) / CA353 / 1000</f>
        <v>0</v>
      </c>
      <c r="CC353" s="250">
        <f t="shared" si="486"/>
        <v>30</v>
      </c>
      <c r="CD353" s="237">
        <f t="shared" si="470"/>
        <v>43</v>
      </c>
      <c r="CE353" s="253">
        <f t="shared" si="471"/>
        <v>3.5018750000000001</v>
      </c>
      <c r="CF353" s="253" cm="1">
        <f t="array" ref="CF353">$BC353 * IF($AD353&lt;=2,
SUMPRODUCT(INDEX($AL$72:$AN$76,,$AE353), INDEX($AO$72:$AU$76,,$AD353), 1 / ($AV$72:$AV$76*CE353 + (1-$AV$72:$AV$76)*CA353), N($AK$72:$AK$76&gt;$AI353)),
SUMPRODUCT(INDEX($AL$67:$AN$76,,$AE353), INDEX($AO$67:$AU$76,,$AD353), 1 / ($AW$67:$AW$76*CE353 + (1-$AW$67:$AW$76)*CA353), N($AK$67:$AK$76&gt;$AI353))
) / 1000</f>
        <v>0</v>
      </c>
      <c r="CG353" s="250">
        <f t="shared" si="487"/>
        <v>25</v>
      </c>
      <c r="CH353" s="237">
        <f t="shared" si="472"/>
        <v>38</v>
      </c>
      <c r="CI353" s="253">
        <f t="shared" si="473"/>
        <v>4.0666935483870965</v>
      </c>
      <c r="CJ353" s="253" cm="1">
        <f t="array" ref="CJ353">$BC353 * IF($AD353&lt;=2,
SUMPRODUCT(INDEX($AL$67:$AN$71,,$AE353), INDEX($AO$67:$AU$71,,$AD353), 1 / ($AV$67:$AV$71*CI353 + (1-$AV$67:$AV$71)*CE353), N($AK$67:$AK$71&gt;$AI353)),
SUMPRODUCT(INDEX($AL$57:$AN$66,,$AE353), INDEX($AO$57:$AU$66,,$AD353), 1 / ($AW$57:$AW$66*CI353 + (1-$AW$57:$AW$66)*CE353), N($AK$57:$AK$66&gt;$AI353))
) / 1000</f>
        <v>0</v>
      </c>
      <c r="CK353" s="250">
        <f t="shared" si="488"/>
        <v>20</v>
      </c>
      <c r="CL353" s="237">
        <f t="shared" si="474"/>
        <v>33</v>
      </c>
      <c r="CM353" s="253">
        <f t="shared" si="475"/>
        <v>4.8487499999999999</v>
      </c>
      <c r="CN353" s="253" cm="1">
        <f t="array" ref="CN353">$BC353 * IF($AD353&lt;=2,
SUMPRODUCT(INDEX($AL$62:$AN$66,,$AE353), INDEX($AO$62:$AU$66,,$AD353), 1 / ($AV$62:$AV$66*CM353 + (1-$AV$62:$AV$66)*CI353), N($AK$62:$AK$66&gt;$AI353)),
SUMPRODUCT(INDEX($AL$47:$AN$56,,$AE353), INDEX($AO$47:$AU$56,,$AD353), 1 / ($AW$47:$AW$56*CM353 + (1-$AW$47:$AW$56)*CI353), N($AK$47:$AK$56&gt;$AI353))
) / 1000</f>
        <v>0</v>
      </c>
      <c r="CO353" s="253" cm="1">
        <f t="array" ref="CO353">$BC353 * IF($AD353&lt;=2,
SUMPRODUCT(INDEX($AL$23:$AN$61,,$AE353), INDEX($AO$23:$AU$61,,$AD353), 1 / ($AV$23:$AV$61*CM353), N($AK$23:$AK$61&gt;$AI353)),
SUMPRODUCT(INDEX($AL$23:$AN$46,,$AE353), INDEX($AO$23:$AU$46,,$AD353), 1 / ($AW$23:$AW$46*CM353), N($AK$23:$AK$46&gt;$AI353))
) / 1000</f>
        <v>0</v>
      </c>
      <c r="CP353" s="237">
        <f t="shared" si="476"/>
        <v>0</v>
      </c>
      <c r="CQ353" s="210"/>
    </row>
    <row r="354" spans="1:95" s="76" customFormat="1" ht="14.25" customHeight="1" x14ac:dyDescent="0.2">
      <c r="A354" s="238" t="b">
        <f t="shared" si="480"/>
        <v>0</v>
      </c>
      <c r="B354" s="239">
        <v>332</v>
      </c>
      <c r="C354" s="258"/>
      <c r="D354" s="258"/>
      <c r="E354" s="240"/>
      <c r="F354" s="241" t="str">
        <f>IF(ISBLANK(E354), "", VLOOKUP(E354, Z!$A$2:$C$4127, 3, FALSE))</f>
        <v/>
      </c>
      <c r="G354" s="242"/>
      <c r="H354" s="242"/>
      <c r="I354" s="243"/>
      <c r="J354" s="244"/>
      <c r="K354" s="259"/>
      <c r="L354" s="260"/>
      <c r="M354" s="247" t="str" cm="1">
        <f t="array" ref="M354">IF($K354&gt;0, INDEX(Clean,1+AG354,$C$1), "")</f>
        <v/>
      </c>
      <c r="N354" s="245"/>
      <c r="O354" s="245"/>
      <c r="P354" s="246"/>
      <c r="Q354" s="248">
        <f t="shared" si="453"/>
        <v>0</v>
      </c>
      <c r="R354" s="247" t="str" cm="1">
        <f t="array" ref="R354">IF($K354&gt;0, INDEX(Clean,1+AH354,$C$1), "")</f>
        <v/>
      </c>
      <c r="S354" s="245"/>
      <c r="T354" s="245"/>
      <c r="U354" s="246"/>
      <c r="V354" s="248">
        <f t="shared" si="454"/>
        <v>0</v>
      </c>
      <c r="W354" s="261"/>
      <c r="X354" s="258"/>
      <c r="Y354" s="240"/>
      <c r="Z354" s="241" t="str">
        <f>IF(ISBLANK(Y354), "", VLOOKUP(Y354, Z!$A$2:$C$4127, 3, FALSE))</f>
        <v/>
      </c>
      <c r="AA354" s="262"/>
      <c r="AB354" s="249">
        <f t="shared" si="489"/>
        <v>0</v>
      </c>
      <c r="AC354" s="210"/>
      <c r="AD354" s="236">
        <f t="shared" si="477"/>
        <v>1</v>
      </c>
      <c r="AE354" s="236">
        <f t="shared" si="478"/>
        <v>1</v>
      </c>
      <c r="AF354" s="236">
        <f t="shared" si="479"/>
        <v>0</v>
      </c>
      <c r="AG354" s="236">
        <v>1</v>
      </c>
      <c r="AH354" s="236">
        <v>0</v>
      </c>
      <c r="AI354" s="236">
        <f t="shared" si="455"/>
        <v>-100</v>
      </c>
      <c r="AJ354" s="210"/>
      <c r="AK354" s="254"/>
      <c r="AL354" s="254"/>
      <c r="AM354" s="255"/>
      <c r="AN354" s="255"/>
      <c r="AO354" s="255"/>
      <c r="AP354" s="255"/>
      <c r="AQ354" s="255"/>
      <c r="AR354" s="255"/>
      <c r="AS354" s="255"/>
      <c r="AT354" s="255"/>
      <c r="AU354" s="255"/>
      <c r="AV354" s="255"/>
      <c r="AW354" s="255"/>
      <c r="AX354" s="210"/>
      <c r="AY354" s="236" cm="1">
        <f t="array" ref="AY354">INDEX(Use, $AD354, 4)</f>
        <v>7</v>
      </c>
      <c r="AZ354" s="236">
        <f t="shared" si="456"/>
        <v>32</v>
      </c>
      <c r="BA354" s="236">
        <f t="shared" si="481"/>
        <v>13</v>
      </c>
      <c r="BB354" s="236">
        <f t="shared" si="482"/>
        <v>0</v>
      </c>
      <c r="BC354" s="252" cm="1">
        <f t="array" ref="BC354">K354/IF($L354&gt;0, INDEX($AO$23:$AU$77, $L354+20, $AD354), 1)</f>
        <v>0</v>
      </c>
      <c r="BD354" s="237">
        <f t="shared" si="457"/>
        <v>0</v>
      </c>
      <c r="BE354" s="236">
        <v>35</v>
      </c>
      <c r="BF354" s="237">
        <f t="shared" si="458"/>
        <v>52.55</v>
      </c>
      <c r="BG354" s="253">
        <f t="shared" si="459"/>
        <v>2.7676728869374316</v>
      </c>
      <c r="BH354" s="253" cm="1">
        <f t="array" ref="BH354">$BC354 * SUMPRODUCT(INDEX($AL$77:$AN$82,,$AE354),INDEX($AO$77:$AU$82,,$AD354), N($AK$77:$AK$82&gt;$AI354)) / BG354 / 1000</f>
        <v>0</v>
      </c>
      <c r="BI354" s="250">
        <f t="shared" si="483"/>
        <v>30</v>
      </c>
      <c r="BJ354" s="237">
        <f t="shared" si="460"/>
        <v>46.033333333333331</v>
      </c>
      <c r="BK354" s="253">
        <f t="shared" si="461"/>
        <v>3.2297395388556791</v>
      </c>
      <c r="BL354" s="253" cm="1">
        <f t="array" ref="BL354">$BC354 * IF($AD354&lt;=2,
SUMPRODUCT(INDEX($AL$72:$AN$76,,$AE354), INDEX($AO$72:$AU$76,,$AD354), 1 / ($AV$72:$AV$76*BK354 + (1-$AV$72:$AV$76)*BG354), N($AK$72:$AK$76&gt;$AI354)),
SUMPRODUCT(INDEX($AL$67:$AN$76,,$AE354), INDEX($AO$67:$AU$76,,$AD354), 1 / ($AW$67:$AW$76*BK354 + (1-$AW$67:$AW$76)*BG354), N($AK$67:$AK$76&gt;$AI354))
) / 1000</f>
        <v>0</v>
      </c>
      <c r="BM354" s="250">
        <f t="shared" si="484"/>
        <v>25</v>
      </c>
      <c r="BN354" s="237">
        <f t="shared" si="462"/>
        <v>39.516666666666666</v>
      </c>
      <c r="BO354" s="253">
        <f t="shared" si="463"/>
        <v>3.877011788826243</v>
      </c>
      <c r="BP354" s="253" cm="1">
        <f t="array" ref="BP354">$BC354 * IF($AD354&lt;=2,
SUMPRODUCT(INDEX($AL$67:$AN$71,,$AE354), INDEX($AO$67:$AU$71,,$AD354), 1 / ($AV$67:$AV$71*BO354 + (1-$AV$67:$AV$71)*BK354), N($AK$67:$AK$71&gt;$AI354)),
SUMPRODUCT(INDEX($AL$57:$AN$66,,$AE354), INDEX($AO$57:$AU$66,,$AD354), 1 / ($AW$57:$AW$66*BO354 + (1-$AW$57:$AW$66)*BK354), N($AK$57:$AK$66&gt;$AI354))
) / 1000</f>
        <v>0</v>
      </c>
      <c r="BQ354" s="250">
        <f t="shared" si="485"/>
        <v>20</v>
      </c>
      <c r="BR354" s="237">
        <f t="shared" si="464"/>
        <v>33</v>
      </c>
      <c r="BS354" s="253">
        <f t="shared" si="465"/>
        <v>4.8487499999999999</v>
      </c>
      <c r="BT354" s="253" cm="1">
        <f t="array" ref="BT354">$BC354 * IF($AD354&lt;=2,
SUMPRODUCT(INDEX($AL$62:$AN$66,,$AE354), INDEX($AO$62:$AU$66,,$AD354), 1 / ($AV$62:$AV$66*BS354 + (1-$AV$62:$AV$66)*BO354), N($AK$62:$AK$66&gt;$AI354)),
SUMPRODUCT(INDEX($AL$47:$AN$56,,$AE354), INDEX($AO$47:$AU$56,,$AD354), 1 / ($AW$47:$AW$56*BS354 + (1-$AW$47:$AW$56)*BO354), N($AK$47:$AK$56&gt;$AI354))
) / 1000</f>
        <v>0</v>
      </c>
      <c r="BU354" s="253" cm="1">
        <f t="array" ref="BU354">$BC354 * IF($AD354&lt;=2,
SUMPRODUCT(INDEX($AL$23:$AN$61,,$AE354), INDEX($AO$23:$AU$61,,$AD354), 1 / ($AV$23:$AV$61*BS354), N($AK$23:$AK$61&gt;$AI354)),
SUMPRODUCT(INDEX($AL$23:$AN$46,,$AE354), INDEX($AO$23:$AU$46,,$AD354), 1 / ($AW$23:$AW$46*BS354), N($AK$23:$AK$46&gt;$AI354))
) / 1000</f>
        <v>0</v>
      </c>
      <c r="BV354" s="237">
        <f t="shared" si="466"/>
        <v>0</v>
      </c>
      <c r="BW354" s="210"/>
      <c r="BX354" s="237">
        <f t="shared" si="467"/>
        <v>0</v>
      </c>
      <c r="BY354" s="236">
        <v>35</v>
      </c>
      <c r="BZ354" s="237">
        <f t="shared" si="468"/>
        <v>48</v>
      </c>
      <c r="CA354" s="253">
        <f t="shared" si="469"/>
        <v>3.0748170731707316</v>
      </c>
      <c r="CB354" s="253" cm="1">
        <f t="array" ref="CB354">$BC354 * SUMPRODUCT(INDEX($AL$77:$AN$82,,$AE354),INDEX($AO$77:$AU$82,,$AD354), N($AK$77:$AK$82&gt;$AI354)) / CA354 / 1000</f>
        <v>0</v>
      </c>
      <c r="CC354" s="250">
        <f t="shared" si="486"/>
        <v>30</v>
      </c>
      <c r="CD354" s="237">
        <f t="shared" si="470"/>
        <v>43</v>
      </c>
      <c r="CE354" s="253">
        <f t="shared" si="471"/>
        <v>3.5018750000000001</v>
      </c>
      <c r="CF354" s="253" cm="1">
        <f t="array" ref="CF354">$BC354 * IF($AD354&lt;=2,
SUMPRODUCT(INDEX($AL$72:$AN$76,,$AE354), INDEX($AO$72:$AU$76,,$AD354), 1 / ($AV$72:$AV$76*CE354 + (1-$AV$72:$AV$76)*CA354), N($AK$72:$AK$76&gt;$AI354)),
SUMPRODUCT(INDEX($AL$67:$AN$76,,$AE354), INDEX($AO$67:$AU$76,,$AD354), 1 / ($AW$67:$AW$76*CE354 + (1-$AW$67:$AW$76)*CA354), N($AK$67:$AK$76&gt;$AI354))
) / 1000</f>
        <v>0</v>
      </c>
      <c r="CG354" s="250">
        <f t="shared" si="487"/>
        <v>25</v>
      </c>
      <c r="CH354" s="237">
        <f t="shared" si="472"/>
        <v>38</v>
      </c>
      <c r="CI354" s="253">
        <f t="shared" si="473"/>
        <v>4.0666935483870965</v>
      </c>
      <c r="CJ354" s="253" cm="1">
        <f t="array" ref="CJ354">$BC354 * IF($AD354&lt;=2,
SUMPRODUCT(INDEX($AL$67:$AN$71,,$AE354), INDEX($AO$67:$AU$71,,$AD354), 1 / ($AV$67:$AV$71*CI354 + (1-$AV$67:$AV$71)*CE354), N($AK$67:$AK$71&gt;$AI354)),
SUMPRODUCT(INDEX($AL$57:$AN$66,,$AE354), INDEX($AO$57:$AU$66,,$AD354), 1 / ($AW$57:$AW$66*CI354 + (1-$AW$57:$AW$66)*CE354), N($AK$57:$AK$66&gt;$AI354))
) / 1000</f>
        <v>0</v>
      </c>
      <c r="CK354" s="250">
        <f t="shared" si="488"/>
        <v>20</v>
      </c>
      <c r="CL354" s="237">
        <f t="shared" si="474"/>
        <v>33</v>
      </c>
      <c r="CM354" s="253">
        <f t="shared" si="475"/>
        <v>4.8487499999999999</v>
      </c>
      <c r="CN354" s="253" cm="1">
        <f t="array" ref="CN354">$BC354 * IF($AD354&lt;=2,
SUMPRODUCT(INDEX($AL$62:$AN$66,,$AE354), INDEX($AO$62:$AU$66,,$AD354), 1 / ($AV$62:$AV$66*CM354 + (1-$AV$62:$AV$66)*CI354), N($AK$62:$AK$66&gt;$AI354)),
SUMPRODUCT(INDEX($AL$47:$AN$56,,$AE354), INDEX($AO$47:$AU$56,,$AD354), 1 / ($AW$47:$AW$56*CM354 + (1-$AW$47:$AW$56)*CI354), N($AK$47:$AK$56&gt;$AI354))
) / 1000</f>
        <v>0</v>
      </c>
      <c r="CO354" s="253" cm="1">
        <f t="array" ref="CO354">$BC354 * IF($AD354&lt;=2,
SUMPRODUCT(INDEX($AL$23:$AN$61,,$AE354), INDEX($AO$23:$AU$61,,$AD354), 1 / ($AV$23:$AV$61*CM354), N($AK$23:$AK$61&gt;$AI354)),
SUMPRODUCT(INDEX($AL$23:$AN$46,,$AE354), INDEX($AO$23:$AU$46,,$AD354), 1 / ($AW$23:$AW$46*CM354), N($AK$23:$AK$46&gt;$AI354))
) / 1000</f>
        <v>0</v>
      </c>
      <c r="CP354" s="237">
        <f t="shared" si="476"/>
        <v>0</v>
      </c>
      <c r="CQ354" s="210"/>
    </row>
    <row r="355" spans="1:95" s="76" customFormat="1" ht="14.25" customHeight="1" x14ac:dyDescent="0.2">
      <c r="A355" s="238" t="b">
        <f t="shared" si="480"/>
        <v>0</v>
      </c>
      <c r="B355" s="239">
        <v>333</v>
      </c>
      <c r="C355" s="258"/>
      <c r="D355" s="258"/>
      <c r="E355" s="240"/>
      <c r="F355" s="241" t="str">
        <f>IF(ISBLANK(E355), "", VLOOKUP(E355, Z!$A$2:$C$4127, 3, FALSE))</f>
        <v/>
      </c>
      <c r="G355" s="242"/>
      <c r="H355" s="242"/>
      <c r="I355" s="243"/>
      <c r="J355" s="244"/>
      <c r="K355" s="259"/>
      <c r="L355" s="260"/>
      <c r="M355" s="247" t="str" cm="1">
        <f t="array" ref="M355">IF($K355&gt;0, INDEX(Clean,1+AG355,$C$1), "")</f>
        <v/>
      </c>
      <c r="N355" s="245"/>
      <c r="O355" s="245"/>
      <c r="P355" s="246"/>
      <c r="Q355" s="248">
        <f t="shared" si="453"/>
        <v>0</v>
      </c>
      <c r="R355" s="247" t="str" cm="1">
        <f t="array" ref="R355">IF($K355&gt;0, INDEX(Clean,1+AH355,$C$1), "")</f>
        <v/>
      </c>
      <c r="S355" s="245"/>
      <c r="T355" s="245"/>
      <c r="U355" s="246"/>
      <c r="V355" s="248">
        <f t="shared" si="454"/>
        <v>0</v>
      </c>
      <c r="W355" s="261"/>
      <c r="X355" s="258"/>
      <c r="Y355" s="240"/>
      <c r="Z355" s="241" t="str">
        <f>IF(ISBLANK(Y355), "", VLOOKUP(Y355, Z!$A$2:$C$4127, 3, FALSE))</f>
        <v/>
      </c>
      <c r="AA355" s="262"/>
      <c r="AB355" s="249">
        <f t="shared" si="489"/>
        <v>0</v>
      </c>
      <c r="AC355" s="210"/>
      <c r="AD355" s="236">
        <f t="shared" si="477"/>
        <v>1</v>
      </c>
      <c r="AE355" s="236">
        <f t="shared" si="478"/>
        <v>1</v>
      </c>
      <c r="AF355" s="236">
        <f t="shared" si="479"/>
        <v>0</v>
      </c>
      <c r="AG355" s="236">
        <v>1</v>
      </c>
      <c r="AH355" s="236">
        <v>0</v>
      </c>
      <c r="AI355" s="236">
        <f t="shared" si="455"/>
        <v>-100</v>
      </c>
      <c r="AJ355" s="210"/>
      <c r="AK355" s="254"/>
      <c r="AL355" s="254"/>
      <c r="AM355" s="255"/>
      <c r="AN355" s="255"/>
      <c r="AO355" s="255"/>
      <c r="AP355" s="255"/>
      <c r="AQ355" s="255"/>
      <c r="AR355" s="255"/>
      <c r="AS355" s="255"/>
      <c r="AT355" s="255"/>
      <c r="AU355" s="255"/>
      <c r="AV355" s="255"/>
      <c r="AW355" s="255"/>
      <c r="AX355" s="210"/>
      <c r="AY355" s="236" cm="1">
        <f t="array" ref="AY355">INDEX(Use, $AD355, 4)</f>
        <v>7</v>
      </c>
      <c r="AZ355" s="236">
        <f t="shared" si="456"/>
        <v>32</v>
      </c>
      <c r="BA355" s="236">
        <f t="shared" si="481"/>
        <v>13</v>
      </c>
      <c r="BB355" s="236">
        <f t="shared" si="482"/>
        <v>0</v>
      </c>
      <c r="BC355" s="252" cm="1">
        <f t="array" ref="BC355">K355/IF($L355&gt;0, INDEX($AO$23:$AU$77, $L355+20, $AD355), 1)</f>
        <v>0</v>
      </c>
      <c r="BD355" s="237">
        <f t="shared" si="457"/>
        <v>0</v>
      </c>
      <c r="BE355" s="236">
        <v>35</v>
      </c>
      <c r="BF355" s="237">
        <f t="shared" si="458"/>
        <v>52.55</v>
      </c>
      <c r="BG355" s="253">
        <f t="shared" si="459"/>
        <v>2.7676728869374316</v>
      </c>
      <c r="BH355" s="253" cm="1">
        <f t="array" ref="BH355">$BC355 * SUMPRODUCT(INDEX($AL$77:$AN$82,,$AE355),INDEX($AO$77:$AU$82,,$AD355), N($AK$77:$AK$82&gt;$AI355)) / BG355 / 1000</f>
        <v>0</v>
      </c>
      <c r="BI355" s="250">
        <f t="shared" si="483"/>
        <v>30</v>
      </c>
      <c r="BJ355" s="237">
        <f t="shared" si="460"/>
        <v>46.033333333333331</v>
      </c>
      <c r="BK355" s="253">
        <f t="shared" si="461"/>
        <v>3.2297395388556791</v>
      </c>
      <c r="BL355" s="253" cm="1">
        <f t="array" ref="BL355">$BC355 * IF($AD355&lt;=2,
SUMPRODUCT(INDEX($AL$72:$AN$76,,$AE355), INDEX($AO$72:$AU$76,,$AD355), 1 / ($AV$72:$AV$76*BK355 + (1-$AV$72:$AV$76)*BG355), N($AK$72:$AK$76&gt;$AI355)),
SUMPRODUCT(INDEX($AL$67:$AN$76,,$AE355), INDEX($AO$67:$AU$76,,$AD355), 1 / ($AW$67:$AW$76*BK355 + (1-$AW$67:$AW$76)*BG355), N($AK$67:$AK$76&gt;$AI355))
) / 1000</f>
        <v>0</v>
      </c>
      <c r="BM355" s="250">
        <f t="shared" si="484"/>
        <v>25</v>
      </c>
      <c r="BN355" s="237">
        <f t="shared" si="462"/>
        <v>39.516666666666666</v>
      </c>
      <c r="BO355" s="253">
        <f t="shared" si="463"/>
        <v>3.877011788826243</v>
      </c>
      <c r="BP355" s="253" cm="1">
        <f t="array" ref="BP355">$BC355 * IF($AD355&lt;=2,
SUMPRODUCT(INDEX($AL$67:$AN$71,,$AE355), INDEX($AO$67:$AU$71,,$AD355), 1 / ($AV$67:$AV$71*BO355 + (1-$AV$67:$AV$71)*BK355), N($AK$67:$AK$71&gt;$AI355)),
SUMPRODUCT(INDEX($AL$57:$AN$66,,$AE355), INDEX($AO$57:$AU$66,,$AD355), 1 / ($AW$57:$AW$66*BO355 + (1-$AW$57:$AW$66)*BK355), N($AK$57:$AK$66&gt;$AI355))
) / 1000</f>
        <v>0</v>
      </c>
      <c r="BQ355" s="250">
        <f t="shared" si="485"/>
        <v>20</v>
      </c>
      <c r="BR355" s="237">
        <f t="shared" si="464"/>
        <v>33</v>
      </c>
      <c r="BS355" s="253">
        <f t="shared" si="465"/>
        <v>4.8487499999999999</v>
      </c>
      <c r="BT355" s="253" cm="1">
        <f t="array" ref="BT355">$BC355 * IF($AD355&lt;=2,
SUMPRODUCT(INDEX($AL$62:$AN$66,,$AE355), INDEX($AO$62:$AU$66,,$AD355), 1 / ($AV$62:$AV$66*BS355 + (1-$AV$62:$AV$66)*BO355), N($AK$62:$AK$66&gt;$AI355)),
SUMPRODUCT(INDEX($AL$47:$AN$56,,$AE355), INDEX($AO$47:$AU$56,,$AD355), 1 / ($AW$47:$AW$56*BS355 + (1-$AW$47:$AW$56)*BO355), N($AK$47:$AK$56&gt;$AI355))
) / 1000</f>
        <v>0</v>
      </c>
      <c r="BU355" s="253" cm="1">
        <f t="array" ref="BU355">$BC355 * IF($AD355&lt;=2,
SUMPRODUCT(INDEX($AL$23:$AN$61,,$AE355), INDEX($AO$23:$AU$61,,$AD355), 1 / ($AV$23:$AV$61*BS355), N($AK$23:$AK$61&gt;$AI355)),
SUMPRODUCT(INDEX($AL$23:$AN$46,,$AE355), INDEX($AO$23:$AU$46,,$AD355), 1 / ($AW$23:$AW$46*BS355), N($AK$23:$AK$46&gt;$AI355))
) / 1000</f>
        <v>0</v>
      </c>
      <c r="BV355" s="237">
        <f t="shared" si="466"/>
        <v>0</v>
      </c>
      <c r="BW355" s="210"/>
      <c r="BX355" s="237">
        <f t="shared" si="467"/>
        <v>0</v>
      </c>
      <c r="BY355" s="236">
        <v>35</v>
      </c>
      <c r="BZ355" s="237">
        <f t="shared" si="468"/>
        <v>48</v>
      </c>
      <c r="CA355" s="253">
        <f t="shared" si="469"/>
        <v>3.0748170731707316</v>
      </c>
      <c r="CB355" s="253" cm="1">
        <f t="array" ref="CB355">$BC355 * SUMPRODUCT(INDEX($AL$77:$AN$82,,$AE355),INDEX($AO$77:$AU$82,,$AD355), N($AK$77:$AK$82&gt;$AI355)) / CA355 / 1000</f>
        <v>0</v>
      </c>
      <c r="CC355" s="250">
        <f t="shared" si="486"/>
        <v>30</v>
      </c>
      <c r="CD355" s="237">
        <f t="shared" si="470"/>
        <v>43</v>
      </c>
      <c r="CE355" s="253">
        <f t="shared" si="471"/>
        <v>3.5018750000000001</v>
      </c>
      <c r="CF355" s="253" cm="1">
        <f t="array" ref="CF355">$BC355 * IF($AD355&lt;=2,
SUMPRODUCT(INDEX($AL$72:$AN$76,,$AE355), INDEX($AO$72:$AU$76,,$AD355), 1 / ($AV$72:$AV$76*CE355 + (1-$AV$72:$AV$76)*CA355), N($AK$72:$AK$76&gt;$AI355)),
SUMPRODUCT(INDEX($AL$67:$AN$76,,$AE355), INDEX($AO$67:$AU$76,,$AD355), 1 / ($AW$67:$AW$76*CE355 + (1-$AW$67:$AW$76)*CA355), N($AK$67:$AK$76&gt;$AI355))
) / 1000</f>
        <v>0</v>
      </c>
      <c r="CG355" s="250">
        <f t="shared" si="487"/>
        <v>25</v>
      </c>
      <c r="CH355" s="237">
        <f t="shared" si="472"/>
        <v>38</v>
      </c>
      <c r="CI355" s="253">
        <f t="shared" si="473"/>
        <v>4.0666935483870965</v>
      </c>
      <c r="CJ355" s="253" cm="1">
        <f t="array" ref="CJ355">$BC355 * IF($AD355&lt;=2,
SUMPRODUCT(INDEX($AL$67:$AN$71,,$AE355), INDEX($AO$67:$AU$71,,$AD355), 1 / ($AV$67:$AV$71*CI355 + (1-$AV$67:$AV$71)*CE355), N($AK$67:$AK$71&gt;$AI355)),
SUMPRODUCT(INDEX($AL$57:$AN$66,,$AE355), INDEX($AO$57:$AU$66,,$AD355), 1 / ($AW$57:$AW$66*CI355 + (1-$AW$57:$AW$66)*CE355), N($AK$57:$AK$66&gt;$AI355))
) / 1000</f>
        <v>0</v>
      </c>
      <c r="CK355" s="250">
        <f t="shared" si="488"/>
        <v>20</v>
      </c>
      <c r="CL355" s="237">
        <f t="shared" si="474"/>
        <v>33</v>
      </c>
      <c r="CM355" s="253">
        <f t="shared" si="475"/>
        <v>4.8487499999999999</v>
      </c>
      <c r="CN355" s="253" cm="1">
        <f t="array" ref="CN355">$BC355 * IF($AD355&lt;=2,
SUMPRODUCT(INDEX($AL$62:$AN$66,,$AE355), INDEX($AO$62:$AU$66,,$AD355), 1 / ($AV$62:$AV$66*CM355 + (1-$AV$62:$AV$66)*CI355), N($AK$62:$AK$66&gt;$AI355)),
SUMPRODUCT(INDEX($AL$47:$AN$56,,$AE355), INDEX($AO$47:$AU$56,,$AD355), 1 / ($AW$47:$AW$56*CM355 + (1-$AW$47:$AW$56)*CI355), N($AK$47:$AK$56&gt;$AI355))
) / 1000</f>
        <v>0</v>
      </c>
      <c r="CO355" s="253" cm="1">
        <f t="array" ref="CO355">$BC355 * IF($AD355&lt;=2,
SUMPRODUCT(INDEX($AL$23:$AN$61,,$AE355), INDEX($AO$23:$AU$61,,$AD355), 1 / ($AV$23:$AV$61*CM355), N($AK$23:$AK$61&gt;$AI355)),
SUMPRODUCT(INDEX($AL$23:$AN$46,,$AE355), INDEX($AO$23:$AU$46,,$AD355), 1 / ($AW$23:$AW$46*CM355), N($AK$23:$AK$46&gt;$AI355))
) / 1000</f>
        <v>0</v>
      </c>
      <c r="CP355" s="237">
        <f t="shared" si="476"/>
        <v>0</v>
      </c>
      <c r="CQ355" s="210"/>
    </row>
    <row r="356" spans="1:95" s="76" customFormat="1" ht="14.25" customHeight="1" x14ac:dyDescent="0.2">
      <c r="A356" s="238" t="b">
        <f t="shared" si="480"/>
        <v>0</v>
      </c>
      <c r="B356" s="239">
        <v>334</v>
      </c>
      <c r="C356" s="258"/>
      <c r="D356" s="258"/>
      <c r="E356" s="240"/>
      <c r="F356" s="241" t="str">
        <f>IF(ISBLANK(E356), "", VLOOKUP(E356, Z!$A$2:$C$4127, 3, FALSE))</f>
        <v/>
      </c>
      <c r="G356" s="242"/>
      <c r="H356" s="242"/>
      <c r="I356" s="243"/>
      <c r="J356" s="244"/>
      <c r="K356" s="259"/>
      <c r="L356" s="260"/>
      <c r="M356" s="247" t="str" cm="1">
        <f t="array" ref="M356">IF($K356&gt;0, INDEX(Clean,1+AG356,$C$1), "")</f>
        <v/>
      </c>
      <c r="N356" s="245"/>
      <c r="O356" s="245"/>
      <c r="P356" s="246"/>
      <c r="Q356" s="248">
        <f t="shared" si="453"/>
        <v>0</v>
      </c>
      <c r="R356" s="247" t="str" cm="1">
        <f t="array" ref="R356">IF($K356&gt;0, INDEX(Clean,1+AH356,$C$1), "")</f>
        <v/>
      </c>
      <c r="S356" s="245"/>
      <c r="T356" s="245"/>
      <c r="U356" s="246"/>
      <c r="V356" s="248">
        <f t="shared" si="454"/>
        <v>0</v>
      </c>
      <c r="W356" s="261"/>
      <c r="X356" s="258"/>
      <c r="Y356" s="240"/>
      <c r="Z356" s="241" t="str">
        <f>IF(ISBLANK(Y356), "", VLOOKUP(Y356, Z!$A$2:$C$4127, 3, FALSE))</f>
        <v/>
      </c>
      <c r="AA356" s="262"/>
      <c r="AB356" s="249">
        <f t="shared" si="489"/>
        <v>0</v>
      </c>
      <c r="AC356" s="210"/>
      <c r="AD356" s="236">
        <f t="shared" si="477"/>
        <v>1</v>
      </c>
      <c r="AE356" s="236">
        <f t="shared" si="478"/>
        <v>1</v>
      </c>
      <c r="AF356" s="236">
        <f t="shared" si="479"/>
        <v>0</v>
      </c>
      <c r="AG356" s="236">
        <v>1</v>
      </c>
      <c r="AH356" s="236">
        <v>0</v>
      </c>
      <c r="AI356" s="236">
        <f t="shared" si="455"/>
        <v>-100</v>
      </c>
      <c r="AJ356" s="210"/>
      <c r="AK356" s="254"/>
      <c r="AL356" s="254"/>
      <c r="AM356" s="255"/>
      <c r="AN356" s="255"/>
      <c r="AO356" s="255"/>
      <c r="AP356" s="255"/>
      <c r="AQ356" s="255"/>
      <c r="AR356" s="255"/>
      <c r="AS356" s="255"/>
      <c r="AT356" s="255"/>
      <c r="AU356" s="255"/>
      <c r="AV356" s="255"/>
      <c r="AW356" s="255"/>
      <c r="AX356" s="210"/>
      <c r="AY356" s="236" cm="1">
        <f t="array" ref="AY356">INDEX(Use, $AD356, 4)</f>
        <v>7</v>
      </c>
      <c r="AZ356" s="236">
        <f t="shared" si="456"/>
        <v>32</v>
      </c>
      <c r="BA356" s="236">
        <f t="shared" si="481"/>
        <v>13</v>
      </c>
      <c r="BB356" s="236">
        <f t="shared" si="482"/>
        <v>0</v>
      </c>
      <c r="BC356" s="252" cm="1">
        <f t="array" ref="BC356">K356/IF($L356&gt;0, INDEX($AO$23:$AU$77, $L356+20, $AD356), 1)</f>
        <v>0</v>
      </c>
      <c r="BD356" s="237">
        <f t="shared" si="457"/>
        <v>0</v>
      </c>
      <c r="BE356" s="236">
        <v>35</v>
      </c>
      <c r="BF356" s="237">
        <f t="shared" si="458"/>
        <v>52.55</v>
      </c>
      <c r="BG356" s="253">
        <f t="shared" si="459"/>
        <v>2.7676728869374316</v>
      </c>
      <c r="BH356" s="253" cm="1">
        <f t="array" ref="BH356">$BC356 * SUMPRODUCT(INDEX($AL$77:$AN$82,,$AE356),INDEX($AO$77:$AU$82,,$AD356), N($AK$77:$AK$82&gt;$AI356)) / BG356 / 1000</f>
        <v>0</v>
      </c>
      <c r="BI356" s="250">
        <f t="shared" si="483"/>
        <v>30</v>
      </c>
      <c r="BJ356" s="237">
        <f t="shared" si="460"/>
        <v>46.033333333333331</v>
      </c>
      <c r="BK356" s="253">
        <f t="shared" si="461"/>
        <v>3.2297395388556791</v>
      </c>
      <c r="BL356" s="253" cm="1">
        <f t="array" ref="BL356">$BC356 * IF($AD356&lt;=2,
SUMPRODUCT(INDEX($AL$72:$AN$76,,$AE356), INDEX($AO$72:$AU$76,,$AD356), 1 / ($AV$72:$AV$76*BK356 + (1-$AV$72:$AV$76)*BG356), N($AK$72:$AK$76&gt;$AI356)),
SUMPRODUCT(INDEX($AL$67:$AN$76,,$AE356), INDEX($AO$67:$AU$76,,$AD356), 1 / ($AW$67:$AW$76*BK356 + (1-$AW$67:$AW$76)*BG356), N($AK$67:$AK$76&gt;$AI356))
) / 1000</f>
        <v>0</v>
      </c>
      <c r="BM356" s="250">
        <f t="shared" si="484"/>
        <v>25</v>
      </c>
      <c r="BN356" s="237">
        <f t="shared" si="462"/>
        <v>39.516666666666666</v>
      </c>
      <c r="BO356" s="253">
        <f t="shared" si="463"/>
        <v>3.877011788826243</v>
      </c>
      <c r="BP356" s="253" cm="1">
        <f t="array" ref="BP356">$BC356 * IF($AD356&lt;=2,
SUMPRODUCT(INDEX($AL$67:$AN$71,,$AE356), INDEX($AO$67:$AU$71,,$AD356), 1 / ($AV$67:$AV$71*BO356 + (1-$AV$67:$AV$71)*BK356), N($AK$67:$AK$71&gt;$AI356)),
SUMPRODUCT(INDEX($AL$57:$AN$66,,$AE356), INDEX($AO$57:$AU$66,,$AD356), 1 / ($AW$57:$AW$66*BO356 + (1-$AW$57:$AW$66)*BK356), N($AK$57:$AK$66&gt;$AI356))
) / 1000</f>
        <v>0</v>
      </c>
      <c r="BQ356" s="250">
        <f t="shared" si="485"/>
        <v>20</v>
      </c>
      <c r="BR356" s="237">
        <f t="shared" si="464"/>
        <v>33</v>
      </c>
      <c r="BS356" s="253">
        <f t="shared" si="465"/>
        <v>4.8487499999999999</v>
      </c>
      <c r="BT356" s="253" cm="1">
        <f t="array" ref="BT356">$BC356 * IF($AD356&lt;=2,
SUMPRODUCT(INDEX($AL$62:$AN$66,,$AE356), INDEX($AO$62:$AU$66,,$AD356), 1 / ($AV$62:$AV$66*BS356 + (1-$AV$62:$AV$66)*BO356), N($AK$62:$AK$66&gt;$AI356)),
SUMPRODUCT(INDEX($AL$47:$AN$56,,$AE356), INDEX($AO$47:$AU$56,,$AD356), 1 / ($AW$47:$AW$56*BS356 + (1-$AW$47:$AW$56)*BO356), N($AK$47:$AK$56&gt;$AI356))
) / 1000</f>
        <v>0</v>
      </c>
      <c r="BU356" s="253" cm="1">
        <f t="array" ref="BU356">$BC356 * IF($AD356&lt;=2,
SUMPRODUCT(INDEX($AL$23:$AN$61,,$AE356), INDEX($AO$23:$AU$61,,$AD356), 1 / ($AV$23:$AV$61*BS356), N($AK$23:$AK$61&gt;$AI356)),
SUMPRODUCT(INDEX($AL$23:$AN$46,,$AE356), INDEX($AO$23:$AU$46,,$AD356), 1 / ($AW$23:$AW$46*BS356), N($AK$23:$AK$46&gt;$AI356))
) / 1000</f>
        <v>0</v>
      </c>
      <c r="BV356" s="237">
        <f t="shared" si="466"/>
        <v>0</v>
      </c>
      <c r="BW356" s="210"/>
      <c r="BX356" s="237">
        <f t="shared" si="467"/>
        <v>0</v>
      </c>
      <c r="BY356" s="236">
        <v>35</v>
      </c>
      <c r="BZ356" s="237">
        <f t="shared" si="468"/>
        <v>48</v>
      </c>
      <c r="CA356" s="253">
        <f t="shared" si="469"/>
        <v>3.0748170731707316</v>
      </c>
      <c r="CB356" s="253" cm="1">
        <f t="array" ref="CB356">$BC356 * SUMPRODUCT(INDEX($AL$77:$AN$82,,$AE356),INDEX($AO$77:$AU$82,,$AD356), N($AK$77:$AK$82&gt;$AI356)) / CA356 / 1000</f>
        <v>0</v>
      </c>
      <c r="CC356" s="250">
        <f t="shared" si="486"/>
        <v>30</v>
      </c>
      <c r="CD356" s="237">
        <f t="shared" si="470"/>
        <v>43</v>
      </c>
      <c r="CE356" s="253">
        <f t="shared" si="471"/>
        <v>3.5018750000000001</v>
      </c>
      <c r="CF356" s="253" cm="1">
        <f t="array" ref="CF356">$BC356 * IF($AD356&lt;=2,
SUMPRODUCT(INDEX($AL$72:$AN$76,,$AE356), INDEX($AO$72:$AU$76,,$AD356), 1 / ($AV$72:$AV$76*CE356 + (1-$AV$72:$AV$76)*CA356), N($AK$72:$AK$76&gt;$AI356)),
SUMPRODUCT(INDEX($AL$67:$AN$76,,$AE356), INDEX($AO$67:$AU$76,,$AD356), 1 / ($AW$67:$AW$76*CE356 + (1-$AW$67:$AW$76)*CA356), N($AK$67:$AK$76&gt;$AI356))
) / 1000</f>
        <v>0</v>
      </c>
      <c r="CG356" s="250">
        <f t="shared" si="487"/>
        <v>25</v>
      </c>
      <c r="CH356" s="237">
        <f t="shared" si="472"/>
        <v>38</v>
      </c>
      <c r="CI356" s="253">
        <f t="shared" si="473"/>
        <v>4.0666935483870965</v>
      </c>
      <c r="CJ356" s="253" cm="1">
        <f t="array" ref="CJ356">$BC356 * IF($AD356&lt;=2,
SUMPRODUCT(INDEX($AL$67:$AN$71,,$AE356), INDEX($AO$67:$AU$71,,$AD356), 1 / ($AV$67:$AV$71*CI356 + (1-$AV$67:$AV$71)*CE356), N($AK$67:$AK$71&gt;$AI356)),
SUMPRODUCT(INDEX($AL$57:$AN$66,,$AE356), INDEX($AO$57:$AU$66,,$AD356), 1 / ($AW$57:$AW$66*CI356 + (1-$AW$57:$AW$66)*CE356), N($AK$57:$AK$66&gt;$AI356))
) / 1000</f>
        <v>0</v>
      </c>
      <c r="CK356" s="250">
        <f t="shared" si="488"/>
        <v>20</v>
      </c>
      <c r="CL356" s="237">
        <f t="shared" si="474"/>
        <v>33</v>
      </c>
      <c r="CM356" s="253">
        <f t="shared" si="475"/>
        <v>4.8487499999999999</v>
      </c>
      <c r="CN356" s="253" cm="1">
        <f t="array" ref="CN356">$BC356 * IF($AD356&lt;=2,
SUMPRODUCT(INDEX($AL$62:$AN$66,,$AE356), INDEX($AO$62:$AU$66,,$AD356), 1 / ($AV$62:$AV$66*CM356 + (1-$AV$62:$AV$66)*CI356), N($AK$62:$AK$66&gt;$AI356)),
SUMPRODUCT(INDEX($AL$47:$AN$56,,$AE356), INDEX($AO$47:$AU$56,,$AD356), 1 / ($AW$47:$AW$56*CM356 + (1-$AW$47:$AW$56)*CI356), N($AK$47:$AK$56&gt;$AI356))
) / 1000</f>
        <v>0</v>
      </c>
      <c r="CO356" s="253" cm="1">
        <f t="array" ref="CO356">$BC356 * IF($AD356&lt;=2,
SUMPRODUCT(INDEX($AL$23:$AN$61,,$AE356), INDEX($AO$23:$AU$61,,$AD356), 1 / ($AV$23:$AV$61*CM356), N($AK$23:$AK$61&gt;$AI356)),
SUMPRODUCT(INDEX($AL$23:$AN$46,,$AE356), INDEX($AO$23:$AU$46,,$AD356), 1 / ($AW$23:$AW$46*CM356), N($AK$23:$AK$46&gt;$AI356))
) / 1000</f>
        <v>0</v>
      </c>
      <c r="CP356" s="237">
        <f t="shared" si="476"/>
        <v>0</v>
      </c>
      <c r="CQ356" s="210"/>
    </row>
    <row r="357" spans="1:95" s="76" customFormat="1" ht="14.25" customHeight="1" x14ac:dyDescent="0.2">
      <c r="A357" s="238" t="b">
        <f t="shared" si="480"/>
        <v>0</v>
      </c>
      <c r="B357" s="239">
        <v>335</v>
      </c>
      <c r="C357" s="258"/>
      <c r="D357" s="258"/>
      <c r="E357" s="240"/>
      <c r="F357" s="241" t="str">
        <f>IF(ISBLANK(E357), "", VLOOKUP(E357, Z!$A$2:$C$4127, 3, FALSE))</f>
        <v/>
      </c>
      <c r="G357" s="242"/>
      <c r="H357" s="242"/>
      <c r="I357" s="243"/>
      <c r="J357" s="244"/>
      <c r="K357" s="259"/>
      <c r="L357" s="260"/>
      <c r="M357" s="247" t="str" cm="1">
        <f t="array" ref="M357">IF($K357&gt;0, INDEX(Clean,1+AG357,$C$1), "")</f>
        <v/>
      </c>
      <c r="N357" s="245"/>
      <c r="O357" s="245"/>
      <c r="P357" s="246"/>
      <c r="Q357" s="248">
        <f t="shared" si="453"/>
        <v>0</v>
      </c>
      <c r="R357" s="247" t="str" cm="1">
        <f t="array" ref="R357">IF($K357&gt;0, INDEX(Clean,1+AH357,$C$1), "")</f>
        <v/>
      </c>
      <c r="S357" s="245"/>
      <c r="T357" s="245"/>
      <c r="U357" s="246"/>
      <c r="V357" s="248">
        <f t="shared" si="454"/>
        <v>0</v>
      </c>
      <c r="W357" s="261"/>
      <c r="X357" s="258"/>
      <c r="Y357" s="240"/>
      <c r="Z357" s="241" t="str">
        <f>IF(ISBLANK(Y357), "", VLOOKUP(Y357, Z!$A$2:$C$4127, 3, FALSE))</f>
        <v/>
      </c>
      <c r="AA357" s="262"/>
      <c r="AB357" s="249">
        <f t="shared" si="489"/>
        <v>0</v>
      </c>
      <c r="AC357" s="210"/>
      <c r="AD357" s="236">
        <f t="shared" si="477"/>
        <v>1</v>
      </c>
      <c r="AE357" s="236">
        <f t="shared" si="478"/>
        <v>1</v>
      </c>
      <c r="AF357" s="236">
        <f t="shared" si="479"/>
        <v>0</v>
      </c>
      <c r="AG357" s="236">
        <v>1</v>
      </c>
      <c r="AH357" s="236">
        <v>0</v>
      </c>
      <c r="AI357" s="236">
        <f t="shared" si="455"/>
        <v>-100</v>
      </c>
      <c r="AJ357" s="210"/>
      <c r="AK357" s="254"/>
      <c r="AL357" s="254"/>
      <c r="AM357" s="255"/>
      <c r="AN357" s="255"/>
      <c r="AO357" s="255"/>
      <c r="AP357" s="255"/>
      <c r="AQ357" s="255"/>
      <c r="AR357" s="255"/>
      <c r="AS357" s="255"/>
      <c r="AT357" s="255"/>
      <c r="AU357" s="255"/>
      <c r="AV357" s="255"/>
      <c r="AW357" s="255"/>
      <c r="AX357" s="210"/>
      <c r="AY357" s="236" cm="1">
        <f t="array" ref="AY357">INDEX(Use, $AD357, 4)</f>
        <v>7</v>
      </c>
      <c r="AZ357" s="236">
        <f t="shared" si="456"/>
        <v>32</v>
      </c>
      <c r="BA357" s="236">
        <f t="shared" si="481"/>
        <v>13</v>
      </c>
      <c r="BB357" s="236">
        <f t="shared" si="482"/>
        <v>0</v>
      </c>
      <c r="BC357" s="252" cm="1">
        <f t="array" ref="BC357">K357/IF($L357&gt;0, INDEX($AO$23:$AU$77, $L357+20, $AD357), 1)</f>
        <v>0</v>
      </c>
      <c r="BD357" s="237">
        <f t="shared" si="457"/>
        <v>0</v>
      </c>
      <c r="BE357" s="236">
        <v>35</v>
      </c>
      <c r="BF357" s="237">
        <f t="shared" si="458"/>
        <v>52.55</v>
      </c>
      <c r="BG357" s="253">
        <f t="shared" si="459"/>
        <v>2.7676728869374316</v>
      </c>
      <c r="BH357" s="253" cm="1">
        <f t="array" ref="BH357">$BC357 * SUMPRODUCT(INDEX($AL$77:$AN$82,,$AE357),INDEX($AO$77:$AU$82,,$AD357), N($AK$77:$AK$82&gt;$AI357)) / BG357 / 1000</f>
        <v>0</v>
      </c>
      <c r="BI357" s="250">
        <f t="shared" si="483"/>
        <v>30</v>
      </c>
      <c r="BJ357" s="237">
        <f t="shared" si="460"/>
        <v>46.033333333333331</v>
      </c>
      <c r="BK357" s="253">
        <f t="shared" si="461"/>
        <v>3.2297395388556791</v>
      </c>
      <c r="BL357" s="253" cm="1">
        <f t="array" ref="BL357">$BC357 * IF($AD357&lt;=2,
SUMPRODUCT(INDEX($AL$72:$AN$76,,$AE357), INDEX($AO$72:$AU$76,,$AD357), 1 / ($AV$72:$AV$76*BK357 + (1-$AV$72:$AV$76)*BG357), N($AK$72:$AK$76&gt;$AI357)),
SUMPRODUCT(INDEX($AL$67:$AN$76,,$AE357), INDEX($AO$67:$AU$76,,$AD357), 1 / ($AW$67:$AW$76*BK357 + (1-$AW$67:$AW$76)*BG357), N($AK$67:$AK$76&gt;$AI357))
) / 1000</f>
        <v>0</v>
      </c>
      <c r="BM357" s="250">
        <f t="shared" si="484"/>
        <v>25</v>
      </c>
      <c r="BN357" s="237">
        <f t="shared" si="462"/>
        <v>39.516666666666666</v>
      </c>
      <c r="BO357" s="253">
        <f t="shared" si="463"/>
        <v>3.877011788826243</v>
      </c>
      <c r="BP357" s="253" cm="1">
        <f t="array" ref="BP357">$BC357 * IF($AD357&lt;=2,
SUMPRODUCT(INDEX($AL$67:$AN$71,,$AE357), INDEX($AO$67:$AU$71,,$AD357), 1 / ($AV$67:$AV$71*BO357 + (1-$AV$67:$AV$71)*BK357), N($AK$67:$AK$71&gt;$AI357)),
SUMPRODUCT(INDEX($AL$57:$AN$66,,$AE357), INDEX($AO$57:$AU$66,,$AD357), 1 / ($AW$57:$AW$66*BO357 + (1-$AW$57:$AW$66)*BK357), N($AK$57:$AK$66&gt;$AI357))
) / 1000</f>
        <v>0</v>
      </c>
      <c r="BQ357" s="250">
        <f t="shared" si="485"/>
        <v>20</v>
      </c>
      <c r="BR357" s="237">
        <f t="shared" si="464"/>
        <v>33</v>
      </c>
      <c r="BS357" s="253">
        <f t="shared" si="465"/>
        <v>4.8487499999999999</v>
      </c>
      <c r="BT357" s="253" cm="1">
        <f t="array" ref="BT357">$BC357 * IF($AD357&lt;=2,
SUMPRODUCT(INDEX($AL$62:$AN$66,,$AE357), INDEX($AO$62:$AU$66,,$AD357), 1 / ($AV$62:$AV$66*BS357 + (1-$AV$62:$AV$66)*BO357), N($AK$62:$AK$66&gt;$AI357)),
SUMPRODUCT(INDEX($AL$47:$AN$56,,$AE357), INDEX($AO$47:$AU$56,,$AD357), 1 / ($AW$47:$AW$56*BS357 + (1-$AW$47:$AW$56)*BO357), N($AK$47:$AK$56&gt;$AI357))
) / 1000</f>
        <v>0</v>
      </c>
      <c r="BU357" s="253" cm="1">
        <f t="array" ref="BU357">$BC357 * IF($AD357&lt;=2,
SUMPRODUCT(INDEX($AL$23:$AN$61,,$AE357), INDEX($AO$23:$AU$61,,$AD357), 1 / ($AV$23:$AV$61*BS357), N($AK$23:$AK$61&gt;$AI357)),
SUMPRODUCT(INDEX($AL$23:$AN$46,,$AE357), INDEX($AO$23:$AU$46,,$AD357), 1 / ($AW$23:$AW$46*BS357), N($AK$23:$AK$46&gt;$AI357))
) / 1000</f>
        <v>0</v>
      </c>
      <c r="BV357" s="237">
        <f t="shared" si="466"/>
        <v>0</v>
      </c>
      <c r="BW357" s="210"/>
      <c r="BX357" s="237">
        <f t="shared" si="467"/>
        <v>0</v>
      </c>
      <c r="BY357" s="236">
        <v>35</v>
      </c>
      <c r="BZ357" s="237">
        <f t="shared" si="468"/>
        <v>48</v>
      </c>
      <c r="CA357" s="253">
        <f t="shared" si="469"/>
        <v>3.0748170731707316</v>
      </c>
      <c r="CB357" s="253" cm="1">
        <f t="array" ref="CB357">$BC357 * SUMPRODUCT(INDEX($AL$77:$AN$82,,$AE357),INDEX($AO$77:$AU$82,,$AD357), N($AK$77:$AK$82&gt;$AI357)) / CA357 / 1000</f>
        <v>0</v>
      </c>
      <c r="CC357" s="250">
        <f t="shared" si="486"/>
        <v>30</v>
      </c>
      <c r="CD357" s="237">
        <f t="shared" si="470"/>
        <v>43</v>
      </c>
      <c r="CE357" s="253">
        <f t="shared" si="471"/>
        <v>3.5018750000000001</v>
      </c>
      <c r="CF357" s="253" cm="1">
        <f t="array" ref="CF357">$BC357 * IF($AD357&lt;=2,
SUMPRODUCT(INDEX($AL$72:$AN$76,,$AE357), INDEX($AO$72:$AU$76,,$AD357), 1 / ($AV$72:$AV$76*CE357 + (1-$AV$72:$AV$76)*CA357), N($AK$72:$AK$76&gt;$AI357)),
SUMPRODUCT(INDEX($AL$67:$AN$76,,$AE357), INDEX($AO$67:$AU$76,,$AD357), 1 / ($AW$67:$AW$76*CE357 + (1-$AW$67:$AW$76)*CA357), N($AK$67:$AK$76&gt;$AI357))
) / 1000</f>
        <v>0</v>
      </c>
      <c r="CG357" s="250">
        <f t="shared" si="487"/>
        <v>25</v>
      </c>
      <c r="CH357" s="237">
        <f t="shared" si="472"/>
        <v>38</v>
      </c>
      <c r="CI357" s="253">
        <f t="shared" si="473"/>
        <v>4.0666935483870965</v>
      </c>
      <c r="CJ357" s="253" cm="1">
        <f t="array" ref="CJ357">$BC357 * IF($AD357&lt;=2,
SUMPRODUCT(INDEX($AL$67:$AN$71,,$AE357), INDEX($AO$67:$AU$71,,$AD357), 1 / ($AV$67:$AV$71*CI357 + (1-$AV$67:$AV$71)*CE357), N($AK$67:$AK$71&gt;$AI357)),
SUMPRODUCT(INDEX($AL$57:$AN$66,,$AE357), INDEX($AO$57:$AU$66,,$AD357), 1 / ($AW$57:$AW$66*CI357 + (1-$AW$57:$AW$66)*CE357), N($AK$57:$AK$66&gt;$AI357))
) / 1000</f>
        <v>0</v>
      </c>
      <c r="CK357" s="250">
        <f t="shared" si="488"/>
        <v>20</v>
      </c>
      <c r="CL357" s="237">
        <f t="shared" si="474"/>
        <v>33</v>
      </c>
      <c r="CM357" s="253">
        <f t="shared" si="475"/>
        <v>4.8487499999999999</v>
      </c>
      <c r="CN357" s="253" cm="1">
        <f t="array" ref="CN357">$BC357 * IF($AD357&lt;=2,
SUMPRODUCT(INDEX($AL$62:$AN$66,,$AE357), INDEX($AO$62:$AU$66,,$AD357), 1 / ($AV$62:$AV$66*CM357 + (1-$AV$62:$AV$66)*CI357), N($AK$62:$AK$66&gt;$AI357)),
SUMPRODUCT(INDEX($AL$47:$AN$56,,$AE357), INDEX($AO$47:$AU$56,,$AD357), 1 / ($AW$47:$AW$56*CM357 + (1-$AW$47:$AW$56)*CI357), N($AK$47:$AK$56&gt;$AI357))
) / 1000</f>
        <v>0</v>
      </c>
      <c r="CO357" s="253" cm="1">
        <f t="array" ref="CO357">$BC357 * IF($AD357&lt;=2,
SUMPRODUCT(INDEX($AL$23:$AN$61,,$AE357), INDEX($AO$23:$AU$61,,$AD357), 1 / ($AV$23:$AV$61*CM357), N($AK$23:$AK$61&gt;$AI357)),
SUMPRODUCT(INDEX($AL$23:$AN$46,,$AE357), INDEX($AO$23:$AU$46,,$AD357), 1 / ($AW$23:$AW$46*CM357), N($AK$23:$AK$46&gt;$AI357))
) / 1000</f>
        <v>0</v>
      </c>
      <c r="CP357" s="237">
        <f t="shared" si="476"/>
        <v>0</v>
      </c>
      <c r="CQ357" s="210"/>
    </row>
    <row r="358" spans="1:95" s="76" customFormat="1" ht="14.25" customHeight="1" x14ac:dyDescent="0.2">
      <c r="A358" s="238" t="b">
        <f t="shared" si="480"/>
        <v>0</v>
      </c>
      <c r="B358" s="239">
        <v>336</v>
      </c>
      <c r="C358" s="258"/>
      <c r="D358" s="258"/>
      <c r="E358" s="240"/>
      <c r="F358" s="241" t="str">
        <f>IF(ISBLANK(E358), "", VLOOKUP(E358, Z!$A$2:$C$4127, 3, FALSE))</f>
        <v/>
      </c>
      <c r="G358" s="242"/>
      <c r="H358" s="242"/>
      <c r="I358" s="243"/>
      <c r="J358" s="244"/>
      <c r="K358" s="259"/>
      <c r="L358" s="260"/>
      <c r="M358" s="247" t="str" cm="1">
        <f t="array" ref="M358">IF($K358&gt;0, INDEX(Clean,1+AG358,$C$1), "")</f>
        <v/>
      </c>
      <c r="N358" s="245"/>
      <c r="O358" s="245"/>
      <c r="P358" s="246"/>
      <c r="Q358" s="248">
        <f t="shared" si="453"/>
        <v>0</v>
      </c>
      <c r="R358" s="247" t="str" cm="1">
        <f t="array" ref="R358">IF($K358&gt;0, INDEX(Clean,1+AH358,$C$1), "")</f>
        <v/>
      </c>
      <c r="S358" s="245"/>
      <c r="T358" s="245"/>
      <c r="U358" s="246"/>
      <c r="V358" s="248">
        <f t="shared" si="454"/>
        <v>0</v>
      </c>
      <c r="W358" s="261"/>
      <c r="X358" s="258"/>
      <c r="Y358" s="240"/>
      <c r="Z358" s="241" t="str">
        <f>IF(ISBLANK(Y358), "", VLOOKUP(Y358, Z!$A$2:$C$4127, 3, FALSE))</f>
        <v/>
      </c>
      <c r="AA358" s="262"/>
      <c r="AB358" s="249">
        <f t="shared" si="489"/>
        <v>0</v>
      </c>
      <c r="AC358" s="210"/>
      <c r="AD358" s="236">
        <f t="shared" si="477"/>
        <v>1</v>
      </c>
      <c r="AE358" s="236">
        <f t="shared" si="478"/>
        <v>1</v>
      </c>
      <c r="AF358" s="236">
        <f t="shared" si="479"/>
        <v>0</v>
      </c>
      <c r="AG358" s="236">
        <v>1</v>
      </c>
      <c r="AH358" s="236">
        <v>0</v>
      </c>
      <c r="AI358" s="236">
        <f t="shared" si="455"/>
        <v>-100</v>
      </c>
      <c r="AJ358" s="210"/>
      <c r="AK358" s="254"/>
      <c r="AL358" s="254"/>
      <c r="AM358" s="255"/>
      <c r="AN358" s="255"/>
      <c r="AO358" s="255"/>
      <c r="AP358" s="255"/>
      <c r="AQ358" s="255"/>
      <c r="AR358" s="255"/>
      <c r="AS358" s="255"/>
      <c r="AT358" s="255"/>
      <c r="AU358" s="255"/>
      <c r="AV358" s="255"/>
      <c r="AW358" s="255"/>
      <c r="AX358" s="210"/>
      <c r="AY358" s="236" cm="1">
        <f t="array" ref="AY358">INDEX(Use, $AD358, 4)</f>
        <v>7</v>
      </c>
      <c r="AZ358" s="236">
        <f t="shared" si="456"/>
        <v>32</v>
      </c>
      <c r="BA358" s="236">
        <f t="shared" si="481"/>
        <v>13</v>
      </c>
      <c r="BB358" s="236">
        <f t="shared" si="482"/>
        <v>0</v>
      </c>
      <c r="BC358" s="252" cm="1">
        <f t="array" ref="BC358">K358/IF($L358&gt;0, INDEX($AO$23:$AU$77, $L358+20, $AD358), 1)</f>
        <v>0</v>
      </c>
      <c r="BD358" s="237">
        <f t="shared" si="457"/>
        <v>0</v>
      </c>
      <c r="BE358" s="236">
        <v>35</v>
      </c>
      <c r="BF358" s="237">
        <f t="shared" si="458"/>
        <v>52.55</v>
      </c>
      <c r="BG358" s="253">
        <f t="shared" si="459"/>
        <v>2.7676728869374316</v>
      </c>
      <c r="BH358" s="253" cm="1">
        <f t="array" ref="BH358">$BC358 * SUMPRODUCT(INDEX($AL$77:$AN$82,,$AE358),INDEX($AO$77:$AU$82,,$AD358), N($AK$77:$AK$82&gt;$AI358)) / BG358 / 1000</f>
        <v>0</v>
      </c>
      <c r="BI358" s="250">
        <f t="shared" si="483"/>
        <v>30</v>
      </c>
      <c r="BJ358" s="237">
        <f t="shared" si="460"/>
        <v>46.033333333333331</v>
      </c>
      <c r="BK358" s="253">
        <f t="shared" si="461"/>
        <v>3.2297395388556791</v>
      </c>
      <c r="BL358" s="253" cm="1">
        <f t="array" ref="BL358">$BC358 * IF($AD358&lt;=2,
SUMPRODUCT(INDEX($AL$72:$AN$76,,$AE358), INDEX($AO$72:$AU$76,,$AD358), 1 / ($AV$72:$AV$76*BK358 + (1-$AV$72:$AV$76)*BG358), N($AK$72:$AK$76&gt;$AI358)),
SUMPRODUCT(INDEX($AL$67:$AN$76,,$AE358), INDEX($AO$67:$AU$76,,$AD358), 1 / ($AW$67:$AW$76*BK358 + (1-$AW$67:$AW$76)*BG358), N($AK$67:$AK$76&gt;$AI358))
) / 1000</f>
        <v>0</v>
      </c>
      <c r="BM358" s="250">
        <f t="shared" si="484"/>
        <v>25</v>
      </c>
      <c r="BN358" s="237">
        <f t="shared" si="462"/>
        <v>39.516666666666666</v>
      </c>
      <c r="BO358" s="253">
        <f t="shared" si="463"/>
        <v>3.877011788826243</v>
      </c>
      <c r="BP358" s="253" cm="1">
        <f t="array" ref="BP358">$BC358 * IF($AD358&lt;=2,
SUMPRODUCT(INDEX($AL$67:$AN$71,,$AE358), INDEX($AO$67:$AU$71,,$AD358), 1 / ($AV$67:$AV$71*BO358 + (1-$AV$67:$AV$71)*BK358), N($AK$67:$AK$71&gt;$AI358)),
SUMPRODUCT(INDEX($AL$57:$AN$66,,$AE358), INDEX($AO$57:$AU$66,,$AD358), 1 / ($AW$57:$AW$66*BO358 + (1-$AW$57:$AW$66)*BK358), N($AK$57:$AK$66&gt;$AI358))
) / 1000</f>
        <v>0</v>
      </c>
      <c r="BQ358" s="250">
        <f t="shared" si="485"/>
        <v>20</v>
      </c>
      <c r="BR358" s="237">
        <f t="shared" si="464"/>
        <v>33</v>
      </c>
      <c r="BS358" s="253">
        <f t="shared" si="465"/>
        <v>4.8487499999999999</v>
      </c>
      <c r="BT358" s="253" cm="1">
        <f t="array" ref="BT358">$BC358 * IF($AD358&lt;=2,
SUMPRODUCT(INDEX($AL$62:$AN$66,,$AE358), INDEX($AO$62:$AU$66,,$AD358), 1 / ($AV$62:$AV$66*BS358 + (1-$AV$62:$AV$66)*BO358), N($AK$62:$AK$66&gt;$AI358)),
SUMPRODUCT(INDEX($AL$47:$AN$56,,$AE358), INDEX($AO$47:$AU$56,,$AD358), 1 / ($AW$47:$AW$56*BS358 + (1-$AW$47:$AW$56)*BO358), N($AK$47:$AK$56&gt;$AI358))
) / 1000</f>
        <v>0</v>
      </c>
      <c r="BU358" s="253" cm="1">
        <f t="array" ref="BU358">$BC358 * IF($AD358&lt;=2,
SUMPRODUCT(INDEX($AL$23:$AN$61,,$AE358), INDEX($AO$23:$AU$61,,$AD358), 1 / ($AV$23:$AV$61*BS358), N($AK$23:$AK$61&gt;$AI358)),
SUMPRODUCT(INDEX($AL$23:$AN$46,,$AE358), INDEX($AO$23:$AU$46,,$AD358), 1 / ($AW$23:$AW$46*BS358), N($AK$23:$AK$46&gt;$AI358))
) / 1000</f>
        <v>0</v>
      </c>
      <c r="BV358" s="237">
        <f t="shared" si="466"/>
        <v>0</v>
      </c>
      <c r="BW358" s="210"/>
      <c r="BX358" s="237">
        <f t="shared" si="467"/>
        <v>0</v>
      </c>
      <c r="BY358" s="236">
        <v>35</v>
      </c>
      <c r="BZ358" s="237">
        <f t="shared" si="468"/>
        <v>48</v>
      </c>
      <c r="CA358" s="253">
        <f t="shared" si="469"/>
        <v>3.0748170731707316</v>
      </c>
      <c r="CB358" s="253" cm="1">
        <f t="array" ref="CB358">$BC358 * SUMPRODUCT(INDEX($AL$77:$AN$82,,$AE358),INDEX($AO$77:$AU$82,,$AD358), N($AK$77:$AK$82&gt;$AI358)) / CA358 / 1000</f>
        <v>0</v>
      </c>
      <c r="CC358" s="250">
        <f t="shared" si="486"/>
        <v>30</v>
      </c>
      <c r="CD358" s="237">
        <f t="shared" si="470"/>
        <v>43</v>
      </c>
      <c r="CE358" s="253">
        <f t="shared" si="471"/>
        <v>3.5018750000000001</v>
      </c>
      <c r="CF358" s="253" cm="1">
        <f t="array" ref="CF358">$BC358 * IF($AD358&lt;=2,
SUMPRODUCT(INDEX($AL$72:$AN$76,,$AE358), INDEX($AO$72:$AU$76,,$AD358), 1 / ($AV$72:$AV$76*CE358 + (1-$AV$72:$AV$76)*CA358), N($AK$72:$AK$76&gt;$AI358)),
SUMPRODUCT(INDEX($AL$67:$AN$76,,$AE358), INDEX($AO$67:$AU$76,,$AD358), 1 / ($AW$67:$AW$76*CE358 + (1-$AW$67:$AW$76)*CA358), N($AK$67:$AK$76&gt;$AI358))
) / 1000</f>
        <v>0</v>
      </c>
      <c r="CG358" s="250">
        <f t="shared" si="487"/>
        <v>25</v>
      </c>
      <c r="CH358" s="237">
        <f t="shared" si="472"/>
        <v>38</v>
      </c>
      <c r="CI358" s="253">
        <f t="shared" si="473"/>
        <v>4.0666935483870965</v>
      </c>
      <c r="CJ358" s="253" cm="1">
        <f t="array" ref="CJ358">$BC358 * IF($AD358&lt;=2,
SUMPRODUCT(INDEX($AL$67:$AN$71,,$AE358), INDEX($AO$67:$AU$71,,$AD358), 1 / ($AV$67:$AV$71*CI358 + (1-$AV$67:$AV$71)*CE358), N($AK$67:$AK$71&gt;$AI358)),
SUMPRODUCT(INDEX($AL$57:$AN$66,,$AE358), INDEX($AO$57:$AU$66,,$AD358), 1 / ($AW$57:$AW$66*CI358 + (1-$AW$57:$AW$66)*CE358), N($AK$57:$AK$66&gt;$AI358))
) / 1000</f>
        <v>0</v>
      </c>
      <c r="CK358" s="250">
        <f t="shared" si="488"/>
        <v>20</v>
      </c>
      <c r="CL358" s="237">
        <f t="shared" si="474"/>
        <v>33</v>
      </c>
      <c r="CM358" s="253">
        <f t="shared" si="475"/>
        <v>4.8487499999999999</v>
      </c>
      <c r="CN358" s="253" cm="1">
        <f t="array" ref="CN358">$BC358 * IF($AD358&lt;=2,
SUMPRODUCT(INDEX($AL$62:$AN$66,,$AE358), INDEX($AO$62:$AU$66,,$AD358), 1 / ($AV$62:$AV$66*CM358 + (1-$AV$62:$AV$66)*CI358), N($AK$62:$AK$66&gt;$AI358)),
SUMPRODUCT(INDEX($AL$47:$AN$56,,$AE358), INDEX($AO$47:$AU$56,,$AD358), 1 / ($AW$47:$AW$56*CM358 + (1-$AW$47:$AW$56)*CI358), N($AK$47:$AK$56&gt;$AI358))
) / 1000</f>
        <v>0</v>
      </c>
      <c r="CO358" s="253" cm="1">
        <f t="array" ref="CO358">$BC358 * IF($AD358&lt;=2,
SUMPRODUCT(INDEX($AL$23:$AN$61,,$AE358), INDEX($AO$23:$AU$61,,$AD358), 1 / ($AV$23:$AV$61*CM358), N($AK$23:$AK$61&gt;$AI358)),
SUMPRODUCT(INDEX($AL$23:$AN$46,,$AE358), INDEX($AO$23:$AU$46,,$AD358), 1 / ($AW$23:$AW$46*CM358), N($AK$23:$AK$46&gt;$AI358))
) / 1000</f>
        <v>0</v>
      </c>
      <c r="CP358" s="237">
        <f t="shared" si="476"/>
        <v>0</v>
      </c>
      <c r="CQ358" s="210"/>
    </row>
    <row r="359" spans="1:95" s="76" customFormat="1" ht="14.25" customHeight="1" x14ac:dyDescent="0.2">
      <c r="A359" s="238" t="b">
        <f t="shared" si="480"/>
        <v>0</v>
      </c>
      <c r="B359" s="239">
        <v>337</v>
      </c>
      <c r="C359" s="258"/>
      <c r="D359" s="258"/>
      <c r="E359" s="240"/>
      <c r="F359" s="241" t="str">
        <f>IF(ISBLANK(E359), "", VLOOKUP(E359, Z!$A$2:$C$4127, 3, FALSE))</f>
        <v/>
      </c>
      <c r="G359" s="242"/>
      <c r="H359" s="242"/>
      <c r="I359" s="243"/>
      <c r="J359" s="244"/>
      <c r="K359" s="259"/>
      <c r="L359" s="260"/>
      <c r="M359" s="247" t="str" cm="1">
        <f t="array" ref="M359">IF($K359&gt;0, INDEX(Clean,1+AG359,$C$1), "")</f>
        <v/>
      </c>
      <c r="N359" s="245"/>
      <c r="O359" s="245"/>
      <c r="P359" s="246"/>
      <c r="Q359" s="248">
        <f t="shared" si="453"/>
        <v>0</v>
      </c>
      <c r="R359" s="247" t="str" cm="1">
        <f t="array" ref="R359">IF($K359&gt;0, INDEX(Clean,1+AH359,$C$1), "")</f>
        <v/>
      </c>
      <c r="S359" s="245"/>
      <c r="T359" s="245"/>
      <c r="U359" s="246"/>
      <c r="V359" s="248">
        <f t="shared" si="454"/>
        <v>0</v>
      </c>
      <c r="W359" s="261"/>
      <c r="X359" s="258"/>
      <c r="Y359" s="240"/>
      <c r="Z359" s="241" t="str">
        <f>IF(ISBLANK(Y359), "", VLOOKUP(Y359, Z!$A$2:$C$4127, 3, FALSE))</f>
        <v/>
      </c>
      <c r="AA359" s="262"/>
      <c r="AB359" s="249">
        <f t="shared" si="489"/>
        <v>0</v>
      </c>
      <c r="AC359" s="210"/>
      <c r="AD359" s="236">
        <f t="shared" si="477"/>
        <v>1</v>
      </c>
      <c r="AE359" s="236">
        <f t="shared" si="478"/>
        <v>1</v>
      </c>
      <c r="AF359" s="236">
        <f t="shared" si="479"/>
        <v>0</v>
      </c>
      <c r="AG359" s="236">
        <v>1</v>
      </c>
      <c r="AH359" s="236">
        <v>0</v>
      </c>
      <c r="AI359" s="236">
        <f t="shared" si="455"/>
        <v>-100</v>
      </c>
      <c r="AJ359" s="210"/>
      <c r="AK359" s="254"/>
      <c r="AL359" s="254"/>
      <c r="AM359" s="255"/>
      <c r="AN359" s="255"/>
      <c r="AO359" s="255"/>
      <c r="AP359" s="255"/>
      <c r="AQ359" s="255"/>
      <c r="AR359" s="255"/>
      <c r="AS359" s="255"/>
      <c r="AT359" s="255"/>
      <c r="AU359" s="255"/>
      <c r="AV359" s="255"/>
      <c r="AW359" s="255"/>
      <c r="AX359" s="210"/>
      <c r="AY359" s="236" cm="1">
        <f t="array" ref="AY359">INDEX(Use, $AD359, 4)</f>
        <v>7</v>
      </c>
      <c r="AZ359" s="236">
        <f t="shared" si="456"/>
        <v>32</v>
      </c>
      <c r="BA359" s="236">
        <f t="shared" si="481"/>
        <v>13</v>
      </c>
      <c r="BB359" s="236">
        <f t="shared" si="482"/>
        <v>0</v>
      </c>
      <c r="BC359" s="252" cm="1">
        <f t="array" ref="BC359">K359/IF($L359&gt;0, INDEX($AO$23:$AU$77, $L359+20, $AD359), 1)</f>
        <v>0</v>
      </c>
      <c r="BD359" s="237">
        <f t="shared" si="457"/>
        <v>0</v>
      </c>
      <c r="BE359" s="236">
        <v>35</v>
      </c>
      <c r="BF359" s="237">
        <f t="shared" si="458"/>
        <v>52.55</v>
      </c>
      <c r="BG359" s="253">
        <f t="shared" si="459"/>
        <v>2.7676728869374316</v>
      </c>
      <c r="BH359" s="253" cm="1">
        <f t="array" ref="BH359">$BC359 * SUMPRODUCT(INDEX($AL$77:$AN$82,,$AE359),INDEX($AO$77:$AU$82,,$AD359), N($AK$77:$AK$82&gt;$AI359)) / BG359 / 1000</f>
        <v>0</v>
      </c>
      <c r="BI359" s="250">
        <f t="shared" si="483"/>
        <v>30</v>
      </c>
      <c r="BJ359" s="237">
        <f t="shared" si="460"/>
        <v>46.033333333333331</v>
      </c>
      <c r="BK359" s="253">
        <f t="shared" si="461"/>
        <v>3.2297395388556791</v>
      </c>
      <c r="BL359" s="253" cm="1">
        <f t="array" ref="BL359">$BC359 * IF($AD359&lt;=2,
SUMPRODUCT(INDEX($AL$72:$AN$76,,$AE359), INDEX($AO$72:$AU$76,,$AD359), 1 / ($AV$72:$AV$76*BK359 + (1-$AV$72:$AV$76)*BG359), N($AK$72:$AK$76&gt;$AI359)),
SUMPRODUCT(INDEX($AL$67:$AN$76,,$AE359), INDEX($AO$67:$AU$76,,$AD359), 1 / ($AW$67:$AW$76*BK359 + (1-$AW$67:$AW$76)*BG359), N($AK$67:$AK$76&gt;$AI359))
) / 1000</f>
        <v>0</v>
      </c>
      <c r="BM359" s="250">
        <f t="shared" si="484"/>
        <v>25</v>
      </c>
      <c r="BN359" s="237">
        <f t="shared" si="462"/>
        <v>39.516666666666666</v>
      </c>
      <c r="BO359" s="253">
        <f t="shared" si="463"/>
        <v>3.877011788826243</v>
      </c>
      <c r="BP359" s="253" cm="1">
        <f t="array" ref="BP359">$BC359 * IF($AD359&lt;=2,
SUMPRODUCT(INDEX($AL$67:$AN$71,,$AE359), INDEX($AO$67:$AU$71,,$AD359), 1 / ($AV$67:$AV$71*BO359 + (1-$AV$67:$AV$71)*BK359), N($AK$67:$AK$71&gt;$AI359)),
SUMPRODUCT(INDEX($AL$57:$AN$66,,$AE359), INDEX($AO$57:$AU$66,,$AD359), 1 / ($AW$57:$AW$66*BO359 + (1-$AW$57:$AW$66)*BK359), N($AK$57:$AK$66&gt;$AI359))
) / 1000</f>
        <v>0</v>
      </c>
      <c r="BQ359" s="250">
        <f t="shared" si="485"/>
        <v>20</v>
      </c>
      <c r="BR359" s="237">
        <f t="shared" si="464"/>
        <v>33</v>
      </c>
      <c r="BS359" s="253">
        <f t="shared" si="465"/>
        <v>4.8487499999999999</v>
      </c>
      <c r="BT359" s="253" cm="1">
        <f t="array" ref="BT359">$BC359 * IF($AD359&lt;=2,
SUMPRODUCT(INDEX($AL$62:$AN$66,,$AE359), INDEX($AO$62:$AU$66,,$AD359), 1 / ($AV$62:$AV$66*BS359 + (1-$AV$62:$AV$66)*BO359), N($AK$62:$AK$66&gt;$AI359)),
SUMPRODUCT(INDEX($AL$47:$AN$56,,$AE359), INDEX($AO$47:$AU$56,,$AD359), 1 / ($AW$47:$AW$56*BS359 + (1-$AW$47:$AW$56)*BO359), N($AK$47:$AK$56&gt;$AI359))
) / 1000</f>
        <v>0</v>
      </c>
      <c r="BU359" s="253" cm="1">
        <f t="array" ref="BU359">$BC359 * IF($AD359&lt;=2,
SUMPRODUCT(INDEX($AL$23:$AN$61,,$AE359), INDEX($AO$23:$AU$61,,$AD359), 1 / ($AV$23:$AV$61*BS359), N($AK$23:$AK$61&gt;$AI359)),
SUMPRODUCT(INDEX($AL$23:$AN$46,,$AE359), INDEX($AO$23:$AU$46,,$AD359), 1 / ($AW$23:$AW$46*BS359), N($AK$23:$AK$46&gt;$AI359))
) / 1000</f>
        <v>0</v>
      </c>
      <c r="BV359" s="237">
        <f t="shared" si="466"/>
        <v>0</v>
      </c>
      <c r="BW359" s="210"/>
      <c r="BX359" s="237">
        <f t="shared" si="467"/>
        <v>0</v>
      </c>
      <c r="BY359" s="236">
        <v>35</v>
      </c>
      <c r="BZ359" s="237">
        <f t="shared" si="468"/>
        <v>48</v>
      </c>
      <c r="CA359" s="253">
        <f t="shared" si="469"/>
        <v>3.0748170731707316</v>
      </c>
      <c r="CB359" s="253" cm="1">
        <f t="array" ref="CB359">$BC359 * SUMPRODUCT(INDEX($AL$77:$AN$82,,$AE359),INDEX($AO$77:$AU$82,,$AD359), N($AK$77:$AK$82&gt;$AI359)) / CA359 / 1000</f>
        <v>0</v>
      </c>
      <c r="CC359" s="250">
        <f t="shared" si="486"/>
        <v>30</v>
      </c>
      <c r="CD359" s="237">
        <f t="shared" si="470"/>
        <v>43</v>
      </c>
      <c r="CE359" s="253">
        <f t="shared" si="471"/>
        <v>3.5018750000000001</v>
      </c>
      <c r="CF359" s="253" cm="1">
        <f t="array" ref="CF359">$BC359 * IF($AD359&lt;=2,
SUMPRODUCT(INDEX($AL$72:$AN$76,,$AE359), INDEX($AO$72:$AU$76,,$AD359), 1 / ($AV$72:$AV$76*CE359 + (1-$AV$72:$AV$76)*CA359), N($AK$72:$AK$76&gt;$AI359)),
SUMPRODUCT(INDEX($AL$67:$AN$76,,$AE359), INDEX($AO$67:$AU$76,,$AD359), 1 / ($AW$67:$AW$76*CE359 + (1-$AW$67:$AW$76)*CA359), N($AK$67:$AK$76&gt;$AI359))
) / 1000</f>
        <v>0</v>
      </c>
      <c r="CG359" s="250">
        <f t="shared" si="487"/>
        <v>25</v>
      </c>
      <c r="CH359" s="237">
        <f t="shared" si="472"/>
        <v>38</v>
      </c>
      <c r="CI359" s="253">
        <f t="shared" si="473"/>
        <v>4.0666935483870965</v>
      </c>
      <c r="CJ359" s="253" cm="1">
        <f t="array" ref="CJ359">$BC359 * IF($AD359&lt;=2,
SUMPRODUCT(INDEX($AL$67:$AN$71,,$AE359), INDEX($AO$67:$AU$71,,$AD359), 1 / ($AV$67:$AV$71*CI359 + (1-$AV$67:$AV$71)*CE359), N($AK$67:$AK$71&gt;$AI359)),
SUMPRODUCT(INDEX($AL$57:$AN$66,,$AE359), INDEX($AO$57:$AU$66,,$AD359), 1 / ($AW$57:$AW$66*CI359 + (1-$AW$57:$AW$66)*CE359), N($AK$57:$AK$66&gt;$AI359))
) / 1000</f>
        <v>0</v>
      </c>
      <c r="CK359" s="250">
        <f t="shared" si="488"/>
        <v>20</v>
      </c>
      <c r="CL359" s="237">
        <f t="shared" si="474"/>
        <v>33</v>
      </c>
      <c r="CM359" s="253">
        <f t="shared" si="475"/>
        <v>4.8487499999999999</v>
      </c>
      <c r="CN359" s="253" cm="1">
        <f t="array" ref="CN359">$BC359 * IF($AD359&lt;=2,
SUMPRODUCT(INDEX($AL$62:$AN$66,,$AE359), INDEX($AO$62:$AU$66,,$AD359), 1 / ($AV$62:$AV$66*CM359 + (1-$AV$62:$AV$66)*CI359), N($AK$62:$AK$66&gt;$AI359)),
SUMPRODUCT(INDEX($AL$47:$AN$56,,$AE359), INDEX($AO$47:$AU$56,,$AD359), 1 / ($AW$47:$AW$56*CM359 + (1-$AW$47:$AW$56)*CI359), N($AK$47:$AK$56&gt;$AI359))
) / 1000</f>
        <v>0</v>
      </c>
      <c r="CO359" s="253" cm="1">
        <f t="array" ref="CO359">$BC359 * IF($AD359&lt;=2,
SUMPRODUCT(INDEX($AL$23:$AN$61,,$AE359), INDEX($AO$23:$AU$61,,$AD359), 1 / ($AV$23:$AV$61*CM359), N($AK$23:$AK$61&gt;$AI359)),
SUMPRODUCT(INDEX($AL$23:$AN$46,,$AE359), INDEX($AO$23:$AU$46,,$AD359), 1 / ($AW$23:$AW$46*CM359), N($AK$23:$AK$46&gt;$AI359))
) / 1000</f>
        <v>0</v>
      </c>
      <c r="CP359" s="237">
        <f t="shared" si="476"/>
        <v>0</v>
      </c>
      <c r="CQ359" s="210"/>
    </row>
    <row r="360" spans="1:95" s="76" customFormat="1" ht="14.25" customHeight="1" x14ac:dyDescent="0.2">
      <c r="A360" s="238" t="b">
        <f t="shared" si="480"/>
        <v>0</v>
      </c>
      <c r="B360" s="239">
        <v>338</v>
      </c>
      <c r="C360" s="258"/>
      <c r="D360" s="258"/>
      <c r="E360" s="240"/>
      <c r="F360" s="241" t="str">
        <f>IF(ISBLANK(E360), "", VLOOKUP(E360, Z!$A$2:$C$4127, 3, FALSE))</f>
        <v/>
      </c>
      <c r="G360" s="242"/>
      <c r="H360" s="242"/>
      <c r="I360" s="243"/>
      <c r="J360" s="244"/>
      <c r="K360" s="259"/>
      <c r="L360" s="260"/>
      <c r="M360" s="247" t="str" cm="1">
        <f t="array" ref="M360">IF($K360&gt;0, INDEX(Clean,1+AG360,$C$1), "")</f>
        <v/>
      </c>
      <c r="N360" s="245"/>
      <c r="O360" s="245"/>
      <c r="P360" s="246"/>
      <c r="Q360" s="248">
        <f t="shared" si="453"/>
        <v>0</v>
      </c>
      <c r="R360" s="247" t="str" cm="1">
        <f t="array" ref="R360">IF($K360&gt;0, INDEX(Clean,1+AH360,$C$1), "")</f>
        <v/>
      </c>
      <c r="S360" s="245"/>
      <c r="T360" s="245"/>
      <c r="U360" s="246"/>
      <c r="V360" s="248">
        <f t="shared" si="454"/>
        <v>0</v>
      </c>
      <c r="W360" s="261"/>
      <c r="X360" s="258"/>
      <c r="Y360" s="240"/>
      <c r="Z360" s="241" t="str">
        <f>IF(ISBLANK(Y360), "", VLOOKUP(Y360, Z!$A$2:$C$4127, 3, FALSE))</f>
        <v/>
      </c>
      <c r="AA360" s="262"/>
      <c r="AB360" s="249">
        <f t="shared" si="489"/>
        <v>0</v>
      </c>
      <c r="AC360" s="210"/>
      <c r="AD360" s="236">
        <f t="shared" si="477"/>
        <v>1</v>
      </c>
      <c r="AE360" s="236">
        <f t="shared" si="478"/>
        <v>1</v>
      </c>
      <c r="AF360" s="236">
        <f t="shared" si="479"/>
        <v>0</v>
      </c>
      <c r="AG360" s="236">
        <v>1</v>
      </c>
      <c r="AH360" s="236">
        <v>0</v>
      </c>
      <c r="AI360" s="236">
        <f t="shared" si="455"/>
        <v>-100</v>
      </c>
      <c r="AJ360" s="210"/>
      <c r="AK360" s="254"/>
      <c r="AL360" s="254"/>
      <c r="AM360" s="255"/>
      <c r="AN360" s="255"/>
      <c r="AO360" s="255"/>
      <c r="AP360" s="255"/>
      <c r="AQ360" s="255"/>
      <c r="AR360" s="255"/>
      <c r="AS360" s="255"/>
      <c r="AT360" s="255"/>
      <c r="AU360" s="255"/>
      <c r="AV360" s="255"/>
      <c r="AW360" s="255"/>
      <c r="AX360" s="210"/>
      <c r="AY360" s="236" cm="1">
        <f t="array" ref="AY360">INDEX(Use, $AD360, 4)</f>
        <v>7</v>
      </c>
      <c r="AZ360" s="236">
        <f t="shared" si="456"/>
        <v>32</v>
      </c>
      <c r="BA360" s="236">
        <f t="shared" si="481"/>
        <v>13</v>
      </c>
      <c r="BB360" s="236">
        <f t="shared" si="482"/>
        <v>0</v>
      </c>
      <c r="BC360" s="252" cm="1">
        <f t="array" ref="BC360">K360/IF($L360&gt;0, INDEX($AO$23:$AU$77, $L360+20, $AD360), 1)</f>
        <v>0</v>
      </c>
      <c r="BD360" s="237">
        <f t="shared" si="457"/>
        <v>0</v>
      </c>
      <c r="BE360" s="236">
        <v>35</v>
      </c>
      <c r="BF360" s="237">
        <f t="shared" si="458"/>
        <v>52.55</v>
      </c>
      <c r="BG360" s="253">
        <f t="shared" si="459"/>
        <v>2.7676728869374316</v>
      </c>
      <c r="BH360" s="253" cm="1">
        <f t="array" ref="BH360">$BC360 * SUMPRODUCT(INDEX($AL$77:$AN$82,,$AE360),INDEX($AO$77:$AU$82,,$AD360), N($AK$77:$AK$82&gt;$AI360)) / BG360 / 1000</f>
        <v>0</v>
      </c>
      <c r="BI360" s="250">
        <f t="shared" si="483"/>
        <v>30</v>
      </c>
      <c r="BJ360" s="237">
        <f t="shared" si="460"/>
        <v>46.033333333333331</v>
      </c>
      <c r="BK360" s="253">
        <f t="shared" si="461"/>
        <v>3.2297395388556791</v>
      </c>
      <c r="BL360" s="253" cm="1">
        <f t="array" ref="BL360">$BC360 * IF($AD360&lt;=2,
SUMPRODUCT(INDEX($AL$72:$AN$76,,$AE360), INDEX($AO$72:$AU$76,,$AD360), 1 / ($AV$72:$AV$76*BK360 + (1-$AV$72:$AV$76)*BG360), N($AK$72:$AK$76&gt;$AI360)),
SUMPRODUCT(INDEX($AL$67:$AN$76,,$AE360), INDEX($AO$67:$AU$76,,$AD360), 1 / ($AW$67:$AW$76*BK360 + (1-$AW$67:$AW$76)*BG360), N($AK$67:$AK$76&gt;$AI360))
) / 1000</f>
        <v>0</v>
      </c>
      <c r="BM360" s="250">
        <f t="shared" si="484"/>
        <v>25</v>
      </c>
      <c r="BN360" s="237">
        <f t="shared" si="462"/>
        <v>39.516666666666666</v>
      </c>
      <c r="BO360" s="253">
        <f t="shared" si="463"/>
        <v>3.877011788826243</v>
      </c>
      <c r="BP360" s="253" cm="1">
        <f t="array" ref="BP360">$BC360 * IF($AD360&lt;=2,
SUMPRODUCT(INDEX($AL$67:$AN$71,,$AE360), INDEX($AO$67:$AU$71,,$AD360), 1 / ($AV$67:$AV$71*BO360 + (1-$AV$67:$AV$71)*BK360), N($AK$67:$AK$71&gt;$AI360)),
SUMPRODUCT(INDEX($AL$57:$AN$66,,$AE360), INDEX($AO$57:$AU$66,,$AD360), 1 / ($AW$57:$AW$66*BO360 + (1-$AW$57:$AW$66)*BK360), N($AK$57:$AK$66&gt;$AI360))
) / 1000</f>
        <v>0</v>
      </c>
      <c r="BQ360" s="250">
        <f t="shared" si="485"/>
        <v>20</v>
      </c>
      <c r="BR360" s="237">
        <f t="shared" si="464"/>
        <v>33</v>
      </c>
      <c r="BS360" s="253">
        <f t="shared" si="465"/>
        <v>4.8487499999999999</v>
      </c>
      <c r="BT360" s="253" cm="1">
        <f t="array" ref="BT360">$BC360 * IF($AD360&lt;=2,
SUMPRODUCT(INDEX($AL$62:$AN$66,,$AE360), INDEX($AO$62:$AU$66,,$AD360), 1 / ($AV$62:$AV$66*BS360 + (1-$AV$62:$AV$66)*BO360), N($AK$62:$AK$66&gt;$AI360)),
SUMPRODUCT(INDEX($AL$47:$AN$56,,$AE360), INDEX($AO$47:$AU$56,,$AD360), 1 / ($AW$47:$AW$56*BS360 + (1-$AW$47:$AW$56)*BO360), N($AK$47:$AK$56&gt;$AI360))
) / 1000</f>
        <v>0</v>
      </c>
      <c r="BU360" s="253" cm="1">
        <f t="array" ref="BU360">$BC360 * IF($AD360&lt;=2,
SUMPRODUCT(INDEX($AL$23:$AN$61,,$AE360), INDEX($AO$23:$AU$61,,$AD360), 1 / ($AV$23:$AV$61*BS360), N($AK$23:$AK$61&gt;$AI360)),
SUMPRODUCT(INDEX($AL$23:$AN$46,,$AE360), INDEX($AO$23:$AU$46,,$AD360), 1 / ($AW$23:$AW$46*BS360), N($AK$23:$AK$46&gt;$AI360))
) / 1000</f>
        <v>0</v>
      </c>
      <c r="BV360" s="237">
        <f t="shared" si="466"/>
        <v>0</v>
      </c>
      <c r="BW360" s="210"/>
      <c r="BX360" s="237">
        <f t="shared" si="467"/>
        <v>0</v>
      </c>
      <c r="BY360" s="236">
        <v>35</v>
      </c>
      <c r="BZ360" s="237">
        <f t="shared" si="468"/>
        <v>48</v>
      </c>
      <c r="CA360" s="253">
        <f t="shared" si="469"/>
        <v>3.0748170731707316</v>
      </c>
      <c r="CB360" s="253" cm="1">
        <f t="array" ref="CB360">$BC360 * SUMPRODUCT(INDEX($AL$77:$AN$82,,$AE360),INDEX($AO$77:$AU$82,,$AD360), N($AK$77:$AK$82&gt;$AI360)) / CA360 / 1000</f>
        <v>0</v>
      </c>
      <c r="CC360" s="250">
        <f t="shared" si="486"/>
        <v>30</v>
      </c>
      <c r="CD360" s="237">
        <f t="shared" si="470"/>
        <v>43</v>
      </c>
      <c r="CE360" s="253">
        <f t="shared" si="471"/>
        <v>3.5018750000000001</v>
      </c>
      <c r="CF360" s="253" cm="1">
        <f t="array" ref="CF360">$BC360 * IF($AD360&lt;=2,
SUMPRODUCT(INDEX($AL$72:$AN$76,,$AE360), INDEX($AO$72:$AU$76,,$AD360), 1 / ($AV$72:$AV$76*CE360 + (1-$AV$72:$AV$76)*CA360), N($AK$72:$AK$76&gt;$AI360)),
SUMPRODUCT(INDEX($AL$67:$AN$76,,$AE360), INDEX($AO$67:$AU$76,,$AD360), 1 / ($AW$67:$AW$76*CE360 + (1-$AW$67:$AW$76)*CA360), N($AK$67:$AK$76&gt;$AI360))
) / 1000</f>
        <v>0</v>
      </c>
      <c r="CG360" s="250">
        <f t="shared" si="487"/>
        <v>25</v>
      </c>
      <c r="CH360" s="237">
        <f t="shared" si="472"/>
        <v>38</v>
      </c>
      <c r="CI360" s="253">
        <f t="shared" si="473"/>
        <v>4.0666935483870965</v>
      </c>
      <c r="CJ360" s="253" cm="1">
        <f t="array" ref="CJ360">$BC360 * IF($AD360&lt;=2,
SUMPRODUCT(INDEX($AL$67:$AN$71,,$AE360), INDEX($AO$67:$AU$71,,$AD360), 1 / ($AV$67:$AV$71*CI360 + (1-$AV$67:$AV$71)*CE360), N($AK$67:$AK$71&gt;$AI360)),
SUMPRODUCT(INDEX($AL$57:$AN$66,,$AE360), INDEX($AO$57:$AU$66,,$AD360), 1 / ($AW$57:$AW$66*CI360 + (1-$AW$57:$AW$66)*CE360), N($AK$57:$AK$66&gt;$AI360))
) / 1000</f>
        <v>0</v>
      </c>
      <c r="CK360" s="250">
        <f t="shared" si="488"/>
        <v>20</v>
      </c>
      <c r="CL360" s="237">
        <f t="shared" si="474"/>
        <v>33</v>
      </c>
      <c r="CM360" s="253">
        <f t="shared" si="475"/>
        <v>4.8487499999999999</v>
      </c>
      <c r="CN360" s="253" cm="1">
        <f t="array" ref="CN360">$BC360 * IF($AD360&lt;=2,
SUMPRODUCT(INDEX($AL$62:$AN$66,,$AE360), INDEX($AO$62:$AU$66,,$AD360), 1 / ($AV$62:$AV$66*CM360 + (1-$AV$62:$AV$66)*CI360), N($AK$62:$AK$66&gt;$AI360)),
SUMPRODUCT(INDEX($AL$47:$AN$56,,$AE360), INDEX($AO$47:$AU$56,,$AD360), 1 / ($AW$47:$AW$56*CM360 + (1-$AW$47:$AW$56)*CI360), N($AK$47:$AK$56&gt;$AI360))
) / 1000</f>
        <v>0</v>
      </c>
      <c r="CO360" s="253" cm="1">
        <f t="array" ref="CO360">$BC360 * IF($AD360&lt;=2,
SUMPRODUCT(INDEX($AL$23:$AN$61,,$AE360), INDEX($AO$23:$AU$61,,$AD360), 1 / ($AV$23:$AV$61*CM360), N($AK$23:$AK$61&gt;$AI360)),
SUMPRODUCT(INDEX($AL$23:$AN$46,,$AE360), INDEX($AO$23:$AU$46,,$AD360), 1 / ($AW$23:$AW$46*CM360), N($AK$23:$AK$46&gt;$AI360))
) / 1000</f>
        <v>0</v>
      </c>
      <c r="CP360" s="237">
        <f t="shared" si="476"/>
        <v>0</v>
      </c>
      <c r="CQ360" s="210"/>
    </row>
    <row r="361" spans="1:95" s="76" customFormat="1" ht="14.25" customHeight="1" x14ac:dyDescent="0.2">
      <c r="A361" s="238" t="b">
        <f t="shared" si="480"/>
        <v>0</v>
      </c>
      <c r="B361" s="239">
        <v>339</v>
      </c>
      <c r="C361" s="258"/>
      <c r="D361" s="258"/>
      <c r="E361" s="240"/>
      <c r="F361" s="241" t="str">
        <f>IF(ISBLANK(E361), "", VLOOKUP(E361, Z!$A$2:$C$4127, 3, FALSE))</f>
        <v/>
      </c>
      <c r="G361" s="242"/>
      <c r="H361" s="242"/>
      <c r="I361" s="243"/>
      <c r="J361" s="244"/>
      <c r="K361" s="259"/>
      <c r="L361" s="260"/>
      <c r="M361" s="247" t="str" cm="1">
        <f t="array" ref="M361">IF($K361&gt;0, INDEX(Clean,1+AG361,$C$1), "")</f>
        <v/>
      </c>
      <c r="N361" s="245"/>
      <c r="O361" s="245"/>
      <c r="P361" s="246"/>
      <c r="Q361" s="248">
        <f t="shared" si="453"/>
        <v>0</v>
      </c>
      <c r="R361" s="247" t="str" cm="1">
        <f t="array" ref="R361">IF($K361&gt;0, INDEX(Clean,1+AH361,$C$1), "")</f>
        <v/>
      </c>
      <c r="S361" s="245"/>
      <c r="T361" s="245"/>
      <c r="U361" s="246"/>
      <c r="V361" s="248">
        <f t="shared" si="454"/>
        <v>0</v>
      </c>
      <c r="W361" s="261"/>
      <c r="X361" s="258"/>
      <c r="Y361" s="240"/>
      <c r="Z361" s="241" t="str">
        <f>IF(ISBLANK(Y361), "", VLOOKUP(Y361, Z!$A$2:$C$4127, 3, FALSE))</f>
        <v/>
      </c>
      <c r="AA361" s="262"/>
      <c r="AB361" s="249">
        <f t="shared" si="489"/>
        <v>0</v>
      </c>
      <c r="AC361" s="210"/>
      <c r="AD361" s="236">
        <f t="shared" si="477"/>
        <v>1</v>
      </c>
      <c r="AE361" s="236">
        <f t="shared" si="478"/>
        <v>1</v>
      </c>
      <c r="AF361" s="236">
        <f t="shared" si="479"/>
        <v>0</v>
      </c>
      <c r="AG361" s="236">
        <v>1</v>
      </c>
      <c r="AH361" s="236">
        <v>0</v>
      </c>
      <c r="AI361" s="236">
        <f t="shared" si="455"/>
        <v>-100</v>
      </c>
      <c r="AJ361" s="210"/>
      <c r="AK361" s="254"/>
      <c r="AL361" s="254"/>
      <c r="AM361" s="255"/>
      <c r="AN361" s="255"/>
      <c r="AO361" s="255"/>
      <c r="AP361" s="255"/>
      <c r="AQ361" s="255"/>
      <c r="AR361" s="255"/>
      <c r="AS361" s="255"/>
      <c r="AT361" s="255"/>
      <c r="AU361" s="255"/>
      <c r="AV361" s="255"/>
      <c r="AW361" s="255"/>
      <c r="AX361" s="210"/>
      <c r="AY361" s="236" cm="1">
        <f t="array" ref="AY361">INDEX(Use, $AD361, 4)</f>
        <v>7</v>
      </c>
      <c r="AZ361" s="236">
        <f t="shared" si="456"/>
        <v>32</v>
      </c>
      <c r="BA361" s="236">
        <f t="shared" si="481"/>
        <v>13</v>
      </c>
      <c r="BB361" s="236">
        <f t="shared" si="482"/>
        <v>0</v>
      </c>
      <c r="BC361" s="252" cm="1">
        <f t="array" ref="BC361">K361/IF($L361&gt;0, INDEX($AO$23:$AU$77, $L361+20, $AD361), 1)</f>
        <v>0</v>
      </c>
      <c r="BD361" s="237">
        <f t="shared" si="457"/>
        <v>0</v>
      </c>
      <c r="BE361" s="236">
        <v>35</v>
      </c>
      <c r="BF361" s="237">
        <f t="shared" si="458"/>
        <v>52.55</v>
      </c>
      <c r="BG361" s="253">
        <f t="shared" si="459"/>
        <v>2.7676728869374316</v>
      </c>
      <c r="BH361" s="253" cm="1">
        <f t="array" ref="BH361">$BC361 * SUMPRODUCT(INDEX($AL$77:$AN$82,,$AE361),INDEX($AO$77:$AU$82,,$AD361), N($AK$77:$AK$82&gt;$AI361)) / BG361 / 1000</f>
        <v>0</v>
      </c>
      <c r="BI361" s="250">
        <f t="shared" si="483"/>
        <v>30</v>
      </c>
      <c r="BJ361" s="237">
        <f t="shared" si="460"/>
        <v>46.033333333333331</v>
      </c>
      <c r="BK361" s="253">
        <f t="shared" si="461"/>
        <v>3.2297395388556791</v>
      </c>
      <c r="BL361" s="253" cm="1">
        <f t="array" ref="BL361">$BC361 * IF($AD361&lt;=2,
SUMPRODUCT(INDEX($AL$72:$AN$76,,$AE361), INDEX($AO$72:$AU$76,,$AD361), 1 / ($AV$72:$AV$76*BK361 + (1-$AV$72:$AV$76)*BG361), N($AK$72:$AK$76&gt;$AI361)),
SUMPRODUCT(INDEX($AL$67:$AN$76,,$AE361), INDEX($AO$67:$AU$76,,$AD361), 1 / ($AW$67:$AW$76*BK361 + (1-$AW$67:$AW$76)*BG361), N($AK$67:$AK$76&gt;$AI361))
) / 1000</f>
        <v>0</v>
      </c>
      <c r="BM361" s="250">
        <f t="shared" si="484"/>
        <v>25</v>
      </c>
      <c r="BN361" s="237">
        <f t="shared" si="462"/>
        <v>39.516666666666666</v>
      </c>
      <c r="BO361" s="253">
        <f t="shared" si="463"/>
        <v>3.877011788826243</v>
      </c>
      <c r="BP361" s="253" cm="1">
        <f t="array" ref="BP361">$BC361 * IF($AD361&lt;=2,
SUMPRODUCT(INDEX($AL$67:$AN$71,,$AE361), INDEX($AO$67:$AU$71,,$AD361), 1 / ($AV$67:$AV$71*BO361 + (1-$AV$67:$AV$71)*BK361), N($AK$67:$AK$71&gt;$AI361)),
SUMPRODUCT(INDEX($AL$57:$AN$66,,$AE361), INDEX($AO$57:$AU$66,,$AD361), 1 / ($AW$57:$AW$66*BO361 + (1-$AW$57:$AW$66)*BK361), N($AK$57:$AK$66&gt;$AI361))
) / 1000</f>
        <v>0</v>
      </c>
      <c r="BQ361" s="250">
        <f t="shared" si="485"/>
        <v>20</v>
      </c>
      <c r="BR361" s="237">
        <f t="shared" si="464"/>
        <v>33</v>
      </c>
      <c r="BS361" s="253">
        <f t="shared" si="465"/>
        <v>4.8487499999999999</v>
      </c>
      <c r="BT361" s="253" cm="1">
        <f t="array" ref="BT361">$BC361 * IF($AD361&lt;=2,
SUMPRODUCT(INDEX($AL$62:$AN$66,,$AE361), INDEX($AO$62:$AU$66,,$AD361), 1 / ($AV$62:$AV$66*BS361 + (1-$AV$62:$AV$66)*BO361), N($AK$62:$AK$66&gt;$AI361)),
SUMPRODUCT(INDEX($AL$47:$AN$56,,$AE361), INDEX($AO$47:$AU$56,,$AD361), 1 / ($AW$47:$AW$56*BS361 + (1-$AW$47:$AW$56)*BO361), N($AK$47:$AK$56&gt;$AI361))
) / 1000</f>
        <v>0</v>
      </c>
      <c r="BU361" s="253" cm="1">
        <f t="array" ref="BU361">$BC361 * IF($AD361&lt;=2,
SUMPRODUCT(INDEX($AL$23:$AN$61,,$AE361), INDEX($AO$23:$AU$61,,$AD361), 1 / ($AV$23:$AV$61*BS361), N($AK$23:$AK$61&gt;$AI361)),
SUMPRODUCT(INDEX($AL$23:$AN$46,,$AE361), INDEX($AO$23:$AU$46,,$AD361), 1 / ($AW$23:$AW$46*BS361), N($AK$23:$AK$46&gt;$AI361))
) / 1000</f>
        <v>0</v>
      </c>
      <c r="BV361" s="237">
        <f t="shared" si="466"/>
        <v>0</v>
      </c>
      <c r="BW361" s="210"/>
      <c r="BX361" s="237">
        <f t="shared" si="467"/>
        <v>0</v>
      </c>
      <c r="BY361" s="236">
        <v>35</v>
      </c>
      <c r="BZ361" s="237">
        <f t="shared" si="468"/>
        <v>48</v>
      </c>
      <c r="CA361" s="253">
        <f t="shared" si="469"/>
        <v>3.0748170731707316</v>
      </c>
      <c r="CB361" s="253" cm="1">
        <f t="array" ref="CB361">$BC361 * SUMPRODUCT(INDEX($AL$77:$AN$82,,$AE361),INDEX($AO$77:$AU$82,,$AD361), N($AK$77:$AK$82&gt;$AI361)) / CA361 / 1000</f>
        <v>0</v>
      </c>
      <c r="CC361" s="250">
        <f t="shared" si="486"/>
        <v>30</v>
      </c>
      <c r="CD361" s="237">
        <f t="shared" si="470"/>
        <v>43</v>
      </c>
      <c r="CE361" s="253">
        <f t="shared" si="471"/>
        <v>3.5018750000000001</v>
      </c>
      <c r="CF361" s="253" cm="1">
        <f t="array" ref="CF361">$BC361 * IF($AD361&lt;=2,
SUMPRODUCT(INDEX($AL$72:$AN$76,,$AE361), INDEX($AO$72:$AU$76,,$AD361), 1 / ($AV$72:$AV$76*CE361 + (1-$AV$72:$AV$76)*CA361), N($AK$72:$AK$76&gt;$AI361)),
SUMPRODUCT(INDEX($AL$67:$AN$76,,$AE361), INDEX($AO$67:$AU$76,,$AD361), 1 / ($AW$67:$AW$76*CE361 + (1-$AW$67:$AW$76)*CA361), N($AK$67:$AK$76&gt;$AI361))
) / 1000</f>
        <v>0</v>
      </c>
      <c r="CG361" s="250">
        <f t="shared" si="487"/>
        <v>25</v>
      </c>
      <c r="CH361" s="237">
        <f t="shared" si="472"/>
        <v>38</v>
      </c>
      <c r="CI361" s="253">
        <f t="shared" si="473"/>
        <v>4.0666935483870965</v>
      </c>
      <c r="CJ361" s="253" cm="1">
        <f t="array" ref="CJ361">$BC361 * IF($AD361&lt;=2,
SUMPRODUCT(INDEX($AL$67:$AN$71,,$AE361), INDEX($AO$67:$AU$71,,$AD361), 1 / ($AV$67:$AV$71*CI361 + (1-$AV$67:$AV$71)*CE361), N($AK$67:$AK$71&gt;$AI361)),
SUMPRODUCT(INDEX($AL$57:$AN$66,,$AE361), INDEX($AO$57:$AU$66,,$AD361), 1 / ($AW$57:$AW$66*CI361 + (1-$AW$57:$AW$66)*CE361), N($AK$57:$AK$66&gt;$AI361))
) / 1000</f>
        <v>0</v>
      </c>
      <c r="CK361" s="250">
        <f t="shared" si="488"/>
        <v>20</v>
      </c>
      <c r="CL361" s="237">
        <f t="shared" si="474"/>
        <v>33</v>
      </c>
      <c r="CM361" s="253">
        <f t="shared" si="475"/>
        <v>4.8487499999999999</v>
      </c>
      <c r="CN361" s="253" cm="1">
        <f t="array" ref="CN361">$BC361 * IF($AD361&lt;=2,
SUMPRODUCT(INDEX($AL$62:$AN$66,,$AE361), INDEX($AO$62:$AU$66,,$AD361), 1 / ($AV$62:$AV$66*CM361 + (1-$AV$62:$AV$66)*CI361), N($AK$62:$AK$66&gt;$AI361)),
SUMPRODUCT(INDEX($AL$47:$AN$56,,$AE361), INDEX($AO$47:$AU$56,,$AD361), 1 / ($AW$47:$AW$56*CM361 + (1-$AW$47:$AW$56)*CI361), N($AK$47:$AK$56&gt;$AI361))
) / 1000</f>
        <v>0</v>
      </c>
      <c r="CO361" s="253" cm="1">
        <f t="array" ref="CO361">$BC361 * IF($AD361&lt;=2,
SUMPRODUCT(INDEX($AL$23:$AN$61,,$AE361), INDEX($AO$23:$AU$61,,$AD361), 1 / ($AV$23:$AV$61*CM361), N($AK$23:$AK$61&gt;$AI361)),
SUMPRODUCT(INDEX($AL$23:$AN$46,,$AE361), INDEX($AO$23:$AU$46,,$AD361), 1 / ($AW$23:$AW$46*CM361), N($AK$23:$AK$46&gt;$AI361))
) / 1000</f>
        <v>0</v>
      </c>
      <c r="CP361" s="237">
        <f t="shared" si="476"/>
        <v>0</v>
      </c>
      <c r="CQ361" s="210"/>
    </row>
    <row r="362" spans="1:95" s="76" customFormat="1" ht="14.25" customHeight="1" x14ac:dyDescent="0.2">
      <c r="A362" s="238" t="b">
        <f t="shared" si="480"/>
        <v>0</v>
      </c>
      <c r="B362" s="239">
        <v>340</v>
      </c>
      <c r="C362" s="258"/>
      <c r="D362" s="258"/>
      <c r="E362" s="240"/>
      <c r="F362" s="241" t="str">
        <f>IF(ISBLANK(E362), "", VLOOKUP(E362, Z!$A$2:$C$4127, 3, FALSE))</f>
        <v/>
      </c>
      <c r="G362" s="242"/>
      <c r="H362" s="242"/>
      <c r="I362" s="243"/>
      <c r="J362" s="244"/>
      <c r="K362" s="259"/>
      <c r="L362" s="260"/>
      <c r="M362" s="247" t="str" cm="1">
        <f t="array" ref="M362">IF($K362&gt;0, INDEX(Clean,1+AG362,$C$1), "")</f>
        <v/>
      </c>
      <c r="N362" s="245"/>
      <c r="O362" s="245"/>
      <c r="P362" s="246"/>
      <c r="Q362" s="248">
        <f t="shared" si="453"/>
        <v>0</v>
      </c>
      <c r="R362" s="247" t="str" cm="1">
        <f t="array" ref="R362">IF($K362&gt;0, INDEX(Clean,1+AH362,$C$1), "")</f>
        <v/>
      </c>
      <c r="S362" s="245"/>
      <c r="T362" s="245"/>
      <c r="U362" s="246"/>
      <c r="V362" s="248">
        <f t="shared" si="454"/>
        <v>0</v>
      </c>
      <c r="W362" s="261"/>
      <c r="X362" s="258"/>
      <c r="Y362" s="240"/>
      <c r="Z362" s="241" t="str">
        <f>IF(ISBLANK(Y362), "", VLOOKUP(Y362, Z!$A$2:$C$4127, 3, FALSE))</f>
        <v/>
      </c>
      <c r="AA362" s="262"/>
      <c r="AB362" s="249">
        <f t="shared" si="489"/>
        <v>0</v>
      </c>
      <c r="AC362" s="210"/>
      <c r="AD362" s="236">
        <f t="shared" si="477"/>
        <v>1</v>
      </c>
      <c r="AE362" s="236">
        <f t="shared" si="478"/>
        <v>1</v>
      </c>
      <c r="AF362" s="236">
        <f t="shared" si="479"/>
        <v>0</v>
      </c>
      <c r="AG362" s="236">
        <v>1</v>
      </c>
      <c r="AH362" s="236">
        <v>0</v>
      </c>
      <c r="AI362" s="236">
        <f t="shared" si="455"/>
        <v>-100</v>
      </c>
      <c r="AJ362" s="210"/>
      <c r="AK362" s="254"/>
      <c r="AL362" s="254"/>
      <c r="AM362" s="255"/>
      <c r="AN362" s="255"/>
      <c r="AO362" s="255"/>
      <c r="AP362" s="255"/>
      <c r="AQ362" s="255"/>
      <c r="AR362" s="255"/>
      <c r="AS362" s="255"/>
      <c r="AT362" s="255"/>
      <c r="AU362" s="255"/>
      <c r="AV362" s="255"/>
      <c r="AW362" s="255"/>
      <c r="AX362" s="210"/>
      <c r="AY362" s="236" cm="1">
        <f t="array" ref="AY362">INDEX(Use, $AD362, 4)</f>
        <v>7</v>
      </c>
      <c r="AZ362" s="236">
        <f t="shared" si="456"/>
        <v>32</v>
      </c>
      <c r="BA362" s="236">
        <f t="shared" si="481"/>
        <v>13</v>
      </c>
      <c r="BB362" s="236">
        <f t="shared" si="482"/>
        <v>0</v>
      </c>
      <c r="BC362" s="252" cm="1">
        <f t="array" ref="BC362">K362/IF($L362&gt;0, INDEX($AO$23:$AU$77, $L362+20, $AD362), 1)</f>
        <v>0</v>
      </c>
      <c r="BD362" s="237">
        <f t="shared" si="457"/>
        <v>0</v>
      </c>
      <c r="BE362" s="236">
        <v>35</v>
      </c>
      <c r="BF362" s="237">
        <f t="shared" si="458"/>
        <v>52.55</v>
      </c>
      <c r="BG362" s="253">
        <f t="shared" si="459"/>
        <v>2.7676728869374316</v>
      </c>
      <c r="BH362" s="253" cm="1">
        <f t="array" ref="BH362">$BC362 * SUMPRODUCT(INDEX($AL$77:$AN$82,,$AE362),INDEX($AO$77:$AU$82,,$AD362), N($AK$77:$AK$82&gt;$AI362)) / BG362 / 1000</f>
        <v>0</v>
      </c>
      <c r="BI362" s="250">
        <f t="shared" si="483"/>
        <v>30</v>
      </c>
      <c r="BJ362" s="237">
        <f t="shared" si="460"/>
        <v>46.033333333333331</v>
      </c>
      <c r="BK362" s="253">
        <f t="shared" si="461"/>
        <v>3.2297395388556791</v>
      </c>
      <c r="BL362" s="253" cm="1">
        <f t="array" ref="BL362">$BC362 * IF($AD362&lt;=2,
SUMPRODUCT(INDEX($AL$72:$AN$76,,$AE362), INDEX($AO$72:$AU$76,,$AD362), 1 / ($AV$72:$AV$76*BK362 + (1-$AV$72:$AV$76)*BG362), N($AK$72:$AK$76&gt;$AI362)),
SUMPRODUCT(INDEX($AL$67:$AN$76,,$AE362), INDEX($AO$67:$AU$76,,$AD362), 1 / ($AW$67:$AW$76*BK362 + (1-$AW$67:$AW$76)*BG362), N($AK$67:$AK$76&gt;$AI362))
) / 1000</f>
        <v>0</v>
      </c>
      <c r="BM362" s="250">
        <f t="shared" si="484"/>
        <v>25</v>
      </c>
      <c r="BN362" s="237">
        <f t="shared" si="462"/>
        <v>39.516666666666666</v>
      </c>
      <c r="BO362" s="253">
        <f t="shared" si="463"/>
        <v>3.877011788826243</v>
      </c>
      <c r="BP362" s="253" cm="1">
        <f t="array" ref="BP362">$BC362 * IF($AD362&lt;=2,
SUMPRODUCT(INDEX($AL$67:$AN$71,,$AE362), INDEX($AO$67:$AU$71,,$AD362), 1 / ($AV$67:$AV$71*BO362 + (1-$AV$67:$AV$71)*BK362), N($AK$67:$AK$71&gt;$AI362)),
SUMPRODUCT(INDEX($AL$57:$AN$66,,$AE362), INDEX($AO$57:$AU$66,,$AD362), 1 / ($AW$57:$AW$66*BO362 + (1-$AW$57:$AW$66)*BK362), N($AK$57:$AK$66&gt;$AI362))
) / 1000</f>
        <v>0</v>
      </c>
      <c r="BQ362" s="250">
        <f t="shared" si="485"/>
        <v>20</v>
      </c>
      <c r="BR362" s="237">
        <f t="shared" si="464"/>
        <v>33</v>
      </c>
      <c r="BS362" s="253">
        <f t="shared" si="465"/>
        <v>4.8487499999999999</v>
      </c>
      <c r="BT362" s="253" cm="1">
        <f t="array" ref="BT362">$BC362 * IF($AD362&lt;=2,
SUMPRODUCT(INDEX($AL$62:$AN$66,,$AE362), INDEX($AO$62:$AU$66,,$AD362), 1 / ($AV$62:$AV$66*BS362 + (1-$AV$62:$AV$66)*BO362), N($AK$62:$AK$66&gt;$AI362)),
SUMPRODUCT(INDEX($AL$47:$AN$56,,$AE362), INDEX($AO$47:$AU$56,,$AD362), 1 / ($AW$47:$AW$56*BS362 + (1-$AW$47:$AW$56)*BO362), N($AK$47:$AK$56&gt;$AI362))
) / 1000</f>
        <v>0</v>
      </c>
      <c r="BU362" s="253" cm="1">
        <f t="array" ref="BU362">$BC362 * IF($AD362&lt;=2,
SUMPRODUCT(INDEX($AL$23:$AN$61,,$AE362), INDEX($AO$23:$AU$61,,$AD362), 1 / ($AV$23:$AV$61*BS362), N($AK$23:$AK$61&gt;$AI362)),
SUMPRODUCT(INDEX($AL$23:$AN$46,,$AE362), INDEX($AO$23:$AU$46,,$AD362), 1 / ($AW$23:$AW$46*BS362), N($AK$23:$AK$46&gt;$AI362))
) / 1000</f>
        <v>0</v>
      </c>
      <c r="BV362" s="237">
        <f t="shared" si="466"/>
        <v>0</v>
      </c>
      <c r="BW362" s="210"/>
      <c r="BX362" s="237">
        <f t="shared" si="467"/>
        <v>0</v>
      </c>
      <c r="BY362" s="236">
        <v>35</v>
      </c>
      <c r="BZ362" s="237">
        <f t="shared" si="468"/>
        <v>48</v>
      </c>
      <c r="CA362" s="253">
        <f t="shared" si="469"/>
        <v>3.0748170731707316</v>
      </c>
      <c r="CB362" s="253" cm="1">
        <f t="array" ref="CB362">$BC362 * SUMPRODUCT(INDEX($AL$77:$AN$82,,$AE362),INDEX($AO$77:$AU$82,,$AD362), N($AK$77:$AK$82&gt;$AI362)) / CA362 / 1000</f>
        <v>0</v>
      </c>
      <c r="CC362" s="250">
        <f t="shared" si="486"/>
        <v>30</v>
      </c>
      <c r="CD362" s="237">
        <f t="shared" si="470"/>
        <v>43</v>
      </c>
      <c r="CE362" s="253">
        <f t="shared" si="471"/>
        <v>3.5018750000000001</v>
      </c>
      <c r="CF362" s="253" cm="1">
        <f t="array" ref="CF362">$BC362 * IF($AD362&lt;=2,
SUMPRODUCT(INDEX($AL$72:$AN$76,,$AE362), INDEX($AO$72:$AU$76,,$AD362), 1 / ($AV$72:$AV$76*CE362 + (1-$AV$72:$AV$76)*CA362), N($AK$72:$AK$76&gt;$AI362)),
SUMPRODUCT(INDEX($AL$67:$AN$76,,$AE362), INDEX($AO$67:$AU$76,,$AD362), 1 / ($AW$67:$AW$76*CE362 + (1-$AW$67:$AW$76)*CA362), N($AK$67:$AK$76&gt;$AI362))
) / 1000</f>
        <v>0</v>
      </c>
      <c r="CG362" s="250">
        <f t="shared" si="487"/>
        <v>25</v>
      </c>
      <c r="CH362" s="237">
        <f t="shared" si="472"/>
        <v>38</v>
      </c>
      <c r="CI362" s="253">
        <f t="shared" si="473"/>
        <v>4.0666935483870965</v>
      </c>
      <c r="CJ362" s="253" cm="1">
        <f t="array" ref="CJ362">$BC362 * IF($AD362&lt;=2,
SUMPRODUCT(INDEX($AL$67:$AN$71,,$AE362), INDEX($AO$67:$AU$71,,$AD362), 1 / ($AV$67:$AV$71*CI362 + (1-$AV$67:$AV$71)*CE362), N($AK$67:$AK$71&gt;$AI362)),
SUMPRODUCT(INDEX($AL$57:$AN$66,,$AE362), INDEX($AO$57:$AU$66,,$AD362), 1 / ($AW$57:$AW$66*CI362 + (1-$AW$57:$AW$66)*CE362), N($AK$57:$AK$66&gt;$AI362))
) / 1000</f>
        <v>0</v>
      </c>
      <c r="CK362" s="250">
        <f t="shared" si="488"/>
        <v>20</v>
      </c>
      <c r="CL362" s="237">
        <f t="shared" si="474"/>
        <v>33</v>
      </c>
      <c r="CM362" s="253">
        <f t="shared" si="475"/>
        <v>4.8487499999999999</v>
      </c>
      <c r="CN362" s="253" cm="1">
        <f t="array" ref="CN362">$BC362 * IF($AD362&lt;=2,
SUMPRODUCT(INDEX($AL$62:$AN$66,,$AE362), INDEX($AO$62:$AU$66,,$AD362), 1 / ($AV$62:$AV$66*CM362 + (1-$AV$62:$AV$66)*CI362), N($AK$62:$AK$66&gt;$AI362)),
SUMPRODUCT(INDEX($AL$47:$AN$56,,$AE362), INDEX($AO$47:$AU$56,,$AD362), 1 / ($AW$47:$AW$56*CM362 + (1-$AW$47:$AW$56)*CI362), N($AK$47:$AK$56&gt;$AI362))
) / 1000</f>
        <v>0</v>
      </c>
      <c r="CO362" s="253" cm="1">
        <f t="array" ref="CO362">$BC362 * IF($AD362&lt;=2,
SUMPRODUCT(INDEX($AL$23:$AN$61,,$AE362), INDEX($AO$23:$AU$61,,$AD362), 1 / ($AV$23:$AV$61*CM362), N($AK$23:$AK$61&gt;$AI362)),
SUMPRODUCT(INDEX($AL$23:$AN$46,,$AE362), INDEX($AO$23:$AU$46,,$AD362), 1 / ($AW$23:$AW$46*CM362), N($AK$23:$AK$46&gt;$AI362))
) / 1000</f>
        <v>0</v>
      </c>
      <c r="CP362" s="237">
        <f t="shared" si="476"/>
        <v>0</v>
      </c>
      <c r="CQ362" s="210"/>
    </row>
    <row r="363" spans="1:95" s="76" customFormat="1" ht="14.25" customHeight="1" x14ac:dyDescent="0.2">
      <c r="A363" s="238" t="b">
        <f t="shared" si="480"/>
        <v>0</v>
      </c>
      <c r="B363" s="239">
        <v>341</v>
      </c>
      <c r="C363" s="258"/>
      <c r="D363" s="258"/>
      <c r="E363" s="240"/>
      <c r="F363" s="241" t="str">
        <f>IF(ISBLANK(E363), "", VLOOKUP(E363, Z!$A$2:$C$4127, 3, FALSE))</f>
        <v/>
      </c>
      <c r="G363" s="242"/>
      <c r="H363" s="242"/>
      <c r="I363" s="243"/>
      <c r="J363" s="244"/>
      <c r="K363" s="259"/>
      <c r="L363" s="260"/>
      <c r="M363" s="247" t="str" cm="1">
        <f t="array" ref="M363">IF($K363&gt;0, INDEX(Clean,1+AG363,$C$1), "")</f>
        <v/>
      </c>
      <c r="N363" s="245"/>
      <c r="O363" s="245"/>
      <c r="P363" s="246"/>
      <c r="Q363" s="248">
        <f t="shared" si="453"/>
        <v>0</v>
      </c>
      <c r="R363" s="247" t="str" cm="1">
        <f t="array" ref="R363">IF($K363&gt;0, INDEX(Clean,1+AH363,$C$1), "")</f>
        <v/>
      </c>
      <c r="S363" s="245"/>
      <c r="T363" s="245"/>
      <c r="U363" s="246"/>
      <c r="V363" s="248">
        <f t="shared" si="454"/>
        <v>0</v>
      </c>
      <c r="W363" s="261"/>
      <c r="X363" s="258"/>
      <c r="Y363" s="240"/>
      <c r="Z363" s="241" t="str">
        <f>IF(ISBLANK(Y363), "", VLOOKUP(Y363, Z!$A$2:$C$4127, 3, FALSE))</f>
        <v/>
      </c>
      <c r="AA363" s="262"/>
      <c r="AB363" s="249">
        <f t="shared" si="489"/>
        <v>0</v>
      </c>
      <c r="AC363" s="210"/>
      <c r="AD363" s="236">
        <f t="shared" si="477"/>
        <v>1</v>
      </c>
      <c r="AE363" s="236">
        <f t="shared" si="478"/>
        <v>1</v>
      </c>
      <c r="AF363" s="236">
        <f t="shared" si="479"/>
        <v>0</v>
      </c>
      <c r="AG363" s="236">
        <v>1</v>
      </c>
      <c r="AH363" s="236">
        <v>0</v>
      </c>
      <c r="AI363" s="236">
        <f t="shared" si="455"/>
        <v>-100</v>
      </c>
      <c r="AJ363" s="210"/>
      <c r="AK363" s="254"/>
      <c r="AL363" s="254"/>
      <c r="AM363" s="255"/>
      <c r="AN363" s="255"/>
      <c r="AO363" s="255"/>
      <c r="AP363" s="255"/>
      <c r="AQ363" s="255"/>
      <c r="AR363" s="255"/>
      <c r="AS363" s="255"/>
      <c r="AT363" s="255"/>
      <c r="AU363" s="255"/>
      <c r="AV363" s="255"/>
      <c r="AW363" s="255"/>
      <c r="AX363" s="210"/>
      <c r="AY363" s="236" cm="1">
        <f t="array" ref="AY363">INDEX(Use, $AD363, 4)</f>
        <v>7</v>
      </c>
      <c r="AZ363" s="236">
        <f t="shared" si="456"/>
        <v>32</v>
      </c>
      <c r="BA363" s="236">
        <f t="shared" si="481"/>
        <v>13</v>
      </c>
      <c r="BB363" s="236">
        <f t="shared" si="482"/>
        <v>0</v>
      </c>
      <c r="BC363" s="252" cm="1">
        <f t="array" ref="BC363">K363/IF($L363&gt;0, INDEX($AO$23:$AU$77, $L363+20, $AD363), 1)</f>
        <v>0</v>
      </c>
      <c r="BD363" s="237">
        <f t="shared" si="457"/>
        <v>0</v>
      </c>
      <c r="BE363" s="236">
        <v>35</v>
      </c>
      <c r="BF363" s="237">
        <f t="shared" si="458"/>
        <v>52.55</v>
      </c>
      <c r="BG363" s="253">
        <f t="shared" si="459"/>
        <v>2.7676728869374316</v>
      </c>
      <c r="BH363" s="253" cm="1">
        <f t="array" ref="BH363">$BC363 * SUMPRODUCT(INDEX($AL$77:$AN$82,,$AE363),INDEX($AO$77:$AU$82,,$AD363), N($AK$77:$AK$82&gt;$AI363)) / BG363 / 1000</f>
        <v>0</v>
      </c>
      <c r="BI363" s="250">
        <f t="shared" si="483"/>
        <v>30</v>
      </c>
      <c r="BJ363" s="237">
        <f t="shared" si="460"/>
        <v>46.033333333333331</v>
      </c>
      <c r="BK363" s="253">
        <f t="shared" si="461"/>
        <v>3.2297395388556791</v>
      </c>
      <c r="BL363" s="253" cm="1">
        <f t="array" ref="BL363">$BC363 * IF($AD363&lt;=2,
SUMPRODUCT(INDEX($AL$72:$AN$76,,$AE363), INDEX($AO$72:$AU$76,,$AD363), 1 / ($AV$72:$AV$76*BK363 + (1-$AV$72:$AV$76)*BG363), N($AK$72:$AK$76&gt;$AI363)),
SUMPRODUCT(INDEX($AL$67:$AN$76,,$AE363), INDEX($AO$67:$AU$76,,$AD363), 1 / ($AW$67:$AW$76*BK363 + (1-$AW$67:$AW$76)*BG363), N($AK$67:$AK$76&gt;$AI363))
) / 1000</f>
        <v>0</v>
      </c>
      <c r="BM363" s="250">
        <f t="shared" si="484"/>
        <v>25</v>
      </c>
      <c r="BN363" s="237">
        <f t="shared" si="462"/>
        <v>39.516666666666666</v>
      </c>
      <c r="BO363" s="253">
        <f t="shared" si="463"/>
        <v>3.877011788826243</v>
      </c>
      <c r="BP363" s="253" cm="1">
        <f t="array" ref="BP363">$BC363 * IF($AD363&lt;=2,
SUMPRODUCT(INDEX($AL$67:$AN$71,,$AE363), INDEX($AO$67:$AU$71,,$AD363), 1 / ($AV$67:$AV$71*BO363 + (1-$AV$67:$AV$71)*BK363), N($AK$67:$AK$71&gt;$AI363)),
SUMPRODUCT(INDEX($AL$57:$AN$66,,$AE363), INDEX($AO$57:$AU$66,,$AD363), 1 / ($AW$57:$AW$66*BO363 + (1-$AW$57:$AW$66)*BK363), N($AK$57:$AK$66&gt;$AI363))
) / 1000</f>
        <v>0</v>
      </c>
      <c r="BQ363" s="250">
        <f t="shared" si="485"/>
        <v>20</v>
      </c>
      <c r="BR363" s="237">
        <f t="shared" si="464"/>
        <v>33</v>
      </c>
      <c r="BS363" s="253">
        <f t="shared" si="465"/>
        <v>4.8487499999999999</v>
      </c>
      <c r="BT363" s="253" cm="1">
        <f t="array" ref="BT363">$BC363 * IF($AD363&lt;=2,
SUMPRODUCT(INDEX($AL$62:$AN$66,,$AE363), INDEX($AO$62:$AU$66,,$AD363), 1 / ($AV$62:$AV$66*BS363 + (1-$AV$62:$AV$66)*BO363), N($AK$62:$AK$66&gt;$AI363)),
SUMPRODUCT(INDEX($AL$47:$AN$56,,$AE363), INDEX($AO$47:$AU$56,,$AD363), 1 / ($AW$47:$AW$56*BS363 + (1-$AW$47:$AW$56)*BO363), N($AK$47:$AK$56&gt;$AI363))
) / 1000</f>
        <v>0</v>
      </c>
      <c r="BU363" s="253" cm="1">
        <f t="array" ref="BU363">$BC363 * IF($AD363&lt;=2,
SUMPRODUCT(INDEX($AL$23:$AN$61,,$AE363), INDEX($AO$23:$AU$61,,$AD363), 1 / ($AV$23:$AV$61*BS363), N($AK$23:$AK$61&gt;$AI363)),
SUMPRODUCT(INDEX($AL$23:$AN$46,,$AE363), INDEX($AO$23:$AU$46,,$AD363), 1 / ($AW$23:$AW$46*BS363), N($AK$23:$AK$46&gt;$AI363))
) / 1000</f>
        <v>0</v>
      </c>
      <c r="BV363" s="237">
        <f t="shared" si="466"/>
        <v>0</v>
      </c>
      <c r="BW363" s="210"/>
      <c r="BX363" s="237">
        <f t="shared" si="467"/>
        <v>0</v>
      </c>
      <c r="BY363" s="236">
        <v>35</v>
      </c>
      <c r="BZ363" s="237">
        <f t="shared" si="468"/>
        <v>48</v>
      </c>
      <c r="CA363" s="253">
        <f t="shared" si="469"/>
        <v>3.0748170731707316</v>
      </c>
      <c r="CB363" s="253" cm="1">
        <f t="array" ref="CB363">$BC363 * SUMPRODUCT(INDEX($AL$77:$AN$82,,$AE363),INDEX($AO$77:$AU$82,,$AD363), N($AK$77:$AK$82&gt;$AI363)) / CA363 / 1000</f>
        <v>0</v>
      </c>
      <c r="CC363" s="250">
        <f t="shared" si="486"/>
        <v>30</v>
      </c>
      <c r="CD363" s="237">
        <f t="shared" si="470"/>
        <v>43</v>
      </c>
      <c r="CE363" s="253">
        <f t="shared" si="471"/>
        <v>3.5018750000000001</v>
      </c>
      <c r="CF363" s="253" cm="1">
        <f t="array" ref="CF363">$BC363 * IF($AD363&lt;=2,
SUMPRODUCT(INDEX($AL$72:$AN$76,,$AE363), INDEX($AO$72:$AU$76,,$AD363), 1 / ($AV$72:$AV$76*CE363 + (1-$AV$72:$AV$76)*CA363), N($AK$72:$AK$76&gt;$AI363)),
SUMPRODUCT(INDEX($AL$67:$AN$76,,$AE363), INDEX($AO$67:$AU$76,,$AD363), 1 / ($AW$67:$AW$76*CE363 + (1-$AW$67:$AW$76)*CA363), N($AK$67:$AK$76&gt;$AI363))
) / 1000</f>
        <v>0</v>
      </c>
      <c r="CG363" s="250">
        <f t="shared" si="487"/>
        <v>25</v>
      </c>
      <c r="CH363" s="237">
        <f t="shared" si="472"/>
        <v>38</v>
      </c>
      <c r="CI363" s="253">
        <f t="shared" si="473"/>
        <v>4.0666935483870965</v>
      </c>
      <c r="CJ363" s="253" cm="1">
        <f t="array" ref="CJ363">$BC363 * IF($AD363&lt;=2,
SUMPRODUCT(INDEX($AL$67:$AN$71,,$AE363), INDEX($AO$67:$AU$71,,$AD363), 1 / ($AV$67:$AV$71*CI363 + (1-$AV$67:$AV$71)*CE363), N($AK$67:$AK$71&gt;$AI363)),
SUMPRODUCT(INDEX($AL$57:$AN$66,,$AE363), INDEX($AO$57:$AU$66,,$AD363), 1 / ($AW$57:$AW$66*CI363 + (1-$AW$57:$AW$66)*CE363), N($AK$57:$AK$66&gt;$AI363))
) / 1000</f>
        <v>0</v>
      </c>
      <c r="CK363" s="250">
        <f t="shared" si="488"/>
        <v>20</v>
      </c>
      <c r="CL363" s="237">
        <f t="shared" si="474"/>
        <v>33</v>
      </c>
      <c r="CM363" s="253">
        <f t="shared" si="475"/>
        <v>4.8487499999999999</v>
      </c>
      <c r="CN363" s="253" cm="1">
        <f t="array" ref="CN363">$BC363 * IF($AD363&lt;=2,
SUMPRODUCT(INDEX($AL$62:$AN$66,,$AE363), INDEX($AO$62:$AU$66,,$AD363), 1 / ($AV$62:$AV$66*CM363 + (1-$AV$62:$AV$66)*CI363), N($AK$62:$AK$66&gt;$AI363)),
SUMPRODUCT(INDEX($AL$47:$AN$56,,$AE363), INDEX($AO$47:$AU$56,,$AD363), 1 / ($AW$47:$AW$56*CM363 + (1-$AW$47:$AW$56)*CI363), N($AK$47:$AK$56&gt;$AI363))
) / 1000</f>
        <v>0</v>
      </c>
      <c r="CO363" s="253" cm="1">
        <f t="array" ref="CO363">$BC363 * IF($AD363&lt;=2,
SUMPRODUCT(INDEX($AL$23:$AN$61,,$AE363), INDEX($AO$23:$AU$61,,$AD363), 1 / ($AV$23:$AV$61*CM363), N($AK$23:$AK$61&gt;$AI363)),
SUMPRODUCT(INDEX($AL$23:$AN$46,,$AE363), INDEX($AO$23:$AU$46,,$AD363), 1 / ($AW$23:$AW$46*CM363), N($AK$23:$AK$46&gt;$AI363))
) / 1000</f>
        <v>0</v>
      </c>
      <c r="CP363" s="237">
        <f t="shared" si="476"/>
        <v>0</v>
      </c>
      <c r="CQ363" s="210"/>
    </row>
    <row r="364" spans="1:95" s="76" customFormat="1" ht="14.25" customHeight="1" x14ac:dyDescent="0.2">
      <c r="A364" s="238" t="b">
        <f t="shared" si="480"/>
        <v>0</v>
      </c>
      <c r="B364" s="239">
        <v>342</v>
      </c>
      <c r="C364" s="258"/>
      <c r="D364" s="258"/>
      <c r="E364" s="240"/>
      <c r="F364" s="241" t="str">
        <f>IF(ISBLANK(E364), "", VLOOKUP(E364, Z!$A$2:$C$4127, 3, FALSE))</f>
        <v/>
      </c>
      <c r="G364" s="242"/>
      <c r="H364" s="242"/>
      <c r="I364" s="243"/>
      <c r="J364" s="244"/>
      <c r="K364" s="259"/>
      <c r="L364" s="260"/>
      <c r="M364" s="247" t="str" cm="1">
        <f t="array" ref="M364">IF($K364&gt;0, INDEX(Clean,1+AG364,$C$1), "")</f>
        <v/>
      </c>
      <c r="N364" s="245"/>
      <c r="O364" s="245"/>
      <c r="P364" s="246"/>
      <c r="Q364" s="248">
        <f t="shared" si="453"/>
        <v>0</v>
      </c>
      <c r="R364" s="247" t="str" cm="1">
        <f t="array" ref="R364">IF($K364&gt;0, INDEX(Clean,1+AH364,$C$1), "")</f>
        <v/>
      </c>
      <c r="S364" s="245"/>
      <c r="T364" s="245"/>
      <c r="U364" s="246"/>
      <c r="V364" s="248">
        <f t="shared" si="454"/>
        <v>0</v>
      </c>
      <c r="W364" s="261"/>
      <c r="X364" s="258"/>
      <c r="Y364" s="240"/>
      <c r="Z364" s="241" t="str">
        <f>IF(ISBLANK(Y364), "", VLOOKUP(Y364, Z!$A$2:$C$4127, 3, FALSE))</f>
        <v/>
      </c>
      <c r="AA364" s="262"/>
      <c r="AB364" s="249">
        <f t="shared" si="489"/>
        <v>0</v>
      </c>
      <c r="AC364" s="210"/>
      <c r="AD364" s="236">
        <f t="shared" si="477"/>
        <v>1</v>
      </c>
      <c r="AE364" s="236">
        <f t="shared" si="478"/>
        <v>1</v>
      </c>
      <c r="AF364" s="236">
        <f t="shared" si="479"/>
        <v>0</v>
      </c>
      <c r="AG364" s="236">
        <v>1</v>
      </c>
      <c r="AH364" s="236">
        <v>0</v>
      </c>
      <c r="AI364" s="236">
        <f t="shared" si="455"/>
        <v>-100</v>
      </c>
      <c r="AJ364" s="210"/>
      <c r="AK364" s="254"/>
      <c r="AL364" s="254"/>
      <c r="AM364" s="255"/>
      <c r="AN364" s="255"/>
      <c r="AO364" s="255"/>
      <c r="AP364" s="255"/>
      <c r="AQ364" s="255"/>
      <c r="AR364" s="255"/>
      <c r="AS364" s="255"/>
      <c r="AT364" s="255"/>
      <c r="AU364" s="255"/>
      <c r="AV364" s="255"/>
      <c r="AW364" s="255"/>
      <c r="AX364" s="210"/>
      <c r="AY364" s="236" cm="1">
        <f t="array" ref="AY364">INDEX(Use, $AD364, 4)</f>
        <v>7</v>
      </c>
      <c r="AZ364" s="236">
        <f t="shared" si="456"/>
        <v>32</v>
      </c>
      <c r="BA364" s="236">
        <f t="shared" si="481"/>
        <v>13</v>
      </c>
      <c r="BB364" s="236">
        <f t="shared" si="482"/>
        <v>0</v>
      </c>
      <c r="BC364" s="252" cm="1">
        <f t="array" ref="BC364">K364/IF($L364&gt;0, INDEX($AO$23:$AU$77, $L364+20, $AD364), 1)</f>
        <v>0</v>
      </c>
      <c r="BD364" s="237">
        <f t="shared" si="457"/>
        <v>0</v>
      </c>
      <c r="BE364" s="236">
        <v>35</v>
      </c>
      <c r="BF364" s="237">
        <f t="shared" si="458"/>
        <v>52.55</v>
      </c>
      <c r="BG364" s="253">
        <f t="shared" si="459"/>
        <v>2.7676728869374316</v>
      </c>
      <c r="BH364" s="253" cm="1">
        <f t="array" ref="BH364">$BC364 * SUMPRODUCT(INDEX($AL$77:$AN$82,,$AE364),INDEX($AO$77:$AU$82,,$AD364), N($AK$77:$AK$82&gt;$AI364)) / BG364 / 1000</f>
        <v>0</v>
      </c>
      <c r="BI364" s="250">
        <f t="shared" si="483"/>
        <v>30</v>
      </c>
      <c r="BJ364" s="237">
        <f t="shared" si="460"/>
        <v>46.033333333333331</v>
      </c>
      <c r="BK364" s="253">
        <f t="shared" si="461"/>
        <v>3.2297395388556791</v>
      </c>
      <c r="BL364" s="253" cm="1">
        <f t="array" ref="BL364">$BC364 * IF($AD364&lt;=2,
SUMPRODUCT(INDEX($AL$72:$AN$76,,$AE364), INDEX($AO$72:$AU$76,,$AD364), 1 / ($AV$72:$AV$76*BK364 + (1-$AV$72:$AV$76)*BG364), N($AK$72:$AK$76&gt;$AI364)),
SUMPRODUCT(INDEX($AL$67:$AN$76,,$AE364), INDEX($AO$67:$AU$76,,$AD364), 1 / ($AW$67:$AW$76*BK364 + (1-$AW$67:$AW$76)*BG364), N($AK$67:$AK$76&gt;$AI364))
) / 1000</f>
        <v>0</v>
      </c>
      <c r="BM364" s="250">
        <f t="shared" si="484"/>
        <v>25</v>
      </c>
      <c r="BN364" s="237">
        <f t="shared" si="462"/>
        <v>39.516666666666666</v>
      </c>
      <c r="BO364" s="253">
        <f t="shared" si="463"/>
        <v>3.877011788826243</v>
      </c>
      <c r="BP364" s="253" cm="1">
        <f t="array" ref="BP364">$BC364 * IF($AD364&lt;=2,
SUMPRODUCT(INDEX($AL$67:$AN$71,,$AE364), INDEX($AO$67:$AU$71,,$AD364), 1 / ($AV$67:$AV$71*BO364 + (1-$AV$67:$AV$71)*BK364), N($AK$67:$AK$71&gt;$AI364)),
SUMPRODUCT(INDEX($AL$57:$AN$66,,$AE364), INDEX($AO$57:$AU$66,,$AD364), 1 / ($AW$57:$AW$66*BO364 + (1-$AW$57:$AW$66)*BK364), N($AK$57:$AK$66&gt;$AI364))
) / 1000</f>
        <v>0</v>
      </c>
      <c r="BQ364" s="250">
        <f t="shared" si="485"/>
        <v>20</v>
      </c>
      <c r="BR364" s="237">
        <f t="shared" si="464"/>
        <v>33</v>
      </c>
      <c r="BS364" s="253">
        <f t="shared" si="465"/>
        <v>4.8487499999999999</v>
      </c>
      <c r="BT364" s="253" cm="1">
        <f t="array" ref="BT364">$BC364 * IF($AD364&lt;=2,
SUMPRODUCT(INDEX($AL$62:$AN$66,,$AE364), INDEX($AO$62:$AU$66,,$AD364), 1 / ($AV$62:$AV$66*BS364 + (1-$AV$62:$AV$66)*BO364), N($AK$62:$AK$66&gt;$AI364)),
SUMPRODUCT(INDEX($AL$47:$AN$56,,$AE364), INDEX($AO$47:$AU$56,,$AD364), 1 / ($AW$47:$AW$56*BS364 + (1-$AW$47:$AW$56)*BO364), N($AK$47:$AK$56&gt;$AI364))
) / 1000</f>
        <v>0</v>
      </c>
      <c r="BU364" s="253" cm="1">
        <f t="array" ref="BU364">$BC364 * IF($AD364&lt;=2,
SUMPRODUCT(INDEX($AL$23:$AN$61,,$AE364), INDEX($AO$23:$AU$61,,$AD364), 1 / ($AV$23:$AV$61*BS364), N($AK$23:$AK$61&gt;$AI364)),
SUMPRODUCT(INDEX($AL$23:$AN$46,,$AE364), INDEX($AO$23:$AU$46,,$AD364), 1 / ($AW$23:$AW$46*BS364), N($AK$23:$AK$46&gt;$AI364))
) / 1000</f>
        <v>0</v>
      </c>
      <c r="BV364" s="237">
        <f t="shared" si="466"/>
        <v>0</v>
      </c>
      <c r="BW364" s="210"/>
      <c r="BX364" s="237">
        <f t="shared" si="467"/>
        <v>0</v>
      </c>
      <c r="BY364" s="236">
        <v>35</v>
      </c>
      <c r="BZ364" s="237">
        <f t="shared" si="468"/>
        <v>48</v>
      </c>
      <c r="CA364" s="253">
        <f t="shared" si="469"/>
        <v>3.0748170731707316</v>
      </c>
      <c r="CB364" s="253" cm="1">
        <f t="array" ref="CB364">$BC364 * SUMPRODUCT(INDEX($AL$77:$AN$82,,$AE364),INDEX($AO$77:$AU$82,,$AD364), N($AK$77:$AK$82&gt;$AI364)) / CA364 / 1000</f>
        <v>0</v>
      </c>
      <c r="CC364" s="250">
        <f t="shared" si="486"/>
        <v>30</v>
      </c>
      <c r="CD364" s="237">
        <f t="shared" si="470"/>
        <v>43</v>
      </c>
      <c r="CE364" s="253">
        <f t="shared" si="471"/>
        <v>3.5018750000000001</v>
      </c>
      <c r="CF364" s="253" cm="1">
        <f t="array" ref="CF364">$BC364 * IF($AD364&lt;=2,
SUMPRODUCT(INDEX($AL$72:$AN$76,,$AE364), INDEX($AO$72:$AU$76,,$AD364), 1 / ($AV$72:$AV$76*CE364 + (1-$AV$72:$AV$76)*CA364), N($AK$72:$AK$76&gt;$AI364)),
SUMPRODUCT(INDEX($AL$67:$AN$76,,$AE364), INDEX($AO$67:$AU$76,,$AD364), 1 / ($AW$67:$AW$76*CE364 + (1-$AW$67:$AW$76)*CA364), N($AK$67:$AK$76&gt;$AI364))
) / 1000</f>
        <v>0</v>
      </c>
      <c r="CG364" s="250">
        <f t="shared" si="487"/>
        <v>25</v>
      </c>
      <c r="CH364" s="237">
        <f t="shared" si="472"/>
        <v>38</v>
      </c>
      <c r="CI364" s="253">
        <f t="shared" si="473"/>
        <v>4.0666935483870965</v>
      </c>
      <c r="CJ364" s="253" cm="1">
        <f t="array" ref="CJ364">$BC364 * IF($AD364&lt;=2,
SUMPRODUCT(INDEX($AL$67:$AN$71,,$AE364), INDEX($AO$67:$AU$71,,$AD364), 1 / ($AV$67:$AV$71*CI364 + (1-$AV$67:$AV$71)*CE364), N($AK$67:$AK$71&gt;$AI364)),
SUMPRODUCT(INDEX($AL$57:$AN$66,,$AE364), INDEX($AO$57:$AU$66,,$AD364), 1 / ($AW$57:$AW$66*CI364 + (1-$AW$57:$AW$66)*CE364), N($AK$57:$AK$66&gt;$AI364))
) / 1000</f>
        <v>0</v>
      </c>
      <c r="CK364" s="250">
        <f t="shared" si="488"/>
        <v>20</v>
      </c>
      <c r="CL364" s="237">
        <f t="shared" si="474"/>
        <v>33</v>
      </c>
      <c r="CM364" s="253">
        <f t="shared" si="475"/>
        <v>4.8487499999999999</v>
      </c>
      <c r="CN364" s="253" cm="1">
        <f t="array" ref="CN364">$BC364 * IF($AD364&lt;=2,
SUMPRODUCT(INDEX($AL$62:$AN$66,,$AE364), INDEX($AO$62:$AU$66,,$AD364), 1 / ($AV$62:$AV$66*CM364 + (1-$AV$62:$AV$66)*CI364), N($AK$62:$AK$66&gt;$AI364)),
SUMPRODUCT(INDEX($AL$47:$AN$56,,$AE364), INDEX($AO$47:$AU$56,,$AD364), 1 / ($AW$47:$AW$56*CM364 + (1-$AW$47:$AW$56)*CI364), N($AK$47:$AK$56&gt;$AI364))
) / 1000</f>
        <v>0</v>
      </c>
      <c r="CO364" s="253" cm="1">
        <f t="array" ref="CO364">$BC364 * IF($AD364&lt;=2,
SUMPRODUCT(INDEX($AL$23:$AN$61,,$AE364), INDEX($AO$23:$AU$61,,$AD364), 1 / ($AV$23:$AV$61*CM364), N($AK$23:$AK$61&gt;$AI364)),
SUMPRODUCT(INDEX($AL$23:$AN$46,,$AE364), INDEX($AO$23:$AU$46,,$AD364), 1 / ($AW$23:$AW$46*CM364), N($AK$23:$AK$46&gt;$AI364))
) / 1000</f>
        <v>0</v>
      </c>
      <c r="CP364" s="237">
        <f t="shared" si="476"/>
        <v>0</v>
      </c>
      <c r="CQ364" s="210"/>
    </row>
    <row r="365" spans="1:95" s="76" customFormat="1" ht="14.25" customHeight="1" x14ac:dyDescent="0.2">
      <c r="A365" s="238" t="b">
        <f t="shared" si="480"/>
        <v>0</v>
      </c>
      <c r="B365" s="239">
        <v>343</v>
      </c>
      <c r="C365" s="258"/>
      <c r="D365" s="258"/>
      <c r="E365" s="240"/>
      <c r="F365" s="241" t="str">
        <f>IF(ISBLANK(E365), "", VLOOKUP(E365, Z!$A$2:$C$4127, 3, FALSE))</f>
        <v/>
      </c>
      <c r="G365" s="242"/>
      <c r="H365" s="242"/>
      <c r="I365" s="243"/>
      <c r="J365" s="244"/>
      <c r="K365" s="259"/>
      <c r="L365" s="260"/>
      <c r="M365" s="247" t="str" cm="1">
        <f t="array" ref="M365">IF($K365&gt;0, INDEX(Clean,1+AG365,$C$1), "")</f>
        <v/>
      </c>
      <c r="N365" s="245"/>
      <c r="O365" s="245"/>
      <c r="P365" s="246"/>
      <c r="Q365" s="248">
        <f t="shared" si="453"/>
        <v>0</v>
      </c>
      <c r="R365" s="247" t="str" cm="1">
        <f t="array" ref="R365">IF($K365&gt;0, INDEX(Clean,1+AH365,$C$1), "")</f>
        <v/>
      </c>
      <c r="S365" s="245"/>
      <c r="T365" s="245"/>
      <c r="U365" s="246"/>
      <c r="V365" s="248">
        <f t="shared" si="454"/>
        <v>0</v>
      </c>
      <c r="W365" s="261"/>
      <c r="X365" s="258"/>
      <c r="Y365" s="240"/>
      <c r="Z365" s="241" t="str">
        <f>IF(ISBLANK(Y365), "", VLOOKUP(Y365, Z!$A$2:$C$4127, 3, FALSE))</f>
        <v/>
      </c>
      <c r="AA365" s="262"/>
      <c r="AB365" s="249">
        <f t="shared" si="489"/>
        <v>0</v>
      </c>
      <c r="AC365" s="210"/>
      <c r="AD365" s="236">
        <f t="shared" si="477"/>
        <v>1</v>
      </c>
      <c r="AE365" s="236">
        <f t="shared" si="478"/>
        <v>1</v>
      </c>
      <c r="AF365" s="236">
        <f t="shared" si="479"/>
        <v>0</v>
      </c>
      <c r="AG365" s="236">
        <v>1</v>
      </c>
      <c r="AH365" s="236">
        <v>0</v>
      </c>
      <c r="AI365" s="236">
        <f t="shared" si="455"/>
        <v>-100</v>
      </c>
      <c r="AJ365" s="210"/>
      <c r="AK365" s="254"/>
      <c r="AL365" s="254"/>
      <c r="AM365" s="255"/>
      <c r="AN365" s="255"/>
      <c r="AO365" s="255"/>
      <c r="AP365" s="255"/>
      <c r="AQ365" s="255"/>
      <c r="AR365" s="255"/>
      <c r="AS365" s="255"/>
      <c r="AT365" s="255"/>
      <c r="AU365" s="255"/>
      <c r="AV365" s="255"/>
      <c r="AW365" s="255"/>
      <c r="AX365" s="210"/>
      <c r="AY365" s="236" cm="1">
        <f t="array" ref="AY365">INDEX(Use, $AD365, 4)</f>
        <v>7</v>
      </c>
      <c r="AZ365" s="236">
        <f t="shared" si="456"/>
        <v>32</v>
      </c>
      <c r="BA365" s="236">
        <f t="shared" si="481"/>
        <v>13</v>
      </c>
      <c r="BB365" s="236">
        <f t="shared" si="482"/>
        <v>0</v>
      </c>
      <c r="BC365" s="252" cm="1">
        <f t="array" ref="BC365">K365/IF($L365&gt;0, INDEX($AO$23:$AU$77, $L365+20, $AD365), 1)</f>
        <v>0</v>
      </c>
      <c r="BD365" s="237">
        <f t="shared" si="457"/>
        <v>0</v>
      </c>
      <c r="BE365" s="236">
        <v>35</v>
      </c>
      <c r="BF365" s="237">
        <f t="shared" si="458"/>
        <v>52.55</v>
      </c>
      <c r="BG365" s="253">
        <f t="shared" si="459"/>
        <v>2.7676728869374316</v>
      </c>
      <c r="BH365" s="253" cm="1">
        <f t="array" ref="BH365">$BC365 * SUMPRODUCT(INDEX($AL$77:$AN$82,,$AE365),INDEX($AO$77:$AU$82,,$AD365), N($AK$77:$AK$82&gt;$AI365)) / BG365 / 1000</f>
        <v>0</v>
      </c>
      <c r="BI365" s="250">
        <f t="shared" si="483"/>
        <v>30</v>
      </c>
      <c r="BJ365" s="237">
        <f t="shared" si="460"/>
        <v>46.033333333333331</v>
      </c>
      <c r="BK365" s="253">
        <f t="shared" si="461"/>
        <v>3.2297395388556791</v>
      </c>
      <c r="BL365" s="253" cm="1">
        <f t="array" ref="BL365">$BC365 * IF($AD365&lt;=2,
SUMPRODUCT(INDEX($AL$72:$AN$76,,$AE365), INDEX($AO$72:$AU$76,,$AD365), 1 / ($AV$72:$AV$76*BK365 + (1-$AV$72:$AV$76)*BG365), N($AK$72:$AK$76&gt;$AI365)),
SUMPRODUCT(INDEX($AL$67:$AN$76,,$AE365), INDEX($AO$67:$AU$76,,$AD365), 1 / ($AW$67:$AW$76*BK365 + (1-$AW$67:$AW$76)*BG365), N($AK$67:$AK$76&gt;$AI365))
) / 1000</f>
        <v>0</v>
      </c>
      <c r="BM365" s="250">
        <f t="shared" si="484"/>
        <v>25</v>
      </c>
      <c r="BN365" s="237">
        <f t="shared" si="462"/>
        <v>39.516666666666666</v>
      </c>
      <c r="BO365" s="253">
        <f t="shared" si="463"/>
        <v>3.877011788826243</v>
      </c>
      <c r="BP365" s="253" cm="1">
        <f t="array" ref="BP365">$BC365 * IF($AD365&lt;=2,
SUMPRODUCT(INDEX($AL$67:$AN$71,,$AE365), INDEX($AO$67:$AU$71,,$AD365), 1 / ($AV$67:$AV$71*BO365 + (1-$AV$67:$AV$71)*BK365), N($AK$67:$AK$71&gt;$AI365)),
SUMPRODUCT(INDEX($AL$57:$AN$66,,$AE365), INDEX($AO$57:$AU$66,,$AD365), 1 / ($AW$57:$AW$66*BO365 + (1-$AW$57:$AW$66)*BK365), N($AK$57:$AK$66&gt;$AI365))
) / 1000</f>
        <v>0</v>
      </c>
      <c r="BQ365" s="250">
        <f t="shared" si="485"/>
        <v>20</v>
      </c>
      <c r="BR365" s="237">
        <f t="shared" si="464"/>
        <v>33</v>
      </c>
      <c r="BS365" s="253">
        <f t="shared" si="465"/>
        <v>4.8487499999999999</v>
      </c>
      <c r="BT365" s="253" cm="1">
        <f t="array" ref="BT365">$BC365 * IF($AD365&lt;=2,
SUMPRODUCT(INDEX($AL$62:$AN$66,,$AE365), INDEX($AO$62:$AU$66,,$AD365), 1 / ($AV$62:$AV$66*BS365 + (1-$AV$62:$AV$66)*BO365), N($AK$62:$AK$66&gt;$AI365)),
SUMPRODUCT(INDEX($AL$47:$AN$56,,$AE365), INDEX($AO$47:$AU$56,,$AD365), 1 / ($AW$47:$AW$56*BS365 + (1-$AW$47:$AW$56)*BO365), N($AK$47:$AK$56&gt;$AI365))
) / 1000</f>
        <v>0</v>
      </c>
      <c r="BU365" s="253" cm="1">
        <f t="array" ref="BU365">$BC365 * IF($AD365&lt;=2,
SUMPRODUCT(INDEX($AL$23:$AN$61,,$AE365), INDEX($AO$23:$AU$61,,$AD365), 1 / ($AV$23:$AV$61*BS365), N($AK$23:$AK$61&gt;$AI365)),
SUMPRODUCT(INDEX($AL$23:$AN$46,,$AE365), INDEX($AO$23:$AU$46,,$AD365), 1 / ($AW$23:$AW$46*BS365), N($AK$23:$AK$46&gt;$AI365))
) / 1000</f>
        <v>0</v>
      </c>
      <c r="BV365" s="237">
        <f t="shared" si="466"/>
        <v>0</v>
      </c>
      <c r="BW365" s="210"/>
      <c r="BX365" s="237">
        <f t="shared" si="467"/>
        <v>0</v>
      </c>
      <c r="BY365" s="236">
        <v>35</v>
      </c>
      <c r="BZ365" s="237">
        <f t="shared" si="468"/>
        <v>48</v>
      </c>
      <c r="CA365" s="253">
        <f t="shared" si="469"/>
        <v>3.0748170731707316</v>
      </c>
      <c r="CB365" s="253" cm="1">
        <f t="array" ref="CB365">$BC365 * SUMPRODUCT(INDEX($AL$77:$AN$82,,$AE365),INDEX($AO$77:$AU$82,,$AD365), N($AK$77:$AK$82&gt;$AI365)) / CA365 / 1000</f>
        <v>0</v>
      </c>
      <c r="CC365" s="250">
        <f t="shared" si="486"/>
        <v>30</v>
      </c>
      <c r="CD365" s="237">
        <f t="shared" si="470"/>
        <v>43</v>
      </c>
      <c r="CE365" s="253">
        <f t="shared" si="471"/>
        <v>3.5018750000000001</v>
      </c>
      <c r="CF365" s="253" cm="1">
        <f t="array" ref="CF365">$BC365 * IF($AD365&lt;=2,
SUMPRODUCT(INDEX($AL$72:$AN$76,,$AE365), INDEX($AO$72:$AU$76,,$AD365), 1 / ($AV$72:$AV$76*CE365 + (1-$AV$72:$AV$76)*CA365), N($AK$72:$AK$76&gt;$AI365)),
SUMPRODUCT(INDEX($AL$67:$AN$76,,$AE365), INDEX($AO$67:$AU$76,,$AD365), 1 / ($AW$67:$AW$76*CE365 + (1-$AW$67:$AW$76)*CA365), N($AK$67:$AK$76&gt;$AI365))
) / 1000</f>
        <v>0</v>
      </c>
      <c r="CG365" s="250">
        <f t="shared" si="487"/>
        <v>25</v>
      </c>
      <c r="CH365" s="237">
        <f t="shared" si="472"/>
        <v>38</v>
      </c>
      <c r="CI365" s="253">
        <f t="shared" si="473"/>
        <v>4.0666935483870965</v>
      </c>
      <c r="CJ365" s="253" cm="1">
        <f t="array" ref="CJ365">$BC365 * IF($AD365&lt;=2,
SUMPRODUCT(INDEX($AL$67:$AN$71,,$AE365), INDEX($AO$67:$AU$71,,$AD365), 1 / ($AV$67:$AV$71*CI365 + (1-$AV$67:$AV$71)*CE365), N($AK$67:$AK$71&gt;$AI365)),
SUMPRODUCT(INDEX($AL$57:$AN$66,,$AE365), INDEX($AO$57:$AU$66,,$AD365), 1 / ($AW$57:$AW$66*CI365 + (1-$AW$57:$AW$66)*CE365), N($AK$57:$AK$66&gt;$AI365))
) / 1000</f>
        <v>0</v>
      </c>
      <c r="CK365" s="250">
        <f t="shared" si="488"/>
        <v>20</v>
      </c>
      <c r="CL365" s="237">
        <f t="shared" si="474"/>
        <v>33</v>
      </c>
      <c r="CM365" s="253">
        <f t="shared" si="475"/>
        <v>4.8487499999999999</v>
      </c>
      <c r="CN365" s="253" cm="1">
        <f t="array" ref="CN365">$BC365 * IF($AD365&lt;=2,
SUMPRODUCT(INDEX($AL$62:$AN$66,,$AE365), INDEX($AO$62:$AU$66,,$AD365), 1 / ($AV$62:$AV$66*CM365 + (1-$AV$62:$AV$66)*CI365), N($AK$62:$AK$66&gt;$AI365)),
SUMPRODUCT(INDEX($AL$47:$AN$56,,$AE365), INDEX($AO$47:$AU$56,,$AD365), 1 / ($AW$47:$AW$56*CM365 + (1-$AW$47:$AW$56)*CI365), N($AK$47:$AK$56&gt;$AI365))
) / 1000</f>
        <v>0</v>
      </c>
      <c r="CO365" s="253" cm="1">
        <f t="array" ref="CO365">$BC365 * IF($AD365&lt;=2,
SUMPRODUCT(INDEX($AL$23:$AN$61,,$AE365), INDEX($AO$23:$AU$61,,$AD365), 1 / ($AV$23:$AV$61*CM365), N($AK$23:$AK$61&gt;$AI365)),
SUMPRODUCT(INDEX($AL$23:$AN$46,,$AE365), INDEX($AO$23:$AU$46,,$AD365), 1 / ($AW$23:$AW$46*CM365), N($AK$23:$AK$46&gt;$AI365))
) / 1000</f>
        <v>0</v>
      </c>
      <c r="CP365" s="237">
        <f t="shared" si="476"/>
        <v>0</v>
      </c>
      <c r="CQ365" s="210"/>
    </row>
    <row r="366" spans="1:95" s="76" customFormat="1" ht="14.25" customHeight="1" x14ac:dyDescent="0.2">
      <c r="A366" s="238" t="b">
        <f t="shared" si="480"/>
        <v>0</v>
      </c>
      <c r="B366" s="239">
        <v>344</v>
      </c>
      <c r="C366" s="258"/>
      <c r="D366" s="258"/>
      <c r="E366" s="240"/>
      <c r="F366" s="241" t="str">
        <f>IF(ISBLANK(E366), "", VLOOKUP(E366, Z!$A$2:$C$4127, 3, FALSE))</f>
        <v/>
      </c>
      <c r="G366" s="242"/>
      <c r="H366" s="242"/>
      <c r="I366" s="243"/>
      <c r="J366" s="244"/>
      <c r="K366" s="259"/>
      <c r="L366" s="260"/>
      <c r="M366" s="247" t="str" cm="1">
        <f t="array" ref="M366">IF($K366&gt;0, INDEX(Clean,1+AG366,$C$1), "")</f>
        <v/>
      </c>
      <c r="N366" s="245"/>
      <c r="O366" s="245"/>
      <c r="P366" s="246"/>
      <c r="Q366" s="248">
        <f t="shared" si="453"/>
        <v>0</v>
      </c>
      <c r="R366" s="247" t="str" cm="1">
        <f t="array" ref="R366">IF($K366&gt;0, INDEX(Clean,1+AH366,$C$1), "")</f>
        <v/>
      </c>
      <c r="S366" s="245"/>
      <c r="T366" s="245"/>
      <c r="U366" s="246"/>
      <c r="V366" s="248">
        <f t="shared" si="454"/>
        <v>0</v>
      </c>
      <c r="W366" s="261"/>
      <c r="X366" s="258"/>
      <c r="Y366" s="240"/>
      <c r="Z366" s="241" t="str">
        <f>IF(ISBLANK(Y366), "", VLOOKUP(Y366, Z!$A$2:$C$4127, 3, FALSE))</f>
        <v/>
      </c>
      <c r="AA366" s="262"/>
      <c r="AB366" s="249">
        <f t="shared" si="489"/>
        <v>0</v>
      </c>
      <c r="AC366" s="210"/>
      <c r="AD366" s="236">
        <f t="shared" si="477"/>
        <v>1</v>
      </c>
      <c r="AE366" s="236">
        <f t="shared" si="478"/>
        <v>1</v>
      </c>
      <c r="AF366" s="236">
        <f t="shared" si="479"/>
        <v>0</v>
      </c>
      <c r="AG366" s="236">
        <v>1</v>
      </c>
      <c r="AH366" s="236">
        <v>0</v>
      </c>
      <c r="AI366" s="236">
        <f t="shared" si="455"/>
        <v>-100</v>
      </c>
      <c r="AJ366" s="210"/>
      <c r="AK366" s="254"/>
      <c r="AL366" s="254"/>
      <c r="AM366" s="255"/>
      <c r="AN366" s="255"/>
      <c r="AO366" s="255"/>
      <c r="AP366" s="255"/>
      <c r="AQ366" s="255"/>
      <c r="AR366" s="255"/>
      <c r="AS366" s="255"/>
      <c r="AT366" s="255"/>
      <c r="AU366" s="255"/>
      <c r="AV366" s="255"/>
      <c r="AW366" s="255"/>
      <c r="AX366" s="210"/>
      <c r="AY366" s="236" cm="1">
        <f t="array" ref="AY366">INDEX(Use, $AD366, 4)</f>
        <v>7</v>
      </c>
      <c r="AZ366" s="236">
        <f t="shared" si="456"/>
        <v>32</v>
      </c>
      <c r="BA366" s="236">
        <f t="shared" si="481"/>
        <v>13</v>
      </c>
      <c r="BB366" s="236">
        <f t="shared" si="482"/>
        <v>0</v>
      </c>
      <c r="BC366" s="252" cm="1">
        <f t="array" ref="BC366">K366/IF($L366&gt;0, INDEX($AO$23:$AU$77, $L366+20, $AD366), 1)</f>
        <v>0</v>
      </c>
      <c r="BD366" s="237">
        <f t="shared" si="457"/>
        <v>0</v>
      </c>
      <c r="BE366" s="236">
        <v>35</v>
      </c>
      <c r="BF366" s="237">
        <f t="shared" si="458"/>
        <v>52.55</v>
      </c>
      <c r="BG366" s="253">
        <f t="shared" si="459"/>
        <v>2.7676728869374316</v>
      </c>
      <c r="BH366" s="253" cm="1">
        <f t="array" ref="BH366">$BC366 * SUMPRODUCT(INDEX($AL$77:$AN$82,,$AE366),INDEX($AO$77:$AU$82,,$AD366), N($AK$77:$AK$82&gt;$AI366)) / BG366 / 1000</f>
        <v>0</v>
      </c>
      <c r="BI366" s="250">
        <f t="shared" si="483"/>
        <v>30</v>
      </c>
      <c r="BJ366" s="237">
        <f t="shared" si="460"/>
        <v>46.033333333333331</v>
      </c>
      <c r="BK366" s="253">
        <f t="shared" si="461"/>
        <v>3.2297395388556791</v>
      </c>
      <c r="BL366" s="253" cm="1">
        <f t="array" ref="BL366">$BC366 * IF($AD366&lt;=2,
SUMPRODUCT(INDEX($AL$72:$AN$76,,$AE366), INDEX($AO$72:$AU$76,,$AD366), 1 / ($AV$72:$AV$76*BK366 + (1-$AV$72:$AV$76)*BG366), N($AK$72:$AK$76&gt;$AI366)),
SUMPRODUCT(INDEX($AL$67:$AN$76,,$AE366), INDEX($AO$67:$AU$76,,$AD366), 1 / ($AW$67:$AW$76*BK366 + (1-$AW$67:$AW$76)*BG366), N($AK$67:$AK$76&gt;$AI366))
) / 1000</f>
        <v>0</v>
      </c>
      <c r="BM366" s="250">
        <f t="shared" si="484"/>
        <v>25</v>
      </c>
      <c r="BN366" s="237">
        <f t="shared" si="462"/>
        <v>39.516666666666666</v>
      </c>
      <c r="BO366" s="253">
        <f t="shared" si="463"/>
        <v>3.877011788826243</v>
      </c>
      <c r="BP366" s="253" cm="1">
        <f t="array" ref="BP366">$BC366 * IF($AD366&lt;=2,
SUMPRODUCT(INDEX($AL$67:$AN$71,,$AE366), INDEX($AO$67:$AU$71,,$AD366), 1 / ($AV$67:$AV$71*BO366 + (1-$AV$67:$AV$71)*BK366), N($AK$67:$AK$71&gt;$AI366)),
SUMPRODUCT(INDEX($AL$57:$AN$66,,$AE366), INDEX($AO$57:$AU$66,,$AD366), 1 / ($AW$57:$AW$66*BO366 + (1-$AW$57:$AW$66)*BK366), N($AK$57:$AK$66&gt;$AI366))
) / 1000</f>
        <v>0</v>
      </c>
      <c r="BQ366" s="250">
        <f t="shared" si="485"/>
        <v>20</v>
      </c>
      <c r="BR366" s="237">
        <f t="shared" si="464"/>
        <v>33</v>
      </c>
      <c r="BS366" s="253">
        <f t="shared" si="465"/>
        <v>4.8487499999999999</v>
      </c>
      <c r="BT366" s="253" cm="1">
        <f t="array" ref="BT366">$BC366 * IF($AD366&lt;=2,
SUMPRODUCT(INDEX($AL$62:$AN$66,,$AE366), INDEX($AO$62:$AU$66,,$AD366), 1 / ($AV$62:$AV$66*BS366 + (1-$AV$62:$AV$66)*BO366), N($AK$62:$AK$66&gt;$AI366)),
SUMPRODUCT(INDEX($AL$47:$AN$56,,$AE366), INDEX($AO$47:$AU$56,,$AD366), 1 / ($AW$47:$AW$56*BS366 + (1-$AW$47:$AW$56)*BO366), N($AK$47:$AK$56&gt;$AI366))
) / 1000</f>
        <v>0</v>
      </c>
      <c r="BU366" s="253" cm="1">
        <f t="array" ref="BU366">$BC366 * IF($AD366&lt;=2,
SUMPRODUCT(INDEX($AL$23:$AN$61,,$AE366), INDEX($AO$23:$AU$61,,$AD366), 1 / ($AV$23:$AV$61*BS366), N($AK$23:$AK$61&gt;$AI366)),
SUMPRODUCT(INDEX($AL$23:$AN$46,,$AE366), INDEX($AO$23:$AU$46,,$AD366), 1 / ($AW$23:$AW$46*BS366), N($AK$23:$AK$46&gt;$AI366))
) / 1000</f>
        <v>0</v>
      </c>
      <c r="BV366" s="237">
        <f t="shared" si="466"/>
        <v>0</v>
      </c>
      <c r="BW366" s="210"/>
      <c r="BX366" s="237">
        <f t="shared" si="467"/>
        <v>0</v>
      </c>
      <c r="BY366" s="236">
        <v>35</v>
      </c>
      <c r="BZ366" s="237">
        <f t="shared" si="468"/>
        <v>48</v>
      </c>
      <c r="CA366" s="253">
        <f t="shared" si="469"/>
        <v>3.0748170731707316</v>
      </c>
      <c r="CB366" s="253" cm="1">
        <f t="array" ref="CB366">$BC366 * SUMPRODUCT(INDEX($AL$77:$AN$82,,$AE366),INDEX($AO$77:$AU$82,,$AD366), N($AK$77:$AK$82&gt;$AI366)) / CA366 / 1000</f>
        <v>0</v>
      </c>
      <c r="CC366" s="250">
        <f t="shared" si="486"/>
        <v>30</v>
      </c>
      <c r="CD366" s="237">
        <f t="shared" si="470"/>
        <v>43</v>
      </c>
      <c r="CE366" s="253">
        <f t="shared" si="471"/>
        <v>3.5018750000000001</v>
      </c>
      <c r="CF366" s="253" cm="1">
        <f t="array" ref="CF366">$BC366 * IF($AD366&lt;=2,
SUMPRODUCT(INDEX($AL$72:$AN$76,,$AE366), INDEX($AO$72:$AU$76,,$AD366), 1 / ($AV$72:$AV$76*CE366 + (1-$AV$72:$AV$76)*CA366), N($AK$72:$AK$76&gt;$AI366)),
SUMPRODUCT(INDEX($AL$67:$AN$76,,$AE366), INDEX($AO$67:$AU$76,,$AD366), 1 / ($AW$67:$AW$76*CE366 + (1-$AW$67:$AW$76)*CA366), N($AK$67:$AK$76&gt;$AI366))
) / 1000</f>
        <v>0</v>
      </c>
      <c r="CG366" s="250">
        <f t="shared" si="487"/>
        <v>25</v>
      </c>
      <c r="CH366" s="237">
        <f t="shared" si="472"/>
        <v>38</v>
      </c>
      <c r="CI366" s="253">
        <f t="shared" si="473"/>
        <v>4.0666935483870965</v>
      </c>
      <c r="CJ366" s="253" cm="1">
        <f t="array" ref="CJ366">$BC366 * IF($AD366&lt;=2,
SUMPRODUCT(INDEX($AL$67:$AN$71,,$AE366), INDEX($AO$67:$AU$71,,$AD366), 1 / ($AV$67:$AV$71*CI366 + (1-$AV$67:$AV$71)*CE366), N($AK$67:$AK$71&gt;$AI366)),
SUMPRODUCT(INDEX($AL$57:$AN$66,,$AE366), INDEX($AO$57:$AU$66,,$AD366), 1 / ($AW$57:$AW$66*CI366 + (1-$AW$57:$AW$66)*CE366), N($AK$57:$AK$66&gt;$AI366))
) / 1000</f>
        <v>0</v>
      </c>
      <c r="CK366" s="250">
        <f t="shared" si="488"/>
        <v>20</v>
      </c>
      <c r="CL366" s="237">
        <f t="shared" si="474"/>
        <v>33</v>
      </c>
      <c r="CM366" s="253">
        <f t="shared" si="475"/>
        <v>4.8487499999999999</v>
      </c>
      <c r="CN366" s="253" cm="1">
        <f t="array" ref="CN366">$BC366 * IF($AD366&lt;=2,
SUMPRODUCT(INDEX($AL$62:$AN$66,,$AE366), INDEX($AO$62:$AU$66,,$AD366), 1 / ($AV$62:$AV$66*CM366 + (1-$AV$62:$AV$66)*CI366), N($AK$62:$AK$66&gt;$AI366)),
SUMPRODUCT(INDEX($AL$47:$AN$56,,$AE366), INDEX($AO$47:$AU$56,,$AD366), 1 / ($AW$47:$AW$56*CM366 + (1-$AW$47:$AW$56)*CI366), N($AK$47:$AK$56&gt;$AI366))
) / 1000</f>
        <v>0</v>
      </c>
      <c r="CO366" s="253" cm="1">
        <f t="array" ref="CO366">$BC366 * IF($AD366&lt;=2,
SUMPRODUCT(INDEX($AL$23:$AN$61,,$AE366), INDEX($AO$23:$AU$61,,$AD366), 1 / ($AV$23:$AV$61*CM366), N($AK$23:$AK$61&gt;$AI366)),
SUMPRODUCT(INDEX($AL$23:$AN$46,,$AE366), INDEX($AO$23:$AU$46,,$AD366), 1 / ($AW$23:$AW$46*CM366), N($AK$23:$AK$46&gt;$AI366))
) / 1000</f>
        <v>0</v>
      </c>
      <c r="CP366" s="237">
        <f t="shared" si="476"/>
        <v>0</v>
      </c>
      <c r="CQ366" s="210"/>
    </row>
    <row r="367" spans="1:95" s="76" customFormat="1" ht="14.25" customHeight="1" x14ac:dyDescent="0.2">
      <c r="A367" s="238" t="b">
        <f t="shared" si="480"/>
        <v>0</v>
      </c>
      <c r="B367" s="239">
        <v>345</v>
      </c>
      <c r="C367" s="258"/>
      <c r="D367" s="258"/>
      <c r="E367" s="240"/>
      <c r="F367" s="241" t="str">
        <f>IF(ISBLANK(E367), "", VLOOKUP(E367, Z!$A$2:$C$4127, 3, FALSE))</f>
        <v/>
      </c>
      <c r="G367" s="242"/>
      <c r="H367" s="242"/>
      <c r="I367" s="243"/>
      <c r="J367" s="244"/>
      <c r="K367" s="259"/>
      <c r="L367" s="260"/>
      <c r="M367" s="247" t="str" cm="1">
        <f t="array" ref="M367">IF($K367&gt;0, INDEX(Clean,1+AG367,$C$1), "")</f>
        <v/>
      </c>
      <c r="N367" s="245"/>
      <c r="O367" s="245"/>
      <c r="P367" s="246"/>
      <c r="Q367" s="248">
        <f t="shared" si="453"/>
        <v>0</v>
      </c>
      <c r="R367" s="247" t="str" cm="1">
        <f t="array" ref="R367">IF($K367&gt;0, INDEX(Clean,1+AH367,$C$1), "")</f>
        <v/>
      </c>
      <c r="S367" s="245"/>
      <c r="T367" s="245"/>
      <c r="U367" s="246"/>
      <c r="V367" s="248">
        <f t="shared" si="454"/>
        <v>0</v>
      </c>
      <c r="W367" s="261"/>
      <c r="X367" s="258"/>
      <c r="Y367" s="240"/>
      <c r="Z367" s="241" t="str">
        <f>IF(ISBLANK(Y367), "", VLOOKUP(Y367, Z!$A$2:$C$4127, 3, FALSE))</f>
        <v/>
      </c>
      <c r="AA367" s="262"/>
      <c r="AB367" s="249">
        <f t="shared" si="489"/>
        <v>0</v>
      </c>
      <c r="AC367" s="210"/>
      <c r="AD367" s="236">
        <f t="shared" si="477"/>
        <v>1</v>
      </c>
      <c r="AE367" s="236">
        <f t="shared" si="478"/>
        <v>1</v>
      </c>
      <c r="AF367" s="236">
        <f t="shared" si="479"/>
        <v>0</v>
      </c>
      <c r="AG367" s="236">
        <v>1</v>
      </c>
      <c r="AH367" s="236">
        <v>0</v>
      </c>
      <c r="AI367" s="236">
        <f t="shared" si="455"/>
        <v>-100</v>
      </c>
      <c r="AJ367" s="210"/>
      <c r="AK367" s="254"/>
      <c r="AL367" s="254"/>
      <c r="AM367" s="255"/>
      <c r="AN367" s="255"/>
      <c r="AO367" s="255"/>
      <c r="AP367" s="255"/>
      <c r="AQ367" s="255"/>
      <c r="AR367" s="255"/>
      <c r="AS367" s="255"/>
      <c r="AT367" s="255"/>
      <c r="AU367" s="255"/>
      <c r="AV367" s="255"/>
      <c r="AW367" s="255"/>
      <c r="AX367" s="210"/>
      <c r="AY367" s="236" cm="1">
        <f t="array" ref="AY367">INDEX(Use, $AD367, 4)</f>
        <v>7</v>
      </c>
      <c r="AZ367" s="236">
        <f t="shared" si="456"/>
        <v>32</v>
      </c>
      <c r="BA367" s="236">
        <f t="shared" si="481"/>
        <v>13</v>
      </c>
      <c r="BB367" s="236">
        <f t="shared" si="482"/>
        <v>0</v>
      </c>
      <c r="BC367" s="252" cm="1">
        <f t="array" ref="BC367">K367/IF($L367&gt;0, INDEX($AO$23:$AU$77, $L367+20, $AD367), 1)</f>
        <v>0</v>
      </c>
      <c r="BD367" s="237">
        <f t="shared" si="457"/>
        <v>0</v>
      </c>
      <c r="BE367" s="236">
        <v>35</v>
      </c>
      <c r="BF367" s="237">
        <f t="shared" si="458"/>
        <v>52.55</v>
      </c>
      <c r="BG367" s="253">
        <f t="shared" si="459"/>
        <v>2.7676728869374316</v>
      </c>
      <c r="BH367" s="253" cm="1">
        <f t="array" ref="BH367">$BC367 * SUMPRODUCT(INDEX($AL$77:$AN$82,,$AE367),INDEX($AO$77:$AU$82,,$AD367), N($AK$77:$AK$82&gt;$AI367)) / BG367 / 1000</f>
        <v>0</v>
      </c>
      <c r="BI367" s="250">
        <f t="shared" si="483"/>
        <v>30</v>
      </c>
      <c r="BJ367" s="237">
        <f t="shared" si="460"/>
        <v>46.033333333333331</v>
      </c>
      <c r="BK367" s="253">
        <f t="shared" si="461"/>
        <v>3.2297395388556791</v>
      </c>
      <c r="BL367" s="253" cm="1">
        <f t="array" ref="BL367">$BC367 * IF($AD367&lt;=2,
SUMPRODUCT(INDEX($AL$72:$AN$76,,$AE367), INDEX($AO$72:$AU$76,,$AD367), 1 / ($AV$72:$AV$76*BK367 + (1-$AV$72:$AV$76)*BG367), N($AK$72:$AK$76&gt;$AI367)),
SUMPRODUCT(INDEX($AL$67:$AN$76,,$AE367), INDEX($AO$67:$AU$76,,$AD367), 1 / ($AW$67:$AW$76*BK367 + (1-$AW$67:$AW$76)*BG367), N($AK$67:$AK$76&gt;$AI367))
) / 1000</f>
        <v>0</v>
      </c>
      <c r="BM367" s="250">
        <f t="shared" si="484"/>
        <v>25</v>
      </c>
      <c r="BN367" s="237">
        <f t="shared" si="462"/>
        <v>39.516666666666666</v>
      </c>
      <c r="BO367" s="253">
        <f t="shared" si="463"/>
        <v>3.877011788826243</v>
      </c>
      <c r="BP367" s="253" cm="1">
        <f t="array" ref="BP367">$BC367 * IF($AD367&lt;=2,
SUMPRODUCT(INDEX($AL$67:$AN$71,,$AE367), INDEX($AO$67:$AU$71,,$AD367), 1 / ($AV$67:$AV$71*BO367 + (1-$AV$67:$AV$71)*BK367), N($AK$67:$AK$71&gt;$AI367)),
SUMPRODUCT(INDEX($AL$57:$AN$66,,$AE367), INDEX($AO$57:$AU$66,,$AD367), 1 / ($AW$57:$AW$66*BO367 + (1-$AW$57:$AW$66)*BK367), N($AK$57:$AK$66&gt;$AI367))
) / 1000</f>
        <v>0</v>
      </c>
      <c r="BQ367" s="250">
        <f t="shared" si="485"/>
        <v>20</v>
      </c>
      <c r="BR367" s="237">
        <f t="shared" si="464"/>
        <v>33</v>
      </c>
      <c r="BS367" s="253">
        <f t="shared" si="465"/>
        <v>4.8487499999999999</v>
      </c>
      <c r="BT367" s="253" cm="1">
        <f t="array" ref="BT367">$BC367 * IF($AD367&lt;=2,
SUMPRODUCT(INDEX($AL$62:$AN$66,,$AE367), INDEX($AO$62:$AU$66,,$AD367), 1 / ($AV$62:$AV$66*BS367 + (1-$AV$62:$AV$66)*BO367), N($AK$62:$AK$66&gt;$AI367)),
SUMPRODUCT(INDEX($AL$47:$AN$56,,$AE367), INDEX($AO$47:$AU$56,,$AD367), 1 / ($AW$47:$AW$56*BS367 + (1-$AW$47:$AW$56)*BO367), N($AK$47:$AK$56&gt;$AI367))
) / 1000</f>
        <v>0</v>
      </c>
      <c r="BU367" s="253" cm="1">
        <f t="array" ref="BU367">$BC367 * IF($AD367&lt;=2,
SUMPRODUCT(INDEX($AL$23:$AN$61,,$AE367), INDEX($AO$23:$AU$61,,$AD367), 1 / ($AV$23:$AV$61*BS367), N($AK$23:$AK$61&gt;$AI367)),
SUMPRODUCT(INDEX($AL$23:$AN$46,,$AE367), INDEX($AO$23:$AU$46,,$AD367), 1 / ($AW$23:$AW$46*BS367), N($AK$23:$AK$46&gt;$AI367))
) / 1000</f>
        <v>0</v>
      </c>
      <c r="BV367" s="237">
        <f t="shared" si="466"/>
        <v>0</v>
      </c>
      <c r="BW367" s="210"/>
      <c r="BX367" s="237">
        <f t="shared" si="467"/>
        <v>0</v>
      </c>
      <c r="BY367" s="236">
        <v>35</v>
      </c>
      <c r="BZ367" s="237">
        <f t="shared" si="468"/>
        <v>48</v>
      </c>
      <c r="CA367" s="253">
        <f t="shared" si="469"/>
        <v>3.0748170731707316</v>
      </c>
      <c r="CB367" s="253" cm="1">
        <f t="array" ref="CB367">$BC367 * SUMPRODUCT(INDEX($AL$77:$AN$82,,$AE367),INDEX($AO$77:$AU$82,,$AD367), N($AK$77:$AK$82&gt;$AI367)) / CA367 / 1000</f>
        <v>0</v>
      </c>
      <c r="CC367" s="250">
        <f t="shared" si="486"/>
        <v>30</v>
      </c>
      <c r="CD367" s="237">
        <f t="shared" si="470"/>
        <v>43</v>
      </c>
      <c r="CE367" s="253">
        <f t="shared" si="471"/>
        <v>3.5018750000000001</v>
      </c>
      <c r="CF367" s="253" cm="1">
        <f t="array" ref="CF367">$BC367 * IF($AD367&lt;=2,
SUMPRODUCT(INDEX($AL$72:$AN$76,,$AE367), INDEX($AO$72:$AU$76,,$AD367), 1 / ($AV$72:$AV$76*CE367 + (1-$AV$72:$AV$76)*CA367), N($AK$72:$AK$76&gt;$AI367)),
SUMPRODUCT(INDEX($AL$67:$AN$76,,$AE367), INDEX($AO$67:$AU$76,,$AD367), 1 / ($AW$67:$AW$76*CE367 + (1-$AW$67:$AW$76)*CA367), N($AK$67:$AK$76&gt;$AI367))
) / 1000</f>
        <v>0</v>
      </c>
      <c r="CG367" s="250">
        <f t="shared" si="487"/>
        <v>25</v>
      </c>
      <c r="CH367" s="237">
        <f t="shared" si="472"/>
        <v>38</v>
      </c>
      <c r="CI367" s="253">
        <f t="shared" si="473"/>
        <v>4.0666935483870965</v>
      </c>
      <c r="CJ367" s="253" cm="1">
        <f t="array" ref="CJ367">$BC367 * IF($AD367&lt;=2,
SUMPRODUCT(INDEX($AL$67:$AN$71,,$AE367), INDEX($AO$67:$AU$71,,$AD367), 1 / ($AV$67:$AV$71*CI367 + (1-$AV$67:$AV$71)*CE367), N($AK$67:$AK$71&gt;$AI367)),
SUMPRODUCT(INDEX($AL$57:$AN$66,,$AE367), INDEX($AO$57:$AU$66,,$AD367), 1 / ($AW$57:$AW$66*CI367 + (1-$AW$57:$AW$66)*CE367), N($AK$57:$AK$66&gt;$AI367))
) / 1000</f>
        <v>0</v>
      </c>
      <c r="CK367" s="250">
        <f t="shared" si="488"/>
        <v>20</v>
      </c>
      <c r="CL367" s="237">
        <f t="shared" si="474"/>
        <v>33</v>
      </c>
      <c r="CM367" s="253">
        <f t="shared" si="475"/>
        <v>4.8487499999999999</v>
      </c>
      <c r="CN367" s="253" cm="1">
        <f t="array" ref="CN367">$BC367 * IF($AD367&lt;=2,
SUMPRODUCT(INDEX($AL$62:$AN$66,,$AE367), INDEX($AO$62:$AU$66,,$AD367), 1 / ($AV$62:$AV$66*CM367 + (1-$AV$62:$AV$66)*CI367), N($AK$62:$AK$66&gt;$AI367)),
SUMPRODUCT(INDEX($AL$47:$AN$56,,$AE367), INDEX($AO$47:$AU$56,,$AD367), 1 / ($AW$47:$AW$56*CM367 + (1-$AW$47:$AW$56)*CI367), N($AK$47:$AK$56&gt;$AI367))
) / 1000</f>
        <v>0</v>
      </c>
      <c r="CO367" s="253" cm="1">
        <f t="array" ref="CO367">$BC367 * IF($AD367&lt;=2,
SUMPRODUCT(INDEX($AL$23:$AN$61,,$AE367), INDEX($AO$23:$AU$61,,$AD367), 1 / ($AV$23:$AV$61*CM367), N($AK$23:$AK$61&gt;$AI367)),
SUMPRODUCT(INDEX($AL$23:$AN$46,,$AE367), INDEX($AO$23:$AU$46,,$AD367), 1 / ($AW$23:$AW$46*CM367), N($AK$23:$AK$46&gt;$AI367))
) / 1000</f>
        <v>0</v>
      </c>
      <c r="CP367" s="237">
        <f t="shared" si="476"/>
        <v>0</v>
      </c>
      <c r="CQ367" s="210"/>
    </row>
    <row r="368" spans="1:95" s="76" customFormat="1" ht="14.25" customHeight="1" x14ac:dyDescent="0.2">
      <c r="A368" s="238" t="b">
        <f t="shared" si="480"/>
        <v>0</v>
      </c>
      <c r="B368" s="239">
        <v>346</v>
      </c>
      <c r="C368" s="258"/>
      <c r="D368" s="258"/>
      <c r="E368" s="240"/>
      <c r="F368" s="241" t="str">
        <f>IF(ISBLANK(E368), "", VLOOKUP(E368, Z!$A$2:$C$4127, 3, FALSE))</f>
        <v/>
      </c>
      <c r="G368" s="242"/>
      <c r="H368" s="242"/>
      <c r="I368" s="243"/>
      <c r="J368" s="244"/>
      <c r="K368" s="259"/>
      <c r="L368" s="260"/>
      <c r="M368" s="247" t="str" cm="1">
        <f t="array" ref="M368">IF($K368&gt;0, INDEX(Clean,1+AG368,$C$1), "")</f>
        <v/>
      </c>
      <c r="N368" s="245"/>
      <c r="O368" s="245"/>
      <c r="P368" s="246"/>
      <c r="Q368" s="248">
        <f t="shared" si="453"/>
        <v>0</v>
      </c>
      <c r="R368" s="247" t="str" cm="1">
        <f t="array" ref="R368">IF($K368&gt;0, INDEX(Clean,1+AH368,$C$1), "")</f>
        <v/>
      </c>
      <c r="S368" s="245"/>
      <c r="T368" s="245"/>
      <c r="U368" s="246"/>
      <c r="V368" s="248">
        <f t="shared" si="454"/>
        <v>0</v>
      </c>
      <c r="W368" s="261"/>
      <c r="X368" s="258"/>
      <c r="Y368" s="240"/>
      <c r="Z368" s="241" t="str">
        <f>IF(ISBLANK(Y368), "", VLOOKUP(Y368, Z!$A$2:$C$4127, 3, FALSE))</f>
        <v/>
      </c>
      <c r="AA368" s="262"/>
      <c r="AB368" s="249">
        <f t="shared" si="489"/>
        <v>0</v>
      </c>
      <c r="AC368" s="210"/>
      <c r="AD368" s="236">
        <f t="shared" si="477"/>
        <v>1</v>
      </c>
      <c r="AE368" s="236">
        <f t="shared" si="478"/>
        <v>1</v>
      </c>
      <c r="AF368" s="236">
        <f t="shared" si="479"/>
        <v>0</v>
      </c>
      <c r="AG368" s="236">
        <v>1</v>
      </c>
      <c r="AH368" s="236">
        <v>0</v>
      </c>
      <c r="AI368" s="236">
        <f t="shared" si="455"/>
        <v>-100</v>
      </c>
      <c r="AJ368" s="210"/>
      <c r="AK368" s="254"/>
      <c r="AL368" s="254"/>
      <c r="AM368" s="255"/>
      <c r="AN368" s="255"/>
      <c r="AO368" s="255"/>
      <c r="AP368" s="255"/>
      <c r="AQ368" s="255"/>
      <c r="AR368" s="255"/>
      <c r="AS368" s="255"/>
      <c r="AT368" s="255"/>
      <c r="AU368" s="255"/>
      <c r="AV368" s="255"/>
      <c r="AW368" s="255"/>
      <c r="AX368" s="210"/>
      <c r="AY368" s="236" cm="1">
        <f t="array" ref="AY368">INDEX(Use, $AD368, 4)</f>
        <v>7</v>
      </c>
      <c r="AZ368" s="236">
        <f t="shared" si="456"/>
        <v>32</v>
      </c>
      <c r="BA368" s="236">
        <f t="shared" si="481"/>
        <v>13</v>
      </c>
      <c r="BB368" s="236">
        <f t="shared" si="482"/>
        <v>0</v>
      </c>
      <c r="BC368" s="252" cm="1">
        <f t="array" ref="BC368">K368/IF($L368&gt;0, INDEX($AO$23:$AU$77, $L368+20, $AD368), 1)</f>
        <v>0</v>
      </c>
      <c r="BD368" s="237">
        <f t="shared" si="457"/>
        <v>0</v>
      </c>
      <c r="BE368" s="236">
        <v>35</v>
      </c>
      <c r="BF368" s="237">
        <f t="shared" si="458"/>
        <v>52.55</v>
      </c>
      <c r="BG368" s="253">
        <f t="shared" si="459"/>
        <v>2.7676728869374316</v>
      </c>
      <c r="BH368" s="253" cm="1">
        <f t="array" ref="BH368">$BC368 * SUMPRODUCT(INDEX($AL$77:$AN$82,,$AE368),INDEX($AO$77:$AU$82,,$AD368), N($AK$77:$AK$82&gt;$AI368)) / BG368 / 1000</f>
        <v>0</v>
      </c>
      <c r="BI368" s="250">
        <f t="shared" si="483"/>
        <v>30</v>
      </c>
      <c r="BJ368" s="237">
        <f t="shared" si="460"/>
        <v>46.033333333333331</v>
      </c>
      <c r="BK368" s="253">
        <f t="shared" si="461"/>
        <v>3.2297395388556791</v>
      </c>
      <c r="BL368" s="253" cm="1">
        <f t="array" ref="BL368">$BC368 * IF($AD368&lt;=2,
SUMPRODUCT(INDEX($AL$72:$AN$76,,$AE368), INDEX($AO$72:$AU$76,,$AD368), 1 / ($AV$72:$AV$76*BK368 + (1-$AV$72:$AV$76)*BG368), N($AK$72:$AK$76&gt;$AI368)),
SUMPRODUCT(INDEX($AL$67:$AN$76,,$AE368), INDEX($AO$67:$AU$76,,$AD368), 1 / ($AW$67:$AW$76*BK368 + (1-$AW$67:$AW$76)*BG368), N($AK$67:$AK$76&gt;$AI368))
) / 1000</f>
        <v>0</v>
      </c>
      <c r="BM368" s="250">
        <f t="shared" si="484"/>
        <v>25</v>
      </c>
      <c r="BN368" s="237">
        <f t="shared" si="462"/>
        <v>39.516666666666666</v>
      </c>
      <c r="BO368" s="253">
        <f t="shared" si="463"/>
        <v>3.877011788826243</v>
      </c>
      <c r="BP368" s="253" cm="1">
        <f t="array" ref="BP368">$BC368 * IF($AD368&lt;=2,
SUMPRODUCT(INDEX($AL$67:$AN$71,,$AE368), INDEX($AO$67:$AU$71,,$AD368), 1 / ($AV$67:$AV$71*BO368 + (1-$AV$67:$AV$71)*BK368), N($AK$67:$AK$71&gt;$AI368)),
SUMPRODUCT(INDEX($AL$57:$AN$66,,$AE368), INDEX($AO$57:$AU$66,,$AD368), 1 / ($AW$57:$AW$66*BO368 + (1-$AW$57:$AW$66)*BK368), N($AK$57:$AK$66&gt;$AI368))
) / 1000</f>
        <v>0</v>
      </c>
      <c r="BQ368" s="250">
        <f t="shared" si="485"/>
        <v>20</v>
      </c>
      <c r="BR368" s="237">
        <f t="shared" si="464"/>
        <v>33</v>
      </c>
      <c r="BS368" s="253">
        <f t="shared" si="465"/>
        <v>4.8487499999999999</v>
      </c>
      <c r="BT368" s="253" cm="1">
        <f t="array" ref="BT368">$BC368 * IF($AD368&lt;=2,
SUMPRODUCT(INDEX($AL$62:$AN$66,,$AE368), INDEX($AO$62:$AU$66,,$AD368), 1 / ($AV$62:$AV$66*BS368 + (1-$AV$62:$AV$66)*BO368), N($AK$62:$AK$66&gt;$AI368)),
SUMPRODUCT(INDEX($AL$47:$AN$56,,$AE368), INDEX($AO$47:$AU$56,,$AD368), 1 / ($AW$47:$AW$56*BS368 + (1-$AW$47:$AW$56)*BO368), N($AK$47:$AK$56&gt;$AI368))
) / 1000</f>
        <v>0</v>
      </c>
      <c r="BU368" s="253" cm="1">
        <f t="array" ref="BU368">$BC368 * IF($AD368&lt;=2,
SUMPRODUCT(INDEX($AL$23:$AN$61,,$AE368), INDEX($AO$23:$AU$61,,$AD368), 1 / ($AV$23:$AV$61*BS368), N($AK$23:$AK$61&gt;$AI368)),
SUMPRODUCT(INDEX($AL$23:$AN$46,,$AE368), INDEX($AO$23:$AU$46,,$AD368), 1 / ($AW$23:$AW$46*BS368), N($AK$23:$AK$46&gt;$AI368))
) / 1000</f>
        <v>0</v>
      </c>
      <c r="BV368" s="237">
        <f t="shared" si="466"/>
        <v>0</v>
      </c>
      <c r="BW368" s="210"/>
      <c r="BX368" s="237">
        <f t="shared" si="467"/>
        <v>0</v>
      </c>
      <c r="BY368" s="236">
        <v>35</v>
      </c>
      <c r="BZ368" s="237">
        <f t="shared" si="468"/>
        <v>48</v>
      </c>
      <c r="CA368" s="253">
        <f t="shared" si="469"/>
        <v>3.0748170731707316</v>
      </c>
      <c r="CB368" s="253" cm="1">
        <f t="array" ref="CB368">$BC368 * SUMPRODUCT(INDEX($AL$77:$AN$82,,$AE368),INDEX($AO$77:$AU$82,,$AD368), N($AK$77:$AK$82&gt;$AI368)) / CA368 / 1000</f>
        <v>0</v>
      </c>
      <c r="CC368" s="250">
        <f t="shared" si="486"/>
        <v>30</v>
      </c>
      <c r="CD368" s="237">
        <f t="shared" si="470"/>
        <v>43</v>
      </c>
      <c r="CE368" s="253">
        <f t="shared" si="471"/>
        <v>3.5018750000000001</v>
      </c>
      <c r="CF368" s="253" cm="1">
        <f t="array" ref="CF368">$BC368 * IF($AD368&lt;=2,
SUMPRODUCT(INDEX($AL$72:$AN$76,,$AE368), INDEX($AO$72:$AU$76,,$AD368), 1 / ($AV$72:$AV$76*CE368 + (1-$AV$72:$AV$76)*CA368), N($AK$72:$AK$76&gt;$AI368)),
SUMPRODUCT(INDEX($AL$67:$AN$76,,$AE368), INDEX($AO$67:$AU$76,,$AD368), 1 / ($AW$67:$AW$76*CE368 + (1-$AW$67:$AW$76)*CA368), N($AK$67:$AK$76&gt;$AI368))
) / 1000</f>
        <v>0</v>
      </c>
      <c r="CG368" s="250">
        <f t="shared" si="487"/>
        <v>25</v>
      </c>
      <c r="CH368" s="237">
        <f t="shared" si="472"/>
        <v>38</v>
      </c>
      <c r="CI368" s="253">
        <f t="shared" si="473"/>
        <v>4.0666935483870965</v>
      </c>
      <c r="CJ368" s="253" cm="1">
        <f t="array" ref="CJ368">$BC368 * IF($AD368&lt;=2,
SUMPRODUCT(INDEX($AL$67:$AN$71,,$AE368), INDEX($AO$67:$AU$71,,$AD368), 1 / ($AV$67:$AV$71*CI368 + (1-$AV$67:$AV$71)*CE368), N($AK$67:$AK$71&gt;$AI368)),
SUMPRODUCT(INDEX($AL$57:$AN$66,,$AE368), INDEX($AO$57:$AU$66,,$AD368), 1 / ($AW$57:$AW$66*CI368 + (1-$AW$57:$AW$66)*CE368), N($AK$57:$AK$66&gt;$AI368))
) / 1000</f>
        <v>0</v>
      </c>
      <c r="CK368" s="250">
        <f t="shared" si="488"/>
        <v>20</v>
      </c>
      <c r="CL368" s="237">
        <f t="shared" si="474"/>
        <v>33</v>
      </c>
      <c r="CM368" s="253">
        <f t="shared" si="475"/>
        <v>4.8487499999999999</v>
      </c>
      <c r="CN368" s="253" cm="1">
        <f t="array" ref="CN368">$BC368 * IF($AD368&lt;=2,
SUMPRODUCT(INDEX($AL$62:$AN$66,,$AE368), INDEX($AO$62:$AU$66,,$AD368), 1 / ($AV$62:$AV$66*CM368 + (1-$AV$62:$AV$66)*CI368), N($AK$62:$AK$66&gt;$AI368)),
SUMPRODUCT(INDEX($AL$47:$AN$56,,$AE368), INDEX($AO$47:$AU$56,,$AD368), 1 / ($AW$47:$AW$56*CM368 + (1-$AW$47:$AW$56)*CI368), N($AK$47:$AK$56&gt;$AI368))
) / 1000</f>
        <v>0</v>
      </c>
      <c r="CO368" s="253" cm="1">
        <f t="array" ref="CO368">$BC368 * IF($AD368&lt;=2,
SUMPRODUCT(INDEX($AL$23:$AN$61,,$AE368), INDEX($AO$23:$AU$61,,$AD368), 1 / ($AV$23:$AV$61*CM368), N($AK$23:$AK$61&gt;$AI368)),
SUMPRODUCT(INDEX($AL$23:$AN$46,,$AE368), INDEX($AO$23:$AU$46,,$AD368), 1 / ($AW$23:$AW$46*CM368), N($AK$23:$AK$46&gt;$AI368))
) / 1000</f>
        <v>0</v>
      </c>
      <c r="CP368" s="237">
        <f t="shared" si="476"/>
        <v>0</v>
      </c>
      <c r="CQ368" s="210"/>
    </row>
    <row r="369" spans="1:95" s="76" customFormat="1" ht="14.25" customHeight="1" x14ac:dyDescent="0.2">
      <c r="A369" s="238" t="b">
        <f t="shared" si="480"/>
        <v>0</v>
      </c>
      <c r="B369" s="239">
        <v>347</v>
      </c>
      <c r="C369" s="258"/>
      <c r="D369" s="258"/>
      <c r="E369" s="240"/>
      <c r="F369" s="241" t="str">
        <f>IF(ISBLANK(E369), "", VLOOKUP(E369, Z!$A$2:$C$4127, 3, FALSE))</f>
        <v/>
      </c>
      <c r="G369" s="242"/>
      <c r="H369" s="242"/>
      <c r="I369" s="243"/>
      <c r="J369" s="244"/>
      <c r="K369" s="259"/>
      <c r="L369" s="260"/>
      <c r="M369" s="247" t="str" cm="1">
        <f t="array" ref="M369">IF($K369&gt;0, INDEX(Clean,1+AG369,$C$1), "")</f>
        <v/>
      </c>
      <c r="N369" s="245"/>
      <c r="O369" s="245"/>
      <c r="P369" s="246"/>
      <c r="Q369" s="248">
        <f t="shared" si="453"/>
        <v>0</v>
      </c>
      <c r="R369" s="247" t="str" cm="1">
        <f t="array" ref="R369">IF($K369&gt;0, INDEX(Clean,1+AH369,$C$1), "")</f>
        <v/>
      </c>
      <c r="S369" s="245"/>
      <c r="T369" s="245"/>
      <c r="U369" s="246"/>
      <c r="V369" s="248">
        <f t="shared" si="454"/>
        <v>0</v>
      </c>
      <c r="W369" s="261"/>
      <c r="X369" s="258"/>
      <c r="Y369" s="240"/>
      <c r="Z369" s="241" t="str">
        <f>IF(ISBLANK(Y369), "", VLOOKUP(Y369, Z!$A$2:$C$4127, 3, FALSE))</f>
        <v/>
      </c>
      <c r="AA369" s="262"/>
      <c r="AB369" s="249">
        <f t="shared" si="489"/>
        <v>0</v>
      </c>
      <c r="AC369" s="210"/>
      <c r="AD369" s="236">
        <f t="shared" si="477"/>
        <v>1</v>
      </c>
      <c r="AE369" s="236">
        <f t="shared" si="478"/>
        <v>1</v>
      </c>
      <c r="AF369" s="236">
        <f t="shared" si="479"/>
        <v>0</v>
      </c>
      <c r="AG369" s="236">
        <v>1</v>
      </c>
      <c r="AH369" s="236">
        <v>0</v>
      </c>
      <c r="AI369" s="236">
        <f t="shared" si="455"/>
        <v>-100</v>
      </c>
      <c r="AJ369" s="210"/>
      <c r="AK369" s="254"/>
      <c r="AL369" s="254"/>
      <c r="AM369" s="255"/>
      <c r="AN369" s="255"/>
      <c r="AO369" s="255"/>
      <c r="AP369" s="255"/>
      <c r="AQ369" s="255"/>
      <c r="AR369" s="255"/>
      <c r="AS369" s="255"/>
      <c r="AT369" s="255"/>
      <c r="AU369" s="255"/>
      <c r="AV369" s="255"/>
      <c r="AW369" s="255"/>
      <c r="AX369" s="210"/>
      <c r="AY369" s="236" cm="1">
        <f t="array" ref="AY369">INDEX(Use, $AD369, 4)</f>
        <v>7</v>
      </c>
      <c r="AZ369" s="236">
        <f t="shared" si="456"/>
        <v>32</v>
      </c>
      <c r="BA369" s="236">
        <f t="shared" si="481"/>
        <v>13</v>
      </c>
      <c r="BB369" s="236">
        <f t="shared" si="482"/>
        <v>0</v>
      </c>
      <c r="BC369" s="252" cm="1">
        <f t="array" ref="BC369">K369/IF($L369&gt;0, INDEX($AO$23:$AU$77, $L369+20, $AD369), 1)</f>
        <v>0</v>
      </c>
      <c r="BD369" s="237">
        <f t="shared" si="457"/>
        <v>0</v>
      </c>
      <c r="BE369" s="236">
        <v>35</v>
      </c>
      <c r="BF369" s="237">
        <f t="shared" si="458"/>
        <v>52.55</v>
      </c>
      <c r="BG369" s="253">
        <f t="shared" si="459"/>
        <v>2.7676728869374316</v>
      </c>
      <c r="BH369" s="253" cm="1">
        <f t="array" ref="BH369">$BC369 * SUMPRODUCT(INDEX($AL$77:$AN$82,,$AE369),INDEX($AO$77:$AU$82,,$AD369), N($AK$77:$AK$82&gt;$AI369)) / BG369 / 1000</f>
        <v>0</v>
      </c>
      <c r="BI369" s="250">
        <f t="shared" si="483"/>
        <v>30</v>
      </c>
      <c r="BJ369" s="237">
        <f t="shared" si="460"/>
        <v>46.033333333333331</v>
      </c>
      <c r="BK369" s="253">
        <f t="shared" si="461"/>
        <v>3.2297395388556791</v>
      </c>
      <c r="BL369" s="253" cm="1">
        <f t="array" ref="BL369">$BC369 * IF($AD369&lt;=2,
SUMPRODUCT(INDEX($AL$72:$AN$76,,$AE369), INDEX($AO$72:$AU$76,,$AD369), 1 / ($AV$72:$AV$76*BK369 + (1-$AV$72:$AV$76)*BG369), N($AK$72:$AK$76&gt;$AI369)),
SUMPRODUCT(INDEX($AL$67:$AN$76,,$AE369), INDEX($AO$67:$AU$76,,$AD369), 1 / ($AW$67:$AW$76*BK369 + (1-$AW$67:$AW$76)*BG369), N($AK$67:$AK$76&gt;$AI369))
) / 1000</f>
        <v>0</v>
      </c>
      <c r="BM369" s="250">
        <f t="shared" si="484"/>
        <v>25</v>
      </c>
      <c r="BN369" s="237">
        <f t="shared" si="462"/>
        <v>39.516666666666666</v>
      </c>
      <c r="BO369" s="253">
        <f t="shared" si="463"/>
        <v>3.877011788826243</v>
      </c>
      <c r="BP369" s="253" cm="1">
        <f t="array" ref="BP369">$BC369 * IF($AD369&lt;=2,
SUMPRODUCT(INDEX($AL$67:$AN$71,,$AE369), INDEX($AO$67:$AU$71,,$AD369), 1 / ($AV$67:$AV$71*BO369 + (1-$AV$67:$AV$71)*BK369), N($AK$67:$AK$71&gt;$AI369)),
SUMPRODUCT(INDEX($AL$57:$AN$66,,$AE369), INDEX($AO$57:$AU$66,,$AD369), 1 / ($AW$57:$AW$66*BO369 + (1-$AW$57:$AW$66)*BK369), N($AK$57:$AK$66&gt;$AI369))
) / 1000</f>
        <v>0</v>
      </c>
      <c r="BQ369" s="250">
        <f t="shared" si="485"/>
        <v>20</v>
      </c>
      <c r="BR369" s="237">
        <f t="shared" si="464"/>
        <v>33</v>
      </c>
      <c r="BS369" s="253">
        <f t="shared" si="465"/>
        <v>4.8487499999999999</v>
      </c>
      <c r="BT369" s="253" cm="1">
        <f t="array" ref="BT369">$BC369 * IF($AD369&lt;=2,
SUMPRODUCT(INDEX($AL$62:$AN$66,,$AE369), INDEX($AO$62:$AU$66,,$AD369), 1 / ($AV$62:$AV$66*BS369 + (1-$AV$62:$AV$66)*BO369), N($AK$62:$AK$66&gt;$AI369)),
SUMPRODUCT(INDEX($AL$47:$AN$56,,$AE369), INDEX($AO$47:$AU$56,,$AD369), 1 / ($AW$47:$AW$56*BS369 + (1-$AW$47:$AW$56)*BO369), N($AK$47:$AK$56&gt;$AI369))
) / 1000</f>
        <v>0</v>
      </c>
      <c r="BU369" s="253" cm="1">
        <f t="array" ref="BU369">$BC369 * IF($AD369&lt;=2,
SUMPRODUCT(INDEX($AL$23:$AN$61,,$AE369), INDEX($AO$23:$AU$61,,$AD369), 1 / ($AV$23:$AV$61*BS369), N($AK$23:$AK$61&gt;$AI369)),
SUMPRODUCT(INDEX($AL$23:$AN$46,,$AE369), INDEX($AO$23:$AU$46,,$AD369), 1 / ($AW$23:$AW$46*BS369), N($AK$23:$AK$46&gt;$AI369))
) / 1000</f>
        <v>0</v>
      </c>
      <c r="BV369" s="237">
        <f t="shared" si="466"/>
        <v>0</v>
      </c>
      <c r="BW369" s="210"/>
      <c r="BX369" s="237">
        <f t="shared" si="467"/>
        <v>0</v>
      </c>
      <c r="BY369" s="236">
        <v>35</v>
      </c>
      <c r="BZ369" s="237">
        <f t="shared" si="468"/>
        <v>48</v>
      </c>
      <c r="CA369" s="253">
        <f t="shared" si="469"/>
        <v>3.0748170731707316</v>
      </c>
      <c r="CB369" s="253" cm="1">
        <f t="array" ref="CB369">$BC369 * SUMPRODUCT(INDEX($AL$77:$AN$82,,$AE369),INDEX($AO$77:$AU$82,,$AD369), N($AK$77:$AK$82&gt;$AI369)) / CA369 / 1000</f>
        <v>0</v>
      </c>
      <c r="CC369" s="250">
        <f t="shared" si="486"/>
        <v>30</v>
      </c>
      <c r="CD369" s="237">
        <f t="shared" si="470"/>
        <v>43</v>
      </c>
      <c r="CE369" s="253">
        <f t="shared" si="471"/>
        <v>3.5018750000000001</v>
      </c>
      <c r="CF369" s="253" cm="1">
        <f t="array" ref="CF369">$BC369 * IF($AD369&lt;=2,
SUMPRODUCT(INDEX($AL$72:$AN$76,,$AE369), INDEX($AO$72:$AU$76,,$AD369), 1 / ($AV$72:$AV$76*CE369 + (1-$AV$72:$AV$76)*CA369), N($AK$72:$AK$76&gt;$AI369)),
SUMPRODUCT(INDEX($AL$67:$AN$76,,$AE369), INDEX($AO$67:$AU$76,,$AD369), 1 / ($AW$67:$AW$76*CE369 + (1-$AW$67:$AW$76)*CA369), N($AK$67:$AK$76&gt;$AI369))
) / 1000</f>
        <v>0</v>
      </c>
      <c r="CG369" s="250">
        <f t="shared" si="487"/>
        <v>25</v>
      </c>
      <c r="CH369" s="237">
        <f t="shared" si="472"/>
        <v>38</v>
      </c>
      <c r="CI369" s="253">
        <f t="shared" si="473"/>
        <v>4.0666935483870965</v>
      </c>
      <c r="CJ369" s="253" cm="1">
        <f t="array" ref="CJ369">$BC369 * IF($AD369&lt;=2,
SUMPRODUCT(INDEX($AL$67:$AN$71,,$AE369), INDEX($AO$67:$AU$71,,$AD369), 1 / ($AV$67:$AV$71*CI369 + (1-$AV$67:$AV$71)*CE369), N($AK$67:$AK$71&gt;$AI369)),
SUMPRODUCT(INDEX($AL$57:$AN$66,,$AE369), INDEX($AO$57:$AU$66,,$AD369), 1 / ($AW$57:$AW$66*CI369 + (1-$AW$57:$AW$66)*CE369), N($AK$57:$AK$66&gt;$AI369))
) / 1000</f>
        <v>0</v>
      </c>
      <c r="CK369" s="250">
        <f t="shared" si="488"/>
        <v>20</v>
      </c>
      <c r="CL369" s="237">
        <f t="shared" si="474"/>
        <v>33</v>
      </c>
      <c r="CM369" s="253">
        <f t="shared" si="475"/>
        <v>4.8487499999999999</v>
      </c>
      <c r="CN369" s="253" cm="1">
        <f t="array" ref="CN369">$BC369 * IF($AD369&lt;=2,
SUMPRODUCT(INDEX($AL$62:$AN$66,,$AE369), INDEX($AO$62:$AU$66,,$AD369), 1 / ($AV$62:$AV$66*CM369 + (1-$AV$62:$AV$66)*CI369), N($AK$62:$AK$66&gt;$AI369)),
SUMPRODUCT(INDEX($AL$47:$AN$56,,$AE369), INDEX($AO$47:$AU$56,,$AD369), 1 / ($AW$47:$AW$56*CM369 + (1-$AW$47:$AW$56)*CI369), N($AK$47:$AK$56&gt;$AI369))
) / 1000</f>
        <v>0</v>
      </c>
      <c r="CO369" s="253" cm="1">
        <f t="array" ref="CO369">$BC369 * IF($AD369&lt;=2,
SUMPRODUCT(INDEX($AL$23:$AN$61,,$AE369), INDEX($AO$23:$AU$61,,$AD369), 1 / ($AV$23:$AV$61*CM369), N($AK$23:$AK$61&gt;$AI369)),
SUMPRODUCT(INDEX($AL$23:$AN$46,,$AE369), INDEX($AO$23:$AU$46,,$AD369), 1 / ($AW$23:$AW$46*CM369), N($AK$23:$AK$46&gt;$AI369))
) / 1000</f>
        <v>0</v>
      </c>
      <c r="CP369" s="237">
        <f t="shared" si="476"/>
        <v>0</v>
      </c>
      <c r="CQ369" s="210"/>
    </row>
    <row r="370" spans="1:95" s="76" customFormat="1" ht="14.25" customHeight="1" x14ac:dyDescent="0.2">
      <c r="A370" s="238" t="b">
        <f t="shared" si="480"/>
        <v>0</v>
      </c>
      <c r="B370" s="239">
        <v>348</v>
      </c>
      <c r="C370" s="258"/>
      <c r="D370" s="258"/>
      <c r="E370" s="240"/>
      <c r="F370" s="241" t="str">
        <f>IF(ISBLANK(E370), "", VLOOKUP(E370, Z!$A$2:$C$4127, 3, FALSE))</f>
        <v/>
      </c>
      <c r="G370" s="242"/>
      <c r="H370" s="242"/>
      <c r="I370" s="243"/>
      <c r="J370" s="244"/>
      <c r="K370" s="259"/>
      <c r="L370" s="260"/>
      <c r="M370" s="247" t="str" cm="1">
        <f t="array" ref="M370">IF($K370&gt;0, INDEX(Clean,1+AG370,$C$1), "")</f>
        <v/>
      </c>
      <c r="N370" s="245"/>
      <c r="O370" s="245"/>
      <c r="P370" s="246"/>
      <c r="Q370" s="248">
        <f t="shared" si="453"/>
        <v>0</v>
      </c>
      <c r="R370" s="247" t="str" cm="1">
        <f t="array" ref="R370">IF($K370&gt;0, INDEX(Clean,1+AH370,$C$1), "")</f>
        <v/>
      </c>
      <c r="S370" s="245"/>
      <c r="T370" s="245"/>
      <c r="U370" s="246"/>
      <c r="V370" s="248">
        <f t="shared" si="454"/>
        <v>0</v>
      </c>
      <c r="W370" s="261"/>
      <c r="X370" s="258"/>
      <c r="Y370" s="240"/>
      <c r="Z370" s="241" t="str">
        <f>IF(ISBLANK(Y370), "", VLOOKUP(Y370, Z!$A$2:$C$4127, 3, FALSE))</f>
        <v/>
      </c>
      <c r="AA370" s="262"/>
      <c r="AB370" s="249">
        <f t="shared" si="489"/>
        <v>0</v>
      </c>
      <c r="AC370" s="210"/>
      <c r="AD370" s="236">
        <f t="shared" si="477"/>
        <v>1</v>
      </c>
      <c r="AE370" s="236">
        <f t="shared" si="478"/>
        <v>1</v>
      </c>
      <c r="AF370" s="236">
        <f t="shared" si="479"/>
        <v>0</v>
      </c>
      <c r="AG370" s="236">
        <v>1</v>
      </c>
      <c r="AH370" s="236">
        <v>0</v>
      </c>
      <c r="AI370" s="236">
        <f t="shared" si="455"/>
        <v>-100</v>
      </c>
      <c r="AJ370" s="210"/>
      <c r="AK370" s="254"/>
      <c r="AL370" s="254"/>
      <c r="AM370" s="255"/>
      <c r="AN370" s="255"/>
      <c r="AO370" s="255"/>
      <c r="AP370" s="255"/>
      <c r="AQ370" s="255"/>
      <c r="AR370" s="255"/>
      <c r="AS370" s="255"/>
      <c r="AT370" s="255"/>
      <c r="AU370" s="255"/>
      <c r="AV370" s="255"/>
      <c r="AW370" s="255"/>
      <c r="AX370" s="210"/>
      <c r="AY370" s="236" cm="1">
        <f t="array" ref="AY370">INDEX(Use, $AD370, 4)</f>
        <v>7</v>
      </c>
      <c r="AZ370" s="236">
        <f t="shared" si="456"/>
        <v>32</v>
      </c>
      <c r="BA370" s="236">
        <f t="shared" si="481"/>
        <v>13</v>
      </c>
      <c r="BB370" s="236">
        <f t="shared" si="482"/>
        <v>0</v>
      </c>
      <c r="BC370" s="252" cm="1">
        <f t="array" ref="BC370">K370/IF($L370&gt;0, INDEX($AO$23:$AU$77, $L370+20, $AD370), 1)</f>
        <v>0</v>
      </c>
      <c r="BD370" s="237">
        <f t="shared" si="457"/>
        <v>0</v>
      </c>
      <c r="BE370" s="236">
        <v>35</v>
      </c>
      <c r="BF370" s="237">
        <f t="shared" si="458"/>
        <v>52.55</v>
      </c>
      <c r="BG370" s="253">
        <f t="shared" si="459"/>
        <v>2.7676728869374316</v>
      </c>
      <c r="BH370" s="253" cm="1">
        <f t="array" ref="BH370">$BC370 * SUMPRODUCT(INDEX($AL$77:$AN$82,,$AE370),INDEX($AO$77:$AU$82,,$AD370), N($AK$77:$AK$82&gt;$AI370)) / BG370 / 1000</f>
        <v>0</v>
      </c>
      <c r="BI370" s="250">
        <f t="shared" si="483"/>
        <v>30</v>
      </c>
      <c r="BJ370" s="237">
        <f t="shared" si="460"/>
        <v>46.033333333333331</v>
      </c>
      <c r="BK370" s="253">
        <f t="shared" si="461"/>
        <v>3.2297395388556791</v>
      </c>
      <c r="BL370" s="253" cm="1">
        <f t="array" ref="BL370">$BC370 * IF($AD370&lt;=2,
SUMPRODUCT(INDEX($AL$72:$AN$76,,$AE370), INDEX($AO$72:$AU$76,,$AD370), 1 / ($AV$72:$AV$76*BK370 + (1-$AV$72:$AV$76)*BG370), N($AK$72:$AK$76&gt;$AI370)),
SUMPRODUCT(INDEX($AL$67:$AN$76,,$AE370), INDEX($AO$67:$AU$76,,$AD370), 1 / ($AW$67:$AW$76*BK370 + (1-$AW$67:$AW$76)*BG370), N($AK$67:$AK$76&gt;$AI370))
) / 1000</f>
        <v>0</v>
      </c>
      <c r="BM370" s="250">
        <f t="shared" si="484"/>
        <v>25</v>
      </c>
      <c r="BN370" s="237">
        <f t="shared" si="462"/>
        <v>39.516666666666666</v>
      </c>
      <c r="BO370" s="253">
        <f t="shared" si="463"/>
        <v>3.877011788826243</v>
      </c>
      <c r="BP370" s="253" cm="1">
        <f t="array" ref="BP370">$BC370 * IF($AD370&lt;=2,
SUMPRODUCT(INDEX($AL$67:$AN$71,,$AE370), INDEX($AO$67:$AU$71,,$AD370), 1 / ($AV$67:$AV$71*BO370 + (1-$AV$67:$AV$71)*BK370), N($AK$67:$AK$71&gt;$AI370)),
SUMPRODUCT(INDEX($AL$57:$AN$66,,$AE370), INDEX($AO$57:$AU$66,,$AD370), 1 / ($AW$57:$AW$66*BO370 + (1-$AW$57:$AW$66)*BK370), N($AK$57:$AK$66&gt;$AI370))
) / 1000</f>
        <v>0</v>
      </c>
      <c r="BQ370" s="250">
        <f t="shared" si="485"/>
        <v>20</v>
      </c>
      <c r="BR370" s="237">
        <f t="shared" si="464"/>
        <v>33</v>
      </c>
      <c r="BS370" s="253">
        <f t="shared" si="465"/>
        <v>4.8487499999999999</v>
      </c>
      <c r="BT370" s="253" cm="1">
        <f t="array" ref="BT370">$BC370 * IF($AD370&lt;=2,
SUMPRODUCT(INDEX($AL$62:$AN$66,,$AE370), INDEX($AO$62:$AU$66,,$AD370), 1 / ($AV$62:$AV$66*BS370 + (1-$AV$62:$AV$66)*BO370), N($AK$62:$AK$66&gt;$AI370)),
SUMPRODUCT(INDEX($AL$47:$AN$56,,$AE370), INDEX($AO$47:$AU$56,,$AD370), 1 / ($AW$47:$AW$56*BS370 + (1-$AW$47:$AW$56)*BO370), N($AK$47:$AK$56&gt;$AI370))
) / 1000</f>
        <v>0</v>
      </c>
      <c r="BU370" s="253" cm="1">
        <f t="array" ref="BU370">$BC370 * IF($AD370&lt;=2,
SUMPRODUCT(INDEX($AL$23:$AN$61,,$AE370), INDEX($AO$23:$AU$61,,$AD370), 1 / ($AV$23:$AV$61*BS370), N($AK$23:$AK$61&gt;$AI370)),
SUMPRODUCT(INDEX($AL$23:$AN$46,,$AE370), INDEX($AO$23:$AU$46,,$AD370), 1 / ($AW$23:$AW$46*BS370), N($AK$23:$AK$46&gt;$AI370))
) / 1000</f>
        <v>0</v>
      </c>
      <c r="BV370" s="237">
        <f t="shared" si="466"/>
        <v>0</v>
      </c>
      <c r="BW370" s="210"/>
      <c r="BX370" s="237">
        <f t="shared" si="467"/>
        <v>0</v>
      </c>
      <c r="BY370" s="236">
        <v>35</v>
      </c>
      <c r="BZ370" s="237">
        <f t="shared" si="468"/>
        <v>48</v>
      </c>
      <c r="CA370" s="253">
        <f t="shared" si="469"/>
        <v>3.0748170731707316</v>
      </c>
      <c r="CB370" s="253" cm="1">
        <f t="array" ref="CB370">$BC370 * SUMPRODUCT(INDEX($AL$77:$AN$82,,$AE370),INDEX($AO$77:$AU$82,,$AD370), N($AK$77:$AK$82&gt;$AI370)) / CA370 / 1000</f>
        <v>0</v>
      </c>
      <c r="CC370" s="250">
        <f t="shared" si="486"/>
        <v>30</v>
      </c>
      <c r="CD370" s="237">
        <f t="shared" si="470"/>
        <v>43</v>
      </c>
      <c r="CE370" s="253">
        <f t="shared" si="471"/>
        <v>3.5018750000000001</v>
      </c>
      <c r="CF370" s="253" cm="1">
        <f t="array" ref="CF370">$BC370 * IF($AD370&lt;=2,
SUMPRODUCT(INDEX($AL$72:$AN$76,,$AE370), INDEX($AO$72:$AU$76,,$AD370), 1 / ($AV$72:$AV$76*CE370 + (1-$AV$72:$AV$76)*CA370), N($AK$72:$AK$76&gt;$AI370)),
SUMPRODUCT(INDEX($AL$67:$AN$76,,$AE370), INDEX($AO$67:$AU$76,,$AD370), 1 / ($AW$67:$AW$76*CE370 + (1-$AW$67:$AW$76)*CA370), N($AK$67:$AK$76&gt;$AI370))
) / 1000</f>
        <v>0</v>
      </c>
      <c r="CG370" s="250">
        <f t="shared" si="487"/>
        <v>25</v>
      </c>
      <c r="CH370" s="237">
        <f t="shared" si="472"/>
        <v>38</v>
      </c>
      <c r="CI370" s="253">
        <f t="shared" si="473"/>
        <v>4.0666935483870965</v>
      </c>
      <c r="CJ370" s="253" cm="1">
        <f t="array" ref="CJ370">$BC370 * IF($AD370&lt;=2,
SUMPRODUCT(INDEX($AL$67:$AN$71,,$AE370), INDEX($AO$67:$AU$71,,$AD370), 1 / ($AV$67:$AV$71*CI370 + (1-$AV$67:$AV$71)*CE370), N($AK$67:$AK$71&gt;$AI370)),
SUMPRODUCT(INDEX($AL$57:$AN$66,,$AE370), INDEX($AO$57:$AU$66,,$AD370), 1 / ($AW$57:$AW$66*CI370 + (1-$AW$57:$AW$66)*CE370), N($AK$57:$AK$66&gt;$AI370))
) / 1000</f>
        <v>0</v>
      </c>
      <c r="CK370" s="250">
        <f t="shared" si="488"/>
        <v>20</v>
      </c>
      <c r="CL370" s="237">
        <f t="shared" si="474"/>
        <v>33</v>
      </c>
      <c r="CM370" s="253">
        <f t="shared" si="475"/>
        <v>4.8487499999999999</v>
      </c>
      <c r="CN370" s="253" cm="1">
        <f t="array" ref="CN370">$BC370 * IF($AD370&lt;=2,
SUMPRODUCT(INDEX($AL$62:$AN$66,,$AE370), INDEX($AO$62:$AU$66,,$AD370), 1 / ($AV$62:$AV$66*CM370 + (1-$AV$62:$AV$66)*CI370), N($AK$62:$AK$66&gt;$AI370)),
SUMPRODUCT(INDEX($AL$47:$AN$56,,$AE370), INDEX($AO$47:$AU$56,,$AD370), 1 / ($AW$47:$AW$56*CM370 + (1-$AW$47:$AW$56)*CI370), N($AK$47:$AK$56&gt;$AI370))
) / 1000</f>
        <v>0</v>
      </c>
      <c r="CO370" s="253" cm="1">
        <f t="array" ref="CO370">$BC370 * IF($AD370&lt;=2,
SUMPRODUCT(INDEX($AL$23:$AN$61,,$AE370), INDEX($AO$23:$AU$61,,$AD370), 1 / ($AV$23:$AV$61*CM370), N($AK$23:$AK$61&gt;$AI370)),
SUMPRODUCT(INDEX($AL$23:$AN$46,,$AE370), INDEX($AO$23:$AU$46,,$AD370), 1 / ($AW$23:$AW$46*CM370), N($AK$23:$AK$46&gt;$AI370))
) / 1000</f>
        <v>0</v>
      </c>
      <c r="CP370" s="237">
        <f t="shared" si="476"/>
        <v>0</v>
      </c>
      <c r="CQ370" s="210"/>
    </row>
    <row r="371" spans="1:95" s="76" customFormat="1" ht="14.25" customHeight="1" x14ac:dyDescent="0.2">
      <c r="A371" s="238" t="b">
        <f t="shared" si="480"/>
        <v>0</v>
      </c>
      <c r="B371" s="239">
        <v>349</v>
      </c>
      <c r="C371" s="258"/>
      <c r="D371" s="258"/>
      <c r="E371" s="240"/>
      <c r="F371" s="241" t="str">
        <f>IF(ISBLANK(E371), "", VLOOKUP(E371, Z!$A$2:$C$4127, 3, FALSE))</f>
        <v/>
      </c>
      <c r="G371" s="242"/>
      <c r="H371" s="242"/>
      <c r="I371" s="243"/>
      <c r="J371" s="244"/>
      <c r="K371" s="259"/>
      <c r="L371" s="260"/>
      <c r="M371" s="247" t="str" cm="1">
        <f t="array" ref="M371">IF($K371&gt;0, INDEX(Clean,1+AG371,$C$1), "")</f>
        <v/>
      </c>
      <c r="N371" s="245"/>
      <c r="O371" s="245"/>
      <c r="P371" s="246"/>
      <c r="Q371" s="248">
        <f t="shared" si="453"/>
        <v>0</v>
      </c>
      <c r="R371" s="247" t="str" cm="1">
        <f t="array" ref="R371">IF($K371&gt;0, INDEX(Clean,1+AH371,$C$1), "")</f>
        <v/>
      </c>
      <c r="S371" s="245"/>
      <c r="T371" s="245"/>
      <c r="U371" s="246"/>
      <c r="V371" s="248">
        <f t="shared" si="454"/>
        <v>0</v>
      </c>
      <c r="W371" s="261"/>
      <c r="X371" s="258"/>
      <c r="Y371" s="240"/>
      <c r="Z371" s="241" t="str">
        <f>IF(ISBLANK(Y371), "", VLOOKUP(Y371, Z!$A$2:$C$4127, 3, FALSE))</f>
        <v/>
      </c>
      <c r="AA371" s="262"/>
      <c r="AB371" s="249">
        <f t="shared" si="489"/>
        <v>0</v>
      </c>
      <c r="AC371" s="210"/>
      <c r="AD371" s="236">
        <f t="shared" si="477"/>
        <v>1</v>
      </c>
      <c r="AE371" s="236">
        <f t="shared" si="478"/>
        <v>1</v>
      </c>
      <c r="AF371" s="236">
        <f t="shared" si="479"/>
        <v>0</v>
      </c>
      <c r="AG371" s="236">
        <v>1</v>
      </c>
      <c r="AH371" s="236">
        <v>0</v>
      </c>
      <c r="AI371" s="236">
        <f t="shared" si="455"/>
        <v>-100</v>
      </c>
      <c r="AJ371" s="210"/>
      <c r="AK371" s="254"/>
      <c r="AL371" s="254"/>
      <c r="AM371" s="255"/>
      <c r="AN371" s="255"/>
      <c r="AO371" s="255"/>
      <c r="AP371" s="255"/>
      <c r="AQ371" s="255"/>
      <c r="AR371" s="255"/>
      <c r="AS371" s="255"/>
      <c r="AT371" s="255"/>
      <c r="AU371" s="255"/>
      <c r="AV371" s="255"/>
      <c r="AW371" s="255"/>
      <c r="AX371" s="210"/>
      <c r="AY371" s="236" cm="1">
        <f t="array" ref="AY371">INDEX(Use, $AD371, 4)</f>
        <v>7</v>
      </c>
      <c r="AZ371" s="236">
        <f t="shared" si="456"/>
        <v>32</v>
      </c>
      <c r="BA371" s="236">
        <f t="shared" si="481"/>
        <v>13</v>
      </c>
      <c r="BB371" s="236">
        <f t="shared" si="482"/>
        <v>0</v>
      </c>
      <c r="BC371" s="252" cm="1">
        <f t="array" ref="BC371">K371/IF($L371&gt;0, INDEX($AO$23:$AU$77, $L371+20, $AD371), 1)</f>
        <v>0</v>
      </c>
      <c r="BD371" s="237">
        <f t="shared" si="457"/>
        <v>0</v>
      </c>
      <c r="BE371" s="236">
        <v>35</v>
      </c>
      <c r="BF371" s="237">
        <f t="shared" si="458"/>
        <v>52.55</v>
      </c>
      <c r="BG371" s="253">
        <f t="shared" si="459"/>
        <v>2.7676728869374316</v>
      </c>
      <c r="BH371" s="253" cm="1">
        <f t="array" ref="BH371">$BC371 * SUMPRODUCT(INDEX($AL$77:$AN$82,,$AE371),INDEX($AO$77:$AU$82,,$AD371), N($AK$77:$AK$82&gt;$AI371)) / BG371 / 1000</f>
        <v>0</v>
      </c>
      <c r="BI371" s="250">
        <f t="shared" si="483"/>
        <v>30</v>
      </c>
      <c r="BJ371" s="237">
        <f t="shared" si="460"/>
        <v>46.033333333333331</v>
      </c>
      <c r="BK371" s="253">
        <f t="shared" si="461"/>
        <v>3.2297395388556791</v>
      </c>
      <c r="BL371" s="253" cm="1">
        <f t="array" ref="BL371">$BC371 * IF($AD371&lt;=2,
SUMPRODUCT(INDEX($AL$72:$AN$76,,$AE371), INDEX($AO$72:$AU$76,,$AD371), 1 / ($AV$72:$AV$76*BK371 + (1-$AV$72:$AV$76)*BG371), N($AK$72:$AK$76&gt;$AI371)),
SUMPRODUCT(INDEX($AL$67:$AN$76,,$AE371), INDEX($AO$67:$AU$76,,$AD371), 1 / ($AW$67:$AW$76*BK371 + (1-$AW$67:$AW$76)*BG371), N($AK$67:$AK$76&gt;$AI371))
) / 1000</f>
        <v>0</v>
      </c>
      <c r="BM371" s="250">
        <f t="shared" si="484"/>
        <v>25</v>
      </c>
      <c r="BN371" s="237">
        <f t="shared" si="462"/>
        <v>39.516666666666666</v>
      </c>
      <c r="BO371" s="253">
        <f t="shared" si="463"/>
        <v>3.877011788826243</v>
      </c>
      <c r="BP371" s="253" cm="1">
        <f t="array" ref="BP371">$BC371 * IF($AD371&lt;=2,
SUMPRODUCT(INDEX($AL$67:$AN$71,,$AE371), INDEX($AO$67:$AU$71,,$AD371), 1 / ($AV$67:$AV$71*BO371 + (1-$AV$67:$AV$71)*BK371), N($AK$67:$AK$71&gt;$AI371)),
SUMPRODUCT(INDEX($AL$57:$AN$66,,$AE371), INDEX($AO$57:$AU$66,,$AD371), 1 / ($AW$57:$AW$66*BO371 + (1-$AW$57:$AW$66)*BK371), N($AK$57:$AK$66&gt;$AI371))
) / 1000</f>
        <v>0</v>
      </c>
      <c r="BQ371" s="250">
        <f t="shared" si="485"/>
        <v>20</v>
      </c>
      <c r="BR371" s="237">
        <f t="shared" si="464"/>
        <v>33</v>
      </c>
      <c r="BS371" s="253">
        <f t="shared" si="465"/>
        <v>4.8487499999999999</v>
      </c>
      <c r="BT371" s="253" cm="1">
        <f t="array" ref="BT371">$BC371 * IF($AD371&lt;=2,
SUMPRODUCT(INDEX($AL$62:$AN$66,,$AE371), INDEX($AO$62:$AU$66,,$AD371), 1 / ($AV$62:$AV$66*BS371 + (1-$AV$62:$AV$66)*BO371), N($AK$62:$AK$66&gt;$AI371)),
SUMPRODUCT(INDEX($AL$47:$AN$56,,$AE371), INDEX($AO$47:$AU$56,,$AD371), 1 / ($AW$47:$AW$56*BS371 + (1-$AW$47:$AW$56)*BO371), N($AK$47:$AK$56&gt;$AI371))
) / 1000</f>
        <v>0</v>
      </c>
      <c r="BU371" s="253" cm="1">
        <f t="array" ref="BU371">$BC371 * IF($AD371&lt;=2,
SUMPRODUCT(INDEX($AL$23:$AN$61,,$AE371), INDEX($AO$23:$AU$61,,$AD371), 1 / ($AV$23:$AV$61*BS371), N($AK$23:$AK$61&gt;$AI371)),
SUMPRODUCT(INDEX($AL$23:$AN$46,,$AE371), INDEX($AO$23:$AU$46,,$AD371), 1 / ($AW$23:$AW$46*BS371), N($AK$23:$AK$46&gt;$AI371))
) / 1000</f>
        <v>0</v>
      </c>
      <c r="BV371" s="237">
        <f t="shared" si="466"/>
        <v>0</v>
      </c>
      <c r="BW371" s="210"/>
      <c r="BX371" s="237">
        <f t="shared" si="467"/>
        <v>0</v>
      </c>
      <c r="BY371" s="236">
        <v>35</v>
      </c>
      <c r="BZ371" s="237">
        <f t="shared" si="468"/>
        <v>48</v>
      </c>
      <c r="CA371" s="253">
        <f t="shared" si="469"/>
        <v>3.0748170731707316</v>
      </c>
      <c r="CB371" s="253" cm="1">
        <f t="array" ref="CB371">$BC371 * SUMPRODUCT(INDEX($AL$77:$AN$82,,$AE371),INDEX($AO$77:$AU$82,,$AD371), N($AK$77:$AK$82&gt;$AI371)) / CA371 / 1000</f>
        <v>0</v>
      </c>
      <c r="CC371" s="250">
        <f t="shared" si="486"/>
        <v>30</v>
      </c>
      <c r="CD371" s="237">
        <f t="shared" si="470"/>
        <v>43</v>
      </c>
      <c r="CE371" s="253">
        <f t="shared" si="471"/>
        <v>3.5018750000000001</v>
      </c>
      <c r="CF371" s="253" cm="1">
        <f t="array" ref="CF371">$BC371 * IF($AD371&lt;=2,
SUMPRODUCT(INDEX($AL$72:$AN$76,,$AE371), INDEX($AO$72:$AU$76,,$AD371), 1 / ($AV$72:$AV$76*CE371 + (1-$AV$72:$AV$76)*CA371), N($AK$72:$AK$76&gt;$AI371)),
SUMPRODUCT(INDEX($AL$67:$AN$76,,$AE371), INDEX($AO$67:$AU$76,,$AD371), 1 / ($AW$67:$AW$76*CE371 + (1-$AW$67:$AW$76)*CA371), N($AK$67:$AK$76&gt;$AI371))
) / 1000</f>
        <v>0</v>
      </c>
      <c r="CG371" s="250">
        <f t="shared" si="487"/>
        <v>25</v>
      </c>
      <c r="CH371" s="237">
        <f t="shared" si="472"/>
        <v>38</v>
      </c>
      <c r="CI371" s="253">
        <f t="shared" si="473"/>
        <v>4.0666935483870965</v>
      </c>
      <c r="CJ371" s="253" cm="1">
        <f t="array" ref="CJ371">$BC371 * IF($AD371&lt;=2,
SUMPRODUCT(INDEX($AL$67:$AN$71,,$AE371), INDEX($AO$67:$AU$71,,$AD371), 1 / ($AV$67:$AV$71*CI371 + (1-$AV$67:$AV$71)*CE371), N($AK$67:$AK$71&gt;$AI371)),
SUMPRODUCT(INDEX($AL$57:$AN$66,,$AE371), INDEX($AO$57:$AU$66,,$AD371), 1 / ($AW$57:$AW$66*CI371 + (1-$AW$57:$AW$66)*CE371), N($AK$57:$AK$66&gt;$AI371))
) / 1000</f>
        <v>0</v>
      </c>
      <c r="CK371" s="250">
        <f t="shared" si="488"/>
        <v>20</v>
      </c>
      <c r="CL371" s="237">
        <f t="shared" si="474"/>
        <v>33</v>
      </c>
      <c r="CM371" s="253">
        <f t="shared" si="475"/>
        <v>4.8487499999999999</v>
      </c>
      <c r="CN371" s="253" cm="1">
        <f t="array" ref="CN371">$BC371 * IF($AD371&lt;=2,
SUMPRODUCT(INDEX($AL$62:$AN$66,,$AE371), INDEX($AO$62:$AU$66,,$AD371), 1 / ($AV$62:$AV$66*CM371 + (1-$AV$62:$AV$66)*CI371), N($AK$62:$AK$66&gt;$AI371)),
SUMPRODUCT(INDEX($AL$47:$AN$56,,$AE371), INDEX($AO$47:$AU$56,,$AD371), 1 / ($AW$47:$AW$56*CM371 + (1-$AW$47:$AW$56)*CI371), N($AK$47:$AK$56&gt;$AI371))
) / 1000</f>
        <v>0</v>
      </c>
      <c r="CO371" s="253" cm="1">
        <f t="array" ref="CO371">$BC371 * IF($AD371&lt;=2,
SUMPRODUCT(INDEX($AL$23:$AN$61,,$AE371), INDEX($AO$23:$AU$61,,$AD371), 1 / ($AV$23:$AV$61*CM371), N($AK$23:$AK$61&gt;$AI371)),
SUMPRODUCT(INDEX($AL$23:$AN$46,,$AE371), INDEX($AO$23:$AU$46,,$AD371), 1 / ($AW$23:$AW$46*CM371), N($AK$23:$AK$46&gt;$AI371))
) / 1000</f>
        <v>0</v>
      </c>
      <c r="CP371" s="237">
        <f t="shared" si="476"/>
        <v>0</v>
      </c>
      <c r="CQ371" s="210"/>
    </row>
    <row r="372" spans="1:95" s="76" customFormat="1" ht="14.25" customHeight="1" x14ac:dyDescent="0.2">
      <c r="A372" s="238" t="b">
        <f t="shared" si="480"/>
        <v>0</v>
      </c>
      <c r="B372" s="239">
        <v>350</v>
      </c>
      <c r="C372" s="258"/>
      <c r="D372" s="258"/>
      <c r="E372" s="240"/>
      <c r="F372" s="241" t="str">
        <f>IF(ISBLANK(E372), "", VLOOKUP(E372, Z!$A$2:$C$4127, 3, FALSE))</f>
        <v/>
      </c>
      <c r="G372" s="242"/>
      <c r="H372" s="242"/>
      <c r="I372" s="243"/>
      <c r="J372" s="244"/>
      <c r="K372" s="259"/>
      <c r="L372" s="260"/>
      <c r="M372" s="247" t="str" cm="1">
        <f t="array" ref="M372">IF($K372&gt;0, INDEX(Clean,1+AG372,$C$1), "")</f>
        <v/>
      </c>
      <c r="N372" s="245"/>
      <c r="O372" s="245"/>
      <c r="P372" s="246"/>
      <c r="Q372" s="248">
        <f t="shared" si="453"/>
        <v>0</v>
      </c>
      <c r="R372" s="247" t="str" cm="1">
        <f t="array" ref="R372">IF($K372&gt;0, INDEX(Clean,1+AH372,$C$1), "")</f>
        <v/>
      </c>
      <c r="S372" s="245"/>
      <c r="T372" s="245"/>
      <c r="U372" s="246"/>
      <c r="V372" s="248">
        <f t="shared" si="454"/>
        <v>0</v>
      </c>
      <c r="W372" s="261"/>
      <c r="X372" s="258"/>
      <c r="Y372" s="240"/>
      <c r="Z372" s="241" t="str">
        <f>IF(ISBLANK(Y372), "", VLOOKUP(Y372, Z!$A$2:$C$4127, 3, FALSE))</f>
        <v/>
      </c>
      <c r="AA372" s="262"/>
      <c r="AB372" s="249">
        <f t="shared" si="489"/>
        <v>0</v>
      </c>
      <c r="AC372" s="210"/>
      <c r="AD372" s="236">
        <f t="shared" si="477"/>
        <v>1</v>
      </c>
      <c r="AE372" s="236">
        <f t="shared" si="478"/>
        <v>1</v>
      </c>
      <c r="AF372" s="236">
        <f t="shared" si="479"/>
        <v>0</v>
      </c>
      <c r="AG372" s="236">
        <v>1</v>
      </c>
      <c r="AH372" s="236">
        <v>0</v>
      </c>
      <c r="AI372" s="236">
        <f t="shared" si="455"/>
        <v>-100</v>
      </c>
      <c r="AJ372" s="210"/>
      <c r="AK372" s="254"/>
      <c r="AL372" s="254"/>
      <c r="AM372" s="255"/>
      <c r="AN372" s="255"/>
      <c r="AO372" s="255"/>
      <c r="AP372" s="255"/>
      <c r="AQ372" s="255"/>
      <c r="AR372" s="255"/>
      <c r="AS372" s="255"/>
      <c r="AT372" s="255"/>
      <c r="AU372" s="255"/>
      <c r="AV372" s="255"/>
      <c r="AW372" s="255"/>
      <c r="AX372" s="210"/>
      <c r="AY372" s="236" cm="1">
        <f t="array" ref="AY372">INDEX(Use, $AD372, 4)</f>
        <v>7</v>
      </c>
      <c r="AZ372" s="236">
        <f t="shared" si="456"/>
        <v>32</v>
      </c>
      <c r="BA372" s="236">
        <f t="shared" si="481"/>
        <v>13</v>
      </c>
      <c r="BB372" s="236">
        <f t="shared" si="482"/>
        <v>0</v>
      </c>
      <c r="BC372" s="252" cm="1">
        <f t="array" ref="BC372">K372/IF($L372&gt;0, INDEX($AO$23:$AU$77, $L372+20, $AD372), 1)</f>
        <v>0</v>
      </c>
      <c r="BD372" s="237">
        <f t="shared" si="457"/>
        <v>0</v>
      </c>
      <c r="BE372" s="236">
        <v>35</v>
      </c>
      <c r="BF372" s="237">
        <f t="shared" si="458"/>
        <v>52.55</v>
      </c>
      <c r="BG372" s="253">
        <f t="shared" si="459"/>
        <v>2.7676728869374316</v>
      </c>
      <c r="BH372" s="253" cm="1">
        <f t="array" ref="BH372">$BC372 * SUMPRODUCT(INDEX($AL$77:$AN$82,,$AE372),INDEX($AO$77:$AU$82,,$AD372), N($AK$77:$AK$82&gt;$AI372)) / BG372 / 1000</f>
        <v>0</v>
      </c>
      <c r="BI372" s="250">
        <f t="shared" si="483"/>
        <v>30</v>
      </c>
      <c r="BJ372" s="237">
        <f t="shared" si="460"/>
        <v>46.033333333333331</v>
      </c>
      <c r="BK372" s="253">
        <f t="shared" si="461"/>
        <v>3.2297395388556791</v>
      </c>
      <c r="BL372" s="253" cm="1">
        <f t="array" ref="BL372">$BC372 * IF($AD372&lt;=2,
SUMPRODUCT(INDEX($AL$72:$AN$76,,$AE372), INDEX($AO$72:$AU$76,,$AD372), 1 / ($AV$72:$AV$76*BK372 + (1-$AV$72:$AV$76)*BG372), N($AK$72:$AK$76&gt;$AI372)),
SUMPRODUCT(INDEX($AL$67:$AN$76,,$AE372), INDEX($AO$67:$AU$76,,$AD372), 1 / ($AW$67:$AW$76*BK372 + (1-$AW$67:$AW$76)*BG372), N($AK$67:$AK$76&gt;$AI372))
) / 1000</f>
        <v>0</v>
      </c>
      <c r="BM372" s="250">
        <f t="shared" si="484"/>
        <v>25</v>
      </c>
      <c r="BN372" s="237">
        <f t="shared" si="462"/>
        <v>39.516666666666666</v>
      </c>
      <c r="BO372" s="253">
        <f t="shared" si="463"/>
        <v>3.877011788826243</v>
      </c>
      <c r="BP372" s="253" cm="1">
        <f t="array" ref="BP372">$BC372 * IF($AD372&lt;=2,
SUMPRODUCT(INDEX($AL$67:$AN$71,,$AE372), INDEX($AO$67:$AU$71,,$AD372), 1 / ($AV$67:$AV$71*BO372 + (1-$AV$67:$AV$71)*BK372), N($AK$67:$AK$71&gt;$AI372)),
SUMPRODUCT(INDEX($AL$57:$AN$66,,$AE372), INDEX($AO$57:$AU$66,,$AD372), 1 / ($AW$57:$AW$66*BO372 + (1-$AW$57:$AW$66)*BK372), N($AK$57:$AK$66&gt;$AI372))
) / 1000</f>
        <v>0</v>
      </c>
      <c r="BQ372" s="250">
        <f t="shared" si="485"/>
        <v>20</v>
      </c>
      <c r="BR372" s="237">
        <f t="shared" si="464"/>
        <v>33</v>
      </c>
      <c r="BS372" s="253">
        <f t="shared" si="465"/>
        <v>4.8487499999999999</v>
      </c>
      <c r="BT372" s="253" cm="1">
        <f t="array" ref="BT372">$BC372 * IF($AD372&lt;=2,
SUMPRODUCT(INDEX($AL$62:$AN$66,,$AE372), INDEX($AO$62:$AU$66,,$AD372), 1 / ($AV$62:$AV$66*BS372 + (1-$AV$62:$AV$66)*BO372), N($AK$62:$AK$66&gt;$AI372)),
SUMPRODUCT(INDEX($AL$47:$AN$56,,$AE372), INDEX($AO$47:$AU$56,,$AD372), 1 / ($AW$47:$AW$56*BS372 + (1-$AW$47:$AW$56)*BO372), N($AK$47:$AK$56&gt;$AI372))
) / 1000</f>
        <v>0</v>
      </c>
      <c r="BU372" s="253" cm="1">
        <f t="array" ref="BU372">$BC372 * IF($AD372&lt;=2,
SUMPRODUCT(INDEX($AL$23:$AN$61,,$AE372), INDEX($AO$23:$AU$61,,$AD372), 1 / ($AV$23:$AV$61*BS372), N($AK$23:$AK$61&gt;$AI372)),
SUMPRODUCT(INDEX($AL$23:$AN$46,,$AE372), INDEX($AO$23:$AU$46,,$AD372), 1 / ($AW$23:$AW$46*BS372), N($AK$23:$AK$46&gt;$AI372))
) / 1000</f>
        <v>0</v>
      </c>
      <c r="BV372" s="237">
        <f t="shared" si="466"/>
        <v>0</v>
      </c>
      <c r="BW372" s="210"/>
      <c r="BX372" s="237">
        <f t="shared" si="467"/>
        <v>0</v>
      </c>
      <c r="BY372" s="236">
        <v>35</v>
      </c>
      <c r="BZ372" s="237">
        <f t="shared" si="468"/>
        <v>48</v>
      </c>
      <c r="CA372" s="253">
        <f t="shared" si="469"/>
        <v>3.0748170731707316</v>
      </c>
      <c r="CB372" s="253" cm="1">
        <f t="array" ref="CB372">$BC372 * SUMPRODUCT(INDEX($AL$77:$AN$82,,$AE372),INDEX($AO$77:$AU$82,,$AD372), N($AK$77:$AK$82&gt;$AI372)) / CA372 / 1000</f>
        <v>0</v>
      </c>
      <c r="CC372" s="250">
        <f t="shared" si="486"/>
        <v>30</v>
      </c>
      <c r="CD372" s="237">
        <f t="shared" si="470"/>
        <v>43</v>
      </c>
      <c r="CE372" s="253">
        <f t="shared" si="471"/>
        <v>3.5018750000000001</v>
      </c>
      <c r="CF372" s="253" cm="1">
        <f t="array" ref="CF372">$BC372 * IF($AD372&lt;=2,
SUMPRODUCT(INDEX($AL$72:$AN$76,,$AE372), INDEX($AO$72:$AU$76,,$AD372), 1 / ($AV$72:$AV$76*CE372 + (1-$AV$72:$AV$76)*CA372), N($AK$72:$AK$76&gt;$AI372)),
SUMPRODUCT(INDEX($AL$67:$AN$76,,$AE372), INDEX($AO$67:$AU$76,,$AD372), 1 / ($AW$67:$AW$76*CE372 + (1-$AW$67:$AW$76)*CA372), N($AK$67:$AK$76&gt;$AI372))
) / 1000</f>
        <v>0</v>
      </c>
      <c r="CG372" s="250">
        <f t="shared" si="487"/>
        <v>25</v>
      </c>
      <c r="CH372" s="237">
        <f t="shared" si="472"/>
        <v>38</v>
      </c>
      <c r="CI372" s="253">
        <f t="shared" si="473"/>
        <v>4.0666935483870965</v>
      </c>
      <c r="CJ372" s="253" cm="1">
        <f t="array" ref="CJ372">$BC372 * IF($AD372&lt;=2,
SUMPRODUCT(INDEX($AL$67:$AN$71,,$AE372), INDEX($AO$67:$AU$71,,$AD372), 1 / ($AV$67:$AV$71*CI372 + (1-$AV$67:$AV$71)*CE372), N($AK$67:$AK$71&gt;$AI372)),
SUMPRODUCT(INDEX($AL$57:$AN$66,,$AE372), INDEX($AO$57:$AU$66,,$AD372), 1 / ($AW$57:$AW$66*CI372 + (1-$AW$57:$AW$66)*CE372), N($AK$57:$AK$66&gt;$AI372))
) / 1000</f>
        <v>0</v>
      </c>
      <c r="CK372" s="250">
        <f t="shared" si="488"/>
        <v>20</v>
      </c>
      <c r="CL372" s="237">
        <f t="shared" si="474"/>
        <v>33</v>
      </c>
      <c r="CM372" s="253">
        <f t="shared" si="475"/>
        <v>4.8487499999999999</v>
      </c>
      <c r="CN372" s="253" cm="1">
        <f t="array" ref="CN372">$BC372 * IF($AD372&lt;=2,
SUMPRODUCT(INDEX($AL$62:$AN$66,,$AE372), INDEX($AO$62:$AU$66,,$AD372), 1 / ($AV$62:$AV$66*CM372 + (1-$AV$62:$AV$66)*CI372), N($AK$62:$AK$66&gt;$AI372)),
SUMPRODUCT(INDEX($AL$47:$AN$56,,$AE372), INDEX($AO$47:$AU$56,,$AD372), 1 / ($AW$47:$AW$56*CM372 + (1-$AW$47:$AW$56)*CI372), N($AK$47:$AK$56&gt;$AI372))
) / 1000</f>
        <v>0</v>
      </c>
      <c r="CO372" s="253" cm="1">
        <f t="array" ref="CO372">$BC372 * IF($AD372&lt;=2,
SUMPRODUCT(INDEX($AL$23:$AN$61,,$AE372), INDEX($AO$23:$AU$61,,$AD372), 1 / ($AV$23:$AV$61*CM372), N($AK$23:$AK$61&gt;$AI372)),
SUMPRODUCT(INDEX($AL$23:$AN$46,,$AE372), INDEX($AO$23:$AU$46,,$AD372), 1 / ($AW$23:$AW$46*CM372), N($AK$23:$AK$46&gt;$AI372))
) / 1000</f>
        <v>0</v>
      </c>
      <c r="CP372" s="237">
        <f t="shared" si="476"/>
        <v>0</v>
      </c>
      <c r="CQ372" s="210"/>
    </row>
    <row r="373" spans="1:95" s="76" customFormat="1" ht="14.25" customHeight="1" x14ac:dyDescent="0.2">
      <c r="A373" s="238" t="b">
        <f t="shared" si="480"/>
        <v>0</v>
      </c>
      <c r="B373" s="239">
        <v>351</v>
      </c>
      <c r="C373" s="258"/>
      <c r="D373" s="258"/>
      <c r="E373" s="240"/>
      <c r="F373" s="241" t="str">
        <f>IF(ISBLANK(E373), "", VLOOKUP(E373, Z!$A$2:$C$4127, 3, FALSE))</f>
        <v/>
      </c>
      <c r="G373" s="242"/>
      <c r="H373" s="242"/>
      <c r="I373" s="243"/>
      <c r="J373" s="244"/>
      <c r="K373" s="259"/>
      <c r="L373" s="260"/>
      <c r="M373" s="247" t="str" cm="1">
        <f t="array" ref="M373">IF($K373&gt;0, INDEX(Clean,1+AG373,$C$1), "")</f>
        <v/>
      </c>
      <c r="N373" s="245"/>
      <c r="O373" s="245"/>
      <c r="P373" s="246"/>
      <c r="Q373" s="248">
        <f t="shared" si="453"/>
        <v>0</v>
      </c>
      <c r="R373" s="247" t="str" cm="1">
        <f t="array" ref="R373">IF($K373&gt;0, INDEX(Clean,1+AH373,$C$1), "")</f>
        <v/>
      </c>
      <c r="S373" s="245"/>
      <c r="T373" s="245"/>
      <c r="U373" s="246"/>
      <c r="V373" s="248">
        <f t="shared" si="454"/>
        <v>0</v>
      </c>
      <c r="W373" s="261"/>
      <c r="X373" s="258"/>
      <c r="Y373" s="240"/>
      <c r="Z373" s="241" t="str">
        <f>IF(ISBLANK(Y373), "", VLOOKUP(Y373, Z!$A$2:$C$4127, 3, FALSE))</f>
        <v/>
      </c>
      <c r="AA373" s="262"/>
      <c r="AB373" s="249">
        <f t="shared" si="489"/>
        <v>0</v>
      </c>
      <c r="AC373" s="210"/>
      <c r="AD373" s="236">
        <f t="shared" si="477"/>
        <v>1</v>
      </c>
      <c r="AE373" s="236">
        <f t="shared" si="478"/>
        <v>1</v>
      </c>
      <c r="AF373" s="236">
        <f t="shared" si="479"/>
        <v>0</v>
      </c>
      <c r="AG373" s="236">
        <v>1</v>
      </c>
      <c r="AH373" s="236">
        <v>0</v>
      </c>
      <c r="AI373" s="236">
        <f t="shared" si="455"/>
        <v>-100</v>
      </c>
      <c r="AJ373" s="210"/>
      <c r="AK373" s="254"/>
      <c r="AL373" s="254"/>
      <c r="AM373" s="255"/>
      <c r="AN373" s="255"/>
      <c r="AO373" s="255"/>
      <c r="AP373" s="255"/>
      <c r="AQ373" s="255"/>
      <c r="AR373" s="255"/>
      <c r="AS373" s="255"/>
      <c r="AT373" s="255"/>
      <c r="AU373" s="255"/>
      <c r="AV373" s="255"/>
      <c r="AW373" s="255"/>
      <c r="AX373" s="210"/>
      <c r="AY373" s="236" cm="1">
        <f t="array" ref="AY373">INDEX(Use, $AD373, 4)</f>
        <v>7</v>
      </c>
      <c r="AZ373" s="236">
        <f t="shared" si="456"/>
        <v>32</v>
      </c>
      <c r="BA373" s="236">
        <f t="shared" si="481"/>
        <v>13</v>
      </c>
      <c r="BB373" s="236">
        <f t="shared" si="482"/>
        <v>0</v>
      </c>
      <c r="BC373" s="252" cm="1">
        <f t="array" ref="BC373">K373/IF($L373&gt;0, INDEX($AO$23:$AU$77, $L373+20, $AD373), 1)</f>
        <v>0</v>
      </c>
      <c r="BD373" s="237">
        <f t="shared" si="457"/>
        <v>0</v>
      </c>
      <c r="BE373" s="236">
        <v>35</v>
      </c>
      <c r="BF373" s="237">
        <f t="shared" si="458"/>
        <v>52.55</v>
      </c>
      <c r="BG373" s="253">
        <f t="shared" si="459"/>
        <v>2.7676728869374316</v>
      </c>
      <c r="BH373" s="253" cm="1">
        <f t="array" ref="BH373">$BC373 * SUMPRODUCT(INDEX($AL$77:$AN$82,,$AE373),INDEX($AO$77:$AU$82,,$AD373), N($AK$77:$AK$82&gt;$AI373)) / BG373 / 1000</f>
        <v>0</v>
      </c>
      <c r="BI373" s="250">
        <f t="shared" si="483"/>
        <v>30</v>
      </c>
      <c r="BJ373" s="237">
        <f t="shared" si="460"/>
        <v>46.033333333333331</v>
      </c>
      <c r="BK373" s="253">
        <f t="shared" si="461"/>
        <v>3.2297395388556791</v>
      </c>
      <c r="BL373" s="253" cm="1">
        <f t="array" ref="BL373">$BC373 * IF($AD373&lt;=2,
SUMPRODUCT(INDEX($AL$72:$AN$76,,$AE373), INDEX($AO$72:$AU$76,,$AD373), 1 / ($AV$72:$AV$76*BK373 + (1-$AV$72:$AV$76)*BG373), N($AK$72:$AK$76&gt;$AI373)),
SUMPRODUCT(INDEX($AL$67:$AN$76,,$AE373), INDEX($AO$67:$AU$76,,$AD373), 1 / ($AW$67:$AW$76*BK373 + (1-$AW$67:$AW$76)*BG373), N($AK$67:$AK$76&gt;$AI373))
) / 1000</f>
        <v>0</v>
      </c>
      <c r="BM373" s="250">
        <f t="shared" si="484"/>
        <v>25</v>
      </c>
      <c r="BN373" s="237">
        <f t="shared" si="462"/>
        <v>39.516666666666666</v>
      </c>
      <c r="BO373" s="253">
        <f t="shared" si="463"/>
        <v>3.877011788826243</v>
      </c>
      <c r="BP373" s="253" cm="1">
        <f t="array" ref="BP373">$BC373 * IF($AD373&lt;=2,
SUMPRODUCT(INDEX($AL$67:$AN$71,,$AE373), INDEX($AO$67:$AU$71,,$AD373), 1 / ($AV$67:$AV$71*BO373 + (1-$AV$67:$AV$71)*BK373), N($AK$67:$AK$71&gt;$AI373)),
SUMPRODUCT(INDEX($AL$57:$AN$66,,$AE373), INDEX($AO$57:$AU$66,,$AD373), 1 / ($AW$57:$AW$66*BO373 + (1-$AW$57:$AW$66)*BK373), N($AK$57:$AK$66&gt;$AI373))
) / 1000</f>
        <v>0</v>
      </c>
      <c r="BQ373" s="250">
        <f t="shared" si="485"/>
        <v>20</v>
      </c>
      <c r="BR373" s="237">
        <f t="shared" si="464"/>
        <v>33</v>
      </c>
      <c r="BS373" s="253">
        <f t="shared" si="465"/>
        <v>4.8487499999999999</v>
      </c>
      <c r="BT373" s="253" cm="1">
        <f t="array" ref="BT373">$BC373 * IF($AD373&lt;=2,
SUMPRODUCT(INDEX($AL$62:$AN$66,,$AE373), INDEX($AO$62:$AU$66,,$AD373), 1 / ($AV$62:$AV$66*BS373 + (1-$AV$62:$AV$66)*BO373), N($AK$62:$AK$66&gt;$AI373)),
SUMPRODUCT(INDEX($AL$47:$AN$56,,$AE373), INDEX($AO$47:$AU$56,,$AD373), 1 / ($AW$47:$AW$56*BS373 + (1-$AW$47:$AW$56)*BO373), N($AK$47:$AK$56&gt;$AI373))
) / 1000</f>
        <v>0</v>
      </c>
      <c r="BU373" s="253" cm="1">
        <f t="array" ref="BU373">$BC373 * IF($AD373&lt;=2,
SUMPRODUCT(INDEX($AL$23:$AN$61,,$AE373), INDEX($AO$23:$AU$61,,$AD373), 1 / ($AV$23:$AV$61*BS373), N($AK$23:$AK$61&gt;$AI373)),
SUMPRODUCT(INDEX($AL$23:$AN$46,,$AE373), INDEX($AO$23:$AU$46,,$AD373), 1 / ($AW$23:$AW$46*BS373), N($AK$23:$AK$46&gt;$AI373))
) / 1000</f>
        <v>0</v>
      </c>
      <c r="BV373" s="237">
        <f t="shared" si="466"/>
        <v>0</v>
      </c>
      <c r="BW373" s="210"/>
      <c r="BX373" s="237">
        <f t="shared" si="467"/>
        <v>0</v>
      </c>
      <c r="BY373" s="236">
        <v>35</v>
      </c>
      <c r="BZ373" s="237">
        <f t="shared" si="468"/>
        <v>48</v>
      </c>
      <c r="CA373" s="253">
        <f t="shared" si="469"/>
        <v>3.0748170731707316</v>
      </c>
      <c r="CB373" s="253" cm="1">
        <f t="array" ref="CB373">$BC373 * SUMPRODUCT(INDEX($AL$77:$AN$82,,$AE373),INDEX($AO$77:$AU$82,,$AD373), N($AK$77:$AK$82&gt;$AI373)) / CA373 / 1000</f>
        <v>0</v>
      </c>
      <c r="CC373" s="250">
        <f t="shared" si="486"/>
        <v>30</v>
      </c>
      <c r="CD373" s="237">
        <f t="shared" si="470"/>
        <v>43</v>
      </c>
      <c r="CE373" s="253">
        <f t="shared" si="471"/>
        <v>3.5018750000000001</v>
      </c>
      <c r="CF373" s="253" cm="1">
        <f t="array" ref="CF373">$BC373 * IF($AD373&lt;=2,
SUMPRODUCT(INDEX($AL$72:$AN$76,,$AE373), INDEX($AO$72:$AU$76,,$AD373), 1 / ($AV$72:$AV$76*CE373 + (1-$AV$72:$AV$76)*CA373), N($AK$72:$AK$76&gt;$AI373)),
SUMPRODUCT(INDEX($AL$67:$AN$76,,$AE373), INDEX($AO$67:$AU$76,,$AD373), 1 / ($AW$67:$AW$76*CE373 + (1-$AW$67:$AW$76)*CA373), N($AK$67:$AK$76&gt;$AI373))
) / 1000</f>
        <v>0</v>
      </c>
      <c r="CG373" s="250">
        <f t="shared" si="487"/>
        <v>25</v>
      </c>
      <c r="CH373" s="237">
        <f t="shared" si="472"/>
        <v>38</v>
      </c>
      <c r="CI373" s="253">
        <f t="shared" si="473"/>
        <v>4.0666935483870965</v>
      </c>
      <c r="CJ373" s="253" cm="1">
        <f t="array" ref="CJ373">$BC373 * IF($AD373&lt;=2,
SUMPRODUCT(INDEX($AL$67:$AN$71,,$AE373), INDEX($AO$67:$AU$71,,$AD373), 1 / ($AV$67:$AV$71*CI373 + (1-$AV$67:$AV$71)*CE373), N($AK$67:$AK$71&gt;$AI373)),
SUMPRODUCT(INDEX($AL$57:$AN$66,,$AE373), INDEX($AO$57:$AU$66,,$AD373), 1 / ($AW$57:$AW$66*CI373 + (1-$AW$57:$AW$66)*CE373), N($AK$57:$AK$66&gt;$AI373))
) / 1000</f>
        <v>0</v>
      </c>
      <c r="CK373" s="250">
        <f t="shared" si="488"/>
        <v>20</v>
      </c>
      <c r="CL373" s="237">
        <f t="shared" si="474"/>
        <v>33</v>
      </c>
      <c r="CM373" s="253">
        <f t="shared" si="475"/>
        <v>4.8487499999999999</v>
      </c>
      <c r="CN373" s="253" cm="1">
        <f t="array" ref="CN373">$BC373 * IF($AD373&lt;=2,
SUMPRODUCT(INDEX($AL$62:$AN$66,,$AE373), INDEX($AO$62:$AU$66,,$AD373), 1 / ($AV$62:$AV$66*CM373 + (1-$AV$62:$AV$66)*CI373), N($AK$62:$AK$66&gt;$AI373)),
SUMPRODUCT(INDEX($AL$47:$AN$56,,$AE373), INDEX($AO$47:$AU$56,,$AD373), 1 / ($AW$47:$AW$56*CM373 + (1-$AW$47:$AW$56)*CI373), N($AK$47:$AK$56&gt;$AI373))
) / 1000</f>
        <v>0</v>
      </c>
      <c r="CO373" s="253" cm="1">
        <f t="array" ref="CO373">$BC373 * IF($AD373&lt;=2,
SUMPRODUCT(INDEX($AL$23:$AN$61,,$AE373), INDEX($AO$23:$AU$61,,$AD373), 1 / ($AV$23:$AV$61*CM373), N($AK$23:$AK$61&gt;$AI373)),
SUMPRODUCT(INDEX($AL$23:$AN$46,,$AE373), INDEX($AO$23:$AU$46,,$AD373), 1 / ($AW$23:$AW$46*CM373), N($AK$23:$AK$46&gt;$AI373))
) / 1000</f>
        <v>0</v>
      </c>
      <c r="CP373" s="237">
        <f t="shared" si="476"/>
        <v>0</v>
      </c>
      <c r="CQ373" s="210"/>
    </row>
    <row r="374" spans="1:95" s="76" customFormat="1" ht="14.25" customHeight="1" x14ac:dyDescent="0.2">
      <c r="A374" s="238" t="b">
        <f t="shared" si="480"/>
        <v>0</v>
      </c>
      <c r="B374" s="239">
        <v>352</v>
      </c>
      <c r="C374" s="258"/>
      <c r="D374" s="258"/>
      <c r="E374" s="240"/>
      <c r="F374" s="241" t="str">
        <f>IF(ISBLANK(E374), "", VLOOKUP(E374, Z!$A$2:$C$4127, 3, FALSE))</f>
        <v/>
      </c>
      <c r="G374" s="242"/>
      <c r="H374" s="242"/>
      <c r="I374" s="243"/>
      <c r="J374" s="244"/>
      <c r="K374" s="259"/>
      <c r="L374" s="260"/>
      <c r="M374" s="247" t="str" cm="1">
        <f t="array" ref="M374">IF($K374&gt;0, INDEX(Clean,1+AG374,$C$1), "")</f>
        <v/>
      </c>
      <c r="N374" s="245"/>
      <c r="O374" s="245"/>
      <c r="P374" s="246"/>
      <c r="Q374" s="248">
        <f t="shared" si="453"/>
        <v>0</v>
      </c>
      <c r="R374" s="247" t="str" cm="1">
        <f t="array" ref="R374">IF($K374&gt;0, INDEX(Clean,1+AH374,$C$1), "")</f>
        <v/>
      </c>
      <c r="S374" s="245"/>
      <c r="T374" s="245"/>
      <c r="U374" s="246"/>
      <c r="V374" s="248">
        <f t="shared" si="454"/>
        <v>0</v>
      </c>
      <c r="W374" s="261"/>
      <c r="X374" s="258"/>
      <c r="Y374" s="240"/>
      <c r="Z374" s="241" t="str">
        <f>IF(ISBLANK(Y374), "", VLOOKUP(Y374, Z!$A$2:$C$4127, 3, FALSE))</f>
        <v/>
      </c>
      <c r="AA374" s="262"/>
      <c r="AB374" s="249">
        <f t="shared" si="489"/>
        <v>0</v>
      </c>
      <c r="AC374" s="210"/>
      <c r="AD374" s="236">
        <f t="shared" si="477"/>
        <v>1</v>
      </c>
      <c r="AE374" s="236">
        <f t="shared" si="478"/>
        <v>1</v>
      </c>
      <c r="AF374" s="236">
        <f t="shared" si="479"/>
        <v>0</v>
      </c>
      <c r="AG374" s="236">
        <v>1</v>
      </c>
      <c r="AH374" s="236">
        <v>0</v>
      </c>
      <c r="AI374" s="236">
        <f t="shared" si="455"/>
        <v>-100</v>
      </c>
      <c r="AJ374" s="210"/>
      <c r="AK374" s="254"/>
      <c r="AL374" s="254"/>
      <c r="AM374" s="255"/>
      <c r="AN374" s="255"/>
      <c r="AO374" s="255"/>
      <c r="AP374" s="255"/>
      <c r="AQ374" s="255"/>
      <c r="AR374" s="255"/>
      <c r="AS374" s="255"/>
      <c r="AT374" s="255"/>
      <c r="AU374" s="255"/>
      <c r="AV374" s="255"/>
      <c r="AW374" s="255"/>
      <c r="AX374" s="210"/>
      <c r="AY374" s="236" cm="1">
        <f t="array" ref="AY374">INDEX(Use, $AD374, 4)</f>
        <v>7</v>
      </c>
      <c r="AZ374" s="236">
        <f t="shared" si="456"/>
        <v>32</v>
      </c>
      <c r="BA374" s="236">
        <f t="shared" si="481"/>
        <v>13</v>
      </c>
      <c r="BB374" s="236">
        <f t="shared" si="482"/>
        <v>0</v>
      </c>
      <c r="BC374" s="252" cm="1">
        <f t="array" ref="BC374">K374/IF($L374&gt;0, INDEX($AO$23:$AU$77, $L374+20, $AD374), 1)</f>
        <v>0</v>
      </c>
      <c r="BD374" s="237">
        <f t="shared" si="457"/>
        <v>0</v>
      </c>
      <c r="BE374" s="236">
        <v>35</v>
      </c>
      <c r="BF374" s="237">
        <f t="shared" si="458"/>
        <v>52.55</v>
      </c>
      <c r="BG374" s="253">
        <f t="shared" si="459"/>
        <v>2.7676728869374316</v>
      </c>
      <c r="BH374" s="253" cm="1">
        <f t="array" ref="BH374">$BC374 * SUMPRODUCT(INDEX($AL$77:$AN$82,,$AE374),INDEX($AO$77:$AU$82,,$AD374), N($AK$77:$AK$82&gt;$AI374)) / BG374 / 1000</f>
        <v>0</v>
      </c>
      <c r="BI374" s="250">
        <f t="shared" si="483"/>
        <v>30</v>
      </c>
      <c r="BJ374" s="237">
        <f t="shared" si="460"/>
        <v>46.033333333333331</v>
      </c>
      <c r="BK374" s="253">
        <f t="shared" si="461"/>
        <v>3.2297395388556791</v>
      </c>
      <c r="BL374" s="253" cm="1">
        <f t="array" ref="BL374">$BC374 * IF($AD374&lt;=2,
SUMPRODUCT(INDEX($AL$72:$AN$76,,$AE374), INDEX($AO$72:$AU$76,,$AD374), 1 / ($AV$72:$AV$76*BK374 + (1-$AV$72:$AV$76)*BG374), N($AK$72:$AK$76&gt;$AI374)),
SUMPRODUCT(INDEX($AL$67:$AN$76,,$AE374), INDEX($AO$67:$AU$76,,$AD374), 1 / ($AW$67:$AW$76*BK374 + (1-$AW$67:$AW$76)*BG374), N($AK$67:$AK$76&gt;$AI374))
) / 1000</f>
        <v>0</v>
      </c>
      <c r="BM374" s="250">
        <f t="shared" si="484"/>
        <v>25</v>
      </c>
      <c r="BN374" s="237">
        <f t="shared" si="462"/>
        <v>39.516666666666666</v>
      </c>
      <c r="BO374" s="253">
        <f t="shared" si="463"/>
        <v>3.877011788826243</v>
      </c>
      <c r="BP374" s="253" cm="1">
        <f t="array" ref="BP374">$BC374 * IF($AD374&lt;=2,
SUMPRODUCT(INDEX($AL$67:$AN$71,,$AE374), INDEX($AO$67:$AU$71,,$AD374), 1 / ($AV$67:$AV$71*BO374 + (1-$AV$67:$AV$71)*BK374), N($AK$67:$AK$71&gt;$AI374)),
SUMPRODUCT(INDEX($AL$57:$AN$66,,$AE374), INDEX($AO$57:$AU$66,,$AD374), 1 / ($AW$57:$AW$66*BO374 + (1-$AW$57:$AW$66)*BK374), N($AK$57:$AK$66&gt;$AI374))
) / 1000</f>
        <v>0</v>
      </c>
      <c r="BQ374" s="250">
        <f t="shared" si="485"/>
        <v>20</v>
      </c>
      <c r="BR374" s="237">
        <f t="shared" si="464"/>
        <v>33</v>
      </c>
      <c r="BS374" s="253">
        <f t="shared" si="465"/>
        <v>4.8487499999999999</v>
      </c>
      <c r="BT374" s="253" cm="1">
        <f t="array" ref="BT374">$BC374 * IF($AD374&lt;=2,
SUMPRODUCT(INDEX($AL$62:$AN$66,,$AE374), INDEX($AO$62:$AU$66,,$AD374), 1 / ($AV$62:$AV$66*BS374 + (1-$AV$62:$AV$66)*BO374), N($AK$62:$AK$66&gt;$AI374)),
SUMPRODUCT(INDEX($AL$47:$AN$56,,$AE374), INDEX($AO$47:$AU$56,,$AD374), 1 / ($AW$47:$AW$56*BS374 + (1-$AW$47:$AW$56)*BO374), N($AK$47:$AK$56&gt;$AI374))
) / 1000</f>
        <v>0</v>
      </c>
      <c r="BU374" s="253" cm="1">
        <f t="array" ref="BU374">$BC374 * IF($AD374&lt;=2,
SUMPRODUCT(INDEX($AL$23:$AN$61,,$AE374), INDEX($AO$23:$AU$61,,$AD374), 1 / ($AV$23:$AV$61*BS374), N($AK$23:$AK$61&gt;$AI374)),
SUMPRODUCT(INDEX($AL$23:$AN$46,,$AE374), INDEX($AO$23:$AU$46,,$AD374), 1 / ($AW$23:$AW$46*BS374), N($AK$23:$AK$46&gt;$AI374))
) / 1000</f>
        <v>0</v>
      </c>
      <c r="BV374" s="237">
        <f t="shared" si="466"/>
        <v>0</v>
      </c>
      <c r="BW374" s="210"/>
      <c r="BX374" s="237">
        <f t="shared" si="467"/>
        <v>0</v>
      </c>
      <c r="BY374" s="236">
        <v>35</v>
      </c>
      <c r="BZ374" s="237">
        <f t="shared" si="468"/>
        <v>48</v>
      </c>
      <c r="CA374" s="253">
        <f t="shared" si="469"/>
        <v>3.0748170731707316</v>
      </c>
      <c r="CB374" s="253" cm="1">
        <f t="array" ref="CB374">$BC374 * SUMPRODUCT(INDEX($AL$77:$AN$82,,$AE374),INDEX($AO$77:$AU$82,,$AD374), N($AK$77:$AK$82&gt;$AI374)) / CA374 / 1000</f>
        <v>0</v>
      </c>
      <c r="CC374" s="250">
        <f t="shared" si="486"/>
        <v>30</v>
      </c>
      <c r="CD374" s="237">
        <f t="shared" si="470"/>
        <v>43</v>
      </c>
      <c r="CE374" s="253">
        <f t="shared" si="471"/>
        <v>3.5018750000000001</v>
      </c>
      <c r="CF374" s="253" cm="1">
        <f t="array" ref="CF374">$BC374 * IF($AD374&lt;=2,
SUMPRODUCT(INDEX($AL$72:$AN$76,,$AE374), INDEX($AO$72:$AU$76,,$AD374), 1 / ($AV$72:$AV$76*CE374 + (1-$AV$72:$AV$76)*CA374), N($AK$72:$AK$76&gt;$AI374)),
SUMPRODUCT(INDEX($AL$67:$AN$76,,$AE374), INDEX($AO$67:$AU$76,,$AD374), 1 / ($AW$67:$AW$76*CE374 + (1-$AW$67:$AW$76)*CA374), N($AK$67:$AK$76&gt;$AI374))
) / 1000</f>
        <v>0</v>
      </c>
      <c r="CG374" s="250">
        <f t="shared" si="487"/>
        <v>25</v>
      </c>
      <c r="CH374" s="237">
        <f t="shared" si="472"/>
        <v>38</v>
      </c>
      <c r="CI374" s="253">
        <f t="shared" si="473"/>
        <v>4.0666935483870965</v>
      </c>
      <c r="CJ374" s="253" cm="1">
        <f t="array" ref="CJ374">$BC374 * IF($AD374&lt;=2,
SUMPRODUCT(INDEX($AL$67:$AN$71,,$AE374), INDEX($AO$67:$AU$71,,$AD374), 1 / ($AV$67:$AV$71*CI374 + (1-$AV$67:$AV$71)*CE374), N($AK$67:$AK$71&gt;$AI374)),
SUMPRODUCT(INDEX($AL$57:$AN$66,,$AE374), INDEX($AO$57:$AU$66,,$AD374), 1 / ($AW$57:$AW$66*CI374 + (1-$AW$57:$AW$66)*CE374), N($AK$57:$AK$66&gt;$AI374))
) / 1000</f>
        <v>0</v>
      </c>
      <c r="CK374" s="250">
        <f t="shared" si="488"/>
        <v>20</v>
      </c>
      <c r="CL374" s="237">
        <f t="shared" si="474"/>
        <v>33</v>
      </c>
      <c r="CM374" s="253">
        <f t="shared" si="475"/>
        <v>4.8487499999999999</v>
      </c>
      <c r="CN374" s="253" cm="1">
        <f t="array" ref="CN374">$BC374 * IF($AD374&lt;=2,
SUMPRODUCT(INDEX($AL$62:$AN$66,,$AE374), INDEX($AO$62:$AU$66,,$AD374), 1 / ($AV$62:$AV$66*CM374 + (1-$AV$62:$AV$66)*CI374), N($AK$62:$AK$66&gt;$AI374)),
SUMPRODUCT(INDEX($AL$47:$AN$56,,$AE374), INDEX($AO$47:$AU$56,,$AD374), 1 / ($AW$47:$AW$56*CM374 + (1-$AW$47:$AW$56)*CI374), N($AK$47:$AK$56&gt;$AI374))
) / 1000</f>
        <v>0</v>
      </c>
      <c r="CO374" s="253" cm="1">
        <f t="array" ref="CO374">$BC374 * IF($AD374&lt;=2,
SUMPRODUCT(INDEX($AL$23:$AN$61,,$AE374), INDEX($AO$23:$AU$61,,$AD374), 1 / ($AV$23:$AV$61*CM374), N($AK$23:$AK$61&gt;$AI374)),
SUMPRODUCT(INDEX($AL$23:$AN$46,,$AE374), INDEX($AO$23:$AU$46,,$AD374), 1 / ($AW$23:$AW$46*CM374), N($AK$23:$AK$46&gt;$AI374))
) / 1000</f>
        <v>0</v>
      </c>
      <c r="CP374" s="237">
        <f t="shared" si="476"/>
        <v>0</v>
      </c>
      <c r="CQ374" s="210"/>
    </row>
    <row r="375" spans="1:95" s="76" customFormat="1" ht="14.25" customHeight="1" x14ac:dyDescent="0.2">
      <c r="A375" s="238" t="b">
        <f t="shared" si="480"/>
        <v>0</v>
      </c>
      <c r="B375" s="239">
        <v>353</v>
      </c>
      <c r="C375" s="258"/>
      <c r="D375" s="258"/>
      <c r="E375" s="240"/>
      <c r="F375" s="241" t="str">
        <f>IF(ISBLANK(E375), "", VLOOKUP(E375, Z!$A$2:$C$4127, 3, FALSE))</f>
        <v/>
      </c>
      <c r="G375" s="242"/>
      <c r="H375" s="242"/>
      <c r="I375" s="243"/>
      <c r="J375" s="244"/>
      <c r="K375" s="259"/>
      <c r="L375" s="260"/>
      <c r="M375" s="247" t="str" cm="1">
        <f t="array" ref="M375">IF($K375&gt;0, INDEX(Clean,1+AG375,$C$1), "")</f>
        <v/>
      </c>
      <c r="N375" s="245"/>
      <c r="O375" s="245"/>
      <c r="P375" s="246"/>
      <c r="Q375" s="248">
        <f t="shared" si="453"/>
        <v>0</v>
      </c>
      <c r="R375" s="247" t="str" cm="1">
        <f t="array" ref="R375">IF($K375&gt;0, INDEX(Clean,1+AH375,$C$1), "")</f>
        <v/>
      </c>
      <c r="S375" s="245"/>
      <c r="T375" s="245"/>
      <c r="U375" s="246"/>
      <c r="V375" s="248">
        <f t="shared" si="454"/>
        <v>0</v>
      </c>
      <c r="W375" s="261"/>
      <c r="X375" s="258"/>
      <c r="Y375" s="240"/>
      <c r="Z375" s="241" t="str">
        <f>IF(ISBLANK(Y375), "", VLOOKUP(Y375, Z!$A$2:$C$4127, 3, FALSE))</f>
        <v/>
      </c>
      <c r="AA375" s="262"/>
      <c r="AB375" s="249">
        <f t="shared" si="489"/>
        <v>0</v>
      </c>
      <c r="AC375" s="210"/>
      <c r="AD375" s="236">
        <f t="shared" si="477"/>
        <v>1</v>
      </c>
      <c r="AE375" s="236">
        <f t="shared" si="478"/>
        <v>1</v>
      </c>
      <c r="AF375" s="236">
        <f t="shared" si="479"/>
        <v>0</v>
      </c>
      <c r="AG375" s="236">
        <v>1</v>
      </c>
      <c r="AH375" s="236">
        <v>0</v>
      </c>
      <c r="AI375" s="236">
        <f t="shared" si="455"/>
        <v>-100</v>
      </c>
      <c r="AJ375" s="210"/>
      <c r="AK375" s="254"/>
      <c r="AL375" s="254"/>
      <c r="AM375" s="255"/>
      <c r="AN375" s="255"/>
      <c r="AO375" s="255"/>
      <c r="AP375" s="255"/>
      <c r="AQ375" s="255"/>
      <c r="AR375" s="255"/>
      <c r="AS375" s="255"/>
      <c r="AT375" s="255"/>
      <c r="AU375" s="255"/>
      <c r="AV375" s="255"/>
      <c r="AW375" s="255"/>
      <c r="AX375" s="210"/>
      <c r="AY375" s="236" cm="1">
        <f t="array" ref="AY375">INDEX(Use, $AD375, 4)</f>
        <v>7</v>
      </c>
      <c r="AZ375" s="236">
        <f t="shared" si="456"/>
        <v>32</v>
      </c>
      <c r="BA375" s="236">
        <f t="shared" si="481"/>
        <v>13</v>
      </c>
      <c r="BB375" s="236">
        <f t="shared" si="482"/>
        <v>0</v>
      </c>
      <c r="BC375" s="252" cm="1">
        <f t="array" ref="BC375">K375/IF($L375&gt;0, INDEX($AO$23:$AU$77, $L375+20, $AD375), 1)</f>
        <v>0</v>
      </c>
      <c r="BD375" s="237">
        <f t="shared" si="457"/>
        <v>0</v>
      </c>
      <c r="BE375" s="236">
        <v>35</v>
      </c>
      <c r="BF375" s="237">
        <f t="shared" si="458"/>
        <v>52.55</v>
      </c>
      <c r="BG375" s="253">
        <f t="shared" si="459"/>
        <v>2.7676728869374316</v>
      </c>
      <c r="BH375" s="253" cm="1">
        <f t="array" ref="BH375">$BC375 * SUMPRODUCT(INDEX($AL$77:$AN$82,,$AE375),INDEX($AO$77:$AU$82,,$AD375), N($AK$77:$AK$82&gt;$AI375)) / BG375 / 1000</f>
        <v>0</v>
      </c>
      <c r="BI375" s="250">
        <f t="shared" si="483"/>
        <v>30</v>
      </c>
      <c r="BJ375" s="237">
        <f t="shared" si="460"/>
        <v>46.033333333333331</v>
      </c>
      <c r="BK375" s="253">
        <f t="shared" si="461"/>
        <v>3.2297395388556791</v>
      </c>
      <c r="BL375" s="253" cm="1">
        <f t="array" ref="BL375">$BC375 * IF($AD375&lt;=2,
SUMPRODUCT(INDEX($AL$72:$AN$76,,$AE375), INDEX($AO$72:$AU$76,,$AD375), 1 / ($AV$72:$AV$76*BK375 + (1-$AV$72:$AV$76)*BG375), N($AK$72:$AK$76&gt;$AI375)),
SUMPRODUCT(INDEX($AL$67:$AN$76,,$AE375), INDEX($AO$67:$AU$76,,$AD375), 1 / ($AW$67:$AW$76*BK375 + (1-$AW$67:$AW$76)*BG375), N($AK$67:$AK$76&gt;$AI375))
) / 1000</f>
        <v>0</v>
      </c>
      <c r="BM375" s="250">
        <f t="shared" si="484"/>
        <v>25</v>
      </c>
      <c r="BN375" s="237">
        <f t="shared" si="462"/>
        <v>39.516666666666666</v>
      </c>
      <c r="BO375" s="253">
        <f t="shared" si="463"/>
        <v>3.877011788826243</v>
      </c>
      <c r="BP375" s="253" cm="1">
        <f t="array" ref="BP375">$BC375 * IF($AD375&lt;=2,
SUMPRODUCT(INDEX($AL$67:$AN$71,,$AE375), INDEX($AO$67:$AU$71,,$AD375), 1 / ($AV$67:$AV$71*BO375 + (1-$AV$67:$AV$71)*BK375), N($AK$67:$AK$71&gt;$AI375)),
SUMPRODUCT(INDEX($AL$57:$AN$66,,$AE375), INDEX($AO$57:$AU$66,,$AD375), 1 / ($AW$57:$AW$66*BO375 + (1-$AW$57:$AW$66)*BK375), N($AK$57:$AK$66&gt;$AI375))
) / 1000</f>
        <v>0</v>
      </c>
      <c r="BQ375" s="250">
        <f t="shared" si="485"/>
        <v>20</v>
      </c>
      <c r="BR375" s="237">
        <f t="shared" si="464"/>
        <v>33</v>
      </c>
      <c r="BS375" s="253">
        <f t="shared" si="465"/>
        <v>4.8487499999999999</v>
      </c>
      <c r="BT375" s="253" cm="1">
        <f t="array" ref="BT375">$BC375 * IF($AD375&lt;=2,
SUMPRODUCT(INDEX($AL$62:$AN$66,,$AE375), INDEX($AO$62:$AU$66,,$AD375), 1 / ($AV$62:$AV$66*BS375 + (1-$AV$62:$AV$66)*BO375), N($AK$62:$AK$66&gt;$AI375)),
SUMPRODUCT(INDEX($AL$47:$AN$56,,$AE375), INDEX($AO$47:$AU$56,,$AD375), 1 / ($AW$47:$AW$56*BS375 + (1-$AW$47:$AW$56)*BO375), N($AK$47:$AK$56&gt;$AI375))
) / 1000</f>
        <v>0</v>
      </c>
      <c r="BU375" s="253" cm="1">
        <f t="array" ref="BU375">$BC375 * IF($AD375&lt;=2,
SUMPRODUCT(INDEX($AL$23:$AN$61,,$AE375), INDEX($AO$23:$AU$61,,$AD375), 1 / ($AV$23:$AV$61*BS375), N($AK$23:$AK$61&gt;$AI375)),
SUMPRODUCT(INDEX($AL$23:$AN$46,,$AE375), INDEX($AO$23:$AU$46,,$AD375), 1 / ($AW$23:$AW$46*BS375), N($AK$23:$AK$46&gt;$AI375))
) / 1000</f>
        <v>0</v>
      </c>
      <c r="BV375" s="237">
        <f t="shared" si="466"/>
        <v>0</v>
      </c>
      <c r="BW375" s="210"/>
      <c r="BX375" s="237">
        <f t="shared" si="467"/>
        <v>0</v>
      </c>
      <c r="BY375" s="236">
        <v>35</v>
      </c>
      <c r="BZ375" s="237">
        <f t="shared" si="468"/>
        <v>48</v>
      </c>
      <c r="CA375" s="253">
        <f t="shared" si="469"/>
        <v>3.0748170731707316</v>
      </c>
      <c r="CB375" s="253" cm="1">
        <f t="array" ref="CB375">$BC375 * SUMPRODUCT(INDEX($AL$77:$AN$82,,$AE375),INDEX($AO$77:$AU$82,,$AD375), N($AK$77:$AK$82&gt;$AI375)) / CA375 / 1000</f>
        <v>0</v>
      </c>
      <c r="CC375" s="250">
        <f t="shared" si="486"/>
        <v>30</v>
      </c>
      <c r="CD375" s="237">
        <f t="shared" si="470"/>
        <v>43</v>
      </c>
      <c r="CE375" s="253">
        <f t="shared" si="471"/>
        <v>3.5018750000000001</v>
      </c>
      <c r="CF375" s="253" cm="1">
        <f t="array" ref="CF375">$BC375 * IF($AD375&lt;=2,
SUMPRODUCT(INDEX($AL$72:$AN$76,,$AE375), INDEX($AO$72:$AU$76,,$AD375), 1 / ($AV$72:$AV$76*CE375 + (1-$AV$72:$AV$76)*CA375), N($AK$72:$AK$76&gt;$AI375)),
SUMPRODUCT(INDEX($AL$67:$AN$76,,$AE375), INDEX($AO$67:$AU$76,,$AD375), 1 / ($AW$67:$AW$76*CE375 + (1-$AW$67:$AW$76)*CA375), N($AK$67:$AK$76&gt;$AI375))
) / 1000</f>
        <v>0</v>
      </c>
      <c r="CG375" s="250">
        <f t="shared" si="487"/>
        <v>25</v>
      </c>
      <c r="CH375" s="237">
        <f t="shared" si="472"/>
        <v>38</v>
      </c>
      <c r="CI375" s="253">
        <f t="shared" si="473"/>
        <v>4.0666935483870965</v>
      </c>
      <c r="CJ375" s="253" cm="1">
        <f t="array" ref="CJ375">$BC375 * IF($AD375&lt;=2,
SUMPRODUCT(INDEX($AL$67:$AN$71,,$AE375), INDEX($AO$67:$AU$71,,$AD375), 1 / ($AV$67:$AV$71*CI375 + (1-$AV$67:$AV$71)*CE375), N($AK$67:$AK$71&gt;$AI375)),
SUMPRODUCT(INDEX($AL$57:$AN$66,,$AE375), INDEX($AO$57:$AU$66,,$AD375), 1 / ($AW$57:$AW$66*CI375 + (1-$AW$57:$AW$66)*CE375), N($AK$57:$AK$66&gt;$AI375))
) / 1000</f>
        <v>0</v>
      </c>
      <c r="CK375" s="250">
        <f t="shared" si="488"/>
        <v>20</v>
      </c>
      <c r="CL375" s="237">
        <f t="shared" si="474"/>
        <v>33</v>
      </c>
      <c r="CM375" s="253">
        <f t="shared" si="475"/>
        <v>4.8487499999999999</v>
      </c>
      <c r="CN375" s="253" cm="1">
        <f t="array" ref="CN375">$BC375 * IF($AD375&lt;=2,
SUMPRODUCT(INDEX($AL$62:$AN$66,,$AE375), INDEX($AO$62:$AU$66,,$AD375), 1 / ($AV$62:$AV$66*CM375 + (1-$AV$62:$AV$66)*CI375), N($AK$62:$AK$66&gt;$AI375)),
SUMPRODUCT(INDEX($AL$47:$AN$56,,$AE375), INDEX($AO$47:$AU$56,,$AD375), 1 / ($AW$47:$AW$56*CM375 + (1-$AW$47:$AW$56)*CI375), N($AK$47:$AK$56&gt;$AI375))
) / 1000</f>
        <v>0</v>
      </c>
      <c r="CO375" s="253" cm="1">
        <f t="array" ref="CO375">$BC375 * IF($AD375&lt;=2,
SUMPRODUCT(INDEX($AL$23:$AN$61,,$AE375), INDEX($AO$23:$AU$61,,$AD375), 1 / ($AV$23:$AV$61*CM375), N($AK$23:$AK$61&gt;$AI375)),
SUMPRODUCT(INDEX($AL$23:$AN$46,,$AE375), INDEX($AO$23:$AU$46,,$AD375), 1 / ($AW$23:$AW$46*CM375), N($AK$23:$AK$46&gt;$AI375))
) / 1000</f>
        <v>0</v>
      </c>
      <c r="CP375" s="237">
        <f t="shared" si="476"/>
        <v>0</v>
      </c>
      <c r="CQ375" s="210"/>
    </row>
    <row r="376" spans="1:95" s="76" customFormat="1" ht="14.25" customHeight="1" x14ac:dyDescent="0.2">
      <c r="A376" s="238" t="b">
        <f t="shared" si="480"/>
        <v>0</v>
      </c>
      <c r="B376" s="239">
        <v>354</v>
      </c>
      <c r="C376" s="258"/>
      <c r="D376" s="258"/>
      <c r="E376" s="240"/>
      <c r="F376" s="241" t="str">
        <f>IF(ISBLANK(E376), "", VLOOKUP(E376, Z!$A$2:$C$4127, 3, FALSE))</f>
        <v/>
      </c>
      <c r="G376" s="242"/>
      <c r="H376" s="242"/>
      <c r="I376" s="243"/>
      <c r="J376" s="244"/>
      <c r="K376" s="259"/>
      <c r="L376" s="260"/>
      <c r="M376" s="247" t="str" cm="1">
        <f t="array" ref="M376">IF($K376&gt;0, INDEX(Clean,1+AG376,$C$1), "")</f>
        <v/>
      </c>
      <c r="N376" s="245"/>
      <c r="O376" s="245"/>
      <c r="P376" s="246"/>
      <c r="Q376" s="248">
        <f t="shared" si="453"/>
        <v>0</v>
      </c>
      <c r="R376" s="247" t="str" cm="1">
        <f t="array" ref="R376">IF($K376&gt;0, INDEX(Clean,1+AH376,$C$1), "")</f>
        <v/>
      </c>
      <c r="S376" s="245"/>
      <c r="T376" s="245"/>
      <c r="U376" s="246"/>
      <c r="V376" s="248">
        <f t="shared" si="454"/>
        <v>0</v>
      </c>
      <c r="W376" s="261"/>
      <c r="X376" s="258"/>
      <c r="Y376" s="240"/>
      <c r="Z376" s="241" t="str">
        <f>IF(ISBLANK(Y376), "", VLOOKUP(Y376, Z!$A$2:$C$4127, 3, FALSE))</f>
        <v/>
      </c>
      <c r="AA376" s="262"/>
      <c r="AB376" s="249">
        <f t="shared" si="489"/>
        <v>0</v>
      </c>
      <c r="AC376" s="210"/>
      <c r="AD376" s="236">
        <f t="shared" si="477"/>
        <v>1</v>
      </c>
      <c r="AE376" s="236">
        <f t="shared" si="478"/>
        <v>1</v>
      </c>
      <c r="AF376" s="236">
        <f t="shared" si="479"/>
        <v>0</v>
      </c>
      <c r="AG376" s="236">
        <v>1</v>
      </c>
      <c r="AH376" s="236">
        <v>0</v>
      </c>
      <c r="AI376" s="236">
        <f t="shared" si="455"/>
        <v>-100</v>
      </c>
      <c r="AJ376" s="210"/>
      <c r="AK376" s="254"/>
      <c r="AL376" s="254"/>
      <c r="AM376" s="255"/>
      <c r="AN376" s="255"/>
      <c r="AO376" s="255"/>
      <c r="AP376" s="255"/>
      <c r="AQ376" s="255"/>
      <c r="AR376" s="255"/>
      <c r="AS376" s="255"/>
      <c r="AT376" s="255"/>
      <c r="AU376" s="255"/>
      <c r="AV376" s="255"/>
      <c r="AW376" s="255"/>
      <c r="AX376" s="210"/>
      <c r="AY376" s="236" cm="1">
        <f t="array" ref="AY376">INDEX(Use, $AD376, 4)</f>
        <v>7</v>
      </c>
      <c r="AZ376" s="236">
        <f t="shared" si="456"/>
        <v>32</v>
      </c>
      <c r="BA376" s="236">
        <f t="shared" si="481"/>
        <v>13</v>
      </c>
      <c r="BB376" s="236">
        <f t="shared" si="482"/>
        <v>0</v>
      </c>
      <c r="BC376" s="252" cm="1">
        <f t="array" ref="BC376">K376/IF($L376&gt;0, INDEX($AO$23:$AU$77, $L376+20, $AD376), 1)</f>
        <v>0</v>
      </c>
      <c r="BD376" s="237">
        <f t="shared" si="457"/>
        <v>0</v>
      </c>
      <c r="BE376" s="236">
        <v>35</v>
      </c>
      <c r="BF376" s="237">
        <f t="shared" si="458"/>
        <v>52.55</v>
      </c>
      <c r="BG376" s="253">
        <f t="shared" si="459"/>
        <v>2.7676728869374316</v>
      </c>
      <c r="BH376" s="253" cm="1">
        <f t="array" ref="BH376">$BC376 * SUMPRODUCT(INDEX($AL$77:$AN$82,,$AE376),INDEX($AO$77:$AU$82,,$AD376), N($AK$77:$AK$82&gt;$AI376)) / BG376 / 1000</f>
        <v>0</v>
      </c>
      <c r="BI376" s="250">
        <f t="shared" si="483"/>
        <v>30</v>
      </c>
      <c r="BJ376" s="237">
        <f t="shared" si="460"/>
        <v>46.033333333333331</v>
      </c>
      <c r="BK376" s="253">
        <f t="shared" si="461"/>
        <v>3.2297395388556791</v>
      </c>
      <c r="BL376" s="253" cm="1">
        <f t="array" ref="BL376">$BC376 * IF($AD376&lt;=2,
SUMPRODUCT(INDEX($AL$72:$AN$76,,$AE376), INDEX($AO$72:$AU$76,,$AD376), 1 / ($AV$72:$AV$76*BK376 + (1-$AV$72:$AV$76)*BG376), N($AK$72:$AK$76&gt;$AI376)),
SUMPRODUCT(INDEX($AL$67:$AN$76,,$AE376), INDEX($AO$67:$AU$76,,$AD376), 1 / ($AW$67:$AW$76*BK376 + (1-$AW$67:$AW$76)*BG376), N($AK$67:$AK$76&gt;$AI376))
) / 1000</f>
        <v>0</v>
      </c>
      <c r="BM376" s="250">
        <f t="shared" si="484"/>
        <v>25</v>
      </c>
      <c r="BN376" s="237">
        <f t="shared" si="462"/>
        <v>39.516666666666666</v>
      </c>
      <c r="BO376" s="253">
        <f t="shared" si="463"/>
        <v>3.877011788826243</v>
      </c>
      <c r="BP376" s="253" cm="1">
        <f t="array" ref="BP376">$BC376 * IF($AD376&lt;=2,
SUMPRODUCT(INDEX($AL$67:$AN$71,,$AE376), INDEX($AO$67:$AU$71,,$AD376), 1 / ($AV$67:$AV$71*BO376 + (1-$AV$67:$AV$71)*BK376), N($AK$67:$AK$71&gt;$AI376)),
SUMPRODUCT(INDEX($AL$57:$AN$66,,$AE376), INDEX($AO$57:$AU$66,,$AD376), 1 / ($AW$57:$AW$66*BO376 + (1-$AW$57:$AW$66)*BK376), N($AK$57:$AK$66&gt;$AI376))
) / 1000</f>
        <v>0</v>
      </c>
      <c r="BQ376" s="250">
        <f t="shared" si="485"/>
        <v>20</v>
      </c>
      <c r="BR376" s="237">
        <f t="shared" si="464"/>
        <v>33</v>
      </c>
      <c r="BS376" s="253">
        <f t="shared" si="465"/>
        <v>4.8487499999999999</v>
      </c>
      <c r="BT376" s="253" cm="1">
        <f t="array" ref="BT376">$BC376 * IF($AD376&lt;=2,
SUMPRODUCT(INDEX($AL$62:$AN$66,,$AE376), INDEX($AO$62:$AU$66,,$AD376), 1 / ($AV$62:$AV$66*BS376 + (1-$AV$62:$AV$66)*BO376), N($AK$62:$AK$66&gt;$AI376)),
SUMPRODUCT(INDEX($AL$47:$AN$56,,$AE376), INDEX($AO$47:$AU$56,,$AD376), 1 / ($AW$47:$AW$56*BS376 + (1-$AW$47:$AW$56)*BO376), N($AK$47:$AK$56&gt;$AI376))
) / 1000</f>
        <v>0</v>
      </c>
      <c r="BU376" s="253" cm="1">
        <f t="array" ref="BU376">$BC376 * IF($AD376&lt;=2,
SUMPRODUCT(INDEX($AL$23:$AN$61,,$AE376), INDEX($AO$23:$AU$61,,$AD376), 1 / ($AV$23:$AV$61*BS376), N($AK$23:$AK$61&gt;$AI376)),
SUMPRODUCT(INDEX($AL$23:$AN$46,,$AE376), INDEX($AO$23:$AU$46,,$AD376), 1 / ($AW$23:$AW$46*BS376), N($AK$23:$AK$46&gt;$AI376))
) / 1000</f>
        <v>0</v>
      </c>
      <c r="BV376" s="237">
        <f t="shared" si="466"/>
        <v>0</v>
      </c>
      <c r="BW376" s="210"/>
      <c r="BX376" s="237">
        <f t="shared" si="467"/>
        <v>0</v>
      </c>
      <c r="BY376" s="236">
        <v>35</v>
      </c>
      <c r="BZ376" s="237">
        <f t="shared" si="468"/>
        <v>48</v>
      </c>
      <c r="CA376" s="253">
        <f t="shared" si="469"/>
        <v>3.0748170731707316</v>
      </c>
      <c r="CB376" s="253" cm="1">
        <f t="array" ref="CB376">$BC376 * SUMPRODUCT(INDEX($AL$77:$AN$82,,$AE376),INDEX($AO$77:$AU$82,,$AD376), N($AK$77:$AK$82&gt;$AI376)) / CA376 / 1000</f>
        <v>0</v>
      </c>
      <c r="CC376" s="250">
        <f t="shared" si="486"/>
        <v>30</v>
      </c>
      <c r="CD376" s="237">
        <f t="shared" si="470"/>
        <v>43</v>
      </c>
      <c r="CE376" s="253">
        <f t="shared" si="471"/>
        <v>3.5018750000000001</v>
      </c>
      <c r="CF376" s="253" cm="1">
        <f t="array" ref="CF376">$BC376 * IF($AD376&lt;=2,
SUMPRODUCT(INDEX($AL$72:$AN$76,,$AE376), INDEX($AO$72:$AU$76,,$AD376), 1 / ($AV$72:$AV$76*CE376 + (1-$AV$72:$AV$76)*CA376), N($AK$72:$AK$76&gt;$AI376)),
SUMPRODUCT(INDEX($AL$67:$AN$76,,$AE376), INDEX($AO$67:$AU$76,,$AD376), 1 / ($AW$67:$AW$76*CE376 + (1-$AW$67:$AW$76)*CA376), N($AK$67:$AK$76&gt;$AI376))
) / 1000</f>
        <v>0</v>
      </c>
      <c r="CG376" s="250">
        <f t="shared" si="487"/>
        <v>25</v>
      </c>
      <c r="CH376" s="237">
        <f t="shared" si="472"/>
        <v>38</v>
      </c>
      <c r="CI376" s="253">
        <f t="shared" si="473"/>
        <v>4.0666935483870965</v>
      </c>
      <c r="CJ376" s="253" cm="1">
        <f t="array" ref="CJ376">$BC376 * IF($AD376&lt;=2,
SUMPRODUCT(INDEX($AL$67:$AN$71,,$AE376), INDEX($AO$67:$AU$71,,$AD376), 1 / ($AV$67:$AV$71*CI376 + (1-$AV$67:$AV$71)*CE376), N($AK$67:$AK$71&gt;$AI376)),
SUMPRODUCT(INDEX($AL$57:$AN$66,,$AE376), INDEX($AO$57:$AU$66,,$AD376), 1 / ($AW$57:$AW$66*CI376 + (1-$AW$57:$AW$66)*CE376), N($AK$57:$AK$66&gt;$AI376))
) / 1000</f>
        <v>0</v>
      </c>
      <c r="CK376" s="250">
        <f t="shared" si="488"/>
        <v>20</v>
      </c>
      <c r="CL376" s="237">
        <f t="shared" si="474"/>
        <v>33</v>
      </c>
      <c r="CM376" s="253">
        <f t="shared" si="475"/>
        <v>4.8487499999999999</v>
      </c>
      <c r="CN376" s="253" cm="1">
        <f t="array" ref="CN376">$BC376 * IF($AD376&lt;=2,
SUMPRODUCT(INDEX($AL$62:$AN$66,,$AE376), INDEX($AO$62:$AU$66,,$AD376), 1 / ($AV$62:$AV$66*CM376 + (1-$AV$62:$AV$66)*CI376), N($AK$62:$AK$66&gt;$AI376)),
SUMPRODUCT(INDEX($AL$47:$AN$56,,$AE376), INDEX($AO$47:$AU$56,,$AD376), 1 / ($AW$47:$AW$56*CM376 + (1-$AW$47:$AW$56)*CI376), N($AK$47:$AK$56&gt;$AI376))
) / 1000</f>
        <v>0</v>
      </c>
      <c r="CO376" s="253" cm="1">
        <f t="array" ref="CO376">$BC376 * IF($AD376&lt;=2,
SUMPRODUCT(INDEX($AL$23:$AN$61,,$AE376), INDEX($AO$23:$AU$61,,$AD376), 1 / ($AV$23:$AV$61*CM376), N($AK$23:$AK$61&gt;$AI376)),
SUMPRODUCT(INDEX($AL$23:$AN$46,,$AE376), INDEX($AO$23:$AU$46,,$AD376), 1 / ($AW$23:$AW$46*CM376), N($AK$23:$AK$46&gt;$AI376))
) / 1000</f>
        <v>0</v>
      </c>
      <c r="CP376" s="237">
        <f t="shared" si="476"/>
        <v>0</v>
      </c>
      <c r="CQ376" s="210"/>
    </row>
    <row r="377" spans="1:95" s="76" customFormat="1" ht="14.25" customHeight="1" x14ac:dyDescent="0.2">
      <c r="A377" s="238" t="b">
        <f t="shared" si="480"/>
        <v>0</v>
      </c>
      <c r="B377" s="239">
        <v>355</v>
      </c>
      <c r="C377" s="258"/>
      <c r="D377" s="258"/>
      <c r="E377" s="240"/>
      <c r="F377" s="241" t="str">
        <f>IF(ISBLANK(E377), "", VLOOKUP(E377, Z!$A$2:$C$4127, 3, FALSE))</f>
        <v/>
      </c>
      <c r="G377" s="242"/>
      <c r="H377" s="242"/>
      <c r="I377" s="243"/>
      <c r="J377" s="244"/>
      <c r="K377" s="259"/>
      <c r="L377" s="260"/>
      <c r="M377" s="247" t="str" cm="1">
        <f t="array" ref="M377">IF($K377&gt;0, INDEX(Clean,1+AG377,$C$1), "")</f>
        <v/>
      </c>
      <c r="N377" s="245"/>
      <c r="O377" s="245"/>
      <c r="P377" s="246"/>
      <c r="Q377" s="248">
        <f t="shared" si="453"/>
        <v>0</v>
      </c>
      <c r="R377" s="247" t="str" cm="1">
        <f t="array" ref="R377">IF($K377&gt;0, INDEX(Clean,1+AH377,$C$1), "")</f>
        <v/>
      </c>
      <c r="S377" s="245"/>
      <c r="T377" s="245"/>
      <c r="U377" s="246"/>
      <c r="V377" s="248">
        <f t="shared" si="454"/>
        <v>0</v>
      </c>
      <c r="W377" s="261"/>
      <c r="X377" s="258"/>
      <c r="Y377" s="240"/>
      <c r="Z377" s="241" t="str">
        <f>IF(ISBLANK(Y377), "", VLOOKUP(Y377, Z!$A$2:$C$4127, 3, FALSE))</f>
        <v/>
      </c>
      <c r="AA377" s="262"/>
      <c r="AB377" s="249">
        <f t="shared" si="489"/>
        <v>0</v>
      </c>
      <c r="AC377" s="210"/>
      <c r="AD377" s="236">
        <f t="shared" si="477"/>
        <v>1</v>
      </c>
      <c r="AE377" s="236">
        <f t="shared" si="478"/>
        <v>1</v>
      </c>
      <c r="AF377" s="236">
        <f t="shared" si="479"/>
        <v>0</v>
      </c>
      <c r="AG377" s="236">
        <v>1</v>
      </c>
      <c r="AH377" s="236">
        <v>0</v>
      </c>
      <c r="AI377" s="236">
        <f t="shared" si="455"/>
        <v>-100</v>
      </c>
      <c r="AJ377" s="210"/>
      <c r="AK377" s="254"/>
      <c r="AL377" s="254"/>
      <c r="AM377" s="255"/>
      <c r="AN377" s="255"/>
      <c r="AO377" s="255"/>
      <c r="AP377" s="255"/>
      <c r="AQ377" s="255"/>
      <c r="AR377" s="255"/>
      <c r="AS377" s="255"/>
      <c r="AT377" s="255"/>
      <c r="AU377" s="255"/>
      <c r="AV377" s="255"/>
      <c r="AW377" s="255"/>
      <c r="AX377" s="210"/>
      <c r="AY377" s="236" cm="1">
        <f t="array" ref="AY377">INDEX(Use, $AD377, 4)</f>
        <v>7</v>
      </c>
      <c r="AZ377" s="236">
        <f t="shared" si="456"/>
        <v>32</v>
      </c>
      <c r="BA377" s="236">
        <f t="shared" si="481"/>
        <v>13</v>
      </c>
      <c r="BB377" s="236">
        <f t="shared" si="482"/>
        <v>0</v>
      </c>
      <c r="BC377" s="252" cm="1">
        <f t="array" ref="BC377">K377/IF($L377&gt;0, INDEX($AO$23:$AU$77, $L377+20, $AD377), 1)</f>
        <v>0</v>
      </c>
      <c r="BD377" s="237">
        <f t="shared" si="457"/>
        <v>0</v>
      </c>
      <c r="BE377" s="236">
        <v>35</v>
      </c>
      <c r="BF377" s="237">
        <f t="shared" si="458"/>
        <v>52.55</v>
      </c>
      <c r="BG377" s="253">
        <f t="shared" si="459"/>
        <v>2.7676728869374316</v>
      </c>
      <c r="BH377" s="253" cm="1">
        <f t="array" ref="BH377">$BC377 * SUMPRODUCT(INDEX($AL$77:$AN$82,,$AE377),INDEX($AO$77:$AU$82,,$AD377), N($AK$77:$AK$82&gt;$AI377)) / BG377 / 1000</f>
        <v>0</v>
      </c>
      <c r="BI377" s="250">
        <f t="shared" si="483"/>
        <v>30</v>
      </c>
      <c r="BJ377" s="237">
        <f t="shared" si="460"/>
        <v>46.033333333333331</v>
      </c>
      <c r="BK377" s="253">
        <f t="shared" si="461"/>
        <v>3.2297395388556791</v>
      </c>
      <c r="BL377" s="253" cm="1">
        <f t="array" ref="BL377">$BC377 * IF($AD377&lt;=2,
SUMPRODUCT(INDEX($AL$72:$AN$76,,$AE377), INDEX($AO$72:$AU$76,,$AD377), 1 / ($AV$72:$AV$76*BK377 + (1-$AV$72:$AV$76)*BG377), N($AK$72:$AK$76&gt;$AI377)),
SUMPRODUCT(INDEX($AL$67:$AN$76,,$AE377), INDEX($AO$67:$AU$76,,$AD377), 1 / ($AW$67:$AW$76*BK377 + (1-$AW$67:$AW$76)*BG377), N($AK$67:$AK$76&gt;$AI377))
) / 1000</f>
        <v>0</v>
      </c>
      <c r="BM377" s="250">
        <f t="shared" si="484"/>
        <v>25</v>
      </c>
      <c r="BN377" s="237">
        <f t="shared" si="462"/>
        <v>39.516666666666666</v>
      </c>
      <c r="BO377" s="253">
        <f t="shared" si="463"/>
        <v>3.877011788826243</v>
      </c>
      <c r="BP377" s="253" cm="1">
        <f t="array" ref="BP377">$BC377 * IF($AD377&lt;=2,
SUMPRODUCT(INDEX($AL$67:$AN$71,,$AE377), INDEX($AO$67:$AU$71,,$AD377), 1 / ($AV$67:$AV$71*BO377 + (1-$AV$67:$AV$71)*BK377), N($AK$67:$AK$71&gt;$AI377)),
SUMPRODUCT(INDEX($AL$57:$AN$66,,$AE377), INDEX($AO$57:$AU$66,,$AD377), 1 / ($AW$57:$AW$66*BO377 + (1-$AW$57:$AW$66)*BK377), N($AK$57:$AK$66&gt;$AI377))
) / 1000</f>
        <v>0</v>
      </c>
      <c r="BQ377" s="250">
        <f t="shared" si="485"/>
        <v>20</v>
      </c>
      <c r="BR377" s="237">
        <f t="shared" si="464"/>
        <v>33</v>
      </c>
      <c r="BS377" s="253">
        <f t="shared" si="465"/>
        <v>4.8487499999999999</v>
      </c>
      <c r="BT377" s="253" cm="1">
        <f t="array" ref="BT377">$BC377 * IF($AD377&lt;=2,
SUMPRODUCT(INDEX($AL$62:$AN$66,,$AE377), INDEX($AO$62:$AU$66,,$AD377), 1 / ($AV$62:$AV$66*BS377 + (1-$AV$62:$AV$66)*BO377), N($AK$62:$AK$66&gt;$AI377)),
SUMPRODUCT(INDEX($AL$47:$AN$56,,$AE377), INDEX($AO$47:$AU$56,,$AD377), 1 / ($AW$47:$AW$56*BS377 + (1-$AW$47:$AW$56)*BO377), N($AK$47:$AK$56&gt;$AI377))
) / 1000</f>
        <v>0</v>
      </c>
      <c r="BU377" s="253" cm="1">
        <f t="array" ref="BU377">$BC377 * IF($AD377&lt;=2,
SUMPRODUCT(INDEX($AL$23:$AN$61,,$AE377), INDEX($AO$23:$AU$61,,$AD377), 1 / ($AV$23:$AV$61*BS377), N($AK$23:$AK$61&gt;$AI377)),
SUMPRODUCT(INDEX($AL$23:$AN$46,,$AE377), INDEX($AO$23:$AU$46,,$AD377), 1 / ($AW$23:$AW$46*BS377), N($AK$23:$AK$46&gt;$AI377))
) / 1000</f>
        <v>0</v>
      </c>
      <c r="BV377" s="237">
        <f t="shared" si="466"/>
        <v>0</v>
      </c>
      <c r="BW377" s="210"/>
      <c r="BX377" s="237">
        <f t="shared" si="467"/>
        <v>0</v>
      </c>
      <c r="BY377" s="236">
        <v>35</v>
      </c>
      <c r="BZ377" s="237">
        <f t="shared" si="468"/>
        <v>48</v>
      </c>
      <c r="CA377" s="253">
        <f t="shared" si="469"/>
        <v>3.0748170731707316</v>
      </c>
      <c r="CB377" s="253" cm="1">
        <f t="array" ref="CB377">$BC377 * SUMPRODUCT(INDEX($AL$77:$AN$82,,$AE377),INDEX($AO$77:$AU$82,,$AD377), N($AK$77:$AK$82&gt;$AI377)) / CA377 / 1000</f>
        <v>0</v>
      </c>
      <c r="CC377" s="250">
        <f t="shared" si="486"/>
        <v>30</v>
      </c>
      <c r="CD377" s="237">
        <f t="shared" si="470"/>
        <v>43</v>
      </c>
      <c r="CE377" s="253">
        <f t="shared" si="471"/>
        <v>3.5018750000000001</v>
      </c>
      <c r="CF377" s="253" cm="1">
        <f t="array" ref="CF377">$BC377 * IF($AD377&lt;=2,
SUMPRODUCT(INDEX($AL$72:$AN$76,,$AE377), INDEX($AO$72:$AU$76,,$AD377), 1 / ($AV$72:$AV$76*CE377 + (1-$AV$72:$AV$76)*CA377), N($AK$72:$AK$76&gt;$AI377)),
SUMPRODUCT(INDEX($AL$67:$AN$76,,$AE377), INDEX($AO$67:$AU$76,,$AD377), 1 / ($AW$67:$AW$76*CE377 + (1-$AW$67:$AW$76)*CA377), N($AK$67:$AK$76&gt;$AI377))
) / 1000</f>
        <v>0</v>
      </c>
      <c r="CG377" s="250">
        <f t="shared" si="487"/>
        <v>25</v>
      </c>
      <c r="CH377" s="237">
        <f t="shared" si="472"/>
        <v>38</v>
      </c>
      <c r="CI377" s="253">
        <f t="shared" si="473"/>
        <v>4.0666935483870965</v>
      </c>
      <c r="CJ377" s="253" cm="1">
        <f t="array" ref="CJ377">$BC377 * IF($AD377&lt;=2,
SUMPRODUCT(INDEX($AL$67:$AN$71,,$AE377), INDEX($AO$67:$AU$71,,$AD377), 1 / ($AV$67:$AV$71*CI377 + (1-$AV$67:$AV$71)*CE377), N($AK$67:$AK$71&gt;$AI377)),
SUMPRODUCT(INDEX($AL$57:$AN$66,,$AE377), INDEX($AO$57:$AU$66,,$AD377), 1 / ($AW$57:$AW$66*CI377 + (1-$AW$57:$AW$66)*CE377), N($AK$57:$AK$66&gt;$AI377))
) / 1000</f>
        <v>0</v>
      </c>
      <c r="CK377" s="250">
        <f t="shared" si="488"/>
        <v>20</v>
      </c>
      <c r="CL377" s="237">
        <f t="shared" si="474"/>
        <v>33</v>
      </c>
      <c r="CM377" s="253">
        <f t="shared" si="475"/>
        <v>4.8487499999999999</v>
      </c>
      <c r="CN377" s="253" cm="1">
        <f t="array" ref="CN377">$BC377 * IF($AD377&lt;=2,
SUMPRODUCT(INDEX($AL$62:$AN$66,,$AE377), INDEX($AO$62:$AU$66,,$AD377), 1 / ($AV$62:$AV$66*CM377 + (1-$AV$62:$AV$66)*CI377), N($AK$62:$AK$66&gt;$AI377)),
SUMPRODUCT(INDEX($AL$47:$AN$56,,$AE377), INDEX($AO$47:$AU$56,,$AD377), 1 / ($AW$47:$AW$56*CM377 + (1-$AW$47:$AW$56)*CI377), N($AK$47:$AK$56&gt;$AI377))
) / 1000</f>
        <v>0</v>
      </c>
      <c r="CO377" s="253" cm="1">
        <f t="array" ref="CO377">$BC377 * IF($AD377&lt;=2,
SUMPRODUCT(INDEX($AL$23:$AN$61,,$AE377), INDEX($AO$23:$AU$61,,$AD377), 1 / ($AV$23:$AV$61*CM377), N($AK$23:$AK$61&gt;$AI377)),
SUMPRODUCT(INDEX($AL$23:$AN$46,,$AE377), INDEX($AO$23:$AU$46,,$AD377), 1 / ($AW$23:$AW$46*CM377), N($AK$23:$AK$46&gt;$AI377))
) / 1000</f>
        <v>0</v>
      </c>
      <c r="CP377" s="237">
        <f t="shared" si="476"/>
        <v>0</v>
      </c>
      <c r="CQ377" s="210"/>
    </row>
    <row r="378" spans="1:95" s="76" customFormat="1" ht="14.25" customHeight="1" x14ac:dyDescent="0.2">
      <c r="A378" s="238" t="b">
        <f t="shared" si="480"/>
        <v>0</v>
      </c>
      <c r="B378" s="239">
        <v>356</v>
      </c>
      <c r="C378" s="258"/>
      <c r="D378" s="258"/>
      <c r="E378" s="240"/>
      <c r="F378" s="241" t="str">
        <f>IF(ISBLANK(E378), "", VLOOKUP(E378, Z!$A$2:$C$4127, 3, FALSE))</f>
        <v/>
      </c>
      <c r="G378" s="242"/>
      <c r="H378" s="242"/>
      <c r="I378" s="243"/>
      <c r="J378" s="244"/>
      <c r="K378" s="259"/>
      <c r="L378" s="260"/>
      <c r="M378" s="247" t="str" cm="1">
        <f t="array" ref="M378">IF($K378&gt;0, INDEX(Clean,1+AG378,$C$1), "")</f>
        <v/>
      </c>
      <c r="N378" s="245"/>
      <c r="O378" s="245"/>
      <c r="P378" s="246"/>
      <c r="Q378" s="248">
        <f t="shared" si="453"/>
        <v>0</v>
      </c>
      <c r="R378" s="247" t="str" cm="1">
        <f t="array" ref="R378">IF($K378&gt;0, INDEX(Clean,1+AH378,$C$1), "")</f>
        <v/>
      </c>
      <c r="S378" s="245"/>
      <c r="T378" s="245"/>
      <c r="U378" s="246"/>
      <c r="V378" s="248">
        <f t="shared" si="454"/>
        <v>0</v>
      </c>
      <c r="W378" s="261"/>
      <c r="X378" s="258"/>
      <c r="Y378" s="240"/>
      <c r="Z378" s="241" t="str">
        <f>IF(ISBLANK(Y378), "", VLOOKUP(Y378, Z!$A$2:$C$4127, 3, FALSE))</f>
        <v/>
      </c>
      <c r="AA378" s="262"/>
      <c r="AB378" s="249">
        <f t="shared" si="489"/>
        <v>0</v>
      </c>
      <c r="AC378" s="210"/>
      <c r="AD378" s="236">
        <f t="shared" si="477"/>
        <v>1</v>
      </c>
      <c r="AE378" s="236">
        <f t="shared" si="478"/>
        <v>1</v>
      </c>
      <c r="AF378" s="236">
        <f t="shared" si="479"/>
        <v>0</v>
      </c>
      <c r="AG378" s="236">
        <v>1</v>
      </c>
      <c r="AH378" s="236">
        <v>0</v>
      </c>
      <c r="AI378" s="236">
        <f t="shared" si="455"/>
        <v>-100</v>
      </c>
      <c r="AJ378" s="210"/>
      <c r="AK378" s="254"/>
      <c r="AL378" s="254"/>
      <c r="AM378" s="255"/>
      <c r="AN378" s="255"/>
      <c r="AO378" s="255"/>
      <c r="AP378" s="255"/>
      <c r="AQ378" s="255"/>
      <c r="AR378" s="255"/>
      <c r="AS378" s="255"/>
      <c r="AT378" s="255"/>
      <c r="AU378" s="255"/>
      <c r="AV378" s="255"/>
      <c r="AW378" s="255"/>
      <c r="AX378" s="210"/>
      <c r="AY378" s="236" cm="1">
        <f t="array" ref="AY378">INDEX(Use, $AD378, 4)</f>
        <v>7</v>
      </c>
      <c r="AZ378" s="236">
        <f t="shared" si="456"/>
        <v>32</v>
      </c>
      <c r="BA378" s="236">
        <f t="shared" si="481"/>
        <v>13</v>
      </c>
      <c r="BB378" s="236">
        <f t="shared" si="482"/>
        <v>0</v>
      </c>
      <c r="BC378" s="252" cm="1">
        <f t="array" ref="BC378">K378/IF($L378&gt;0, INDEX($AO$23:$AU$77, $L378+20, $AD378), 1)</f>
        <v>0</v>
      </c>
      <c r="BD378" s="237">
        <f t="shared" si="457"/>
        <v>0</v>
      </c>
      <c r="BE378" s="236">
        <v>35</v>
      </c>
      <c r="BF378" s="237">
        <f t="shared" si="458"/>
        <v>52.55</v>
      </c>
      <c r="BG378" s="253">
        <f t="shared" si="459"/>
        <v>2.7676728869374316</v>
      </c>
      <c r="BH378" s="253" cm="1">
        <f t="array" ref="BH378">$BC378 * SUMPRODUCT(INDEX($AL$77:$AN$82,,$AE378),INDEX($AO$77:$AU$82,,$AD378), N($AK$77:$AK$82&gt;$AI378)) / BG378 / 1000</f>
        <v>0</v>
      </c>
      <c r="BI378" s="250">
        <f t="shared" si="483"/>
        <v>30</v>
      </c>
      <c r="BJ378" s="237">
        <f t="shared" si="460"/>
        <v>46.033333333333331</v>
      </c>
      <c r="BK378" s="253">
        <f t="shared" si="461"/>
        <v>3.2297395388556791</v>
      </c>
      <c r="BL378" s="253" cm="1">
        <f t="array" ref="BL378">$BC378 * IF($AD378&lt;=2,
SUMPRODUCT(INDEX($AL$72:$AN$76,,$AE378), INDEX($AO$72:$AU$76,,$AD378), 1 / ($AV$72:$AV$76*BK378 + (1-$AV$72:$AV$76)*BG378), N($AK$72:$AK$76&gt;$AI378)),
SUMPRODUCT(INDEX($AL$67:$AN$76,,$AE378), INDEX($AO$67:$AU$76,,$AD378), 1 / ($AW$67:$AW$76*BK378 + (1-$AW$67:$AW$76)*BG378), N($AK$67:$AK$76&gt;$AI378))
) / 1000</f>
        <v>0</v>
      </c>
      <c r="BM378" s="250">
        <f t="shared" si="484"/>
        <v>25</v>
      </c>
      <c r="BN378" s="237">
        <f t="shared" si="462"/>
        <v>39.516666666666666</v>
      </c>
      <c r="BO378" s="253">
        <f t="shared" si="463"/>
        <v>3.877011788826243</v>
      </c>
      <c r="BP378" s="253" cm="1">
        <f t="array" ref="BP378">$BC378 * IF($AD378&lt;=2,
SUMPRODUCT(INDEX($AL$67:$AN$71,,$AE378), INDEX($AO$67:$AU$71,,$AD378), 1 / ($AV$67:$AV$71*BO378 + (1-$AV$67:$AV$71)*BK378), N($AK$67:$AK$71&gt;$AI378)),
SUMPRODUCT(INDEX($AL$57:$AN$66,,$AE378), INDEX($AO$57:$AU$66,,$AD378), 1 / ($AW$57:$AW$66*BO378 + (1-$AW$57:$AW$66)*BK378), N($AK$57:$AK$66&gt;$AI378))
) / 1000</f>
        <v>0</v>
      </c>
      <c r="BQ378" s="250">
        <f t="shared" si="485"/>
        <v>20</v>
      </c>
      <c r="BR378" s="237">
        <f t="shared" si="464"/>
        <v>33</v>
      </c>
      <c r="BS378" s="253">
        <f t="shared" si="465"/>
        <v>4.8487499999999999</v>
      </c>
      <c r="BT378" s="253" cm="1">
        <f t="array" ref="BT378">$BC378 * IF($AD378&lt;=2,
SUMPRODUCT(INDEX($AL$62:$AN$66,,$AE378), INDEX($AO$62:$AU$66,,$AD378), 1 / ($AV$62:$AV$66*BS378 + (1-$AV$62:$AV$66)*BO378), N($AK$62:$AK$66&gt;$AI378)),
SUMPRODUCT(INDEX($AL$47:$AN$56,,$AE378), INDEX($AO$47:$AU$56,,$AD378), 1 / ($AW$47:$AW$56*BS378 + (1-$AW$47:$AW$56)*BO378), N($AK$47:$AK$56&gt;$AI378))
) / 1000</f>
        <v>0</v>
      </c>
      <c r="BU378" s="253" cm="1">
        <f t="array" ref="BU378">$BC378 * IF($AD378&lt;=2,
SUMPRODUCT(INDEX($AL$23:$AN$61,,$AE378), INDEX($AO$23:$AU$61,,$AD378), 1 / ($AV$23:$AV$61*BS378), N($AK$23:$AK$61&gt;$AI378)),
SUMPRODUCT(INDEX($AL$23:$AN$46,,$AE378), INDEX($AO$23:$AU$46,,$AD378), 1 / ($AW$23:$AW$46*BS378), N($AK$23:$AK$46&gt;$AI378))
) / 1000</f>
        <v>0</v>
      </c>
      <c r="BV378" s="237">
        <f t="shared" si="466"/>
        <v>0</v>
      </c>
      <c r="BW378" s="210"/>
      <c r="BX378" s="237">
        <f t="shared" si="467"/>
        <v>0</v>
      </c>
      <c r="BY378" s="236">
        <v>35</v>
      </c>
      <c r="BZ378" s="237">
        <f t="shared" si="468"/>
        <v>48</v>
      </c>
      <c r="CA378" s="253">
        <f t="shared" si="469"/>
        <v>3.0748170731707316</v>
      </c>
      <c r="CB378" s="253" cm="1">
        <f t="array" ref="CB378">$BC378 * SUMPRODUCT(INDEX($AL$77:$AN$82,,$AE378),INDEX($AO$77:$AU$82,,$AD378), N($AK$77:$AK$82&gt;$AI378)) / CA378 / 1000</f>
        <v>0</v>
      </c>
      <c r="CC378" s="250">
        <f t="shared" si="486"/>
        <v>30</v>
      </c>
      <c r="CD378" s="237">
        <f t="shared" si="470"/>
        <v>43</v>
      </c>
      <c r="CE378" s="253">
        <f t="shared" si="471"/>
        <v>3.5018750000000001</v>
      </c>
      <c r="CF378" s="253" cm="1">
        <f t="array" ref="CF378">$BC378 * IF($AD378&lt;=2,
SUMPRODUCT(INDEX($AL$72:$AN$76,,$AE378), INDEX($AO$72:$AU$76,,$AD378), 1 / ($AV$72:$AV$76*CE378 + (1-$AV$72:$AV$76)*CA378), N($AK$72:$AK$76&gt;$AI378)),
SUMPRODUCT(INDEX($AL$67:$AN$76,,$AE378), INDEX($AO$67:$AU$76,,$AD378), 1 / ($AW$67:$AW$76*CE378 + (1-$AW$67:$AW$76)*CA378), N($AK$67:$AK$76&gt;$AI378))
) / 1000</f>
        <v>0</v>
      </c>
      <c r="CG378" s="250">
        <f t="shared" si="487"/>
        <v>25</v>
      </c>
      <c r="CH378" s="237">
        <f t="shared" si="472"/>
        <v>38</v>
      </c>
      <c r="CI378" s="253">
        <f t="shared" si="473"/>
        <v>4.0666935483870965</v>
      </c>
      <c r="CJ378" s="253" cm="1">
        <f t="array" ref="CJ378">$BC378 * IF($AD378&lt;=2,
SUMPRODUCT(INDEX($AL$67:$AN$71,,$AE378), INDEX($AO$67:$AU$71,,$AD378), 1 / ($AV$67:$AV$71*CI378 + (1-$AV$67:$AV$71)*CE378), N($AK$67:$AK$71&gt;$AI378)),
SUMPRODUCT(INDEX($AL$57:$AN$66,,$AE378), INDEX($AO$57:$AU$66,,$AD378), 1 / ($AW$57:$AW$66*CI378 + (1-$AW$57:$AW$66)*CE378), N($AK$57:$AK$66&gt;$AI378))
) / 1000</f>
        <v>0</v>
      </c>
      <c r="CK378" s="250">
        <f t="shared" si="488"/>
        <v>20</v>
      </c>
      <c r="CL378" s="237">
        <f t="shared" si="474"/>
        <v>33</v>
      </c>
      <c r="CM378" s="253">
        <f t="shared" si="475"/>
        <v>4.8487499999999999</v>
      </c>
      <c r="CN378" s="253" cm="1">
        <f t="array" ref="CN378">$BC378 * IF($AD378&lt;=2,
SUMPRODUCT(INDEX($AL$62:$AN$66,,$AE378), INDEX($AO$62:$AU$66,,$AD378), 1 / ($AV$62:$AV$66*CM378 + (1-$AV$62:$AV$66)*CI378), N($AK$62:$AK$66&gt;$AI378)),
SUMPRODUCT(INDEX($AL$47:$AN$56,,$AE378), INDEX($AO$47:$AU$56,,$AD378), 1 / ($AW$47:$AW$56*CM378 + (1-$AW$47:$AW$56)*CI378), N($AK$47:$AK$56&gt;$AI378))
) / 1000</f>
        <v>0</v>
      </c>
      <c r="CO378" s="253" cm="1">
        <f t="array" ref="CO378">$BC378 * IF($AD378&lt;=2,
SUMPRODUCT(INDEX($AL$23:$AN$61,,$AE378), INDEX($AO$23:$AU$61,,$AD378), 1 / ($AV$23:$AV$61*CM378), N($AK$23:$AK$61&gt;$AI378)),
SUMPRODUCT(INDEX($AL$23:$AN$46,,$AE378), INDEX($AO$23:$AU$46,,$AD378), 1 / ($AW$23:$AW$46*CM378), N($AK$23:$AK$46&gt;$AI378))
) / 1000</f>
        <v>0</v>
      </c>
      <c r="CP378" s="237">
        <f t="shared" si="476"/>
        <v>0</v>
      </c>
      <c r="CQ378" s="210"/>
    </row>
    <row r="379" spans="1:95" s="76" customFormat="1" ht="14.25" customHeight="1" x14ac:dyDescent="0.2">
      <c r="A379" s="238" t="b">
        <f t="shared" si="480"/>
        <v>0</v>
      </c>
      <c r="B379" s="239">
        <v>357</v>
      </c>
      <c r="C379" s="258"/>
      <c r="D379" s="258"/>
      <c r="E379" s="240"/>
      <c r="F379" s="241" t="str">
        <f>IF(ISBLANK(E379), "", VLOOKUP(E379, Z!$A$2:$C$4127, 3, FALSE))</f>
        <v/>
      </c>
      <c r="G379" s="242"/>
      <c r="H379" s="242"/>
      <c r="I379" s="243"/>
      <c r="J379" s="244"/>
      <c r="K379" s="259"/>
      <c r="L379" s="260"/>
      <c r="M379" s="247" t="str" cm="1">
        <f t="array" ref="M379">IF($K379&gt;0, INDEX(Clean,1+AG379,$C$1), "")</f>
        <v/>
      </c>
      <c r="N379" s="245"/>
      <c r="O379" s="245"/>
      <c r="P379" s="246"/>
      <c r="Q379" s="248">
        <f t="shared" ref="Q379:Q442" si="490">BV379*1000</f>
        <v>0</v>
      </c>
      <c r="R379" s="247" t="str" cm="1">
        <f t="array" ref="R379">IF($K379&gt;0, INDEX(Clean,1+AH379,$C$1), "")</f>
        <v/>
      </c>
      <c r="S379" s="245"/>
      <c r="T379" s="245"/>
      <c r="U379" s="246"/>
      <c r="V379" s="248">
        <f t="shared" ref="V379:V442" si="491">CP379*1000</f>
        <v>0</v>
      </c>
      <c r="W379" s="261"/>
      <c r="X379" s="258"/>
      <c r="Y379" s="240"/>
      <c r="Z379" s="241" t="str">
        <f>IF(ISBLANK(Y379), "", VLOOKUP(Y379, Z!$A$2:$C$4127, 3, FALSE))</f>
        <v/>
      </c>
      <c r="AA379" s="262"/>
      <c r="AB379" s="249">
        <f t="shared" si="489"/>
        <v>0</v>
      </c>
      <c r="AC379" s="210"/>
      <c r="AD379" s="236">
        <f t="shared" si="477"/>
        <v>1</v>
      </c>
      <c r="AE379" s="236">
        <f t="shared" si="478"/>
        <v>1</v>
      </c>
      <c r="AF379" s="236">
        <f t="shared" si="479"/>
        <v>0</v>
      </c>
      <c r="AG379" s="236">
        <v>1</v>
      </c>
      <c r="AH379" s="236">
        <v>0</v>
      </c>
      <c r="AI379" s="236">
        <f t="shared" ref="AI379:AI442" si="492">IF(AND(J379="x", AD379=5), 11, IF(AND(J379="x", AD379=6), 19, -100))</f>
        <v>-100</v>
      </c>
      <c r="AJ379" s="210"/>
      <c r="AK379" s="254"/>
      <c r="AL379" s="254"/>
      <c r="AM379" s="255"/>
      <c r="AN379" s="255"/>
      <c r="AO379" s="255"/>
      <c r="AP379" s="255"/>
      <c r="AQ379" s="255"/>
      <c r="AR379" s="255"/>
      <c r="AS379" s="255"/>
      <c r="AT379" s="255"/>
      <c r="AU379" s="255"/>
      <c r="AV379" s="255"/>
      <c r="AW379" s="255"/>
      <c r="AX379" s="210"/>
      <c r="AY379" s="236" cm="1">
        <f t="array" ref="AY379">INDEX(Use, $AD379, 4)</f>
        <v>7</v>
      </c>
      <c r="AZ379" s="236">
        <f t="shared" ref="AZ379:AZ442" si="493">MAX(25, AY379+25)</f>
        <v>32</v>
      </c>
      <c r="BA379" s="236">
        <f t="shared" si="481"/>
        <v>13</v>
      </c>
      <c r="BB379" s="236">
        <f t="shared" si="482"/>
        <v>0</v>
      </c>
      <c r="BC379" s="252" cm="1">
        <f t="array" ref="BC379">K379/IF($L379&gt;0, INDEX($AO$23:$AU$77, $L379+20, $AD379), 1)</f>
        <v>0</v>
      </c>
      <c r="BD379" s="237">
        <f t="shared" ref="BD379:BD442" si="494">P379 /  IF(AD379&lt;=2, 0.7 + 0.3 * (O379-20)/(35-20), 0.4 + 0.6 * (O379-5)/(35-5))</f>
        <v>0</v>
      </c>
      <c r="BE379" s="236">
        <v>35</v>
      </c>
      <c r="BF379" s="237">
        <f t="shared" ref="BF379:BF442" si="495">MAX($N379, MAX($AZ379, $BE379 + $BA379 + $BB379 + 0.35*$AG379*$BA379 + BD379))</f>
        <v>52.55</v>
      </c>
      <c r="BG379" s="253">
        <f t="shared" ref="BG379:BG442" si="496">0.45*($AY379+273.15)/(BF379-$AY379)</f>
        <v>2.7676728869374316</v>
      </c>
      <c r="BH379" s="253" cm="1">
        <f t="array" ref="BH379">$BC379 * SUMPRODUCT(INDEX($AL$77:$AN$82,,$AE379),INDEX($AO$77:$AU$82,,$AD379), N($AK$77:$AK$82&gt;$AI379)) / BG379 / 1000</f>
        <v>0</v>
      </c>
      <c r="BI379" s="250">
        <f t="shared" si="483"/>
        <v>30</v>
      </c>
      <c r="BJ379" s="237">
        <f t="shared" ref="BJ379:BJ442" si="497">MAX($N379, MAX($AZ379, BI379 + $BA379 + $BB379 + IF($AD379&lt;=2, (BI379-20)/(35-20), 0.6+0.4*(BI379-5)/(35-5))*0.35*$AG379*$BA379) + IF($AD379&lt;=2,0.9,0.8)*$BD379)</f>
        <v>46.033333333333331</v>
      </c>
      <c r="BK379" s="253">
        <f t="shared" ref="BK379:BK442" si="498">0.45*($AY379+273.15)/(BJ379-$AY379)</f>
        <v>3.2297395388556791</v>
      </c>
      <c r="BL379" s="253" cm="1">
        <f t="array" ref="BL379">$BC379 * IF($AD379&lt;=2,
SUMPRODUCT(INDEX($AL$72:$AN$76,,$AE379), INDEX($AO$72:$AU$76,,$AD379), 1 / ($AV$72:$AV$76*BK379 + (1-$AV$72:$AV$76)*BG379), N($AK$72:$AK$76&gt;$AI379)),
SUMPRODUCT(INDEX($AL$67:$AN$76,,$AE379), INDEX($AO$67:$AU$76,,$AD379), 1 / ($AW$67:$AW$76*BK379 + (1-$AW$67:$AW$76)*BG379), N($AK$67:$AK$76&gt;$AI379))
) / 1000</f>
        <v>0</v>
      </c>
      <c r="BM379" s="250">
        <f t="shared" si="484"/>
        <v>25</v>
      </c>
      <c r="BN379" s="237">
        <f t="shared" ref="BN379:BN442" si="499">MAX($N379, MAX($AZ379, BM379 + $BA379 + $BB379 + IF($AD379&lt;=2, (BM379-20)/(35-20), 0.6+0.4*(BM379-5)/(35-5))*0.35*$AG379*$BA379) + IF($AD379&lt;=2,0.8,0.6)*$BD379)</f>
        <v>39.516666666666666</v>
      </c>
      <c r="BO379" s="253">
        <f t="shared" ref="BO379:BO442" si="500">0.45*($AY379+273.15)/(BN379-$AY379)</f>
        <v>3.877011788826243</v>
      </c>
      <c r="BP379" s="253" cm="1">
        <f t="array" ref="BP379">$BC379 * IF($AD379&lt;=2,
SUMPRODUCT(INDEX($AL$67:$AN$71,,$AE379), INDEX($AO$67:$AU$71,,$AD379), 1 / ($AV$67:$AV$71*BO379 + (1-$AV$67:$AV$71)*BK379), N($AK$67:$AK$71&gt;$AI379)),
SUMPRODUCT(INDEX($AL$57:$AN$66,,$AE379), INDEX($AO$57:$AU$66,,$AD379), 1 / ($AW$57:$AW$66*BO379 + (1-$AW$57:$AW$66)*BK379), N($AK$57:$AK$66&gt;$AI379))
) / 1000</f>
        <v>0</v>
      </c>
      <c r="BQ379" s="250">
        <f t="shared" si="485"/>
        <v>20</v>
      </c>
      <c r="BR379" s="237">
        <f t="shared" ref="BR379:BR442" si="501">MAX($N379, MAX($AZ379, BQ379 + $BA379 + $BB379 + IF($AD379&lt;=2, (BQ379-20)/(35-20), 0.6+0.4*(BQ379-5)/(35-5))*0.35*$AG379*$BA379) + IF($AD379&lt;=2,0.7,0.4)*$BD379)</f>
        <v>33</v>
      </c>
      <c r="BS379" s="253">
        <f t="shared" ref="BS379:BS442" si="502">0.45*($AY379+273.15)/(BR379-$AY379)</f>
        <v>4.8487499999999999</v>
      </c>
      <c r="BT379" s="253" cm="1">
        <f t="array" ref="BT379">$BC379 * IF($AD379&lt;=2,
SUMPRODUCT(INDEX($AL$62:$AN$66,,$AE379), INDEX($AO$62:$AU$66,,$AD379), 1 / ($AV$62:$AV$66*BS379 + (1-$AV$62:$AV$66)*BO379), N($AK$62:$AK$66&gt;$AI379)),
SUMPRODUCT(INDEX($AL$47:$AN$56,,$AE379), INDEX($AO$47:$AU$56,,$AD379), 1 / ($AW$47:$AW$56*BS379 + (1-$AW$47:$AW$56)*BO379), N($AK$47:$AK$56&gt;$AI379))
) / 1000</f>
        <v>0</v>
      </c>
      <c r="BU379" s="253" cm="1">
        <f t="array" ref="BU379">$BC379 * IF($AD379&lt;=2,
SUMPRODUCT(INDEX($AL$23:$AN$61,,$AE379), INDEX($AO$23:$AU$61,,$AD379), 1 / ($AV$23:$AV$61*BS379), N($AK$23:$AK$61&gt;$AI379)),
SUMPRODUCT(INDEX($AL$23:$AN$46,,$AE379), INDEX($AO$23:$AU$46,,$AD379), 1 / ($AW$23:$AW$46*BS379), N($AK$23:$AK$46&gt;$AI379))
) / 1000</f>
        <v>0</v>
      </c>
      <c r="BV379" s="237">
        <f t="shared" ref="BV379:BV442" si="503">BH379+BL379+BP379+BT379+BU379</f>
        <v>0</v>
      </c>
      <c r="BW379" s="210"/>
      <c r="BX379" s="237">
        <f t="shared" ref="BX379:BX442" si="504">U379 /  IF(AD379&lt;=2, 0.7 + 0.3 * (T379-20)/(35-20), 0.4 + 0.6 * (T379-5)/(35-5))</f>
        <v>0</v>
      </c>
      <c r="BY379" s="236">
        <v>35</v>
      </c>
      <c r="BZ379" s="237">
        <f t="shared" ref="BZ379:BZ442" si="505">MAX($S379, MAX($AZ379, $BE379 + $BA379 + $BB379 + 0.35*$AH379*$BA379 + BX379))</f>
        <v>48</v>
      </c>
      <c r="CA379" s="253">
        <f t="shared" ref="CA379:CA442" si="506">0.45*($AY379+273.15)/(BZ379-$AY379)</f>
        <v>3.0748170731707316</v>
      </c>
      <c r="CB379" s="253" cm="1">
        <f t="array" ref="CB379">$BC379 * SUMPRODUCT(INDEX($AL$77:$AN$82,,$AE379),INDEX($AO$77:$AU$82,,$AD379), N($AK$77:$AK$82&gt;$AI379)) / CA379 / 1000</f>
        <v>0</v>
      </c>
      <c r="CC379" s="250">
        <f t="shared" si="486"/>
        <v>30</v>
      </c>
      <c r="CD379" s="237">
        <f t="shared" ref="CD379:CD442" si="507">MAX($S379, MAX($AZ379, CC379 + $BA379 + $BB379 + IF($AD379&lt;=2, (CC379-20)/(35-20), 0.6+0.4*(CC379-5)/(35-5))*0.35*$AH379*$BA379) + IF($AD379&lt;=2,0.9,0.8)*$BX379)</f>
        <v>43</v>
      </c>
      <c r="CE379" s="253">
        <f t="shared" ref="CE379:CE442" si="508">0.45*($AY379+273.15)/(CD379-$AY379)</f>
        <v>3.5018750000000001</v>
      </c>
      <c r="CF379" s="253" cm="1">
        <f t="array" ref="CF379">$BC379 * IF($AD379&lt;=2,
SUMPRODUCT(INDEX($AL$72:$AN$76,,$AE379), INDEX($AO$72:$AU$76,,$AD379), 1 / ($AV$72:$AV$76*CE379 + (1-$AV$72:$AV$76)*CA379), N($AK$72:$AK$76&gt;$AI379)),
SUMPRODUCT(INDEX($AL$67:$AN$76,,$AE379), INDEX($AO$67:$AU$76,,$AD379), 1 / ($AW$67:$AW$76*CE379 + (1-$AW$67:$AW$76)*CA379), N($AK$67:$AK$76&gt;$AI379))
) / 1000</f>
        <v>0</v>
      </c>
      <c r="CG379" s="250">
        <f t="shared" si="487"/>
        <v>25</v>
      </c>
      <c r="CH379" s="237">
        <f t="shared" ref="CH379:CH442" si="509">MAX($S379, MAX($AZ379, CG379 + $BA379 + $BB379 + IF($AD379&lt;=2, (CG379-20)/(35-20), 0.6+0.4*(CG379-5)/(35-5))*0.35*$AH379*$BA379) + IF($AD379&lt;=2,0.8,0.6)*$BX379)</f>
        <v>38</v>
      </c>
      <c r="CI379" s="253">
        <f t="shared" ref="CI379:CI442" si="510">0.45*($AY379+273.15)/(CH379-$AY379)</f>
        <v>4.0666935483870965</v>
      </c>
      <c r="CJ379" s="253" cm="1">
        <f t="array" ref="CJ379">$BC379 * IF($AD379&lt;=2,
SUMPRODUCT(INDEX($AL$67:$AN$71,,$AE379), INDEX($AO$67:$AU$71,,$AD379), 1 / ($AV$67:$AV$71*CI379 + (1-$AV$67:$AV$71)*CE379), N($AK$67:$AK$71&gt;$AI379)),
SUMPRODUCT(INDEX($AL$57:$AN$66,,$AE379), INDEX($AO$57:$AU$66,,$AD379), 1 / ($AW$57:$AW$66*CI379 + (1-$AW$57:$AW$66)*CE379), N($AK$57:$AK$66&gt;$AI379))
) / 1000</f>
        <v>0</v>
      </c>
      <c r="CK379" s="250">
        <f t="shared" si="488"/>
        <v>20</v>
      </c>
      <c r="CL379" s="237">
        <f t="shared" ref="CL379:CL442" si="511">MAX($S379, MAX($AZ379, CK379 + $BA379 + $BB379 + IF($AD379&lt;=2, (CK379-20)/(35-20), 0.6+0.4*(CK379-5)/(35-5))*0.35*$AH379*$BA379) + IF($AD379&lt;=2,0.7,0.4)*$BX379)</f>
        <v>33</v>
      </c>
      <c r="CM379" s="253">
        <f t="shared" ref="CM379:CM442" si="512">0.45*($AY379+273.15)/(CL379-$AY379)</f>
        <v>4.8487499999999999</v>
      </c>
      <c r="CN379" s="253" cm="1">
        <f t="array" ref="CN379">$BC379 * IF($AD379&lt;=2,
SUMPRODUCT(INDEX($AL$62:$AN$66,,$AE379), INDEX($AO$62:$AU$66,,$AD379), 1 / ($AV$62:$AV$66*CM379 + (1-$AV$62:$AV$66)*CI379), N($AK$62:$AK$66&gt;$AI379)),
SUMPRODUCT(INDEX($AL$47:$AN$56,,$AE379), INDEX($AO$47:$AU$56,,$AD379), 1 / ($AW$47:$AW$56*CM379 + (1-$AW$47:$AW$56)*CI379), N($AK$47:$AK$56&gt;$AI379))
) / 1000</f>
        <v>0</v>
      </c>
      <c r="CO379" s="253" cm="1">
        <f t="array" ref="CO379">$BC379 * IF($AD379&lt;=2,
SUMPRODUCT(INDEX($AL$23:$AN$61,,$AE379), INDEX($AO$23:$AU$61,,$AD379), 1 / ($AV$23:$AV$61*CM379), N($AK$23:$AK$61&gt;$AI379)),
SUMPRODUCT(INDEX($AL$23:$AN$46,,$AE379), INDEX($AO$23:$AU$46,,$AD379), 1 / ($AW$23:$AW$46*CM379), N($AK$23:$AK$46&gt;$AI379))
) / 1000</f>
        <v>0</v>
      </c>
      <c r="CP379" s="237">
        <f t="shared" ref="CP379:CP442" si="513">CB379+CF379+CJ379+CN379+CO379</f>
        <v>0</v>
      </c>
      <c r="CQ379" s="210"/>
    </row>
    <row r="380" spans="1:95" s="76" customFormat="1" ht="14.25" customHeight="1" x14ac:dyDescent="0.2">
      <c r="A380" s="238" t="b">
        <f t="shared" si="480"/>
        <v>0</v>
      </c>
      <c r="B380" s="239">
        <v>358</v>
      </c>
      <c r="C380" s="258"/>
      <c r="D380" s="258"/>
      <c r="E380" s="240"/>
      <c r="F380" s="241" t="str">
        <f>IF(ISBLANK(E380), "", VLOOKUP(E380, Z!$A$2:$C$4127, 3, FALSE))</f>
        <v/>
      </c>
      <c r="G380" s="242"/>
      <c r="H380" s="242"/>
      <c r="I380" s="243"/>
      <c r="J380" s="244"/>
      <c r="K380" s="259"/>
      <c r="L380" s="260"/>
      <c r="M380" s="247" t="str" cm="1">
        <f t="array" ref="M380">IF($K380&gt;0, INDEX(Clean,1+AG380,$C$1), "")</f>
        <v/>
      </c>
      <c r="N380" s="245"/>
      <c r="O380" s="245"/>
      <c r="P380" s="246"/>
      <c r="Q380" s="248">
        <f t="shared" si="490"/>
        <v>0</v>
      </c>
      <c r="R380" s="247" t="str" cm="1">
        <f t="array" ref="R380">IF($K380&gt;0, INDEX(Clean,1+AH380,$C$1), "")</f>
        <v/>
      </c>
      <c r="S380" s="245"/>
      <c r="T380" s="245"/>
      <c r="U380" s="246"/>
      <c r="V380" s="248">
        <f t="shared" si="491"/>
        <v>0</v>
      </c>
      <c r="W380" s="261"/>
      <c r="X380" s="258"/>
      <c r="Y380" s="240"/>
      <c r="Z380" s="241" t="str">
        <f>IF(ISBLANK(Y380), "", VLOOKUP(Y380, Z!$A$2:$C$4127, 3, FALSE))</f>
        <v/>
      </c>
      <c r="AA380" s="262"/>
      <c r="AB380" s="249">
        <f t="shared" si="489"/>
        <v>0</v>
      </c>
      <c r="AC380" s="210"/>
      <c r="AD380" s="236">
        <f t="shared" ref="AD380:AD443" si="514">IF(ISBLANK(H380), 1, IFERROR(MATCH(H380, INDEX(Use,,1), 0), IFERROR(MATCH(H380, INDEX(Use,,2), 0), MATCH(H380, INDEX(Use,,3), 0))))</f>
        <v>1</v>
      </c>
      <c r="AE380" s="236">
        <f t="shared" ref="AE380:AE443" si="515">IF(ISBLANK(G380), 1, IFERROR(MATCH(G380, INDEX(Loc,,1), 0), IFERROR(MATCH(G380, INDEX(Loc,,2), 0), MATCH(G380, INDEX(Loc,,3), 0))))</f>
        <v>1</v>
      </c>
      <c r="AF380" s="236">
        <f t="shared" ref="AF380:AF443" si="516">_xlfn.IFNA(IF(IFERROR(MATCH(I380, INDEX(Medium,,1), 0), IFERROR(MATCH(I380, INDEX(Medium,,2), 0), MATCH(I380, INDEX(Medium,,3), 0))) = 2, 1, 0), 0)</f>
        <v>0</v>
      </c>
      <c r="AG380" s="236">
        <v>1</v>
      </c>
      <c r="AH380" s="236">
        <v>0</v>
      </c>
      <c r="AI380" s="236">
        <f t="shared" si="492"/>
        <v>-100</v>
      </c>
      <c r="AJ380" s="210"/>
      <c r="AK380" s="254"/>
      <c r="AL380" s="254"/>
      <c r="AM380" s="255"/>
      <c r="AN380" s="255"/>
      <c r="AO380" s="255"/>
      <c r="AP380" s="255"/>
      <c r="AQ380" s="255"/>
      <c r="AR380" s="255"/>
      <c r="AS380" s="255"/>
      <c r="AT380" s="255"/>
      <c r="AU380" s="255"/>
      <c r="AV380" s="255"/>
      <c r="AW380" s="255"/>
      <c r="AX380" s="210"/>
      <c r="AY380" s="236" cm="1">
        <f t="array" ref="AY380">INDEX(Use, $AD380, 4)</f>
        <v>7</v>
      </c>
      <c r="AZ380" s="236">
        <f t="shared" si="493"/>
        <v>32</v>
      </c>
      <c r="BA380" s="236">
        <f t="shared" si="481"/>
        <v>13</v>
      </c>
      <c r="BB380" s="236">
        <f t="shared" si="482"/>
        <v>0</v>
      </c>
      <c r="BC380" s="252" cm="1">
        <f t="array" ref="BC380">K380/IF($L380&gt;0, INDEX($AO$23:$AU$77, $L380+20, $AD380), 1)</f>
        <v>0</v>
      </c>
      <c r="BD380" s="237">
        <f t="shared" si="494"/>
        <v>0</v>
      </c>
      <c r="BE380" s="236">
        <v>35</v>
      </c>
      <c r="BF380" s="237">
        <f t="shared" si="495"/>
        <v>52.55</v>
      </c>
      <c r="BG380" s="253">
        <f t="shared" si="496"/>
        <v>2.7676728869374316</v>
      </c>
      <c r="BH380" s="253" cm="1">
        <f t="array" ref="BH380">$BC380 * SUMPRODUCT(INDEX($AL$77:$AN$82,,$AE380),INDEX($AO$77:$AU$82,,$AD380), N($AK$77:$AK$82&gt;$AI380)) / BG380 / 1000</f>
        <v>0</v>
      </c>
      <c r="BI380" s="250">
        <f t="shared" si="483"/>
        <v>30</v>
      </c>
      <c r="BJ380" s="237">
        <f t="shared" si="497"/>
        <v>46.033333333333331</v>
      </c>
      <c r="BK380" s="253">
        <f t="shared" si="498"/>
        <v>3.2297395388556791</v>
      </c>
      <c r="BL380" s="253" cm="1">
        <f t="array" ref="BL380">$BC380 * IF($AD380&lt;=2,
SUMPRODUCT(INDEX($AL$72:$AN$76,,$AE380), INDEX($AO$72:$AU$76,,$AD380), 1 / ($AV$72:$AV$76*BK380 + (1-$AV$72:$AV$76)*BG380), N($AK$72:$AK$76&gt;$AI380)),
SUMPRODUCT(INDEX($AL$67:$AN$76,,$AE380), INDEX($AO$67:$AU$76,,$AD380), 1 / ($AW$67:$AW$76*BK380 + (1-$AW$67:$AW$76)*BG380), N($AK$67:$AK$76&gt;$AI380))
) / 1000</f>
        <v>0</v>
      </c>
      <c r="BM380" s="250">
        <f t="shared" si="484"/>
        <v>25</v>
      </c>
      <c r="BN380" s="237">
        <f t="shared" si="499"/>
        <v>39.516666666666666</v>
      </c>
      <c r="BO380" s="253">
        <f t="shared" si="500"/>
        <v>3.877011788826243</v>
      </c>
      <c r="BP380" s="253" cm="1">
        <f t="array" ref="BP380">$BC380 * IF($AD380&lt;=2,
SUMPRODUCT(INDEX($AL$67:$AN$71,,$AE380), INDEX($AO$67:$AU$71,,$AD380), 1 / ($AV$67:$AV$71*BO380 + (1-$AV$67:$AV$71)*BK380), N($AK$67:$AK$71&gt;$AI380)),
SUMPRODUCT(INDEX($AL$57:$AN$66,,$AE380), INDEX($AO$57:$AU$66,,$AD380), 1 / ($AW$57:$AW$66*BO380 + (1-$AW$57:$AW$66)*BK380), N($AK$57:$AK$66&gt;$AI380))
) / 1000</f>
        <v>0</v>
      </c>
      <c r="BQ380" s="250">
        <f t="shared" si="485"/>
        <v>20</v>
      </c>
      <c r="BR380" s="237">
        <f t="shared" si="501"/>
        <v>33</v>
      </c>
      <c r="BS380" s="253">
        <f t="shared" si="502"/>
        <v>4.8487499999999999</v>
      </c>
      <c r="BT380" s="253" cm="1">
        <f t="array" ref="BT380">$BC380 * IF($AD380&lt;=2,
SUMPRODUCT(INDEX($AL$62:$AN$66,,$AE380), INDEX($AO$62:$AU$66,,$AD380), 1 / ($AV$62:$AV$66*BS380 + (1-$AV$62:$AV$66)*BO380), N($AK$62:$AK$66&gt;$AI380)),
SUMPRODUCT(INDEX($AL$47:$AN$56,,$AE380), INDEX($AO$47:$AU$56,,$AD380), 1 / ($AW$47:$AW$56*BS380 + (1-$AW$47:$AW$56)*BO380), N($AK$47:$AK$56&gt;$AI380))
) / 1000</f>
        <v>0</v>
      </c>
      <c r="BU380" s="253" cm="1">
        <f t="array" ref="BU380">$BC380 * IF($AD380&lt;=2,
SUMPRODUCT(INDEX($AL$23:$AN$61,,$AE380), INDEX($AO$23:$AU$61,,$AD380), 1 / ($AV$23:$AV$61*BS380), N($AK$23:$AK$61&gt;$AI380)),
SUMPRODUCT(INDEX($AL$23:$AN$46,,$AE380), INDEX($AO$23:$AU$46,,$AD380), 1 / ($AW$23:$AW$46*BS380), N($AK$23:$AK$46&gt;$AI380))
) / 1000</f>
        <v>0</v>
      </c>
      <c r="BV380" s="237">
        <f t="shared" si="503"/>
        <v>0</v>
      </c>
      <c r="BW380" s="210"/>
      <c r="BX380" s="237">
        <f t="shared" si="504"/>
        <v>0</v>
      </c>
      <c r="BY380" s="236">
        <v>35</v>
      </c>
      <c r="BZ380" s="237">
        <f t="shared" si="505"/>
        <v>48</v>
      </c>
      <c r="CA380" s="253">
        <f t="shared" si="506"/>
        <v>3.0748170731707316</v>
      </c>
      <c r="CB380" s="253" cm="1">
        <f t="array" ref="CB380">$BC380 * SUMPRODUCT(INDEX($AL$77:$AN$82,,$AE380),INDEX($AO$77:$AU$82,,$AD380), N($AK$77:$AK$82&gt;$AI380)) / CA380 / 1000</f>
        <v>0</v>
      </c>
      <c r="CC380" s="250">
        <f t="shared" si="486"/>
        <v>30</v>
      </c>
      <c r="CD380" s="237">
        <f t="shared" si="507"/>
        <v>43</v>
      </c>
      <c r="CE380" s="253">
        <f t="shared" si="508"/>
        <v>3.5018750000000001</v>
      </c>
      <c r="CF380" s="253" cm="1">
        <f t="array" ref="CF380">$BC380 * IF($AD380&lt;=2,
SUMPRODUCT(INDEX($AL$72:$AN$76,,$AE380), INDEX($AO$72:$AU$76,,$AD380), 1 / ($AV$72:$AV$76*CE380 + (1-$AV$72:$AV$76)*CA380), N($AK$72:$AK$76&gt;$AI380)),
SUMPRODUCT(INDEX($AL$67:$AN$76,,$AE380), INDEX($AO$67:$AU$76,,$AD380), 1 / ($AW$67:$AW$76*CE380 + (1-$AW$67:$AW$76)*CA380), N($AK$67:$AK$76&gt;$AI380))
) / 1000</f>
        <v>0</v>
      </c>
      <c r="CG380" s="250">
        <f t="shared" si="487"/>
        <v>25</v>
      </c>
      <c r="CH380" s="237">
        <f t="shared" si="509"/>
        <v>38</v>
      </c>
      <c r="CI380" s="253">
        <f t="shared" si="510"/>
        <v>4.0666935483870965</v>
      </c>
      <c r="CJ380" s="253" cm="1">
        <f t="array" ref="CJ380">$BC380 * IF($AD380&lt;=2,
SUMPRODUCT(INDEX($AL$67:$AN$71,,$AE380), INDEX($AO$67:$AU$71,,$AD380), 1 / ($AV$67:$AV$71*CI380 + (1-$AV$67:$AV$71)*CE380), N($AK$67:$AK$71&gt;$AI380)),
SUMPRODUCT(INDEX($AL$57:$AN$66,,$AE380), INDEX($AO$57:$AU$66,,$AD380), 1 / ($AW$57:$AW$66*CI380 + (1-$AW$57:$AW$66)*CE380), N($AK$57:$AK$66&gt;$AI380))
) / 1000</f>
        <v>0</v>
      </c>
      <c r="CK380" s="250">
        <f t="shared" si="488"/>
        <v>20</v>
      </c>
      <c r="CL380" s="237">
        <f t="shared" si="511"/>
        <v>33</v>
      </c>
      <c r="CM380" s="253">
        <f t="shared" si="512"/>
        <v>4.8487499999999999</v>
      </c>
      <c r="CN380" s="253" cm="1">
        <f t="array" ref="CN380">$BC380 * IF($AD380&lt;=2,
SUMPRODUCT(INDEX($AL$62:$AN$66,,$AE380), INDEX($AO$62:$AU$66,,$AD380), 1 / ($AV$62:$AV$66*CM380 + (1-$AV$62:$AV$66)*CI380), N($AK$62:$AK$66&gt;$AI380)),
SUMPRODUCT(INDEX($AL$47:$AN$56,,$AE380), INDEX($AO$47:$AU$56,,$AD380), 1 / ($AW$47:$AW$56*CM380 + (1-$AW$47:$AW$56)*CI380), N($AK$47:$AK$56&gt;$AI380))
) / 1000</f>
        <v>0</v>
      </c>
      <c r="CO380" s="253" cm="1">
        <f t="array" ref="CO380">$BC380 * IF($AD380&lt;=2,
SUMPRODUCT(INDEX($AL$23:$AN$61,,$AE380), INDEX($AO$23:$AU$61,,$AD380), 1 / ($AV$23:$AV$61*CM380), N($AK$23:$AK$61&gt;$AI380)),
SUMPRODUCT(INDEX($AL$23:$AN$46,,$AE380), INDEX($AO$23:$AU$46,,$AD380), 1 / ($AW$23:$AW$46*CM380), N($AK$23:$AK$46&gt;$AI380))
) / 1000</f>
        <v>0</v>
      </c>
      <c r="CP380" s="237">
        <f t="shared" si="513"/>
        <v>0</v>
      </c>
      <c r="CQ380" s="210"/>
    </row>
    <row r="381" spans="1:95" s="76" customFormat="1" ht="14.25" customHeight="1" x14ac:dyDescent="0.2">
      <c r="A381" s="238" t="b">
        <f t="shared" si="480"/>
        <v>0</v>
      </c>
      <c r="B381" s="239">
        <v>359</v>
      </c>
      <c r="C381" s="258"/>
      <c r="D381" s="258"/>
      <c r="E381" s="240"/>
      <c r="F381" s="241" t="str">
        <f>IF(ISBLANK(E381), "", VLOOKUP(E381, Z!$A$2:$C$4127, 3, FALSE))</f>
        <v/>
      </c>
      <c r="G381" s="242"/>
      <c r="H381" s="242"/>
      <c r="I381" s="243"/>
      <c r="J381" s="244"/>
      <c r="K381" s="259"/>
      <c r="L381" s="260"/>
      <c r="M381" s="247" t="str" cm="1">
        <f t="array" ref="M381">IF($K381&gt;0, INDEX(Clean,1+AG381,$C$1), "")</f>
        <v/>
      </c>
      <c r="N381" s="245"/>
      <c r="O381" s="245"/>
      <c r="P381" s="246"/>
      <c r="Q381" s="248">
        <f t="shared" si="490"/>
        <v>0</v>
      </c>
      <c r="R381" s="247" t="str" cm="1">
        <f t="array" ref="R381">IF($K381&gt;0, INDEX(Clean,1+AH381,$C$1), "")</f>
        <v/>
      </c>
      <c r="S381" s="245"/>
      <c r="T381" s="245"/>
      <c r="U381" s="246"/>
      <c r="V381" s="248">
        <f t="shared" si="491"/>
        <v>0</v>
      </c>
      <c r="W381" s="261"/>
      <c r="X381" s="258"/>
      <c r="Y381" s="240"/>
      <c r="Z381" s="241" t="str">
        <f>IF(ISBLANK(Y381), "", VLOOKUP(Y381, Z!$A$2:$C$4127, 3, FALSE))</f>
        <v/>
      </c>
      <c r="AA381" s="262"/>
      <c r="AB381" s="249">
        <f t="shared" si="489"/>
        <v>0</v>
      </c>
      <c r="AC381" s="210"/>
      <c r="AD381" s="236">
        <f t="shared" si="514"/>
        <v>1</v>
      </c>
      <c r="AE381" s="236">
        <f t="shared" si="515"/>
        <v>1</v>
      </c>
      <c r="AF381" s="236">
        <f t="shared" si="516"/>
        <v>0</v>
      </c>
      <c r="AG381" s="236">
        <v>1</v>
      </c>
      <c r="AH381" s="236">
        <v>0</v>
      </c>
      <c r="AI381" s="236">
        <f t="shared" si="492"/>
        <v>-100</v>
      </c>
      <c r="AJ381" s="210"/>
      <c r="AK381" s="254"/>
      <c r="AL381" s="254"/>
      <c r="AM381" s="255"/>
      <c r="AN381" s="255"/>
      <c r="AO381" s="255"/>
      <c r="AP381" s="255"/>
      <c r="AQ381" s="255"/>
      <c r="AR381" s="255"/>
      <c r="AS381" s="255"/>
      <c r="AT381" s="255"/>
      <c r="AU381" s="255"/>
      <c r="AV381" s="255"/>
      <c r="AW381" s="255"/>
      <c r="AX381" s="210"/>
      <c r="AY381" s="236" cm="1">
        <f t="array" ref="AY381">INDEX(Use, $AD381, 4)</f>
        <v>7</v>
      </c>
      <c r="AZ381" s="236">
        <f t="shared" si="493"/>
        <v>32</v>
      </c>
      <c r="BA381" s="236">
        <f t="shared" si="481"/>
        <v>13</v>
      </c>
      <c r="BB381" s="236">
        <f t="shared" si="482"/>
        <v>0</v>
      </c>
      <c r="BC381" s="252" cm="1">
        <f t="array" ref="BC381">K381/IF($L381&gt;0, INDEX($AO$23:$AU$77, $L381+20, $AD381), 1)</f>
        <v>0</v>
      </c>
      <c r="BD381" s="237">
        <f t="shared" si="494"/>
        <v>0</v>
      </c>
      <c r="BE381" s="236">
        <v>35</v>
      </c>
      <c r="BF381" s="237">
        <f t="shared" si="495"/>
        <v>52.55</v>
      </c>
      <c r="BG381" s="253">
        <f t="shared" si="496"/>
        <v>2.7676728869374316</v>
      </c>
      <c r="BH381" s="253" cm="1">
        <f t="array" ref="BH381">$BC381 * SUMPRODUCT(INDEX($AL$77:$AN$82,,$AE381),INDEX($AO$77:$AU$82,,$AD381), N($AK$77:$AK$82&gt;$AI381)) / BG381 / 1000</f>
        <v>0</v>
      </c>
      <c r="BI381" s="250">
        <f t="shared" si="483"/>
        <v>30</v>
      </c>
      <c r="BJ381" s="237">
        <f t="shared" si="497"/>
        <v>46.033333333333331</v>
      </c>
      <c r="BK381" s="253">
        <f t="shared" si="498"/>
        <v>3.2297395388556791</v>
      </c>
      <c r="BL381" s="253" cm="1">
        <f t="array" ref="BL381">$BC381 * IF($AD381&lt;=2,
SUMPRODUCT(INDEX($AL$72:$AN$76,,$AE381), INDEX($AO$72:$AU$76,,$AD381), 1 / ($AV$72:$AV$76*BK381 + (1-$AV$72:$AV$76)*BG381), N($AK$72:$AK$76&gt;$AI381)),
SUMPRODUCT(INDEX($AL$67:$AN$76,,$AE381), INDEX($AO$67:$AU$76,,$AD381), 1 / ($AW$67:$AW$76*BK381 + (1-$AW$67:$AW$76)*BG381), N($AK$67:$AK$76&gt;$AI381))
) / 1000</f>
        <v>0</v>
      </c>
      <c r="BM381" s="250">
        <f t="shared" si="484"/>
        <v>25</v>
      </c>
      <c r="BN381" s="237">
        <f t="shared" si="499"/>
        <v>39.516666666666666</v>
      </c>
      <c r="BO381" s="253">
        <f t="shared" si="500"/>
        <v>3.877011788826243</v>
      </c>
      <c r="BP381" s="253" cm="1">
        <f t="array" ref="BP381">$BC381 * IF($AD381&lt;=2,
SUMPRODUCT(INDEX($AL$67:$AN$71,,$AE381), INDEX($AO$67:$AU$71,,$AD381), 1 / ($AV$67:$AV$71*BO381 + (1-$AV$67:$AV$71)*BK381), N($AK$67:$AK$71&gt;$AI381)),
SUMPRODUCT(INDEX($AL$57:$AN$66,,$AE381), INDEX($AO$57:$AU$66,,$AD381), 1 / ($AW$57:$AW$66*BO381 + (1-$AW$57:$AW$66)*BK381), N($AK$57:$AK$66&gt;$AI381))
) / 1000</f>
        <v>0</v>
      </c>
      <c r="BQ381" s="250">
        <f t="shared" si="485"/>
        <v>20</v>
      </c>
      <c r="BR381" s="237">
        <f t="shared" si="501"/>
        <v>33</v>
      </c>
      <c r="BS381" s="253">
        <f t="shared" si="502"/>
        <v>4.8487499999999999</v>
      </c>
      <c r="BT381" s="253" cm="1">
        <f t="array" ref="BT381">$BC381 * IF($AD381&lt;=2,
SUMPRODUCT(INDEX($AL$62:$AN$66,,$AE381), INDEX($AO$62:$AU$66,,$AD381), 1 / ($AV$62:$AV$66*BS381 + (1-$AV$62:$AV$66)*BO381), N($AK$62:$AK$66&gt;$AI381)),
SUMPRODUCT(INDEX($AL$47:$AN$56,,$AE381), INDEX($AO$47:$AU$56,,$AD381), 1 / ($AW$47:$AW$56*BS381 + (1-$AW$47:$AW$56)*BO381), N($AK$47:$AK$56&gt;$AI381))
) / 1000</f>
        <v>0</v>
      </c>
      <c r="BU381" s="253" cm="1">
        <f t="array" ref="BU381">$BC381 * IF($AD381&lt;=2,
SUMPRODUCT(INDEX($AL$23:$AN$61,,$AE381), INDEX($AO$23:$AU$61,,$AD381), 1 / ($AV$23:$AV$61*BS381), N($AK$23:$AK$61&gt;$AI381)),
SUMPRODUCT(INDEX($AL$23:$AN$46,,$AE381), INDEX($AO$23:$AU$46,,$AD381), 1 / ($AW$23:$AW$46*BS381), N($AK$23:$AK$46&gt;$AI381))
) / 1000</f>
        <v>0</v>
      </c>
      <c r="BV381" s="237">
        <f t="shared" si="503"/>
        <v>0</v>
      </c>
      <c r="BW381" s="210"/>
      <c r="BX381" s="237">
        <f t="shared" si="504"/>
        <v>0</v>
      </c>
      <c r="BY381" s="236">
        <v>35</v>
      </c>
      <c r="BZ381" s="237">
        <f t="shared" si="505"/>
        <v>48</v>
      </c>
      <c r="CA381" s="253">
        <f t="shared" si="506"/>
        <v>3.0748170731707316</v>
      </c>
      <c r="CB381" s="253" cm="1">
        <f t="array" ref="CB381">$BC381 * SUMPRODUCT(INDEX($AL$77:$AN$82,,$AE381),INDEX($AO$77:$AU$82,,$AD381), N($AK$77:$AK$82&gt;$AI381)) / CA381 / 1000</f>
        <v>0</v>
      </c>
      <c r="CC381" s="250">
        <f t="shared" si="486"/>
        <v>30</v>
      </c>
      <c r="CD381" s="237">
        <f t="shared" si="507"/>
        <v>43</v>
      </c>
      <c r="CE381" s="253">
        <f t="shared" si="508"/>
        <v>3.5018750000000001</v>
      </c>
      <c r="CF381" s="253" cm="1">
        <f t="array" ref="CF381">$BC381 * IF($AD381&lt;=2,
SUMPRODUCT(INDEX($AL$72:$AN$76,,$AE381), INDEX($AO$72:$AU$76,,$AD381), 1 / ($AV$72:$AV$76*CE381 + (1-$AV$72:$AV$76)*CA381), N($AK$72:$AK$76&gt;$AI381)),
SUMPRODUCT(INDEX($AL$67:$AN$76,,$AE381), INDEX($AO$67:$AU$76,,$AD381), 1 / ($AW$67:$AW$76*CE381 + (1-$AW$67:$AW$76)*CA381), N($AK$67:$AK$76&gt;$AI381))
) / 1000</f>
        <v>0</v>
      </c>
      <c r="CG381" s="250">
        <f t="shared" si="487"/>
        <v>25</v>
      </c>
      <c r="CH381" s="237">
        <f t="shared" si="509"/>
        <v>38</v>
      </c>
      <c r="CI381" s="253">
        <f t="shared" si="510"/>
        <v>4.0666935483870965</v>
      </c>
      <c r="CJ381" s="253" cm="1">
        <f t="array" ref="CJ381">$BC381 * IF($AD381&lt;=2,
SUMPRODUCT(INDEX($AL$67:$AN$71,,$AE381), INDEX($AO$67:$AU$71,,$AD381), 1 / ($AV$67:$AV$71*CI381 + (1-$AV$67:$AV$71)*CE381), N($AK$67:$AK$71&gt;$AI381)),
SUMPRODUCT(INDEX($AL$57:$AN$66,,$AE381), INDEX($AO$57:$AU$66,,$AD381), 1 / ($AW$57:$AW$66*CI381 + (1-$AW$57:$AW$66)*CE381), N($AK$57:$AK$66&gt;$AI381))
) / 1000</f>
        <v>0</v>
      </c>
      <c r="CK381" s="250">
        <f t="shared" si="488"/>
        <v>20</v>
      </c>
      <c r="CL381" s="237">
        <f t="shared" si="511"/>
        <v>33</v>
      </c>
      <c r="CM381" s="253">
        <f t="shared" si="512"/>
        <v>4.8487499999999999</v>
      </c>
      <c r="CN381" s="253" cm="1">
        <f t="array" ref="CN381">$BC381 * IF($AD381&lt;=2,
SUMPRODUCT(INDEX($AL$62:$AN$66,,$AE381), INDEX($AO$62:$AU$66,,$AD381), 1 / ($AV$62:$AV$66*CM381 + (1-$AV$62:$AV$66)*CI381), N($AK$62:$AK$66&gt;$AI381)),
SUMPRODUCT(INDEX($AL$47:$AN$56,,$AE381), INDEX($AO$47:$AU$56,,$AD381), 1 / ($AW$47:$AW$56*CM381 + (1-$AW$47:$AW$56)*CI381), N($AK$47:$AK$56&gt;$AI381))
) / 1000</f>
        <v>0</v>
      </c>
      <c r="CO381" s="253" cm="1">
        <f t="array" ref="CO381">$BC381 * IF($AD381&lt;=2,
SUMPRODUCT(INDEX($AL$23:$AN$61,,$AE381), INDEX($AO$23:$AU$61,,$AD381), 1 / ($AV$23:$AV$61*CM381), N($AK$23:$AK$61&gt;$AI381)),
SUMPRODUCT(INDEX($AL$23:$AN$46,,$AE381), INDEX($AO$23:$AU$46,,$AD381), 1 / ($AW$23:$AW$46*CM381), N($AK$23:$AK$46&gt;$AI381))
) / 1000</f>
        <v>0</v>
      </c>
      <c r="CP381" s="237">
        <f t="shared" si="513"/>
        <v>0</v>
      </c>
      <c r="CQ381" s="210"/>
    </row>
    <row r="382" spans="1:95" s="76" customFormat="1" ht="14.25" customHeight="1" x14ac:dyDescent="0.2">
      <c r="A382" s="238" t="b">
        <f t="shared" si="480"/>
        <v>0</v>
      </c>
      <c r="B382" s="239">
        <v>360</v>
      </c>
      <c r="C382" s="258"/>
      <c r="D382" s="258"/>
      <c r="E382" s="240"/>
      <c r="F382" s="241" t="str">
        <f>IF(ISBLANK(E382), "", VLOOKUP(E382, Z!$A$2:$C$4127, 3, FALSE))</f>
        <v/>
      </c>
      <c r="G382" s="242"/>
      <c r="H382" s="242"/>
      <c r="I382" s="243"/>
      <c r="J382" s="244"/>
      <c r="K382" s="259"/>
      <c r="L382" s="260"/>
      <c r="M382" s="247" t="str" cm="1">
        <f t="array" ref="M382">IF($K382&gt;0, INDEX(Clean,1+AG382,$C$1), "")</f>
        <v/>
      </c>
      <c r="N382" s="245"/>
      <c r="O382" s="245"/>
      <c r="P382" s="246"/>
      <c r="Q382" s="248">
        <f t="shared" si="490"/>
        <v>0</v>
      </c>
      <c r="R382" s="247" t="str" cm="1">
        <f t="array" ref="R382">IF($K382&gt;0, INDEX(Clean,1+AH382,$C$1), "")</f>
        <v/>
      </c>
      <c r="S382" s="245"/>
      <c r="T382" s="245"/>
      <c r="U382" s="246"/>
      <c r="V382" s="248">
        <f t="shared" si="491"/>
        <v>0</v>
      </c>
      <c r="W382" s="261"/>
      <c r="X382" s="258"/>
      <c r="Y382" s="240"/>
      <c r="Z382" s="241" t="str">
        <f>IF(ISBLANK(Y382), "", VLOOKUP(Y382, Z!$A$2:$C$4127, 3, FALSE))</f>
        <v/>
      </c>
      <c r="AA382" s="262"/>
      <c r="AB382" s="249">
        <f t="shared" si="489"/>
        <v>0</v>
      </c>
      <c r="AC382" s="210"/>
      <c r="AD382" s="236">
        <f t="shared" si="514"/>
        <v>1</v>
      </c>
      <c r="AE382" s="236">
        <f t="shared" si="515"/>
        <v>1</v>
      </c>
      <c r="AF382" s="236">
        <f t="shared" si="516"/>
        <v>0</v>
      </c>
      <c r="AG382" s="236">
        <v>1</v>
      </c>
      <c r="AH382" s="236">
        <v>0</v>
      </c>
      <c r="AI382" s="236">
        <f t="shared" si="492"/>
        <v>-100</v>
      </c>
      <c r="AJ382" s="210"/>
      <c r="AK382" s="254"/>
      <c r="AL382" s="254"/>
      <c r="AM382" s="255"/>
      <c r="AN382" s="255"/>
      <c r="AO382" s="255"/>
      <c r="AP382" s="255"/>
      <c r="AQ382" s="255"/>
      <c r="AR382" s="255"/>
      <c r="AS382" s="255"/>
      <c r="AT382" s="255"/>
      <c r="AU382" s="255"/>
      <c r="AV382" s="255"/>
      <c r="AW382" s="255"/>
      <c r="AX382" s="210"/>
      <c r="AY382" s="236" cm="1">
        <f t="array" ref="AY382">INDEX(Use, $AD382, 4)</f>
        <v>7</v>
      </c>
      <c r="AZ382" s="236">
        <f t="shared" si="493"/>
        <v>32</v>
      </c>
      <c r="BA382" s="236">
        <f t="shared" si="481"/>
        <v>13</v>
      </c>
      <c r="BB382" s="236">
        <f t="shared" si="482"/>
        <v>0</v>
      </c>
      <c r="BC382" s="252" cm="1">
        <f t="array" ref="BC382">K382/IF($L382&gt;0, INDEX($AO$23:$AU$77, $L382+20, $AD382), 1)</f>
        <v>0</v>
      </c>
      <c r="BD382" s="237">
        <f t="shared" si="494"/>
        <v>0</v>
      </c>
      <c r="BE382" s="236">
        <v>35</v>
      </c>
      <c r="BF382" s="237">
        <f t="shared" si="495"/>
        <v>52.55</v>
      </c>
      <c r="BG382" s="253">
        <f t="shared" si="496"/>
        <v>2.7676728869374316</v>
      </c>
      <c r="BH382" s="253" cm="1">
        <f t="array" ref="BH382">$BC382 * SUMPRODUCT(INDEX($AL$77:$AN$82,,$AE382),INDEX($AO$77:$AU$82,,$AD382), N($AK$77:$AK$82&gt;$AI382)) / BG382 / 1000</f>
        <v>0</v>
      </c>
      <c r="BI382" s="250">
        <f t="shared" si="483"/>
        <v>30</v>
      </c>
      <c r="BJ382" s="237">
        <f t="shared" si="497"/>
        <v>46.033333333333331</v>
      </c>
      <c r="BK382" s="253">
        <f t="shared" si="498"/>
        <v>3.2297395388556791</v>
      </c>
      <c r="BL382" s="253" cm="1">
        <f t="array" ref="BL382">$BC382 * IF($AD382&lt;=2,
SUMPRODUCT(INDEX($AL$72:$AN$76,,$AE382), INDEX($AO$72:$AU$76,,$AD382), 1 / ($AV$72:$AV$76*BK382 + (1-$AV$72:$AV$76)*BG382), N($AK$72:$AK$76&gt;$AI382)),
SUMPRODUCT(INDEX($AL$67:$AN$76,,$AE382), INDEX($AO$67:$AU$76,,$AD382), 1 / ($AW$67:$AW$76*BK382 + (1-$AW$67:$AW$76)*BG382), N($AK$67:$AK$76&gt;$AI382))
) / 1000</f>
        <v>0</v>
      </c>
      <c r="BM382" s="250">
        <f t="shared" si="484"/>
        <v>25</v>
      </c>
      <c r="BN382" s="237">
        <f t="shared" si="499"/>
        <v>39.516666666666666</v>
      </c>
      <c r="BO382" s="253">
        <f t="shared" si="500"/>
        <v>3.877011788826243</v>
      </c>
      <c r="BP382" s="253" cm="1">
        <f t="array" ref="BP382">$BC382 * IF($AD382&lt;=2,
SUMPRODUCT(INDEX($AL$67:$AN$71,,$AE382), INDEX($AO$67:$AU$71,,$AD382), 1 / ($AV$67:$AV$71*BO382 + (1-$AV$67:$AV$71)*BK382), N($AK$67:$AK$71&gt;$AI382)),
SUMPRODUCT(INDEX($AL$57:$AN$66,,$AE382), INDEX($AO$57:$AU$66,,$AD382), 1 / ($AW$57:$AW$66*BO382 + (1-$AW$57:$AW$66)*BK382), N($AK$57:$AK$66&gt;$AI382))
) / 1000</f>
        <v>0</v>
      </c>
      <c r="BQ382" s="250">
        <f t="shared" si="485"/>
        <v>20</v>
      </c>
      <c r="BR382" s="237">
        <f t="shared" si="501"/>
        <v>33</v>
      </c>
      <c r="BS382" s="253">
        <f t="shared" si="502"/>
        <v>4.8487499999999999</v>
      </c>
      <c r="BT382" s="253" cm="1">
        <f t="array" ref="BT382">$BC382 * IF($AD382&lt;=2,
SUMPRODUCT(INDEX($AL$62:$AN$66,,$AE382), INDEX($AO$62:$AU$66,,$AD382), 1 / ($AV$62:$AV$66*BS382 + (1-$AV$62:$AV$66)*BO382), N($AK$62:$AK$66&gt;$AI382)),
SUMPRODUCT(INDEX($AL$47:$AN$56,,$AE382), INDEX($AO$47:$AU$56,,$AD382), 1 / ($AW$47:$AW$56*BS382 + (1-$AW$47:$AW$56)*BO382), N($AK$47:$AK$56&gt;$AI382))
) / 1000</f>
        <v>0</v>
      </c>
      <c r="BU382" s="253" cm="1">
        <f t="array" ref="BU382">$BC382 * IF($AD382&lt;=2,
SUMPRODUCT(INDEX($AL$23:$AN$61,,$AE382), INDEX($AO$23:$AU$61,,$AD382), 1 / ($AV$23:$AV$61*BS382), N($AK$23:$AK$61&gt;$AI382)),
SUMPRODUCT(INDEX($AL$23:$AN$46,,$AE382), INDEX($AO$23:$AU$46,,$AD382), 1 / ($AW$23:$AW$46*BS382), N($AK$23:$AK$46&gt;$AI382))
) / 1000</f>
        <v>0</v>
      </c>
      <c r="BV382" s="237">
        <f t="shared" si="503"/>
        <v>0</v>
      </c>
      <c r="BW382" s="210"/>
      <c r="BX382" s="237">
        <f t="shared" si="504"/>
        <v>0</v>
      </c>
      <c r="BY382" s="236">
        <v>35</v>
      </c>
      <c r="BZ382" s="237">
        <f t="shared" si="505"/>
        <v>48</v>
      </c>
      <c r="CA382" s="253">
        <f t="shared" si="506"/>
        <v>3.0748170731707316</v>
      </c>
      <c r="CB382" s="253" cm="1">
        <f t="array" ref="CB382">$BC382 * SUMPRODUCT(INDEX($AL$77:$AN$82,,$AE382),INDEX($AO$77:$AU$82,,$AD382), N($AK$77:$AK$82&gt;$AI382)) / CA382 / 1000</f>
        <v>0</v>
      </c>
      <c r="CC382" s="250">
        <f t="shared" si="486"/>
        <v>30</v>
      </c>
      <c r="CD382" s="237">
        <f t="shared" si="507"/>
        <v>43</v>
      </c>
      <c r="CE382" s="253">
        <f t="shared" si="508"/>
        <v>3.5018750000000001</v>
      </c>
      <c r="CF382" s="253" cm="1">
        <f t="array" ref="CF382">$BC382 * IF($AD382&lt;=2,
SUMPRODUCT(INDEX($AL$72:$AN$76,,$AE382), INDEX($AO$72:$AU$76,,$AD382), 1 / ($AV$72:$AV$76*CE382 + (1-$AV$72:$AV$76)*CA382), N($AK$72:$AK$76&gt;$AI382)),
SUMPRODUCT(INDEX($AL$67:$AN$76,,$AE382), INDEX($AO$67:$AU$76,,$AD382), 1 / ($AW$67:$AW$76*CE382 + (1-$AW$67:$AW$76)*CA382), N($AK$67:$AK$76&gt;$AI382))
) / 1000</f>
        <v>0</v>
      </c>
      <c r="CG382" s="250">
        <f t="shared" si="487"/>
        <v>25</v>
      </c>
      <c r="CH382" s="237">
        <f t="shared" si="509"/>
        <v>38</v>
      </c>
      <c r="CI382" s="253">
        <f t="shared" si="510"/>
        <v>4.0666935483870965</v>
      </c>
      <c r="CJ382" s="253" cm="1">
        <f t="array" ref="CJ382">$BC382 * IF($AD382&lt;=2,
SUMPRODUCT(INDEX($AL$67:$AN$71,,$AE382), INDEX($AO$67:$AU$71,,$AD382), 1 / ($AV$67:$AV$71*CI382 + (1-$AV$67:$AV$71)*CE382), N($AK$67:$AK$71&gt;$AI382)),
SUMPRODUCT(INDEX($AL$57:$AN$66,,$AE382), INDEX($AO$57:$AU$66,,$AD382), 1 / ($AW$57:$AW$66*CI382 + (1-$AW$57:$AW$66)*CE382), N($AK$57:$AK$66&gt;$AI382))
) / 1000</f>
        <v>0</v>
      </c>
      <c r="CK382" s="250">
        <f t="shared" si="488"/>
        <v>20</v>
      </c>
      <c r="CL382" s="237">
        <f t="shared" si="511"/>
        <v>33</v>
      </c>
      <c r="CM382" s="253">
        <f t="shared" si="512"/>
        <v>4.8487499999999999</v>
      </c>
      <c r="CN382" s="253" cm="1">
        <f t="array" ref="CN382">$BC382 * IF($AD382&lt;=2,
SUMPRODUCT(INDEX($AL$62:$AN$66,,$AE382), INDEX($AO$62:$AU$66,,$AD382), 1 / ($AV$62:$AV$66*CM382 + (1-$AV$62:$AV$66)*CI382), N($AK$62:$AK$66&gt;$AI382)),
SUMPRODUCT(INDEX($AL$47:$AN$56,,$AE382), INDEX($AO$47:$AU$56,,$AD382), 1 / ($AW$47:$AW$56*CM382 + (1-$AW$47:$AW$56)*CI382), N($AK$47:$AK$56&gt;$AI382))
) / 1000</f>
        <v>0</v>
      </c>
      <c r="CO382" s="253" cm="1">
        <f t="array" ref="CO382">$BC382 * IF($AD382&lt;=2,
SUMPRODUCT(INDEX($AL$23:$AN$61,,$AE382), INDEX($AO$23:$AU$61,,$AD382), 1 / ($AV$23:$AV$61*CM382), N($AK$23:$AK$61&gt;$AI382)),
SUMPRODUCT(INDEX($AL$23:$AN$46,,$AE382), INDEX($AO$23:$AU$46,,$AD382), 1 / ($AW$23:$AW$46*CM382), N($AK$23:$AK$46&gt;$AI382))
) / 1000</f>
        <v>0</v>
      </c>
      <c r="CP382" s="237">
        <f t="shared" si="513"/>
        <v>0</v>
      </c>
      <c r="CQ382" s="210"/>
    </row>
    <row r="383" spans="1:95" s="76" customFormat="1" ht="14.25" customHeight="1" x14ac:dyDescent="0.2">
      <c r="A383" s="238" t="b">
        <f t="shared" si="480"/>
        <v>0</v>
      </c>
      <c r="B383" s="239">
        <v>361</v>
      </c>
      <c r="C383" s="258"/>
      <c r="D383" s="258"/>
      <c r="E383" s="240"/>
      <c r="F383" s="241" t="str">
        <f>IF(ISBLANK(E383), "", VLOOKUP(E383, Z!$A$2:$C$4127, 3, FALSE))</f>
        <v/>
      </c>
      <c r="G383" s="242"/>
      <c r="H383" s="242"/>
      <c r="I383" s="243"/>
      <c r="J383" s="244"/>
      <c r="K383" s="259"/>
      <c r="L383" s="260"/>
      <c r="M383" s="247" t="str" cm="1">
        <f t="array" ref="M383">IF($K383&gt;0, INDEX(Clean,1+AG383,$C$1), "")</f>
        <v/>
      </c>
      <c r="N383" s="245"/>
      <c r="O383" s="245"/>
      <c r="P383" s="246"/>
      <c r="Q383" s="248">
        <f t="shared" si="490"/>
        <v>0</v>
      </c>
      <c r="R383" s="247" t="str" cm="1">
        <f t="array" ref="R383">IF($K383&gt;0, INDEX(Clean,1+AH383,$C$1), "")</f>
        <v/>
      </c>
      <c r="S383" s="245"/>
      <c r="T383" s="245"/>
      <c r="U383" s="246"/>
      <c r="V383" s="248">
        <f t="shared" si="491"/>
        <v>0</v>
      </c>
      <c r="W383" s="261"/>
      <c r="X383" s="258"/>
      <c r="Y383" s="240"/>
      <c r="Z383" s="241" t="str">
        <f>IF(ISBLANK(Y383), "", VLOOKUP(Y383, Z!$A$2:$C$4127, 3, FALSE))</f>
        <v/>
      </c>
      <c r="AA383" s="262"/>
      <c r="AB383" s="249">
        <f t="shared" si="489"/>
        <v>0</v>
      </c>
      <c r="AC383" s="210"/>
      <c r="AD383" s="236">
        <f t="shared" si="514"/>
        <v>1</v>
      </c>
      <c r="AE383" s="236">
        <f t="shared" si="515"/>
        <v>1</v>
      </c>
      <c r="AF383" s="236">
        <f t="shared" si="516"/>
        <v>0</v>
      </c>
      <c r="AG383" s="236">
        <v>1</v>
      </c>
      <c r="AH383" s="236">
        <v>0</v>
      </c>
      <c r="AI383" s="236">
        <f t="shared" si="492"/>
        <v>-100</v>
      </c>
      <c r="AJ383" s="210"/>
      <c r="AK383" s="254"/>
      <c r="AL383" s="254"/>
      <c r="AM383" s="255"/>
      <c r="AN383" s="255"/>
      <c r="AO383" s="255"/>
      <c r="AP383" s="255"/>
      <c r="AQ383" s="255"/>
      <c r="AR383" s="255"/>
      <c r="AS383" s="255"/>
      <c r="AT383" s="255"/>
      <c r="AU383" s="255"/>
      <c r="AV383" s="255"/>
      <c r="AW383" s="255"/>
      <c r="AX383" s="210"/>
      <c r="AY383" s="236" cm="1">
        <f t="array" ref="AY383">INDEX(Use, $AD383, 4)</f>
        <v>7</v>
      </c>
      <c r="AZ383" s="236">
        <f t="shared" si="493"/>
        <v>32</v>
      </c>
      <c r="BA383" s="236">
        <f t="shared" si="481"/>
        <v>13</v>
      </c>
      <c r="BB383" s="236">
        <f t="shared" si="482"/>
        <v>0</v>
      </c>
      <c r="BC383" s="252" cm="1">
        <f t="array" ref="BC383">K383/IF($L383&gt;0, INDEX($AO$23:$AU$77, $L383+20, $AD383), 1)</f>
        <v>0</v>
      </c>
      <c r="BD383" s="237">
        <f t="shared" si="494"/>
        <v>0</v>
      </c>
      <c r="BE383" s="236">
        <v>35</v>
      </c>
      <c r="BF383" s="237">
        <f t="shared" si="495"/>
        <v>52.55</v>
      </c>
      <c r="BG383" s="253">
        <f t="shared" si="496"/>
        <v>2.7676728869374316</v>
      </c>
      <c r="BH383" s="253" cm="1">
        <f t="array" ref="BH383">$BC383 * SUMPRODUCT(INDEX($AL$77:$AN$82,,$AE383),INDEX($AO$77:$AU$82,,$AD383), N($AK$77:$AK$82&gt;$AI383)) / BG383 / 1000</f>
        <v>0</v>
      </c>
      <c r="BI383" s="250">
        <f t="shared" si="483"/>
        <v>30</v>
      </c>
      <c r="BJ383" s="237">
        <f t="shared" si="497"/>
        <v>46.033333333333331</v>
      </c>
      <c r="BK383" s="253">
        <f t="shared" si="498"/>
        <v>3.2297395388556791</v>
      </c>
      <c r="BL383" s="253" cm="1">
        <f t="array" ref="BL383">$BC383 * IF($AD383&lt;=2,
SUMPRODUCT(INDEX($AL$72:$AN$76,,$AE383), INDEX($AO$72:$AU$76,,$AD383), 1 / ($AV$72:$AV$76*BK383 + (1-$AV$72:$AV$76)*BG383), N($AK$72:$AK$76&gt;$AI383)),
SUMPRODUCT(INDEX($AL$67:$AN$76,,$AE383), INDEX($AO$67:$AU$76,,$AD383), 1 / ($AW$67:$AW$76*BK383 + (1-$AW$67:$AW$76)*BG383), N($AK$67:$AK$76&gt;$AI383))
) / 1000</f>
        <v>0</v>
      </c>
      <c r="BM383" s="250">
        <f t="shared" si="484"/>
        <v>25</v>
      </c>
      <c r="BN383" s="237">
        <f t="shared" si="499"/>
        <v>39.516666666666666</v>
      </c>
      <c r="BO383" s="253">
        <f t="shared" si="500"/>
        <v>3.877011788826243</v>
      </c>
      <c r="BP383" s="253" cm="1">
        <f t="array" ref="BP383">$BC383 * IF($AD383&lt;=2,
SUMPRODUCT(INDEX($AL$67:$AN$71,,$AE383), INDEX($AO$67:$AU$71,,$AD383), 1 / ($AV$67:$AV$71*BO383 + (1-$AV$67:$AV$71)*BK383), N($AK$67:$AK$71&gt;$AI383)),
SUMPRODUCT(INDEX($AL$57:$AN$66,,$AE383), INDEX($AO$57:$AU$66,,$AD383), 1 / ($AW$57:$AW$66*BO383 + (1-$AW$57:$AW$66)*BK383), N($AK$57:$AK$66&gt;$AI383))
) / 1000</f>
        <v>0</v>
      </c>
      <c r="BQ383" s="250">
        <f t="shared" si="485"/>
        <v>20</v>
      </c>
      <c r="BR383" s="237">
        <f t="shared" si="501"/>
        <v>33</v>
      </c>
      <c r="BS383" s="253">
        <f t="shared" si="502"/>
        <v>4.8487499999999999</v>
      </c>
      <c r="BT383" s="253" cm="1">
        <f t="array" ref="BT383">$BC383 * IF($AD383&lt;=2,
SUMPRODUCT(INDEX($AL$62:$AN$66,,$AE383), INDEX($AO$62:$AU$66,,$AD383), 1 / ($AV$62:$AV$66*BS383 + (1-$AV$62:$AV$66)*BO383), N($AK$62:$AK$66&gt;$AI383)),
SUMPRODUCT(INDEX($AL$47:$AN$56,,$AE383), INDEX($AO$47:$AU$56,,$AD383), 1 / ($AW$47:$AW$56*BS383 + (1-$AW$47:$AW$56)*BO383), N($AK$47:$AK$56&gt;$AI383))
) / 1000</f>
        <v>0</v>
      </c>
      <c r="BU383" s="253" cm="1">
        <f t="array" ref="BU383">$BC383 * IF($AD383&lt;=2,
SUMPRODUCT(INDEX($AL$23:$AN$61,,$AE383), INDEX($AO$23:$AU$61,,$AD383), 1 / ($AV$23:$AV$61*BS383), N($AK$23:$AK$61&gt;$AI383)),
SUMPRODUCT(INDEX($AL$23:$AN$46,,$AE383), INDEX($AO$23:$AU$46,,$AD383), 1 / ($AW$23:$AW$46*BS383), N($AK$23:$AK$46&gt;$AI383))
) / 1000</f>
        <v>0</v>
      </c>
      <c r="BV383" s="237">
        <f t="shared" si="503"/>
        <v>0</v>
      </c>
      <c r="BW383" s="210"/>
      <c r="BX383" s="237">
        <f t="shared" si="504"/>
        <v>0</v>
      </c>
      <c r="BY383" s="236">
        <v>35</v>
      </c>
      <c r="BZ383" s="237">
        <f t="shared" si="505"/>
        <v>48</v>
      </c>
      <c r="CA383" s="253">
        <f t="shared" si="506"/>
        <v>3.0748170731707316</v>
      </c>
      <c r="CB383" s="253" cm="1">
        <f t="array" ref="CB383">$BC383 * SUMPRODUCT(INDEX($AL$77:$AN$82,,$AE383),INDEX($AO$77:$AU$82,,$AD383), N($AK$77:$AK$82&gt;$AI383)) / CA383 / 1000</f>
        <v>0</v>
      </c>
      <c r="CC383" s="250">
        <f t="shared" si="486"/>
        <v>30</v>
      </c>
      <c r="CD383" s="237">
        <f t="shared" si="507"/>
        <v>43</v>
      </c>
      <c r="CE383" s="253">
        <f t="shared" si="508"/>
        <v>3.5018750000000001</v>
      </c>
      <c r="CF383" s="253" cm="1">
        <f t="array" ref="CF383">$BC383 * IF($AD383&lt;=2,
SUMPRODUCT(INDEX($AL$72:$AN$76,,$AE383), INDEX($AO$72:$AU$76,,$AD383), 1 / ($AV$72:$AV$76*CE383 + (1-$AV$72:$AV$76)*CA383), N($AK$72:$AK$76&gt;$AI383)),
SUMPRODUCT(INDEX($AL$67:$AN$76,,$AE383), INDEX($AO$67:$AU$76,,$AD383), 1 / ($AW$67:$AW$76*CE383 + (1-$AW$67:$AW$76)*CA383), N($AK$67:$AK$76&gt;$AI383))
) / 1000</f>
        <v>0</v>
      </c>
      <c r="CG383" s="250">
        <f t="shared" si="487"/>
        <v>25</v>
      </c>
      <c r="CH383" s="237">
        <f t="shared" si="509"/>
        <v>38</v>
      </c>
      <c r="CI383" s="253">
        <f t="shared" si="510"/>
        <v>4.0666935483870965</v>
      </c>
      <c r="CJ383" s="253" cm="1">
        <f t="array" ref="CJ383">$BC383 * IF($AD383&lt;=2,
SUMPRODUCT(INDEX($AL$67:$AN$71,,$AE383), INDEX($AO$67:$AU$71,,$AD383), 1 / ($AV$67:$AV$71*CI383 + (1-$AV$67:$AV$71)*CE383), N($AK$67:$AK$71&gt;$AI383)),
SUMPRODUCT(INDEX($AL$57:$AN$66,,$AE383), INDEX($AO$57:$AU$66,,$AD383), 1 / ($AW$57:$AW$66*CI383 + (1-$AW$57:$AW$66)*CE383), N($AK$57:$AK$66&gt;$AI383))
) / 1000</f>
        <v>0</v>
      </c>
      <c r="CK383" s="250">
        <f t="shared" si="488"/>
        <v>20</v>
      </c>
      <c r="CL383" s="237">
        <f t="shared" si="511"/>
        <v>33</v>
      </c>
      <c r="CM383" s="253">
        <f t="shared" si="512"/>
        <v>4.8487499999999999</v>
      </c>
      <c r="CN383" s="253" cm="1">
        <f t="array" ref="CN383">$BC383 * IF($AD383&lt;=2,
SUMPRODUCT(INDEX($AL$62:$AN$66,,$AE383), INDEX($AO$62:$AU$66,,$AD383), 1 / ($AV$62:$AV$66*CM383 + (1-$AV$62:$AV$66)*CI383), N($AK$62:$AK$66&gt;$AI383)),
SUMPRODUCT(INDEX($AL$47:$AN$56,,$AE383), INDEX($AO$47:$AU$56,,$AD383), 1 / ($AW$47:$AW$56*CM383 + (1-$AW$47:$AW$56)*CI383), N($AK$47:$AK$56&gt;$AI383))
) / 1000</f>
        <v>0</v>
      </c>
      <c r="CO383" s="253" cm="1">
        <f t="array" ref="CO383">$BC383 * IF($AD383&lt;=2,
SUMPRODUCT(INDEX($AL$23:$AN$61,,$AE383), INDEX($AO$23:$AU$61,,$AD383), 1 / ($AV$23:$AV$61*CM383), N($AK$23:$AK$61&gt;$AI383)),
SUMPRODUCT(INDEX($AL$23:$AN$46,,$AE383), INDEX($AO$23:$AU$46,,$AD383), 1 / ($AW$23:$AW$46*CM383), N($AK$23:$AK$46&gt;$AI383))
) / 1000</f>
        <v>0</v>
      </c>
      <c r="CP383" s="237">
        <f t="shared" si="513"/>
        <v>0</v>
      </c>
      <c r="CQ383" s="210"/>
    </row>
    <row r="384" spans="1:95" s="76" customFormat="1" ht="14.25" customHeight="1" x14ac:dyDescent="0.2">
      <c r="A384" s="238" t="b">
        <f t="shared" si="480"/>
        <v>0</v>
      </c>
      <c r="B384" s="239">
        <v>362</v>
      </c>
      <c r="C384" s="258"/>
      <c r="D384" s="258"/>
      <c r="E384" s="240"/>
      <c r="F384" s="241" t="str">
        <f>IF(ISBLANK(E384), "", VLOOKUP(E384, Z!$A$2:$C$4127, 3, FALSE))</f>
        <v/>
      </c>
      <c r="G384" s="242"/>
      <c r="H384" s="242"/>
      <c r="I384" s="243"/>
      <c r="J384" s="244"/>
      <c r="K384" s="259"/>
      <c r="L384" s="260"/>
      <c r="M384" s="247" t="str" cm="1">
        <f t="array" ref="M384">IF($K384&gt;0, INDEX(Clean,1+AG384,$C$1), "")</f>
        <v/>
      </c>
      <c r="N384" s="245"/>
      <c r="O384" s="245"/>
      <c r="P384" s="246"/>
      <c r="Q384" s="248">
        <f t="shared" si="490"/>
        <v>0</v>
      </c>
      <c r="R384" s="247" t="str" cm="1">
        <f t="array" ref="R384">IF($K384&gt;0, INDEX(Clean,1+AH384,$C$1), "")</f>
        <v/>
      </c>
      <c r="S384" s="245"/>
      <c r="T384" s="245"/>
      <c r="U384" s="246"/>
      <c r="V384" s="248">
        <f t="shared" si="491"/>
        <v>0</v>
      </c>
      <c r="W384" s="261"/>
      <c r="X384" s="258"/>
      <c r="Y384" s="240"/>
      <c r="Z384" s="241" t="str">
        <f>IF(ISBLANK(Y384), "", VLOOKUP(Y384, Z!$A$2:$C$4127, 3, FALSE))</f>
        <v/>
      </c>
      <c r="AA384" s="262"/>
      <c r="AB384" s="249">
        <f t="shared" si="489"/>
        <v>0</v>
      </c>
      <c r="AC384" s="210"/>
      <c r="AD384" s="236">
        <f t="shared" si="514"/>
        <v>1</v>
      </c>
      <c r="AE384" s="236">
        <f t="shared" si="515"/>
        <v>1</v>
      </c>
      <c r="AF384" s="236">
        <f t="shared" si="516"/>
        <v>0</v>
      </c>
      <c r="AG384" s="236">
        <v>1</v>
      </c>
      <c r="AH384" s="236">
        <v>0</v>
      </c>
      <c r="AI384" s="236">
        <f t="shared" si="492"/>
        <v>-100</v>
      </c>
      <c r="AJ384" s="210"/>
      <c r="AK384" s="254"/>
      <c r="AL384" s="254"/>
      <c r="AM384" s="255"/>
      <c r="AN384" s="255"/>
      <c r="AO384" s="255"/>
      <c r="AP384" s="255"/>
      <c r="AQ384" s="255"/>
      <c r="AR384" s="255"/>
      <c r="AS384" s="255"/>
      <c r="AT384" s="255"/>
      <c r="AU384" s="255"/>
      <c r="AV384" s="255"/>
      <c r="AW384" s="255"/>
      <c r="AX384" s="210"/>
      <c r="AY384" s="236" cm="1">
        <f t="array" ref="AY384">INDEX(Use, $AD384, 4)</f>
        <v>7</v>
      </c>
      <c r="AZ384" s="236">
        <f t="shared" si="493"/>
        <v>32</v>
      </c>
      <c r="BA384" s="236">
        <f t="shared" si="481"/>
        <v>13</v>
      </c>
      <c r="BB384" s="236">
        <f t="shared" si="482"/>
        <v>0</v>
      </c>
      <c r="BC384" s="252" cm="1">
        <f t="array" ref="BC384">K384/IF($L384&gt;0, INDEX($AO$23:$AU$77, $L384+20, $AD384), 1)</f>
        <v>0</v>
      </c>
      <c r="BD384" s="237">
        <f t="shared" si="494"/>
        <v>0</v>
      </c>
      <c r="BE384" s="236">
        <v>35</v>
      </c>
      <c r="BF384" s="237">
        <f t="shared" si="495"/>
        <v>52.55</v>
      </c>
      <c r="BG384" s="253">
        <f t="shared" si="496"/>
        <v>2.7676728869374316</v>
      </c>
      <c r="BH384" s="253" cm="1">
        <f t="array" ref="BH384">$BC384 * SUMPRODUCT(INDEX($AL$77:$AN$82,,$AE384),INDEX($AO$77:$AU$82,,$AD384), N($AK$77:$AK$82&gt;$AI384)) / BG384 / 1000</f>
        <v>0</v>
      </c>
      <c r="BI384" s="250">
        <f t="shared" si="483"/>
        <v>30</v>
      </c>
      <c r="BJ384" s="237">
        <f t="shared" si="497"/>
        <v>46.033333333333331</v>
      </c>
      <c r="BK384" s="253">
        <f t="shared" si="498"/>
        <v>3.2297395388556791</v>
      </c>
      <c r="BL384" s="253" cm="1">
        <f t="array" ref="BL384">$BC384 * IF($AD384&lt;=2,
SUMPRODUCT(INDEX($AL$72:$AN$76,,$AE384), INDEX($AO$72:$AU$76,,$AD384), 1 / ($AV$72:$AV$76*BK384 + (1-$AV$72:$AV$76)*BG384), N($AK$72:$AK$76&gt;$AI384)),
SUMPRODUCT(INDEX($AL$67:$AN$76,,$AE384), INDEX($AO$67:$AU$76,,$AD384), 1 / ($AW$67:$AW$76*BK384 + (1-$AW$67:$AW$76)*BG384), N($AK$67:$AK$76&gt;$AI384))
) / 1000</f>
        <v>0</v>
      </c>
      <c r="BM384" s="250">
        <f t="shared" si="484"/>
        <v>25</v>
      </c>
      <c r="BN384" s="237">
        <f t="shared" si="499"/>
        <v>39.516666666666666</v>
      </c>
      <c r="BO384" s="253">
        <f t="shared" si="500"/>
        <v>3.877011788826243</v>
      </c>
      <c r="BP384" s="253" cm="1">
        <f t="array" ref="BP384">$BC384 * IF($AD384&lt;=2,
SUMPRODUCT(INDEX($AL$67:$AN$71,,$AE384), INDEX($AO$67:$AU$71,,$AD384), 1 / ($AV$67:$AV$71*BO384 + (1-$AV$67:$AV$71)*BK384), N($AK$67:$AK$71&gt;$AI384)),
SUMPRODUCT(INDEX($AL$57:$AN$66,,$AE384), INDEX($AO$57:$AU$66,,$AD384), 1 / ($AW$57:$AW$66*BO384 + (1-$AW$57:$AW$66)*BK384), N($AK$57:$AK$66&gt;$AI384))
) / 1000</f>
        <v>0</v>
      </c>
      <c r="BQ384" s="250">
        <f t="shared" si="485"/>
        <v>20</v>
      </c>
      <c r="BR384" s="237">
        <f t="shared" si="501"/>
        <v>33</v>
      </c>
      <c r="BS384" s="253">
        <f t="shared" si="502"/>
        <v>4.8487499999999999</v>
      </c>
      <c r="BT384" s="253" cm="1">
        <f t="array" ref="BT384">$BC384 * IF($AD384&lt;=2,
SUMPRODUCT(INDEX($AL$62:$AN$66,,$AE384), INDEX($AO$62:$AU$66,,$AD384), 1 / ($AV$62:$AV$66*BS384 + (1-$AV$62:$AV$66)*BO384), N($AK$62:$AK$66&gt;$AI384)),
SUMPRODUCT(INDEX($AL$47:$AN$56,,$AE384), INDEX($AO$47:$AU$56,,$AD384), 1 / ($AW$47:$AW$56*BS384 + (1-$AW$47:$AW$56)*BO384), N($AK$47:$AK$56&gt;$AI384))
) / 1000</f>
        <v>0</v>
      </c>
      <c r="BU384" s="253" cm="1">
        <f t="array" ref="BU384">$BC384 * IF($AD384&lt;=2,
SUMPRODUCT(INDEX($AL$23:$AN$61,,$AE384), INDEX($AO$23:$AU$61,,$AD384), 1 / ($AV$23:$AV$61*BS384), N($AK$23:$AK$61&gt;$AI384)),
SUMPRODUCT(INDEX($AL$23:$AN$46,,$AE384), INDEX($AO$23:$AU$46,,$AD384), 1 / ($AW$23:$AW$46*BS384), N($AK$23:$AK$46&gt;$AI384))
) / 1000</f>
        <v>0</v>
      </c>
      <c r="BV384" s="237">
        <f t="shared" si="503"/>
        <v>0</v>
      </c>
      <c r="BW384" s="210"/>
      <c r="BX384" s="237">
        <f t="shared" si="504"/>
        <v>0</v>
      </c>
      <c r="BY384" s="236">
        <v>35</v>
      </c>
      <c r="BZ384" s="237">
        <f t="shared" si="505"/>
        <v>48</v>
      </c>
      <c r="CA384" s="253">
        <f t="shared" si="506"/>
        <v>3.0748170731707316</v>
      </c>
      <c r="CB384" s="253" cm="1">
        <f t="array" ref="CB384">$BC384 * SUMPRODUCT(INDEX($AL$77:$AN$82,,$AE384),INDEX($AO$77:$AU$82,,$AD384), N($AK$77:$AK$82&gt;$AI384)) / CA384 / 1000</f>
        <v>0</v>
      </c>
      <c r="CC384" s="250">
        <f t="shared" si="486"/>
        <v>30</v>
      </c>
      <c r="CD384" s="237">
        <f t="shared" si="507"/>
        <v>43</v>
      </c>
      <c r="CE384" s="253">
        <f t="shared" si="508"/>
        <v>3.5018750000000001</v>
      </c>
      <c r="CF384" s="253" cm="1">
        <f t="array" ref="CF384">$BC384 * IF($AD384&lt;=2,
SUMPRODUCT(INDEX($AL$72:$AN$76,,$AE384), INDEX($AO$72:$AU$76,,$AD384), 1 / ($AV$72:$AV$76*CE384 + (1-$AV$72:$AV$76)*CA384), N($AK$72:$AK$76&gt;$AI384)),
SUMPRODUCT(INDEX($AL$67:$AN$76,,$AE384), INDEX($AO$67:$AU$76,,$AD384), 1 / ($AW$67:$AW$76*CE384 + (1-$AW$67:$AW$76)*CA384), N($AK$67:$AK$76&gt;$AI384))
) / 1000</f>
        <v>0</v>
      </c>
      <c r="CG384" s="250">
        <f t="shared" si="487"/>
        <v>25</v>
      </c>
      <c r="CH384" s="237">
        <f t="shared" si="509"/>
        <v>38</v>
      </c>
      <c r="CI384" s="253">
        <f t="shared" si="510"/>
        <v>4.0666935483870965</v>
      </c>
      <c r="CJ384" s="253" cm="1">
        <f t="array" ref="CJ384">$BC384 * IF($AD384&lt;=2,
SUMPRODUCT(INDEX($AL$67:$AN$71,,$AE384), INDEX($AO$67:$AU$71,,$AD384), 1 / ($AV$67:$AV$71*CI384 + (1-$AV$67:$AV$71)*CE384), N($AK$67:$AK$71&gt;$AI384)),
SUMPRODUCT(INDEX($AL$57:$AN$66,,$AE384), INDEX($AO$57:$AU$66,,$AD384), 1 / ($AW$57:$AW$66*CI384 + (1-$AW$57:$AW$66)*CE384), N($AK$57:$AK$66&gt;$AI384))
) / 1000</f>
        <v>0</v>
      </c>
      <c r="CK384" s="250">
        <f t="shared" si="488"/>
        <v>20</v>
      </c>
      <c r="CL384" s="237">
        <f t="shared" si="511"/>
        <v>33</v>
      </c>
      <c r="CM384" s="253">
        <f t="shared" si="512"/>
        <v>4.8487499999999999</v>
      </c>
      <c r="CN384" s="253" cm="1">
        <f t="array" ref="CN384">$BC384 * IF($AD384&lt;=2,
SUMPRODUCT(INDEX($AL$62:$AN$66,,$AE384), INDEX($AO$62:$AU$66,,$AD384), 1 / ($AV$62:$AV$66*CM384 + (1-$AV$62:$AV$66)*CI384), N($AK$62:$AK$66&gt;$AI384)),
SUMPRODUCT(INDEX($AL$47:$AN$56,,$AE384), INDEX($AO$47:$AU$56,,$AD384), 1 / ($AW$47:$AW$56*CM384 + (1-$AW$47:$AW$56)*CI384), N($AK$47:$AK$56&gt;$AI384))
) / 1000</f>
        <v>0</v>
      </c>
      <c r="CO384" s="253" cm="1">
        <f t="array" ref="CO384">$BC384 * IF($AD384&lt;=2,
SUMPRODUCT(INDEX($AL$23:$AN$61,,$AE384), INDEX($AO$23:$AU$61,,$AD384), 1 / ($AV$23:$AV$61*CM384), N($AK$23:$AK$61&gt;$AI384)),
SUMPRODUCT(INDEX($AL$23:$AN$46,,$AE384), INDEX($AO$23:$AU$46,,$AD384), 1 / ($AW$23:$AW$46*CM384), N($AK$23:$AK$46&gt;$AI384))
) / 1000</f>
        <v>0</v>
      </c>
      <c r="CP384" s="237">
        <f t="shared" si="513"/>
        <v>0</v>
      </c>
      <c r="CQ384" s="210"/>
    </row>
    <row r="385" spans="1:95" s="76" customFormat="1" ht="14.25" customHeight="1" x14ac:dyDescent="0.2">
      <c r="A385" s="238" t="b">
        <f t="shared" si="480"/>
        <v>0</v>
      </c>
      <c r="B385" s="239">
        <v>363</v>
      </c>
      <c r="C385" s="258"/>
      <c r="D385" s="258"/>
      <c r="E385" s="240"/>
      <c r="F385" s="241" t="str">
        <f>IF(ISBLANK(E385), "", VLOOKUP(E385, Z!$A$2:$C$4127, 3, FALSE))</f>
        <v/>
      </c>
      <c r="G385" s="242"/>
      <c r="H385" s="242"/>
      <c r="I385" s="243"/>
      <c r="J385" s="244"/>
      <c r="K385" s="259"/>
      <c r="L385" s="260"/>
      <c r="M385" s="247" t="str" cm="1">
        <f t="array" ref="M385">IF($K385&gt;0, INDEX(Clean,1+AG385,$C$1), "")</f>
        <v/>
      </c>
      <c r="N385" s="245"/>
      <c r="O385" s="245"/>
      <c r="P385" s="246"/>
      <c r="Q385" s="248">
        <f t="shared" si="490"/>
        <v>0</v>
      </c>
      <c r="R385" s="247" t="str" cm="1">
        <f t="array" ref="R385">IF($K385&gt;0, INDEX(Clean,1+AH385,$C$1), "")</f>
        <v/>
      </c>
      <c r="S385" s="245"/>
      <c r="T385" s="245"/>
      <c r="U385" s="246"/>
      <c r="V385" s="248">
        <f t="shared" si="491"/>
        <v>0</v>
      </c>
      <c r="W385" s="261"/>
      <c r="X385" s="258"/>
      <c r="Y385" s="240"/>
      <c r="Z385" s="241" t="str">
        <f>IF(ISBLANK(Y385), "", VLOOKUP(Y385, Z!$A$2:$C$4127, 3, FALSE))</f>
        <v/>
      </c>
      <c r="AA385" s="262"/>
      <c r="AB385" s="249">
        <f t="shared" si="489"/>
        <v>0</v>
      </c>
      <c r="AC385" s="210"/>
      <c r="AD385" s="236">
        <f t="shared" si="514"/>
        <v>1</v>
      </c>
      <c r="AE385" s="236">
        <f t="shared" si="515"/>
        <v>1</v>
      </c>
      <c r="AF385" s="236">
        <f t="shared" si="516"/>
        <v>0</v>
      </c>
      <c r="AG385" s="236">
        <v>1</v>
      </c>
      <c r="AH385" s="236">
        <v>0</v>
      </c>
      <c r="AI385" s="236">
        <f t="shared" si="492"/>
        <v>-100</v>
      </c>
      <c r="AJ385" s="210"/>
      <c r="AK385" s="254"/>
      <c r="AL385" s="254"/>
      <c r="AM385" s="255"/>
      <c r="AN385" s="255"/>
      <c r="AO385" s="255"/>
      <c r="AP385" s="255"/>
      <c r="AQ385" s="255"/>
      <c r="AR385" s="255"/>
      <c r="AS385" s="255"/>
      <c r="AT385" s="255"/>
      <c r="AU385" s="255"/>
      <c r="AV385" s="255"/>
      <c r="AW385" s="255"/>
      <c r="AX385" s="210"/>
      <c r="AY385" s="236" cm="1">
        <f t="array" ref="AY385">INDEX(Use, $AD385, 4)</f>
        <v>7</v>
      </c>
      <c r="AZ385" s="236">
        <f t="shared" si="493"/>
        <v>32</v>
      </c>
      <c r="BA385" s="236">
        <f t="shared" si="481"/>
        <v>13</v>
      </c>
      <c r="BB385" s="236">
        <f t="shared" si="482"/>
        <v>0</v>
      </c>
      <c r="BC385" s="252" cm="1">
        <f t="array" ref="BC385">K385/IF($L385&gt;0, INDEX($AO$23:$AU$77, $L385+20, $AD385), 1)</f>
        <v>0</v>
      </c>
      <c r="BD385" s="237">
        <f t="shared" si="494"/>
        <v>0</v>
      </c>
      <c r="BE385" s="236">
        <v>35</v>
      </c>
      <c r="BF385" s="237">
        <f t="shared" si="495"/>
        <v>52.55</v>
      </c>
      <c r="BG385" s="253">
        <f t="shared" si="496"/>
        <v>2.7676728869374316</v>
      </c>
      <c r="BH385" s="253" cm="1">
        <f t="array" ref="BH385">$BC385 * SUMPRODUCT(INDEX($AL$77:$AN$82,,$AE385),INDEX($AO$77:$AU$82,,$AD385), N($AK$77:$AK$82&gt;$AI385)) / BG385 / 1000</f>
        <v>0</v>
      </c>
      <c r="BI385" s="250">
        <f t="shared" si="483"/>
        <v>30</v>
      </c>
      <c r="BJ385" s="237">
        <f t="shared" si="497"/>
        <v>46.033333333333331</v>
      </c>
      <c r="BK385" s="253">
        <f t="shared" si="498"/>
        <v>3.2297395388556791</v>
      </c>
      <c r="BL385" s="253" cm="1">
        <f t="array" ref="BL385">$BC385 * IF($AD385&lt;=2,
SUMPRODUCT(INDEX($AL$72:$AN$76,,$AE385), INDEX($AO$72:$AU$76,,$AD385), 1 / ($AV$72:$AV$76*BK385 + (1-$AV$72:$AV$76)*BG385), N($AK$72:$AK$76&gt;$AI385)),
SUMPRODUCT(INDEX($AL$67:$AN$76,,$AE385), INDEX($AO$67:$AU$76,,$AD385), 1 / ($AW$67:$AW$76*BK385 + (1-$AW$67:$AW$76)*BG385), N($AK$67:$AK$76&gt;$AI385))
) / 1000</f>
        <v>0</v>
      </c>
      <c r="BM385" s="250">
        <f t="shared" si="484"/>
        <v>25</v>
      </c>
      <c r="BN385" s="237">
        <f t="shared" si="499"/>
        <v>39.516666666666666</v>
      </c>
      <c r="BO385" s="253">
        <f t="shared" si="500"/>
        <v>3.877011788826243</v>
      </c>
      <c r="BP385" s="253" cm="1">
        <f t="array" ref="BP385">$BC385 * IF($AD385&lt;=2,
SUMPRODUCT(INDEX($AL$67:$AN$71,,$AE385), INDEX($AO$67:$AU$71,,$AD385), 1 / ($AV$67:$AV$71*BO385 + (1-$AV$67:$AV$71)*BK385), N($AK$67:$AK$71&gt;$AI385)),
SUMPRODUCT(INDEX($AL$57:$AN$66,,$AE385), INDEX($AO$57:$AU$66,,$AD385), 1 / ($AW$57:$AW$66*BO385 + (1-$AW$57:$AW$66)*BK385), N($AK$57:$AK$66&gt;$AI385))
) / 1000</f>
        <v>0</v>
      </c>
      <c r="BQ385" s="250">
        <f t="shared" si="485"/>
        <v>20</v>
      </c>
      <c r="BR385" s="237">
        <f t="shared" si="501"/>
        <v>33</v>
      </c>
      <c r="BS385" s="253">
        <f t="shared" si="502"/>
        <v>4.8487499999999999</v>
      </c>
      <c r="BT385" s="253" cm="1">
        <f t="array" ref="BT385">$BC385 * IF($AD385&lt;=2,
SUMPRODUCT(INDEX($AL$62:$AN$66,,$AE385), INDEX($AO$62:$AU$66,,$AD385), 1 / ($AV$62:$AV$66*BS385 + (1-$AV$62:$AV$66)*BO385), N($AK$62:$AK$66&gt;$AI385)),
SUMPRODUCT(INDEX($AL$47:$AN$56,,$AE385), INDEX($AO$47:$AU$56,,$AD385), 1 / ($AW$47:$AW$56*BS385 + (1-$AW$47:$AW$56)*BO385), N($AK$47:$AK$56&gt;$AI385))
) / 1000</f>
        <v>0</v>
      </c>
      <c r="BU385" s="253" cm="1">
        <f t="array" ref="BU385">$BC385 * IF($AD385&lt;=2,
SUMPRODUCT(INDEX($AL$23:$AN$61,,$AE385), INDEX($AO$23:$AU$61,,$AD385), 1 / ($AV$23:$AV$61*BS385), N($AK$23:$AK$61&gt;$AI385)),
SUMPRODUCT(INDEX($AL$23:$AN$46,,$AE385), INDEX($AO$23:$AU$46,,$AD385), 1 / ($AW$23:$AW$46*BS385), N($AK$23:$AK$46&gt;$AI385))
) / 1000</f>
        <v>0</v>
      </c>
      <c r="BV385" s="237">
        <f t="shared" si="503"/>
        <v>0</v>
      </c>
      <c r="BW385" s="210"/>
      <c r="BX385" s="237">
        <f t="shared" si="504"/>
        <v>0</v>
      </c>
      <c r="BY385" s="236">
        <v>35</v>
      </c>
      <c r="BZ385" s="237">
        <f t="shared" si="505"/>
        <v>48</v>
      </c>
      <c r="CA385" s="253">
        <f t="shared" si="506"/>
        <v>3.0748170731707316</v>
      </c>
      <c r="CB385" s="253" cm="1">
        <f t="array" ref="CB385">$BC385 * SUMPRODUCT(INDEX($AL$77:$AN$82,,$AE385),INDEX($AO$77:$AU$82,,$AD385), N($AK$77:$AK$82&gt;$AI385)) / CA385 / 1000</f>
        <v>0</v>
      </c>
      <c r="CC385" s="250">
        <f t="shared" si="486"/>
        <v>30</v>
      </c>
      <c r="CD385" s="237">
        <f t="shared" si="507"/>
        <v>43</v>
      </c>
      <c r="CE385" s="253">
        <f t="shared" si="508"/>
        <v>3.5018750000000001</v>
      </c>
      <c r="CF385" s="253" cm="1">
        <f t="array" ref="CF385">$BC385 * IF($AD385&lt;=2,
SUMPRODUCT(INDEX($AL$72:$AN$76,,$AE385), INDEX($AO$72:$AU$76,,$AD385), 1 / ($AV$72:$AV$76*CE385 + (1-$AV$72:$AV$76)*CA385), N($AK$72:$AK$76&gt;$AI385)),
SUMPRODUCT(INDEX($AL$67:$AN$76,,$AE385), INDEX($AO$67:$AU$76,,$AD385), 1 / ($AW$67:$AW$76*CE385 + (1-$AW$67:$AW$76)*CA385), N($AK$67:$AK$76&gt;$AI385))
) / 1000</f>
        <v>0</v>
      </c>
      <c r="CG385" s="250">
        <f t="shared" si="487"/>
        <v>25</v>
      </c>
      <c r="CH385" s="237">
        <f t="shared" si="509"/>
        <v>38</v>
      </c>
      <c r="CI385" s="253">
        <f t="shared" si="510"/>
        <v>4.0666935483870965</v>
      </c>
      <c r="CJ385" s="253" cm="1">
        <f t="array" ref="CJ385">$BC385 * IF($AD385&lt;=2,
SUMPRODUCT(INDEX($AL$67:$AN$71,,$AE385), INDEX($AO$67:$AU$71,,$AD385), 1 / ($AV$67:$AV$71*CI385 + (1-$AV$67:$AV$71)*CE385), N($AK$67:$AK$71&gt;$AI385)),
SUMPRODUCT(INDEX($AL$57:$AN$66,,$AE385), INDEX($AO$57:$AU$66,,$AD385), 1 / ($AW$57:$AW$66*CI385 + (1-$AW$57:$AW$66)*CE385), N($AK$57:$AK$66&gt;$AI385))
) / 1000</f>
        <v>0</v>
      </c>
      <c r="CK385" s="250">
        <f t="shared" si="488"/>
        <v>20</v>
      </c>
      <c r="CL385" s="237">
        <f t="shared" si="511"/>
        <v>33</v>
      </c>
      <c r="CM385" s="253">
        <f t="shared" si="512"/>
        <v>4.8487499999999999</v>
      </c>
      <c r="CN385" s="253" cm="1">
        <f t="array" ref="CN385">$BC385 * IF($AD385&lt;=2,
SUMPRODUCT(INDEX($AL$62:$AN$66,,$AE385), INDEX($AO$62:$AU$66,,$AD385), 1 / ($AV$62:$AV$66*CM385 + (1-$AV$62:$AV$66)*CI385), N($AK$62:$AK$66&gt;$AI385)),
SUMPRODUCT(INDEX($AL$47:$AN$56,,$AE385), INDEX($AO$47:$AU$56,,$AD385), 1 / ($AW$47:$AW$56*CM385 + (1-$AW$47:$AW$56)*CI385), N($AK$47:$AK$56&gt;$AI385))
) / 1000</f>
        <v>0</v>
      </c>
      <c r="CO385" s="253" cm="1">
        <f t="array" ref="CO385">$BC385 * IF($AD385&lt;=2,
SUMPRODUCT(INDEX($AL$23:$AN$61,,$AE385), INDEX($AO$23:$AU$61,,$AD385), 1 / ($AV$23:$AV$61*CM385), N($AK$23:$AK$61&gt;$AI385)),
SUMPRODUCT(INDEX($AL$23:$AN$46,,$AE385), INDEX($AO$23:$AU$46,,$AD385), 1 / ($AW$23:$AW$46*CM385), N($AK$23:$AK$46&gt;$AI385))
) / 1000</f>
        <v>0</v>
      </c>
      <c r="CP385" s="237">
        <f t="shared" si="513"/>
        <v>0</v>
      </c>
      <c r="CQ385" s="210"/>
    </row>
    <row r="386" spans="1:95" s="76" customFormat="1" ht="14.25" customHeight="1" x14ac:dyDescent="0.2">
      <c r="A386" s="238" t="b">
        <f t="shared" si="480"/>
        <v>0</v>
      </c>
      <c r="B386" s="239">
        <v>364</v>
      </c>
      <c r="C386" s="258"/>
      <c r="D386" s="258"/>
      <c r="E386" s="240"/>
      <c r="F386" s="241" t="str">
        <f>IF(ISBLANK(E386), "", VLOOKUP(E386, Z!$A$2:$C$4127, 3, FALSE))</f>
        <v/>
      </c>
      <c r="G386" s="242"/>
      <c r="H386" s="242"/>
      <c r="I386" s="243"/>
      <c r="J386" s="244"/>
      <c r="K386" s="259"/>
      <c r="L386" s="260"/>
      <c r="M386" s="247" t="str" cm="1">
        <f t="array" ref="M386">IF($K386&gt;0, INDEX(Clean,1+AG386,$C$1), "")</f>
        <v/>
      </c>
      <c r="N386" s="245"/>
      <c r="O386" s="245"/>
      <c r="P386" s="246"/>
      <c r="Q386" s="248">
        <f t="shared" si="490"/>
        <v>0</v>
      </c>
      <c r="R386" s="247" t="str" cm="1">
        <f t="array" ref="R386">IF($K386&gt;0, INDEX(Clean,1+AH386,$C$1), "")</f>
        <v/>
      </c>
      <c r="S386" s="245"/>
      <c r="T386" s="245"/>
      <c r="U386" s="246"/>
      <c r="V386" s="248">
        <f t="shared" si="491"/>
        <v>0</v>
      </c>
      <c r="W386" s="261"/>
      <c r="X386" s="258"/>
      <c r="Y386" s="240"/>
      <c r="Z386" s="241" t="str">
        <f>IF(ISBLANK(Y386), "", VLOOKUP(Y386, Z!$A$2:$C$4127, 3, FALSE))</f>
        <v/>
      </c>
      <c r="AA386" s="262"/>
      <c r="AB386" s="249">
        <f t="shared" si="489"/>
        <v>0</v>
      </c>
      <c r="AC386" s="210"/>
      <c r="AD386" s="236">
        <f t="shared" si="514"/>
        <v>1</v>
      </c>
      <c r="AE386" s="236">
        <f t="shared" si="515"/>
        <v>1</v>
      </c>
      <c r="AF386" s="236">
        <f t="shared" si="516"/>
        <v>0</v>
      </c>
      <c r="AG386" s="236">
        <v>1</v>
      </c>
      <c r="AH386" s="236">
        <v>0</v>
      </c>
      <c r="AI386" s="236">
        <f t="shared" si="492"/>
        <v>-100</v>
      </c>
      <c r="AJ386" s="210"/>
      <c r="AK386" s="254"/>
      <c r="AL386" s="254"/>
      <c r="AM386" s="255"/>
      <c r="AN386" s="255"/>
      <c r="AO386" s="255"/>
      <c r="AP386" s="255"/>
      <c r="AQ386" s="255"/>
      <c r="AR386" s="255"/>
      <c r="AS386" s="255"/>
      <c r="AT386" s="255"/>
      <c r="AU386" s="255"/>
      <c r="AV386" s="255"/>
      <c r="AW386" s="255"/>
      <c r="AX386" s="210"/>
      <c r="AY386" s="236" cm="1">
        <f t="array" ref="AY386">INDEX(Use, $AD386, 4)</f>
        <v>7</v>
      </c>
      <c r="AZ386" s="236">
        <f t="shared" si="493"/>
        <v>32</v>
      </c>
      <c r="BA386" s="236">
        <f t="shared" si="481"/>
        <v>13</v>
      </c>
      <c r="BB386" s="236">
        <f t="shared" si="482"/>
        <v>0</v>
      </c>
      <c r="BC386" s="252" cm="1">
        <f t="array" ref="BC386">K386/IF($L386&gt;0, INDEX($AO$23:$AU$77, $L386+20, $AD386), 1)</f>
        <v>0</v>
      </c>
      <c r="BD386" s="237">
        <f t="shared" si="494"/>
        <v>0</v>
      </c>
      <c r="BE386" s="236">
        <v>35</v>
      </c>
      <c r="BF386" s="237">
        <f t="shared" si="495"/>
        <v>52.55</v>
      </c>
      <c r="BG386" s="253">
        <f t="shared" si="496"/>
        <v>2.7676728869374316</v>
      </c>
      <c r="BH386" s="253" cm="1">
        <f t="array" ref="BH386">$BC386 * SUMPRODUCT(INDEX($AL$77:$AN$82,,$AE386),INDEX($AO$77:$AU$82,,$AD386), N($AK$77:$AK$82&gt;$AI386)) / BG386 / 1000</f>
        <v>0</v>
      </c>
      <c r="BI386" s="250">
        <f t="shared" si="483"/>
        <v>30</v>
      </c>
      <c r="BJ386" s="237">
        <f t="shared" si="497"/>
        <v>46.033333333333331</v>
      </c>
      <c r="BK386" s="253">
        <f t="shared" si="498"/>
        <v>3.2297395388556791</v>
      </c>
      <c r="BL386" s="253" cm="1">
        <f t="array" ref="BL386">$BC386 * IF($AD386&lt;=2,
SUMPRODUCT(INDEX($AL$72:$AN$76,,$AE386), INDEX($AO$72:$AU$76,,$AD386), 1 / ($AV$72:$AV$76*BK386 + (1-$AV$72:$AV$76)*BG386), N($AK$72:$AK$76&gt;$AI386)),
SUMPRODUCT(INDEX($AL$67:$AN$76,,$AE386), INDEX($AO$67:$AU$76,,$AD386), 1 / ($AW$67:$AW$76*BK386 + (1-$AW$67:$AW$76)*BG386), N($AK$67:$AK$76&gt;$AI386))
) / 1000</f>
        <v>0</v>
      </c>
      <c r="BM386" s="250">
        <f t="shared" si="484"/>
        <v>25</v>
      </c>
      <c r="BN386" s="237">
        <f t="shared" si="499"/>
        <v>39.516666666666666</v>
      </c>
      <c r="BO386" s="253">
        <f t="shared" si="500"/>
        <v>3.877011788826243</v>
      </c>
      <c r="BP386" s="253" cm="1">
        <f t="array" ref="BP386">$BC386 * IF($AD386&lt;=2,
SUMPRODUCT(INDEX($AL$67:$AN$71,,$AE386), INDEX($AO$67:$AU$71,,$AD386), 1 / ($AV$67:$AV$71*BO386 + (1-$AV$67:$AV$71)*BK386), N($AK$67:$AK$71&gt;$AI386)),
SUMPRODUCT(INDEX($AL$57:$AN$66,,$AE386), INDEX($AO$57:$AU$66,,$AD386), 1 / ($AW$57:$AW$66*BO386 + (1-$AW$57:$AW$66)*BK386), N($AK$57:$AK$66&gt;$AI386))
) / 1000</f>
        <v>0</v>
      </c>
      <c r="BQ386" s="250">
        <f t="shared" si="485"/>
        <v>20</v>
      </c>
      <c r="BR386" s="237">
        <f t="shared" si="501"/>
        <v>33</v>
      </c>
      <c r="BS386" s="253">
        <f t="shared" si="502"/>
        <v>4.8487499999999999</v>
      </c>
      <c r="BT386" s="253" cm="1">
        <f t="array" ref="BT386">$BC386 * IF($AD386&lt;=2,
SUMPRODUCT(INDEX($AL$62:$AN$66,,$AE386), INDEX($AO$62:$AU$66,,$AD386), 1 / ($AV$62:$AV$66*BS386 + (1-$AV$62:$AV$66)*BO386), N($AK$62:$AK$66&gt;$AI386)),
SUMPRODUCT(INDEX($AL$47:$AN$56,,$AE386), INDEX($AO$47:$AU$56,,$AD386), 1 / ($AW$47:$AW$56*BS386 + (1-$AW$47:$AW$56)*BO386), N($AK$47:$AK$56&gt;$AI386))
) / 1000</f>
        <v>0</v>
      </c>
      <c r="BU386" s="253" cm="1">
        <f t="array" ref="BU386">$BC386 * IF($AD386&lt;=2,
SUMPRODUCT(INDEX($AL$23:$AN$61,,$AE386), INDEX($AO$23:$AU$61,,$AD386), 1 / ($AV$23:$AV$61*BS386), N($AK$23:$AK$61&gt;$AI386)),
SUMPRODUCT(INDEX($AL$23:$AN$46,,$AE386), INDEX($AO$23:$AU$46,,$AD386), 1 / ($AW$23:$AW$46*BS386), N($AK$23:$AK$46&gt;$AI386))
) / 1000</f>
        <v>0</v>
      </c>
      <c r="BV386" s="237">
        <f t="shared" si="503"/>
        <v>0</v>
      </c>
      <c r="BW386" s="210"/>
      <c r="BX386" s="237">
        <f t="shared" si="504"/>
        <v>0</v>
      </c>
      <c r="BY386" s="236">
        <v>35</v>
      </c>
      <c r="BZ386" s="237">
        <f t="shared" si="505"/>
        <v>48</v>
      </c>
      <c r="CA386" s="253">
        <f t="shared" si="506"/>
        <v>3.0748170731707316</v>
      </c>
      <c r="CB386" s="253" cm="1">
        <f t="array" ref="CB386">$BC386 * SUMPRODUCT(INDEX($AL$77:$AN$82,,$AE386),INDEX($AO$77:$AU$82,,$AD386), N($AK$77:$AK$82&gt;$AI386)) / CA386 / 1000</f>
        <v>0</v>
      </c>
      <c r="CC386" s="250">
        <f t="shared" si="486"/>
        <v>30</v>
      </c>
      <c r="CD386" s="237">
        <f t="shared" si="507"/>
        <v>43</v>
      </c>
      <c r="CE386" s="253">
        <f t="shared" si="508"/>
        <v>3.5018750000000001</v>
      </c>
      <c r="CF386" s="253" cm="1">
        <f t="array" ref="CF386">$BC386 * IF($AD386&lt;=2,
SUMPRODUCT(INDEX($AL$72:$AN$76,,$AE386), INDEX($AO$72:$AU$76,,$AD386), 1 / ($AV$72:$AV$76*CE386 + (1-$AV$72:$AV$76)*CA386), N($AK$72:$AK$76&gt;$AI386)),
SUMPRODUCT(INDEX($AL$67:$AN$76,,$AE386), INDEX($AO$67:$AU$76,,$AD386), 1 / ($AW$67:$AW$76*CE386 + (1-$AW$67:$AW$76)*CA386), N($AK$67:$AK$76&gt;$AI386))
) / 1000</f>
        <v>0</v>
      </c>
      <c r="CG386" s="250">
        <f t="shared" si="487"/>
        <v>25</v>
      </c>
      <c r="CH386" s="237">
        <f t="shared" si="509"/>
        <v>38</v>
      </c>
      <c r="CI386" s="253">
        <f t="shared" si="510"/>
        <v>4.0666935483870965</v>
      </c>
      <c r="CJ386" s="253" cm="1">
        <f t="array" ref="CJ386">$BC386 * IF($AD386&lt;=2,
SUMPRODUCT(INDEX($AL$67:$AN$71,,$AE386), INDEX($AO$67:$AU$71,,$AD386), 1 / ($AV$67:$AV$71*CI386 + (1-$AV$67:$AV$71)*CE386), N($AK$67:$AK$71&gt;$AI386)),
SUMPRODUCT(INDEX($AL$57:$AN$66,,$AE386), INDEX($AO$57:$AU$66,,$AD386), 1 / ($AW$57:$AW$66*CI386 + (1-$AW$57:$AW$66)*CE386), N($AK$57:$AK$66&gt;$AI386))
) / 1000</f>
        <v>0</v>
      </c>
      <c r="CK386" s="250">
        <f t="shared" si="488"/>
        <v>20</v>
      </c>
      <c r="CL386" s="237">
        <f t="shared" si="511"/>
        <v>33</v>
      </c>
      <c r="CM386" s="253">
        <f t="shared" si="512"/>
        <v>4.8487499999999999</v>
      </c>
      <c r="CN386" s="253" cm="1">
        <f t="array" ref="CN386">$BC386 * IF($AD386&lt;=2,
SUMPRODUCT(INDEX($AL$62:$AN$66,,$AE386), INDEX($AO$62:$AU$66,,$AD386), 1 / ($AV$62:$AV$66*CM386 + (1-$AV$62:$AV$66)*CI386), N($AK$62:$AK$66&gt;$AI386)),
SUMPRODUCT(INDEX($AL$47:$AN$56,,$AE386), INDEX($AO$47:$AU$56,,$AD386), 1 / ($AW$47:$AW$56*CM386 + (1-$AW$47:$AW$56)*CI386), N($AK$47:$AK$56&gt;$AI386))
) / 1000</f>
        <v>0</v>
      </c>
      <c r="CO386" s="253" cm="1">
        <f t="array" ref="CO386">$BC386 * IF($AD386&lt;=2,
SUMPRODUCT(INDEX($AL$23:$AN$61,,$AE386), INDEX($AO$23:$AU$61,,$AD386), 1 / ($AV$23:$AV$61*CM386), N($AK$23:$AK$61&gt;$AI386)),
SUMPRODUCT(INDEX($AL$23:$AN$46,,$AE386), INDEX($AO$23:$AU$46,,$AD386), 1 / ($AW$23:$AW$46*CM386), N($AK$23:$AK$46&gt;$AI386))
) / 1000</f>
        <v>0</v>
      </c>
      <c r="CP386" s="237">
        <f t="shared" si="513"/>
        <v>0</v>
      </c>
      <c r="CQ386" s="210"/>
    </row>
    <row r="387" spans="1:95" s="76" customFormat="1" ht="14.25" customHeight="1" x14ac:dyDescent="0.2">
      <c r="A387" s="238" t="b">
        <f t="shared" si="480"/>
        <v>0</v>
      </c>
      <c r="B387" s="239">
        <v>365</v>
      </c>
      <c r="C387" s="258"/>
      <c r="D387" s="258"/>
      <c r="E387" s="240"/>
      <c r="F387" s="241" t="str">
        <f>IF(ISBLANK(E387), "", VLOOKUP(E387, Z!$A$2:$C$4127, 3, FALSE))</f>
        <v/>
      </c>
      <c r="G387" s="242"/>
      <c r="H387" s="242"/>
      <c r="I387" s="243"/>
      <c r="J387" s="244"/>
      <c r="K387" s="259"/>
      <c r="L387" s="260"/>
      <c r="M387" s="247" t="str" cm="1">
        <f t="array" ref="M387">IF($K387&gt;0, INDEX(Clean,1+AG387,$C$1), "")</f>
        <v/>
      </c>
      <c r="N387" s="245"/>
      <c r="O387" s="245"/>
      <c r="P387" s="246"/>
      <c r="Q387" s="248">
        <f t="shared" si="490"/>
        <v>0</v>
      </c>
      <c r="R387" s="247" t="str" cm="1">
        <f t="array" ref="R387">IF($K387&gt;0, INDEX(Clean,1+AH387,$C$1), "")</f>
        <v/>
      </c>
      <c r="S387" s="245"/>
      <c r="T387" s="245"/>
      <c r="U387" s="246"/>
      <c r="V387" s="248">
        <f t="shared" si="491"/>
        <v>0</v>
      </c>
      <c r="W387" s="261"/>
      <c r="X387" s="258"/>
      <c r="Y387" s="240"/>
      <c r="Z387" s="241" t="str">
        <f>IF(ISBLANK(Y387), "", VLOOKUP(Y387, Z!$A$2:$C$4127, 3, FALSE))</f>
        <v/>
      </c>
      <c r="AA387" s="262"/>
      <c r="AB387" s="249">
        <f t="shared" si="489"/>
        <v>0</v>
      </c>
      <c r="AC387" s="210"/>
      <c r="AD387" s="236">
        <f t="shared" si="514"/>
        <v>1</v>
      </c>
      <c r="AE387" s="236">
        <f t="shared" si="515"/>
        <v>1</v>
      </c>
      <c r="AF387" s="236">
        <f t="shared" si="516"/>
        <v>0</v>
      </c>
      <c r="AG387" s="236">
        <v>1</v>
      </c>
      <c r="AH387" s="236">
        <v>0</v>
      </c>
      <c r="AI387" s="236">
        <f t="shared" si="492"/>
        <v>-100</v>
      </c>
      <c r="AJ387" s="210"/>
      <c r="AK387" s="254"/>
      <c r="AL387" s="254"/>
      <c r="AM387" s="255"/>
      <c r="AN387" s="255"/>
      <c r="AO387" s="255"/>
      <c r="AP387" s="255"/>
      <c r="AQ387" s="255"/>
      <c r="AR387" s="255"/>
      <c r="AS387" s="255"/>
      <c r="AT387" s="255"/>
      <c r="AU387" s="255"/>
      <c r="AV387" s="255"/>
      <c r="AW387" s="255"/>
      <c r="AX387" s="210"/>
      <c r="AY387" s="236" cm="1">
        <f t="array" ref="AY387">INDEX(Use, $AD387, 4)</f>
        <v>7</v>
      </c>
      <c r="AZ387" s="236">
        <f t="shared" si="493"/>
        <v>32</v>
      </c>
      <c r="BA387" s="236">
        <f t="shared" si="481"/>
        <v>13</v>
      </c>
      <c r="BB387" s="236">
        <f t="shared" si="482"/>
        <v>0</v>
      </c>
      <c r="BC387" s="252" cm="1">
        <f t="array" ref="BC387">K387/IF($L387&gt;0, INDEX($AO$23:$AU$77, $L387+20, $AD387), 1)</f>
        <v>0</v>
      </c>
      <c r="BD387" s="237">
        <f t="shared" si="494"/>
        <v>0</v>
      </c>
      <c r="BE387" s="236">
        <v>35</v>
      </c>
      <c r="BF387" s="237">
        <f t="shared" si="495"/>
        <v>52.55</v>
      </c>
      <c r="BG387" s="253">
        <f t="shared" si="496"/>
        <v>2.7676728869374316</v>
      </c>
      <c r="BH387" s="253" cm="1">
        <f t="array" ref="BH387">$BC387 * SUMPRODUCT(INDEX($AL$77:$AN$82,,$AE387),INDEX($AO$77:$AU$82,,$AD387), N($AK$77:$AK$82&gt;$AI387)) / BG387 / 1000</f>
        <v>0</v>
      </c>
      <c r="BI387" s="250">
        <f t="shared" si="483"/>
        <v>30</v>
      </c>
      <c r="BJ387" s="237">
        <f t="shared" si="497"/>
        <v>46.033333333333331</v>
      </c>
      <c r="BK387" s="253">
        <f t="shared" si="498"/>
        <v>3.2297395388556791</v>
      </c>
      <c r="BL387" s="253" cm="1">
        <f t="array" ref="BL387">$BC387 * IF($AD387&lt;=2,
SUMPRODUCT(INDEX($AL$72:$AN$76,,$AE387), INDEX($AO$72:$AU$76,,$AD387), 1 / ($AV$72:$AV$76*BK387 + (1-$AV$72:$AV$76)*BG387), N($AK$72:$AK$76&gt;$AI387)),
SUMPRODUCT(INDEX($AL$67:$AN$76,,$AE387), INDEX($AO$67:$AU$76,,$AD387), 1 / ($AW$67:$AW$76*BK387 + (1-$AW$67:$AW$76)*BG387), N($AK$67:$AK$76&gt;$AI387))
) / 1000</f>
        <v>0</v>
      </c>
      <c r="BM387" s="250">
        <f t="shared" si="484"/>
        <v>25</v>
      </c>
      <c r="BN387" s="237">
        <f t="shared" si="499"/>
        <v>39.516666666666666</v>
      </c>
      <c r="BO387" s="253">
        <f t="shared" si="500"/>
        <v>3.877011788826243</v>
      </c>
      <c r="BP387" s="253" cm="1">
        <f t="array" ref="BP387">$BC387 * IF($AD387&lt;=2,
SUMPRODUCT(INDEX($AL$67:$AN$71,,$AE387), INDEX($AO$67:$AU$71,,$AD387), 1 / ($AV$67:$AV$71*BO387 + (1-$AV$67:$AV$71)*BK387), N($AK$67:$AK$71&gt;$AI387)),
SUMPRODUCT(INDEX($AL$57:$AN$66,,$AE387), INDEX($AO$57:$AU$66,,$AD387), 1 / ($AW$57:$AW$66*BO387 + (1-$AW$57:$AW$66)*BK387), N($AK$57:$AK$66&gt;$AI387))
) / 1000</f>
        <v>0</v>
      </c>
      <c r="BQ387" s="250">
        <f t="shared" si="485"/>
        <v>20</v>
      </c>
      <c r="BR387" s="237">
        <f t="shared" si="501"/>
        <v>33</v>
      </c>
      <c r="BS387" s="253">
        <f t="shared" si="502"/>
        <v>4.8487499999999999</v>
      </c>
      <c r="BT387" s="253" cm="1">
        <f t="array" ref="BT387">$BC387 * IF($AD387&lt;=2,
SUMPRODUCT(INDEX($AL$62:$AN$66,,$AE387), INDEX($AO$62:$AU$66,,$AD387), 1 / ($AV$62:$AV$66*BS387 + (1-$AV$62:$AV$66)*BO387), N($AK$62:$AK$66&gt;$AI387)),
SUMPRODUCT(INDEX($AL$47:$AN$56,,$AE387), INDEX($AO$47:$AU$56,,$AD387), 1 / ($AW$47:$AW$56*BS387 + (1-$AW$47:$AW$56)*BO387), N($AK$47:$AK$56&gt;$AI387))
) / 1000</f>
        <v>0</v>
      </c>
      <c r="BU387" s="253" cm="1">
        <f t="array" ref="BU387">$BC387 * IF($AD387&lt;=2,
SUMPRODUCT(INDEX($AL$23:$AN$61,,$AE387), INDEX($AO$23:$AU$61,,$AD387), 1 / ($AV$23:$AV$61*BS387), N($AK$23:$AK$61&gt;$AI387)),
SUMPRODUCT(INDEX($AL$23:$AN$46,,$AE387), INDEX($AO$23:$AU$46,,$AD387), 1 / ($AW$23:$AW$46*BS387), N($AK$23:$AK$46&gt;$AI387))
) / 1000</f>
        <v>0</v>
      </c>
      <c r="BV387" s="237">
        <f t="shared" si="503"/>
        <v>0</v>
      </c>
      <c r="BW387" s="210"/>
      <c r="BX387" s="237">
        <f t="shared" si="504"/>
        <v>0</v>
      </c>
      <c r="BY387" s="236">
        <v>35</v>
      </c>
      <c r="BZ387" s="237">
        <f t="shared" si="505"/>
        <v>48</v>
      </c>
      <c r="CA387" s="253">
        <f t="shared" si="506"/>
        <v>3.0748170731707316</v>
      </c>
      <c r="CB387" s="253" cm="1">
        <f t="array" ref="CB387">$BC387 * SUMPRODUCT(INDEX($AL$77:$AN$82,,$AE387),INDEX($AO$77:$AU$82,,$AD387), N($AK$77:$AK$82&gt;$AI387)) / CA387 / 1000</f>
        <v>0</v>
      </c>
      <c r="CC387" s="250">
        <f t="shared" si="486"/>
        <v>30</v>
      </c>
      <c r="CD387" s="237">
        <f t="shared" si="507"/>
        <v>43</v>
      </c>
      <c r="CE387" s="253">
        <f t="shared" si="508"/>
        <v>3.5018750000000001</v>
      </c>
      <c r="CF387" s="253" cm="1">
        <f t="array" ref="CF387">$BC387 * IF($AD387&lt;=2,
SUMPRODUCT(INDEX($AL$72:$AN$76,,$AE387), INDEX($AO$72:$AU$76,,$AD387), 1 / ($AV$72:$AV$76*CE387 + (1-$AV$72:$AV$76)*CA387), N($AK$72:$AK$76&gt;$AI387)),
SUMPRODUCT(INDEX($AL$67:$AN$76,,$AE387), INDEX($AO$67:$AU$76,,$AD387), 1 / ($AW$67:$AW$76*CE387 + (1-$AW$67:$AW$76)*CA387), N($AK$67:$AK$76&gt;$AI387))
) / 1000</f>
        <v>0</v>
      </c>
      <c r="CG387" s="250">
        <f t="shared" si="487"/>
        <v>25</v>
      </c>
      <c r="CH387" s="237">
        <f t="shared" si="509"/>
        <v>38</v>
      </c>
      <c r="CI387" s="253">
        <f t="shared" si="510"/>
        <v>4.0666935483870965</v>
      </c>
      <c r="CJ387" s="253" cm="1">
        <f t="array" ref="CJ387">$BC387 * IF($AD387&lt;=2,
SUMPRODUCT(INDEX($AL$67:$AN$71,,$AE387), INDEX($AO$67:$AU$71,,$AD387), 1 / ($AV$67:$AV$71*CI387 + (1-$AV$67:$AV$71)*CE387), N($AK$67:$AK$71&gt;$AI387)),
SUMPRODUCT(INDEX($AL$57:$AN$66,,$AE387), INDEX($AO$57:$AU$66,,$AD387), 1 / ($AW$57:$AW$66*CI387 + (1-$AW$57:$AW$66)*CE387), N($AK$57:$AK$66&gt;$AI387))
) / 1000</f>
        <v>0</v>
      </c>
      <c r="CK387" s="250">
        <f t="shared" si="488"/>
        <v>20</v>
      </c>
      <c r="CL387" s="237">
        <f t="shared" si="511"/>
        <v>33</v>
      </c>
      <c r="CM387" s="253">
        <f t="shared" si="512"/>
        <v>4.8487499999999999</v>
      </c>
      <c r="CN387" s="253" cm="1">
        <f t="array" ref="CN387">$BC387 * IF($AD387&lt;=2,
SUMPRODUCT(INDEX($AL$62:$AN$66,,$AE387), INDEX($AO$62:$AU$66,,$AD387), 1 / ($AV$62:$AV$66*CM387 + (1-$AV$62:$AV$66)*CI387), N($AK$62:$AK$66&gt;$AI387)),
SUMPRODUCT(INDEX($AL$47:$AN$56,,$AE387), INDEX($AO$47:$AU$56,,$AD387), 1 / ($AW$47:$AW$56*CM387 + (1-$AW$47:$AW$56)*CI387), N($AK$47:$AK$56&gt;$AI387))
) / 1000</f>
        <v>0</v>
      </c>
      <c r="CO387" s="253" cm="1">
        <f t="array" ref="CO387">$BC387 * IF($AD387&lt;=2,
SUMPRODUCT(INDEX($AL$23:$AN$61,,$AE387), INDEX($AO$23:$AU$61,,$AD387), 1 / ($AV$23:$AV$61*CM387), N($AK$23:$AK$61&gt;$AI387)),
SUMPRODUCT(INDEX($AL$23:$AN$46,,$AE387), INDEX($AO$23:$AU$46,,$AD387), 1 / ($AW$23:$AW$46*CM387), N($AK$23:$AK$46&gt;$AI387))
) / 1000</f>
        <v>0</v>
      </c>
      <c r="CP387" s="237">
        <f t="shared" si="513"/>
        <v>0</v>
      </c>
      <c r="CQ387" s="210"/>
    </row>
    <row r="388" spans="1:95" s="76" customFormat="1" ht="14.25" customHeight="1" x14ac:dyDescent="0.2">
      <c r="A388" s="238" t="b">
        <f t="shared" si="480"/>
        <v>0</v>
      </c>
      <c r="B388" s="239">
        <v>366</v>
      </c>
      <c r="C388" s="258"/>
      <c r="D388" s="258"/>
      <c r="E388" s="240"/>
      <c r="F388" s="241" t="str">
        <f>IF(ISBLANK(E388), "", VLOOKUP(E388, Z!$A$2:$C$4127, 3, FALSE))</f>
        <v/>
      </c>
      <c r="G388" s="242"/>
      <c r="H388" s="242"/>
      <c r="I388" s="243"/>
      <c r="J388" s="244"/>
      <c r="K388" s="259"/>
      <c r="L388" s="260"/>
      <c r="M388" s="247" t="str" cm="1">
        <f t="array" ref="M388">IF($K388&gt;0, INDEX(Clean,1+AG388,$C$1), "")</f>
        <v/>
      </c>
      <c r="N388" s="245"/>
      <c r="O388" s="245"/>
      <c r="P388" s="246"/>
      <c r="Q388" s="248">
        <f t="shared" si="490"/>
        <v>0</v>
      </c>
      <c r="R388" s="247" t="str" cm="1">
        <f t="array" ref="R388">IF($K388&gt;0, INDEX(Clean,1+AH388,$C$1), "")</f>
        <v/>
      </c>
      <c r="S388" s="245"/>
      <c r="T388" s="245"/>
      <c r="U388" s="246"/>
      <c r="V388" s="248">
        <f t="shared" si="491"/>
        <v>0</v>
      </c>
      <c r="W388" s="261"/>
      <c r="X388" s="258"/>
      <c r="Y388" s="240"/>
      <c r="Z388" s="241" t="str">
        <f>IF(ISBLANK(Y388), "", VLOOKUP(Y388, Z!$A$2:$C$4127, 3, FALSE))</f>
        <v/>
      </c>
      <c r="AA388" s="262"/>
      <c r="AB388" s="249">
        <f t="shared" si="489"/>
        <v>0</v>
      </c>
      <c r="AC388" s="210"/>
      <c r="AD388" s="236">
        <f t="shared" si="514"/>
        <v>1</v>
      </c>
      <c r="AE388" s="236">
        <f t="shared" si="515"/>
        <v>1</v>
      </c>
      <c r="AF388" s="236">
        <f t="shared" si="516"/>
        <v>0</v>
      </c>
      <c r="AG388" s="236">
        <v>1</v>
      </c>
      <c r="AH388" s="236">
        <v>0</v>
      </c>
      <c r="AI388" s="236">
        <f t="shared" si="492"/>
        <v>-100</v>
      </c>
      <c r="AJ388" s="210"/>
      <c r="AK388" s="254"/>
      <c r="AL388" s="254"/>
      <c r="AM388" s="255"/>
      <c r="AN388" s="255"/>
      <c r="AO388" s="255"/>
      <c r="AP388" s="255"/>
      <c r="AQ388" s="255"/>
      <c r="AR388" s="255"/>
      <c r="AS388" s="255"/>
      <c r="AT388" s="255"/>
      <c r="AU388" s="255"/>
      <c r="AV388" s="255"/>
      <c r="AW388" s="255"/>
      <c r="AX388" s="210"/>
      <c r="AY388" s="236" cm="1">
        <f t="array" ref="AY388">INDEX(Use, $AD388, 4)</f>
        <v>7</v>
      </c>
      <c r="AZ388" s="236">
        <f t="shared" si="493"/>
        <v>32</v>
      </c>
      <c r="BA388" s="236">
        <f t="shared" si="481"/>
        <v>13</v>
      </c>
      <c r="BB388" s="236">
        <f t="shared" si="482"/>
        <v>0</v>
      </c>
      <c r="BC388" s="252" cm="1">
        <f t="array" ref="BC388">K388/IF($L388&gt;0, INDEX($AO$23:$AU$77, $L388+20, $AD388), 1)</f>
        <v>0</v>
      </c>
      <c r="BD388" s="237">
        <f t="shared" si="494"/>
        <v>0</v>
      </c>
      <c r="BE388" s="236">
        <v>35</v>
      </c>
      <c r="BF388" s="237">
        <f t="shared" si="495"/>
        <v>52.55</v>
      </c>
      <c r="BG388" s="253">
        <f t="shared" si="496"/>
        <v>2.7676728869374316</v>
      </c>
      <c r="BH388" s="253" cm="1">
        <f t="array" ref="BH388">$BC388 * SUMPRODUCT(INDEX($AL$77:$AN$82,,$AE388),INDEX($AO$77:$AU$82,,$AD388), N($AK$77:$AK$82&gt;$AI388)) / BG388 / 1000</f>
        <v>0</v>
      </c>
      <c r="BI388" s="250">
        <f t="shared" si="483"/>
        <v>30</v>
      </c>
      <c r="BJ388" s="237">
        <f t="shared" si="497"/>
        <v>46.033333333333331</v>
      </c>
      <c r="BK388" s="253">
        <f t="shared" si="498"/>
        <v>3.2297395388556791</v>
      </c>
      <c r="BL388" s="253" cm="1">
        <f t="array" ref="BL388">$BC388 * IF($AD388&lt;=2,
SUMPRODUCT(INDEX($AL$72:$AN$76,,$AE388), INDEX($AO$72:$AU$76,,$AD388), 1 / ($AV$72:$AV$76*BK388 + (1-$AV$72:$AV$76)*BG388), N($AK$72:$AK$76&gt;$AI388)),
SUMPRODUCT(INDEX($AL$67:$AN$76,,$AE388), INDEX($AO$67:$AU$76,,$AD388), 1 / ($AW$67:$AW$76*BK388 + (1-$AW$67:$AW$76)*BG388), N($AK$67:$AK$76&gt;$AI388))
) / 1000</f>
        <v>0</v>
      </c>
      <c r="BM388" s="250">
        <f t="shared" si="484"/>
        <v>25</v>
      </c>
      <c r="BN388" s="237">
        <f t="shared" si="499"/>
        <v>39.516666666666666</v>
      </c>
      <c r="BO388" s="253">
        <f t="shared" si="500"/>
        <v>3.877011788826243</v>
      </c>
      <c r="BP388" s="253" cm="1">
        <f t="array" ref="BP388">$BC388 * IF($AD388&lt;=2,
SUMPRODUCT(INDEX($AL$67:$AN$71,,$AE388), INDEX($AO$67:$AU$71,,$AD388), 1 / ($AV$67:$AV$71*BO388 + (1-$AV$67:$AV$71)*BK388), N($AK$67:$AK$71&gt;$AI388)),
SUMPRODUCT(INDEX($AL$57:$AN$66,,$AE388), INDEX($AO$57:$AU$66,,$AD388), 1 / ($AW$57:$AW$66*BO388 + (1-$AW$57:$AW$66)*BK388), N($AK$57:$AK$66&gt;$AI388))
) / 1000</f>
        <v>0</v>
      </c>
      <c r="BQ388" s="250">
        <f t="shared" si="485"/>
        <v>20</v>
      </c>
      <c r="BR388" s="237">
        <f t="shared" si="501"/>
        <v>33</v>
      </c>
      <c r="BS388" s="253">
        <f t="shared" si="502"/>
        <v>4.8487499999999999</v>
      </c>
      <c r="BT388" s="253" cm="1">
        <f t="array" ref="BT388">$BC388 * IF($AD388&lt;=2,
SUMPRODUCT(INDEX($AL$62:$AN$66,,$AE388), INDEX($AO$62:$AU$66,,$AD388), 1 / ($AV$62:$AV$66*BS388 + (1-$AV$62:$AV$66)*BO388), N($AK$62:$AK$66&gt;$AI388)),
SUMPRODUCT(INDEX($AL$47:$AN$56,,$AE388), INDEX($AO$47:$AU$56,,$AD388), 1 / ($AW$47:$AW$56*BS388 + (1-$AW$47:$AW$56)*BO388), N($AK$47:$AK$56&gt;$AI388))
) / 1000</f>
        <v>0</v>
      </c>
      <c r="BU388" s="253" cm="1">
        <f t="array" ref="BU388">$BC388 * IF($AD388&lt;=2,
SUMPRODUCT(INDEX($AL$23:$AN$61,,$AE388), INDEX($AO$23:$AU$61,,$AD388), 1 / ($AV$23:$AV$61*BS388), N($AK$23:$AK$61&gt;$AI388)),
SUMPRODUCT(INDEX($AL$23:$AN$46,,$AE388), INDEX($AO$23:$AU$46,,$AD388), 1 / ($AW$23:$AW$46*BS388), N($AK$23:$AK$46&gt;$AI388))
) / 1000</f>
        <v>0</v>
      </c>
      <c r="BV388" s="237">
        <f t="shared" si="503"/>
        <v>0</v>
      </c>
      <c r="BW388" s="210"/>
      <c r="BX388" s="237">
        <f t="shared" si="504"/>
        <v>0</v>
      </c>
      <c r="BY388" s="236">
        <v>35</v>
      </c>
      <c r="BZ388" s="237">
        <f t="shared" si="505"/>
        <v>48</v>
      </c>
      <c r="CA388" s="253">
        <f t="shared" si="506"/>
        <v>3.0748170731707316</v>
      </c>
      <c r="CB388" s="253" cm="1">
        <f t="array" ref="CB388">$BC388 * SUMPRODUCT(INDEX($AL$77:$AN$82,,$AE388),INDEX($AO$77:$AU$82,,$AD388), N($AK$77:$AK$82&gt;$AI388)) / CA388 / 1000</f>
        <v>0</v>
      </c>
      <c r="CC388" s="250">
        <f t="shared" si="486"/>
        <v>30</v>
      </c>
      <c r="CD388" s="237">
        <f t="shared" si="507"/>
        <v>43</v>
      </c>
      <c r="CE388" s="253">
        <f t="shared" si="508"/>
        <v>3.5018750000000001</v>
      </c>
      <c r="CF388" s="253" cm="1">
        <f t="array" ref="CF388">$BC388 * IF($AD388&lt;=2,
SUMPRODUCT(INDEX($AL$72:$AN$76,,$AE388), INDEX($AO$72:$AU$76,,$AD388), 1 / ($AV$72:$AV$76*CE388 + (1-$AV$72:$AV$76)*CA388), N($AK$72:$AK$76&gt;$AI388)),
SUMPRODUCT(INDEX($AL$67:$AN$76,,$AE388), INDEX($AO$67:$AU$76,,$AD388), 1 / ($AW$67:$AW$76*CE388 + (1-$AW$67:$AW$76)*CA388), N($AK$67:$AK$76&gt;$AI388))
) / 1000</f>
        <v>0</v>
      </c>
      <c r="CG388" s="250">
        <f t="shared" si="487"/>
        <v>25</v>
      </c>
      <c r="CH388" s="237">
        <f t="shared" si="509"/>
        <v>38</v>
      </c>
      <c r="CI388" s="253">
        <f t="shared" si="510"/>
        <v>4.0666935483870965</v>
      </c>
      <c r="CJ388" s="253" cm="1">
        <f t="array" ref="CJ388">$BC388 * IF($AD388&lt;=2,
SUMPRODUCT(INDEX($AL$67:$AN$71,,$AE388), INDEX($AO$67:$AU$71,,$AD388), 1 / ($AV$67:$AV$71*CI388 + (1-$AV$67:$AV$71)*CE388), N($AK$67:$AK$71&gt;$AI388)),
SUMPRODUCT(INDEX($AL$57:$AN$66,,$AE388), INDEX($AO$57:$AU$66,,$AD388), 1 / ($AW$57:$AW$66*CI388 + (1-$AW$57:$AW$66)*CE388), N($AK$57:$AK$66&gt;$AI388))
) / 1000</f>
        <v>0</v>
      </c>
      <c r="CK388" s="250">
        <f t="shared" si="488"/>
        <v>20</v>
      </c>
      <c r="CL388" s="237">
        <f t="shared" si="511"/>
        <v>33</v>
      </c>
      <c r="CM388" s="253">
        <f t="shared" si="512"/>
        <v>4.8487499999999999</v>
      </c>
      <c r="CN388" s="253" cm="1">
        <f t="array" ref="CN388">$BC388 * IF($AD388&lt;=2,
SUMPRODUCT(INDEX($AL$62:$AN$66,,$AE388), INDEX($AO$62:$AU$66,,$AD388), 1 / ($AV$62:$AV$66*CM388 + (1-$AV$62:$AV$66)*CI388), N($AK$62:$AK$66&gt;$AI388)),
SUMPRODUCT(INDEX($AL$47:$AN$56,,$AE388), INDEX($AO$47:$AU$56,,$AD388), 1 / ($AW$47:$AW$56*CM388 + (1-$AW$47:$AW$56)*CI388), N($AK$47:$AK$56&gt;$AI388))
) / 1000</f>
        <v>0</v>
      </c>
      <c r="CO388" s="253" cm="1">
        <f t="array" ref="CO388">$BC388 * IF($AD388&lt;=2,
SUMPRODUCT(INDEX($AL$23:$AN$61,,$AE388), INDEX($AO$23:$AU$61,,$AD388), 1 / ($AV$23:$AV$61*CM388), N($AK$23:$AK$61&gt;$AI388)),
SUMPRODUCT(INDEX($AL$23:$AN$46,,$AE388), INDEX($AO$23:$AU$46,,$AD388), 1 / ($AW$23:$AW$46*CM388), N($AK$23:$AK$46&gt;$AI388))
) / 1000</f>
        <v>0</v>
      </c>
      <c r="CP388" s="237">
        <f t="shared" si="513"/>
        <v>0</v>
      </c>
      <c r="CQ388" s="210"/>
    </row>
    <row r="389" spans="1:95" s="76" customFormat="1" ht="14.25" customHeight="1" x14ac:dyDescent="0.2">
      <c r="A389" s="238" t="b">
        <f t="shared" si="480"/>
        <v>0</v>
      </c>
      <c r="B389" s="239">
        <v>367</v>
      </c>
      <c r="C389" s="258"/>
      <c r="D389" s="258"/>
      <c r="E389" s="240"/>
      <c r="F389" s="241" t="str">
        <f>IF(ISBLANK(E389), "", VLOOKUP(E389, Z!$A$2:$C$4127, 3, FALSE))</f>
        <v/>
      </c>
      <c r="G389" s="242"/>
      <c r="H389" s="242"/>
      <c r="I389" s="243"/>
      <c r="J389" s="244"/>
      <c r="K389" s="259"/>
      <c r="L389" s="260"/>
      <c r="M389" s="247" t="str" cm="1">
        <f t="array" ref="M389">IF($K389&gt;0, INDEX(Clean,1+AG389,$C$1), "")</f>
        <v/>
      </c>
      <c r="N389" s="245"/>
      <c r="O389" s="245"/>
      <c r="P389" s="246"/>
      <c r="Q389" s="248">
        <f t="shared" si="490"/>
        <v>0</v>
      </c>
      <c r="R389" s="247" t="str" cm="1">
        <f t="array" ref="R389">IF($K389&gt;0, INDEX(Clean,1+AH389,$C$1), "")</f>
        <v/>
      </c>
      <c r="S389" s="245"/>
      <c r="T389" s="245"/>
      <c r="U389" s="246"/>
      <c r="V389" s="248">
        <f t="shared" si="491"/>
        <v>0</v>
      </c>
      <c r="W389" s="261"/>
      <c r="X389" s="258"/>
      <c r="Y389" s="240"/>
      <c r="Z389" s="241" t="str">
        <f>IF(ISBLANK(Y389), "", VLOOKUP(Y389, Z!$A$2:$C$4127, 3, FALSE))</f>
        <v/>
      </c>
      <c r="AA389" s="262"/>
      <c r="AB389" s="249">
        <f t="shared" si="489"/>
        <v>0</v>
      </c>
      <c r="AC389" s="210"/>
      <c r="AD389" s="236">
        <f t="shared" si="514"/>
        <v>1</v>
      </c>
      <c r="AE389" s="236">
        <f t="shared" si="515"/>
        <v>1</v>
      </c>
      <c r="AF389" s="236">
        <f t="shared" si="516"/>
        <v>0</v>
      </c>
      <c r="AG389" s="236">
        <v>1</v>
      </c>
      <c r="AH389" s="236">
        <v>0</v>
      </c>
      <c r="AI389" s="236">
        <f t="shared" si="492"/>
        <v>-100</v>
      </c>
      <c r="AJ389" s="210"/>
      <c r="AK389" s="254"/>
      <c r="AL389" s="254"/>
      <c r="AM389" s="255"/>
      <c r="AN389" s="255"/>
      <c r="AO389" s="255"/>
      <c r="AP389" s="255"/>
      <c r="AQ389" s="255"/>
      <c r="AR389" s="255"/>
      <c r="AS389" s="255"/>
      <c r="AT389" s="255"/>
      <c r="AU389" s="255"/>
      <c r="AV389" s="255"/>
      <c r="AW389" s="255"/>
      <c r="AX389" s="210"/>
      <c r="AY389" s="236" cm="1">
        <f t="array" ref="AY389">INDEX(Use, $AD389, 4)</f>
        <v>7</v>
      </c>
      <c r="AZ389" s="236">
        <f t="shared" si="493"/>
        <v>32</v>
      </c>
      <c r="BA389" s="236">
        <f t="shared" si="481"/>
        <v>13</v>
      </c>
      <c r="BB389" s="236">
        <f t="shared" si="482"/>
        <v>0</v>
      </c>
      <c r="BC389" s="252" cm="1">
        <f t="array" ref="BC389">K389/IF($L389&gt;0, INDEX($AO$23:$AU$77, $L389+20, $AD389), 1)</f>
        <v>0</v>
      </c>
      <c r="BD389" s="237">
        <f t="shared" si="494"/>
        <v>0</v>
      </c>
      <c r="BE389" s="236">
        <v>35</v>
      </c>
      <c r="BF389" s="237">
        <f t="shared" si="495"/>
        <v>52.55</v>
      </c>
      <c r="BG389" s="253">
        <f t="shared" si="496"/>
        <v>2.7676728869374316</v>
      </c>
      <c r="BH389" s="253" cm="1">
        <f t="array" ref="BH389">$BC389 * SUMPRODUCT(INDEX($AL$77:$AN$82,,$AE389),INDEX($AO$77:$AU$82,,$AD389), N($AK$77:$AK$82&gt;$AI389)) / BG389 / 1000</f>
        <v>0</v>
      </c>
      <c r="BI389" s="250">
        <f t="shared" si="483"/>
        <v>30</v>
      </c>
      <c r="BJ389" s="237">
        <f t="shared" si="497"/>
        <v>46.033333333333331</v>
      </c>
      <c r="BK389" s="253">
        <f t="shared" si="498"/>
        <v>3.2297395388556791</v>
      </c>
      <c r="BL389" s="253" cm="1">
        <f t="array" ref="BL389">$BC389 * IF($AD389&lt;=2,
SUMPRODUCT(INDEX($AL$72:$AN$76,,$AE389), INDEX($AO$72:$AU$76,,$AD389), 1 / ($AV$72:$AV$76*BK389 + (1-$AV$72:$AV$76)*BG389), N($AK$72:$AK$76&gt;$AI389)),
SUMPRODUCT(INDEX($AL$67:$AN$76,,$AE389), INDEX($AO$67:$AU$76,,$AD389), 1 / ($AW$67:$AW$76*BK389 + (1-$AW$67:$AW$76)*BG389), N($AK$67:$AK$76&gt;$AI389))
) / 1000</f>
        <v>0</v>
      </c>
      <c r="BM389" s="250">
        <f t="shared" si="484"/>
        <v>25</v>
      </c>
      <c r="BN389" s="237">
        <f t="shared" si="499"/>
        <v>39.516666666666666</v>
      </c>
      <c r="BO389" s="253">
        <f t="shared" si="500"/>
        <v>3.877011788826243</v>
      </c>
      <c r="BP389" s="253" cm="1">
        <f t="array" ref="BP389">$BC389 * IF($AD389&lt;=2,
SUMPRODUCT(INDEX($AL$67:$AN$71,,$AE389), INDEX($AO$67:$AU$71,,$AD389), 1 / ($AV$67:$AV$71*BO389 + (1-$AV$67:$AV$71)*BK389), N($AK$67:$AK$71&gt;$AI389)),
SUMPRODUCT(INDEX($AL$57:$AN$66,,$AE389), INDEX($AO$57:$AU$66,,$AD389), 1 / ($AW$57:$AW$66*BO389 + (1-$AW$57:$AW$66)*BK389), N($AK$57:$AK$66&gt;$AI389))
) / 1000</f>
        <v>0</v>
      </c>
      <c r="BQ389" s="250">
        <f t="shared" si="485"/>
        <v>20</v>
      </c>
      <c r="BR389" s="237">
        <f t="shared" si="501"/>
        <v>33</v>
      </c>
      <c r="BS389" s="253">
        <f t="shared" si="502"/>
        <v>4.8487499999999999</v>
      </c>
      <c r="BT389" s="253" cm="1">
        <f t="array" ref="BT389">$BC389 * IF($AD389&lt;=2,
SUMPRODUCT(INDEX($AL$62:$AN$66,,$AE389), INDEX($AO$62:$AU$66,,$AD389), 1 / ($AV$62:$AV$66*BS389 + (1-$AV$62:$AV$66)*BO389), N($AK$62:$AK$66&gt;$AI389)),
SUMPRODUCT(INDEX($AL$47:$AN$56,,$AE389), INDEX($AO$47:$AU$56,,$AD389), 1 / ($AW$47:$AW$56*BS389 + (1-$AW$47:$AW$56)*BO389), N($AK$47:$AK$56&gt;$AI389))
) / 1000</f>
        <v>0</v>
      </c>
      <c r="BU389" s="253" cm="1">
        <f t="array" ref="BU389">$BC389 * IF($AD389&lt;=2,
SUMPRODUCT(INDEX($AL$23:$AN$61,,$AE389), INDEX($AO$23:$AU$61,,$AD389), 1 / ($AV$23:$AV$61*BS389), N($AK$23:$AK$61&gt;$AI389)),
SUMPRODUCT(INDEX($AL$23:$AN$46,,$AE389), INDEX($AO$23:$AU$46,,$AD389), 1 / ($AW$23:$AW$46*BS389), N($AK$23:$AK$46&gt;$AI389))
) / 1000</f>
        <v>0</v>
      </c>
      <c r="BV389" s="237">
        <f t="shared" si="503"/>
        <v>0</v>
      </c>
      <c r="BW389" s="210"/>
      <c r="BX389" s="237">
        <f t="shared" si="504"/>
        <v>0</v>
      </c>
      <c r="BY389" s="236">
        <v>35</v>
      </c>
      <c r="BZ389" s="237">
        <f t="shared" si="505"/>
        <v>48</v>
      </c>
      <c r="CA389" s="253">
        <f t="shared" si="506"/>
        <v>3.0748170731707316</v>
      </c>
      <c r="CB389" s="253" cm="1">
        <f t="array" ref="CB389">$BC389 * SUMPRODUCT(INDEX($AL$77:$AN$82,,$AE389),INDEX($AO$77:$AU$82,,$AD389), N($AK$77:$AK$82&gt;$AI389)) / CA389 / 1000</f>
        <v>0</v>
      </c>
      <c r="CC389" s="250">
        <f t="shared" si="486"/>
        <v>30</v>
      </c>
      <c r="CD389" s="237">
        <f t="shared" si="507"/>
        <v>43</v>
      </c>
      <c r="CE389" s="253">
        <f t="shared" si="508"/>
        <v>3.5018750000000001</v>
      </c>
      <c r="CF389" s="253" cm="1">
        <f t="array" ref="CF389">$BC389 * IF($AD389&lt;=2,
SUMPRODUCT(INDEX($AL$72:$AN$76,,$AE389), INDEX($AO$72:$AU$76,,$AD389), 1 / ($AV$72:$AV$76*CE389 + (1-$AV$72:$AV$76)*CA389), N($AK$72:$AK$76&gt;$AI389)),
SUMPRODUCT(INDEX($AL$67:$AN$76,,$AE389), INDEX($AO$67:$AU$76,,$AD389), 1 / ($AW$67:$AW$76*CE389 + (1-$AW$67:$AW$76)*CA389), N($AK$67:$AK$76&gt;$AI389))
) / 1000</f>
        <v>0</v>
      </c>
      <c r="CG389" s="250">
        <f t="shared" si="487"/>
        <v>25</v>
      </c>
      <c r="CH389" s="237">
        <f t="shared" si="509"/>
        <v>38</v>
      </c>
      <c r="CI389" s="253">
        <f t="shared" si="510"/>
        <v>4.0666935483870965</v>
      </c>
      <c r="CJ389" s="253" cm="1">
        <f t="array" ref="CJ389">$BC389 * IF($AD389&lt;=2,
SUMPRODUCT(INDEX($AL$67:$AN$71,,$AE389), INDEX($AO$67:$AU$71,,$AD389), 1 / ($AV$67:$AV$71*CI389 + (1-$AV$67:$AV$71)*CE389), N($AK$67:$AK$71&gt;$AI389)),
SUMPRODUCT(INDEX($AL$57:$AN$66,,$AE389), INDEX($AO$57:$AU$66,,$AD389), 1 / ($AW$57:$AW$66*CI389 + (1-$AW$57:$AW$66)*CE389), N($AK$57:$AK$66&gt;$AI389))
) / 1000</f>
        <v>0</v>
      </c>
      <c r="CK389" s="250">
        <f t="shared" si="488"/>
        <v>20</v>
      </c>
      <c r="CL389" s="237">
        <f t="shared" si="511"/>
        <v>33</v>
      </c>
      <c r="CM389" s="253">
        <f t="shared" si="512"/>
        <v>4.8487499999999999</v>
      </c>
      <c r="CN389" s="253" cm="1">
        <f t="array" ref="CN389">$BC389 * IF($AD389&lt;=2,
SUMPRODUCT(INDEX($AL$62:$AN$66,,$AE389), INDEX($AO$62:$AU$66,,$AD389), 1 / ($AV$62:$AV$66*CM389 + (1-$AV$62:$AV$66)*CI389), N($AK$62:$AK$66&gt;$AI389)),
SUMPRODUCT(INDEX($AL$47:$AN$56,,$AE389), INDEX($AO$47:$AU$56,,$AD389), 1 / ($AW$47:$AW$56*CM389 + (1-$AW$47:$AW$56)*CI389), N($AK$47:$AK$56&gt;$AI389))
) / 1000</f>
        <v>0</v>
      </c>
      <c r="CO389" s="253" cm="1">
        <f t="array" ref="CO389">$BC389 * IF($AD389&lt;=2,
SUMPRODUCT(INDEX($AL$23:$AN$61,,$AE389), INDEX($AO$23:$AU$61,,$AD389), 1 / ($AV$23:$AV$61*CM389), N($AK$23:$AK$61&gt;$AI389)),
SUMPRODUCT(INDEX($AL$23:$AN$46,,$AE389), INDEX($AO$23:$AU$46,,$AD389), 1 / ($AW$23:$AW$46*CM389), N($AK$23:$AK$46&gt;$AI389))
) / 1000</f>
        <v>0</v>
      </c>
      <c r="CP389" s="237">
        <f t="shared" si="513"/>
        <v>0</v>
      </c>
      <c r="CQ389" s="210"/>
    </row>
    <row r="390" spans="1:95" s="76" customFormat="1" ht="14.25" customHeight="1" x14ac:dyDescent="0.2">
      <c r="A390" s="238" t="b">
        <f t="shared" si="480"/>
        <v>0</v>
      </c>
      <c r="B390" s="239">
        <v>368</v>
      </c>
      <c r="C390" s="258"/>
      <c r="D390" s="258"/>
      <c r="E390" s="240"/>
      <c r="F390" s="241" t="str">
        <f>IF(ISBLANK(E390), "", VLOOKUP(E390, Z!$A$2:$C$4127, 3, FALSE))</f>
        <v/>
      </c>
      <c r="G390" s="242"/>
      <c r="H390" s="242"/>
      <c r="I390" s="243"/>
      <c r="J390" s="244"/>
      <c r="K390" s="259"/>
      <c r="L390" s="260"/>
      <c r="M390" s="247" t="str" cm="1">
        <f t="array" ref="M390">IF($K390&gt;0, INDEX(Clean,1+AG390,$C$1), "")</f>
        <v/>
      </c>
      <c r="N390" s="245"/>
      <c r="O390" s="245"/>
      <c r="P390" s="246"/>
      <c r="Q390" s="248">
        <f t="shared" si="490"/>
        <v>0</v>
      </c>
      <c r="R390" s="247" t="str" cm="1">
        <f t="array" ref="R390">IF($K390&gt;0, INDEX(Clean,1+AH390,$C$1), "")</f>
        <v/>
      </c>
      <c r="S390" s="245"/>
      <c r="T390" s="245"/>
      <c r="U390" s="246"/>
      <c r="V390" s="248">
        <f t="shared" si="491"/>
        <v>0</v>
      </c>
      <c r="W390" s="261"/>
      <c r="X390" s="258"/>
      <c r="Y390" s="240"/>
      <c r="Z390" s="241" t="str">
        <f>IF(ISBLANK(Y390), "", VLOOKUP(Y390, Z!$A$2:$C$4127, 3, FALSE))</f>
        <v/>
      </c>
      <c r="AA390" s="262"/>
      <c r="AB390" s="249">
        <f t="shared" si="489"/>
        <v>0</v>
      </c>
      <c r="AC390" s="210"/>
      <c r="AD390" s="236">
        <f t="shared" si="514"/>
        <v>1</v>
      </c>
      <c r="AE390" s="236">
        <f t="shared" si="515"/>
        <v>1</v>
      </c>
      <c r="AF390" s="236">
        <f t="shared" si="516"/>
        <v>0</v>
      </c>
      <c r="AG390" s="236">
        <v>1</v>
      </c>
      <c r="AH390" s="236">
        <v>0</v>
      </c>
      <c r="AI390" s="236">
        <f t="shared" si="492"/>
        <v>-100</v>
      </c>
      <c r="AJ390" s="210"/>
      <c r="AK390" s="254"/>
      <c r="AL390" s="254"/>
      <c r="AM390" s="255"/>
      <c r="AN390" s="255"/>
      <c r="AO390" s="255"/>
      <c r="AP390" s="255"/>
      <c r="AQ390" s="255"/>
      <c r="AR390" s="255"/>
      <c r="AS390" s="255"/>
      <c r="AT390" s="255"/>
      <c r="AU390" s="255"/>
      <c r="AV390" s="255"/>
      <c r="AW390" s="255"/>
      <c r="AX390" s="210"/>
      <c r="AY390" s="236" cm="1">
        <f t="array" ref="AY390">INDEX(Use, $AD390, 4)</f>
        <v>7</v>
      </c>
      <c r="AZ390" s="236">
        <f t="shared" si="493"/>
        <v>32</v>
      </c>
      <c r="BA390" s="236">
        <f t="shared" si="481"/>
        <v>13</v>
      </c>
      <c r="BB390" s="236">
        <f t="shared" si="482"/>
        <v>0</v>
      </c>
      <c r="BC390" s="252" cm="1">
        <f t="array" ref="BC390">K390/IF($L390&gt;0, INDEX($AO$23:$AU$77, $L390+20, $AD390), 1)</f>
        <v>0</v>
      </c>
      <c r="BD390" s="237">
        <f t="shared" si="494"/>
        <v>0</v>
      </c>
      <c r="BE390" s="236">
        <v>35</v>
      </c>
      <c r="BF390" s="237">
        <f t="shared" si="495"/>
        <v>52.55</v>
      </c>
      <c r="BG390" s="253">
        <f t="shared" si="496"/>
        <v>2.7676728869374316</v>
      </c>
      <c r="BH390" s="253" cm="1">
        <f t="array" ref="BH390">$BC390 * SUMPRODUCT(INDEX($AL$77:$AN$82,,$AE390),INDEX($AO$77:$AU$82,,$AD390), N($AK$77:$AK$82&gt;$AI390)) / BG390 / 1000</f>
        <v>0</v>
      </c>
      <c r="BI390" s="250">
        <f t="shared" si="483"/>
        <v>30</v>
      </c>
      <c r="BJ390" s="237">
        <f t="shared" si="497"/>
        <v>46.033333333333331</v>
      </c>
      <c r="BK390" s="253">
        <f t="shared" si="498"/>
        <v>3.2297395388556791</v>
      </c>
      <c r="BL390" s="253" cm="1">
        <f t="array" ref="BL390">$BC390 * IF($AD390&lt;=2,
SUMPRODUCT(INDEX($AL$72:$AN$76,,$AE390), INDEX($AO$72:$AU$76,,$AD390), 1 / ($AV$72:$AV$76*BK390 + (1-$AV$72:$AV$76)*BG390), N($AK$72:$AK$76&gt;$AI390)),
SUMPRODUCT(INDEX($AL$67:$AN$76,,$AE390), INDEX($AO$67:$AU$76,,$AD390), 1 / ($AW$67:$AW$76*BK390 + (1-$AW$67:$AW$76)*BG390), N($AK$67:$AK$76&gt;$AI390))
) / 1000</f>
        <v>0</v>
      </c>
      <c r="BM390" s="250">
        <f t="shared" si="484"/>
        <v>25</v>
      </c>
      <c r="BN390" s="237">
        <f t="shared" si="499"/>
        <v>39.516666666666666</v>
      </c>
      <c r="BO390" s="253">
        <f t="shared" si="500"/>
        <v>3.877011788826243</v>
      </c>
      <c r="BP390" s="253" cm="1">
        <f t="array" ref="BP390">$BC390 * IF($AD390&lt;=2,
SUMPRODUCT(INDEX($AL$67:$AN$71,,$AE390), INDEX($AO$67:$AU$71,,$AD390), 1 / ($AV$67:$AV$71*BO390 + (1-$AV$67:$AV$71)*BK390), N($AK$67:$AK$71&gt;$AI390)),
SUMPRODUCT(INDEX($AL$57:$AN$66,,$AE390), INDEX($AO$57:$AU$66,,$AD390), 1 / ($AW$57:$AW$66*BO390 + (1-$AW$57:$AW$66)*BK390), N($AK$57:$AK$66&gt;$AI390))
) / 1000</f>
        <v>0</v>
      </c>
      <c r="BQ390" s="250">
        <f t="shared" si="485"/>
        <v>20</v>
      </c>
      <c r="BR390" s="237">
        <f t="shared" si="501"/>
        <v>33</v>
      </c>
      <c r="BS390" s="253">
        <f t="shared" si="502"/>
        <v>4.8487499999999999</v>
      </c>
      <c r="BT390" s="253" cm="1">
        <f t="array" ref="BT390">$BC390 * IF($AD390&lt;=2,
SUMPRODUCT(INDEX($AL$62:$AN$66,,$AE390), INDEX($AO$62:$AU$66,,$AD390), 1 / ($AV$62:$AV$66*BS390 + (1-$AV$62:$AV$66)*BO390), N($AK$62:$AK$66&gt;$AI390)),
SUMPRODUCT(INDEX($AL$47:$AN$56,,$AE390), INDEX($AO$47:$AU$56,,$AD390), 1 / ($AW$47:$AW$56*BS390 + (1-$AW$47:$AW$56)*BO390), N($AK$47:$AK$56&gt;$AI390))
) / 1000</f>
        <v>0</v>
      </c>
      <c r="BU390" s="253" cm="1">
        <f t="array" ref="BU390">$BC390 * IF($AD390&lt;=2,
SUMPRODUCT(INDEX($AL$23:$AN$61,,$AE390), INDEX($AO$23:$AU$61,,$AD390), 1 / ($AV$23:$AV$61*BS390), N($AK$23:$AK$61&gt;$AI390)),
SUMPRODUCT(INDEX($AL$23:$AN$46,,$AE390), INDEX($AO$23:$AU$46,,$AD390), 1 / ($AW$23:$AW$46*BS390), N($AK$23:$AK$46&gt;$AI390))
) / 1000</f>
        <v>0</v>
      </c>
      <c r="BV390" s="237">
        <f t="shared" si="503"/>
        <v>0</v>
      </c>
      <c r="BW390" s="210"/>
      <c r="BX390" s="237">
        <f t="shared" si="504"/>
        <v>0</v>
      </c>
      <c r="BY390" s="236">
        <v>35</v>
      </c>
      <c r="BZ390" s="237">
        <f t="shared" si="505"/>
        <v>48</v>
      </c>
      <c r="CA390" s="253">
        <f t="shared" si="506"/>
        <v>3.0748170731707316</v>
      </c>
      <c r="CB390" s="253" cm="1">
        <f t="array" ref="CB390">$BC390 * SUMPRODUCT(INDEX($AL$77:$AN$82,,$AE390),INDEX($AO$77:$AU$82,,$AD390), N($AK$77:$AK$82&gt;$AI390)) / CA390 / 1000</f>
        <v>0</v>
      </c>
      <c r="CC390" s="250">
        <f t="shared" si="486"/>
        <v>30</v>
      </c>
      <c r="CD390" s="237">
        <f t="shared" si="507"/>
        <v>43</v>
      </c>
      <c r="CE390" s="253">
        <f t="shared" si="508"/>
        <v>3.5018750000000001</v>
      </c>
      <c r="CF390" s="253" cm="1">
        <f t="array" ref="CF390">$BC390 * IF($AD390&lt;=2,
SUMPRODUCT(INDEX($AL$72:$AN$76,,$AE390), INDEX($AO$72:$AU$76,,$AD390), 1 / ($AV$72:$AV$76*CE390 + (1-$AV$72:$AV$76)*CA390), N($AK$72:$AK$76&gt;$AI390)),
SUMPRODUCT(INDEX($AL$67:$AN$76,,$AE390), INDEX($AO$67:$AU$76,,$AD390), 1 / ($AW$67:$AW$76*CE390 + (1-$AW$67:$AW$76)*CA390), N($AK$67:$AK$76&gt;$AI390))
) / 1000</f>
        <v>0</v>
      </c>
      <c r="CG390" s="250">
        <f t="shared" si="487"/>
        <v>25</v>
      </c>
      <c r="CH390" s="237">
        <f t="shared" si="509"/>
        <v>38</v>
      </c>
      <c r="CI390" s="253">
        <f t="shared" si="510"/>
        <v>4.0666935483870965</v>
      </c>
      <c r="CJ390" s="253" cm="1">
        <f t="array" ref="CJ390">$BC390 * IF($AD390&lt;=2,
SUMPRODUCT(INDEX($AL$67:$AN$71,,$AE390), INDEX($AO$67:$AU$71,,$AD390), 1 / ($AV$67:$AV$71*CI390 + (1-$AV$67:$AV$71)*CE390), N($AK$67:$AK$71&gt;$AI390)),
SUMPRODUCT(INDEX($AL$57:$AN$66,,$AE390), INDEX($AO$57:$AU$66,,$AD390), 1 / ($AW$57:$AW$66*CI390 + (1-$AW$57:$AW$66)*CE390), N($AK$57:$AK$66&gt;$AI390))
) / 1000</f>
        <v>0</v>
      </c>
      <c r="CK390" s="250">
        <f t="shared" si="488"/>
        <v>20</v>
      </c>
      <c r="CL390" s="237">
        <f t="shared" si="511"/>
        <v>33</v>
      </c>
      <c r="CM390" s="253">
        <f t="shared" si="512"/>
        <v>4.8487499999999999</v>
      </c>
      <c r="CN390" s="253" cm="1">
        <f t="array" ref="CN390">$BC390 * IF($AD390&lt;=2,
SUMPRODUCT(INDEX($AL$62:$AN$66,,$AE390), INDEX($AO$62:$AU$66,,$AD390), 1 / ($AV$62:$AV$66*CM390 + (1-$AV$62:$AV$66)*CI390), N($AK$62:$AK$66&gt;$AI390)),
SUMPRODUCT(INDEX($AL$47:$AN$56,,$AE390), INDEX($AO$47:$AU$56,,$AD390), 1 / ($AW$47:$AW$56*CM390 + (1-$AW$47:$AW$56)*CI390), N($AK$47:$AK$56&gt;$AI390))
) / 1000</f>
        <v>0</v>
      </c>
      <c r="CO390" s="253" cm="1">
        <f t="array" ref="CO390">$BC390 * IF($AD390&lt;=2,
SUMPRODUCT(INDEX($AL$23:$AN$61,,$AE390), INDEX($AO$23:$AU$61,,$AD390), 1 / ($AV$23:$AV$61*CM390), N($AK$23:$AK$61&gt;$AI390)),
SUMPRODUCT(INDEX($AL$23:$AN$46,,$AE390), INDEX($AO$23:$AU$46,,$AD390), 1 / ($AW$23:$AW$46*CM390), N($AK$23:$AK$46&gt;$AI390))
) / 1000</f>
        <v>0</v>
      </c>
      <c r="CP390" s="237">
        <f t="shared" si="513"/>
        <v>0</v>
      </c>
      <c r="CQ390" s="210"/>
    </row>
    <row r="391" spans="1:95" s="76" customFormat="1" ht="14.25" customHeight="1" x14ac:dyDescent="0.2">
      <c r="A391" s="238" t="b">
        <f t="shared" si="480"/>
        <v>0</v>
      </c>
      <c r="B391" s="239">
        <v>369</v>
      </c>
      <c r="C391" s="258"/>
      <c r="D391" s="258"/>
      <c r="E391" s="240"/>
      <c r="F391" s="241" t="str">
        <f>IF(ISBLANK(E391), "", VLOOKUP(E391, Z!$A$2:$C$4127, 3, FALSE))</f>
        <v/>
      </c>
      <c r="G391" s="242"/>
      <c r="H391" s="242"/>
      <c r="I391" s="243"/>
      <c r="J391" s="244"/>
      <c r="K391" s="259"/>
      <c r="L391" s="260"/>
      <c r="M391" s="247" t="str" cm="1">
        <f t="array" ref="M391">IF($K391&gt;0, INDEX(Clean,1+AG391,$C$1), "")</f>
        <v/>
      </c>
      <c r="N391" s="245"/>
      <c r="O391" s="245"/>
      <c r="P391" s="246"/>
      <c r="Q391" s="248">
        <f t="shared" si="490"/>
        <v>0</v>
      </c>
      <c r="R391" s="247" t="str" cm="1">
        <f t="array" ref="R391">IF($K391&gt;0, INDEX(Clean,1+AH391,$C$1), "")</f>
        <v/>
      </c>
      <c r="S391" s="245"/>
      <c r="T391" s="245"/>
      <c r="U391" s="246"/>
      <c r="V391" s="248">
        <f t="shared" si="491"/>
        <v>0</v>
      </c>
      <c r="W391" s="261"/>
      <c r="X391" s="258"/>
      <c r="Y391" s="240"/>
      <c r="Z391" s="241" t="str">
        <f>IF(ISBLANK(Y391), "", VLOOKUP(Y391, Z!$A$2:$C$4127, 3, FALSE))</f>
        <v/>
      </c>
      <c r="AA391" s="262"/>
      <c r="AB391" s="249">
        <f t="shared" si="489"/>
        <v>0</v>
      </c>
      <c r="AC391" s="210"/>
      <c r="AD391" s="236">
        <f t="shared" si="514"/>
        <v>1</v>
      </c>
      <c r="AE391" s="236">
        <f t="shared" si="515"/>
        <v>1</v>
      </c>
      <c r="AF391" s="236">
        <f t="shared" si="516"/>
        <v>0</v>
      </c>
      <c r="AG391" s="236">
        <v>1</v>
      </c>
      <c r="AH391" s="236">
        <v>0</v>
      </c>
      <c r="AI391" s="236">
        <f t="shared" si="492"/>
        <v>-100</v>
      </c>
      <c r="AJ391" s="210"/>
      <c r="AK391" s="254"/>
      <c r="AL391" s="254"/>
      <c r="AM391" s="255"/>
      <c r="AN391" s="255"/>
      <c r="AO391" s="255"/>
      <c r="AP391" s="255"/>
      <c r="AQ391" s="255"/>
      <c r="AR391" s="255"/>
      <c r="AS391" s="255"/>
      <c r="AT391" s="255"/>
      <c r="AU391" s="255"/>
      <c r="AV391" s="255"/>
      <c r="AW391" s="255"/>
      <c r="AX391" s="210"/>
      <c r="AY391" s="236" cm="1">
        <f t="array" ref="AY391">INDEX(Use, $AD391, 4)</f>
        <v>7</v>
      </c>
      <c r="AZ391" s="236">
        <f t="shared" si="493"/>
        <v>32</v>
      </c>
      <c r="BA391" s="236">
        <f t="shared" si="481"/>
        <v>13</v>
      </c>
      <c r="BB391" s="236">
        <f t="shared" si="482"/>
        <v>0</v>
      </c>
      <c r="BC391" s="252" cm="1">
        <f t="array" ref="BC391">K391/IF($L391&gt;0, INDEX($AO$23:$AU$77, $L391+20, $AD391), 1)</f>
        <v>0</v>
      </c>
      <c r="BD391" s="237">
        <f t="shared" si="494"/>
        <v>0</v>
      </c>
      <c r="BE391" s="236">
        <v>35</v>
      </c>
      <c r="BF391" s="237">
        <f t="shared" si="495"/>
        <v>52.55</v>
      </c>
      <c r="BG391" s="253">
        <f t="shared" si="496"/>
        <v>2.7676728869374316</v>
      </c>
      <c r="BH391" s="253" cm="1">
        <f t="array" ref="BH391">$BC391 * SUMPRODUCT(INDEX($AL$77:$AN$82,,$AE391),INDEX($AO$77:$AU$82,,$AD391), N($AK$77:$AK$82&gt;$AI391)) / BG391 / 1000</f>
        <v>0</v>
      </c>
      <c r="BI391" s="250">
        <f t="shared" si="483"/>
        <v>30</v>
      </c>
      <c r="BJ391" s="237">
        <f t="shared" si="497"/>
        <v>46.033333333333331</v>
      </c>
      <c r="BK391" s="253">
        <f t="shared" si="498"/>
        <v>3.2297395388556791</v>
      </c>
      <c r="BL391" s="253" cm="1">
        <f t="array" ref="BL391">$BC391 * IF($AD391&lt;=2,
SUMPRODUCT(INDEX($AL$72:$AN$76,,$AE391), INDEX($AO$72:$AU$76,,$AD391), 1 / ($AV$72:$AV$76*BK391 + (1-$AV$72:$AV$76)*BG391), N($AK$72:$AK$76&gt;$AI391)),
SUMPRODUCT(INDEX($AL$67:$AN$76,,$AE391), INDEX($AO$67:$AU$76,,$AD391), 1 / ($AW$67:$AW$76*BK391 + (1-$AW$67:$AW$76)*BG391), N($AK$67:$AK$76&gt;$AI391))
) / 1000</f>
        <v>0</v>
      </c>
      <c r="BM391" s="250">
        <f t="shared" si="484"/>
        <v>25</v>
      </c>
      <c r="BN391" s="237">
        <f t="shared" si="499"/>
        <v>39.516666666666666</v>
      </c>
      <c r="BO391" s="253">
        <f t="shared" si="500"/>
        <v>3.877011788826243</v>
      </c>
      <c r="BP391" s="253" cm="1">
        <f t="array" ref="BP391">$BC391 * IF($AD391&lt;=2,
SUMPRODUCT(INDEX($AL$67:$AN$71,,$AE391), INDEX($AO$67:$AU$71,,$AD391), 1 / ($AV$67:$AV$71*BO391 + (1-$AV$67:$AV$71)*BK391), N($AK$67:$AK$71&gt;$AI391)),
SUMPRODUCT(INDEX($AL$57:$AN$66,,$AE391), INDEX($AO$57:$AU$66,,$AD391), 1 / ($AW$57:$AW$66*BO391 + (1-$AW$57:$AW$66)*BK391), N($AK$57:$AK$66&gt;$AI391))
) / 1000</f>
        <v>0</v>
      </c>
      <c r="BQ391" s="250">
        <f t="shared" si="485"/>
        <v>20</v>
      </c>
      <c r="BR391" s="237">
        <f t="shared" si="501"/>
        <v>33</v>
      </c>
      <c r="BS391" s="253">
        <f t="shared" si="502"/>
        <v>4.8487499999999999</v>
      </c>
      <c r="BT391" s="253" cm="1">
        <f t="array" ref="BT391">$BC391 * IF($AD391&lt;=2,
SUMPRODUCT(INDEX($AL$62:$AN$66,,$AE391), INDEX($AO$62:$AU$66,,$AD391), 1 / ($AV$62:$AV$66*BS391 + (1-$AV$62:$AV$66)*BO391), N($AK$62:$AK$66&gt;$AI391)),
SUMPRODUCT(INDEX($AL$47:$AN$56,,$AE391), INDEX($AO$47:$AU$56,,$AD391), 1 / ($AW$47:$AW$56*BS391 + (1-$AW$47:$AW$56)*BO391), N($AK$47:$AK$56&gt;$AI391))
) / 1000</f>
        <v>0</v>
      </c>
      <c r="BU391" s="253" cm="1">
        <f t="array" ref="BU391">$BC391 * IF($AD391&lt;=2,
SUMPRODUCT(INDEX($AL$23:$AN$61,,$AE391), INDEX($AO$23:$AU$61,,$AD391), 1 / ($AV$23:$AV$61*BS391), N($AK$23:$AK$61&gt;$AI391)),
SUMPRODUCT(INDEX($AL$23:$AN$46,,$AE391), INDEX($AO$23:$AU$46,,$AD391), 1 / ($AW$23:$AW$46*BS391), N($AK$23:$AK$46&gt;$AI391))
) / 1000</f>
        <v>0</v>
      </c>
      <c r="BV391" s="237">
        <f t="shared" si="503"/>
        <v>0</v>
      </c>
      <c r="BW391" s="210"/>
      <c r="BX391" s="237">
        <f t="shared" si="504"/>
        <v>0</v>
      </c>
      <c r="BY391" s="236">
        <v>35</v>
      </c>
      <c r="BZ391" s="237">
        <f t="shared" si="505"/>
        <v>48</v>
      </c>
      <c r="CA391" s="253">
        <f t="shared" si="506"/>
        <v>3.0748170731707316</v>
      </c>
      <c r="CB391" s="253" cm="1">
        <f t="array" ref="CB391">$BC391 * SUMPRODUCT(INDEX($AL$77:$AN$82,,$AE391),INDEX($AO$77:$AU$82,,$AD391), N($AK$77:$AK$82&gt;$AI391)) / CA391 / 1000</f>
        <v>0</v>
      </c>
      <c r="CC391" s="250">
        <f t="shared" si="486"/>
        <v>30</v>
      </c>
      <c r="CD391" s="237">
        <f t="shared" si="507"/>
        <v>43</v>
      </c>
      <c r="CE391" s="253">
        <f t="shared" si="508"/>
        <v>3.5018750000000001</v>
      </c>
      <c r="CF391" s="253" cm="1">
        <f t="array" ref="CF391">$BC391 * IF($AD391&lt;=2,
SUMPRODUCT(INDEX($AL$72:$AN$76,,$AE391), INDEX($AO$72:$AU$76,,$AD391), 1 / ($AV$72:$AV$76*CE391 + (1-$AV$72:$AV$76)*CA391), N($AK$72:$AK$76&gt;$AI391)),
SUMPRODUCT(INDEX($AL$67:$AN$76,,$AE391), INDEX($AO$67:$AU$76,,$AD391), 1 / ($AW$67:$AW$76*CE391 + (1-$AW$67:$AW$76)*CA391), N($AK$67:$AK$76&gt;$AI391))
) / 1000</f>
        <v>0</v>
      </c>
      <c r="CG391" s="250">
        <f t="shared" si="487"/>
        <v>25</v>
      </c>
      <c r="CH391" s="237">
        <f t="shared" si="509"/>
        <v>38</v>
      </c>
      <c r="CI391" s="253">
        <f t="shared" si="510"/>
        <v>4.0666935483870965</v>
      </c>
      <c r="CJ391" s="253" cm="1">
        <f t="array" ref="CJ391">$BC391 * IF($AD391&lt;=2,
SUMPRODUCT(INDEX($AL$67:$AN$71,,$AE391), INDEX($AO$67:$AU$71,,$AD391), 1 / ($AV$67:$AV$71*CI391 + (1-$AV$67:$AV$71)*CE391), N($AK$67:$AK$71&gt;$AI391)),
SUMPRODUCT(INDEX($AL$57:$AN$66,,$AE391), INDEX($AO$57:$AU$66,,$AD391), 1 / ($AW$57:$AW$66*CI391 + (1-$AW$57:$AW$66)*CE391), N($AK$57:$AK$66&gt;$AI391))
) / 1000</f>
        <v>0</v>
      </c>
      <c r="CK391" s="250">
        <f t="shared" si="488"/>
        <v>20</v>
      </c>
      <c r="CL391" s="237">
        <f t="shared" si="511"/>
        <v>33</v>
      </c>
      <c r="CM391" s="253">
        <f t="shared" si="512"/>
        <v>4.8487499999999999</v>
      </c>
      <c r="CN391" s="253" cm="1">
        <f t="array" ref="CN391">$BC391 * IF($AD391&lt;=2,
SUMPRODUCT(INDEX($AL$62:$AN$66,,$AE391), INDEX($AO$62:$AU$66,,$AD391), 1 / ($AV$62:$AV$66*CM391 + (1-$AV$62:$AV$66)*CI391), N($AK$62:$AK$66&gt;$AI391)),
SUMPRODUCT(INDEX($AL$47:$AN$56,,$AE391), INDEX($AO$47:$AU$56,,$AD391), 1 / ($AW$47:$AW$56*CM391 + (1-$AW$47:$AW$56)*CI391), N($AK$47:$AK$56&gt;$AI391))
) / 1000</f>
        <v>0</v>
      </c>
      <c r="CO391" s="253" cm="1">
        <f t="array" ref="CO391">$BC391 * IF($AD391&lt;=2,
SUMPRODUCT(INDEX($AL$23:$AN$61,,$AE391), INDEX($AO$23:$AU$61,,$AD391), 1 / ($AV$23:$AV$61*CM391), N($AK$23:$AK$61&gt;$AI391)),
SUMPRODUCT(INDEX($AL$23:$AN$46,,$AE391), INDEX($AO$23:$AU$46,,$AD391), 1 / ($AW$23:$AW$46*CM391), N($AK$23:$AK$46&gt;$AI391))
) / 1000</f>
        <v>0</v>
      </c>
      <c r="CP391" s="237">
        <f t="shared" si="513"/>
        <v>0</v>
      </c>
      <c r="CQ391" s="210"/>
    </row>
    <row r="392" spans="1:95" s="76" customFormat="1" ht="14.25" customHeight="1" x14ac:dyDescent="0.2">
      <c r="A392" s="238" t="b">
        <f t="shared" si="480"/>
        <v>0</v>
      </c>
      <c r="B392" s="239">
        <v>370</v>
      </c>
      <c r="C392" s="258"/>
      <c r="D392" s="258"/>
      <c r="E392" s="240"/>
      <c r="F392" s="241" t="str">
        <f>IF(ISBLANK(E392), "", VLOOKUP(E392, Z!$A$2:$C$4127, 3, FALSE))</f>
        <v/>
      </c>
      <c r="G392" s="242"/>
      <c r="H392" s="242"/>
      <c r="I392" s="243"/>
      <c r="J392" s="244"/>
      <c r="K392" s="259"/>
      <c r="L392" s="260"/>
      <c r="M392" s="247" t="str" cm="1">
        <f t="array" ref="M392">IF($K392&gt;0, INDEX(Clean,1+AG392,$C$1), "")</f>
        <v/>
      </c>
      <c r="N392" s="245"/>
      <c r="O392" s="245"/>
      <c r="P392" s="246"/>
      <c r="Q392" s="248">
        <f t="shared" si="490"/>
        <v>0</v>
      </c>
      <c r="R392" s="247" t="str" cm="1">
        <f t="array" ref="R392">IF($K392&gt;0, INDEX(Clean,1+AH392,$C$1), "")</f>
        <v/>
      </c>
      <c r="S392" s="245"/>
      <c r="T392" s="245"/>
      <c r="U392" s="246"/>
      <c r="V392" s="248">
        <f t="shared" si="491"/>
        <v>0</v>
      </c>
      <c r="W392" s="261"/>
      <c r="X392" s="258"/>
      <c r="Y392" s="240"/>
      <c r="Z392" s="241" t="str">
        <f>IF(ISBLANK(Y392), "", VLOOKUP(Y392, Z!$A$2:$C$4127, 3, FALSE))</f>
        <v/>
      </c>
      <c r="AA392" s="262"/>
      <c r="AB392" s="249">
        <f t="shared" si="489"/>
        <v>0</v>
      </c>
      <c r="AC392" s="210"/>
      <c r="AD392" s="236">
        <f t="shared" si="514"/>
        <v>1</v>
      </c>
      <c r="AE392" s="236">
        <f t="shared" si="515"/>
        <v>1</v>
      </c>
      <c r="AF392" s="236">
        <f t="shared" si="516"/>
        <v>0</v>
      </c>
      <c r="AG392" s="236">
        <v>1</v>
      </c>
      <c r="AH392" s="236">
        <v>0</v>
      </c>
      <c r="AI392" s="236">
        <f t="shared" si="492"/>
        <v>-100</v>
      </c>
      <c r="AJ392" s="210"/>
      <c r="AK392" s="254"/>
      <c r="AL392" s="254"/>
      <c r="AM392" s="255"/>
      <c r="AN392" s="255"/>
      <c r="AO392" s="255"/>
      <c r="AP392" s="255"/>
      <c r="AQ392" s="255"/>
      <c r="AR392" s="255"/>
      <c r="AS392" s="255"/>
      <c r="AT392" s="255"/>
      <c r="AU392" s="255"/>
      <c r="AV392" s="255"/>
      <c r="AW392" s="255"/>
      <c r="AX392" s="210"/>
      <c r="AY392" s="236" cm="1">
        <f t="array" ref="AY392">INDEX(Use, $AD392, 4)</f>
        <v>7</v>
      </c>
      <c r="AZ392" s="236">
        <f t="shared" si="493"/>
        <v>32</v>
      </c>
      <c r="BA392" s="236">
        <f t="shared" si="481"/>
        <v>13</v>
      </c>
      <c r="BB392" s="236">
        <f t="shared" si="482"/>
        <v>0</v>
      </c>
      <c r="BC392" s="252" cm="1">
        <f t="array" ref="BC392">K392/IF($L392&gt;0, INDEX($AO$23:$AU$77, $L392+20, $AD392), 1)</f>
        <v>0</v>
      </c>
      <c r="BD392" s="237">
        <f t="shared" si="494"/>
        <v>0</v>
      </c>
      <c r="BE392" s="236">
        <v>35</v>
      </c>
      <c r="BF392" s="237">
        <f t="shared" si="495"/>
        <v>52.55</v>
      </c>
      <c r="BG392" s="253">
        <f t="shared" si="496"/>
        <v>2.7676728869374316</v>
      </c>
      <c r="BH392" s="253" cm="1">
        <f t="array" ref="BH392">$BC392 * SUMPRODUCT(INDEX($AL$77:$AN$82,,$AE392),INDEX($AO$77:$AU$82,,$AD392), N($AK$77:$AK$82&gt;$AI392)) / BG392 / 1000</f>
        <v>0</v>
      </c>
      <c r="BI392" s="250">
        <f t="shared" si="483"/>
        <v>30</v>
      </c>
      <c r="BJ392" s="237">
        <f t="shared" si="497"/>
        <v>46.033333333333331</v>
      </c>
      <c r="BK392" s="253">
        <f t="shared" si="498"/>
        <v>3.2297395388556791</v>
      </c>
      <c r="BL392" s="253" cm="1">
        <f t="array" ref="BL392">$BC392 * IF($AD392&lt;=2,
SUMPRODUCT(INDEX($AL$72:$AN$76,,$AE392), INDEX($AO$72:$AU$76,,$AD392), 1 / ($AV$72:$AV$76*BK392 + (1-$AV$72:$AV$76)*BG392), N($AK$72:$AK$76&gt;$AI392)),
SUMPRODUCT(INDEX($AL$67:$AN$76,,$AE392), INDEX($AO$67:$AU$76,,$AD392), 1 / ($AW$67:$AW$76*BK392 + (1-$AW$67:$AW$76)*BG392), N($AK$67:$AK$76&gt;$AI392))
) / 1000</f>
        <v>0</v>
      </c>
      <c r="BM392" s="250">
        <f t="shared" si="484"/>
        <v>25</v>
      </c>
      <c r="BN392" s="237">
        <f t="shared" si="499"/>
        <v>39.516666666666666</v>
      </c>
      <c r="BO392" s="253">
        <f t="shared" si="500"/>
        <v>3.877011788826243</v>
      </c>
      <c r="BP392" s="253" cm="1">
        <f t="array" ref="BP392">$BC392 * IF($AD392&lt;=2,
SUMPRODUCT(INDEX($AL$67:$AN$71,,$AE392), INDEX($AO$67:$AU$71,,$AD392), 1 / ($AV$67:$AV$71*BO392 + (1-$AV$67:$AV$71)*BK392), N($AK$67:$AK$71&gt;$AI392)),
SUMPRODUCT(INDEX($AL$57:$AN$66,,$AE392), INDEX($AO$57:$AU$66,,$AD392), 1 / ($AW$57:$AW$66*BO392 + (1-$AW$57:$AW$66)*BK392), N($AK$57:$AK$66&gt;$AI392))
) / 1000</f>
        <v>0</v>
      </c>
      <c r="BQ392" s="250">
        <f t="shared" si="485"/>
        <v>20</v>
      </c>
      <c r="BR392" s="237">
        <f t="shared" si="501"/>
        <v>33</v>
      </c>
      <c r="BS392" s="253">
        <f t="shared" si="502"/>
        <v>4.8487499999999999</v>
      </c>
      <c r="BT392" s="253" cm="1">
        <f t="array" ref="BT392">$BC392 * IF($AD392&lt;=2,
SUMPRODUCT(INDEX($AL$62:$AN$66,,$AE392), INDEX($AO$62:$AU$66,,$AD392), 1 / ($AV$62:$AV$66*BS392 + (1-$AV$62:$AV$66)*BO392), N($AK$62:$AK$66&gt;$AI392)),
SUMPRODUCT(INDEX($AL$47:$AN$56,,$AE392), INDEX($AO$47:$AU$56,,$AD392), 1 / ($AW$47:$AW$56*BS392 + (1-$AW$47:$AW$56)*BO392), N($AK$47:$AK$56&gt;$AI392))
) / 1000</f>
        <v>0</v>
      </c>
      <c r="BU392" s="253" cm="1">
        <f t="array" ref="BU392">$BC392 * IF($AD392&lt;=2,
SUMPRODUCT(INDEX($AL$23:$AN$61,,$AE392), INDEX($AO$23:$AU$61,,$AD392), 1 / ($AV$23:$AV$61*BS392), N($AK$23:$AK$61&gt;$AI392)),
SUMPRODUCT(INDEX($AL$23:$AN$46,,$AE392), INDEX($AO$23:$AU$46,,$AD392), 1 / ($AW$23:$AW$46*BS392), N($AK$23:$AK$46&gt;$AI392))
) / 1000</f>
        <v>0</v>
      </c>
      <c r="BV392" s="237">
        <f t="shared" si="503"/>
        <v>0</v>
      </c>
      <c r="BW392" s="210"/>
      <c r="BX392" s="237">
        <f t="shared" si="504"/>
        <v>0</v>
      </c>
      <c r="BY392" s="236">
        <v>35</v>
      </c>
      <c r="BZ392" s="237">
        <f t="shared" si="505"/>
        <v>48</v>
      </c>
      <c r="CA392" s="253">
        <f t="shared" si="506"/>
        <v>3.0748170731707316</v>
      </c>
      <c r="CB392" s="253" cm="1">
        <f t="array" ref="CB392">$BC392 * SUMPRODUCT(INDEX($AL$77:$AN$82,,$AE392),INDEX($AO$77:$AU$82,,$AD392), N($AK$77:$AK$82&gt;$AI392)) / CA392 / 1000</f>
        <v>0</v>
      </c>
      <c r="CC392" s="250">
        <f t="shared" si="486"/>
        <v>30</v>
      </c>
      <c r="CD392" s="237">
        <f t="shared" si="507"/>
        <v>43</v>
      </c>
      <c r="CE392" s="253">
        <f t="shared" si="508"/>
        <v>3.5018750000000001</v>
      </c>
      <c r="CF392" s="253" cm="1">
        <f t="array" ref="CF392">$BC392 * IF($AD392&lt;=2,
SUMPRODUCT(INDEX($AL$72:$AN$76,,$AE392), INDEX($AO$72:$AU$76,,$AD392), 1 / ($AV$72:$AV$76*CE392 + (1-$AV$72:$AV$76)*CA392), N($AK$72:$AK$76&gt;$AI392)),
SUMPRODUCT(INDEX($AL$67:$AN$76,,$AE392), INDEX($AO$67:$AU$76,,$AD392), 1 / ($AW$67:$AW$76*CE392 + (1-$AW$67:$AW$76)*CA392), N($AK$67:$AK$76&gt;$AI392))
) / 1000</f>
        <v>0</v>
      </c>
      <c r="CG392" s="250">
        <f t="shared" si="487"/>
        <v>25</v>
      </c>
      <c r="CH392" s="237">
        <f t="shared" si="509"/>
        <v>38</v>
      </c>
      <c r="CI392" s="253">
        <f t="shared" si="510"/>
        <v>4.0666935483870965</v>
      </c>
      <c r="CJ392" s="253" cm="1">
        <f t="array" ref="CJ392">$BC392 * IF($AD392&lt;=2,
SUMPRODUCT(INDEX($AL$67:$AN$71,,$AE392), INDEX($AO$67:$AU$71,,$AD392), 1 / ($AV$67:$AV$71*CI392 + (1-$AV$67:$AV$71)*CE392), N($AK$67:$AK$71&gt;$AI392)),
SUMPRODUCT(INDEX($AL$57:$AN$66,,$AE392), INDEX($AO$57:$AU$66,,$AD392), 1 / ($AW$57:$AW$66*CI392 + (1-$AW$57:$AW$66)*CE392), N($AK$57:$AK$66&gt;$AI392))
) / 1000</f>
        <v>0</v>
      </c>
      <c r="CK392" s="250">
        <f t="shared" si="488"/>
        <v>20</v>
      </c>
      <c r="CL392" s="237">
        <f t="shared" si="511"/>
        <v>33</v>
      </c>
      <c r="CM392" s="253">
        <f t="shared" si="512"/>
        <v>4.8487499999999999</v>
      </c>
      <c r="CN392" s="253" cm="1">
        <f t="array" ref="CN392">$BC392 * IF($AD392&lt;=2,
SUMPRODUCT(INDEX($AL$62:$AN$66,,$AE392), INDEX($AO$62:$AU$66,,$AD392), 1 / ($AV$62:$AV$66*CM392 + (1-$AV$62:$AV$66)*CI392), N($AK$62:$AK$66&gt;$AI392)),
SUMPRODUCT(INDEX($AL$47:$AN$56,,$AE392), INDEX($AO$47:$AU$56,,$AD392), 1 / ($AW$47:$AW$56*CM392 + (1-$AW$47:$AW$56)*CI392), N($AK$47:$AK$56&gt;$AI392))
) / 1000</f>
        <v>0</v>
      </c>
      <c r="CO392" s="253" cm="1">
        <f t="array" ref="CO392">$BC392 * IF($AD392&lt;=2,
SUMPRODUCT(INDEX($AL$23:$AN$61,,$AE392), INDEX($AO$23:$AU$61,,$AD392), 1 / ($AV$23:$AV$61*CM392), N($AK$23:$AK$61&gt;$AI392)),
SUMPRODUCT(INDEX($AL$23:$AN$46,,$AE392), INDEX($AO$23:$AU$46,,$AD392), 1 / ($AW$23:$AW$46*CM392), N($AK$23:$AK$46&gt;$AI392))
) / 1000</f>
        <v>0</v>
      </c>
      <c r="CP392" s="237">
        <f t="shared" si="513"/>
        <v>0</v>
      </c>
      <c r="CQ392" s="210"/>
    </row>
    <row r="393" spans="1:95" s="76" customFormat="1" ht="14.25" customHeight="1" x14ac:dyDescent="0.2">
      <c r="A393" s="238" t="b">
        <f t="shared" si="480"/>
        <v>0</v>
      </c>
      <c r="B393" s="239">
        <v>371</v>
      </c>
      <c r="C393" s="258"/>
      <c r="D393" s="258"/>
      <c r="E393" s="240"/>
      <c r="F393" s="241" t="str">
        <f>IF(ISBLANK(E393), "", VLOOKUP(E393, Z!$A$2:$C$4127, 3, FALSE))</f>
        <v/>
      </c>
      <c r="G393" s="242"/>
      <c r="H393" s="242"/>
      <c r="I393" s="243"/>
      <c r="J393" s="244"/>
      <c r="K393" s="259"/>
      <c r="L393" s="260"/>
      <c r="M393" s="247" t="str" cm="1">
        <f t="array" ref="M393">IF($K393&gt;0, INDEX(Clean,1+AG393,$C$1), "")</f>
        <v/>
      </c>
      <c r="N393" s="245"/>
      <c r="O393" s="245"/>
      <c r="P393" s="246"/>
      <c r="Q393" s="248">
        <f t="shared" si="490"/>
        <v>0</v>
      </c>
      <c r="R393" s="247" t="str" cm="1">
        <f t="array" ref="R393">IF($K393&gt;0, INDEX(Clean,1+AH393,$C$1), "")</f>
        <v/>
      </c>
      <c r="S393" s="245"/>
      <c r="T393" s="245"/>
      <c r="U393" s="246"/>
      <c r="V393" s="248">
        <f t="shared" si="491"/>
        <v>0</v>
      </c>
      <c r="W393" s="261"/>
      <c r="X393" s="258"/>
      <c r="Y393" s="240"/>
      <c r="Z393" s="241" t="str">
        <f>IF(ISBLANK(Y393), "", VLOOKUP(Y393, Z!$A$2:$C$4127, 3, FALSE))</f>
        <v/>
      </c>
      <c r="AA393" s="262"/>
      <c r="AB393" s="249">
        <f t="shared" si="489"/>
        <v>0</v>
      </c>
      <c r="AC393" s="210"/>
      <c r="AD393" s="236">
        <f t="shared" si="514"/>
        <v>1</v>
      </c>
      <c r="AE393" s="236">
        <f t="shared" si="515"/>
        <v>1</v>
      </c>
      <c r="AF393" s="236">
        <f t="shared" si="516"/>
        <v>0</v>
      </c>
      <c r="AG393" s="236">
        <v>1</v>
      </c>
      <c r="AH393" s="236">
        <v>0</v>
      </c>
      <c r="AI393" s="236">
        <f t="shared" si="492"/>
        <v>-100</v>
      </c>
      <c r="AJ393" s="210"/>
      <c r="AK393" s="254"/>
      <c r="AL393" s="254"/>
      <c r="AM393" s="255"/>
      <c r="AN393" s="255"/>
      <c r="AO393" s="255"/>
      <c r="AP393" s="255"/>
      <c r="AQ393" s="255"/>
      <c r="AR393" s="255"/>
      <c r="AS393" s="255"/>
      <c r="AT393" s="255"/>
      <c r="AU393" s="255"/>
      <c r="AV393" s="255"/>
      <c r="AW393" s="255"/>
      <c r="AX393" s="210"/>
      <c r="AY393" s="236" cm="1">
        <f t="array" ref="AY393">INDEX(Use, $AD393, 4)</f>
        <v>7</v>
      </c>
      <c r="AZ393" s="236">
        <f t="shared" si="493"/>
        <v>32</v>
      </c>
      <c r="BA393" s="236">
        <f t="shared" si="481"/>
        <v>13</v>
      </c>
      <c r="BB393" s="236">
        <f t="shared" si="482"/>
        <v>0</v>
      </c>
      <c r="BC393" s="252" cm="1">
        <f t="array" ref="BC393">K393/IF($L393&gt;0, INDEX($AO$23:$AU$77, $L393+20, $AD393), 1)</f>
        <v>0</v>
      </c>
      <c r="BD393" s="237">
        <f t="shared" si="494"/>
        <v>0</v>
      </c>
      <c r="BE393" s="236">
        <v>35</v>
      </c>
      <c r="BF393" s="237">
        <f t="shared" si="495"/>
        <v>52.55</v>
      </c>
      <c r="BG393" s="253">
        <f t="shared" si="496"/>
        <v>2.7676728869374316</v>
      </c>
      <c r="BH393" s="253" cm="1">
        <f t="array" ref="BH393">$BC393 * SUMPRODUCT(INDEX($AL$77:$AN$82,,$AE393),INDEX($AO$77:$AU$82,,$AD393), N($AK$77:$AK$82&gt;$AI393)) / BG393 / 1000</f>
        <v>0</v>
      </c>
      <c r="BI393" s="250">
        <f t="shared" si="483"/>
        <v>30</v>
      </c>
      <c r="BJ393" s="237">
        <f t="shared" si="497"/>
        <v>46.033333333333331</v>
      </c>
      <c r="BK393" s="253">
        <f t="shared" si="498"/>
        <v>3.2297395388556791</v>
      </c>
      <c r="BL393" s="253" cm="1">
        <f t="array" ref="BL393">$BC393 * IF($AD393&lt;=2,
SUMPRODUCT(INDEX($AL$72:$AN$76,,$AE393), INDEX($AO$72:$AU$76,,$AD393), 1 / ($AV$72:$AV$76*BK393 + (1-$AV$72:$AV$76)*BG393), N($AK$72:$AK$76&gt;$AI393)),
SUMPRODUCT(INDEX($AL$67:$AN$76,,$AE393), INDEX($AO$67:$AU$76,,$AD393), 1 / ($AW$67:$AW$76*BK393 + (1-$AW$67:$AW$76)*BG393), N($AK$67:$AK$76&gt;$AI393))
) / 1000</f>
        <v>0</v>
      </c>
      <c r="BM393" s="250">
        <f t="shared" si="484"/>
        <v>25</v>
      </c>
      <c r="BN393" s="237">
        <f t="shared" si="499"/>
        <v>39.516666666666666</v>
      </c>
      <c r="BO393" s="253">
        <f t="shared" si="500"/>
        <v>3.877011788826243</v>
      </c>
      <c r="BP393" s="253" cm="1">
        <f t="array" ref="BP393">$BC393 * IF($AD393&lt;=2,
SUMPRODUCT(INDEX($AL$67:$AN$71,,$AE393), INDEX($AO$67:$AU$71,,$AD393), 1 / ($AV$67:$AV$71*BO393 + (1-$AV$67:$AV$71)*BK393), N($AK$67:$AK$71&gt;$AI393)),
SUMPRODUCT(INDEX($AL$57:$AN$66,,$AE393), INDEX($AO$57:$AU$66,,$AD393), 1 / ($AW$57:$AW$66*BO393 + (1-$AW$57:$AW$66)*BK393), N($AK$57:$AK$66&gt;$AI393))
) / 1000</f>
        <v>0</v>
      </c>
      <c r="BQ393" s="250">
        <f t="shared" si="485"/>
        <v>20</v>
      </c>
      <c r="BR393" s="237">
        <f t="shared" si="501"/>
        <v>33</v>
      </c>
      <c r="BS393" s="253">
        <f t="shared" si="502"/>
        <v>4.8487499999999999</v>
      </c>
      <c r="BT393" s="253" cm="1">
        <f t="array" ref="BT393">$BC393 * IF($AD393&lt;=2,
SUMPRODUCT(INDEX($AL$62:$AN$66,,$AE393), INDEX($AO$62:$AU$66,,$AD393), 1 / ($AV$62:$AV$66*BS393 + (1-$AV$62:$AV$66)*BO393), N($AK$62:$AK$66&gt;$AI393)),
SUMPRODUCT(INDEX($AL$47:$AN$56,,$AE393), INDEX($AO$47:$AU$56,,$AD393), 1 / ($AW$47:$AW$56*BS393 + (1-$AW$47:$AW$56)*BO393), N($AK$47:$AK$56&gt;$AI393))
) / 1000</f>
        <v>0</v>
      </c>
      <c r="BU393" s="253" cm="1">
        <f t="array" ref="BU393">$BC393 * IF($AD393&lt;=2,
SUMPRODUCT(INDEX($AL$23:$AN$61,,$AE393), INDEX($AO$23:$AU$61,,$AD393), 1 / ($AV$23:$AV$61*BS393), N($AK$23:$AK$61&gt;$AI393)),
SUMPRODUCT(INDEX($AL$23:$AN$46,,$AE393), INDEX($AO$23:$AU$46,,$AD393), 1 / ($AW$23:$AW$46*BS393), N($AK$23:$AK$46&gt;$AI393))
) / 1000</f>
        <v>0</v>
      </c>
      <c r="BV393" s="237">
        <f t="shared" si="503"/>
        <v>0</v>
      </c>
      <c r="BW393" s="210"/>
      <c r="BX393" s="237">
        <f t="shared" si="504"/>
        <v>0</v>
      </c>
      <c r="BY393" s="236">
        <v>35</v>
      </c>
      <c r="BZ393" s="237">
        <f t="shared" si="505"/>
        <v>48</v>
      </c>
      <c r="CA393" s="253">
        <f t="shared" si="506"/>
        <v>3.0748170731707316</v>
      </c>
      <c r="CB393" s="253" cm="1">
        <f t="array" ref="CB393">$BC393 * SUMPRODUCT(INDEX($AL$77:$AN$82,,$AE393),INDEX($AO$77:$AU$82,,$AD393), N($AK$77:$AK$82&gt;$AI393)) / CA393 / 1000</f>
        <v>0</v>
      </c>
      <c r="CC393" s="250">
        <f t="shared" si="486"/>
        <v>30</v>
      </c>
      <c r="CD393" s="237">
        <f t="shared" si="507"/>
        <v>43</v>
      </c>
      <c r="CE393" s="253">
        <f t="shared" si="508"/>
        <v>3.5018750000000001</v>
      </c>
      <c r="CF393" s="253" cm="1">
        <f t="array" ref="CF393">$BC393 * IF($AD393&lt;=2,
SUMPRODUCT(INDEX($AL$72:$AN$76,,$AE393), INDEX($AO$72:$AU$76,,$AD393), 1 / ($AV$72:$AV$76*CE393 + (1-$AV$72:$AV$76)*CA393), N($AK$72:$AK$76&gt;$AI393)),
SUMPRODUCT(INDEX($AL$67:$AN$76,,$AE393), INDEX($AO$67:$AU$76,,$AD393), 1 / ($AW$67:$AW$76*CE393 + (1-$AW$67:$AW$76)*CA393), N($AK$67:$AK$76&gt;$AI393))
) / 1000</f>
        <v>0</v>
      </c>
      <c r="CG393" s="250">
        <f t="shared" si="487"/>
        <v>25</v>
      </c>
      <c r="CH393" s="237">
        <f t="shared" si="509"/>
        <v>38</v>
      </c>
      <c r="CI393" s="253">
        <f t="shared" si="510"/>
        <v>4.0666935483870965</v>
      </c>
      <c r="CJ393" s="253" cm="1">
        <f t="array" ref="CJ393">$BC393 * IF($AD393&lt;=2,
SUMPRODUCT(INDEX($AL$67:$AN$71,,$AE393), INDEX($AO$67:$AU$71,,$AD393), 1 / ($AV$67:$AV$71*CI393 + (1-$AV$67:$AV$71)*CE393), N($AK$67:$AK$71&gt;$AI393)),
SUMPRODUCT(INDEX($AL$57:$AN$66,,$AE393), INDEX($AO$57:$AU$66,,$AD393), 1 / ($AW$57:$AW$66*CI393 + (1-$AW$57:$AW$66)*CE393), N($AK$57:$AK$66&gt;$AI393))
) / 1000</f>
        <v>0</v>
      </c>
      <c r="CK393" s="250">
        <f t="shared" si="488"/>
        <v>20</v>
      </c>
      <c r="CL393" s="237">
        <f t="shared" si="511"/>
        <v>33</v>
      </c>
      <c r="CM393" s="253">
        <f t="shared" si="512"/>
        <v>4.8487499999999999</v>
      </c>
      <c r="CN393" s="253" cm="1">
        <f t="array" ref="CN393">$BC393 * IF($AD393&lt;=2,
SUMPRODUCT(INDEX($AL$62:$AN$66,,$AE393), INDEX($AO$62:$AU$66,,$AD393), 1 / ($AV$62:$AV$66*CM393 + (1-$AV$62:$AV$66)*CI393), N($AK$62:$AK$66&gt;$AI393)),
SUMPRODUCT(INDEX($AL$47:$AN$56,,$AE393), INDEX($AO$47:$AU$56,,$AD393), 1 / ($AW$47:$AW$56*CM393 + (1-$AW$47:$AW$56)*CI393), N($AK$47:$AK$56&gt;$AI393))
) / 1000</f>
        <v>0</v>
      </c>
      <c r="CO393" s="253" cm="1">
        <f t="array" ref="CO393">$BC393 * IF($AD393&lt;=2,
SUMPRODUCT(INDEX($AL$23:$AN$61,,$AE393), INDEX($AO$23:$AU$61,,$AD393), 1 / ($AV$23:$AV$61*CM393), N($AK$23:$AK$61&gt;$AI393)),
SUMPRODUCT(INDEX($AL$23:$AN$46,,$AE393), INDEX($AO$23:$AU$46,,$AD393), 1 / ($AW$23:$AW$46*CM393), N($AK$23:$AK$46&gt;$AI393))
) / 1000</f>
        <v>0</v>
      </c>
      <c r="CP393" s="237">
        <f t="shared" si="513"/>
        <v>0</v>
      </c>
      <c r="CQ393" s="210"/>
    </row>
    <row r="394" spans="1:95" s="76" customFormat="1" ht="14.25" customHeight="1" x14ac:dyDescent="0.2">
      <c r="A394" s="238" t="b">
        <f t="shared" si="480"/>
        <v>0</v>
      </c>
      <c r="B394" s="239">
        <v>372</v>
      </c>
      <c r="C394" s="258"/>
      <c r="D394" s="258"/>
      <c r="E394" s="240"/>
      <c r="F394" s="241" t="str">
        <f>IF(ISBLANK(E394), "", VLOOKUP(E394, Z!$A$2:$C$4127, 3, FALSE))</f>
        <v/>
      </c>
      <c r="G394" s="242"/>
      <c r="H394" s="242"/>
      <c r="I394" s="243"/>
      <c r="J394" s="244"/>
      <c r="K394" s="259"/>
      <c r="L394" s="260"/>
      <c r="M394" s="247" t="str" cm="1">
        <f t="array" ref="M394">IF($K394&gt;0, INDEX(Clean,1+AG394,$C$1), "")</f>
        <v/>
      </c>
      <c r="N394" s="245"/>
      <c r="O394" s="245"/>
      <c r="P394" s="246"/>
      <c r="Q394" s="248">
        <f t="shared" si="490"/>
        <v>0</v>
      </c>
      <c r="R394" s="247" t="str" cm="1">
        <f t="array" ref="R394">IF($K394&gt;0, INDEX(Clean,1+AH394,$C$1), "")</f>
        <v/>
      </c>
      <c r="S394" s="245"/>
      <c r="T394" s="245"/>
      <c r="U394" s="246"/>
      <c r="V394" s="248">
        <f t="shared" si="491"/>
        <v>0</v>
      </c>
      <c r="W394" s="261"/>
      <c r="X394" s="258"/>
      <c r="Y394" s="240"/>
      <c r="Z394" s="241" t="str">
        <f>IF(ISBLANK(Y394), "", VLOOKUP(Y394, Z!$A$2:$C$4127, 3, FALSE))</f>
        <v/>
      </c>
      <c r="AA394" s="262"/>
      <c r="AB394" s="249">
        <f t="shared" si="489"/>
        <v>0</v>
      </c>
      <c r="AC394" s="210"/>
      <c r="AD394" s="236">
        <f t="shared" si="514"/>
        <v>1</v>
      </c>
      <c r="AE394" s="236">
        <f t="shared" si="515"/>
        <v>1</v>
      </c>
      <c r="AF394" s="236">
        <f t="shared" si="516"/>
        <v>0</v>
      </c>
      <c r="AG394" s="236">
        <v>1</v>
      </c>
      <c r="AH394" s="236">
        <v>0</v>
      </c>
      <c r="AI394" s="236">
        <f t="shared" si="492"/>
        <v>-100</v>
      </c>
      <c r="AJ394" s="210"/>
      <c r="AK394" s="254"/>
      <c r="AL394" s="254"/>
      <c r="AM394" s="255"/>
      <c r="AN394" s="255"/>
      <c r="AO394" s="255"/>
      <c r="AP394" s="255"/>
      <c r="AQ394" s="255"/>
      <c r="AR394" s="255"/>
      <c r="AS394" s="255"/>
      <c r="AT394" s="255"/>
      <c r="AU394" s="255"/>
      <c r="AV394" s="255"/>
      <c r="AW394" s="255"/>
      <c r="AX394" s="210"/>
      <c r="AY394" s="236" cm="1">
        <f t="array" ref="AY394">INDEX(Use, $AD394, 4)</f>
        <v>7</v>
      </c>
      <c r="AZ394" s="236">
        <f t="shared" si="493"/>
        <v>32</v>
      </c>
      <c r="BA394" s="236">
        <f t="shared" si="481"/>
        <v>13</v>
      </c>
      <c r="BB394" s="236">
        <f t="shared" si="482"/>
        <v>0</v>
      </c>
      <c r="BC394" s="252" cm="1">
        <f t="array" ref="BC394">K394/IF($L394&gt;0, INDEX($AO$23:$AU$77, $L394+20, $AD394), 1)</f>
        <v>0</v>
      </c>
      <c r="BD394" s="237">
        <f t="shared" si="494"/>
        <v>0</v>
      </c>
      <c r="BE394" s="236">
        <v>35</v>
      </c>
      <c r="BF394" s="237">
        <f t="shared" si="495"/>
        <v>52.55</v>
      </c>
      <c r="BG394" s="253">
        <f t="shared" si="496"/>
        <v>2.7676728869374316</v>
      </c>
      <c r="BH394" s="253" cm="1">
        <f t="array" ref="BH394">$BC394 * SUMPRODUCT(INDEX($AL$77:$AN$82,,$AE394),INDEX($AO$77:$AU$82,,$AD394), N($AK$77:$AK$82&gt;$AI394)) / BG394 / 1000</f>
        <v>0</v>
      </c>
      <c r="BI394" s="250">
        <f t="shared" si="483"/>
        <v>30</v>
      </c>
      <c r="BJ394" s="237">
        <f t="shared" si="497"/>
        <v>46.033333333333331</v>
      </c>
      <c r="BK394" s="253">
        <f t="shared" si="498"/>
        <v>3.2297395388556791</v>
      </c>
      <c r="BL394" s="253" cm="1">
        <f t="array" ref="BL394">$BC394 * IF($AD394&lt;=2,
SUMPRODUCT(INDEX($AL$72:$AN$76,,$AE394), INDEX($AO$72:$AU$76,,$AD394), 1 / ($AV$72:$AV$76*BK394 + (1-$AV$72:$AV$76)*BG394), N($AK$72:$AK$76&gt;$AI394)),
SUMPRODUCT(INDEX($AL$67:$AN$76,,$AE394), INDEX($AO$67:$AU$76,,$AD394), 1 / ($AW$67:$AW$76*BK394 + (1-$AW$67:$AW$76)*BG394), N($AK$67:$AK$76&gt;$AI394))
) / 1000</f>
        <v>0</v>
      </c>
      <c r="BM394" s="250">
        <f t="shared" si="484"/>
        <v>25</v>
      </c>
      <c r="BN394" s="237">
        <f t="shared" si="499"/>
        <v>39.516666666666666</v>
      </c>
      <c r="BO394" s="253">
        <f t="shared" si="500"/>
        <v>3.877011788826243</v>
      </c>
      <c r="BP394" s="253" cm="1">
        <f t="array" ref="BP394">$BC394 * IF($AD394&lt;=2,
SUMPRODUCT(INDEX($AL$67:$AN$71,,$AE394), INDEX($AO$67:$AU$71,,$AD394), 1 / ($AV$67:$AV$71*BO394 + (1-$AV$67:$AV$71)*BK394), N($AK$67:$AK$71&gt;$AI394)),
SUMPRODUCT(INDEX($AL$57:$AN$66,,$AE394), INDEX($AO$57:$AU$66,,$AD394), 1 / ($AW$57:$AW$66*BO394 + (1-$AW$57:$AW$66)*BK394), N($AK$57:$AK$66&gt;$AI394))
) / 1000</f>
        <v>0</v>
      </c>
      <c r="BQ394" s="250">
        <f t="shared" si="485"/>
        <v>20</v>
      </c>
      <c r="BR394" s="237">
        <f t="shared" si="501"/>
        <v>33</v>
      </c>
      <c r="BS394" s="253">
        <f t="shared" si="502"/>
        <v>4.8487499999999999</v>
      </c>
      <c r="BT394" s="253" cm="1">
        <f t="array" ref="BT394">$BC394 * IF($AD394&lt;=2,
SUMPRODUCT(INDEX($AL$62:$AN$66,,$AE394), INDEX($AO$62:$AU$66,,$AD394), 1 / ($AV$62:$AV$66*BS394 + (1-$AV$62:$AV$66)*BO394), N($AK$62:$AK$66&gt;$AI394)),
SUMPRODUCT(INDEX($AL$47:$AN$56,,$AE394), INDEX($AO$47:$AU$56,,$AD394), 1 / ($AW$47:$AW$56*BS394 + (1-$AW$47:$AW$56)*BO394), N($AK$47:$AK$56&gt;$AI394))
) / 1000</f>
        <v>0</v>
      </c>
      <c r="BU394" s="253" cm="1">
        <f t="array" ref="BU394">$BC394 * IF($AD394&lt;=2,
SUMPRODUCT(INDEX($AL$23:$AN$61,,$AE394), INDEX($AO$23:$AU$61,,$AD394), 1 / ($AV$23:$AV$61*BS394), N($AK$23:$AK$61&gt;$AI394)),
SUMPRODUCT(INDEX($AL$23:$AN$46,,$AE394), INDEX($AO$23:$AU$46,,$AD394), 1 / ($AW$23:$AW$46*BS394), N($AK$23:$AK$46&gt;$AI394))
) / 1000</f>
        <v>0</v>
      </c>
      <c r="BV394" s="237">
        <f t="shared" si="503"/>
        <v>0</v>
      </c>
      <c r="BW394" s="210"/>
      <c r="BX394" s="237">
        <f t="shared" si="504"/>
        <v>0</v>
      </c>
      <c r="BY394" s="236">
        <v>35</v>
      </c>
      <c r="BZ394" s="237">
        <f t="shared" si="505"/>
        <v>48</v>
      </c>
      <c r="CA394" s="253">
        <f t="shared" si="506"/>
        <v>3.0748170731707316</v>
      </c>
      <c r="CB394" s="253" cm="1">
        <f t="array" ref="CB394">$BC394 * SUMPRODUCT(INDEX($AL$77:$AN$82,,$AE394),INDEX($AO$77:$AU$82,,$AD394), N($AK$77:$AK$82&gt;$AI394)) / CA394 / 1000</f>
        <v>0</v>
      </c>
      <c r="CC394" s="250">
        <f t="shared" si="486"/>
        <v>30</v>
      </c>
      <c r="CD394" s="237">
        <f t="shared" si="507"/>
        <v>43</v>
      </c>
      <c r="CE394" s="253">
        <f t="shared" si="508"/>
        <v>3.5018750000000001</v>
      </c>
      <c r="CF394" s="253" cm="1">
        <f t="array" ref="CF394">$BC394 * IF($AD394&lt;=2,
SUMPRODUCT(INDEX($AL$72:$AN$76,,$AE394), INDEX($AO$72:$AU$76,,$AD394), 1 / ($AV$72:$AV$76*CE394 + (1-$AV$72:$AV$76)*CA394), N($AK$72:$AK$76&gt;$AI394)),
SUMPRODUCT(INDEX($AL$67:$AN$76,,$AE394), INDEX($AO$67:$AU$76,,$AD394), 1 / ($AW$67:$AW$76*CE394 + (1-$AW$67:$AW$76)*CA394), N($AK$67:$AK$76&gt;$AI394))
) / 1000</f>
        <v>0</v>
      </c>
      <c r="CG394" s="250">
        <f t="shared" si="487"/>
        <v>25</v>
      </c>
      <c r="CH394" s="237">
        <f t="shared" si="509"/>
        <v>38</v>
      </c>
      <c r="CI394" s="253">
        <f t="shared" si="510"/>
        <v>4.0666935483870965</v>
      </c>
      <c r="CJ394" s="253" cm="1">
        <f t="array" ref="CJ394">$BC394 * IF($AD394&lt;=2,
SUMPRODUCT(INDEX($AL$67:$AN$71,,$AE394), INDEX($AO$67:$AU$71,,$AD394), 1 / ($AV$67:$AV$71*CI394 + (1-$AV$67:$AV$71)*CE394), N($AK$67:$AK$71&gt;$AI394)),
SUMPRODUCT(INDEX($AL$57:$AN$66,,$AE394), INDEX($AO$57:$AU$66,,$AD394), 1 / ($AW$57:$AW$66*CI394 + (1-$AW$57:$AW$66)*CE394), N($AK$57:$AK$66&gt;$AI394))
) / 1000</f>
        <v>0</v>
      </c>
      <c r="CK394" s="250">
        <f t="shared" si="488"/>
        <v>20</v>
      </c>
      <c r="CL394" s="237">
        <f t="shared" si="511"/>
        <v>33</v>
      </c>
      <c r="CM394" s="253">
        <f t="shared" si="512"/>
        <v>4.8487499999999999</v>
      </c>
      <c r="CN394" s="253" cm="1">
        <f t="array" ref="CN394">$BC394 * IF($AD394&lt;=2,
SUMPRODUCT(INDEX($AL$62:$AN$66,,$AE394), INDEX($AO$62:$AU$66,,$AD394), 1 / ($AV$62:$AV$66*CM394 + (1-$AV$62:$AV$66)*CI394), N($AK$62:$AK$66&gt;$AI394)),
SUMPRODUCT(INDEX($AL$47:$AN$56,,$AE394), INDEX($AO$47:$AU$56,,$AD394), 1 / ($AW$47:$AW$56*CM394 + (1-$AW$47:$AW$56)*CI394), N($AK$47:$AK$56&gt;$AI394))
) / 1000</f>
        <v>0</v>
      </c>
      <c r="CO394" s="253" cm="1">
        <f t="array" ref="CO394">$BC394 * IF($AD394&lt;=2,
SUMPRODUCT(INDEX($AL$23:$AN$61,,$AE394), INDEX($AO$23:$AU$61,,$AD394), 1 / ($AV$23:$AV$61*CM394), N($AK$23:$AK$61&gt;$AI394)),
SUMPRODUCT(INDEX($AL$23:$AN$46,,$AE394), INDEX($AO$23:$AU$46,,$AD394), 1 / ($AW$23:$AW$46*CM394), N($AK$23:$AK$46&gt;$AI394))
) / 1000</f>
        <v>0</v>
      </c>
      <c r="CP394" s="237">
        <f t="shared" si="513"/>
        <v>0</v>
      </c>
      <c r="CQ394" s="210"/>
    </row>
    <row r="395" spans="1:95" s="76" customFormat="1" ht="14.25" customHeight="1" x14ac:dyDescent="0.2">
      <c r="A395" s="238" t="b">
        <f t="shared" si="480"/>
        <v>0</v>
      </c>
      <c r="B395" s="239">
        <v>373</v>
      </c>
      <c r="C395" s="258"/>
      <c r="D395" s="258"/>
      <c r="E395" s="240"/>
      <c r="F395" s="241" t="str">
        <f>IF(ISBLANK(E395), "", VLOOKUP(E395, Z!$A$2:$C$4127, 3, FALSE))</f>
        <v/>
      </c>
      <c r="G395" s="242"/>
      <c r="H395" s="242"/>
      <c r="I395" s="243"/>
      <c r="J395" s="244"/>
      <c r="K395" s="259"/>
      <c r="L395" s="260"/>
      <c r="M395" s="247" t="str" cm="1">
        <f t="array" ref="M395">IF($K395&gt;0, INDEX(Clean,1+AG395,$C$1), "")</f>
        <v/>
      </c>
      <c r="N395" s="245"/>
      <c r="O395" s="245"/>
      <c r="P395" s="246"/>
      <c r="Q395" s="248">
        <f t="shared" si="490"/>
        <v>0</v>
      </c>
      <c r="R395" s="247" t="str" cm="1">
        <f t="array" ref="R395">IF($K395&gt;0, INDEX(Clean,1+AH395,$C$1), "")</f>
        <v/>
      </c>
      <c r="S395" s="245"/>
      <c r="T395" s="245"/>
      <c r="U395" s="246"/>
      <c r="V395" s="248">
        <f t="shared" si="491"/>
        <v>0</v>
      </c>
      <c r="W395" s="261"/>
      <c r="X395" s="258"/>
      <c r="Y395" s="240"/>
      <c r="Z395" s="241" t="str">
        <f>IF(ISBLANK(Y395), "", VLOOKUP(Y395, Z!$A$2:$C$4127, 3, FALSE))</f>
        <v/>
      </c>
      <c r="AA395" s="262"/>
      <c r="AB395" s="249">
        <f t="shared" si="489"/>
        <v>0</v>
      </c>
      <c r="AC395" s="210"/>
      <c r="AD395" s="236">
        <f t="shared" si="514"/>
        <v>1</v>
      </c>
      <c r="AE395" s="236">
        <f t="shared" si="515"/>
        <v>1</v>
      </c>
      <c r="AF395" s="236">
        <f t="shared" si="516"/>
        <v>0</v>
      </c>
      <c r="AG395" s="236">
        <v>1</v>
      </c>
      <c r="AH395" s="236">
        <v>0</v>
      </c>
      <c r="AI395" s="236">
        <f t="shared" si="492"/>
        <v>-100</v>
      </c>
      <c r="AJ395" s="210"/>
      <c r="AK395" s="254"/>
      <c r="AL395" s="254"/>
      <c r="AM395" s="255"/>
      <c r="AN395" s="255"/>
      <c r="AO395" s="255"/>
      <c r="AP395" s="255"/>
      <c r="AQ395" s="255"/>
      <c r="AR395" s="255"/>
      <c r="AS395" s="255"/>
      <c r="AT395" s="255"/>
      <c r="AU395" s="255"/>
      <c r="AV395" s="255"/>
      <c r="AW395" s="255"/>
      <c r="AX395" s="210"/>
      <c r="AY395" s="236" cm="1">
        <f t="array" ref="AY395">INDEX(Use, $AD395, 4)</f>
        <v>7</v>
      </c>
      <c r="AZ395" s="236">
        <f t="shared" si="493"/>
        <v>32</v>
      </c>
      <c r="BA395" s="236">
        <f t="shared" si="481"/>
        <v>13</v>
      </c>
      <c r="BB395" s="236">
        <f t="shared" si="482"/>
        <v>0</v>
      </c>
      <c r="BC395" s="252" cm="1">
        <f t="array" ref="BC395">K395/IF($L395&gt;0, INDEX($AO$23:$AU$77, $L395+20, $AD395), 1)</f>
        <v>0</v>
      </c>
      <c r="BD395" s="237">
        <f t="shared" si="494"/>
        <v>0</v>
      </c>
      <c r="BE395" s="236">
        <v>35</v>
      </c>
      <c r="BF395" s="237">
        <f t="shared" si="495"/>
        <v>52.55</v>
      </c>
      <c r="BG395" s="253">
        <f t="shared" si="496"/>
        <v>2.7676728869374316</v>
      </c>
      <c r="BH395" s="253" cm="1">
        <f t="array" ref="BH395">$BC395 * SUMPRODUCT(INDEX($AL$77:$AN$82,,$AE395),INDEX($AO$77:$AU$82,,$AD395), N($AK$77:$AK$82&gt;$AI395)) / BG395 / 1000</f>
        <v>0</v>
      </c>
      <c r="BI395" s="250">
        <f t="shared" si="483"/>
        <v>30</v>
      </c>
      <c r="BJ395" s="237">
        <f t="shared" si="497"/>
        <v>46.033333333333331</v>
      </c>
      <c r="BK395" s="253">
        <f t="shared" si="498"/>
        <v>3.2297395388556791</v>
      </c>
      <c r="BL395" s="253" cm="1">
        <f t="array" ref="BL395">$BC395 * IF($AD395&lt;=2,
SUMPRODUCT(INDEX($AL$72:$AN$76,,$AE395), INDEX($AO$72:$AU$76,,$AD395), 1 / ($AV$72:$AV$76*BK395 + (1-$AV$72:$AV$76)*BG395), N($AK$72:$AK$76&gt;$AI395)),
SUMPRODUCT(INDEX($AL$67:$AN$76,,$AE395), INDEX($AO$67:$AU$76,,$AD395), 1 / ($AW$67:$AW$76*BK395 + (1-$AW$67:$AW$76)*BG395), N($AK$67:$AK$76&gt;$AI395))
) / 1000</f>
        <v>0</v>
      </c>
      <c r="BM395" s="250">
        <f t="shared" si="484"/>
        <v>25</v>
      </c>
      <c r="BN395" s="237">
        <f t="shared" si="499"/>
        <v>39.516666666666666</v>
      </c>
      <c r="BO395" s="253">
        <f t="shared" si="500"/>
        <v>3.877011788826243</v>
      </c>
      <c r="BP395" s="253" cm="1">
        <f t="array" ref="BP395">$BC395 * IF($AD395&lt;=2,
SUMPRODUCT(INDEX($AL$67:$AN$71,,$AE395), INDEX($AO$67:$AU$71,,$AD395), 1 / ($AV$67:$AV$71*BO395 + (1-$AV$67:$AV$71)*BK395), N($AK$67:$AK$71&gt;$AI395)),
SUMPRODUCT(INDEX($AL$57:$AN$66,,$AE395), INDEX($AO$57:$AU$66,,$AD395), 1 / ($AW$57:$AW$66*BO395 + (1-$AW$57:$AW$66)*BK395), N($AK$57:$AK$66&gt;$AI395))
) / 1000</f>
        <v>0</v>
      </c>
      <c r="BQ395" s="250">
        <f t="shared" si="485"/>
        <v>20</v>
      </c>
      <c r="BR395" s="237">
        <f t="shared" si="501"/>
        <v>33</v>
      </c>
      <c r="BS395" s="253">
        <f t="shared" si="502"/>
        <v>4.8487499999999999</v>
      </c>
      <c r="BT395" s="253" cm="1">
        <f t="array" ref="BT395">$BC395 * IF($AD395&lt;=2,
SUMPRODUCT(INDEX($AL$62:$AN$66,,$AE395), INDEX($AO$62:$AU$66,,$AD395), 1 / ($AV$62:$AV$66*BS395 + (1-$AV$62:$AV$66)*BO395), N($AK$62:$AK$66&gt;$AI395)),
SUMPRODUCT(INDEX($AL$47:$AN$56,,$AE395), INDEX($AO$47:$AU$56,,$AD395), 1 / ($AW$47:$AW$56*BS395 + (1-$AW$47:$AW$56)*BO395), N($AK$47:$AK$56&gt;$AI395))
) / 1000</f>
        <v>0</v>
      </c>
      <c r="BU395" s="253" cm="1">
        <f t="array" ref="BU395">$BC395 * IF($AD395&lt;=2,
SUMPRODUCT(INDEX($AL$23:$AN$61,,$AE395), INDEX($AO$23:$AU$61,,$AD395), 1 / ($AV$23:$AV$61*BS395), N($AK$23:$AK$61&gt;$AI395)),
SUMPRODUCT(INDEX($AL$23:$AN$46,,$AE395), INDEX($AO$23:$AU$46,,$AD395), 1 / ($AW$23:$AW$46*BS395), N($AK$23:$AK$46&gt;$AI395))
) / 1000</f>
        <v>0</v>
      </c>
      <c r="BV395" s="237">
        <f t="shared" si="503"/>
        <v>0</v>
      </c>
      <c r="BW395" s="210"/>
      <c r="BX395" s="237">
        <f t="shared" si="504"/>
        <v>0</v>
      </c>
      <c r="BY395" s="236">
        <v>35</v>
      </c>
      <c r="BZ395" s="237">
        <f t="shared" si="505"/>
        <v>48</v>
      </c>
      <c r="CA395" s="253">
        <f t="shared" si="506"/>
        <v>3.0748170731707316</v>
      </c>
      <c r="CB395" s="253" cm="1">
        <f t="array" ref="CB395">$BC395 * SUMPRODUCT(INDEX($AL$77:$AN$82,,$AE395),INDEX($AO$77:$AU$82,,$AD395), N($AK$77:$AK$82&gt;$AI395)) / CA395 / 1000</f>
        <v>0</v>
      </c>
      <c r="CC395" s="250">
        <f t="shared" si="486"/>
        <v>30</v>
      </c>
      <c r="CD395" s="237">
        <f t="shared" si="507"/>
        <v>43</v>
      </c>
      <c r="CE395" s="253">
        <f t="shared" si="508"/>
        <v>3.5018750000000001</v>
      </c>
      <c r="CF395" s="253" cm="1">
        <f t="array" ref="CF395">$BC395 * IF($AD395&lt;=2,
SUMPRODUCT(INDEX($AL$72:$AN$76,,$AE395), INDEX($AO$72:$AU$76,,$AD395), 1 / ($AV$72:$AV$76*CE395 + (1-$AV$72:$AV$76)*CA395), N($AK$72:$AK$76&gt;$AI395)),
SUMPRODUCT(INDEX($AL$67:$AN$76,,$AE395), INDEX($AO$67:$AU$76,,$AD395), 1 / ($AW$67:$AW$76*CE395 + (1-$AW$67:$AW$76)*CA395), N($AK$67:$AK$76&gt;$AI395))
) / 1000</f>
        <v>0</v>
      </c>
      <c r="CG395" s="250">
        <f t="shared" si="487"/>
        <v>25</v>
      </c>
      <c r="CH395" s="237">
        <f t="shared" si="509"/>
        <v>38</v>
      </c>
      <c r="CI395" s="253">
        <f t="shared" si="510"/>
        <v>4.0666935483870965</v>
      </c>
      <c r="CJ395" s="253" cm="1">
        <f t="array" ref="CJ395">$BC395 * IF($AD395&lt;=2,
SUMPRODUCT(INDEX($AL$67:$AN$71,,$AE395), INDEX($AO$67:$AU$71,,$AD395), 1 / ($AV$67:$AV$71*CI395 + (1-$AV$67:$AV$71)*CE395), N($AK$67:$AK$71&gt;$AI395)),
SUMPRODUCT(INDEX($AL$57:$AN$66,,$AE395), INDEX($AO$57:$AU$66,,$AD395), 1 / ($AW$57:$AW$66*CI395 + (1-$AW$57:$AW$66)*CE395), N($AK$57:$AK$66&gt;$AI395))
) / 1000</f>
        <v>0</v>
      </c>
      <c r="CK395" s="250">
        <f t="shared" si="488"/>
        <v>20</v>
      </c>
      <c r="CL395" s="237">
        <f t="shared" si="511"/>
        <v>33</v>
      </c>
      <c r="CM395" s="253">
        <f t="shared" si="512"/>
        <v>4.8487499999999999</v>
      </c>
      <c r="CN395" s="253" cm="1">
        <f t="array" ref="CN395">$BC395 * IF($AD395&lt;=2,
SUMPRODUCT(INDEX($AL$62:$AN$66,,$AE395), INDEX($AO$62:$AU$66,,$AD395), 1 / ($AV$62:$AV$66*CM395 + (1-$AV$62:$AV$66)*CI395), N($AK$62:$AK$66&gt;$AI395)),
SUMPRODUCT(INDEX($AL$47:$AN$56,,$AE395), INDEX($AO$47:$AU$56,,$AD395), 1 / ($AW$47:$AW$56*CM395 + (1-$AW$47:$AW$56)*CI395), N($AK$47:$AK$56&gt;$AI395))
) / 1000</f>
        <v>0</v>
      </c>
      <c r="CO395" s="253" cm="1">
        <f t="array" ref="CO395">$BC395 * IF($AD395&lt;=2,
SUMPRODUCT(INDEX($AL$23:$AN$61,,$AE395), INDEX($AO$23:$AU$61,,$AD395), 1 / ($AV$23:$AV$61*CM395), N($AK$23:$AK$61&gt;$AI395)),
SUMPRODUCT(INDEX($AL$23:$AN$46,,$AE395), INDEX($AO$23:$AU$46,,$AD395), 1 / ($AW$23:$AW$46*CM395), N($AK$23:$AK$46&gt;$AI395))
) / 1000</f>
        <v>0</v>
      </c>
      <c r="CP395" s="237">
        <f t="shared" si="513"/>
        <v>0</v>
      </c>
      <c r="CQ395" s="210"/>
    </row>
    <row r="396" spans="1:95" s="76" customFormat="1" ht="14.25" customHeight="1" x14ac:dyDescent="0.2">
      <c r="A396" s="238" t="b">
        <f t="shared" si="480"/>
        <v>0</v>
      </c>
      <c r="B396" s="239">
        <v>374</v>
      </c>
      <c r="C396" s="258"/>
      <c r="D396" s="258"/>
      <c r="E396" s="240"/>
      <c r="F396" s="241" t="str">
        <f>IF(ISBLANK(E396), "", VLOOKUP(E396, Z!$A$2:$C$4127, 3, FALSE))</f>
        <v/>
      </c>
      <c r="G396" s="242"/>
      <c r="H396" s="242"/>
      <c r="I396" s="243"/>
      <c r="J396" s="244"/>
      <c r="K396" s="259"/>
      <c r="L396" s="260"/>
      <c r="M396" s="247" t="str" cm="1">
        <f t="array" ref="M396">IF($K396&gt;0, INDEX(Clean,1+AG396,$C$1), "")</f>
        <v/>
      </c>
      <c r="N396" s="245"/>
      <c r="O396" s="245"/>
      <c r="P396" s="246"/>
      <c r="Q396" s="248">
        <f t="shared" si="490"/>
        <v>0</v>
      </c>
      <c r="R396" s="247" t="str" cm="1">
        <f t="array" ref="R396">IF($K396&gt;0, INDEX(Clean,1+AH396,$C$1), "")</f>
        <v/>
      </c>
      <c r="S396" s="245"/>
      <c r="T396" s="245"/>
      <c r="U396" s="246"/>
      <c r="V396" s="248">
        <f t="shared" si="491"/>
        <v>0</v>
      </c>
      <c r="W396" s="261"/>
      <c r="X396" s="258"/>
      <c r="Y396" s="240"/>
      <c r="Z396" s="241" t="str">
        <f>IF(ISBLANK(Y396), "", VLOOKUP(Y396, Z!$A$2:$C$4127, 3, FALSE))</f>
        <v/>
      </c>
      <c r="AA396" s="262"/>
      <c r="AB396" s="249">
        <f t="shared" si="489"/>
        <v>0</v>
      </c>
      <c r="AC396" s="210"/>
      <c r="AD396" s="236">
        <f t="shared" si="514"/>
        <v>1</v>
      </c>
      <c r="AE396" s="236">
        <f t="shared" si="515"/>
        <v>1</v>
      </c>
      <c r="AF396" s="236">
        <f t="shared" si="516"/>
        <v>0</v>
      </c>
      <c r="AG396" s="236">
        <v>1</v>
      </c>
      <c r="AH396" s="236">
        <v>0</v>
      </c>
      <c r="AI396" s="236">
        <f t="shared" si="492"/>
        <v>-100</v>
      </c>
      <c r="AJ396" s="210"/>
      <c r="AK396" s="254"/>
      <c r="AL396" s="254"/>
      <c r="AM396" s="255"/>
      <c r="AN396" s="255"/>
      <c r="AO396" s="255"/>
      <c r="AP396" s="255"/>
      <c r="AQ396" s="255"/>
      <c r="AR396" s="255"/>
      <c r="AS396" s="255"/>
      <c r="AT396" s="255"/>
      <c r="AU396" s="255"/>
      <c r="AV396" s="255"/>
      <c r="AW396" s="255"/>
      <c r="AX396" s="210"/>
      <c r="AY396" s="236" cm="1">
        <f t="array" ref="AY396">INDEX(Use, $AD396, 4)</f>
        <v>7</v>
      </c>
      <c r="AZ396" s="236">
        <f t="shared" si="493"/>
        <v>32</v>
      </c>
      <c r="BA396" s="236">
        <f t="shared" si="481"/>
        <v>13</v>
      </c>
      <c r="BB396" s="236">
        <f t="shared" si="482"/>
        <v>0</v>
      </c>
      <c r="BC396" s="252" cm="1">
        <f t="array" ref="BC396">K396/IF($L396&gt;0, INDEX($AO$23:$AU$77, $L396+20, $AD396), 1)</f>
        <v>0</v>
      </c>
      <c r="BD396" s="237">
        <f t="shared" si="494"/>
        <v>0</v>
      </c>
      <c r="BE396" s="236">
        <v>35</v>
      </c>
      <c r="BF396" s="237">
        <f t="shared" si="495"/>
        <v>52.55</v>
      </c>
      <c r="BG396" s="253">
        <f t="shared" si="496"/>
        <v>2.7676728869374316</v>
      </c>
      <c r="BH396" s="253" cm="1">
        <f t="array" ref="BH396">$BC396 * SUMPRODUCT(INDEX($AL$77:$AN$82,,$AE396),INDEX($AO$77:$AU$82,,$AD396), N($AK$77:$AK$82&gt;$AI396)) / BG396 / 1000</f>
        <v>0</v>
      </c>
      <c r="BI396" s="250">
        <f t="shared" si="483"/>
        <v>30</v>
      </c>
      <c r="BJ396" s="237">
        <f t="shared" si="497"/>
        <v>46.033333333333331</v>
      </c>
      <c r="BK396" s="253">
        <f t="shared" si="498"/>
        <v>3.2297395388556791</v>
      </c>
      <c r="BL396" s="253" cm="1">
        <f t="array" ref="BL396">$BC396 * IF($AD396&lt;=2,
SUMPRODUCT(INDEX($AL$72:$AN$76,,$AE396), INDEX($AO$72:$AU$76,,$AD396), 1 / ($AV$72:$AV$76*BK396 + (1-$AV$72:$AV$76)*BG396), N($AK$72:$AK$76&gt;$AI396)),
SUMPRODUCT(INDEX($AL$67:$AN$76,,$AE396), INDEX($AO$67:$AU$76,,$AD396), 1 / ($AW$67:$AW$76*BK396 + (1-$AW$67:$AW$76)*BG396), N($AK$67:$AK$76&gt;$AI396))
) / 1000</f>
        <v>0</v>
      </c>
      <c r="BM396" s="250">
        <f t="shared" si="484"/>
        <v>25</v>
      </c>
      <c r="BN396" s="237">
        <f t="shared" si="499"/>
        <v>39.516666666666666</v>
      </c>
      <c r="BO396" s="253">
        <f t="shared" si="500"/>
        <v>3.877011788826243</v>
      </c>
      <c r="BP396" s="253" cm="1">
        <f t="array" ref="BP396">$BC396 * IF($AD396&lt;=2,
SUMPRODUCT(INDEX($AL$67:$AN$71,,$AE396), INDEX($AO$67:$AU$71,,$AD396), 1 / ($AV$67:$AV$71*BO396 + (1-$AV$67:$AV$71)*BK396), N($AK$67:$AK$71&gt;$AI396)),
SUMPRODUCT(INDEX($AL$57:$AN$66,,$AE396), INDEX($AO$57:$AU$66,,$AD396), 1 / ($AW$57:$AW$66*BO396 + (1-$AW$57:$AW$66)*BK396), N($AK$57:$AK$66&gt;$AI396))
) / 1000</f>
        <v>0</v>
      </c>
      <c r="BQ396" s="250">
        <f t="shared" si="485"/>
        <v>20</v>
      </c>
      <c r="BR396" s="237">
        <f t="shared" si="501"/>
        <v>33</v>
      </c>
      <c r="BS396" s="253">
        <f t="shared" si="502"/>
        <v>4.8487499999999999</v>
      </c>
      <c r="BT396" s="253" cm="1">
        <f t="array" ref="BT396">$BC396 * IF($AD396&lt;=2,
SUMPRODUCT(INDEX($AL$62:$AN$66,,$AE396), INDEX($AO$62:$AU$66,,$AD396), 1 / ($AV$62:$AV$66*BS396 + (1-$AV$62:$AV$66)*BO396), N($AK$62:$AK$66&gt;$AI396)),
SUMPRODUCT(INDEX($AL$47:$AN$56,,$AE396), INDEX($AO$47:$AU$56,,$AD396), 1 / ($AW$47:$AW$56*BS396 + (1-$AW$47:$AW$56)*BO396), N($AK$47:$AK$56&gt;$AI396))
) / 1000</f>
        <v>0</v>
      </c>
      <c r="BU396" s="253" cm="1">
        <f t="array" ref="BU396">$BC396 * IF($AD396&lt;=2,
SUMPRODUCT(INDEX($AL$23:$AN$61,,$AE396), INDEX($AO$23:$AU$61,,$AD396), 1 / ($AV$23:$AV$61*BS396), N($AK$23:$AK$61&gt;$AI396)),
SUMPRODUCT(INDEX($AL$23:$AN$46,,$AE396), INDEX($AO$23:$AU$46,,$AD396), 1 / ($AW$23:$AW$46*BS396), N($AK$23:$AK$46&gt;$AI396))
) / 1000</f>
        <v>0</v>
      </c>
      <c r="BV396" s="237">
        <f t="shared" si="503"/>
        <v>0</v>
      </c>
      <c r="BW396" s="210"/>
      <c r="BX396" s="237">
        <f t="shared" si="504"/>
        <v>0</v>
      </c>
      <c r="BY396" s="236">
        <v>35</v>
      </c>
      <c r="BZ396" s="237">
        <f t="shared" si="505"/>
        <v>48</v>
      </c>
      <c r="CA396" s="253">
        <f t="shared" si="506"/>
        <v>3.0748170731707316</v>
      </c>
      <c r="CB396" s="253" cm="1">
        <f t="array" ref="CB396">$BC396 * SUMPRODUCT(INDEX($AL$77:$AN$82,,$AE396),INDEX($AO$77:$AU$82,,$AD396), N($AK$77:$AK$82&gt;$AI396)) / CA396 / 1000</f>
        <v>0</v>
      </c>
      <c r="CC396" s="250">
        <f t="shared" si="486"/>
        <v>30</v>
      </c>
      <c r="CD396" s="237">
        <f t="shared" si="507"/>
        <v>43</v>
      </c>
      <c r="CE396" s="253">
        <f t="shared" si="508"/>
        <v>3.5018750000000001</v>
      </c>
      <c r="CF396" s="253" cm="1">
        <f t="array" ref="CF396">$BC396 * IF($AD396&lt;=2,
SUMPRODUCT(INDEX($AL$72:$AN$76,,$AE396), INDEX($AO$72:$AU$76,,$AD396), 1 / ($AV$72:$AV$76*CE396 + (1-$AV$72:$AV$76)*CA396), N($AK$72:$AK$76&gt;$AI396)),
SUMPRODUCT(INDEX($AL$67:$AN$76,,$AE396), INDEX($AO$67:$AU$76,,$AD396), 1 / ($AW$67:$AW$76*CE396 + (1-$AW$67:$AW$76)*CA396), N($AK$67:$AK$76&gt;$AI396))
) / 1000</f>
        <v>0</v>
      </c>
      <c r="CG396" s="250">
        <f t="shared" si="487"/>
        <v>25</v>
      </c>
      <c r="CH396" s="237">
        <f t="shared" si="509"/>
        <v>38</v>
      </c>
      <c r="CI396" s="253">
        <f t="shared" si="510"/>
        <v>4.0666935483870965</v>
      </c>
      <c r="CJ396" s="253" cm="1">
        <f t="array" ref="CJ396">$BC396 * IF($AD396&lt;=2,
SUMPRODUCT(INDEX($AL$67:$AN$71,,$AE396), INDEX($AO$67:$AU$71,,$AD396), 1 / ($AV$67:$AV$71*CI396 + (1-$AV$67:$AV$71)*CE396), N($AK$67:$AK$71&gt;$AI396)),
SUMPRODUCT(INDEX($AL$57:$AN$66,,$AE396), INDEX($AO$57:$AU$66,,$AD396), 1 / ($AW$57:$AW$66*CI396 + (1-$AW$57:$AW$66)*CE396), N($AK$57:$AK$66&gt;$AI396))
) / 1000</f>
        <v>0</v>
      </c>
      <c r="CK396" s="250">
        <f t="shared" si="488"/>
        <v>20</v>
      </c>
      <c r="CL396" s="237">
        <f t="shared" si="511"/>
        <v>33</v>
      </c>
      <c r="CM396" s="253">
        <f t="shared" si="512"/>
        <v>4.8487499999999999</v>
      </c>
      <c r="CN396" s="253" cm="1">
        <f t="array" ref="CN396">$BC396 * IF($AD396&lt;=2,
SUMPRODUCT(INDEX($AL$62:$AN$66,,$AE396), INDEX($AO$62:$AU$66,,$AD396), 1 / ($AV$62:$AV$66*CM396 + (1-$AV$62:$AV$66)*CI396), N($AK$62:$AK$66&gt;$AI396)),
SUMPRODUCT(INDEX($AL$47:$AN$56,,$AE396), INDEX($AO$47:$AU$56,,$AD396), 1 / ($AW$47:$AW$56*CM396 + (1-$AW$47:$AW$56)*CI396), N($AK$47:$AK$56&gt;$AI396))
) / 1000</f>
        <v>0</v>
      </c>
      <c r="CO396" s="253" cm="1">
        <f t="array" ref="CO396">$BC396 * IF($AD396&lt;=2,
SUMPRODUCT(INDEX($AL$23:$AN$61,,$AE396), INDEX($AO$23:$AU$61,,$AD396), 1 / ($AV$23:$AV$61*CM396), N($AK$23:$AK$61&gt;$AI396)),
SUMPRODUCT(INDEX($AL$23:$AN$46,,$AE396), INDEX($AO$23:$AU$46,,$AD396), 1 / ($AW$23:$AW$46*CM396), N($AK$23:$AK$46&gt;$AI396))
) / 1000</f>
        <v>0</v>
      </c>
      <c r="CP396" s="237">
        <f t="shared" si="513"/>
        <v>0</v>
      </c>
      <c r="CQ396" s="210"/>
    </row>
    <row r="397" spans="1:95" s="76" customFormat="1" ht="14.25" customHeight="1" x14ac:dyDescent="0.2">
      <c r="A397" s="238" t="b">
        <f t="shared" si="480"/>
        <v>0</v>
      </c>
      <c r="B397" s="239">
        <v>375</v>
      </c>
      <c r="C397" s="258"/>
      <c r="D397" s="258"/>
      <c r="E397" s="240"/>
      <c r="F397" s="241" t="str">
        <f>IF(ISBLANK(E397), "", VLOOKUP(E397, Z!$A$2:$C$4127, 3, FALSE))</f>
        <v/>
      </c>
      <c r="G397" s="242"/>
      <c r="H397" s="242"/>
      <c r="I397" s="243"/>
      <c r="J397" s="244"/>
      <c r="K397" s="259"/>
      <c r="L397" s="260"/>
      <c r="M397" s="247" t="str" cm="1">
        <f t="array" ref="M397">IF($K397&gt;0, INDEX(Clean,1+AG397,$C$1), "")</f>
        <v/>
      </c>
      <c r="N397" s="245"/>
      <c r="O397" s="245"/>
      <c r="P397" s="246"/>
      <c r="Q397" s="248">
        <f t="shared" si="490"/>
        <v>0</v>
      </c>
      <c r="R397" s="247" t="str" cm="1">
        <f t="array" ref="R397">IF($K397&gt;0, INDEX(Clean,1+AH397,$C$1), "")</f>
        <v/>
      </c>
      <c r="S397" s="245"/>
      <c r="T397" s="245"/>
      <c r="U397" s="246"/>
      <c r="V397" s="248">
        <f t="shared" si="491"/>
        <v>0</v>
      </c>
      <c r="W397" s="261"/>
      <c r="X397" s="258"/>
      <c r="Y397" s="240"/>
      <c r="Z397" s="241" t="str">
        <f>IF(ISBLANK(Y397), "", VLOOKUP(Y397, Z!$A$2:$C$4127, 3, FALSE))</f>
        <v/>
      </c>
      <c r="AA397" s="262"/>
      <c r="AB397" s="249">
        <f t="shared" si="489"/>
        <v>0</v>
      </c>
      <c r="AC397" s="210"/>
      <c r="AD397" s="236">
        <f t="shared" si="514"/>
        <v>1</v>
      </c>
      <c r="AE397" s="236">
        <f t="shared" si="515"/>
        <v>1</v>
      </c>
      <c r="AF397" s="236">
        <f t="shared" si="516"/>
        <v>0</v>
      </c>
      <c r="AG397" s="236">
        <v>1</v>
      </c>
      <c r="AH397" s="236">
        <v>0</v>
      </c>
      <c r="AI397" s="236">
        <f t="shared" si="492"/>
        <v>-100</v>
      </c>
      <c r="AJ397" s="210"/>
      <c r="AK397" s="254"/>
      <c r="AL397" s="254"/>
      <c r="AM397" s="255"/>
      <c r="AN397" s="255"/>
      <c r="AO397" s="255"/>
      <c r="AP397" s="255"/>
      <c r="AQ397" s="255"/>
      <c r="AR397" s="255"/>
      <c r="AS397" s="255"/>
      <c r="AT397" s="255"/>
      <c r="AU397" s="255"/>
      <c r="AV397" s="255"/>
      <c r="AW397" s="255"/>
      <c r="AX397" s="210"/>
      <c r="AY397" s="236" cm="1">
        <f t="array" ref="AY397">INDEX(Use, $AD397, 4)</f>
        <v>7</v>
      </c>
      <c r="AZ397" s="236">
        <f t="shared" si="493"/>
        <v>32</v>
      </c>
      <c r="BA397" s="236">
        <f t="shared" si="481"/>
        <v>13</v>
      </c>
      <c r="BB397" s="236">
        <f t="shared" si="482"/>
        <v>0</v>
      </c>
      <c r="BC397" s="252" cm="1">
        <f t="array" ref="BC397">K397/IF($L397&gt;0, INDEX($AO$23:$AU$77, $L397+20, $AD397), 1)</f>
        <v>0</v>
      </c>
      <c r="BD397" s="237">
        <f t="shared" si="494"/>
        <v>0</v>
      </c>
      <c r="BE397" s="236">
        <v>35</v>
      </c>
      <c r="BF397" s="237">
        <f t="shared" si="495"/>
        <v>52.55</v>
      </c>
      <c r="BG397" s="253">
        <f t="shared" si="496"/>
        <v>2.7676728869374316</v>
      </c>
      <c r="BH397" s="253" cm="1">
        <f t="array" ref="BH397">$BC397 * SUMPRODUCT(INDEX($AL$77:$AN$82,,$AE397),INDEX($AO$77:$AU$82,,$AD397), N($AK$77:$AK$82&gt;$AI397)) / BG397 / 1000</f>
        <v>0</v>
      </c>
      <c r="BI397" s="250">
        <f t="shared" si="483"/>
        <v>30</v>
      </c>
      <c r="BJ397" s="237">
        <f t="shared" si="497"/>
        <v>46.033333333333331</v>
      </c>
      <c r="BK397" s="253">
        <f t="shared" si="498"/>
        <v>3.2297395388556791</v>
      </c>
      <c r="BL397" s="253" cm="1">
        <f t="array" ref="BL397">$BC397 * IF($AD397&lt;=2,
SUMPRODUCT(INDEX($AL$72:$AN$76,,$AE397), INDEX($AO$72:$AU$76,,$AD397), 1 / ($AV$72:$AV$76*BK397 + (1-$AV$72:$AV$76)*BG397), N($AK$72:$AK$76&gt;$AI397)),
SUMPRODUCT(INDEX($AL$67:$AN$76,,$AE397), INDEX($AO$67:$AU$76,,$AD397), 1 / ($AW$67:$AW$76*BK397 + (1-$AW$67:$AW$76)*BG397), N($AK$67:$AK$76&gt;$AI397))
) / 1000</f>
        <v>0</v>
      </c>
      <c r="BM397" s="250">
        <f t="shared" si="484"/>
        <v>25</v>
      </c>
      <c r="BN397" s="237">
        <f t="shared" si="499"/>
        <v>39.516666666666666</v>
      </c>
      <c r="BO397" s="253">
        <f t="shared" si="500"/>
        <v>3.877011788826243</v>
      </c>
      <c r="BP397" s="253" cm="1">
        <f t="array" ref="BP397">$BC397 * IF($AD397&lt;=2,
SUMPRODUCT(INDEX($AL$67:$AN$71,,$AE397), INDEX($AO$67:$AU$71,,$AD397), 1 / ($AV$67:$AV$71*BO397 + (1-$AV$67:$AV$71)*BK397), N($AK$67:$AK$71&gt;$AI397)),
SUMPRODUCT(INDEX($AL$57:$AN$66,,$AE397), INDEX($AO$57:$AU$66,,$AD397), 1 / ($AW$57:$AW$66*BO397 + (1-$AW$57:$AW$66)*BK397), N($AK$57:$AK$66&gt;$AI397))
) / 1000</f>
        <v>0</v>
      </c>
      <c r="BQ397" s="250">
        <f t="shared" si="485"/>
        <v>20</v>
      </c>
      <c r="BR397" s="237">
        <f t="shared" si="501"/>
        <v>33</v>
      </c>
      <c r="BS397" s="253">
        <f t="shared" si="502"/>
        <v>4.8487499999999999</v>
      </c>
      <c r="BT397" s="253" cm="1">
        <f t="array" ref="BT397">$BC397 * IF($AD397&lt;=2,
SUMPRODUCT(INDEX($AL$62:$AN$66,,$AE397), INDEX($AO$62:$AU$66,,$AD397), 1 / ($AV$62:$AV$66*BS397 + (1-$AV$62:$AV$66)*BO397), N($AK$62:$AK$66&gt;$AI397)),
SUMPRODUCT(INDEX($AL$47:$AN$56,,$AE397), INDEX($AO$47:$AU$56,,$AD397), 1 / ($AW$47:$AW$56*BS397 + (1-$AW$47:$AW$56)*BO397), N($AK$47:$AK$56&gt;$AI397))
) / 1000</f>
        <v>0</v>
      </c>
      <c r="BU397" s="253" cm="1">
        <f t="array" ref="BU397">$BC397 * IF($AD397&lt;=2,
SUMPRODUCT(INDEX($AL$23:$AN$61,,$AE397), INDEX($AO$23:$AU$61,,$AD397), 1 / ($AV$23:$AV$61*BS397), N($AK$23:$AK$61&gt;$AI397)),
SUMPRODUCT(INDEX($AL$23:$AN$46,,$AE397), INDEX($AO$23:$AU$46,,$AD397), 1 / ($AW$23:$AW$46*BS397), N($AK$23:$AK$46&gt;$AI397))
) / 1000</f>
        <v>0</v>
      </c>
      <c r="BV397" s="237">
        <f t="shared" si="503"/>
        <v>0</v>
      </c>
      <c r="BW397" s="210"/>
      <c r="BX397" s="237">
        <f t="shared" si="504"/>
        <v>0</v>
      </c>
      <c r="BY397" s="236">
        <v>35</v>
      </c>
      <c r="BZ397" s="237">
        <f t="shared" si="505"/>
        <v>48</v>
      </c>
      <c r="CA397" s="253">
        <f t="shared" si="506"/>
        <v>3.0748170731707316</v>
      </c>
      <c r="CB397" s="253" cm="1">
        <f t="array" ref="CB397">$BC397 * SUMPRODUCT(INDEX($AL$77:$AN$82,,$AE397),INDEX($AO$77:$AU$82,,$AD397), N($AK$77:$AK$82&gt;$AI397)) / CA397 / 1000</f>
        <v>0</v>
      </c>
      <c r="CC397" s="250">
        <f t="shared" si="486"/>
        <v>30</v>
      </c>
      <c r="CD397" s="237">
        <f t="shared" si="507"/>
        <v>43</v>
      </c>
      <c r="CE397" s="253">
        <f t="shared" si="508"/>
        <v>3.5018750000000001</v>
      </c>
      <c r="CF397" s="253" cm="1">
        <f t="array" ref="CF397">$BC397 * IF($AD397&lt;=2,
SUMPRODUCT(INDEX($AL$72:$AN$76,,$AE397), INDEX($AO$72:$AU$76,,$AD397), 1 / ($AV$72:$AV$76*CE397 + (1-$AV$72:$AV$76)*CA397), N($AK$72:$AK$76&gt;$AI397)),
SUMPRODUCT(INDEX($AL$67:$AN$76,,$AE397), INDEX($AO$67:$AU$76,,$AD397), 1 / ($AW$67:$AW$76*CE397 + (1-$AW$67:$AW$76)*CA397), N($AK$67:$AK$76&gt;$AI397))
) / 1000</f>
        <v>0</v>
      </c>
      <c r="CG397" s="250">
        <f t="shared" si="487"/>
        <v>25</v>
      </c>
      <c r="CH397" s="237">
        <f t="shared" si="509"/>
        <v>38</v>
      </c>
      <c r="CI397" s="253">
        <f t="shared" si="510"/>
        <v>4.0666935483870965</v>
      </c>
      <c r="CJ397" s="253" cm="1">
        <f t="array" ref="CJ397">$BC397 * IF($AD397&lt;=2,
SUMPRODUCT(INDEX($AL$67:$AN$71,,$AE397), INDEX($AO$67:$AU$71,,$AD397), 1 / ($AV$67:$AV$71*CI397 + (1-$AV$67:$AV$71)*CE397), N($AK$67:$AK$71&gt;$AI397)),
SUMPRODUCT(INDEX($AL$57:$AN$66,,$AE397), INDEX($AO$57:$AU$66,,$AD397), 1 / ($AW$57:$AW$66*CI397 + (1-$AW$57:$AW$66)*CE397), N($AK$57:$AK$66&gt;$AI397))
) / 1000</f>
        <v>0</v>
      </c>
      <c r="CK397" s="250">
        <f t="shared" si="488"/>
        <v>20</v>
      </c>
      <c r="CL397" s="237">
        <f t="shared" si="511"/>
        <v>33</v>
      </c>
      <c r="CM397" s="253">
        <f t="shared" si="512"/>
        <v>4.8487499999999999</v>
      </c>
      <c r="CN397" s="253" cm="1">
        <f t="array" ref="CN397">$BC397 * IF($AD397&lt;=2,
SUMPRODUCT(INDEX($AL$62:$AN$66,,$AE397), INDEX($AO$62:$AU$66,,$AD397), 1 / ($AV$62:$AV$66*CM397 + (1-$AV$62:$AV$66)*CI397), N($AK$62:$AK$66&gt;$AI397)),
SUMPRODUCT(INDEX($AL$47:$AN$56,,$AE397), INDEX($AO$47:$AU$56,,$AD397), 1 / ($AW$47:$AW$56*CM397 + (1-$AW$47:$AW$56)*CI397), N($AK$47:$AK$56&gt;$AI397))
) / 1000</f>
        <v>0</v>
      </c>
      <c r="CO397" s="253" cm="1">
        <f t="array" ref="CO397">$BC397 * IF($AD397&lt;=2,
SUMPRODUCT(INDEX($AL$23:$AN$61,,$AE397), INDEX($AO$23:$AU$61,,$AD397), 1 / ($AV$23:$AV$61*CM397), N($AK$23:$AK$61&gt;$AI397)),
SUMPRODUCT(INDEX($AL$23:$AN$46,,$AE397), INDEX($AO$23:$AU$46,,$AD397), 1 / ($AW$23:$AW$46*CM397), N($AK$23:$AK$46&gt;$AI397))
) / 1000</f>
        <v>0</v>
      </c>
      <c r="CP397" s="237">
        <f t="shared" si="513"/>
        <v>0</v>
      </c>
      <c r="CQ397" s="210"/>
    </row>
    <row r="398" spans="1:95" s="76" customFormat="1" ht="14.25" customHeight="1" x14ac:dyDescent="0.2">
      <c r="A398" s="238" t="b">
        <f t="shared" si="480"/>
        <v>0</v>
      </c>
      <c r="B398" s="239">
        <v>376</v>
      </c>
      <c r="C398" s="258"/>
      <c r="D398" s="258"/>
      <c r="E398" s="240"/>
      <c r="F398" s="241" t="str">
        <f>IF(ISBLANK(E398), "", VLOOKUP(E398, Z!$A$2:$C$4127, 3, FALSE))</f>
        <v/>
      </c>
      <c r="G398" s="242"/>
      <c r="H398" s="242"/>
      <c r="I398" s="243"/>
      <c r="J398" s="244"/>
      <c r="K398" s="259"/>
      <c r="L398" s="260"/>
      <c r="M398" s="247" t="str" cm="1">
        <f t="array" ref="M398">IF($K398&gt;0, INDEX(Clean,1+AG398,$C$1), "")</f>
        <v/>
      </c>
      <c r="N398" s="245"/>
      <c r="O398" s="245"/>
      <c r="P398" s="246"/>
      <c r="Q398" s="248">
        <f t="shared" si="490"/>
        <v>0</v>
      </c>
      <c r="R398" s="247" t="str" cm="1">
        <f t="array" ref="R398">IF($K398&gt;0, INDEX(Clean,1+AH398,$C$1), "")</f>
        <v/>
      </c>
      <c r="S398" s="245"/>
      <c r="T398" s="245"/>
      <c r="U398" s="246"/>
      <c r="V398" s="248">
        <f t="shared" si="491"/>
        <v>0</v>
      </c>
      <c r="W398" s="261"/>
      <c r="X398" s="258"/>
      <c r="Y398" s="240"/>
      <c r="Z398" s="241" t="str">
        <f>IF(ISBLANK(Y398), "", VLOOKUP(Y398, Z!$A$2:$C$4127, 3, FALSE))</f>
        <v/>
      </c>
      <c r="AA398" s="262"/>
      <c r="AB398" s="249">
        <f t="shared" si="489"/>
        <v>0</v>
      </c>
      <c r="AC398" s="210"/>
      <c r="AD398" s="236">
        <f t="shared" si="514"/>
        <v>1</v>
      </c>
      <c r="AE398" s="236">
        <f t="shared" si="515"/>
        <v>1</v>
      </c>
      <c r="AF398" s="236">
        <f t="shared" si="516"/>
        <v>0</v>
      </c>
      <c r="AG398" s="236">
        <v>1</v>
      </c>
      <c r="AH398" s="236">
        <v>0</v>
      </c>
      <c r="AI398" s="236">
        <f t="shared" si="492"/>
        <v>-100</v>
      </c>
      <c r="AJ398" s="210"/>
      <c r="AK398" s="254"/>
      <c r="AL398" s="254"/>
      <c r="AM398" s="255"/>
      <c r="AN398" s="255"/>
      <c r="AO398" s="255"/>
      <c r="AP398" s="255"/>
      <c r="AQ398" s="255"/>
      <c r="AR398" s="255"/>
      <c r="AS398" s="255"/>
      <c r="AT398" s="255"/>
      <c r="AU398" s="255"/>
      <c r="AV398" s="255"/>
      <c r="AW398" s="255"/>
      <c r="AX398" s="210"/>
      <c r="AY398" s="236" cm="1">
        <f t="array" ref="AY398">INDEX(Use, $AD398, 4)</f>
        <v>7</v>
      </c>
      <c r="AZ398" s="236">
        <f t="shared" si="493"/>
        <v>32</v>
      </c>
      <c r="BA398" s="236">
        <f t="shared" si="481"/>
        <v>13</v>
      </c>
      <c r="BB398" s="236">
        <f t="shared" si="482"/>
        <v>0</v>
      </c>
      <c r="BC398" s="252" cm="1">
        <f t="array" ref="BC398">K398/IF($L398&gt;0, INDEX($AO$23:$AU$77, $L398+20, $AD398), 1)</f>
        <v>0</v>
      </c>
      <c r="BD398" s="237">
        <f t="shared" si="494"/>
        <v>0</v>
      </c>
      <c r="BE398" s="236">
        <v>35</v>
      </c>
      <c r="BF398" s="237">
        <f t="shared" si="495"/>
        <v>52.55</v>
      </c>
      <c r="BG398" s="253">
        <f t="shared" si="496"/>
        <v>2.7676728869374316</v>
      </c>
      <c r="BH398" s="253" cm="1">
        <f t="array" ref="BH398">$BC398 * SUMPRODUCT(INDEX($AL$77:$AN$82,,$AE398),INDEX($AO$77:$AU$82,,$AD398), N($AK$77:$AK$82&gt;$AI398)) / BG398 / 1000</f>
        <v>0</v>
      </c>
      <c r="BI398" s="250">
        <f t="shared" si="483"/>
        <v>30</v>
      </c>
      <c r="BJ398" s="237">
        <f t="shared" si="497"/>
        <v>46.033333333333331</v>
      </c>
      <c r="BK398" s="253">
        <f t="shared" si="498"/>
        <v>3.2297395388556791</v>
      </c>
      <c r="BL398" s="253" cm="1">
        <f t="array" ref="BL398">$BC398 * IF($AD398&lt;=2,
SUMPRODUCT(INDEX($AL$72:$AN$76,,$AE398), INDEX($AO$72:$AU$76,,$AD398), 1 / ($AV$72:$AV$76*BK398 + (1-$AV$72:$AV$76)*BG398), N($AK$72:$AK$76&gt;$AI398)),
SUMPRODUCT(INDEX($AL$67:$AN$76,,$AE398), INDEX($AO$67:$AU$76,,$AD398), 1 / ($AW$67:$AW$76*BK398 + (1-$AW$67:$AW$76)*BG398), N($AK$67:$AK$76&gt;$AI398))
) / 1000</f>
        <v>0</v>
      </c>
      <c r="BM398" s="250">
        <f t="shared" si="484"/>
        <v>25</v>
      </c>
      <c r="BN398" s="237">
        <f t="shared" si="499"/>
        <v>39.516666666666666</v>
      </c>
      <c r="BO398" s="253">
        <f t="shared" si="500"/>
        <v>3.877011788826243</v>
      </c>
      <c r="BP398" s="253" cm="1">
        <f t="array" ref="BP398">$BC398 * IF($AD398&lt;=2,
SUMPRODUCT(INDEX($AL$67:$AN$71,,$AE398), INDEX($AO$67:$AU$71,,$AD398), 1 / ($AV$67:$AV$71*BO398 + (1-$AV$67:$AV$71)*BK398), N($AK$67:$AK$71&gt;$AI398)),
SUMPRODUCT(INDEX($AL$57:$AN$66,,$AE398), INDEX($AO$57:$AU$66,,$AD398), 1 / ($AW$57:$AW$66*BO398 + (1-$AW$57:$AW$66)*BK398), N($AK$57:$AK$66&gt;$AI398))
) / 1000</f>
        <v>0</v>
      </c>
      <c r="BQ398" s="250">
        <f t="shared" si="485"/>
        <v>20</v>
      </c>
      <c r="BR398" s="237">
        <f t="shared" si="501"/>
        <v>33</v>
      </c>
      <c r="BS398" s="253">
        <f t="shared" si="502"/>
        <v>4.8487499999999999</v>
      </c>
      <c r="BT398" s="253" cm="1">
        <f t="array" ref="BT398">$BC398 * IF($AD398&lt;=2,
SUMPRODUCT(INDEX($AL$62:$AN$66,,$AE398), INDEX($AO$62:$AU$66,,$AD398), 1 / ($AV$62:$AV$66*BS398 + (1-$AV$62:$AV$66)*BO398), N($AK$62:$AK$66&gt;$AI398)),
SUMPRODUCT(INDEX($AL$47:$AN$56,,$AE398), INDEX($AO$47:$AU$56,,$AD398), 1 / ($AW$47:$AW$56*BS398 + (1-$AW$47:$AW$56)*BO398), N($AK$47:$AK$56&gt;$AI398))
) / 1000</f>
        <v>0</v>
      </c>
      <c r="BU398" s="253" cm="1">
        <f t="array" ref="BU398">$BC398 * IF($AD398&lt;=2,
SUMPRODUCT(INDEX($AL$23:$AN$61,,$AE398), INDEX($AO$23:$AU$61,,$AD398), 1 / ($AV$23:$AV$61*BS398), N($AK$23:$AK$61&gt;$AI398)),
SUMPRODUCT(INDEX($AL$23:$AN$46,,$AE398), INDEX($AO$23:$AU$46,,$AD398), 1 / ($AW$23:$AW$46*BS398), N($AK$23:$AK$46&gt;$AI398))
) / 1000</f>
        <v>0</v>
      </c>
      <c r="BV398" s="237">
        <f t="shared" si="503"/>
        <v>0</v>
      </c>
      <c r="BW398" s="210"/>
      <c r="BX398" s="237">
        <f t="shared" si="504"/>
        <v>0</v>
      </c>
      <c r="BY398" s="236">
        <v>35</v>
      </c>
      <c r="BZ398" s="237">
        <f t="shared" si="505"/>
        <v>48</v>
      </c>
      <c r="CA398" s="253">
        <f t="shared" si="506"/>
        <v>3.0748170731707316</v>
      </c>
      <c r="CB398" s="253" cm="1">
        <f t="array" ref="CB398">$BC398 * SUMPRODUCT(INDEX($AL$77:$AN$82,,$AE398),INDEX($AO$77:$AU$82,,$AD398), N($AK$77:$AK$82&gt;$AI398)) / CA398 / 1000</f>
        <v>0</v>
      </c>
      <c r="CC398" s="250">
        <f t="shared" si="486"/>
        <v>30</v>
      </c>
      <c r="CD398" s="237">
        <f t="shared" si="507"/>
        <v>43</v>
      </c>
      <c r="CE398" s="253">
        <f t="shared" si="508"/>
        <v>3.5018750000000001</v>
      </c>
      <c r="CF398" s="253" cm="1">
        <f t="array" ref="CF398">$BC398 * IF($AD398&lt;=2,
SUMPRODUCT(INDEX($AL$72:$AN$76,,$AE398), INDEX($AO$72:$AU$76,,$AD398), 1 / ($AV$72:$AV$76*CE398 + (1-$AV$72:$AV$76)*CA398), N($AK$72:$AK$76&gt;$AI398)),
SUMPRODUCT(INDEX($AL$67:$AN$76,,$AE398), INDEX($AO$67:$AU$76,,$AD398), 1 / ($AW$67:$AW$76*CE398 + (1-$AW$67:$AW$76)*CA398), N($AK$67:$AK$76&gt;$AI398))
) / 1000</f>
        <v>0</v>
      </c>
      <c r="CG398" s="250">
        <f t="shared" si="487"/>
        <v>25</v>
      </c>
      <c r="CH398" s="237">
        <f t="shared" si="509"/>
        <v>38</v>
      </c>
      <c r="CI398" s="253">
        <f t="shared" si="510"/>
        <v>4.0666935483870965</v>
      </c>
      <c r="CJ398" s="253" cm="1">
        <f t="array" ref="CJ398">$BC398 * IF($AD398&lt;=2,
SUMPRODUCT(INDEX($AL$67:$AN$71,,$AE398), INDEX($AO$67:$AU$71,,$AD398), 1 / ($AV$67:$AV$71*CI398 + (1-$AV$67:$AV$71)*CE398), N($AK$67:$AK$71&gt;$AI398)),
SUMPRODUCT(INDEX($AL$57:$AN$66,,$AE398), INDEX($AO$57:$AU$66,,$AD398), 1 / ($AW$57:$AW$66*CI398 + (1-$AW$57:$AW$66)*CE398), N($AK$57:$AK$66&gt;$AI398))
) / 1000</f>
        <v>0</v>
      </c>
      <c r="CK398" s="250">
        <f t="shared" si="488"/>
        <v>20</v>
      </c>
      <c r="CL398" s="237">
        <f t="shared" si="511"/>
        <v>33</v>
      </c>
      <c r="CM398" s="253">
        <f t="shared" si="512"/>
        <v>4.8487499999999999</v>
      </c>
      <c r="CN398" s="253" cm="1">
        <f t="array" ref="CN398">$BC398 * IF($AD398&lt;=2,
SUMPRODUCT(INDEX($AL$62:$AN$66,,$AE398), INDEX($AO$62:$AU$66,,$AD398), 1 / ($AV$62:$AV$66*CM398 + (1-$AV$62:$AV$66)*CI398), N($AK$62:$AK$66&gt;$AI398)),
SUMPRODUCT(INDEX($AL$47:$AN$56,,$AE398), INDEX($AO$47:$AU$56,,$AD398), 1 / ($AW$47:$AW$56*CM398 + (1-$AW$47:$AW$56)*CI398), N($AK$47:$AK$56&gt;$AI398))
) / 1000</f>
        <v>0</v>
      </c>
      <c r="CO398" s="253" cm="1">
        <f t="array" ref="CO398">$BC398 * IF($AD398&lt;=2,
SUMPRODUCT(INDEX($AL$23:$AN$61,,$AE398), INDEX($AO$23:$AU$61,,$AD398), 1 / ($AV$23:$AV$61*CM398), N($AK$23:$AK$61&gt;$AI398)),
SUMPRODUCT(INDEX($AL$23:$AN$46,,$AE398), INDEX($AO$23:$AU$46,,$AD398), 1 / ($AW$23:$AW$46*CM398), N($AK$23:$AK$46&gt;$AI398))
) / 1000</f>
        <v>0</v>
      </c>
      <c r="CP398" s="237">
        <f t="shared" si="513"/>
        <v>0</v>
      </c>
      <c r="CQ398" s="210"/>
    </row>
    <row r="399" spans="1:95" s="76" customFormat="1" ht="14.25" customHeight="1" x14ac:dyDescent="0.2">
      <c r="A399" s="238" t="b">
        <f t="shared" si="480"/>
        <v>0</v>
      </c>
      <c r="B399" s="239">
        <v>377</v>
      </c>
      <c r="C399" s="258"/>
      <c r="D399" s="258"/>
      <c r="E399" s="240"/>
      <c r="F399" s="241" t="str">
        <f>IF(ISBLANK(E399), "", VLOOKUP(E399, Z!$A$2:$C$4127, 3, FALSE))</f>
        <v/>
      </c>
      <c r="G399" s="242"/>
      <c r="H399" s="242"/>
      <c r="I399" s="243"/>
      <c r="J399" s="244"/>
      <c r="K399" s="259"/>
      <c r="L399" s="260"/>
      <c r="M399" s="247" t="str" cm="1">
        <f t="array" ref="M399">IF($K399&gt;0, INDEX(Clean,1+AG399,$C$1), "")</f>
        <v/>
      </c>
      <c r="N399" s="245"/>
      <c r="O399" s="245"/>
      <c r="P399" s="246"/>
      <c r="Q399" s="248">
        <f t="shared" si="490"/>
        <v>0</v>
      </c>
      <c r="R399" s="247" t="str" cm="1">
        <f t="array" ref="R399">IF($K399&gt;0, INDEX(Clean,1+AH399,$C$1), "")</f>
        <v/>
      </c>
      <c r="S399" s="245"/>
      <c r="T399" s="245"/>
      <c r="U399" s="246"/>
      <c r="V399" s="248">
        <f t="shared" si="491"/>
        <v>0</v>
      </c>
      <c r="W399" s="261"/>
      <c r="X399" s="258"/>
      <c r="Y399" s="240"/>
      <c r="Z399" s="241" t="str">
        <f>IF(ISBLANK(Y399), "", VLOOKUP(Y399, Z!$A$2:$C$4127, 3, FALSE))</f>
        <v/>
      </c>
      <c r="AA399" s="262"/>
      <c r="AB399" s="249">
        <f t="shared" si="489"/>
        <v>0</v>
      </c>
      <c r="AC399" s="210"/>
      <c r="AD399" s="236">
        <f t="shared" si="514"/>
        <v>1</v>
      </c>
      <c r="AE399" s="236">
        <f t="shared" si="515"/>
        <v>1</v>
      </c>
      <c r="AF399" s="236">
        <f t="shared" si="516"/>
        <v>0</v>
      </c>
      <c r="AG399" s="236">
        <v>1</v>
      </c>
      <c r="AH399" s="236">
        <v>0</v>
      </c>
      <c r="AI399" s="236">
        <f t="shared" si="492"/>
        <v>-100</v>
      </c>
      <c r="AJ399" s="210"/>
      <c r="AK399" s="254"/>
      <c r="AL399" s="254"/>
      <c r="AM399" s="255"/>
      <c r="AN399" s="255"/>
      <c r="AO399" s="255"/>
      <c r="AP399" s="255"/>
      <c r="AQ399" s="255"/>
      <c r="AR399" s="255"/>
      <c r="AS399" s="255"/>
      <c r="AT399" s="255"/>
      <c r="AU399" s="255"/>
      <c r="AV399" s="255"/>
      <c r="AW399" s="255"/>
      <c r="AX399" s="210"/>
      <c r="AY399" s="236" cm="1">
        <f t="array" ref="AY399">INDEX(Use, $AD399, 4)</f>
        <v>7</v>
      </c>
      <c r="AZ399" s="236">
        <f t="shared" si="493"/>
        <v>32</v>
      </c>
      <c r="BA399" s="236">
        <f t="shared" si="481"/>
        <v>13</v>
      </c>
      <c r="BB399" s="236">
        <f t="shared" si="482"/>
        <v>0</v>
      </c>
      <c r="BC399" s="252" cm="1">
        <f t="array" ref="BC399">K399/IF($L399&gt;0, INDEX($AO$23:$AU$77, $L399+20, $AD399), 1)</f>
        <v>0</v>
      </c>
      <c r="BD399" s="237">
        <f t="shared" si="494"/>
        <v>0</v>
      </c>
      <c r="BE399" s="236">
        <v>35</v>
      </c>
      <c r="BF399" s="237">
        <f t="shared" si="495"/>
        <v>52.55</v>
      </c>
      <c r="BG399" s="253">
        <f t="shared" si="496"/>
        <v>2.7676728869374316</v>
      </c>
      <c r="BH399" s="253" cm="1">
        <f t="array" ref="BH399">$BC399 * SUMPRODUCT(INDEX($AL$77:$AN$82,,$AE399),INDEX($AO$77:$AU$82,,$AD399), N($AK$77:$AK$82&gt;$AI399)) / BG399 / 1000</f>
        <v>0</v>
      </c>
      <c r="BI399" s="250">
        <f t="shared" si="483"/>
        <v>30</v>
      </c>
      <c r="BJ399" s="237">
        <f t="shared" si="497"/>
        <v>46.033333333333331</v>
      </c>
      <c r="BK399" s="253">
        <f t="shared" si="498"/>
        <v>3.2297395388556791</v>
      </c>
      <c r="BL399" s="253" cm="1">
        <f t="array" ref="BL399">$BC399 * IF($AD399&lt;=2,
SUMPRODUCT(INDEX($AL$72:$AN$76,,$AE399), INDEX($AO$72:$AU$76,,$AD399), 1 / ($AV$72:$AV$76*BK399 + (1-$AV$72:$AV$76)*BG399), N($AK$72:$AK$76&gt;$AI399)),
SUMPRODUCT(INDEX($AL$67:$AN$76,,$AE399), INDEX($AO$67:$AU$76,,$AD399), 1 / ($AW$67:$AW$76*BK399 + (1-$AW$67:$AW$76)*BG399), N($AK$67:$AK$76&gt;$AI399))
) / 1000</f>
        <v>0</v>
      </c>
      <c r="BM399" s="250">
        <f t="shared" si="484"/>
        <v>25</v>
      </c>
      <c r="BN399" s="237">
        <f t="shared" si="499"/>
        <v>39.516666666666666</v>
      </c>
      <c r="BO399" s="253">
        <f t="shared" si="500"/>
        <v>3.877011788826243</v>
      </c>
      <c r="BP399" s="253" cm="1">
        <f t="array" ref="BP399">$BC399 * IF($AD399&lt;=2,
SUMPRODUCT(INDEX($AL$67:$AN$71,,$AE399), INDEX($AO$67:$AU$71,,$AD399), 1 / ($AV$67:$AV$71*BO399 + (1-$AV$67:$AV$71)*BK399), N($AK$67:$AK$71&gt;$AI399)),
SUMPRODUCT(INDEX($AL$57:$AN$66,,$AE399), INDEX($AO$57:$AU$66,,$AD399), 1 / ($AW$57:$AW$66*BO399 + (1-$AW$57:$AW$66)*BK399), N($AK$57:$AK$66&gt;$AI399))
) / 1000</f>
        <v>0</v>
      </c>
      <c r="BQ399" s="250">
        <f t="shared" si="485"/>
        <v>20</v>
      </c>
      <c r="BR399" s="237">
        <f t="shared" si="501"/>
        <v>33</v>
      </c>
      <c r="BS399" s="253">
        <f t="shared" si="502"/>
        <v>4.8487499999999999</v>
      </c>
      <c r="BT399" s="253" cm="1">
        <f t="array" ref="BT399">$BC399 * IF($AD399&lt;=2,
SUMPRODUCT(INDEX($AL$62:$AN$66,,$AE399), INDEX($AO$62:$AU$66,,$AD399), 1 / ($AV$62:$AV$66*BS399 + (1-$AV$62:$AV$66)*BO399), N($AK$62:$AK$66&gt;$AI399)),
SUMPRODUCT(INDEX($AL$47:$AN$56,,$AE399), INDEX($AO$47:$AU$56,,$AD399), 1 / ($AW$47:$AW$56*BS399 + (1-$AW$47:$AW$56)*BO399), N($AK$47:$AK$56&gt;$AI399))
) / 1000</f>
        <v>0</v>
      </c>
      <c r="BU399" s="253" cm="1">
        <f t="array" ref="BU399">$BC399 * IF($AD399&lt;=2,
SUMPRODUCT(INDEX($AL$23:$AN$61,,$AE399), INDEX($AO$23:$AU$61,,$AD399), 1 / ($AV$23:$AV$61*BS399), N($AK$23:$AK$61&gt;$AI399)),
SUMPRODUCT(INDEX($AL$23:$AN$46,,$AE399), INDEX($AO$23:$AU$46,,$AD399), 1 / ($AW$23:$AW$46*BS399), N($AK$23:$AK$46&gt;$AI399))
) / 1000</f>
        <v>0</v>
      </c>
      <c r="BV399" s="237">
        <f t="shared" si="503"/>
        <v>0</v>
      </c>
      <c r="BW399" s="210"/>
      <c r="BX399" s="237">
        <f t="shared" si="504"/>
        <v>0</v>
      </c>
      <c r="BY399" s="236">
        <v>35</v>
      </c>
      <c r="BZ399" s="237">
        <f t="shared" si="505"/>
        <v>48</v>
      </c>
      <c r="CA399" s="253">
        <f t="shared" si="506"/>
        <v>3.0748170731707316</v>
      </c>
      <c r="CB399" s="253" cm="1">
        <f t="array" ref="CB399">$BC399 * SUMPRODUCT(INDEX($AL$77:$AN$82,,$AE399),INDEX($AO$77:$AU$82,,$AD399), N($AK$77:$AK$82&gt;$AI399)) / CA399 / 1000</f>
        <v>0</v>
      </c>
      <c r="CC399" s="250">
        <f t="shared" si="486"/>
        <v>30</v>
      </c>
      <c r="CD399" s="237">
        <f t="shared" si="507"/>
        <v>43</v>
      </c>
      <c r="CE399" s="253">
        <f t="shared" si="508"/>
        <v>3.5018750000000001</v>
      </c>
      <c r="CF399" s="253" cm="1">
        <f t="array" ref="CF399">$BC399 * IF($AD399&lt;=2,
SUMPRODUCT(INDEX($AL$72:$AN$76,,$AE399), INDEX($AO$72:$AU$76,,$AD399), 1 / ($AV$72:$AV$76*CE399 + (1-$AV$72:$AV$76)*CA399), N($AK$72:$AK$76&gt;$AI399)),
SUMPRODUCT(INDEX($AL$67:$AN$76,,$AE399), INDEX($AO$67:$AU$76,,$AD399), 1 / ($AW$67:$AW$76*CE399 + (1-$AW$67:$AW$76)*CA399), N($AK$67:$AK$76&gt;$AI399))
) / 1000</f>
        <v>0</v>
      </c>
      <c r="CG399" s="250">
        <f t="shared" si="487"/>
        <v>25</v>
      </c>
      <c r="CH399" s="237">
        <f t="shared" si="509"/>
        <v>38</v>
      </c>
      <c r="CI399" s="253">
        <f t="shared" si="510"/>
        <v>4.0666935483870965</v>
      </c>
      <c r="CJ399" s="253" cm="1">
        <f t="array" ref="CJ399">$BC399 * IF($AD399&lt;=2,
SUMPRODUCT(INDEX($AL$67:$AN$71,,$AE399), INDEX($AO$67:$AU$71,,$AD399), 1 / ($AV$67:$AV$71*CI399 + (1-$AV$67:$AV$71)*CE399), N($AK$67:$AK$71&gt;$AI399)),
SUMPRODUCT(INDEX($AL$57:$AN$66,,$AE399), INDEX($AO$57:$AU$66,,$AD399), 1 / ($AW$57:$AW$66*CI399 + (1-$AW$57:$AW$66)*CE399), N($AK$57:$AK$66&gt;$AI399))
) / 1000</f>
        <v>0</v>
      </c>
      <c r="CK399" s="250">
        <f t="shared" si="488"/>
        <v>20</v>
      </c>
      <c r="CL399" s="237">
        <f t="shared" si="511"/>
        <v>33</v>
      </c>
      <c r="CM399" s="253">
        <f t="shared" si="512"/>
        <v>4.8487499999999999</v>
      </c>
      <c r="CN399" s="253" cm="1">
        <f t="array" ref="CN399">$BC399 * IF($AD399&lt;=2,
SUMPRODUCT(INDEX($AL$62:$AN$66,,$AE399), INDEX($AO$62:$AU$66,,$AD399), 1 / ($AV$62:$AV$66*CM399 + (1-$AV$62:$AV$66)*CI399), N($AK$62:$AK$66&gt;$AI399)),
SUMPRODUCT(INDEX($AL$47:$AN$56,,$AE399), INDEX($AO$47:$AU$56,,$AD399), 1 / ($AW$47:$AW$56*CM399 + (1-$AW$47:$AW$56)*CI399), N($AK$47:$AK$56&gt;$AI399))
) / 1000</f>
        <v>0</v>
      </c>
      <c r="CO399" s="253" cm="1">
        <f t="array" ref="CO399">$BC399 * IF($AD399&lt;=2,
SUMPRODUCT(INDEX($AL$23:$AN$61,,$AE399), INDEX($AO$23:$AU$61,,$AD399), 1 / ($AV$23:$AV$61*CM399), N($AK$23:$AK$61&gt;$AI399)),
SUMPRODUCT(INDEX($AL$23:$AN$46,,$AE399), INDEX($AO$23:$AU$46,,$AD399), 1 / ($AW$23:$AW$46*CM399), N($AK$23:$AK$46&gt;$AI399))
) / 1000</f>
        <v>0</v>
      </c>
      <c r="CP399" s="237">
        <f t="shared" si="513"/>
        <v>0</v>
      </c>
      <c r="CQ399" s="210"/>
    </row>
    <row r="400" spans="1:95" s="76" customFormat="1" ht="14.25" customHeight="1" x14ac:dyDescent="0.2">
      <c r="A400" s="238" t="b">
        <f t="shared" si="480"/>
        <v>0</v>
      </c>
      <c r="B400" s="239">
        <v>378</v>
      </c>
      <c r="C400" s="258"/>
      <c r="D400" s="258"/>
      <c r="E400" s="240"/>
      <c r="F400" s="241" t="str">
        <f>IF(ISBLANK(E400), "", VLOOKUP(E400, Z!$A$2:$C$4127, 3, FALSE))</f>
        <v/>
      </c>
      <c r="G400" s="242"/>
      <c r="H400" s="242"/>
      <c r="I400" s="243"/>
      <c r="J400" s="244"/>
      <c r="K400" s="259"/>
      <c r="L400" s="260"/>
      <c r="M400" s="247" t="str" cm="1">
        <f t="array" ref="M400">IF($K400&gt;0, INDEX(Clean,1+AG400,$C$1), "")</f>
        <v/>
      </c>
      <c r="N400" s="245"/>
      <c r="O400" s="245"/>
      <c r="P400" s="246"/>
      <c r="Q400" s="248">
        <f t="shared" si="490"/>
        <v>0</v>
      </c>
      <c r="R400" s="247" t="str" cm="1">
        <f t="array" ref="R400">IF($K400&gt;0, INDEX(Clean,1+AH400,$C$1), "")</f>
        <v/>
      </c>
      <c r="S400" s="245"/>
      <c r="T400" s="245"/>
      <c r="U400" s="246"/>
      <c r="V400" s="248">
        <f t="shared" si="491"/>
        <v>0</v>
      </c>
      <c r="W400" s="261"/>
      <c r="X400" s="258"/>
      <c r="Y400" s="240"/>
      <c r="Z400" s="241" t="str">
        <f>IF(ISBLANK(Y400), "", VLOOKUP(Y400, Z!$A$2:$C$4127, 3, FALSE))</f>
        <v/>
      </c>
      <c r="AA400" s="262"/>
      <c r="AB400" s="249">
        <f t="shared" si="489"/>
        <v>0</v>
      </c>
      <c r="AC400" s="210"/>
      <c r="AD400" s="236">
        <f t="shared" si="514"/>
        <v>1</v>
      </c>
      <c r="AE400" s="236">
        <f t="shared" si="515"/>
        <v>1</v>
      </c>
      <c r="AF400" s="236">
        <f t="shared" si="516"/>
        <v>0</v>
      </c>
      <c r="AG400" s="236">
        <v>1</v>
      </c>
      <c r="AH400" s="236">
        <v>0</v>
      </c>
      <c r="AI400" s="236">
        <f t="shared" si="492"/>
        <v>-100</v>
      </c>
      <c r="AJ400" s="210"/>
      <c r="AK400" s="254"/>
      <c r="AL400" s="254"/>
      <c r="AM400" s="255"/>
      <c r="AN400" s="255"/>
      <c r="AO400" s="255"/>
      <c r="AP400" s="255"/>
      <c r="AQ400" s="255"/>
      <c r="AR400" s="255"/>
      <c r="AS400" s="255"/>
      <c r="AT400" s="255"/>
      <c r="AU400" s="255"/>
      <c r="AV400" s="255"/>
      <c r="AW400" s="255"/>
      <c r="AX400" s="210"/>
      <c r="AY400" s="236" cm="1">
        <f t="array" ref="AY400">INDEX(Use, $AD400, 4)</f>
        <v>7</v>
      </c>
      <c r="AZ400" s="236">
        <f t="shared" si="493"/>
        <v>32</v>
      </c>
      <c r="BA400" s="236">
        <f t="shared" si="481"/>
        <v>13</v>
      </c>
      <c r="BB400" s="236">
        <f t="shared" si="482"/>
        <v>0</v>
      </c>
      <c r="BC400" s="252" cm="1">
        <f t="array" ref="BC400">K400/IF($L400&gt;0, INDEX($AO$23:$AU$77, $L400+20, $AD400), 1)</f>
        <v>0</v>
      </c>
      <c r="BD400" s="237">
        <f t="shared" si="494"/>
        <v>0</v>
      </c>
      <c r="BE400" s="236">
        <v>35</v>
      </c>
      <c r="BF400" s="237">
        <f t="shared" si="495"/>
        <v>52.55</v>
      </c>
      <c r="BG400" s="253">
        <f t="shared" si="496"/>
        <v>2.7676728869374316</v>
      </c>
      <c r="BH400" s="253" cm="1">
        <f t="array" ref="BH400">$BC400 * SUMPRODUCT(INDEX($AL$77:$AN$82,,$AE400),INDEX($AO$77:$AU$82,,$AD400), N($AK$77:$AK$82&gt;$AI400)) / BG400 / 1000</f>
        <v>0</v>
      </c>
      <c r="BI400" s="250">
        <f t="shared" si="483"/>
        <v>30</v>
      </c>
      <c r="BJ400" s="237">
        <f t="shared" si="497"/>
        <v>46.033333333333331</v>
      </c>
      <c r="BK400" s="253">
        <f t="shared" si="498"/>
        <v>3.2297395388556791</v>
      </c>
      <c r="BL400" s="253" cm="1">
        <f t="array" ref="BL400">$BC400 * IF($AD400&lt;=2,
SUMPRODUCT(INDEX($AL$72:$AN$76,,$AE400), INDEX($AO$72:$AU$76,,$AD400), 1 / ($AV$72:$AV$76*BK400 + (1-$AV$72:$AV$76)*BG400), N($AK$72:$AK$76&gt;$AI400)),
SUMPRODUCT(INDEX($AL$67:$AN$76,,$AE400), INDEX($AO$67:$AU$76,,$AD400), 1 / ($AW$67:$AW$76*BK400 + (1-$AW$67:$AW$76)*BG400), N($AK$67:$AK$76&gt;$AI400))
) / 1000</f>
        <v>0</v>
      </c>
      <c r="BM400" s="250">
        <f t="shared" si="484"/>
        <v>25</v>
      </c>
      <c r="BN400" s="237">
        <f t="shared" si="499"/>
        <v>39.516666666666666</v>
      </c>
      <c r="BO400" s="253">
        <f t="shared" si="500"/>
        <v>3.877011788826243</v>
      </c>
      <c r="BP400" s="253" cm="1">
        <f t="array" ref="BP400">$BC400 * IF($AD400&lt;=2,
SUMPRODUCT(INDEX($AL$67:$AN$71,,$AE400), INDEX($AO$67:$AU$71,,$AD400), 1 / ($AV$67:$AV$71*BO400 + (1-$AV$67:$AV$71)*BK400), N($AK$67:$AK$71&gt;$AI400)),
SUMPRODUCT(INDEX($AL$57:$AN$66,,$AE400), INDEX($AO$57:$AU$66,,$AD400), 1 / ($AW$57:$AW$66*BO400 + (1-$AW$57:$AW$66)*BK400), N($AK$57:$AK$66&gt;$AI400))
) / 1000</f>
        <v>0</v>
      </c>
      <c r="BQ400" s="250">
        <f t="shared" si="485"/>
        <v>20</v>
      </c>
      <c r="BR400" s="237">
        <f t="shared" si="501"/>
        <v>33</v>
      </c>
      <c r="BS400" s="253">
        <f t="shared" si="502"/>
        <v>4.8487499999999999</v>
      </c>
      <c r="BT400" s="253" cm="1">
        <f t="array" ref="BT400">$BC400 * IF($AD400&lt;=2,
SUMPRODUCT(INDEX($AL$62:$AN$66,,$AE400), INDEX($AO$62:$AU$66,,$AD400), 1 / ($AV$62:$AV$66*BS400 + (1-$AV$62:$AV$66)*BO400), N($AK$62:$AK$66&gt;$AI400)),
SUMPRODUCT(INDEX($AL$47:$AN$56,,$AE400), INDEX($AO$47:$AU$56,,$AD400), 1 / ($AW$47:$AW$56*BS400 + (1-$AW$47:$AW$56)*BO400), N($AK$47:$AK$56&gt;$AI400))
) / 1000</f>
        <v>0</v>
      </c>
      <c r="BU400" s="253" cm="1">
        <f t="array" ref="BU400">$BC400 * IF($AD400&lt;=2,
SUMPRODUCT(INDEX($AL$23:$AN$61,,$AE400), INDEX($AO$23:$AU$61,,$AD400), 1 / ($AV$23:$AV$61*BS400), N($AK$23:$AK$61&gt;$AI400)),
SUMPRODUCT(INDEX($AL$23:$AN$46,,$AE400), INDEX($AO$23:$AU$46,,$AD400), 1 / ($AW$23:$AW$46*BS400), N($AK$23:$AK$46&gt;$AI400))
) / 1000</f>
        <v>0</v>
      </c>
      <c r="BV400" s="237">
        <f t="shared" si="503"/>
        <v>0</v>
      </c>
      <c r="BW400" s="210"/>
      <c r="BX400" s="237">
        <f t="shared" si="504"/>
        <v>0</v>
      </c>
      <c r="BY400" s="236">
        <v>35</v>
      </c>
      <c r="BZ400" s="237">
        <f t="shared" si="505"/>
        <v>48</v>
      </c>
      <c r="CA400" s="253">
        <f t="shared" si="506"/>
        <v>3.0748170731707316</v>
      </c>
      <c r="CB400" s="253" cm="1">
        <f t="array" ref="CB400">$BC400 * SUMPRODUCT(INDEX($AL$77:$AN$82,,$AE400),INDEX($AO$77:$AU$82,,$AD400), N($AK$77:$AK$82&gt;$AI400)) / CA400 / 1000</f>
        <v>0</v>
      </c>
      <c r="CC400" s="250">
        <f t="shared" si="486"/>
        <v>30</v>
      </c>
      <c r="CD400" s="237">
        <f t="shared" si="507"/>
        <v>43</v>
      </c>
      <c r="CE400" s="253">
        <f t="shared" si="508"/>
        <v>3.5018750000000001</v>
      </c>
      <c r="CF400" s="253" cm="1">
        <f t="array" ref="CF400">$BC400 * IF($AD400&lt;=2,
SUMPRODUCT(INDEX($AL$72:$AN$76,,$AE400), INDEX($AO$72:$AU$76,,$AD400), 1 / ($AV$72:$AV$76*CE400 + (1-$AV$72:$AV$76)*CA400), N($AK$72:$AK$76&gt;$AI400)),
SUMPRODUCT(INDEX($AL$67:$AN$76,,$AE400), INDEX($AO$67:$AU$76,,$AD400), 1 / ($AW$67:$AW$76*CE400 + (1-$AW$67:$AW$76)*CA400), N($AK$67:$AK$76&gt;$AI400))
) / 1000</f>
        <v>0</v>
      </c>
      <c r="CG400" s="250">
        <f t="shared" si="487"/>
        <v>25</v>
      </c>
      <c r="CH400" s="237">
        <f t="shared" si="509"/>
        <v>38</v>
      </c>
      <c r="CI400" s="253">
        <f t="shared" si="510"/>
        <v>4.0666935483870965</v>
      </c>
      <c r="CJ400" s="253" cm="1">
        <f t="array" ref="CJ400">$BC400 * IF($AD400&lt;=2,
SUMPRODUCT(INDEX($AL$67:$AN$71,,$AE400), INDEX($AO$67:$AU$71,,$AD400), 1 / ($AV$67:$AV$71*CI400 + (1-$AV$67:$AV$71)*CE400), N($AK$67:$AK$71&gt;$AI400)),
SUMPRODUCT(INDEX($AL$57:$AN$66,,$AE400), INDEX($AO$57:$AU$66,,$AD400), 1 / ($AW$57:$AW$66*CI400 + (1-$AW$57:$AW$66)*CE400), N($AK$57:$AK$66&gt;$AI400))
) / 1000</f>
        <v>0</v>
      </c>
      <c r="CK400" s="250">
        <f t="shared" si="488"/>
        <v>20</v>
      </c>
      <c r="CL400" s="237">
        <f t="shared" si="511"/>
        <v>33</v>
      </c>
      <c r="CM400" s="253">
        <f t="shared" si="512"/>
        <v>4.8487499999999999</v>
      </c>
      <c r="CN400" s="253" cm="1">
        <f t="array" ref="CN400">$BC400 * IF($AD400&lt;=2,
SUMPRODUCT(INDEX($AL$62:$AN$66,,$AE400), INDEX($AO$62:$AU$66,,$AD400), 1 / ($AV$62:$AV$66*CM400 + (1-$AV$62:$AV$66)*CI400), N($AK$62:$AK$66&gt;$AI400)),
SUMPRODUCT(INDEX($AL$47:$AN$56,,$AE400), INDEX($AO$47:$AU$56,,$AD400), 1 / ($AW$47:$AW$56*CM400 + (1-$AW$47:$AW$56)*CI400), N($AK$47:$AK$56&gt;$AI400))
) / 1000</f>
        <v>0</v>
      </c>
      <c r="CO400" s="253" cm="1">
        <f t="array" ref="CO400">$BC400 * IF($AD400&lt;=2,
SUMPRODUCT(INDEX($AL$23:$AN$61,,$AE400), INDEX($AO$23:$AU$61,,$AD400), 1 / ($AV$23:$AV$61*CM400), N($AK$23:$AK$61&gt;$AI400)),
SUMPRODUCT(INDEX($AL$23:$AN$46,,$AE400), INDEX($AO$23:$AU$46,,$AD400), 1 / ($AW$23:$AW$46*CM400), N($AK$23:$AK$46&gt;$AI400))
) / 1000</f>
        <v>0</v>
      </c>
      <c r="CP400" s="237">
        <f t="shared" si="513"/>
        <v>0</v>
      </c>
      <c r="CQ400" s="210"/>
    </row>
    <row r="401" spans="1:95" s="76" customFormat="1" ht="14.25" customHeight="1" x14ac:dyDescent="0.2">
      <c r="A401" s="238" t="b">
        <f t="shared" si="480"/>
        <v>0</v>
      </c>
      <c r="B401" s="239">
        <v>379</v>
      </c>
      <c r="C401" s="258"/>
      <c r="D401" s="258"/>
      <c r="E401" s="240"/>
      <c r="F401" s="241" t="str">
        <f>IF(ISBLANK(E401), "", VLOOKUP(E401, Z!$A$2:$C$4127, 3, FALSE))</f>
        <v/>
      </c>
      <c r="G401" s="242"/>
      <c r="H401" s="242"/>
      <c r="I401" s="243"/>
      <c r="J401" s="244"/>
      <c r="K401" s="259"/>
      <c r="L401" s="260"/>
      <c r="M401" s="247" t="str" cm="1">
        <f t="array" ref="M401">IF($K401&gt;0, INDEX(Clean,1+AG401,$C$1), "")</f>
        <v/>
      </c>
      <c r="N401" s="245"/>
      <c r="O401" s="245"/>
      <c r="P401" s="246"/>
      <c r="Q401" s="248">
        <f t="shared" si="490"/>
        <v>0</v>
      </c>
      <c r="R401" s="247" t="str" cm="1">
        <f t="array" ref="R401">IF($K401&gt;0, INDEX(Clean,1+AH401,$C$1), "")</f>
        <v/>
      </c>
      <c r="S401" s="245"/>
      <c r="T401" s="245"/>
      <c r="U401" s="246"/>
      <c r="V401" s="248">
        <f t="shared" si="491"/>
        <v>0</v>
      </c>
      <c r="W401" s="261"/>
      <c r="X401" s="258"/>
      <c r="Y401" s="240"/>
      <c r="Z401" s="241" t="str">
        <f>IF(ISBLANK(Y401), "", VLOOKUP(Y401, Z!$A$2:$C$4127, 3, FALSE))</f>
        <v/>
      </c>
      <c r="AA401" s="262"/>
      <c r="AB401" s="249">
        <f t="shared" si="489"/>
        <v>0</v>
      </c>
      <c r="AC401" s="210"/>
      <c r="AD401" s="236">
        <f t="shared" si="514"/>
        <v>1</v>
      </c>
      <c r="AE401" s="236">
        <f t="shared" si="515"/>
        <v>1</v>
      </c>
      <c r="AF401" s="236">
        <f t="shared" si="516"/>
        <v>0</v>
      </c>
      <c r="AG401" s="236">
        <v>1</v>
      </c>
      <c r="AH401" s="236">
        <v>0</v>
      </c>
      <c r="AI401" s="236">
        <f t="shared" si="492"/>
        <v>-100</v>
      </c>
      <c r="AJ401" s="210"/>
      <c r="AK401" s="254"/>
      <c r="AL401" s="254"/>
      <c r="AM401" s="255"/>
      <c r="AN401" s="255"/>
      <c r="AO401" s="255"/>
      <c r="AP401" s="255"/>
      <c r="AQ401" s="255"/>
      <c r="AR401" s="255"/>
      <c r="AS401" s="255"/>
      <c r="AT401" s="255"/>
      <c r="AU401" s="255"/>
      <c r="AV401" s="255"/>
      <c r="AW401" s="255"/>
      <c r="AX401" s="210"/>
      <c r="AY401" s="236" cm="1">
        <f t="array" ref="AY401">INDEX(Use, $AD401, 4)</f>
        <v>7</v>
      </c>
      <c r="AZ401" s="236">
        <f t="shared" si="493"/>
        <v>32</v>
      </c>
      <c r="BA401" s="236">
        <f t="shared" si="481"/>
        <v>13</v>
      </c>
      <c r="BB401" s="236">
        <f t="shared" si="482"/>
        <v>0</v>
      </c>
      <c r="BC401" s="252" cm="1">
        <f t="array" ref="BC401">K401/IF($L401&gt;0, INDEX($AO$23:$AU$77, $L401+20, $AD401), 1)</f>
        <v>0</v>
      </c>
      <c r="BD401" s="237">
        <f t="shared" si="494"/>
        <v>0</v>
      </c>
      <c r="BE401" s="236">
        <v>35</v>
      </c>
      <c r="BF401" s="237">
        <f t="shared" si="495"/>
        <v>52.55</v>
      </c>
      <c r="BG401" s="253">
        <f t="shared" si="496"/>
        <v>2.7676728869374316</v>
      </c>
      <c r="BH401" s="253" cm="1">
        <f t="array" ref="BH401">$BC401 * SUMPRODUCT(INDEX($AL$77:$AN$82,,$AE401),INDEX($AO$77:$AU$82,,$AD401), N($AK$77:$AK$82&gt;$AI401)) / BG401 / 1000</f>
        <v>0</v>
      </c>
      <c r="BI401" s="250">
        <f t="shared" si="483"/>
        <v>30</v>
      </c>
      <c r="BJ401" s="237">
        <f t="shared" si="497"/>
        <v>46.033333333333331</v>
      </c>
      <c r="BK401" s="253">
        <f t="shared" si="498"/>
        <v>3.2297395388556791</v>
      </c>
      <c r="BL401" s="253" cm="1">
        <f t="array" ref="BL401">$BC401 * IF($AD401&lt;=2,
SUMPRODUCT(INDEX($AL$72:$AN$76,,$AE401), INDEX($AO$72:$AU$76,,$AD401), 1 / ($AV$72:$AV$76*BK401 + (1-$AV$72:$AV$76)*BG401), N($AK$72:$AK$76&gt;$AI401)),
SUMPRODUCT(INDEX($AL$67:$AN$76,,$AE401), INDEX($AO$67:$AU$76,,$AD401), 1 / ($AW$67:$AW$76*BK401 + (1-$AW$67:$AW$76)*BG401), N($AK$67:$AK$76&gt;$AI401))
) / 1000</f>
        <v>0</v>
      </c>
      <c r="BM401" s="250">
        <f t="shared" si="484"/>
        <v>25</v>
      </c>
      <c r="BN401" s="237">
        <f t="shared" si="499"/>
        <v>39.516666666666666</v>
      </c>
      <c r="BO401" s="253">
        <f t="shared" si="500"/>
        <v>3.877011788826243</v>
      </c>
      <c r="BP401" s="253" cm="1">
        <f t="array" ref="BP401">$BC401 * IF($AD401&lt;=2,
SUMPRODUCT(INDEX($AL$67:$AN$71,,$AE401), INDEX($AO$67:$AU$71,,$AD401), 1 / ($AV$67:$AV$71*BO401 + (1-$AV$67:$AV$71)*BK401), N($AK$67:$AK$71&gt;$AI401)),
SUMPRODUCT(INDEX($AL$57:$AN$66,,$AE401), INDEX($AO$57:$AU$66,,$AD401), 1 / ($AW$57:$AW$66*BO401 + (1-$AW$57:$AW$66)*BK401), N($AK$57:$AK$66&gt;$AI401))
) / 1000</f>
        <v>0</v>
      </c>
      <c r="BQ401" s="250">
        <f t="shared" si="485"/>
        <v>20</v>
      </c>
      <c r="BR401" s="237">
        <f t="shared" si="501"/>
        <v>33</v>
      </c>
      <c r="BS401" s="253">
        <f t="shared" si="502"/>
        <v>4.8487499999999999</v>
      </c>
      <c r="BT401" s="253" cm="1">
        <f t="array" ref="BT401">$BC401 * IF($AD401&lt;=2,
SUMPRODUCT(INDEX($AL$62:$AN$66,,$AE401), INDEX($AO$62:$AU$66,,$AD401), 1 / ($AV$62:$AV$66*BS401 + (1-$AV$62:$AV$66)*BO401), N($AK$62:$AK$66&gt;$AI401)),
SUMPRODUCT(INDEX($AL$47:$AN$56,,$AE401), INDEX($AO$47:$AU$56,,$AD401), 1 / ($AW$47:$AW$56*BS401 + (1-$AW$47:$AW$56)*BO401), N($AK$47:$AK$56&gt;$AI401))
) / 1000</f>
        <v>0</v>
      </c>
      <c r="BU401" s="253" cm="1">
        <f t="array" ref="BU401">$BC401 * IF($AD401&lt;=2,
SUMPRODUCT(INDEX($AL$23:$AN$61,,$AE401), INDEX($AO$23:$AU$61,,$AD401), 1 / ($AV$23:$AV$61*BS401), N($AK$23:$AK$61&gt;$AI401)),
SUMPRODUCT(INDEX($AL$23:$AN$46,,$AE401), INDEX($AO$23:$AU$46,,$AD401), 1 / ($AW$23:$AW$46*BS401), N($AK$23:$AK$46&gt;$AI401))
) / 1000</f>
        <v>0</v>
      </c>
      <c r="BV401" s="237">
        <f t="shared" si="503"/>
        <v>0</v>
      </c>
      <c r="BW401" s="210"/>
      <c r="BX401" s="237">
        <f t="shared" si="504"/>
        <v>0</v>
      </c>
      <c r="BY401" s="236">
        <v>35</v>
      </c>
      <c r="BZ401" s="237">
        <f t="shared" si="505"/>
        <v>48</v>
      </c>
      <c r="CA401" s="253">
        <f t="shared" si="506"/>
        <v>3.0748170731707316</v>
      </c>
      <c r="CB401" s="253" cm="1">
        <f t="array" ref="CB401">$BC401 * SUMPRODUCT(INDEX($AL$77:$AN$82,,$AE401),INDEX($AO$77:$AU$82,,$AD401), N($AK$77:$AK$82&gt;$AI401)) / CA401 / 1000</f>
        <v>0</v>
      </c>
      <c r="CC401" s="250">
        <f t="shared" si="486"/>
        <v>30</v>
      </c>
      <c r="CD401" s="237">
        <f t="shared" si="507"/>
        <v>43</v>
      </c>
      <c r="CE401" s="253">
        <f t="shared" si="508"/>
        <v>3.5018750000000001</v>
      </c>
      <c r="CF401" s="253" cm="1">
        <f t="array" ref="CF401">$BC401 * IF($AD401&lt;=2,
SUMPRODUCT(INDEX($AL$72:$AN$76,,$AE401), INDEX($AO$72:$AU$76,,$AD401), 1 / ($AV$72:$AV$76*CE401 + (1-$AV$72:$AV$76)*CA401), N($AK$72:$AK$76&gt;$AI401)),
SUMPRODUCT(INDEX($AL$67:$AN$76,,$AE401), INDEX($AO$67:$AU$76,,$AD401), 1 / ($AW$67:$AW$76*CE401 + (1-$AW$67:$AW$76)*CA401), N($AK$67:$AK$76&gt;$AI401))
) / 1000</f>
        <v>0</v>
      </c>
      <c r="CG401" s="250">
        <f t="shared" si="487"/>
        <v>25</v>
      </c>
      <c r="CH401" s="237">
        <f t="shared" si="509"/>
        <v>38</v>
      </c>
      <c r="CI401" s="253">
        <f t="shared" si="510"/>
        <v>4.0666935483870965</v>
      </c>
      <c r="CJ401" s="253" cm="1">
        <f t="array" ref="CJ401">$BC401 * IF($AD401&lt;=2,
SUMPRODUCT(INDEX($AL$67:$AN$71,,$AE401), INDEX($AO$67:$AU$71,,$AD401), 1 / ($AV$67:$AV$71*CI401 + (1-$AV$67:$AV$71)*CE401), N($AK$67:$AK$71&gt;$AI401)),
SUMPRODUCT(INDEX($AL$57:$AN$66,,$AE401), INDEX($AO$57:$AU$66,,$AD401), 1 / ($AW$57:$AW$66*CI401 + (1-$AW$57:$AW$66)*CE401), N($AK$57:$AK$66&gt;$AI401))
) / 1000</f>
        <v>0</v>
      </c>
      <c r="CK401" s="250">
        <f t="shared" si="488"/>
        <v>20</v>
      </c>
      <c r="CL401" s="237">
        <f t="shared" si="511"/>
        <v>33</v>
      </c>
      <c r="CM401" s="253">
        <f t="shared" si="512"/>
        <v>4.8487499999999999</v>
      </c>
      <c r="CN401" s="253" cm="1">
        <f t="array" ref="CN401">$BC401 * IF($AD401&lt;=2,
SUMPRODUCT(INDEX($AL$62:$AN$66,,$AE401), INDEX($AO$62:$AU$66,,$AD401), 1 / ($AV$62:$AV$66*CM401 + (1-$AV$62:$AV$66)*CI401), N($AK$62:$AK$66&gt;$AI401)),
SUMPRODUCT(INDEX($AL$47:$AN$56,,$AE401), INDEX($AO$47:$AU$56,,$AD401), 1 / ($AW$47:$AW$56*CM401 + (1-$AW$47:$AW$56)*CI401), N($AK$47:$AK$56&gt;$AI401))
) / 1000</f>
        <v>0</v>
      </c>
      <c r="CO401" s="253" cm="1">
        <f t="array" ref="CO401">$BC401 * IF($AD401&lt;=2,
SUMPRODUCT(INDEX($AL$23:$AN$61,,$AE401), INDEX($AO$23:$AU$61,,$AD401), 1 / ($AV$23:$AV$61*CM401), N($AK$23:$AK$61&gt;$AI401)),
SUMPRODUCT(INDEX($AL$23:$AN$46,,$AE401), INDEX($AO$23:$AU$46,,$AD401), 1 / ($AW$23:$AW$46*CM401), N($AK$23:$AK$46&gt;$AI401))
) / 1000</f>
        <v>0</v>
      </c>
      <c r="CP401" s="237">
        <f t="shared" si="513"/>
        <v>0</v>
      </c>
      <c r="CQ401" s="210"/>
    </row>
    <row r="402" spans="1:95" s="76" customFormat="1" ht="14.25" customHeight="1" x14ac:dyDescent="0.2">
      <c r="A402" s="238" t="b">
        <f t="shared" si="480"/>
        <v>0</v>
      </c>
      <c r="B402" s="239">
        <v>380</v>
      </c>
      <c r="C402" s="258"/>
      <c r="D402" s="258"/>
      <c r="E402" s="240"/>
      <c r="F402" s="241" t="str">
        <f>IF(ISBLANK(E402), "", VLOOKUP(E402, Z!$A$2:$C$4127, 3, FALSE))</f>
        <v/>
      </c>
      <c r="G402" s="242"/>
      <c r="H402" s="242"/>
      <c r="I402" s="243"/>
      <c r="J402" s="244"/>
      <c r="K402" s="259"/>
      <c r="L402" s="260"/>
      <c r="M402" s="247" t="str" cm="1">
        <f t="array" ref="M402">IF($K402&gt;0, INDEX(Clean,1+AG402,$C$1), "")</f>
        <v/>
      </c>
      <c r="N402" s="245"/>
      <c r="O402" s="245"/>
      <c r="P402" s="246"/>
      <c r="Q402" s="248">
        <f t="shared" si="490"/>
        <v>0</v>
      </c>
      <c r="R402" s="247" t="str" cm="1">
        <f t="array" ref="R402">IF($K402&gt;0, INDEX(Clean,1+AH402,$C$1), "")</f>
        <v/>
      </c>
      <c r="S402" s="245"/>
      <c r="T402" s="245"/>
      <c r="U402" s="246"/>
      <c r="V402" s="248">
        <f t="shared" si="491"/>
        <v>0</v>
      </c>
      <c r="W402" s="261"/>
      <c r="X402" s="258"/>
      <c r="Y402" s="240"/>
      <c r="Z402" s="241" t="str">
        <f>IF(ISBLANK(Y402), "", VLOOKUP(Y402, Z!$A$2:$C$4127, 3, FALSE))</f>
        <v/>
      </c>
      <c r="AA402" s="262"/>
      <c r="AB402" s="249">
        <f t="shared" si="489"/>
        <v>0</v>
      </c>
      <c r="AC402" s="210"/>
      <c r="AD402" s="236">
        <f t="shared" si="514"/>
        <v>1</v>
      </c>
      <c r="AE402" s="236">
        <f t="shared" si="515"/>
        <v>1</v>
      </c>
      <c r="AF402" s="236">
        <f t="shared" si="516"/>
        <v>0</v>
      </c>
      <c r="AG402" s="236">
        <v>1</v>
      </c>
      <c r="AH402" s="236">
        <v>0</v>
      </c>
      <c r="AI402" s="236">
        <f t="shared" si="492"/>
        <v>-100</v>
      </c>
      <c r="AJ402" s="210"/>
      <c r="AK402" s="254"/>
      <c r="AL402" s="254"/>
      <c r="AM402" s="255"/>
      <c r="AN402" s="255"/>
      <c r="AO402" s="255"/>
      <c r="AP402" s="255"/>
      <c r="AQ402" s="255"/>
      <c r="AR402" s="255"/>
      <c r="AS402" s="255"/>
      <c r="AT402" s="255"/>
      <c r="AU402" s="255"/>
      <c r="AV402" s="255"/>
      <c r="AW402" s="255"/>
      <c r="AX402" s="210"/>
      <c r="AY402" s="236" cm="1">
        <f t="array" ref="AY402">INDEX(Use, $AD402, 4)</f>
        <v>7</v>
      </c>
      <c r="AZ402" s="236">
        <f t="shared" si="493"/>
        <v>32</v>
      </c>
      <c r="BA402" s="236">
        <f t="shared" si="481"/>
        <v>13</v>
      </c>
      <c r="BB402" s="236">
        <f t="shared" si="482"/>
        <v>0</v>
      </c>
      <c r="BC402" s="252" cm="1">
        <f t="array" ref="BC402">K402/IF($L402&gt;0, INDEX($AO$23:$AU$77, $L402+20, $AD402), 1)</f>
        <v>0</v>
      </c>
      <c r="BD402" s="237">
        <f t="shared" si="494"/>
        <v>0</v>
      </c>
      <c r="BE402" s="236">
        <v>35</v>
      </c>
      <c r="BF402" s="237">
        <f t="shared" si="495"/>
        <v>52.55</v>
      </c>
      <c r="BG402" s="253">
        <f t="shared" si="496"/>
        <v>2.7676728869374316</v>
      </c>
      <c r="BH402" s="253" cm="1">
        <f t="array" ref="BH402">$BC402 * SUMPRODUCT(INDEX($AL$77:$AN$82,,$AE402),INDEX($AO$77:$AU$82,,$AD402), N($AK$77:$AK$82&gt;$AI402)) / BG402 / 1000</f>
        <v>0</v>
      </c>
      <c r="BI402" s="250">
        <f t="shared" si="483"/>
        <v>30</v>
      </c>
      <c r="BJ402" s="237">
        <f t="shared" si="497"/>
        <v>46.033333333333331</v>
      </c>
      <c r="BK402" s="253">
        <f t="shared" si="498"/>
        <v>3.2297395388556791</v>
      </c>
      <c r="BL402" s="253" cm="1">
        <f t="array" ref="BL402">$BC402 * IF($AD402&lt;=2,
SUMPRODUCT(INDEX($AL$72:$AN$76,,$AE402), INDEX($AO$72:$AU$76,,$AD402), 1 / ($AV$72:$AV$76*BK402 + (1-$AV$72:$AV$76)*BG402), N($AK$72:$AK$76&gt;$AI402)),
SUMPRODUCT(INDEX($AL$67:$AN$76,,$AE402), INDEX($AO$67:$AU$76,,$AD402), 1 / ($AW$67:$AW$76*BK402 + (1-$AW$67:$AW$76)*BG402), N($AK$67:$AK$76&gt;$AI402))
) / 1000</f>
        <v>0</v>
      </c>
      <c r="BM402" s="250">
        <f t="shared" si="484"/>
        <v>25</v>
      </c>
      <c r="BN402" s="237">
        <f t="shared" si="499"/>
        <v>39.516666666666666</v>
      </c>
      <c r="BO402" s="253">
        <f t="shared" si="500"/>
        <v>3.877011788826243</v>
      </c>
      <c r="BP402" s="253" cm="1">
        <f t="array" ref="BP402">$BC402 * IF($AD402&lt;=2,
SUMPRODUCT(INDEX($AL$67:$AN$71,,$AE402), INDEX($AO$67:$AU$71,,$AD402), 1 / ($AV$67:$AV$71*BO402 + (1-$AV$67:$AV$71)*BK402), N($AK$67:$AK$71&gt;$AI402)),
SUMPRODUCT(INDEX($AL$57:$AN$66,,$AE402), INDEX($AO$57:$AU$66,,$AD402), 1 / ($AW$57:$AW$66*BO402 + (1-$AW$57:$AW$66)*BK402), N($AK$57:$AK$66&gt;$AI402))
) / 1000</f>
        <v>0</v>
      </c>
      <c r="BQ402" s="250">
        <f t="shared" si="485"/>
        <v>20</v>
      </c>
      <c r="BR402" s="237">
        <f t="shared" si="501"/>
        <v>33</v>
      </c>
      <c r="BS402" s="253">
        <f t="shared" si="502"/>
        <v>4.8487499999999999</v>
      </c>
      <c r="BT402" s="253" cm="1">
        <f t="array" ref="BT402">$BC402 * IF($AD402&lt;=2,
SUMPRODUCT(INDEX($AL$62:$AN$66,,$AE402), INDEX($AO$62:$AU$66,,$AD402), 1 / ($AV$62:$AV$66*BS402 + (1-$AV$62:$AV$66)*BO402), N($AK$62:$AK$66&gt;$AI402)),
SUMPRODUCT(INDEX($AL$47:$AN$56,,$AE402), INDEX($AO$47:$AU$56,,$AD402), 1 / ($AW$47:$AW$56*BS402 + (1-$AW$47:$AW$56)*BO402), N($AK$47:$AK$56&gt;$AI402))
) / 1000</f>
        <v>0</v>
      </c>
      <c r="BU402" s="253" cm="1">
        <f t="array" ref="BU402">$BC402 * IF($AD402&lt;=2,
SUMPRODUCT(INDEX($AL$23:$AN$61,,$AE402), INDEX($AO$23:$AU$61,,$AD402), 1 / ($AV$23:$AV$61*BS402), N($AK$23:$AK$61&gt;$AI402)),
SUMPRODUCT(INDEX($AL$23:$AN$46,,$AE402), INDEX($AO$23:$AU$46,,$AD402), 1 / ($AW$23:$AW$46*BS402), N($AK$23:$AK$46&gt;$AI402))
) / 1000</f>
        <v>0</v>
      </c>
      <c r="BV402" s="237">
        <f t="shared" si="503"/>
        <v>0</v>
      </c>
      <c r="BW402" s="210"/>
      <c r="BX402" s="237">
        <f t="shared" si="504"/>
        <v>0</v>
      </c>
      <c r="BY402" s="236">
        <v>35</v>
      </c>
      <c r="BZ402" s="237">
        <f t="shared" si="505"/>
        <v>48</v>
      </c>
      <c r="CA402" s="253">
        <f t="shared" si="506"/>
        <v>3.0748170731707316</v>
      </c>
      <c r="CB402" s="253" cm="1">
        <f t="array" ref="CB402">$BC402 * SUMPRODUCT(INDEX($AL$77:$AN$82,,$AE402),INDEX($AO$77:$AU$82,,$AD402), N($AK$77:$AK$82&gt;$AI402)) / CA402 / 1000</f>
        <v>0</v>
      </c>
      <c r="CC402" s="250">
        <f t="shared" si="486"/>
        <v>30</v>
      </c>
      <c r="CD402" s="237">
        <f t="shared" si="507"/>
        <v>43</v>
      </c>
      <c r="CE402" s="253">
        <f t="shared" si="508"/>
        <v>3.5018750000000001</v>
      </c>
      <c r="CF402" s="253" cm="1">
        <f t="array" ref="CF402">$BC402 * IF($AD402&lt;=2,
SUMPRODUCT(INDEX($AL$72:$AN$76,,$AE402), INDEX($AO$72:$AU$76,,$AD402), 1 / ($AV$72:$AV$76*CE402 + (1-$AV$72:$AV$76)*CA402), N($AK$72:$AK$76&gt;$AI402)),
SUMPRODUCT(INDEX($AL$67:$AN$76,,$AE402), INDEX($AO$67:$AU$76,,$AD402), 1 / ($AW$67:$AW$76*CE402 + (1-$AW$67:$AW$76)*CA402), N($AK$67:$AK$76&gt;$AI402))
) / 1000</f>
        <v>0</v>
      </c>
      <c r="CG402" s="250">
        <f t="shared" si="487"/>
        <v>25</v>
      </c>
      <c r="CH402" s="237">
        <f t="shared" si="509"/>
        <v>38</v>
      </c>
      <c r="CI402" s="253">
        <f t="shared" si="510"/>
        <v>4.0666935483870965</v>
      </c>
      <c r="CJ402" s="253" cm="1">
        <f t="array" ref="CJ402">$BC402 * IF($AD402&lt;=2,
SUMPRODUCT(INDEX($AL$67:$AN$71,,$AE402), INDEX($AO$67:$AU$71,,$AD402), 1 / ($AV$67:$AV$71*CI402 + (1-$AV$67:$AV$71)*CE402), N($AK$67:$AK$71&gt;$AI402)),
SUMPRODUCT(INDEX($AL$57:$AN$66,,$AE402), INDEX($AO$57:$AU$66,,$AD402), 1 / ($AW$57:$AW$66*CI402 + (1-$AW$57:$AW$66)*CE402), N($AK$57:$AK$66&gt;$AI402))
) / 1000</f>
        <v>0</v>
      </c>
      <c r="CK402" s="250">
        <f t="shared" si="488"/>
        <v>20</v>
      </c>
      <c r="CL402" s="237">
        <f t="shared" si="511"/>
        <v>33</v>
      </c>
      <c r="CM402" s="253">
        <f t="shared" si="512"/>
        <v>4.8487499999999999</v>
      </c>
      <c r="CN402" s="253" cm="1">
        <f t="array" ref="CN402">$BC402 * IF($AD402&lt;=2,
SUMPRODUCT(INDEX($AL$62:$AN$66,,$AE402), INDEX($AO$62:$AU$66,,$AD402), 1 / ($AV$62:$AV$66*CM402 + (1-$AV$62:$AV$66)*CI402), N($AK$62:$AK$66&gt;$AI402)),
SUMPRODUCT(INDEX($AL$47:$AN$56,,$AE402), INDEX($AO$47:$AU$56,,$AD402), 1 / ($AW$47:$AW$56*CM402 + (1-$AW$47:$AW$56)*CI402), N($AK$47:$AK$56&gt;$AI402))
) / 1000</f>
        <v>0</v>
      </c>
      <c r="CO402" s="253" cm="1">
        <f t="array" ref="CO402">$BC402 * IF($AD402&lt;=2,
SUMPRODUCT(INDEX($AL$23:$AN$61,,$AE402), INDEX($AO$23:$AU$61,,$AD402), 1 / ($AV$23:$AV$61*CM402), N($AK$23:$AK$61&gt;$AI402)),
SUMPRODUCT(INDEX($AL$23:$AN$46,,$AE402), INDEX($AO$23:$AU$46,,$AD402), 1 / ($AW$23:$AW$46*CM402), N($AK$23:$AK$46&gt;$AI402))
) / 1000</f>
        <v>0</v>
      </c>
      <c r="CP402" s="237">
        <f t="shared" si="513"/>
        <v>0</v>
      </c>
      <c r="CQ402" s="210"/>
    </row>
    <row r="403" spans="1:95" s="76" customFormat="1" ht="14.25" customHeight="1" x14ac:dyDescent="0.2">
      <c r="A403" s="238" t="b">
        <f t="shared" si="480"/>
        <v>0</v>
      </c>
      <c r="B403" s="239">
        <v>381</v>
      </c>
      <c r="C403" s="258"/>
      <c r="D403" s="258"/>
      <c r="E403" s="240"/>
      <c r="F403" s="241" t="str">
        <f>IF(ISBLANK(E403), "", VLOOKUP(E403, Z!$A$2:$C$4127, 3, FALSE))</f>
        <v/>
      </c>
      <c r="G403" s="242"/>
      <c r="H403" s="242"/>
      <c r="I403" s="243"/>
      <c r="J403" s="244"/>
      <c r="K403" s="259"/>
      <c r="L403" s="260"/>
      <c r="M403" s="247" t="str" cm="1">
        <f t="array" ref="M403">IF($K403&gt;0, INDEX(Clean,1+AG403,$C$1), "")</f>
        <v/>
      </c>
      <c r="N403" s="245"/>
      <c r="O403" s="245"/>
      <c r="P403" s="246"/>
      <c r="Q403" s="248">
        <f t="shared" si="490"/>
        <v>0</v>
      </c>
      <c r="R403" s="247" t="str" cm="1">
        <f t="array" ref="R403">IF($K403&gt;0, INDEX(Clean,1+AH403,$C$1), "")</f>
        <v/>
      </c>
      <c r="S403" s="245"/>
      <c r="T403" s="245"/>
      <c r="U403" s="246"/>
      <c r="V403" s="248">
        <f t="shared" si="491"/>
        <v>0</v>
      </c>
      <c r="W403" s="261"/>
      <c r="X403" s="258"/>
      <c r="Y403" s="240"/>
      <c r="Z403" s="241" t="str">
        <f>IF(ISBLANK(Y403), "", VLOOKUP(Y403, Z!$A$2:$C$4127, 3, FALSE))</f>
        <v/>
      </c>
      <c r="AA403" s="262"/>
      <c r="AB403" s="249">
        <f t="shared" si="489"/>
        <v>0</v>
      </c>
      <c r="AC403" s="210"/>
      <c r="AD403" s="236">
        <f t="shared" si="514"/>
        <v>1</v>
      </c>
      <c r="AE403" s="236">
        <f t="shared" si="515"/>
        <v>1</v>
      </c>
      <c r="AF403" s="236">
        <f t="shared" si="516"/>
        <v>0</v>
      </c>
      <c r="AG403" s="236">
        <v>1</v>
      </c>
      <c r="AH403" s="236">
        <v>0</v>
      </c>
      <c r="AI403" s="236">
        <f t="shared" si="492"/>
        <v>-100</v>
      </c>
      <c r="AJ403" s="210"/>
      <c r="AK403" s="254"/>
      <c r="AL403" s="254"/>
      <c r="AM403" s="255"/>
      <c r="AN403" s="255"/>
      <c r="AO403" s="255"/>
      <c r="AP403" s="255"/>
      <c r="AQ403" s="255"/>
      <c r="AR403" s="255"/>
      <c r="AS403" s="255"/>
      <c r="AT403" s="255"/>
      <c r="AU403" s="255"/>
      <c r="AV403" s="255"/>
      <c r="AW403" s="255"/>
      <c r="AX403" s="210"/>
      <c r="AY403" s="236" cm="1">
        <f t="array" ref="AY403">INDEX(Use, $AD403, 4)</f>
        <v>7</v>
      </c>
      <c r="AZ403" s="236">
        <f t="shared" si="493"/>
        <v>32</v>
      </c>
      <c r="BA403" s="236">
        <f t="shared" si="481"/>
        <v>13</v>
      </c>
      <c r="BB403" s="236">
        <f t="shared" si="482"/>
        <v>0</v>
      </c>
      <c r="BC403" s="252" cm="1">
        <f t="array" ref="BC403">K403/IF($L403&gt;0, INDEX($AO$23:$AU$77, $L403+20, $AD403), 1)</f>
        <v>0</v>
      </c>
      <c r="BD403" s="237">
        <f t="shared" si="494"/>
        <v>0</v>
      </c>
      <c r="BE403" s="236">
        <v>35</v>
      </c>
      <c r="BF403" s="237">
        <f t="shared" si="495"/>
        <v>52.55</v>
      </c>
      <c r="BG403" s="253">
        <f t="shared" si="496"/>
        <v>2.7676728869374316</v>
      </c>
      <c r="BH403" s="253" cm="1">
        <f t="array" ref="BH403">$BC403 * SUMPRODUCT(INDEX($AL$77:$AN$82,,$AE403),INDEX($AO$77:$AU$82,,$AD403), N($AK$77:$AK$82&gt;$AI403)) / BG403 / 1000</f>
        <v>0</v>
      </c>
      <c r="BI403" s="250">
        <f t="shared" si="483"/>
        <v>30</v>
      </c>
      <c r="BJ403" s="237">
        <f t="shared" si="497"/>
        <v>46.033333333333331</v>
      </c>
      <c r="BK403" s="253">
        <f t="shared" si="498"/>
        <v>3.2297395388556791</v>
      </c>
      <c r="BL403" s="253" cm="1">
        <f t="array" ref="BL403">$BC403 * IF($AD403&lt;=2,
SUMPRODUCT(INDEX($AL$72:$AN$76,,$AE403), INDEX($AO$72:$AU$76,,$AD403), 1 / ($AV$72:$AV$76*BK403 + (1-$AV$72:$AV$76)*BG403), N($AK$72:$AK$76&gt;$AI403)),
SUMPRODUCT(INDEX($AL$67:$AN$76,,$AE403), INDEX($AO$67:$AU$76,,$AD403), 1 / ($AW$67:$AW$76*BK403 + (1-$AW$67:$AW$76)*BG403), N($AK$67:$AK$76&gt;$AI403))
) / 1000</f>
        <v>0</v>
      </c>
      <c r="BM403" s="250">
        <f t="shared" si="484"/>
        <v>25</v>
      </c>
      <c r="BN403" s="237">
        <f t="shared" si="499"/>
        <v>39.516666666666666</v>
      </c>
      <c r="BO403" s="253">
        <f t="shared" si="500"/>
        <v>3.877011788826243</v>
      </c>
      <c r="BP403" s="253" cm="1">
        <f t="array" ref="BP403">$BC403 * IF($AD403&lt;=2,
SUMPRODUCT(INDEX($AL$67:$AN$71,,$AE403), INDEX($AO$67:$AU$71,,$AD403), 1 / ($AV$67:$AV$71*BO403 + (1-$AV$67:$AV$71)*BK403), N($AK$67:$AK$71&gt;$AI403)),
SUMPRODUCT(INDEX($AL$57:$AN$66,,$AE403), INDEX($AO$57:$AU$66,,$AD403), 1 / ($AW$57:$AW$66*BO403 + (1-$AW$57:$AW$66)*BK403), N($AK$57:$AK$66&gt;$AI403))
) / 1000</f>
        <v>0</v>
      </c>
      <c r="BQ403" s="250">
        <f t="shared" si="485"/>
        <v>20</v>
      </c>
      <c r="BR403" s="237">
        <f t="shared" si="501"/>
        <v>33</v>
      </c>
      <c r="BS403" s="253">
        <f t="shared" si="502"/>
        <v>4.8487499999999999</v>
      </c>
      <c r="BT403" s="253" cm="1">
        <f t="array" ref="BT403">$BC403 * IF($AD403&lt;=2,
SUMPRODUCT(INDEX($AL$62:$AN$66,,$AE403), INDEX($AO$62:$AU$66,,$AD403), 1 / ($AV$62:$AV$66*BS403 + (1-$AV$62:$AV$66)*BO403), N($AK$62:$AK$66&gt;$AI403)),
SUMPRODUCT(INDEX($AL$47:$AN$56,,$AE403), INDEX($AO$47:$AU$56,,$AD403), 1 / ($AW$47:$AW$56*BS403 + (1-$AW$47:$AW$56)*BO403), N($AK$47:$AK$56&gt;$AI403))
) / 1000</f>
        <v>0</v>
      </c>
      <c r="BU403" s="253" cm="1">
        <f t="array" ref="BU403">$BC403 * IF($AD403&lt;=2,
SUMPRODUCT(INDEX($AL$23:$AN$61,,$AE403), INDEX($AO$23:$AU$61,,$AD403), 1 / ($AV$23:$AV$61*BS403), N($AK$23:$AK$61&gt;$AI403)),
SUMPRODUCT(INDEX($AL$23:$AN$46,,$AE403), INDEX($AO$23:$AU$46,,$AD403), 1 / ($AW$23:$AW$46*BS403), N($AK$23:$AK$46&gt;$AI403))
) / 1000</f>
        <v>0</v>
      </c>
      <c r="BV403" s="237">
        <f t="shared" si="503"/>
        <v>0</v>
      </c>
      <c r="BW403" s="210"/>
      <c r="BX403" s="237">
        <f t="shared" si="504"/>
        <v>0</v>
      </c>
      <c r="BY403" s="236">
        <v>35</v>
      </c>
      <c r="BZ403" s="237">
        <f t="shared" si="505"/>
        <v>48</v>
      </c>
      <c r="CA403" s="253">
        <f t="shared" si="506"/>
        <v>3.0748170731707316</v>
      </c>
      <c r="CB403" s="253" cm="1">
        <f t="array" ref="CB403">$BC403 * SUMPRODUCT(INDEX($AL$77:$AN$82,,$AE403),INDEX($AO$77:$AU$82,,$AD403), N($AK$77:$AK$82&gt;$AI403)) / CA403 / 1000</f>
        <v>0</v>
      </c>
      <c r="CC403" s="250">
        <f t="shared" si="486"/>
        <v>30</v>
      </c>
      <c r="CD403" s="237">
        <f t="shared" si="507"/>
        <v>43</v>
      </c>
      <c r="CE403" s="253">
        <f t="shared" si="508"/>
        <v>3.5018750000000001</v>
      </c>
      <c r="CF403" s="253" cm="1">
        <f t="array" ref="CF403">$BC403 * IF($AD403&lt;=2,
SUMPRODUCT(INDEX($AL$72:$AN$76,,$AE403), INDEX($AO$72:$AU$76,,$AD403), 1 / ($AV$72:$AV$76*CE403 + (1-$AV$72:$AV$76)*CA403), N($AK$72:$AK$76&gt;$AI403)),
SUMPRODUCT(INDEX($AL$67:$AN$76,,$AE403), INDEX($AO$67:$AU$76,,$AD403), 1 / ($AW$67:$AW$76*CE403 + (1-$AW$67:$AW$76)*CA403), N($AK$67:$AK$76&gt;$AI403))
) / 1000</f>
        <v>0</v>
      </c>
      <c r="CG403" s="250">
        <f t="shared" si="487"/>
        <v>25</v>
      </c>
      <c r="CH403" s="237">
        <f t="shared" si="509"/>
        <v>38</v>
      </c>
      <c r="CI403" s="253">
        <f t="shared" si="510"/>
        <v>4.0666935483870965</v>
      </c>
      <c r="CJ403" s="253" cm="1">
        <f t="array" ref="CJ403">$BC403 * IF($AD403&lt;=2,
SUMPRODUCT(INDEX($AL$67:$AN$71,,$AE403), INDEX($AO$67:$AU$71,,$AD403), 1 / ($AV$67:$AV$71*CI403 + (1-$AV$67:$AV$71)*CE403), N($AK$67:$AK$71&gt;$AI403)),
SUMPRODUCT(INDEX($AL$57:$AN$66,,$AE403), INDEX($AO$57:$AU$66,,$AD403), 1 / ($AW$57:$AW$66*CI403 + (1-$AW$57:$AW$66)*CE403), N($AK$57:$AK$66&gt;$AI403))
) / 1000</f>
        <v>0</v>
      </c>
      <c r="CK403" s="250">
        <f t="shared" si="488"/>
        <v>20</v>
      </c>
      <c r="CL403" s="237">
        <f t="shared" si="511"/>
        <v>33</v>
      </c>
      <c r="CM403" s="253">
        <f t="shared" si="512"/>
        <v>4.8487499999999999</v>
      </c>
      <c r="CN403" s="253" cm="1">
        <f t="array" ref="CN403">$BC403 * IF($AD403&lt;=2,
SUMPRODUCT(INDEX($AL$62:$AN$66,,$AE403), INDEX($AO$62:$AU$66,,$AD403), 1 / ($AV$62:$AV$66*CM403 + (1-$AV$62:$AV$66)*CI403), N($AK$62:$AK$66&gt;$AI403)),
SUMPRODUCT(INDEX($AL$47:$AN$56,,$AE403), INDEX($AO$47:$AU$56,,$AD403), 1 / ($AW$47:$AW$56*CM403 + (1-$AW$47:$AW$56)*CI403), N($AK$47:$AK$56&gt;$AI403))
) / 1000</f>
        <v>0</v>
      </c>
      <c r="CO403" s="253" cm="1">
        <f t="array" ref="CO403">$BC403 * IF($AD403&lt;=2,
SUMPRODUCT(INDEX($AL$23:$AN$61,,$AE403), INDEX($AO$23:$AU$61,,$AD403), 1 / ($AV$23:$AV$61*CM403), N($AK$23:$AK$61&gt;$AI403)),
SUMPRODUCT(INDEX($AL$23:$AN$46,,$AE403), INDEX($AO$23:$AU$46,,$AD403), 1 / ($AW$23:$AW$46*CM403), N($AK$23:$AK$46&gt;$AI403))
) / 1000</f>
        <v>0</v>
      </c>
      <c r="CP403" s="237">
        <f t="shared" si="513"/>
        <v>0</v>
      </c>
      <c r="CQ403" s="210"/>
    </row>
    <row r="404" spans="1:95" s="76" customFormat="1" ht="14.25" customHeight="1" x14ac:dyDescent="0.2">
      <c r="A404" s="238" t="b">
        <f t="shared" si="480"/>
        <v>0</v>
      </c>
      <c r="B404" s="239">
        <v>382</v>
      </c>
      <c r="C404" s="258"/>
      <c r="D404" s="258"/>
      <c r="E404" s="240"/>
      <c r="F404" s="241" t="str">
        <f>IF(ISBLANK(E404), "", VLOOKUP(E404, Z!$A$2:$C$4127, 3, FALSE))</f>
        <v/>
      </c>
      <c r="G404" s="242"/>
      <c r="H404" s="242"/>
      <c r="I404" s="243"/>
      <c r="J404" s="244"/>
      <c r="K404" s="259"/>
      <c r="L404" s="260"/>
      <c r="M404" s="247" t="str" cm="1">
        <f t="array" ref="M404">IF($K404&gt;0, INDEX(Clean,1+AG404,$C$1), "")</f>
        <v/>
      </c>
      <c r="N404" s="245"/>
      <c r="O404" s="245"/>
      <c r="P404" s="246"/>
      <c r="Q404" s="248">
        <f t="shared" si="490"/>
        <v>0</v>
      </c>
      <c r="R404" s="247" t="str" cm="1">
        <f t="array" ref="R404">IF($K404&gt;0, INDEX(Clean,1+AH404,$C$1), "")</f>
        <v/>
      </c>
      <c r="S404" s="245"/>
      <c r="T404" s="245"/>
      <c r="U404" s="246"/>
      <c r="V404" s="248">
        <f t="shared" si="491"/>
        <v>0</v>
      </c>
      <c r="W404" s="261"/>
      <c r="X404" s="258"/>
      <c r="Y404" s="240"/>
      <c r="Z404" s="241" t="str">
        <f>IF(ISBLANK(Y404), "", VLOOKUP(Y404, Z!$A$2:$C$4127, 3, FALSE))</f>
        <v/>
      </c>
      <c r="AA404" s="262"/>
      <c r="AB404" s="249">
        <f t="shared" si="489"/>
        <v>0</v>
      </c>
      <c r="AC404" s="210"/>
      <c r="AD404" s="236">
        <f t="shared" si="514"/>
        <v>1</v>
      </c>
      <c r="AE404" s="236">
        <f t="shared" si="515"/>
        <v>1</v>
      </c>
      <c r="AF404" s="236">
        <f t="shared" si="516"/>
        <v>0</v>
      </c>
      <c r="AG404" s="236">
        <v>1</v>
      </c>
      <c r="AH404" s="236">
        <v>0</v>
      </c>
      <c r="AI404" s="236">
        <f t="shared" si="492"/>
        <v>-100</v>
      </c>
      <c r="AJ404" s="210"/>
      <c r="AK404" s="254"/>
      <c r="AL404" s="254"/>
      <c r="AM404" s="255"/>
      <c r="AN404" s="255"/>
      <c r="AO404" s="255"/>
      <c r="AP404" s="255"/>
      <c r="AQ404" s="255"/>
      <c r="AR404" s="255"/>
      <c r="AS404" s="255"/>
      <c r="AT404" s="255"/>
      <c r="AU404" s="255"/>
      <c r="AV404" s="255"/>
      <c r="AW404" s="255"/>
      <c r="AX404" s="210"/>
      <c r="AY404" s="236" cm="1">
        <f t="array" ref="AY404">INDEX(Use, $AD404, 4)</f>
        <v>7</v>
      </c>
      <c r="AZ404" s="236">
        <f t="shared" si="493"/>
        <v>32</v>
      </c>
      <c r="BA404" s="236">
        <f t="shared" si="481"/>
        <v>13</v>
      </c>
      <c r="BB404" s="236">
        <f t="shared" si="482"/>
        <v>0</v>
      </c>
      <c r="BC404" s="252" cm="1">
        <f t="array" ref="BC404">K404/IF($L404&gt;0, INDEX($AO$23:$AU$77, $L404+20, $AD404), 1)</f>
        <v>0</v>
      </c>
      <c r="BD404" s="237">
        <f t="shared" si="494"/>
        <v>0</v>
      </c>
      <c r="BE404" s="236">
        <v>35</v>
      </c>
      <c r="BF404" s="237">
        <f t="shared" si="495"/>
        <v>52.55</v>
      </c>
      <c r="BG404" s="253">
        <f t="shared" si="496"/>
        <v>2.7676728869374316</v>
      </c>
      <c r="BH404" s="253" cm="1">
        <f t="array" ref="BH404">$BC404 * SUMPRODUCT(INDEX($AL$77:$AN$82,,$AE404),INDEX($AO$77:$AU$82,,$AD404), N($AK$77:$AK$82&gt;$AI404)) / BG404 / 1000</f>
        <v>0</v>
      </c>
      <c r="BI404" s="250">
        <f t="shared" si="483"/>
        <v>30</v>
      </c>
      <c r="BJ404" s="237">
        <f t="shared" si="497"/>
        <v>46.033333333333331</v>
      </c>
      <c r="BK404" s="253">
        <f t="shared" si="498"/>
        <v>3.2297395388556791</v>
      </c>
      <c r="BL404" s="253" cm="1">
        <f t="array" ref="BL404">$BC404 * IF($AD404&lt;=2,
SUMPRODUCT(INDEX($AL$72:$AN$76,,$AE404), INDEX($AO$72:$AU$76,,$AD404), 1 / ($AV$72:$AV$76*BK404 + (1-$AV$72:$AV$76)*BG404), N($AK$72:$AK$76&gt;$AI404)),
SUMPRODUCT(INDEX($AL$67:$AN$76,,$AE404), INDEX($AO$67:$AU$76,,$AD404), 1 / ($AW$67:$AW$76*BK404 + (1-$AW$67:$AW$76)*BG404), N($AK$67:$AK$76&gt;$AI404))
) / 1000</f>
        <v>0</v>
      </c>
      <c r="BM404" s="250">
        <f t="shared" si="484"/>
        <v>25</v>
      </c>
      <c r="BN404" s="237">
        <f t="shared" si="499"/>
        <v>39.516666666666666</v>
      </c>
      <c r="BO404" s="253">
        <f t="shared" si="500"/>
        <v>3.877011788826243</v>
      </c>
      <c r="BP404" s="253" cm="1">
        <f t="array" ref="BP404">$BC404 * IF($AD404&lt;=2,
SUMPRODUCT(INDEX($AL$67:$AN$71,,$AE404), INDEX($AO$67:$AU$71,,$AD404), 1 / ($AV$67:$AV$71*BO404 + (1-$AV$67:$AV$71)*BK404), N($AK$67:$AK$71&gt;$AI404)),
SUMPRODUCT(INDEX($AL$57:$AN$66,,$AE404), INDEX($AO$57:$AU$66,,$AD404), 1 / ($AW$57:$AW$66*BO404 + (1-$AW$57:$AW$66)*BK404), N($AK$57:$AK$66&gt;$AI404))
) / 1000</f>
        <v>0</v>
      </c>
      <c r="BQ404" s="250">
        <f t="shared" si="485"/>
        <v>20</v>
      </c>
      <c r="BR404" s="237">
        <f t="shared" si="501"/>
        <v>33</v>
      </c>
      <c r="BS404" s="253">
        <f t="shared" si="502"/>
        <v>4.8487499999999999</v>
      </c>
      <c r="BT404" s="253" cm="1">
        <f t="array" ref="BT404">$BC404 * IF($AD404&lt;=2,
SUMPRODUCT(INDEX($AL$62:$AN$66,,$AE404), INDEX($AO$62:$AU$66,,$AD404), 1 / ($AV$62:$AV$66*BS404 + (1-$AV$62:$AV$66)*BO404), N($AK$62:$AK$66&gt;$AI404)),
SUMPRODUCT(INDEX($AL$47:$AN$56,,$AE404), INDEX($AO$47:$AU$56,,$AD404), 1 / ($AW$47:$AW$56*BS404 + (1-$AW$47:$AW$56)*BO404), N($AK$47:$AK$56&gt;$AI404))
) / 1000</f>
        <v>0</v>
      </c>
      <c r="BU404" s="253" cm="1">
        <f t="array" ref="BU404">$BC404 * IF($AD404&lt;=2,
SUMPRODUCT(INDEX($AL$23:$AN$61,,$AE404), INDEX($AO$23:$AU$61,,$AD404), 1 / ($AV$23:$AV$61*BS404), N($AK$23:$AK$61&gt;$AI404)),
SUMPRODUCT(INDEX($AL$23:$AN$46,,$AE404), INDEX($AO$23:$AU$46,,$AD404), 1 / ($AW$23:$AW$46*BS404), N($AK$23:$AK$46&gt;$AI404))
) / 1000</f>
        <v>0</v>
      </c>
      <c r="BV404" s="237">
        <f t="shared" si="503"/>
        <v>0</v>
      </c>
      <c r="BW404" s="210"/>
      <c r="BX404" s="237">
        <f t="shared" si="504"/>
        <v>0</v>
      </c>
      <c r="BY404" s="236">
        <v>35</v>
      </c>
      <c r="BZ404" s="237">
        <f t="shared" si="505"/>
        <v>48</v>
      </c>
      <c r="CA404" s="253">
        <f t="shared" si="506"/>
        <v>3.0748170731707316</v>
      </c>
      <c r="CB404" s="253" cm="1">
        <f t="array" ref="CB404">$BC404 * SUMPRODUCT(INDEX($AL$77:$AN$82,,$AE404),INDEX($AO$77:$AU$82,,$AD404), N($AK$77:$AK$82&gt;$AI404)) / CA404 / 1000</f>
        <v>0</v>
      </c>
      <c r="CC404" s="250">
        <f t="shared" si="486"/>
        <v>30</v>
      </c>
      <c r="CD404" s="237">
        <f t="shared" si="507"/>
        <v>43</v>
      </c>
      <c r="CE404" s="253">
        <f t="shared" si="508"/>
        <v>3.5018750000000001</v>
      </c>
      <c r="CF404" s="253" cm="1">
        <f t="array" ref="CF404">$BC404 * IF($AD404&lt;=2,
SUMPRODUCT(INDEX($AL$72:$AN$76,,$AE404), INDEX($AO$72:$AU$76,,$AD404), 1 / ($AV$72:$AV$76*CE404 + (1-$AV$72:$AV$76)*CA404), N($AK$72:$AK$76&gt;$AI404)),
SUMPRODUCT(INDEX($AL$67:$AN$76,,$AE404), INDEX($AO$67:$AU$76,,$AD404), 1 / ($AW$67:$AW$76*CE404 + (1-$AW$67:$AW$76)*CA404), N($AK$67:$AK$76&gt;$AI404))
) / 1000</f>
        <v>0</v>
      </c>
      <c r="CG404" s="250">
        <f t="shared" si="487"/>
        <v>25</v>
      </c>
      <c r="CH404" s="237">
        <f t="shared" si="509"/>
        <v>38</v>
      </c>
      <c r="CI404" s="253">
        <f t="shared" si="510"/>
        <v>4.0666935483870965</v>
      </c>
      <c r="CJ404" s="253" cm="1">
        <f t="array" ref="CJ404">$BC404 * IF($AD404&lt;=2,
SUMPRODUCT(INDEX($AL$67:$AN$71,,$AE404), INDEX($AO$67:$AU$71,,$AD404), 1 / ($AV$67:$AV$71*CI404 + (1-$AV$67:$AV$71)*CE404), N($AK$67:$AK$71&gt;$AI404)),
SUMPRODUCT(INDEX($AL$57:$AN$66,,$AE404), INDEX($AO$57:$AU$66,,$AD404), 1 / ($AW$57:$AW$66*CI404 + (1-$AW$57:$AW$66)*CE404), N($AK$57:$AK$66&gt;$AI404))
) / 1000</f>
        <v>0</v>
      </c>
      <c r="CK404" s="250">
        <f t="shared" si="488"/>
        <v>20</v>
      </c>
      <c r="CL404" s="237">
        <f t="shared" si="511"/>
        <v>33</v>
      </c>
      <c r="CM404" s="253">
        <f t="shared" si="512"/>
        <v>4.8487499999999999</v>
      </c>
      <c r="CN404" s="253" cm="1">
        <f t="array" ref="CN404">$BC404 * IF($AD404&lt;=2,
SUMPRODUCT(INDEX($AL$62:$AN$66,,$AE404), INDEX($AO$62:$AU$66,,$AD404), 1 / ($AV$62:$AV$66*CM404 + (1-$AV$62:$AV$66)*CI404), N($AK$62:$AK$66&gt;$AI404)),
SUMPRODUCT(INDEX($AL$47:$AN$56,,$AE404), INDEX($AO$47:$AU$56,,$AD404), 1 / ($AW$47:$AW$56*CM404 + (1-$AW$47:$AW$56)*CI404), N($AK$47:$AK$56&gt;$AI404))
) / 1000</f>
        <v>0</v>
      </c>
      <c r="CO404" s="253" cm="1">
        <f t="array" ref="CO404">$BC404 * IF($AD404&lt;=2,
SUMPRODUCT(INDEX($AL$23:$AN$61,,$AE404), INDEX($AO$23:$AU$61,,$AD404), 1 / ($AV$23:$AV$61*CM404), N($AK$23:$AK$61&gt;$AI404)),
SUMPRODUCT(INDEX($AL$23:$AN$46,,$AE404), INDEX($AO$23:$AU$46,,$AD404), 1 / ($AW$23:$AW$46*CM404), N($AK$23:$AK$46&gt;$AI404))
) / 1000</f>
        <v>0</v>
      </c>
      <c r="CP404" s="237">
        <f t="shared" si="513"/>
        <v>0</v>
      </c>
      <c r="CQ404" s="210"/>
    </row>
    <row r="405" spans="1:95" s="76" customFormat="1" ht="14.25" customHeight="1" x14ac:dyDescent="0.2">
      <c r="A405" s="238" t="b">
        <f t="shared" si="480"/>
        <v>0</v>
      </c>
      <c r="B405" s="239">
        <v>383</v>
      </c>
      <c r="C405" s="258"/>
      <c r="D405" s="258"/>
      <c r="E405" s="240"/>
      <c r="F405" s="241" t="str">
        <f>IF(ISBLANK(E405), "", VLOOKUP(E405, Z!$A$2:$C$4127, 3, FALSE))</f>
        <v/>
      </c>
      <c r="G405" s="242"/>
      <c r="H405" s="242"/>
      <c r="I405" s="243"/>
      <c r="J405" s="244"/>
      <c r="K405" s="259"/>
      <c r="L405" s="260"/>
      <c r="M405" s="247" t="str" cm="1">
        <f t="array" ref="M405">IF($K405&gt;0, INDEX(Clean,1+AG405,$C$1), "")</f>
        <v/>
      </c>
      <c r="N405" s="245"/>
      <c r="O405" s="245"/>
      <c r="P405" s="246"/>
      <c r="Q405" s="248">
        <f t="shared" si="490"/>
        <v>0</v>
      </c>
      <c r="R405" s="247" t="str" cm="1">
        <f t="array" ref="R405">IF($K405&gt;0, INDEX(Clean,1+AH405,$C$1), "")</f>
        <v/>
      </c>
      <c r="S405" s="245"/>
      <c r="T405" s="245"/>
      <c r="U405" s="246"/>
      <c r="V405" s="248">
        <f t="shared" si="491"/>
        <v>0</v>
      </c>
      <c r="W405" s="261"/>
      <c r="X405" s="258"/>
      <c r="Y405" s="240"/>
      <c r="Z405" s="241" t="str">
        <f>IF(ISBLANK(Y405), "", VLOOKUP(Y405, Z!$A$2:$C$4127, 3, FALSE))</f>
        <v/>
      </c>
      <c r="AA405" s="262"/>
      <c r="AB405" s="249">
        <f t="shared" si="489"/>
        <v>0</v>
      </c>
      <c r="AC405" s="210"/>
      <c r="AD405" s="236">
        <f t="shared" si="514"/>
        <v>1</v>
      </c>
      <c r="AE405" s="236">
        <f t="shared" si="515"/>
        <v>1</v>
      </c>
      <c r="AF405" s="236">
        <f t="shared" si="516"/>
        <v>0</v>
      </c>
      <c r="AG405" s="236">
        <v>1</v>
      </c>
      <c r="AH405" s="236">
        <v>0</v>
      </c>
      <c r="AI405" s="236">
        <f t="shared" si="492"/>
        <v>-100</v>
      </c>
      <c r="AJ405" s="210"/>
      <c r="AK405" s="254"/>
      <c r="AL405" s="254"/>
      <c r="AM405" s="255"/>
      <c r="AN405" s="255"/>
      <c r="AO405" s="255"/>
      <c r="AP405" s="255"/>
      <c r="AQ405" s="255"/>
      <c r="AR405" s="255"/>
      <c r="AS405" s="255"/>
      <c r="AT405" s="255"/>
      <c r="AU405" s="255"/>
      <c r="AV405" s="255"/>
      <c r="AW405" s="255"/>
      <c r="AX405" s="210"/>
      <c r="AY405" s="236" cm="1">
        <f t="array" ref="AY405">INDEX(Use, $AD405, 4)</f>
        <v>7</v>
      </c>
      <c r="AZ405" s="236">
        <f t="shared" si="493"/>
        <v>32</v>
      </c>
      <c r="BA405" s="236">
        <f t="shared" si="481"/>
        <v>13</v>
      </c>
      <c r="BB405" s="236">
        <f t="shared" si="482"/>
        <v>0</v>
      </c>
      <c r="BC405" s="252" cm="1">
        <f t="array" ref="BC405">K405/IF($L405&gt;0, INDEX($AO$23:$AU$77, $L405+20, $AD405), 1)</f>
        <v>0</v>
      </c>
      <c r="BD405" s="237">
        <f t="shared" si="494"/>
        <v>0</v>
      </c>
      <c r="BE405" s="236">
        <v>35</v>
      </c>
      <c r="BF405" s="237">
        <f t="shared" si="495"/>
        <v>52.55</v>
      </c>
      <c r="BG405" s="253">
        <f t="shared" si="496"/>
        <v>2.7676728869374316</v>
      </c>
      <c r="BH405" s="253" cm="1">
        <f t="array" ref="BH405">$BC405 * SUMPRODUCT(INDEX($AL$77:$AN$82,,$AE405),INDEX($AO$77:$AU$82,,$AD405), N($AK$77:$AK$82&gt;$AI405)) / BG405 / 1000</f>
        <v>0</v>
      </c>
      <c r="BI405" s="250">
        <f t="shared" si="483"/>
        <v>30</v>
      </c>
      <c r="BJ405" s="237">
        <f t="shared" si="497"/>
        <v>46.033333333333331</v>
      </c>
      <c r="BK405" s="253">
        <f t="shared" si="498"/>
        <v>3.2297395388556791</v>
      </c>
      <c r="BL405" s="253" cm="1">
        <f t="array" ref="BL405">$BC405 * IF($AD405&lt;=2,
SUMPRODUCT(INDEX($AL$72:$AN$76,,$AE405), INDEX($AO$72:$AU$76,,$AD405), 1 / ($AV$72:$AV$76*BK405 + (1-$AV$72:$AV$76)*BG405), N($AK$72:$AK$76&gt;$AI405)),
SUMPRODUCT(INDEX($AL$67:$AN$76,,$AE405), INDEX($AO$67:$AU$76,,$AD405), 1 / ($AW$67:$AW$76*BK405 + (1-$AW$67:$AW$76)*BG405), N($AK$67:$AK$76&gt;$AI405))
) / 1000</f>
        <v>0</v>
      </c>
      <c r="BM405" s="250">
        <f t="shared" si="484"/>
        <v>25</v>
      </c>
      <c r="BN405" s="237">
        <f t="shared" si="499"/>
        <v>39.516666666666666</v>
      </c>
      <c r="BO405" s="253">
        <f t="shared" si="500"/>
        <v>3.877011788826243</v>
      </c>
      <c r="BP405" s="253" cm="1">
        <f t="array" ref="BP405">$BC405 * IF($AD405&lt;=2,
SUMPRODUCT(INDEX($AL$67:$AN$71,,$AE405), INDEX($AO$67:$AU$71,,$AD405), 1 / ($AV$67:$AV$71*BO405 + (1-$AV$67:$AV$71)*BK405), N($AK$67:$AK$71&gt;$AI405)),
SUMPRODUCT(INDEX($AL$57:$AN$66,,$AE405), INDEX($AO$57:$AU$66,,$AD405), 1 / ($AW$57:$AW$66*BO405 + (1-$AW$57:$AW$66)*BK405), N($AK$57:$AK$66&gt;$AI405))
) / 1000</f>
        <v>0</v>
      </c>
      <c r="BQ405" s="250">
        <f t="shared" si="485"/>
        <v>20</v>
      </c>
      <c r="BR405" s="237">
        <f t="shared" si="501"/>
        <v>33</v>
      </c>
      <c r="BS405" s="253">
        <f t="shared" si="502"/>
        <v>4.8487499999999999</v>
      </c>
      <c r="BT405" s="253" cm="1">
        <f t="array" ref="BT405">$BC405 * IF($AD405&lt;=2,
SUMPRODUCT(INDEX($AL$62:$AN$66,,$AE405), INDEX($AO$62:$AU$66,,$AD405), 1 / ($AV$62:$AV$66*BS405 + (1-$AV$62:$AV$66)*BO405), N($AK$62:$AK$66&gt;$AI405)),
SUMPRODUCT(INDEX($AL$47:$AN$56,,$AE405), INDEX($AO$47:$AU$56,,$AD405), 1 / ($AW$47:$AW$56*BS405 + (1-$AW$47:$AW$56)*BO405), N($AK$47:$AK$56&gt;$AI405))
) / 1000</f>
        <v>0</v>
      </c>
      <c r="BU405" s="253" cm="1">
        <f t="array" ref="BU405">$BC405 * IF($AD405&lt;=2,
SUMPRODUCT(INDEX($AL$23:$AN$61,,$AE405), INDEX($AO$23:$AU$61,,$AD405), 1 / ($AV$23:$AV$61*BS405), N($AK$23:$AK$61&gt;$AI405)),
SUMPRODUCT(INDEX($AL$23:$AN$46,,$AE405), INDEX($AO$23:$AU$46,,$AD405), 1 / ($AW$23:$AW$46*BS405), N($AK$23:$AK$46&gt;$AI405))
) / 1000</f>
        <v>0</v>
      </c>
      <c r="BV405" s="237">
        <f t="shared" si="503"/>
        <v>0</v>
      </c>
      <c r="BW405" s="210"/>
      <c r="BX405" s="237">
        <f t="shared" si="504"/>
        <v>0</v>
      </c>
      <c r="BY405" s="236">
        <v>35</v>
      </c>
      <c r="BZ405" s="237">
        <f t="shared" si="505"/>
        <v>48</v>
      </c>
      <c r="CA405" s="253">
        <f t="shared" si="506"/>
        <v>3.0748170731707316</v>
      </c>
      <c r="CB405" s="253" cm="1">
        <f t="array" ref="CB405">$BC405 * SUMPRODUCT(INDEX($AL$77:$AN$82,,$AE405),INDEX($AO$77:$AU$82,,$AD405), N($AK$77:$AK$82&gt;$AI405)) / CA405 / 1000</f>
        <v>0</v>
      </c>
      <c r="CC405" s="250">
        <f t="shared" si="486"/>
        <v>30</v>
      </c>
      <c r="CD405" s="237">
        <f t="shared" si="507"/>
        <v>43</v>
      </c>
      <c r="CE405" s="253">
        <f t="shared" si="508"/>
        <v>3.5018750000000001</v>
      </c>
      <c r="CF405" s="253" cm="1">
        <f t="array" ref="CF405">$BC405 * IF($AD405&lt;=2,
SUMPRODUCT(INDEX($AL$72:$AN$76,,$AE405), INDEX($AO$72:$AU$76,,$AD405), 1 / ($AV$72:$AV$76*CE405 + (1-$AV$72:$AV$76)*CA405), N($AK$72:$AK$76&gt;$AI405)),
SUMPRODUCT(INDEX($AL$67:$AN$76,,$AE405), INDEX($AO$67:$AU$76,,$AD405), 1 / ($AW$67:$AW$76*CE405 + (1-$AW$67:$AW$76)*CA405), N($AK$67:$AK$76&gt;$AI405))
) / 1000</f>
        <v>0</v>
      </c>
      <c r="CG405" s="250">
        <f t="shared" si="487"/>
        <v>25</v>
      </c>
      <c r="CH405" s="237">
        <f t="shared" si="509"/>
        <v>38</v>
      </c>
      <c r="CI405" s="253">
        <f t="shared" si="510"/>
        <v>4.0666935483870965</v>
      </c>
      <c r="CJ405" s="253" cm="1">
        <f t="array" ref="CJ405">$BC405 * IF($AD405&lt;=2,
SUMPRODUCT(INDEX($AL$67:$AN$71,,$AE405), INDEX($AO$67:$AU$71,,$AD405), 1 / ($AV$67:$AV$71*CI405 + (1-$AV$67:$AV$71)*CE405), N($AK$67:$AK$71&gt;$AI405)),
SUMPRODUCT(INDEX($AL$57:$AN$66,,$AE405), INDEX($AO$57:$AU$66,,$AD405), 1 / ($AW$57:$AW$66*CI405 + (1-$AW$57:$AW$66)*CE405), N($AK$57:$AK$66&gt;$AI405))
) / 1000</f>
        <v>0</v>
      </c>
      <c r="CK405" s="250">
        <f t="shared" si="488"/>
        <v>20</v>
      </c>
      <c r="CL405" s="237">
        <f t="shared" si="511"/>
        <v>33</v>
      </c>
      <c r="CM405" s="253">
        <f t="shared" si="512"/>
        <v>4.8487499999999999</v>
      </c>
      <c r="CN405" s="253" cm="1">
        <f t="array" ref="CN405">$BC405 * IF($AD405&lt;=2,
SUMPRODUCT(INDEX($AL$62:$AN$66,,$AE405), INDEX($AO$62:$AU$66,,$AD405), 1 / ($AV$62:$AV$66*CM405 + (1-$AV$62:$AV$66)*CI405), N($AK$62:$AK$66&gt;$AI405)),
SUMPRODUCT(INDEX($AL$47:$AN$56,,$AE405), INDEX($AO$47:$AU$56,,$AD405), 1 / ($AW$47:$AW$56*CM405 + (1-$AW$47:$AW$56)*CI405), N($AK$47:$AK$56&gt;$AI405))
) / 1000</f>
        <v>0</v>
      </c>
      <c r="CO405" s="253" cm="1">
        <f t="array" ref="CO405">$BC405 * IF($AD405&lt;=2,
SUMPRODUCT(INDEX($AL$23:$AN$61,,$AE405), INDEX($AO$23:$AU$61,,$AD405), 1 / ($AV$23:$AV$61*CM405), N($AK$23:$AK$61&gt;$AI405)),
SUMPRODUCT(INDEX($AL$23:$AN$46,,$AE405), INDEX($AO$23:$AU$46,,$AD405), 1 / ($AW$23:$AW$46*CM405), N($AK$23:$AK$46&gt;$AI405))
) / 1000</f>
        <v>0</v>
      </c>
      <c r="CP405" s="237">
        <f t="shared" si="513"/>
        <v>0</v>
      </c>
      <c r="CQ405" s="210"/>
    </row>
    <row r="406" spans="1:95" s="76" customFormat="1" ht="14.25" customHeight="1" x14ac:dyDescent="0.2">
      <c r="A406" s="238" t="b">
        <f t="shared" ref="A406:A469" si="517">IF(OR(AND($K406&gt;80, $AD406=1), AND($K406&gt;40, $AD406=3), AND($K406&gt;30, $AD406=4),), TRUE, FALSE)</f>
        <v>0</v>
      </c>
      <c r="B406" s="239">
        <v>384</v>
      </c>
      <c r="C406" s="258"/>
      <c r="D406" s="258"/>
      <c r="E406" s="240"/>
      <c r="F406" s="241" t="str">
        <f>IF(ISBLANK(E406), "", VLOOKUP(E406, Z!$A$2:$C$4127, 3, FALSE))</f>
        <v/>
      </c>
      <c r="G406" s="242"/>
      <c r="H406" s="242"/>
      <c r="I406" s="243"/>
      <c r="J406" s="244"/>
      <c r="K406" s="259"/>
      <c r="L406" s="260"/>
      <c r="M406" s="247" t="str" cm="1">
        <f t="array" ref="M406">IF($K406&gt;0, INDEX(Clean,1+AG406,$C$1), "")</f>
        <v/>
      </c>
      <c r="N406" s="245"/>
      <c r="O406" s="245"/>
      <c r="P406" s="246"/>
      <c r="Q406" s="248">
        <f t="shared" si="490"/>
        <v>0</v>
      </c>
      <c r="R406" s="247" t="str" cm="1">
        <f t="array" ref="R406">IF($K406&gt;0, INDEX(Clean,1+AH406,$C$1), "")</f>
        <v/>
      </c>
      <c r="S406" s="245"/>
      <c r="T406" s="245"/>
      <c r="U406" s="246"/>
      <c r="V406" s="248">
        <f t="shared" si="491"/>
        <v>0</v>
      </c>
      <c r="W406" s="261"/>
      <c r="X406" s="258"/>
      <c r="Y406" s="240"/>
      <c r="Z406" s="241" t="str">
        <f>IF(ISBLANK(Y406), "", VLOOKUP(Y406, Z!$A$2:$C$4127, 3, FALSE))</f>
        <v/>
      </c>
      <c r="AA406" s="262"/>
      <c r="AB406" s="249">
        <f t="shared" si="489"/>
        <v>0</v>
      </c>
      <c r="AC406" s="210"/>
      <c r="AD406" s="236">
        <f t="shared" si="514"/>
        <v>1</v>
      </c>
      <c r="AE406" s="236">
        <f t="shared" si="515"/>
        <v>1</v>
      </c>
      <c r="AF406" s="236">
        <f t="shared" si="516"/>
        <v>0</v>
      </c>
      <c r="AG406" s="236">
        <v>1</v>
      </c>
      <c r="AH406" s="236">
        <v>0</v>
      </c>
      <c r="AI406" s="236">
        <f t="shared" si="492"/>
        <v>-100</v>
      </c>
      <c r="AJ406" s="210"/>
      <c r="AK406" s="254"/>
      <c r="AL406" s="254"/>
      <c r="AM406" s="255"/>
      <c r="AN406" s="255"/>
      <c r="AO406" s="255"/>
      <c r="AP406" s="255"/>
      <c r="AQ406" s="255"/>
      <c r="AR406" s="255"/>
      <c r="AS406" s="255"/>
      <c r="AT406" s="255"/>
      <c r="AU406" s="255"/>
      <c r="AV406" s="255"/>
      <c r="AW406" s="255"/>
      <c r="AX406" s="210"/>
      <c r="AY406" s="236" cm="1">
        <f t="array" ref="AY406">INDEX(Use, $AD406, 4)</f>
        <v>7</v>
      </c>
      <c r="AZ406" s="236">
        <f t="shared" si="493"/>
        <v>32</v>
      </c>
      <c r="BA406" s="236">
        <f t="shared" si="481"/>
        <v>13</v>
      </c>
      <c r="BB406" s="236">
        <f t="shared" si="482"/>
        <v>0</v>
      </c>
      <c r="BC406" s="252" cm="1">
        <f t="array" ref="BC406">K406/IF($L406&gt;0, INDEX($AO$23:$AU$77, $L406+20, $AD406), 1)</f>
        <v>0</v>
      </c>
      <c r="BD406" s="237">
        <f t="shared" si="494"/>
        <v>0</v>
      </c>
      <c r="BE406" s="236">
        <v>35</v>
      </c>
      <c r="BF406" s="237">
        <f t="shared" si="495"/>
        <v>52.55</v>
      </c>
      <c r="BG406" s="253">
        <f t="shared" si="496"/>
        <v>2.7676728869374316</v>
      </c>
      <c r="BH406" s="253" cm="1">
        <f t="array" ref="BH406">$BC406 * SUMPRODUCT(INDEX($AL$77:$AN$82,,$AE406),INDEX($AO$77:$AU$82,,$AD406), N($AK$77:$AK$82&gt;$AI406)) / BG406 / 1000</f>
        <v>0</v>
      </c>
      <c r="BI406" s="250">
        <f t="shared" si="483"/>
        <v>30</v>
      </c>
      <c r="BJ406" s="237">
        <f t="shared" si="497"/>
        <v>46.033333333333331</v>
      </c>
      <c r="BK406" s="253">
        <f t="shared" si="498"/>
        <v>3.2297395388556791</v>
      </c>
      <c r="BL406" s="253" cm="1">
        <f t="array" ref="BL406">$BC406 * IF($AD406&lt;=2,
SUMPRODUCT(INDEX($AL$72:$AN$76,,$AE406), INDEX($AO$72:$AU$76,,$AD406), 1 / ($AV$72:$AV$76*BK406 + (1-$AV$72:$AV$76)*BG406), N($AK$72:$AK$76&gt;$AI406)),
SUMPRODUCT(INDEX($AL$67:$AN$76,,$AE406), INDEX($AO$67:$AU$76,,$AD406), 1 / ($AW$67:$AW$76*BK406 + (1-$AW$67:$AW$76)*BG406), N($AK$67:$AK$76&gt;$AI406))
) / 1000</f>
        <v>0</v>
      </c>
      <c r="BM406" s="250">
        <f t="shared" si="484"/>
        <v>25</v>
      </c>
      <c r="BN406" s="237">
        <f t="shared" si="499"/>
        <v>39.516666666666666</v>
      </c>
      <c r="BO406" s="253">
        <f t="shared" si="500"/>
        <v>3.877011788826243</v>
      </c>
      <c r="BP406" s="253" cm="1">
        <f t="array" ref="BP406">$BC406 * IF($AD406&lt;=2,
SUMPRODUCT(INDEX($AL$67:$AN$71,,$AE406), INDEX($AO$67:$AU$71,,$AD406), 1 / ($AV$67:$AV$71*BO406 + (1-$AV$67:$AV$71)*BK406), N($AK$67:$AK$71&gt;$AI406)),
SUMPRODUCT(INDEX($AL$57:$AN$66,,$AE406), INDEX($AO$57:$AU$66,,$AD406), 1 / ($AW$57:$AW$66*BO406 + (1-$AW$57:$AW$66)*BK406), N($AK$57:$AK$66&gt;$AI406))
) / 1000</f>
        <v>0</v>
      </c>
      <c r="BQ406" s="250">
        <f t="shared" si="485"/>
        <v>20</v>
      </c>
      <c r="BR406" s="237">
        <f t="shared" si="501"/>
        <v>33</v>
      </c>
      <c r="BS406" s="253">
        <f t="shared" si="502"/>
        <v>4.8487499999999999</v>
      </c>
      <c r="BT406" s="253" cm="1">
        <f t="array" ref="BT406">$BC406 * IF($AD406&lt;=2,
SUMPRODUCT(INDEX($AL$62:$AN$66,,$AE406), INDEX($AO$62:$AU$66,,$AD406), 1 / ($AV$62:$AV$66*BS406 + (1-$AV$62:$AV$66)*BO406), N($AK$62:$AK$66&gt;$AI406)),
SUMPRODUCT(INDEX($AL$47:$AN$56,,$AE406), INDEX($AO$47:$AU$56,,$AD406), 1 / ($AW$47:$AW$56*BS406 + (1-$AW$47:$AW$56)*BO406), N($AK$47:$AK$56&gt;$AI406))
) / 1000</f>
        <v>0</v>
      </c>
      <c r="BU406" s="253" cm="1">
        <f t="array" ref="BU406">$BC406 * IF($AD406&lt;=2,
SUMPRODUCT(INDEX($AL$23:$AN$61,,$AE406), INDEX($AO$23:$AU$61,,$AD406), 1 / ($AV$23:$AV$61*BS406), N($AK$23:$AK$61&gt;$AI406)),
SUMPRODUCT(INDEX($AL$23:$AN$46,,$AE406), INDEX($AO$23:$AU$46,,$AD406), 1 / ($AW$23:$AW$46*BS406), N($AK$23:$AK$46&gt;$AI406))
) / 1000</f>
        <v>0</v>
      </c>
      <c r="BV406" s="237">
        <f t="shared" si="503"/>
        <v>0</v>
      </c>
      <c r="BW406" s="210"/>
      <c r="BX406" s="237">
        <f t="shared" si="504"/>
        <v>0</v>
      </c>
      <c r="BY406" s="236">
        <v>35</v>
      </c>
      <c r="BZ406" s="237">
        <f t="shared" si="505"/>
        <v>48</v>
      </c>
      <c r="CA406" s="253">
        <f t="shared" si="506"/>
        <v>3.0748170731707316</v>
      </c>
      <c r="CB406" s="253" cm="1">
        <f t="array" ref="CB406">$BC406 * SUMPRODUCT(INDEX($AL$77:$AN$82,,$AE406),INDEX($AO$77:$AU$82,,$AD406), N($AK$77:$AK$82&gt;$AI406)) / CA406 / 1000</f>
        <v>0</v>
      </c>
      <c r="CC406" s="250">
        <f t="shared" si="486"/>
        <v>30</v>
      </c>
      <c r="CD406" s="237">
        <f t="shared" si="507"/>
        <v>43</v>
      </c>
      <c r="CE406" s="253">
        <f t="shared" si="508"/>
        <v>3.5018750000000001</v>
      </c>
      <c r="CF406" s="253" cm="1">
        <f t="array" ref="CF406">$BC406 * IF($AD406&lt;=2,
SUMPRODUCT(INDEX($AL$72:$AN$76,,$AE406), INDEX($AO$72:$AU$76,,$AD406), 1 / ($AV$72:$AV$76*CE406 + (1-$AV$72:$AV$76)*CA406), N($AK$72:$AK$76&gt;$AI406)),
SUMPRODUCT(INDEX($AL$67:$AN$76,,$AE406), INDEX($AO$67:$AU$76,,$AD406), 1 / ($AW$67:$AW$76*CE406 + (1-$AW$67:$AW$76)*CA406), N($AK$67:$AK$76&gt;$AI406))
) / 1000</f>
        <v>0</v>
      </c>
      <c r="CG406" s="250">
        <f t="shared" si="487"/>
        <v>25</v>
      </c>
      <c r="CH406" s="237">
        <f t="shared" si="509"/>
        <v>38</v>
      </c>
      <c r="CI406" s="253">
        <f t="shared" si="510"/>
        <v>4.0666935483870965</v>
      </c>
      <c r="CJ406" s="253" cm="1">
        <f t="array" ref="CJ406">$BC406 * IF($AD406&lt;=2,
SUMPRODUCT(INDEX($AL$67:$AN$71,,$AE406), INDEX($AO$67:$AU$71,,$AD406), 1 / ($AV$67:$AV$71*CI406 + (1-$AV$67:$AV$71)*CE406), N($AK$67:$AK$71&gt;$AI406)),
SUMPRODUCT(INDEX($AL$57:$AN$66,,$AE406), INDEX($AO$57:$AU$66,,$AD406), 1 / ($AW$57:$AW$66*CI406 + (1-$AW$57:$AW$66)*CE406), N($AK$57:$AK$66&gt;$AI406))
) / 1000</f>
        <v>0</v>
      </c>
      <c r="CK406" s="250">
        <f t="shared" si="488"/>
        <v>20</v>
      </c>
      <c r="CL406" s="237">
        <f t="shared" si="511"/>
        <v>33</v>
      </c>
      <c r="CM406" s="253">
        <f t="shared" si="512"/>
        <v>4.8487499999999999</v>
      </c>
      <c r="CN406" s="253" cm="1">
        <f t="array" ref="CN406">$BC406 * IF($AD406&lt;=2,
SUMPRODUCT(INDEX($AL$62:$AN$66,,$AE406), INDEX($AO$62:$AU$66,,$AD406), 1 / ($AV$62:$AV$66*CM406 + (1-$AV$62:$AV$66)*CI406), N($AK$62:$AK$66&gt;$AI406)),
SUMPRODUCT(INDEX($AL$47:$AN$56,,$AE406), INDEX($AO$47:$AU$56,,$AD406), 1 / ($AW$47:$AW$56*CM406 + (1-$AW$47:$AW$56)*CI406), N($AK$47:$AK$56&gt;$AI406))
) / 1000</f>
        <v>0</v>
      </c>
      <c r="CO406" s="253" cm="1">
        <f t="array" ref="CO406">$BC406 * IF($AD406&lt;=2,
SUMPRODUCT(INDEX($AL$23:$AN$61,,$AE406), INDEX($AO$23:$AU$61,,$AD406), 1 / ($AV$23:$AV$61*CM406), N($AK$23:$AK$61&gt;$AI406)),
SUMPRODUCT(INDEX($AL$23:$AN$46,,$AE406), INDEX($AO$23:$AU$46,,$AD406), 1 / ($AW$23:$AW$46*CM406), N($AK$23:$AK$46&gt;$AI406))
) / 1000</f>
        <v>0</v>
      </c>
      <c r="CP406" s="237">
        <f t="shared" si="513"/>
        <v>0</v>
      </c>
      <c r="CQ406" s="210"/>
    </row>
    <row r="407" spans="1:95" s="76" customFormat="1" ht="14.25" customHeight="1" x14ac:dyDescent="0.2">
      <c r="A407" s="238" t="b">
        <f t="shared" si="517"/>
        <v>0</v>
      </c>
      <c r="B407" s="239">
        <v>385</v>
      </c>
      <c r="C407" s="258"/>
      <c r="D407" s="258"/>
      <c r="E407" s="240"/>
      <c r="F407" s="241" t="str">
        <f>IF(ISBLANK(E407), "", VLOOKUP(E407, Z!$A$2:$C$4127, 3, FALSE))</f>
        <v/>
      </c>
      <c r="G407" s="242"/>
      <c r="H407" s="242"/>
      <c r="I407" s="243"/>
      <c r="J407" s="244"/>
      <c r="K407" s="259"/>
      <c r="L407" s="260"/>
      <c r="M407" s="247" t="str" cm="1">
        <f t="array" ref="M407">IF($K407&gt;0, INDEX(Clean,1+AG407,$C$1), "")</f>
        <v/>
      </c>
      <c r="N407" s="245"/>
      <c r="O407" s="245"/>
      <c r="P407" s="246"/>
      <c r="Q407" s="248">
        <f t="shared" si="490"/>
        <v>0</v>
      </c>
      <c r="R407" s="247" t="str" cm="1">
        <f t="array" ref="R407">IF($K407&gt;0, INDEX(Clean,1+AH407,$C$1), "")</f>
        <v/>
      </c>
      <c r="S407" s="245"/>
      <c r="T407" s="245"/>
      <c r="U407" s="246"/>
      <c r="V407" s="248">
        <f t="shared" si="491"/>
        <v>0</v>
      </c>
      <c r="W407" s="261"/>
      <c r="X407" s="258"/>
      <c r="Y407" s="240"/>
      <c r="Z407" s="241" t="str">
        <f>IF(ISBLANK(Y407), "", VLOOKUP(Y407, Z!$A$2:$C$4127, 3, FALSE))</f>
        <v/>
      </c>
      <c r="AA407" s="262"/>
      <c r="AB407" s="249">
        <f t="shared" si="489"/>
        <v>0</v>
      </c>
      <c r="AC407" s="210"/>
      <c r="AD407" s="236">
        <f t="shared" si="514"/>
        <v>1</v>
      </c>
      <c r="AE407" s="236">
        <f t="shared" si="515"/>
        <v>1</v>
      </c>
      <c r="AF407" s="236">
        <f t="shared" si="516"/>
        <v>0</v>
      </c>
      <c r="AG407" s="236">
        <v>1</v>
      </c>
      <c r="AH407" s="236">
        <v>0</v>
      </c>
      <c r="AI407" s="236">
        <f t="shared" si="492"/>
        <v>-100</v>
      </c>
      <c r="AJ407" s="210"/>
      <c r="AK407" s="254"/>
      <c r="AL407" s="254"/>
      <c r="AM407" s="255"/>
      <c r="AN407" s="255"/>
      <c r="AO407" s="255"/>
      <c r="AP407" s="255"/>
      <c r="AQ407" s="255"/>
      <c r="AR407" s="255"/>
      <c r="AS407" s="255"/>
      <c r="AT407" s="255"/>
      <c r="AU407" s="255"/>
      <c r="AV407" s="255"/>
      <c r="AW407" s="255"/>
      <c r="AX407" s="210"/>
      <c r="AY407" s="236" cm="1">
        <f t="array" ref="AY407">INDEX(Use, $AD407, 4)</f>
        <v>7</v>
      </c>
      <c r="AZ407" s="236">
        <f t="shared" si="493"/>
        <v>32</v>
      </c>
      <c r="BA407" s="236">
        <f t="shared" ref="BA407:BA470" si="518">IF($AF407=1, 6, IF($AD407=4, 10, 13))</f>
        <v>13</v>
      </c>
      <c r="BB407" s="236">
        <f t="shared" ref="BB407:BB470" si="519">IF($AF407=1, 9, 0)</f>
        <v>0</v>
      </c>
      <c r="BC407" s="252" cm="1">
        <f t="array" ref="BC407">K407/IF($L407&gt;0, INDEX($AO$23:$AU$77, $L407+20, $AD407), 1)</f>
        <v>0</v>
      </c>
      <c r="BD407" s="237">
        <f t="shared" si="494"/>
        <v>0</v>
      </c>
      <c r="BE407" s="236">
        <v>35</v>
      </c>
      <c r="BF407" s="237">
        <f t="shared" si="495"/>
        <v>52.55</v>
      </c>
      <c r="BG407" s="253">
        <f t="shared" si="496"/>
        <v>2.7676728869374316</v>
      </c>
      <c r="BH407" s="253" cm="1">
        <f t="array" ref="BH407">$BC407 * SUMPRODUCT(INDEX($AL$77:$AN$82,,$AE407),INDEX($AO$77:$AU$82,,$AD407), N($AK$77:$AK$82&gt;$AI407)) / BG407 / 1000</f>
        <v>0</v>
      </c>
      <c r="BI407" s="250">
        <f t="shared" ref="BI407:BI470" si="520">IF($AD407&lt;=2, 30, 25)</f>
        <v>30</v>
      </c>
      <c r="BJ407" s="237">
        <f t="shared" si="497"/>
        <v>46.033333333333331</v>
      </c>
      <c r="BK407" s="253">
        <f t="shared" si="498"/>
        <v>3.2297395388556791</v>
      </c>
      <c r="BL407" s="253" cm="1">
        <f t="array" ref="BL407">$BC407 * IF($AD407&lt;=2,
SUMPRODUCT(INDEX($AL$72:$AN$76,,$AE407), INDEX($AO$72:$AU$76,,$AD407), 1 / ($AV$72:$AV$76*BK407 + (1-$AV$72:$AV$76)*BG407), N($AK$72:$AK$76&gt;$AI407)),
SUMPRODUCT(INDEX($AL$67:$AN$76,,$AE407), INDEX($AO$67:$AU$76,,$AD407), 1 / ($AW$67:$AW$76*BK407 + (1-$AW$67:$AW$76)*BG407), N($AK$67:$AK$76&gt;$AI407))
) / 1000</f>
        <v>0</v>
      </c>
      <c r="BM407" s="250">
        <f t="shared" ref="BM407:BM470" si="521">IF($AD407&lt;=2, 25, 15)</f>
        <v>25</v>
      </c>
      <c r="BN407" s="237">
        <f t="shared" si="499"/>
        <v>39.516666666666666</v>
      </c>
      <c r="BO407" s="253">
        <f t="shared" si="500"/>
        <v>3.877011788826243</v>
      </c>
      <c r="BP407" s="253" cm="1">
        <f t="array" ref="BP407">$BC407 * IF($AD407&lt;=2,
SUMPRODUCT(INDEX($AL$67:$AN$71,,$AE407), INDEX($AO$67:$AU$71,,$AD407), 1 / ($AV$67:$AV$71*BO407 + (1-$AV$67:$AV$71)*BK407), N($AK$67:$AK$71&gt;$AI407)),
SUMPRODUCT(INDEX($AL$57:$AN$66,,$AE407), INDEX($AO$57:$AU$66,,$AD407), 1 / ($AW$57:$AW$66*BO407 + (1-$AW$57:$AW$66)*BK407), N($AK$57:$AK$66&gt;$AI407))
) / 1000</f>
        <v>0</v>
      </c>
      <c r="BQ407" s="250">
        <f t="shared" ref="BQ407:BQ470" si="522">IF($AD407&lt;=2, 20, 5)</f>
        <v>20</v>
      </c>
      <c r="BR407" s="237">
        <f t="shared" si="501"/>
        <v>33</v>
      </c>
      <c r="BS407" s="253">
        <f t="shared" si="502"/>
        <v>4.8487499999999999</v>
      </c>
      <c r="BT407" s="253" cm="1">
        <f t="array" ref="BT407">$BC407 * IF($AD407&lt;=2,
SUMPRODUCT(INDEX($AL$62:$AN$66,,$AE407), INDEX($AO$62:$AU$66,,$AD407), 1 / ($AV$62:$AV$66*BS407 + (1-$AV$62:$AV$66)*BO407), N($AK$62:$AK$66&gt;$AI407)),
SUMPRODUCT(INDEX($AL$47:$AN$56,,$AE407), INDEX($AO$47:$AU$56,,$AD407), 1 / ($AW$47:$AW$56*BS407 + (1-$AW$47:$AW$56)*BO407), N($AK$47:$AK$56&gt;$AI407))
) / 1000</f>
        <v>0</v>
      </c>
      <c r="BU407" s="253" cm="1">
        <f t="array" ref="BU407">$BC407 * IF($AD407&lt;=2,
SUMPRODUCT(INDEX($AL$23:$AN$61,,$AE407), INDEX($AO$23:$AU$61,,$AD407), 1 / ($AV$23:$AV$61*BS407), N($AK$23:$AK$61&gt;$AI407)),
SUMPRODUCT(INDEX($AL$23:$AN$46,,$AE407), INDEX($AO$23:$AU$46,,$AD407), 1 / ($AW$23:$AW$46*BS407), N($AK$23:$AK$46&gt;$AI407))
) / 1000</f>
        <v>0</v>
      </c>
      <c r="BV407" s="237">
        <f t="shared" si="503"/>
        <v>0</v>
      </c>
      <c r="BW407" s="210"/>
      <c r="BX407" s="237">
        <f t="shared" si="504"/>
        <v>0</v>
      </c>
      <c r="BY407" s="236">
        <v>35</v>
      </c>
      <c r="BZ407" s="237">
        <f t="shared" si="505"/>
        <v>48</v>
      </c>
      <c r="CA407" s="253">
        <f t="shared" si="506"/>
        <v>3.0748170731707316</v>
      </c>
      <c r="CB407" s="253" cm="1">
        <f t="array" ref="CB407">$BC407 * SUMPRODUCT(INDEX($AL$77:$AN$82,,$AE407),INDEX($AO$77:$AU$82,,$AD407), N($AK$77:$AK$82&gt;$AI407)) / CA407 / 1000</f>
        <v>0</v>
      </c>
      <c r="CC407" s="250">
        <f t="shared" ref="CC407:CC470" si="523">IF($AD407&lt;=2, 30, 25)</f>
        <v>30</v>
      </c>
      <c r="CD407" s="237">
        <f t="shared" si="507"/>
        <v>43</v>
      </c>
      <c r="CE407" s="253">
        <f t="shared" si="508"/>
        <v>3.5018750000000001</v>
      </c>
      <c r="CF407" s="253" cm="1">
        <f t="array" ref="CF407">$BC407 * IF($AD407&lt;=2,
SUMPRODUCT(INDEX($AL$72:$AN$76,,$AE407), INDEX($AO$72:$AU$76,,$AD407), 1 / ($AV$72:$AV$76*CE407 + (1-$AV$72:$AV$76)*CA407), N($AK$72:$AK$76&gt;$AI407)),
SUMPRODUCT(INDEX($AL$67:$AN$76,,$AE407), INDEX($AO$67:$AU$76,,$AD407), 1 / ($AW$67:$AW$76*CE407 + (1-$AW$67:$AW$76)*CA407), N($AK$67:$AK$76&gt;$AI407))
) / 1000</f>
        <v>0</v>
      </c>
      <c r="CG407" s="250">
        <f t="shared" ref="CG407:CG470" si="524">IF($AD407&lt;=2, 25, 15)</f>
        <v>25</v>
      </c>
      <c r="CH407" s="237">
        <f t="shared" si="509"/>
        <v>38</v>
      </c>
      <c r="CI407" s="253">
        <f t="shared" si="510"/>
        <v>4.0666935483870965</v>
      </c>
      <c r="CJ407" s="253" cm="1">
        <f t="array" ref="CJ407">$BC407 * IF($AD407&lt;=2,
SUMPRODUCT(INDEX($AL$67:$AN$71,,$AE407), INDEX($AO$67:$AU$71,,$AD407), 1 / ($AV$67:$AV$71*CI407 + (1-$AV$67:$AV$71)*CE407), N($AK$67:$AK$71&gt;$AI407)),
SUMPRODUCT(INDEX($AL$57:$AN$66,,$AE407), INDEX($AO$57:$AU$66,,$AD407), 1 / ($AW$57:$AW$66*CI407 + (1-$AW$57:$AW$66)*CE407), N($AK$57:$AK$66&gt;$AI407))
) / 1000</f>
        <v>0</v>
      </c>
      <c r="CK407" s="250">
        <f t="shared" ref="CK407:CK470" si="525">IF($AD407&lt;=2, 20, 5)</f>
        <v>20</v>
      </c>
      <c r="CL407" s="237">
        <f t="shared" si="511"/>
        <v>33</v>
      </c>
      <c r="CM407" s="253">
        <f t="shared" si="512"/>
        <v>4.8487499999999999</v>
      </c>
      <c r="CN407" s="253" cm="1">
        <f t="array" ref="CN407">$BC407 * IF($AD407&lt;=2,
SUMPRODUCT(INDEX($AL$62:$AN$66,,$AE407), INDEX($AO$62:$AU$66,,$AD407), 1 / ($AV$62:$AV$66*CM407 + (1-$AV$62:$AV$66)*CI407), N($AK$62:$AK$66&gt;$AI407)),
SUMPRODUCT(INDEX($AL$47:$AN$56,,$AE407), INDEX($AO$47:$AU$56,,$AD407), 1 / ($AW$47:$AW$56*CM407 + (1-$AW$47:$AW$56)*CI407), N($AK$47:$AK$56&gt;$AI407))
) / 1000</f>
        <v>0</v>
      </c>
      <c r="CO407" s="253" cm="1">
        <f t="array" ref="CO407">$BC407 * IF($AD407&lt;=2,
SUMPRODUCT(INDEX($AL$23:$AN$61,,$AE407), INDEX($AO$23:$AU$61,,$AD407), 1 / ($AV$23:$AV$61*CM407), N($AK$23:$AK$61&gt;$AI407)),
SUMPRODUCT(INDEX($AL$23:$AN$46,,$AE407), INDEX($AO$23:$AU$46,,$AD407), 1 / ($AW$23:$AW$46*CM407), N($AK$23:$AK$46&gt;$AI407))
) / 1000</f>
        <v>0</v>
      </c>
      <c r="CP407" s="237">
        <f t="shared" si="513"/>
        <v>0</v>
      </c>
      <c r="CQ407" s="210"/>
    </row>
    <row r="408" spans="1:95" s="76" customFormat="1" ht="14.25" customHeight="1" x14ac:dyDescent="0.2">
      <c r="A408" s="238" t="b">
        <f t="shared" si="517"/>
        <v>0</v>
      </c>
      <c r="B408" s="239">
        <v>386</v>
      </c>
      <c r="C408" s="258"/>
      <c r="D408" s="258"/>
      <c r="E408" s="240"/>
      <c r="F408" s="241" t="str">
        <f>IF(ISBLANK(E408), "", VLOOKUP(E408, Z!$A$2:$C$4127, 3, FALSE))</f>
        <v/>
      </c>
      <c r="G408" s="242"/>
      <c r="H408" s="242"/>
      <c r="I408" s="243"/>
      <c r="J408" s="244"/>
      <c r="K408" s="259"/>
      <c r="L408" s="260"/>
      <c r="M408" s="247" t="str" cm="1">
        <f t="array" ref="M408">IF($K408&gt;0, INDEX(Clean,1+AG408,$C$1), "")</f>
        <v/>
      </c>
      <c r="N408" s="245"/>
      <c r="O408" s="245"/>
      <c r="P408" s="246"/>
      <c r="Q408" s="248">
        <f t="shared" si="490"/>
        <v>0</v>
      </c>
      <c r="R408" s="247" t="str" cm="1">
        <f t="array" ref="R408">IF($K408&gt;0, INDEX(Clean,1+AH408,$C$1), "")</f>
        <v/>
      </c>
      <c r="S408" s="245"/>
      <c r="T408" s="245"/>
      <c r="U408" s="246"/>
      <c r="V408" s="248">
        <f t="shared" si="491"/>
        <v>0</v>
      </c>
      <c r="W408" s="261"/>
      <c r="X408" s="258"/>
      <c r="Y408" s="240"/>
      <c r="Z408" s="241" t="str">
        <f>IF(ISBLANK(Y408), "", VLOOKUP(Y408, Z!$A$2:$C$4127, 3, FALSE))</f>
        <v/>
      </c>
      <c r="AA408" s="262"/>
      <c r="AB408" s="249">
        <f t="shared" ref="AB408:AB471" si="526">0.75*$AJ$22*(Q408-V408)</f>
        <v>0</v>
      </c>
      <c r="AC408" s="210"/>
      <c r="AD408" s="236">
        <f t="shared" si="514"/>
        <v>1</v>
      </c>
      <c r="AE408" s="236">
        <f t="shared" si="515"/>
        <v>1</v>
      </c>
      <c r="AF408" s="236">
        <f t="shared" si="516"/>
        <v>0</v>
      </c>
      <c r="AG408" s="236">
        <v>1</v>
      </c>
      <c r="AH408" s="236">
        <v>0</v>
      </c>
      <c r="AI408" s="236">
        <f t="shared" si="492"/>
        <v>-100</v>
      </c>
      <c r="AJ408" s="210"/>
      <c r="AK408" s="254"/>
      <c r="AL408" s="254"/>
      <c r="AM408" s="255"/>
      <c r="AN408" s="255"/>
      <c r="AO408" s="255"/>
      <c r="AP408" s="255"/>
      <c r="AQ408" s="255"/>
      <c r="AR408" s="255"/>
      <c r="AS408" s="255"/>
      <c r="AT408" s="255"/>
      <c r="AU408" s="255"/>
      <c r="AV408" s="255"/>
      <c r="AW408" s="255"/>
      <c r="AX408" s="210"/>
      <c r="AY408" s="236" cm="1">
        <f t="array" ref="AY408">INDEX(Use, $AD408, 4)</f>
        <v>7</v>
      </c>
      <c r="AZ408" s="236">
        <f t="shared" si="493"/>
        <v>32</v>
      </c>
      <c r="BA408" s="236">
        <f t="shared" si="518"/>
        <v>13</v>
      </c>
      <c r="BB408" s="236">
        <f t="shared" si="519"/>
        <v>0</v>
      </c>
      <c r="BC408" s="252" cm="1">
        <f t="array" ref="BC408">K408/IF($L408&gt;0, INDEX($AO$23:$AU$77, $L408+20, $AD408), 1)</f>
        <v>0</v>
      </c>
      <c r="BD408" s="237">
        <f t="shared" si="494"/>
        <v>0</v>
      </c>
      <c r="BE408" s="236">
        <v>35</v>
      </c>
      <c r="BF408" s="237">
        <f t="shared" si="495"/>
        <v>52.55</v>
      </c>
      <c r="BG408" s="253">
        <f t="shared" si="496"/>
        <v>2.7676728869374316</v>
      </c>
      <c r="BH408" s="253" cm="1">
        <f t="array" ref="BH408">$BC408 * SUMPRODUCT(INDEX($AL$77:$AN$82,,$AE408),INDEX($AO$77:$AU$82,,$AD408), N($AK$77:$AK$82&gt;$AI408)) / BG408 / 1000</f>
        <v>0</v>
      </c>
      <c r="BI408" s="250">
        <f t="shared" si="520"/>
        <v>30</v>
      </c>
      <c r="BJ408" s="237">
        <f t="shared" si="497"/>
        <v>46.033333333333331</v>
      </c>
      <c r="BK408" s="253">
        <f t="shared" si="498"/>
        <v>3.2297395388556791</v>
      </c>
      <c r="BL408" s="253" cm="1">
        <f t="array" ref="BL408">$BC408 * IF($AD408&lt;=2,
SUMPRODUCT(INDEX($AL$72:$AN$76,,$AE408), INDEX($AO$72:$AU$76,,$AD408), 1 / ($AV$72:$AV$76*BK408 + (1-$AV$72:$AV$76)*BG408), N($AK$72:$AK$76&gt;$AI408)),
SUMPRODUCT(INDEX($AL$67:$AN$76,,$AE408), INDEX($AO$67:$AU$76,,$AD408), 1 / ($AW$67:$AW$76*BK408 + (1-$AW$67:$AW$76)*BG408), N($AK$67:$AK$76&gt;$AI408))
) / 1000</f>
        <v>0</v>
      </c>
      <c r="BM408" s="250">
        <f t="shared" si="521"/>
        <v>25</v>
      </c>
      <c r="BN408" s="237">
        <f t="shared" si="499"/>
        <v>39.516666666666666</v>
      </c>
      <c r="BO408" s="253">
        <f t="shared" si="500"/>
        <v>3.877011788826243</v>
      </c>
      <c r="BP408" s="253" cm="1">
        <f t="array" ref="BP408">$BC408 * IF($AD408&lt;=2,
SUMPRODUCT(INDEX($AL$67:$AN$71,,$AE408), INDEX($AO$67:$AU$71,,$AD408), 1 / ($AV$67:$AV$71*BO408 + (1-$AV$67:$AV$71)*BK408), N($AK$67:$AK$71&gt;$AI408)),
SUMPRODUCT(INDEX($AL$57:$AN$66,,$AE408), INDEX($AO$57:$AU$66,,$AD408), 1 / ($AW$57:$AW$66*BO408 + (1-$AW$57:$AW$66)*BK408), N($AK$57:$AK$66&gt;$AI408))
) / 1000</f>
        <v>0</v>
      </c>
      <c r="BQ408" s="250">
        <f t="shared" si="522"/>
        <v>20</v>
      </c>
      <c r="BR408" s="237">
        <f t="shared" si="501"/>
        <v>33</v>
      </c>
      <c r="BS408" s="253">
        <f t="shared" si="502"/>
        <v>4.8487499999999999</v>
      </c>
      <c r="BT408" s="253" cm="1">
        <f t="array" ref="BT408">$BC408 * IF($AD408&lt;=2,
SUMPRODUCT(INDEX($AL$62:$AN$66,,$AE408), INDEX($AO$62:$AU$66,,$AD408), 1 / ($AV$62:$AV$66*BS408 + (1-$AV$62:$AV$66)*BO408), N($AK$62:$AK$66&gt;$AI408)),
SUMPRODUCT(INDEX($AL$47:$AN$56,,$AE408), INDEX($AO$47:$AU$56,,$AD408), 1 / ($AW$47:$AW$56*BS408 + (1-$AW$47:$AW$56)*BO408), N($AK$47:$AK$56&gt;$AI408))
) / 1000</f>
        <v>0</v>
      </c>
      <c r="BU408" s="253" cm="1">
        <f t="array" ref="BU408">$BC408 * IF($AD408&lt;=2,
SUMPRODUCT(INDEX($AL$23:$AN$61,,$AE408), INDEX($AO$23:$AU$61,,$AD408), 1 / ($AV$23:$AV$61*BS408), N($AK$23:$AK$61&gt;$AI408)),
SUMPRODUCT(INDEX($AL$23:$AN$46,,$AE408), INDEX($AO$23:$AU$46,,$AD408), 1 / ($AW$23:$AW$46*BS408), N($AK$23:$AK$46&gt;$AI408))
) / 1000</f>
        <v>0</v>
      </c>
      <c r="BV408" s="237">
        <f t="shared" si="503"/>
        <v>0</v>
      </c>
      <c r="BW408" s="210"/>
      <c r="BX408" s="237">
        <f t="shared" si="504"/>
        <v>0</v>
      </c>
      <c r="BY408" s="236">
        <v>35</v>
      </c>
      <c r="BZ408" s="237">
        <f t="shared" si="505"/>
        <v>48</v>
      </c>
      <c r="CA408" s="253">
        <f t="shared" si="506"/>
        <v>3.0748170731707316</v>
      </c>
      <c r="CB408" s="253" cm="1">
        <f t="array" ref="CB408">$BC408 * SUMPRODUCT(INDEX($AL$77:$AN$82,,$AE408),INDEX($AO$77:$AU$82,,$AD408), N($AK$77:$AK$82&gt;$AI408)) / CA408 / 1000</f>
        <v>0</v>
      </c>
      <c r="CC408" s="250">
        <f t="shared" si="523"/>
        <v>30</v>
      </c>
      <c r="CD408" s="237">
        <f t="shared" si="507"/>
        <v>43</v>
      </c>
      <c r="CE408" s="253">
        <f t="shared" si="508"/>
        <v>3.5018750000000001</v>
      </c>
      <c r="CF408" s="253" cm="1">
        <f t="array" ref="CF408">$BC408 * IF($AD408&lt;=2,
SUMPRODUCT(INDEX($AL$72:$AN$76,,$AE408), INDEX($AO$72:$AU$76,,$AD408), 1 / ($AV$72:$AV$76*CE408 + (1-$AV$72:$AV$76)*CA408), N($AK$72:$AK$76&gt;$AI408)),
SUMPRODUCT(INDEX($AL$67:$AN$76,,$AE408), INDEX($AO$67:$AU$76,,$AD408), 1 / ($AW$67:$AW$76*CE408 + (1-$AW$67:$AW$76)*CA408), N($AK$67:$AK$76&gt;$AI408))
) / 1000</f>
        <v>0</v>
      </c>
      <c r="CG408" s="250">
        <f t="shared" si="524"/>
        <v>25</v>
      </c>
      <c r="CH408" s="237">
        <f t="shared" si="509"/>
        <v>38</v>
      </c>
      <c r="CI408" s="253">
        <f t="shared" si="510"/>
        <v>4.0666935483870965</v>
      </c>
      <c r="CJ408" s="253" cm="1">
        <f t="array" ref="CJ408">$BC408 * IF($AD408&lt;=2,
SUMPRODUCT(INDEX($AL$67:$AN$71,,$AE408), INDEX($AO$67:$AU$71,,$AD408), 1 / ($AV$67:$AV$71*CI408 + (1-$AV$67:$AV$71)*CE408), N($AK$67:$AK$71&gt;$AI408)),
SUMPRODUCT(INDEX($AL$57:$AN$66,,$AE408), INDEX($AO$57:$AU$66,,$AD408), 1 / ($AW$57:$AW$66*CI408 + (1-$AW$57:$AW$66)*CE408), N($AK$57:$AK$66&gt;$AI408))
) / 1000</f>
        <v>0</v>
      </c>
      <c r="CK408" s="250">
        <f t="shared" si="525"/>
        <v>20</v>
      </c>
      <c r="CL408" s="237">
        <f t="shared" si="511"/>
        <v>33</v>
      </c>
      <c r="CM408" s="253">
        <f t="shared" si="512"/>
        <v>4.8487499999999999</v>
      </c>
      <c r="CN408" s="253" cm="1">
        <f t="array" ref="CN408">$BC408 * IF($AD408&lt;=2,
SUMPRODUCT(INDEX($AL$62:$AN$66,,$AE408), INDEX($AO$62:$AU$66,,$AD408), 1 / ($AV$62:$AV$66*CM408 + (1-$AV$62:$AV$66)*CI408), N($AK$62:$AK$66&gt;$AI408)),
SUMPRODUCT(INDEX($AL$47:$AN$56,,$AE408), INDEX($AO$47:$AU$56,,$AD408), 1 / ($AW$47:$AW$56*CM408 + (1-$AW$47:$AW$56)*CI408), N($AK$47:$AK$56&gt;$AI408))
) / 1000</f>
        <v>0</v>
      </c>
      <c r="CO408" s="253" cm="1">
        <f t="array" ref="CO408">$BC408 * IF($AD408&lt;=2,
SUMPRODUCT(INDEX($AL$23:$AN$61,,$AE408), INDEX($AO$23:$AU$61,,$AD408), 1 / ($AV$23:$AV$61*CM408), N($AK$23:$AK$61&gt;$AI408)),
SUMPRODUCT(INDEX($AL$23:$AN$46,,$AE408), INDEX($AO$23:$AU$46,,$AD408), 1 / ($AW$23:$AW$46*CM408), N($AK$23:$AK$46&gt;$AI408))
) / 1000</f>
        <v>0</v>
      </c>
      <c r="CP408" s="237">
        <f t="shared" si="513"/>
        <v>0</v>
      </c>
      <c r="CQ408" s="210"/>
    </row>
    <row r="409" spans="1:95" s="76" customFormat="1" ht="14.25" customHeight="1" x14ac:dyDescent="0.2">
      <c r="A409" s="238" t="b">
        <f t="shared" si="517"/>
        <v>0</v>
      </c>
      <c r="B409" s="239">
        <v>387</v>
      </c>
      <c r="C409" s="258"/>
      <c r="D409" s="258"/>
      <c r="E409" s="240"/>
      <c r="F409" s="241" t="str">
        <f>IF(ISBLANK(E409), "", VLOOKUP(E409, Z!$A$2:$C$4127, 3, FALSE))</f>
        <v/>
      </c>
      <c r="G409" s="242"/>
      <c r="H409" s="242"/>
      <c r="I409" s="243"/>
      <c r="J409" s="244"/>
      <c r="K409" s="259"/>
      <c r="L409" s="260"/>
      <c r="M409" s="247" t="str" cm="1">
        <f t="array" ref="M409">IF($K409&gt;0, INDEX(Clean,1+AG409,$C$1), "")</f>
        <v/>
      </c>
      <c r="N409" s="245"/>
      <c r="O409" s="245"/>
      <c r="P409" s="246"/>
      <c r="Q409" s="248">
        <f t="shared" si="490"/>
        <v>0</v>
      </c>
      <c r="R409" s="247" t="str" cm="1">
        <f t="array" ref="R409">IF($K409&gt;0, INDEX(Clean,1+AH409,$C$1), "")</f>
        <v/>
      </c>
      <c r="S409" s="245"/>
      <c r="T409" s="245"/>
      <c r="U409" s="246"/>
      <c r="V409" s="248">
        <f t="shared" si="491"/>
        <v>0</v>
      </c>
      <c r="W409" s="261"/>
      <c r="X409" s="258"/>
      <c r="Y409" s="240"/>
      <c r="Z409" s="241" t="str">
        <f>IF(ISBLANK(Y409), "", VLOOKUP(Y409, Z!$A$2:$C$4127, 3, FALSE))</f>
        <v/>
      </c>
      <c r="AA409" s="262"/>
      <c r="AB409" s="249">
        <f t="shared" si="526"/>
        <v>0</v>
      </c>
      <c r="AC409" s="210"/>
      <c r="AD409" s="236">
        <f t="shared" si="514"/>
        <v>1</v>
      </c>
      <c r="AE409" s="236">
        <f t="shared" si="515"/>
        <v>1</v>
      </c>
      <c r="AF409" s="236">
        <f t="shared" si="516"/>
        <v>0</v>
      </c>
      <c r="AG409" s="236">
        <v>1</v>
      </c>
      <c r="AH409" s="236">
        <v>0</v>
      </c>
      <c r="AI409" s="236">
        <f t="shared" si="492"/>
        <v>-100</v>
      </c>
      <c r="AJ409" s="210"/>
      <c r="AK409" s="254"/>
      <c r="AL409" s="254"/>
      <c r="AM409" s="255"/>
      <c r="AN409" s="255"/>
      <c r="AO409" s="255"/>
      <c r="AP409" s="255"/>
      <c r="AQ409" s="255"/>
      <c r="AR409" s="255"/>
      <c r="AS409" s="255"/>
      <c r="AT409" s="255"/>
      <c r="AU409" s="255"/>
      <c r="AV409" s="255"/>
      <c r="AW409" s="255"/>
      <c r="AX409" s="210"/>
      <c r="AY409" s="236" cm="1">
        <f t="array" ref="AY409">INDEX(Use, $AD409, 4)</f>
        <v>7</v>
      </c>
      <c r="AZ409" s="236">
        <f t="shared" si="493"/>
        <v>32</v>
      </c>
      <c r="BA409" s="236">
        <f t="shared" si="518"/>
        <v>13</v>
      </c>
      <c r="BB409" s="236">
        <f t="shared" si="519"/>
        <v>0</v>
      </c>
      <c r="BC409" s="252" cm="1">
        <f t="array" ref="BC409">K409/IF($L409&gt;0, INDEX($AO$23:$AU$77, $L409+20, $AD409), 1)</f>
        <v>0</v>
      </c>
      <c r="BD409" s="237">
        <f t="shared" si="494"/>
        <v>0</v>
      </c>
      <c r="BE409" s="236">
        <v>35</v>
      </c>
      <c r="BF409" s="237">
        <f t="shared" si="495"/>
        <v>52.55</v>
      </c>
      <c r="BG409" s="253">
        <f t="shared" si="496"/>
        <v>2.7676728869374316</v>
      </c>
      <c r="BH409" s="253" cm="1">
        <f t="array" ref="BH409">$BC409 * SUMPRODUCT(INDEX($AL$77:$AN$82,,$AE409),INDEX($AO$77:$AU$82,,$AD409), N($AK$77:$AK$82&gt;$AI409)) / BG409 / 1000</f>
        <v>0</v>
      </c>
      <c r="BI409" s="250">
        <f t="shared" si="520"/>
        <v>30</v>
      </c>
      <c r="BJ409" s="237">
        <f t="shared" si="497"/>
        <v>46.033333333333331</v>
      </c>
      <c r="BK409" s="253">
        <f t="shared" si="498"/>
        <v>3.2297395388556791</v>
      </c>
      <c r="BL409" s="253" cm="1">
        <f t="array" ref="BL409">$BC409 * IF($AD409&lt;=2,
SUMPRODUCT(INDEX($AL$72:$AN$76,,$AE409), INDEX($AO$72:$AU$76,,$AD409), 1 / ($AV$72:$AV$76*BK409 + (1-$AV$72:$AV$76)*BG409), N($AK$72:$AK$76&gt;$AI409)),
SUMPRODUCT(INDEX($AL$67:$AN$76,,$AE409), INDEX($AO$67:$AU$76,,$AD409), 1 / ($AW$67:$AW$76*BK409 + (1-$AW$67:$AW$76)*BG409), N($AK$67:$AK$76&gt;$AI409))
) / 1000</f>
        <v>0</v>
      </c>
      <c r="BM409" s="250">
        <f t="shared" si="521"/>
        <v>25</v>
      </c>
      <c r="BN409" s="237">
        <f t="shared" si="499"/>
        <v>39.516666666666666</v>
      </c>
      <c r="BO409" s="253">
        <f t="shared" si="500"/>
        <v>3.877011788826243</v>
      </c>
      <c r="BP409" s="253" cm="1">
        <f t="array" ref="BP409">$BC409 * IF($AD409&lt;=2,
SUMPRODUCT(INDEX($AL$67:$AN$71,,$AE409), INDEX($AO$67:$AU$71,,$AD409), 1 / ($AV$67:$AV$71*BO409 + (1-$AV$67:$AV$71)*BK409), N($AK$67:$AK$71&gt;$AI409)),
SUMPRODUCT(INDEX($AL$57:$AN$66,,$AE409), INDEX($AO$57:$AU$66,,$AD409), 1 / ($AW$57:$AW$66*BO409 + (1-$AW$57:$AW$66)*BK409), N($AK$57:$AK$66&gt;$AI409))
) / 1000</f>
        <v>0</v>
      </c>
      <c r="BQ409" s="250">
        <f t="shared" si="522"/>
        <v>20</v>
      </c>
      <c r="BR409" s="237">
        <f t="shared" si="501"/>
        <v>33</v>
      </c>
      <c r="BS409" s="253">
        <f t="shared" si="502"/>
        <v>4.8487499999999999</v>
      </c>
      <c r="BT409" s="253" cm="1">
        <f t="array" ref="BT409">$BC409 * IF($AD409&lt;=2,
SUMPRODUCT(INDEX($AL$62:$AN$66,,$AE409), INDEX($AO$62:$AU$66,,$AD409), 1 / ($AV$62:$AV$66*BS409 + (1-$AV$62:$AV$66)*BO409), N($AK$62:$AK$66&gt;$AI409)),
SUMPRODUCT(INDEX($AL$47:$AN$56,,$AE409), INDEX($AO$47:$AU$56,,$AD409), 1 / ($AW$47:$AW$56*BS409 + (1-$AW$47:$AW$56)*BO409), N($AK$47:$AK$56&gt;$AI409))
) / 1000</f>
        <v>0</v>
      </c>
      <c r="BU409" s="253" cm="1">
        <f t="array" ref="BU409">$BC409 * IF($AD409&lt;=2,
SUMPRODUCT(INDEX($AL$23:$AN$61,,$AE409), INDEX($AO$23:$AU$61,,$AD409), 1 / ($AV$23:$AV$61*BS409), N($AK$23:$AK$61&gt;$AI409)),
SUMPRODUCT(INDEX($AL$23:$AN$46,,$AE409), INDEX($AO$23:$AU$46,,$AD409), 1 / ($AW$23:$AW$46*BS409), N($AK$23:$AK$46&gt;$AI409))
) / 1000</f>
        <v>0</v>
      </c>
      <c r="BV409" s="237">
        <f t="shared" si="503"/>
        <v>0</v>
      </c>
      <c r="BW409" s="210"/>
      <c r="BX409" s="237">
        <f t="shared" si="504"/>
        <v>0</v>
      </c>
      <c r="BY409" s="236">
        <v>35</v>
      </c>
      <c r="BZ409" s="237">
        <f t="shared" si="505"/>
        <v>48</v>
      </c>
      <c r="CA409" s="253">
        <f t="shared" si="506"/>
        <v>3.0748170731707316</v>
      </c>
      <c r="CB409" s="253" cm="1">
        <f t="array" ref="CB409">$BC409 * SUMPRODUCT(INDEX($AL$77:$AN$82,,$AE409),INDEX($AO$77:$AU$82,,$AD409), N($AK$77:$AK$82&gt;$AI409)) / CA409 / 1000</f>
        <v>0</v>
      </c>
      <c r="CC409" s="250">
        <f t="shared" si="523"/>
        <v>30</v>
      </c>
      <c r="CD409" s="237">
        <f t="shared" si="507"/>
        <v>43</v>
      </c>
      <c r="CE409" s="253">
        <f t="shared" si="508"/>
        <v>3.5018750000000001</v>
      </c>
      <c r="CF409" s="253" cm="1">
        <f t="array" ref="CF409">$BC409 * IF($AD409&lt;=2,
SUMPRODUCT(INDEX($AL$72:$AN$76,,$AE409), INDEX($AO$72:$AU$76,,$AD409), 1 / ($AV$72:$AV$76*CE409 + (1-$AV$72:$AV$76)*CA409), N($AK$72:$AK$76&gt;$AI409)),
SUMPRODUCT(INDEX($AL$67:$AN$76,,$AE409), INDEX($AO$67:$AU$76,,$AD409), 1 / ($AW$67:$AW$76*CE409 + (1-$AW$67:$AW$76)*CA409), N($AK$67:$AK$76&gt;$AI409))
) / 1000</f>
        <v>0</v>
      </c>
      <c r="CG409" s="250">
        <f t="shared" si="524"/>
        <v>25</v>
      </c>
      <c r="CH409" s="237">
        <f t="shared" si="509"/>
        <v>38</v>
      </c>
      <c r="CI409" s="253">
        <f t="shared" si="510"/>
        <v>4.0666935483870965</v>
      </c>
      <c r="CJ409" s="253" cm="1">
        <f t="array" ref="CJ409">$BC409 * IF($AD409&lt;=2,
SUMPRODUCT(INDEX($AL$67:$AN$71,,$AE409), INDEX($AO$67:$AU$71,,$AD409), 1 / ($AV$67:$AV$71*CI409 + (1-$AV$67:$AV$71)*CE409), N($AK$67:$AK$71&gt;$AI409)),
SUMPRODUCT(INDEX($AL$57:$AN$66,,$AE409), INDEX($AO$57:$AU$66,,$AD409), 1 / ($AW$57:$AW$66*CI409 + (1-$AW$57:$AW$66)*CE409), N($AK$57:$AK$66&gt;$AI409))
) / 1000</f>
        <v>0</v>
      </c>
      <c r="CK409" s="250">
        <f t="shared" si="525"/>
        <v>20</v>
      </c>
      <c r="CL409" s="237">
        <f t="shared" si="511"/>
        <v>33</v>
      </c>
      <c r="CM409" s="253">
        <f t="shared" si="512"/>
        <v>4.8487499999999999</v>
      </c>
      <c r="CN409" s="253" cm="1">
        <f t="array" ref="CN409">$BC409 * IF($AD409&lt;=2,
SUMPRODUCT(INDEX($AL$62:$AN$66,,$AE409), INDEX($AO$62:$AU$66,,$AD409), 1 / ($AV$62:$AV$66*CM409 + (1-$AV$62:$AV$66)*CI409), N($AK$62:$AK$66&gt;$AI409)),
SUMPRODUCT(INDEX($AL$47:$AN$56,,$AE409), INDEX($AO$47:$AU$56,,$AD409), 1 / ($AW$47:$AW$56*CM409 + (1-$AW$47:$AW$56)*CI409), N($AK$47:$AK$56&gt;$AI409))
) / 1000</f>
        <v>0</v>
      </c>
      <c r="CO409" s="253" cm="1">
        <f t="array" ref="CO409">$BC409 * IF($AD409&lt;=2,
SUMPRODUCT(INDEX($AL$23:$AN$61,,$AE409), INDEX($AO$23:$AU$61,,$AD409), 1 / ($AV$23:$AV$61*CM409), N($AK$23:$AK$61&gt;$AI409)),
SUMPRODUCT(INDEX($AL$23:$AN$46,,$AE409), INDEX($AO$23:$AU$46,,$AD409), 1 / ($AW$23:$AW$46*CM409), N($AK$23:$AK$46&gt;$AI409))
) / 1000</f>
        <v>0</v>
      </c>
      <c r="CP409" s="237">
        <f t="shared" si="513"/>
        <v>0</v>
      </c>
      <c r="CQ409" s="210"/>
    </row>
    <row r="410" spans="1:95" s="76" customFormat="1" ht="14.25" customHeight="1" x14ac:dyDescent="0.2">
      <c r="A410" s="238" t="b">
        <f t="shared" si="517"/>
        <v>0</v>
      </c>
      <c r="B410" s="239">
        <v>388</v>
      </c>
      <c r="C410" s="258"/>
      <c r="D410" s="258"/>
      <c r="E410" s="240"/>
      <c r="F410" s="241" t="str">
        <f>IF(ISBLANK(E410), "", VLOOKUP(E410, Z!$A$2:$C$4127, 3, FALSE))</f>
        <v/>
      </c>
      <c r="G410" s="242"/>
      <c r="H410" s="242"/>
      <c r="I410" s="243"/>
      <c r="J410" s="244"/>
      <c r="K410" s="259"/>
      <c r="L410" s="260"/>
      <c r="M410" s="247" t="str" cm="1">
        <f t="array" ref="M410">IF($K410&gt;0, INDEX(Clean,1+AG410,$C$1), "")</f>
        <v/>
      </c>
      <c r="N410" s="245"/>
      <c r="O410" s="245"/>
      <c r="P410" s="246"/>
      <c r="Q410" s="248">
        <f t="shared" si="490"/>
        <v>0</v>
      </c>
      <c r="R410" s="247" t="str" cm="1">
        <f t="array" ref="R410">IF($K410&gt;0, INDEX(Clean,1+AH410,$C$1), "")</f>
        <v/>
      </c>
      <c r="S410" s="245"/>
      <c r="T410" s="245"/>
      <c r="U410" s="246"/>
      <c r="V410" s="248">
        <f t="shared" si="491"/>
        <v>0</v>
      </c>
      <c r="W410" s="261"/>
      <c r="X410" s="258"/>
      <c r="Y410" s="240"/>
      <c r="Z410" s="241" t="str">
        <f>IF(ISBLANK(Y410), "", VLOOKUP(Y410, Z!$A$2:$C$4127, 3, FALSE))</f>
        <v/>
      </c>
      <c r="AA410" s="262"/>
      <c r="AB410" s="249">
        <f t="shared" si="526"/>
        <v>0</v>
      </c>
      <c r="AC410" s="210"/>
      <c r="AD410" s="236">
        <f t="shared" si="514"/>
        <v>1</v>
      </c>
      <c r="AE410" s="236">
        <f t="shared" si="515"/>
        <v>1</v>
      </c>
      <c r="AF410" s="236">
        <f t="shared" si="516"/>
        <v>0</v>
      </c>
      <c r="AG410" s="236">
        <v>1</v>
      </c>
      <c r="AH410" s="236">
        <v>0</v>
      </c>
      <c r="AI410" s="236">
        <f t="shared" si="492"/>
        <v>-100</v>
      </c>
      <c r="AJ410" s="210"/>
      <c r="AK410" s="254"/>
      <c r="AL410" s="254"/>
      <c r="AM410" s="255"/>
      <c r="AN410" s="255"/>
      <c r="AO410" s="255"/>
      <c r="AP410" s="255"/>
      <c r="AQ410" s="255"/>
      <c r="AR410" s="255"/>
      <c r="AS410" s="255"/>
      <c r="AT410" s="255"/>
      <c r="AU410" s="255"/>
      <c r="AV410" s="255"/>
      <c r="AW410" s="255"/>
      <c r="AX410" s="210"/>
      <c r="AY410" s="236" cm="1">
        <f t="array" ref="AY410">INDEX(Use, $AD410, 4)</f>
        <v>7</v>
      </c>
      <c r="AZ410" s="236">
        <f t="shared" si="493"/>
        <v>32</v>
      </c>
      <c r="BA410" s="236">
        <f t="shared" si="518"/>
        <v>13</v>
      </c>
      <c r="BB410" s="236">
        <f t="shared" si="519"/>
        <v>0</v>
      </c>
      <c r="BC410" s="252" cm="1">
        <f t="array" ref="BC410">K410/IF($L410&gt;0, INDEX($AO$23:$AU$77, $L410+20, $AD410), 1)</f>
        <v>0</v>
      </c>
      <c r="BD410" s="237">
        <f t="shared" si="494"/>
        <v>0</v>
      </c>
      <c r="BE410" s="236">
        <v>35</v>
      </c>
      <c r="BF410" s="237">
        <f t="shared" si="495"/>
        <v>52.55</v>
      </c>
      <c r="BG410" s="253">
        <f t="shared" si="496"/>
        <v>2.7676728869374316</v>
      </c>
      <c r="BH410" s="253" cm="1">
        <f t="array" ref="BH410">$BC410 * SUMPRODUCT(INDEX($AL$77:$AN$82,,$AE410),INDEX($AO$77:$AU$82,,$AD410), N($AK$77:$AK$82&gt;$AI410)) / BG410 / 1000</f>
        <v>0</v>
      </c>
      <c r="BI410" s="250">
        <f t="shared" si="520"/>
        <v>30</v>
      </c>
      <c r="BJ410" s="237">
        <f t="shared" si="497"/>
        <v>46.033333333333331</v>
      </c>
      <c r="BK410" s="253">
        <f t="shared" si="498"/>
        <v>3.2297395388556791</v>
      </c>
      <c r="BL410" s="253" cm="1">
        <f t="array" ref="BL410">$BC410 * IF($AD410&lt;=2,
SUMPRODUCT(INDEX($AL$72:$AN$76,,$AE410), INDEX($AO$72:$AU$76,,$AD410), 1 / ($AV$72:$AV$76*BK410 + (1-$AV$72:$AV$76)*BG410), N($AK$72:$AK$76&gt;$AI410)),
SUMPRODUCT(INDEX($AL$67:$AN$76,,$AE410), INDEX($AO$67:$AU$76,,$AD410), 1 / ($AW$67:$AW$76*BK410 + (1-$AW$67:$AW$76)*BG410), N($AK$67:$AK$76&gt;$AI410))
) / 1000</f>
        <v>0</v>
      </c>
      <c r="BM410" s="250">
        <f t="shared" si="521"/>
        <v>25</v>
      </c>
      <c r="BN410" s="237">
        <f t="shared" si="499"/>
        <v>39.516666666666666</v>
      </c>
      <c r="BO410" s="253">
        <f t="shared" si="500"/>
        <v>3.877011788826243</v>
      </c>
      <c r="BP410" s="253" cm="1">
        <f t="array" ref="BP410">$BC410 * IF($AD410&lt;=2,
SUMPRODUCT(INDEX($AL$67:$AN$71,,$AE410), INDEX($AO$67:$AU$71,,$AD410), 1 / ($AV$67:$AV$71*BO410 + (1-$AV$67:$AV$71)*BK410), N($AK$67:$AK$71&gt;$AI410)),
SUMPRODUCT(INDEX($AL$57:$AN$66,,$AE410), INDEX($AO$57:$AU$66,,$AD410), 1 / ($AW$57:$AW$66*BO410 + (1-$AW$57:$AW$66)*BK410), N($AK$57:$AK$66&gt;$AI410))
) / 1000</f>
        <v>0</v>
      </c>
      <c r="BQ410" s="250">
        <f t="shared" si="522"/>
        <v>20</v>
      </c>
      <c r="BR410" s="237">
        <f t="shared" si="501"/>
        <v>33</v>
      </c>
      <c r="BS410" s="253">
        <f t="shared" si="502"/>
        <v>4.8487499999999999</v>
      </c>
      <c r="BT410" s="253" cm="1">
        <f t="array" ref="BT410">$BC410 * IF($AD410&lt;=2,
SUMPRODUCT(INDEX($AL$62:$AN$66,,$AE410), INDEX($AO$62:$AU$66,,$AD410), 1 / ($AV$62:$AV$66*BS410 + (1-$AV$62:$AV$66)*BO410), N($AK$62:$AK$66&gt;$AI410)),
SUMPRODUCT(INDEX($AL$47:$AN$56,,$AE410), INDEX($AO$47:$AU$56,,$AD410), 1 / ($AW$47:$AW$56*BS410 + (1-$AW$47:$AW$56)*BO410), N($AK$47:$AK$56&gt;$AI410))
) / 1000</f>
        <v>0</v>
      </c>
      <c r="BU410" s="253" cm="1">
        <f t="array" ref="BU410">$BC410 * IF($AD410&lt;=2,
SUMPRODUCT(INDEX($AL$23:$AN$61,,$AE410), INDEX($AO$23:$AU$61,,$AD410), 1 / ($AV$23:$AV$61*BS410), N($AK$23:$AK$61&gt;$AI410)),
SUMPRODUCT(INDEX($AL$23:$AN$46,,$AE410), INDEX($AO$23:$AU$46,,$AD410), 1 / ($AW$23:$AW$46*BS410), N($AK$23:$AK$46&gt;$AI410))
) / 1000</f>
        <v>0</v>
      </c>
      <c r="BV410" s="237">
        <f t="shared" si="503"/>
        <v>0</v>
      </c>
      <c r="BW410" s="210"/>
      <c r="BX410" s="237">
        <f t="shared" si="504"/>
        <v>0</v>
      </c>
      <c r="BY410" s="236">
        <v>35</v>
      </c>
      <c r="BZ410" s="237">
        <f t="shared" si="505"/>
        <v>48</v>
      </c>
      <c r="CA410" s="253">
        <f t="shared" si="506"/>
        <v>3.0748170731707316</v>
      </c>
      <c r="CB410" s="253" cm="1">
        <f t="array" ref="CB410">$BC410 * SUMPRODUCT(INDEX($AL$77:$AN$82,,$AE410),INDEX($AO$77:$AU$82,,$AD410), N($AK$77:$AK$82&gt;$AI410)) / CA410 / 1000</f>
        <v>0</v>
      </c>
      <c r="CC410" s="250">
        <f t="shared" si="523"/>
        <v>30</v>
      </c>
      <c r="CD410" s="237">
        <f t="shared" si="507"/>
        <v>43</v>
      </c>
      <c r="CE410" s="253">
        <f t="shared" si="508"/>
        <v>3.5018750000000001</v>
      </c>
      <c r="CF410" s="253" cm="1">
        <f t="array" ref="CF410">$BC410 * IF($AD410&lt;=2,
SUMPRODUCT(INDEX($AL$72:$AN$76,,$AE410), INDEX($AO$72:$AU$76,,$AD410), 1 / ($AV$72:$AV$76*CE410 + (1-$AV$72:$AV$76)*CA410), N($AK$72:$AK$76&gt;$AI410)),
SUMPRODUCT(INDEX($AL$67:$AN$76,,$AE410), INDEX($AO$67:$AU$76,,$AD410), 1 / ($AW$67:$AW$76*CE410 + (1-$AW$67:$AW$76)*CA410), N($AK$67:$AK$76&gt;$AI410))
) / 1000</f>
        <v>0</v>
      </c>
      <c r="CG410" s="250">
        <f t="shared" si="524"/>
        <v>25</v>
      </c>
      <c r="CH410" s="237">
        <f t="shared" si="509"/>
        <v>38</v>
      </c>
      <c r="CI410" s="253">
        <f t="shared" si="510"/>
        <v>4.0666935483870965</v>
      </c>
      <c r="CJ410" s="253" cm="1">
        <f t="array" ref="CJ410">$BC410 * IF($AD410&lt;=2,
SUMPRODUCT(INDEX($AL$67:$AN$71,,$AE410), INDEX($AO$67:$AU$71,,$AD410), 1 / ($AV$67:$AV$71*CI410 + (1-$AV$67:$AV$71)*CE410), N($AK$67:$AK$71&gt;$AI410)),
SUMPRODUCT(INDEX($AL$57:$AN$66,,$AE410), INDEX($AO$57:$AU$66,,$AD410), 1 / ($AW$57:$AW$66*CI410 + (1-$AW$57:$AW$66)*CE410), N($AK$57:$AK$66&gt;$AI410))
) / 1000</f>
        <v>0</v>
      </c>
      <c r="CK410" s="250">
        <f t="shared" si="525"/>
        <v>20</v>
      </c>
      <c r="CL410" s="237">
        <f t="shared" si="511"/>
        <v>33</v>
      </c>
      <c r="CM410" s="253">
        <f t="shared" si="512"/>
        <v>4.8487499999999999</v>
      </c>
      <c r="CN410" s="253" cm="1">
        <f t="array" ref="CN410">$BC410 * IF($AD410&lt;=2,
SUMPRODUCT(INDEX($AL$62:$AN$66,,$AE410), INDEX($AO$62:$AU$66,,$AD410), 1 / ($AV$62:$AV$66*CM410 + (1-$AV$62:$AV$66)*CI410), N($AK$62:$AK$66&gt;$AI410)),
SUMPRODUCT(INDEX($AL$47:$AN$56,,$AE410), INDEX($AO$47:$AU$56,,$AD410), 1 / ($AW$47:$AW$56*CM410 + (1-$AW$47:$AW$56)*CI410), N($AK$47:$AK$56&gt;$AI410))
) / 1000</f>
        <v>0</v>
      </c>
      <c r="CO410" s="253" cm="1">
        <f t="array" ref="CO410">$BC410 * IF($AD410&lt;=2,
SUMPRODUCT(INDEX($AL$23:$AN$61,,$AE410), INDEX($AO$23:$AU$61,,$AD410), 1 / ($AV$23:$AV$61*CM410), N($AK$23:$AK$61&gt;$AI410)),
SUMPRODUCT(INDEX($AL$23:$AN$46,,$AE410), INDEX($AO$23:$AU$46,,$AD410), 1 / ($AW$23:$AW$46*CM410), N($AK$23:$AK$46&gt;$AI410))
) / 1000</f>
        <v>0</v>
      </c>
      <c r="CP410" s="237">
        <f t="shared" si="513"/>
        <v>0</v>
      </c>
      <c r="CQ410" s="210"/>
    </row>
    <row r="411" spans="1:95" s="76" customFormat="1" ht="14.25" customHeight="1" x14ac:dyDescent="0.2">
      <c r="A411" s="238" t="b">
        <f t="shared" si="517"/>
        <v>0</v>
      </c>
      <c r="B411" s="239">
        <v>389</v>
      </c>
      <c r="C411" s="258"/>
      <c r="D411" s="258"/>
      <c r="E411" s="240"/>
      <c r="F411" s="241" t="str">
        <f>IF(ISBLANK(E411), "", VLOOKUP(E411, Z!$A$2:$C$4127, 3, FALSE))</f>
        <v/>
      </c>
      <c r="G411" s="242"/>
      <c r="H411" s="242"/>
      <c r="I411" s="243"/>
      <c r="J411" s="244"/>
      <c r="K411" s="259"/>
      <c r="L411" s="260"/>
      <c r="M411" s="247" t="str" cm="1">
        <f t="array" ref="M411">IF($K411&gt;0, INDEX(Clean,1+AG411,$C$1), "")</f>
        <v/>
      </c>
      <c r="N411" s="245"/>
      <c r="O411" s="245"/>
      <c r="P411" s="246"/>
      <c r="Q411" s="248">
        <f t="shared" si="490"/>
        <v>0</v>
      </c>
      <c r="R411" s="247" t="str" cm="1">
        <f t="array" ref="R411">IF($K411&gt;0, INDEX(Clean,1+AH411,$C$1), "")</f>
        <v/>
      </c>
      <c r="S411" s="245"/>
      <c r="T411" s="245"/>
      <c r="U411" s="246"/>
      <c r="V411" s="248">
        <f t="shared" si="491"/>
        <v>0</v>
      </c>
      <c r="W411" s="261"/>
      <c r="X411" s="258"/>
      <c r="Y411" s="240"/>
      <c r="Z411" s="241" t="str">
        <f>IF(ISBLANK(Y411), "", VLOOKUP(Y411, Z!$A$2:$C$4127, 3, FALSE))</f>
        <v/>
      </c>
      <c r="AA411" s="262"/>
      <c r="AB411" s="249">
        <f t="shared" si="526"/>
        <v>0</v>
      </c>
      <c r="AC411" s="210"/>
      <c r="AD411" s="236">
        <f t="shared" si="514"/>
        <v>1</v>
      </c>
      <c r="AE411" s="236">
        <f t="shared" si="515"/>
        <v>1</v>
      </c>
      <c r="AF411" s="236">
        <f t="shared" si="516"/>
        <v>0</v>
      </c>
      <c r="AG411" s="236">
        <v>1</v>
      </c>
      <c r="AH411" s="236">
        <v>0</v>
      </c>
      <c r="AI411" s="236">
        <f t="shared" si="492"/>
        <v>-100</v>
      </c>
      <c r="AJ411" s="210"/>
      <c r="AK411" s="254"/>
      <c r="AL411" s="254"/>
      <c r="AM411" s="255"/>
      <c r="AN411" s="255"/>
      <c r="AO411" s="255"/>
      <c r="AP411" s="255"/>
      <c r="AQ411" s="255"/>
      <c r="AR411" s="255"/>
      <c r="AS411" s="255"/>
      <c r="AT411" s="255"/>
      <c r="AU411" s="255"/>
      <c r="AV411" s="255"/>
      <c r="AW411" s="255"/>
      <c r="AX411" s="210"/>
      <c r="AY411" s="236" cm="1">
        <f t="array" ref="AY411">INDEX(Use, $AD411, 4)</f>
        <v>7</v>
      </c>
      <c r="AZ411" s="236">
        <f t="shared" si="493"/>
        <v>32</v>
      </c>
      <c r="BA411" s="236">
        <f t="shared" si="518"/>
        <v>13</v>
      </c>
      <c r="BB411" s="236">
        <f t="shared" si="519"/>
        <v>0</v>
      </c>
      <c r="BC411" s="252" cm="1">
        <f t="array" ref="BC411">K411/IF($L411&gt;0, INDEX($AO$23:$AU$77, $L411+20, $AD411), 1)</f>
        <v>0</v>
      </c>
      <c r="BD411" s="237">
        <f t="shared" si="494"/>
        <v>0</v>
      </c>
      <c r="BE411" s="236">
        <v>35</v>
      </c>
      <c r="BF411" s="237">
        <f t="shared" si="495"/>
        <v>52.55</v>
      </c>
      <c r="BG411" s="253">
        <f t="shared" si="496"/>
        <v>2.7676728869374316</v>
      </c>
      <c r="BH411" s="253" cm="1">
        <f t="array" ref="BH411">$BC411 * SUMPRODUCT(INDEX($AL$77:$AN$82,,$AE411),INDEX($AO$77:$AU$82,,$AD411), N($AK$77:$AK$82&gt;$AI411)) / BG411 / 1000</f>
        <v>0</v>
      </c>
      <c r="BI411" s="250">
        <f t="shared" si="520"/>
        <v>30</v>
      </c>
      <c r="BJ411" s="237">
        <f t="shared" si="497"/>
        <v>46.033333333333331</v>
      </c>
      <c r="BK411" s="253">
        <f t="shared" si="498"/>
        <v>3.2297395388556791</v>
      </c>
      <c r="BL411" s="253" cm="1">
        <f t="array" ref="BL411">$BC411 * IF($AD411&lt;=2,
SUMPRODUCT(INDEX($AL$72:$AN$76,,$AE411), INDEX($AO$72:$AU$76,,$AD411), 1 / ($AV$72:$AV$76*BK411 + (1-$AV$72:$AV$76)*BG411), N($AK$72:$AK$76&gt;$AI411)),
SUMPRODUCT(INDEX($AL$67:$AN$76,,$AE411), INDEX($AO$67:$AU$76,,$AD411), 1 / ($AW$67:$AW$76*BK411 + (1-$AW$67:$AW$76)*BG411), N($AK$67:$AK$76&gt;$AI411))
) / 1000</f>
        <v>0</v>
      </c>
      <c r="BM411" s="250">
        <f t="shared" si="521"/>
        <v>25</v>
      </c>
      <c r="BN411" s="237">
        <f t="shared" si="499"/>
        <v>39.516666666666666</v>
      </c>
      <c r="BO411" s="253">
        <f t="shared" si="500"/>
        <v>3.877011788826243</v>
      </c>
      <c r="BP411" s="253" cm="1">
        <f t="array" ref="BP411">$BC411 * IF($AD411&lt;=2,
SUMPRODUCT(INDEX($AL$67:$AN$71,,$AE411), INDEX($AO$67:$AU$71,,$AD411), 1 / ($AV$67:$AV$71*BO411 + (1-$AV$67:$AV$71)*BK411), N($AK$67:$AK$71&gt;$AI411)),
SUMPRODUCT(INDEX($AL$57:$AN$66,,$AE411), INDEX($AO$57:$AU$66,,$AD411), 1 / ($AW$57:$AW$66*BO411 + (1-$AW$57:$AW$66)*BK411), N($AK$57:$AK$66&gt;$AI411))
) / 1000</f>
        <v>0</v>
      </c>
      <c r="BQ411" s="250">
        <f t="shared" si="522"/>
        <v>20</v>
      </c>
      <c r="BR411" s="237">
        <f t="shared" si="501"/>
        <v>33</v>
      </c>
      <c r="BS411" s="253">
        <f t="shared" si="502"/>
        <v>4.8487499999999999</v>
      </c>
      <c r="BT411" s="253" cm="1">
        <f t="array" ref="BT411">$BC411 * IF($AD411&lt;=2,
SUMPRODUCT(INDEX($AL$62:$AN$66,,$AE411), INDEX($AO$62:$AU$66,,$AD411), 1 / ($AV$62:$AV$66*BS411 + (1-$AV$62:$AV$66)*BO411), N($AK$62:$AK$66&gt;$AI411)),
SUMPRODUCT(INDEX($AL$47:$AN$56,,$AE411), INDEX($AO$47:$AU$56,,$AD411), 1 / ($AW$47:$AW$56*BS411 + (1-$AW$47:$AW$56)*BO411), N($AK$47:$AK$56&gt;$AI411))
) / 1000</f>
        <v>0</v>
      </c>
      <c r="BU411" s="253" cm="1">
        <f t="array" ref="BU411">$BC411 * IF($AD411&lt;=2,
SUMPRODUCT(INDEX($AL$23:$AN$61,,$AE411), INDEX($AO$23:$AU$61,,$AD411), 1 / ($AV$23:$AV$61*BS411), N($AK$23:$AK$61&gt;$AI411)),
SUMPRODUCT(INDEX($AL$23:$AN$46,,$AE411), INDEX($AO$23:$AU$46,,$AD411), 1 / ($AW$23:$AW$46*BS411), N($AK$23:$AK$46&gt;$AI411))
) / 1000</f>
        <v>0</v>
      </c>
      <c r="BV411" s="237">
        <f t="shared" si="503"/>
        <v>0</v>
      </c>
      <c r="BW411" s="210"/>
      <c r="BX411" s="237">
        <f t="shared" si="504"/>
        <v>0</v>
      </c>
      <c r="BY411" s="236">
        <v>35</v>
      </c>
      <c r="BZ411" s="237">
        <f t="shared" si="505"/>
        <v>48</v>
      </c>
      <c r="CA411" s="253">
        <f t="shared" si="506"/>
        <v>3.0748170731707316</v>
      </c>
      <c r="CB411" s="253" cm="1">
        <f t="array" ref="CB411">$BC411 * SUMPRODUCT(INDEX($AL$77:$AN$82,,$AE411),INDEX($AO$77:$AU$82,,$AD411), N($AK$77:$AK$82&gt;$AI411)) / CA411 / 1000</f>
        <v>0</v>
      </c>
      <c r="CC411" s="250">
        <f t="shared" si="523"/>
        <v>30</v>
      </c>
      <c r="CD411" s="237">
        <f t="shared" si="507"/>
        <v>43</v>
      </c>
      <c r="CE411" s="253">
        <f t="shared" si="508"/>
        <v>3.5018750000000001</v>
      </c>
      <c r="CF411" s="253" cm="1">
        <f t="array" ref="CF411">$BC411 * IF($AD411&lt;=2,
SUMPRODUCT(INDEX($AL$72:$AN$76,,$AE411), INDEX($AO$72:$AU$76,,$AD411), 1 / ($AV$72:$AV$76*CE411 + (1-$AV$72:$AV$76)*CA411), N($AK$72:$AK$76&gt;$AI411)),
SUMPRODUCT(INDEX($AL$67:$AN$76,,$AE411), INDEX($AO$67:$AU$76,,$AD411), 1 / ($AW$67:$AW$76*CE411 + (1-$AW$67:$AW$76)*CA411), N($AK$67:$AK$76&gt;$AI411))
) / 1000</f>
        <v>0</v>
      </c>
      <c r="CG411" s="250">
        <f t="shared" si="524"/>
        <v>25</v>
      </c>
      <c r="CH411" s="237">
        <f t="shared" si="509"/>
        <v>38</v>
      </c>
      <c r="CI411" s="253">
        <f t="shared" si="510"/>
        <v>4.0666935483870965</v>
      </c>
      <c r="CJ411" s="253" cm="1">
        <f t="array" ref="CJ411">$BC411 * IF($AD411&lt;=2,
SUMPRODUCT(INDEX($AL$67:$AN$71,,$AE411), INDEX($AO$67:$AU$71,,$AD411), 1 / ($AV$67:$AV$71*CI411 + (1-$AV$67:$AV$71)*CE411), N($AK$67:$AK$71&gt;$AI411)),
SUMPRODUCT(INDEX($AL$57:$AN$66,,$AE411), INDEX($AO$57:$AU$66,,$AD411), 1 / ($AW$57:$AW$66*CI411 + (1-$AW$57:$AW$66)*CE411), N($AK$57:$AK$66&gt;$AI411))
) / 1000</f>
        <v>0</v>
      </c>
      <c r="CK411" s="250">
        <f t="shared" si="525"/>
        <v>20</v>
      </c>
      <c r="CL411" s="237">
        <f t="shared" si="511"/>
        <v>33</v>
      </c>
      <c r="CM411" s="253">
        <f t="shared" si="512"/>
        <v>4.8487499999999999</v>
      </c>
      <c r="CN411" s="253" cm="1">
        <f t="array" ref="CN411">$BC411 * IF($AD411&lt;=2,
SUMPRODUCT(INDEX($AL$62:$AN$66,,$AE411), INDEX($AO$62:$AU$66,,$AD411), 1 / ($AV$62:$AV$66*CM411 + (1-$AV$62:$AV$66)*CI411), N($AK$62:$AK$66&gt;$AI411)),
SUMPRODUCT(INDEX($AL$47:$AN$56,,$AE411), INDEX($AO$47:$AU$56,,$AD411), 1 / ($AW$47:$AW$56*CM411 + (1-$AW$47:$AW$56)*CI411), N($AK$47:$AK$56&gt;$AI411))
) / 1000</f>
        <v>0</v>
      </c>
      <c r="CO411" s="253" cm="1">
        <f t="array" ref="CO411">$BC411 * IF($AD411&lt;=2,
SUMPRODUCT(INDEX($AL$23:$AN$61,,$AE411), INDEX($AO$23:$AU$61,,$AD411), 1 / ($AV$23:$AV$61*CM411), N($AK$23:$AK$61&gt;$AI411)),
SUMPRODUCT(INDEX($AL$23:$AN$46,,$AE411), INDEX($AO$23:$AU$46,,$AD411), 1 / ($AW$23:$AW$46*CM411), N($AK$23:$AK$46&gt;$AI411))
) / 1000</f>
        <v>0</v>
      </c>
      <c r="CP411" s="237">
        <f t="shared" si="513"/>
        <v>0</v>
      </c>
      <c r="CQ411" s="210"/>
    </row>
    <row r="412" spans="1:95" s="76" customFormat="1" ht="14.25" customHeight="1" x14ac:dyDescent="0.2">
      <c r="A412" s="238" t="b">
        <f t="shared" si="517"/>
        <v>0</v>
      </c>
      <c r="B412" s="239">
        <v>390</v>
      </c>
      <c r="C412" s="258"/>
      <c r="D412" s="258"/>
      <c r="E412" s="240"/>
      <c r="F412" s="241" t="str">
        <f>IF(ISBLANK(E412), "", VLOOKUP(E412, Z!$A$2:$C$4127, 3, FALSE))</f>
        <v/>
      </c>
      <c r="G412" s="242"/>
      <c r="H412" s="242"/>
      <c r="I412" s="243"/>
      <c r="J412" s="244"/>
      <c r="K412" s="259"/>
      <c r="L412" s="260"/>
      <c r="M412" s="247" t="str" cm="1">
        <f t="array" ref="M412">IF($K412&gt;0, INDEX(Clean,1+AG412,$C$1), "")</f>
        <v/>
      </c>
      <c r="N412" s="245"/>
      <c r="O412" s="245"/>
      <c r="P412" s="246"/>
      <c r="Q412" s="248">
        <f t="shared" si="490"/>
        <v>0</v>
      </c>
      <c r="R412" s="247" t="str" cm="1">
        <f t="array" ref="R412">IF($K412&gt;0, INDEX(Clean,1+AH412,$C$1), "")</f>
        <v/>
      </c>
      <c r="S412" s="245"/>
      <c r="T412" s="245"/>
      <c r="U412" s="246"/>
      <c r="V412" s="248">
        <f t="shared" si="491"/>
        <v>0</v>
      </c>
      <c r="W412" s="261"/>
      <c r="X412" s="258"/>
      <c r="Y412" s="240"/>
      <c r="Z412" s="241" t="str">
        <f>IF(ISBLANK(Y412), "", VLOOKUP(Y412, Z!$A$2:$C$4127, 3, FALSE))</f>
        <v/>
      </c>
      <c r="AA412" s="262"/>
      <c r="AB412" s="249">
        <f t="shared" si="526"/>
        <v>0</v>
      </c>
      <c r="AC412" s="210"/>
      <c r="AD412" s="236">
        <f t="shared" si="514"/>
        <v>1</v>
      </c>
      <c r="AE412" s="236">
        <f t="shared" si="515"/>
        <v>1</v>
      </c>
      <c r="AF412" s="236">
        <f t="shared" si="516"/>
        <v>0</v>
      </c>
      <c r="AG412" s="236">
        <v>1</v>
      </c>
      <c r="AH412" s="236">
        <v>0</v>
      </c>
      <c r="AI412" s="236">
        <f t="shared" si="492"/>
        <v>-100</v>
      </c>
      <c r="AJ412" s="210"/>
      <c r="AK412" s="254"/>
      <c r="AL412" s="254"/>
      <c r="AM412" s="255"/>
      <c r="AN412" s="255"/>
      <c r="AO412" s="255"/>
      <c r="AP412" s="255"/>
      <c r="AQ412" s="255"/>
      <c r="AR412" s="255"/>
      <c r="AS412" s="255"/>
      <c r="AT412" s="255"/>
      <c r="AU412" s="255"/>
      <c r="AV412" s="255"/>
      <c r="AW412" s="255"/>
      <c r="AX412" s="210"/>
      <c r="AY412" s="236" cm="1">
        <f t="array" ref="AY412">INDEX(Use, $AD412, 4)</f>
        <v>7</v>
      </c>
      <c r="AZ412" s="236">
        <f t="shared" si="493"/>
        <v>32</v>
      </c>
      <c r="BA412" s="236">
        <f t="shared" si="518"/>
        <v>13</v>
      </c>
      <c r="BB412" s="236">
        <f t="shared" si="519"/>
        <v>0</v>
      </c>
      <c r="BC412" s="252" cm="1">
        <f t="array" ref="BC412">K412/IF($L412&gt;0, INDEX($AO$23:$AU$77, $L412+20, $AD412), 1)</f>
        <v>0</v>
      </c>
      <c r="BD412" s="237">
        <f t="shared" si="494"/>
        <v>0</v>
      </c>
      <c r="BE412" s="236">
        <v>35</v>
      </c>
      <c r="BF412" s="237">
        <f t="shared" si="495"/>
        <v>52.55</v>
      </c>
      <c r="BG412" s="253">
        <f t="shared" si="496"/>
        <v>2.7676728869374316</v>
      </c>
      <c r="BH412" s="253" cm="1">
        <f t="array" ref="BH412">$BC412 * SUMPRODUCT(INDEX($AL$77:$AN$82,,$AE412),INDEX($AO$77:$AU$82,,$AD412), N($AK$77:$AK$82&gt;$AI412)) / BG412 / 1000</f>
        <v>0</v>
      </c>
      <c r="BI412" s="250">
        <f t="shared" si="520"/>
        <v>30</v>
      </c>
      <c r="BJ412" s="237">
        <f t="shared" si="497"/>
        <v>46.033333333333331</v>
      </c>
      <c r="BK412" s="253">
        <f t="shared" si="498"/>
        <v>3.2297395388556791</v>
      </c>
      <c r="BL412" s="253" cm="1">
        <f t="array" ref="BL412">$BC412 * IF($AD412&lt;=2,
SUMPRODUCT(INDEX($AL$72:$AN$76,,$AE412), INDEX($AO$72:$AU$76,,$AD412), 1 / ($AV$72:$AV$76*BK412 + (1-$AV$72:$AV$76)*BG412), N($AK$72:$AK$76&gt;$AI412)),
SUMPRODUCT(INDEX($AL$67:$AN$76,,$AE412), INDEX($AO$67:$AU$76,,$AD412), 1 / ($AW$67:$AW$76*BK412 + (1-$AW$67:$AW$76)*BG412), N($AK$67:$AK$76&gt;$AI412))
) / 1000</f>
        <v>0</v>
      </c>
      <c r="BM412" s="250">
        <f t="shared" si="521"/>
        <v>25</v>
      </c>
      <c r="BN412" s="237">
        <f t="shared" si="499"/>
        <v>39.516666666666666</v>
      </c>
      <c r="BO412" s="253">
        <f t="shared" si="500"/>
        <v>3.877011788826243</v>
      </c>
      <c r="BP412" s="253" cm="1">
        <f t="array" ref="BP412">$BC412 * IF($AD412&lt;=2,
SUMPRODUCT(INDEX($AL$67:$AN$71,,$AE412), INDEX($AO$67:$AU$71,,$AD412), 1 / ($AV$67:$AV$71*BO412 + (1-$AV$67:$AV$71)*BK412), N($AK$67:$AK$71&gt;$AI412)),
SUMPRODUCT(INDEX($AL$57:$AN$66,,$AE412), INDEX($AO$57:$AU$66,,$AD412), 1 / ($AW$57:$AW$66*BO412 + (1-$AW$57:$AW$66)*BK412), N($AK$57:$AK$66&gt;$AI412))
) / 1000</f>
        <v>0</v>
      </c>
      <c r="BQ412" s="250">
        <f t="shared" si="522"/>
        <v>20</v>
      </c>
      <c r="BR412" s="237">
        <f t="shared" si="501"/>
        <v>33</v>
      </c>
      <c r="BS412" s="253">
        <f t="shared" si="502"/>
        <v>4.8487499999999999</v>
      </c>
      <c r="BT412" s="253" cm="1">
        <f t="array" ref="BT412">$BC412 * IF($AD412&lt;=2,
SUMPRODUCT(INDEX($AL$62:$AN$66,,$AE412), INDEX($AO$62:$AU$66,,$AD412), 1 / ($AV$62:$AV$66*BS412 + (1-$AV$62:$AV$66)*BO412), N($AK$62:$AK$66&gt;$AI412)),
SUMPRODUCT(INDEX($AL$47:$AN$56,,$AE412), INDEX($AO$47:$AU$56,,$AD412), 1 / ($AW$47:$AW$56*BS412 + (1-$AW$47:$AW$56)*BO412), N($AK$47:$AK$56&gt;$AI412))
) / 1000</f>
        <v>0</v>
      </c>
      <c r="BU412" s="253" cm="1">
        <f t="array" ref="BU412">$BC412 * IF($AD412&lt;=2,
SUMPRODUCT(INDEX($AL$23:$AN$61,,$AE412), INDEX($AO$23:$AU$61,,$AD412), 1 / ($AV$23:$AV$61*BS412), N($AK$23:$AK$61&gt;$AI412)),
SUMPRODUCT(INDEX($AL$23:$AN$46,,$AE412), INDEX($AO$23:$AU$46,,$AD412), 1 / ($AW$23:$AW$46*BS412), N($AK$23:$AK$46&gt;$AI412))
) / 1000</f>
        <v>0</v>
      </c>
      <c r="BV412" s="237">
        <f t="shared" si="503"/>
        <v>0</v>
      </c>
      <c r="BW412" s="210"/>
      <c r="BX412" s="237">
        <f t="shared" si="504"/>
        <v>0</v>
      </c>
      <c r="BY412" s="236">
        <v>35</v>
      </c>
      <c r="BZ412" s="237">
        <f t="shared" si="505"/>
        <v>48</v>
      </c>
      <c r="CA412" s="253">
        <f t="shared" si="506"/>
        <v>3.0748170731707316</v>
      </c>
      <c r="CB412" s="253" cm="1">
        <f t="array" ref="CB412">$BC412 * SUMPRODUCT(INDEX($AL$77:$AN$82,,$AE412),INDEX($AO$77:$AU$82,,$AD412), N($AK$77:$AK$82&gt;$AI412)) / CA412 / 1000</f>
        <v>0</v>
      </c>
      <c r="CC412" s="250">
        <f t="shared" si="523"/>
        <v>30</v>
      </c>
      <c r="CD412" s="237">
        <f t="shared" si="507"/>
        <v>43</v>
      </c>
      <c r="CE412" s="253">
        <f t="shared" si="508"/>
        <v>3.5018750000000001</v>
      </c>
      <c r="CF412" s="253" cm="1">
        <f t="array" ref="CF412">$BC412 * IF($AD412&lt;=2,
SUMPRODUCT(INDEX($AL$72:$AN$76,,$AE412), INDEX($AO$72:$AU$76,,$AD412), 1 / ($AV$72:$AV$76*CE412 + (1-$AV$72:$AV$76)*CA412), N($AK$72:$AK$76&gt;$AI412)),
SUMPRODUCT(INDEX($AL$67:$AN$76,,$AE412), INDEX($AO$67:$AU$76,,$AD412), 1 / ($AW$67:$AW$76*CE412 + (1-$AW$67:$AW$76)*CA412), N($AK$67:$AK$76&gt;$AI412))
) / 1000</f>
        <v>0</v>
      </c>
      <c r="CG412" s="250">
        <f t="shared" si="524"/>
        <v>25</v>
      </c>
      <c r="CH412" s="237">
        <f t="shared" si="509"/>
        <v>38</v>
      </c>
      <c r="CI412" s="253">
        <f t="shared" si="510"/>
        <v>4.0666935483870965</v>
      </c>
      <c r="CJ412" s="253" cm="1">
        <f t="array" ref="CJ412">$BC412 * IF($AD412&lt;=2,
SUMPRODUCT(INDEX($AL$67:$AN$71,,$AE412), INDEX($AO$67:$AU$71,,$AD412), 1 / ($AV$67:$AV$71*CI412 + (1-$AV$67:$AV$71)*CE412), N($AK$67:$AK$71&gt;$AI412)),
SUMPRODUCT(INDEX($AL$57:$AN$66,,$AE412), INDEX($AO$57:$AU$66,,$AD412), 1 / ($AW$57:$AW$66*CI412 + (1-$AW$57:$AW$66)*CE412), N($AK$57:$AK$66&gt;$AI412))
) / 1000</f>
        <v>0</v>
      </c>
      <c r="CK412" s="250">
        <f t="shared" si="525"/>
        <v>20</v>
      </c>
      <c r="CL412" s="237">
        <f t="shared" si="511"/>
        <v>33</v>
      </c>
      <c r="CM412" s="253">
        <f t="shared" si="512"/>
        <v>4.8487499999999999</v>
      </c>
      <c r="CN412" s="253" cm="1">
        <f t="array" ref="CN412">$BC412 * IF($AD412&lt;=2,
SUMPRODUCT(INDEX($AL$62:$AN$66,,$AE412), INDEX($AO$62:$AU$66,,$AD412), 1 / ($AV$62:$AV$66*CM412 + (1-$AV$62:$AV$66)*CI412), N($AK$62:$AK$66&gt;$AI412)),
SUMPRODUCT(INDEX($AL$47:$AN$56,,$AE412), INDEX($AO$47:$AU$56,,$AD412), 1 / ($AW$47:$AW$56*CM412 + (1-$AW$47:$AW$56)*CI412), N($AK$47:$AK$56&gt;$AI412))
) / 1000</f>
        <v>0</v>
      </c>
      <c r="CO412" s="253" cm="1">
        <f t="array" ref="CO412">$BC412 * IF($AD412&lt;=2,
SUMPRODUCT(INDEX($AL$23:$AN$61,,$AE412), INDEX($AO$23:$AU$61,,$AD412), 1 / ($AV$23:$AV$61*CM412), N($AK$23:$AK$61&gt;$AI412)),
SUMPRODUCT(INDEX($AL$23:$AN$46,,$AE412), INDEX($AO$23:$AU$46,,$AD412), 1 / ($AW$23:$AW$46*CM412), N($AK$23:$AK$46&gt;$AI412))
) / 1000</f>
        <v>0</v>
      </c>
      <c r="CP412" s="237">
        <f t="shared" si="513"/>
        <v>0</v>
      </c>
      <c r="CQ412" s="210"/>
    </row>
    <row r="413" spans="1:95" s="76" customFormat="1" ht="14.25" customHeight="1" x14ac:dyDescent="0.2">
      <c r="A413" s="238" t="b">
        <f t="shared" si="517"/>
        <v>0</v>
      </c>
      <c r="B413" s="239">
        <v>391</v>
      </c>
      <c r="C413" s="258"/>
      <c r="D413" s="258"/>
      <c r="E413" s="240"/>
      <c r="F413" s="241" t="str">
        <f>IF(ISBLANK(E413), "", VLOOKUP(E413, Z!$A$2:$C$4127, 3, FALSE))</f>
        <v/>
      </c>
      <c r="G413" s="242"/>
      <c r="H413" s="242"/>
      <c r="I413" s="243"/>
      <c r="J413" s="244"/>
      <c r="K413" s="259"/>
      <c r="L413" s="260"/>
      <c r="M413" s="247" t="str" cm="1">
        <f t="array" ref="M413">IF($K413&gt;0, INDEX(Clean,1+AG413,$C$1), "")</f>
        <v/>
      </c>
      <c r="N413" s="245"/>
      <c r="O413" s="245"/>
      <c r="P413" s="246"/>
      <c r="Q413" s="248">
        <f t="shared" si="490"/>
        <v>0</v>
      </c>
      <c r="R413" s="247" t="str" cm="1">
        <f t="array" ref="R413">IF($K413&gt;0, INDEX(Clean,1+AH413,$C$1), "")</f>
        <v/>
      </c>
      <c r="S413" s="245"/>
      <c r="T413" s="245"/>
      <c r="U413" s="246"/>
      <c r="V413" s="248">
        <f t="shared" si="491"/>
        <v>0</v>
      </c>
      <c r="W413" s="261"/>
      <c r="X413" s="258"/>
      <c r="Y413" s="240"/>
      <c r="Z413" s="241" t="str">
        <f>IF(ISBLANK(Y413), "", VLOOKUP(Y413, Z!$A$2:$C$4127, 3, FALSE))</f>
        <v/>
      </c>
      <c r="AA413" s="262"/>
      <c r="AB413" s="249">
        <f t="shared" si="526"/>
        <v>0</v>
      </c>
      <c r="AC413" s="210"/>
      <c r="AD413" s="236">
        <f t="shared" si="514"/>
        <v>1</v>
      </c>
      <c r="AE413" s="236">
        <f t="shared" si="515"/>
        <v>1</v>
      </c>
      <c r="AF413" s="236">
        <f t="shared" si="516"/>
        <v>0</v>
      </c>
      <c r="AG413" s="236">
        <v>1</v>
      </c>
      <c r="AH413" s="236">
        <v>0</v>
      </c>
      <c r="AI413" s="236">
        <f t="shared" si="492"/>
        <v>-100</v>
      </c>
      <c r="AJ413" s="210"/>
      <c r="AK413" s="254"/>
      <c r="AL413" s="254"/>
      <c r="AM413" s="255"/>
      <c r="AN413" s="255"/>
      <c r="AO413" s="255"/>
      <c r="AP413" s="255"/>
      <c r="AQ413" s="255"/>
      <c r="AR413" s="255"/>
      <c r="AS413" s="255"/>
      <c r="AT413" s="255"/>
      <c r="AU413" s="255"/>
      <c r="AV413" s="255"/>
      <c r="AW413" s="255"/>
      <c r="AX413" s="210"/>
      <c r="AY413" s="236" cm="1">
        <f t="array" ref="AY413">INDEX(Use, $AD413, 4)</f>
        <v>7</v>
      </c>
      <c r="AZ413" s="236">
        <f t="shared" si="493"/>
        <v>32</v>
      </c>
      <c r="BA413" s="236">
        <f t="shared" si="518"/>
        <v>13</v>
      </c>
      <c r="BB413" s="236">
        <f t="shared" si="519"/>
        <v>0</v>
      </c>
      <c r="BC413" s="252" cm="1">
        <f t="array" ref="BC413">K413/IF($L413&gt;0, INDEX($AO$23:$AU$77, $L413+20, $AD413), 1)</f>
        <v>0</v>
      </c>
      <c r="BD413" s="237">
        <f t="shared" si="494"/>
        <v>0</v>
      </c>
      <c r="BE413" s="236">
        <v>35</v>
      </c>
      <c r="BF413" s="237">
        <f t="shared" si="495"/>
        <v>52.55</v>
      </c>
      <c r="BG413" s="253">
        <f t="shared" si="496"/>
        <v>2.7676728869374316</v>
      </c>
      <c r="BH413" s="253" cm="1">
        <f t="array" ref="BH413">$BC413 * SUMPRODUCT(INDEX($AL$77:$AN$82,,$AE413),INDEX($AO$77:$AU$82,,$AD413), N($AK$77:$AK$82&gt;$AI413)) / BG413 / 1000</f>
        <v>0</v>
      </c>
      <c r="BI413" s="250">
        <f t="shared" si="520"/>
        <v>30</v>
      </c>
      <c r="BJ413" s="237">
        <f t="shared" si="497"/>
        <v>46.033333333333331</v>
      </c>
      <c r="BK413" s="253">
        <f t="shared" si="498"/>
        <v>3.2297395388556791</v>
      </c>
      <c r="BL413" s="253" cm="1">
        <f t="array" ref="BL413">$BC413 * IF($AD413&lt;=2,
SUMPRODUCT(INDEX($AL$72:$AN$76,,$AE413), INDEX($AO$72:$AU$76,,$AD413), 1 / ($AV$72:$AV$76*BK413 + (1-$AV$72:$AV$76)*BG413), N($AK$72:$AK$76&gt;$AI413)),
SUMPRODUCT(INDEX($AL$67:$AN$76,,$AE413), INDEX($AO$67:$AU$76,,$AD413), 1 / ($AW$67:$AW$76*BK413 + (1-$AW$67:$AW$76)*BG413), N($AK$67:$AK$76&gt;$AI413))
) / 1000</f>
        <v>0</v>
      </c>
      <c r="BM413" s="250">
        <f t="shared" si="521"/>
        <v>25</v>
      </c>
      <c r="BN413" s="237">
        <f t="shared" si="499"/>
        <v>39.516666666666666</v>
      </c>
      <c r="BO413" s="253">
        <f t="shared" si="500"/>
        <v>3.877011788826243</v>
      </c>
      <c r="BP413" s="253" cm="1">
        <f t="array" ref="BP413">$BC413 * IF($AD413&lt;=2,
SUMPRODUCT(INDEX($AL$67:$AN$71,,$AE413), INDEX($AO$67:$AU$71,,$AD413), 1 / ($AV$67:$AV$71*BO413 + (1-$AV$67:$AV$71)*BK413), N($AK$67:$AK$71&gt;$AI413)),
SUMPRODUCT(INDEX($AL$57:$AN$66,,$AE413), INDEX($AO$57:$AU$66,,$AD413), 1 / ($AW$57:$AW$66*BO413 + (1-$AW$57:$AW$66)*BK413), N($AK$57:$AK$66&gt;$AI413))
) / 1000</f>
        <v>0</v>
      </c>
      <c r="BQ413" s="250">
        <f t="shared" si="522"/>
        <v>20</v>
      </c>
      <c r="BR413" s="237">
        <f t="shared" si="501"/>
        <v>33</v>
      </c>
      <c r="BS413" s="253">
        <f t="shared" si="502"/>
        <v>4.8487499999999999</v>
      </c>
      <c r="BT413" s="253" cm="1">
        <f t="array" ref="BT413">$BC413 * IF($AD413&lt;=2,
SUMPRODUCT(INDEX($AL$62:$AN$66,,$AE413), INDEX($AO$62:$AU$66,,$AD413), 1 / ($AV$62:$AV$66*BS413 + (1-$AV$62:$AV$66)*BO413), N($AK$62:$AK$66&gt;$AI413)),
SUMPRODUCT(INDEX($AL$47:$AN$56,,$AE413), INDEX($AO$47:$AU$56,,$AD413), 1 / ($AW$47:$AW$56*BS413 + (1-$AW$47:$AW$56)*BO413), N($AK$47:$AK$56&gt;$AI413))
) / 1000</f>
        <v>0</v>
      </c>
      <c r="BU413" s="253" cm="1">
        <f t="array" ref="BU413">$BC413 * IF($AD413&lt;=2,
SUMPRODUCT(INDEX($AL$23:$AN$61,,$AE413), INDEX($AO$23:$AU$61,,$AD413), 1 / ($AV$23:$AV$61*BS413), N($AK$23:$AK$61&gt;$AI413)),
SUMPRODUCT(INDEX($AL$23:$AN$46,,$AE413), INDEX($AO$23:$AU$46,,$AD413), 1 / ($AW$23:$AW$46*BS413), N($AK$23:$AK$46&gt;$AI413))
) / 1000</f>
        <v>0</v>
      </c>
      <c r="BV413" s="237">
        <f t="shared" si="503"/>
        <v>0</v>
      </c>
      <c r="BW413" s="210"/>
      <c r="BX413" s="237">
        <f t="shared" si="504"/>
        <v>0</v>
      </c>
      <c r="BY413" s="236">
        <v>35</v>
      </c>
      <c r="BZ413" s="237">
        <f t="shared" si="505"/>
        <v>48</v>
      </c>
      <c r="CA413" s="253">
        <f t="shared" si="506"/>
        <v>3.0748170731707316</v>
      </c>
      <c r="CB413" s="253" cm="1">
        <f t="array" ref="CB413">$BC413 * SUMPRODUCT(INDEX($AL$77:$AN$82,,$AE413),INDEX($AO$77:$AU$82,,$AD413), N($AK$77:$AK$82&gt;$AI413)) / CA413 / 1000</f>
        <v>0</v>
      </c>
      <c r="CC413" s="250">
        <f t="shared" si="523"/>
        <v>30</v>
      </c>
      <c r="CD413" s="237">
        <f t="shared" si="507"/>
        <v>43</v>
      </c>
      <c r="CE413" s="253">
        <f t="shared" si="508"/>
        <v>3.5018750000000001</v>
      </c>
      <c r="CF413" s="253" cm="1">
        <f t="array" ref="CF413">$BC413 * IF($AD413&lt;=2,
SUMPRODUCT(INDEX($AL$72:$AN$76,,$AE413), INDEX($AO$72:$AU$76,,$AD413), 1 / ($AV$72:$AV$76*CE413 + (1-$AV$72:$AV$76)*CA413), N($AK$72:$AK$76&gt;$AI413)),
SUMPRODUCT(INDEX($AL$67:$AN$76,,$AE413), INDEX($AO$67:$AU$76,,$AD413), 1 / ($AW$67:$AW$76*CE413 + (1-$AW$67:$AW$76)*CA413), N($AK$67:$AK$76&gt;$AI413))
) / 1000</f>
        <v>0</v>
      </c>
      <c r="CG413" s="250">
        <f t="shared" si="524"/>
        <v>25</v>
      </c>
      <c r="CH413" s="237">
        <f t="shared" si="509"/>
        <v>38</v>
      </c>
      <c r="CI413" s="253">
        <f t="shared" si="510"/>
        <v>4.0666935483870965</v>
      </c>
      <c r="CJ413" s="253" cm="1">
        <f t="array" ref="CJ413">$BC413 * IF($AD413&lt;=2,
SUMPRODUCT(INDEX($AL$67:$AN$71,,$AE413), INDEX($AO$67:$AU$71,,$AD413), 1 / ($AV$67:$AV$71*CI413 + (1-$AV$67:$AV$71)*CE413), N($AK$67:$AK$71&gt;$AI413)),
SUMPRODUCT(INDEX($AL$57:$AN$66,,$AE413), INDEX($AO$57:$AU$66,,$AD413), 1 / ($AW$57:$AW$66*CI413 + (1-$AW$57:$AW$66)*CE413), N($AK$57:$AK$66&gt;$AI413))
) / 1000</f>
        <v>0</v>
      </c>
      <c r="CK413" s="250">
        <f t="shared" si="525"/>
        <v>20</v>
      </c>
      <c r="CL413" s="237">
        <f t="shared" si="511"/>
        <v>33</v>
      </c>
      <c r="CM413" s="253">
        <f t="shared" si="512"/>
        <v>4.8487499999999999</v>
      </c>
      <c r="CN413" s="253" cm="1">
        <f t="array" ref="CN413">$BC413 * IF($AD413&lt;=2,
SUMPRODUCT(INDEX($AL$62:$AN$66,,$AE413), INDEX($AO$62:$AU$66,,$AD413), 1 / ($AV$62:$AV$66*CM413 + (1-$AV$62:$AV$66)*CI413), N($AK$62:$AK$66&gt;$AI413)),
SUMPRODUCT(INDEX($AL$47:$AN$56,,$AE413), INDEX($AO$47:$AU$56,,$AD413), 1 / ($AW$47:$AW$56*CM413 + (1-$AW$47:$AW$56)*CI413), N($AK$47:$AK$56&gt;$AI413))
) / 1000</f>
        <v>0</v>
      </c>
      <c r="CO413" s="253" cm="1">
        <f t="array" ref="CO413">$BC413 * IF($AD413&lt;=2,
SUMPRODUCT(INDEX($AL$23:$AN$61,,$AE413), INDEX($AO$23:$AU$61,,$AD413), 1 / ($AV$23:$AV$61*CM413), N($AK$23:$AK$61&gt;$AI413)),
SUMPRODUCT(INDEX($AL$23:$AN$46,,$AE413), INDEX($AO$23:$AU$46,,$AD413), 1 / ($AW$23:$AW$46*CM413), N($AK$23:$AK$46&gt;$AI413))
) / 1000</f>
        <v>0</v>
      </c>
      <c r="CP413" s="237">
        <f t="shared" si="513"/>
        <v>0</v>
      </c>
      <c r="CQ413" s="210"/>
    </row>
    <row r="414" spans="1:95" s="76" customFormat="1" ht="14.25" customHeight="1" x14ac:dyDescent="0.2">
      <c r="A414" s="238" t="b">
        <f t="shared" si="517"/>
        <v>0</v>
      </c>
      <c r="B414" s="239">
        <v>392</v>
      </c>
      <c r="C414" s="258"/>
      <c r="D414" s="258"/>
      <c r="E414" s="240"/>
      <c r="F414" s="241" t="str">
        <f>IF(ISBLANK(E414), "", VLOOKUP(E414, Z!$A$2:$C$4127, 3, FALSE))</f>
        <v/>
      </c>
      <c r="G414" s="242"/>
      <c r="H414" s="242"/>
      <c r="I414" s="243"/>
      <c r="J414" s="244"/>
      <c r="K414" s="259"/>
      <c r="L414" s="260"/>
      <c r="M414" s="247" t="str" cm="1">
        <f t="array" ref="M414">IF($K414&gt;0, INDEX(Clean,1+AG414,$C$1), "")</f>
        <v/>
      </c>
      <c r="N414" s="245"/>
      <c r="O414" s="245"/>
      <c r="P414" s="246"/>
      <c r="Q414" s="248">
        <f t="shared" si="490"/>
        <v>0</v>
      </c>
      <c r="R414" s="247" t="str" cm="1">
        <f t="array" ref="R414">IF($K414&gt;0, INDEX(Clean,1+AH414,$C$1), "")</f>
        <v/>
      </c>
      <c r="S414" s="245"/>
      <c r="T414" s="245"/>
      <c r="U414" s="246"/>
      <c r="V414" s="248">
        <f t="shared" si="491"/>
        <v>0</v>
      </c>
      <c r="W414" s="261"/>
      <c r="X414" s="258"/>
      <c r="Y414" s="240"/>
      <c r="Z414" s="241" t="str">
        <f>IF(ISBLANK(Y414), "", VLOOKUP(Y414, Z!$A$2:$C$4127, 3, FALSE))</f>
        <v/>
      </c>
      <c r="AA414" s="262"/>
      <c r="AB414" s="249">
        <f t="shared" si="526"/>
        <v>0</v>
      </c>
      <c r="AC414" s="210"/>
      <c r="AD414" s="236">
        <f t="shared" si="514"/>
        <v>1</v>
      </c>
      <c r="AE414" s="236">
        <f t="shared" si="515"/>
        <v>1</v>
      </c>
      <c r="AF414" s="236">
        <f t="shared" si="516"/>
        <v>0</v>
      </c>
      <c r="AG414" s="236">
        <v>1</v>
      </c>
      <c r="AH414" s="236">
        <v>0</v>
      </c>
      <c r="AI414" s="236">
        <f t="shared" si="492"/>
        <v>-100</v>
      </c>
      <c r="AJ414" s="210"/>
      <c r="AK414" s="254"/>
      <c r="AL414" s="254"/>
      <c r="AM414" s="255"/>
      <c r="AN414" s="255"/>
      <c r="AO414" s="255"/>
      <c r="AP414" s="255"/>
      <c r="AQ414" s="255"/>
      <c r="AR414" s="255"/>
      <c r="AS414" s="255"/>
      <c r="AT414" s="255"/>
      <c r="AU414" s="255"/>
      <c r="AV414" s="255"/>
      <c r="AW414" s="255"/>
      <c r="AX414" s="210"/>
      <c r="AY414" s="236" cm="1">
        <f t="array" ref="AY414">INDEX(Use, $AD414, 4)</f>
        <v>7</v>
      </c>
      <c r="AZ414" s="236">
        <f t="shared" si="493"/>
        <v>32</v>
      </c>
      <c r="BA414" s="236">
        <f t="shared" si="518"/>
        <v>13</v>
      </c>
      <c r="BB414" s="236">
        <f t="shared" si="519"/>
        <v>0</v>
      </c>
      <c r="BC414" s="252" cm="1">
        <f t="array" ref="BC414">K414/IF($L414&gt;0, INDEX($AO$23:$AU$77, $L414+20, $AD414), 1)</f>
        <v>0</v>
      </c>
      <c r="BD414" s="237">
        <f t="shared" si="494"/>
        <v>0</v>
      </c>
      <c r="BE414" s="236">
        <v>35</v>
      </c>
      <c r="BF414" s="237">
        <f t="shared" si="495"/>
        <v>52.55</v>
      </c>
      <c r="BG414" s="253">
        <f t="shared" si="496"/>
        <v>2.7676728869374316</v>
      </c>
      <c r="BH414" s="253" cm="1">
        <f t="array" ref="BH414">$BC414 * SUMPRODUCT(INDEX($AL$77:$AN$82,,$AE414),INDEX($AO$77:$AU$82,,$AD414), N($AK$77:$AK$82&gt;$AI414)) / BG414 / 1000</f>
        <v>0</v>
      </c>
      <c r="BI414" s="250">
        <f t="shared" si="520"/>
        <v>30</v>
      </c>
      <c r="BJ414" s="237">
        <f t="shared" si="497"/>
        <v>46.033333333333331</v>
      </c>
      <c r="BK414" s="253">
        <f t="shared" si="498"/>
        <v>3.2297395388556791</v>
      </c>
      <c r="BL414" s="253" cm="1">
        <f t="array" ref="BL414">$BC414 * IF($AD414&lt;=2,
SUMPRODUCT(INDEX($AL$72:$AN$76,,$AE414), INDEX($AO$72:$AU$76,,$AD414), 1 / ($AV$72:$AV$76*BK414 + (1-$AV$72:$AV$76)*BG414), N($AK$72:$AK$76&gt;$AI414)),
SUMPRODUCT(INDEX($AL$67:$AN$76,,$AE414), INDEX($AO$67:$AU$76,,$AD414), 1 / ($AW$67:$AW$76*BK414 + (1-$AW$67:$AW$76)*BG414), N($AK$67:$AK$76&gt;$AI414))
) / 1000</f>
        <v>0</v>
      </c>
      <c r="BM414" s="250">
        <f t="shared" si="521"/>
        <v>25</v>
      </c>
      <c r="BN414" s="237">
        <f t="shared" si="499"/>
        <v>39.516666666666666</v>
      </c>
      <c r="BO414" s="253">
        <f t="shared" si="500"/>
        <v>3.877011788826243</v>
      </c>
      <c r="BP414" s="253" cm="1">
        <f t="array" ref="BP414">$BC414 * IF($AD414&lt;=2,
SUMPRODUCT(INDEX($AL$67:$AN$71,,$AE414), INDEX($AO$67:$AU$71,,$AD414), 1 / ($AV$67:$AV$71*BO414 + (1-$AV$67:$AV$71)*BK414), N($AK$67:$AK$71&gt;$AI414)),
SUMPRODUCT(INDEX($AL$57:$AN$66,,$AE414), INDEX($AO$57:$AU$66,,$AD414), 1 / ($AW$57:$AW$66*BO414 + (1-$AW$57:$AW$66)*BK414), N($AK$57:$AK$66&gt;$AI414))
) / 1000</f>
        <v>0</v>
      </c>
      <c r="BQ414" s="250">
        <f t="shared" si="522"/>
        <v>20</v>
      </c>
      <c r="BR414" s="237">
        <f t="shared" si="501"/>
        <v>33</v>
      </c>
      <c r="BS414" s="253">
        <f t="shared" si="502"/>
        <v>4.8487499999999999</v>
      </c>
      <c r="BT414" s="253" cm="1">
        <f t="array" ref="BT414">$BC414 * IF($AD414&lt;=2,
SUMPRODUCT(INDEX($AL$62:$AN$66,,$AE414), INDEX($AO$62:$AU$66,,$AD414), 1 / ($AV$62:$AV$66*BS414 + (1-$AV$62:$AV$66)*BO414), N($AK$62:$AK$66&gt;$AI414)),
SUMPRODUCT(INDEX($AL$47:$AN$56,,$AE414), INDEX($AO$47:$AU$56,,$AD414), 1 / ($AW$47:$AW$56*BS414 + (1-$AW$47:$AW$56)*BO414), N($AK$47:$AK$56&gt;$AI414))
) / 1000</f>
        <v>0</v>
      </c>
      <c r="BU414" s="253" cm="1">
        <f t="array" ref="BU414">$BC414 * IF($AD414&lt;=2,
SUMPRODUCT(INDEX($AL$23:$AN$61,,$AE414), INDEX($AO$23:$AU$61,,$AD414), 1 / ($AV$23:$AV$61*BS414), N($AK$23:$AK$61&gt;$AI414)),
SUMPRODUCT(INDEX($AL$23:$AN$46,,$AE414), INDEX($AO$23:$AU$46,,$AD414), 1 / ($AW$23:$AW$46*BS414), N($AK$23:$AK$46&gt;$AI414))
) / 1000</f>
        <v>0</v>
      </c>
      <c r="BV414" s="237">
        <f t="shared" si="503"/>
        <v>0</v>
      </c>
      <c r="BW414" s="210"/>
      <c r="BX414" s="237">
        <f t="shared" si="504"/>
        <v>0</v>
      </c>
      <c r="BY414" s="236">
        <v>35</v>
      </c>
      <c r="BZ414" s="237">
        <f t="shared" si="505"/>
        <v>48</v>
      </c>
      <c r="CA414" s="253">
        <f t="shared" si="506"/>
        <v>3.0748170731707316</v>
      </c>
      <c r="CB414" s="253" cm="1">
        <f t="array" ref="CB414">$BC414 * SUMPRODUCT(INDEX($AL$77:$AN$82,,$AE414),INDEX($AO$77:$AU$82,,$AD414), N($AK$77:$AK$82&gt;$AI414)) / CA414 / 1000</f>
        <v>0</v>
      </c>
      <c r="CC414" s="250">
        <f t="shared" si="523"/>
        <v>30</v>
      </c>
      <c r="CD414" s="237">
        <f t="shared" si="507"/>
        <v>43</v>
      </c>
      <c r="CE414" s="253">
        <f t="shared" si="508"/>
        <v>3.5018750000000001</v>
      </c>
      <c r="CF414" s="253" cm="1">
        <f t="array" ref="CF414">$BC414 * IF($AD414&lt;=2,
SUMPRODUCT(INDEX($AL$72:$AN$76,,$AE414), INDEX($AO$72:$AU$76,,$AD414), 1 / ($AV$72:$AV$76*CE414 + (1-$AV$72:$AV$76)*CA414), N($AK$72:$AK$76&gt;$AI414)),
SUMPRODUCT(INDEX($AL$67:$AN$76,,$AE414), INDEX($AO$67:$AU$76,,$AD414), 1 / ($AW$67:$AW$76*CE414 + (1-$AW$67:$AW$76)*CA414), N($AK$67:$AK$76&gt;$AI414))
) / 1000</f>
        <v>0</v>
      </c>
      <c r="CG414" s="250">
        <f t="shared" si="524"/>
        <v>25</v>
      </c>
      <c r="CH414" s="237">
        <f t="shared" si="509"/>
        <v>38</v>
      </c>
      <c r="CI414" s="253">
        <f t="shared" si="510"/>
        <v>4.0666935483870965</v>
      </c>
      <c r="CJ414" s="253" cm="1">
        <f t="array" ref="CJ414">$BC414 * IF($AD414&lt;=2,
SUMPRODUCT(INDEX($AL$67:$AN$71,,$AE414), INDEX($AO$67:$AU$71,,$AD414), 1 / ($AV$67:$AV$71*CI414 + (1-$AV$67:$AV$71)*CE414), N($AK$67:$AK$71&gt;$AI414)),
SUMPRODUCT(INDEX($AL$57:$AN$66,,$AE414), INDEX($AO$57:$AU$66,,$AD414), 1 / ($AW$57:$AW$66*CI414 + (1-$AW$57:$AW$66)*CE414), N($AK$57:$AK$66&gt;$AI414))
) / 1000</f>
        <v>0</v>
      </c>
      <c r="CK414" s="250">
        <f t="shared" si="525"/>
        <v>20</v>
      </c>
      <c r="CL414" s="237">
        <f t="shared" si="511"/>
        <v>33</v>
      </c>
      <c r="CM414" s="253">
        <f t="shared" si="512"/>
        <v>4.8487499999999999</v>
      </c>
      <c r="CN414" s="253" cm="1">
        <f t="array" ref="CN414">$BC414 * IF($AD414&lt;=2,
SUMPRODUCT(INDEX($AL$62:$AN$66,,$AE414), INDEX($AO$62:$AU$66,,$AD414), 1 / ($AV$62:$AV$66*CM414 + (1-$AV$62:$AV$66)*CI414), N($AK$62:$AK$66&gt;$AI414)),
SUMPRODUCT(INDEX($AL$47:$AN$56,,$AE414), INDEX($AO$47:$AU$56,,$AD414), 1 / ($AW$47:$AW$56*CM414 + (1-$AW$47:$AW$56)*CI414), N($AK$47:$AK$56&gt;$AI414))
) / 1000</f>
        <v>0</v>
      </c>
      <c r="CO414" s="253" cm="1">
        <f t="array" ref="CO414">$BC414 * IF($AD414&lt;=2,
SUMPRODUCT(INDEX($AL$23:$AN$61,,$AE414), INDEX($AO$23:$AU$61,,$AD414), 1 / ($AV$23:$AV$61*CM414), N($AK$23:$AK$61&gt;$AI414)),
SUMPRODUCT(INDEX($AL$23:$AN$46,,$AE414), INDEX($AO$23:$AU$46,,$AD414), 1 / ($AW$23:$AW$46*CM414), N($AK$23:$AK$46&gt;$AI414))
) / 1000</f>
        <v>0</v>
      </c>
      <c r="CP414" s="237">
        <f t="shared" si="513"/>
        <v>0</v>
      </c>
      <c r="CQ414" s="210"/>
    </row>
    <row r="415" spans="1:95" s="76" customFormat="1" ht="14.25" customHeight="1" x14ac:dyDescent="0.2">
      <c r="A415" s="238" t="b">
        <f t="shared" si="517"/>
        <v>0</v>
      </c>
      <c r="B415" s="239">
        <v>393</v>
      </c>
      <c r="C415" s="258"/>
      <c r="D415" s="258"/>
      <c r="E415" s="240"/>
      <c r="F415" s="241" t="str">
        <f>IF(ISBLANK(E415), "", VLOOKUP(E415, Z!$A$2:$C$4127, 3, FALSE))</f>
        <v/>
      </c>
      <c r="G415" s="242"/>
      <c r="H415" s="242"/>
      <c r="I415" s="243"/>
      <c r="J415" s="244"/>
      <c r="K415" s="259"/>
      <c r="L415" s="260"/>
      <c r="M415" s="247" t="str" cm="1">
        <f t="array" ref="M415">IF($K415&gt;0, INDEX(Clean,1+AG415,$C$1), "")</f>
        <v/>
      </c>
      <c r="N415" s="245"/>
      <c r="O415" s="245"/>
      <c r="P415" s="246"/>
      <c r="Q415" s="248">
        <f t="shared" si="490"/>
        <v>0</v>
      </c>
      <c r="R415" s="247" t="str" cm="1">
        <f t="array" ref="R415">IF($K415&gt;0, INDEX(Clean,1+AH415,$C$1), "")</f>
        <v/>
      </c>
      <c r="S415" s="245"/>
      <c r="T415" s="245"/>
      <c r="U415" s="246"/>
      <c r="V415" s="248">
        <f t="shared" si="491"/>
        <v>0</v>
      </c>
      <c r="W415" s="261"/>
      <c r="X415" s="258"/>
      <c r="Y415" s="240"/>
      <c r="Z415" s="241" t="str">
        <f>IF(ISBLANK(Y415), "", VLOOKUP(Y415, Z!$A$2:$C$4127, 3, FALSE))</f>
        <v/>
      </c>
      <c r="AA415" s="262"/>
      <c r="AB415" s="249">
        <f t="shared" si="526"/>
        <v>0</v>
      </c>
      <c r="AC415" s="210"/>
      <c r="AD415" s="236">
        <f t="shared" si="514"/>
        <v>1</v>
      </c>
      <c r="AE415" s="236">
        <f t="shared" si="515"/>
        <v>1</v>
      </c>
      <c r="AF415" s="236">
        <f t="shared" si="516"/>
        <v>0</v>
      </c>
      <c r="AG415" s="236">
        <v>1</v>
      </c>
      <c r="AH415" s="236">
        <v>0</v>
      </c>
      <c r="AI415" s="236">
        <f t="shared" si="492"/>
        <v>-100</v>
      </c>
      <c r="AJ415" s="210"/>
      <c r="AK415" s="254"/>
      <c r="AL415" s="254"/>
      <c r="AM415" s="255"/>
      <c r="AN415" s="255"/>
      <c r="AO415" s="255"/>
      <c r="AP415" s="255"/>
      <c r="AQ415" s="255"/>
      <c r="AR415" s="255"/>
      <c r="AS415" s="255"/>
      <c r="AT415" s="255"/>
      <c r="AU415" s="255"/>
      <c r="AV415" s="255"/>
      <c r="AW415" s="255"/>
      <c r="AX415" s="210"/>
      <c r="AY415" s="236" cm="1">
        <f t="array" ref="AY415">INDEX(Use, $AD415, 4)</f>
        <v>7</v>
      </c>
      <c r="AZ415" s="236">
        <f t="shared" si="493"/>
        <v>32</v>
      </c>
      <c r="BA415" s="236">
        <f t="shared" si="518"/>
        <v>13</v>
      </c>
      <c r="BB415" s="236">
        <f t="shared" si="519"/>
        <v>0</v>
      </c>
      <c r="BC415" s="252" cm="1">
        <f t="array" ref="BC415">K415/IF($L415&gt;0, INDEX($AO$23:$AU$77, $L415+20, $AD415), 1)</f>
        <v>0</v>
      </c>
      <c r="BD415" s="237">
        <f t="shared" si="494"/>
        <v>0</v>
      </c>
      <c r="BE415" s="236">
        <v>35</v>
      </c>
      <c r="BF415" s="237">
        <f t="shared" si="495"/>
        <v>52.55</v>
      </c>
      <c r="BG415" s="253">
        <f t="shared" si="496"/>
        <v>2.7676728869374316</v>
      </c>
      <c r="BH415" s="253" cm="1">
        <f t="array" ref="BH415">$BC415 * SUMPRODUCT(INDEX($AL$77:$AN$82,,$AE415),INDEX($AO$77:$AU$82,,$AD415), N($AK$77:$AK$82&gt;$AI415)) / BG415 / 1000</f>
        <v>0</v>
      </c>
      <c r="BI415" s="250">
        <f t="shared" si="520"/>
        <v>30</v>
      </c>
      <c r="BJ415" s="237">
        <f t="shared" si="497"/>
        <v>46.033333333333331</v>
      </c>
      <c r="BK415" s="253">
        <f t="shared" si="498"/>
        <v>3.2297395388556791</v>
      </c>
      <c r="BL415" s="253" cm="1">
        <f t="array" ref="BL415">$BC415 * IF($AD415&lt;=2,
SUMPRODUCT(INDEX($AL$72:$AN$76,,$AE415), INDEX($AO$72:$AU$76,,$AD415), 1 / ($AV$72:$AV$76*BK415 + (1-$AV$72:$AV$76)*BG415), N($AK$72:$AK$76&gt;$AI415)),
SUMPRODUCT(INDEX($AL$67:$AN$76,,$AE415), INDEX($AO$67:$AU$76,,$AD415), 1 / ($AW$67:$AW$76*BK415 + (1-$AW$67:$AW$76)*BG415), N($AK$67:$AK$76&gt;$AI415))
) / 1000</f>
        <v>0</v>
      </c>
      <c r="BM415" s="250">
        <f t="shared" si="521"/>
        <v>25</v>
      </c>
      <c r="BN415" s="237">
        <f t="shared" si="499"/>
        <v>39.516666666666666</v>
      </c>
      <c r="BO415" s="253">
        <f t="shared" si="500"/>
        <v>3.877011788826243</v>
      </c>
      <c r="BP415" s="253" cm="1">
        <f t="array" ref="BP415">$BC415 * IF($AD415&lt;=2,
SUMPRODUCT(INDEX($AL$67:$AN$71,,$AE415), INDEX($AO$67:$AU$71,,$AD415), 1 / ($AV$67:$AV$71*BO415 + (1-$AV$67:$AV$71)*BK415), N($AK$67:$AK$71&gt;$AI415)),
SUMPRODUCT(INDEX($AL$57:$AN$66,,$AE415), INDEX($AO$57:$AU$66,,$AD415), 1 / ($AW$57:$AW$66*BO415 + (1-$AW$57:$AW$66)*BK415), N($AK$57:$AK$66&gt;$AI415))
) / 1000</f>
        <v>0</v>
      </c>
      <c r="BQ415" s="250">
        <f t="shared" si="522"/>
        <v>20</v>
      </c>
      <c r="BR415" s="237">
        <f t="shared" si="501"/>
        <v>33</v>
      </c>
      <c r="BS415" s="253">
        <f t="shared" si="502"/>
        <v>4.8487499999999999</v>
      </c>
      <c r="BT415" s="253" cm="1">
        <f t="array" ref="BT415">$BC415 * IF($AD415&lt;=2,
SUMPRODUCT(INDEX($AL$62:$AN$66,,$AE415), INDEX($AO$62:$AU$66,,$AD415), 1 / ($AV$62:$AV$66*BS415 + (1-$AV$62:$AV$66)*BO415), N($AK$62:$AK$66&gt;$AI415)),
SUMPRODUCT(INDEX($AL$47:$AN$56,,$AE415), INDEX($AO$47:$AU$56,,$AD415), 1 / ($AW$47:$AW$56*BS415 + (1-$AW$47:$AW$56)*BO415), N($AK$47:$AK$56&gt;$AI415))
) / 1000</f>
        <v>0</v>
      </c>
      <c r="BU415" s="253" cm="1">
        <f t="array" ref="BU415">$BC415 * IF($AD415&lt;=2,
SUMPRODUCT(INDEX($AL$23:$AN$61,,$AE415), INDEX($AO$23:$AU$61,,$AD415), 1 / ($AV$23:$AV$61*BS415), N($AK$23:$AK$61&gt;$AI415)),
SUMPRODUCT(INDEX($AL$23:$AN$46,,$AE415), INDEX($AO$23:$AU$46,,$AD415), 1 / ($AW$23:$AW$46*BS415), N($AK$23:$AK$46&gt;$AI415))
) / 1000</f>
        <v>0</v>
      </c>
      <c r="BV415" s="237">
        <f t="shared" si="503"/>
        <v>0</v>
      </c>
      <c r="BW415" s="210"/>
      <c r="BX415" s="237">
        <f t="shared" si="504"/>
        <v>0</v>
      </c>
      <c r="BY415" s="236">
        <v>35</v>
      </c>
      <c r="BZ415" s="237">
        <f t="shared" si="505"/>
        <v>48</v>
      </c>
      <c r="CA415" s="253">
        <f t="shared" si="506"/>
        <v>3.0748170731707316</v>
      </c>
      <c r="CB415" s="253" cm="1">
        <f t="array" ref="CB415">$BC415 * SUMPRODUCT(INDEX($AL$77:$AN$82,,$AE415),INDEX($AO$77:$AU$82,,$AD415), N($AK$77:$AK$82&gt;$AI415)) / CA415 / 1000</f>
        <v>0</v>
      </c>
      <c r="CC415" s="250">
        <f t="shared" si="523"/>
        <v>30</v>
      </c>
      <c r="CD415" s="237">
        <f t="shared" si="507"/>
        <v>43</v>
      </c>
      <c r="CE415" s="253">
        <f t="shared" si="508"/>
        <v>3.5018750000000001</v>
      </c>
      <c r="CF415" s="253" cm="1">
        <f t="array" ref="CF415">$BC415 * IF($AD415&lt;=2,
SUMPRODUCT(INDEX($AL$72:$AN$76,,$AE415), INDEX($AO$72:$AU$76,,$AD415), 1 / ($AV$72:$AV$76*CE415 + (1-$AV$72:$AV$76)*CA415), N($AK$72:$AK$76&gt;$AI415)),
SUMPRODUCT(INDEX($AL$67:$AN$76,,$AE415), INDEX($AO$67:$AU$76,,$AD415), 1 / ($AW$67:$AW$76*CE415 + (1-$AW$67:$AW$76)*CA415), N($AK$67:$AK$76&gt;$AI415))
) / 1000</f>
        <v>0</v>
      </c>
      <c r="CG415" s="250">
        <f t="shared" si="524"/>
        <v>25</v>
      </c>
      <c r="CH415" s="237">
        <f t="shared" si="509"/>
        <v>38</v>
      </c>
      <c r="CI415" s="253">
        <f t="shared" si="510"/>
        <v>4.0666935483870965</v>
      </c>
      <c r="CJ415" s="253" cm="1">
        <f t="array" ref="CJ415">$BC415 * IF($AD415&lt;=2,
SUMPRODUCT(INDEX($AL$67:$AN$71,,$AE415), INDEX($AO$67:$AU$71,,$AD415), 1 / ($AV$67:$AV$71*CI415 + (1-$AV$67:$AV$71)*CE415), N($AK$67:$AK$71&gt;$AI415)),
SUMPRODUCT(INDEX($AL$57:$AN$66,,$AE415), INDEX($AO$57:$AU$66,,$AD415), 1 / ($AW$57:$AW$66*CI415 + (1-$AW$57:$AW$66)*CE415), N($AK$57:$AK$66&gt;$AI415))
) / 1000</f>
        <v>0</v>
      </c>
      <c r="CK415" s="250">
        <f t="shared" si="525"/>
        <v>20</v>
      </c>
      <c r="CL415" s="237">
        <f t="shared" si="511"/>
        <v>33</v>
      </c>
      <c r="CM415" s="253">
        <f t="shared" si="512"/>
        <v>4.8487499999999999</v>
      </c>
      <c r="CN415" s="253" cm="1">
        <f t="array" ref="CN415">$BC415 * IF($AD415&lt;=2,
SUMPRODUCT(INDEX($AL$62:$AN$66,,$AE415), INDEX($AO$62:$AU$66,,$AD415), 1 / ($AV$62:$AV$66*CM415 + (1-$AV$62:$AV$66)*CI415), N($AK$62:$AK$66&gt;$AI415)),
SUMPRODUCT(INDEX($AL$47:$AN$56,,$AE415), INDEX($AO$47:$AU$56,,$AD415), 1 / ($AW$47:$AW$56*CM415 + (1-$AW$47:$AW$56)*CI415), N($AK$47:$AK$56&gt;$AI415))
) / 1000</f>
        <v>0</v>
      </c>
      <c r="CO415" s="253" cm="1">
        <f t="array" ref="CO415">$BC415 * IF($AD415&lt;=2,
SUMPRODUCT(INDEX($AL$23:$AN$61,,$AE415), INDEX($AO$23:$AU$61,,$AD415), 1 / ($AV$23:$AV$61*CM415), N($AK$23:$AK$61&gt;$AI415)),
SUMPRODUCT(INDEX($AL$23:$AN$46,,$AE415), INDEX($AO$23:$AU$46,,$AD415), 1 / ($AW$23:$AW$46*CM415), N($AK$23:$AK$46&gt;$AI415))
) / 1000</f>
        <v>0</v>
      </c>
      <c r="CP415" s="237">
        <f t="shared" si="513"/>
        <v>0</v>
      </c>
      <c r="CQ415" s="210"/>
    </row>
    <row r="416" spans="1:95" s="76" customFormat="1" ht="14.25" customHeight="1" x14ac:dyDescent="0.2">
      <c r="A416" s="238" t="b">
        <f t="shared" si="517"/>
        <v>0</v>
      </c>
      <c r="B416" s="239">
        <v>394</v>
      </c>
      <c r="C416" s="258"/>
      <c r="D416" s="258"/>
      <c r="E416" s="240"/>
      <c r="F416" s="241" t="str">
        <f>IF(ISBLANK(E416), "", VLOOKUP(E416, Z!$A$2:$C$4127, 3, FALSE))</f>
        <v/>
      </c>
      <c r="G416" s="242"/>
      <c r="H416" s="242"/>
      <c r="I416" s="243"/>
      <c r="J416" s="244"/>
      <c r="K416" s="259"/>
      <c r="L416" s="260"/>
      <c r="M416" s="247" t="str" cm="1">
        <f t="array" ref="M416">IF($K416&gt;0, INDEX(Clean,1+AG416,$C$1), "")</f>
        <v/>
      </c>
      <c r="N416" s="245"/>
      <c r="O416" s="245"/>
      <c r="P416" s="246"/>
      <c r="Q416" s="248">
        <f t="shared" si="490"/>
        <v>0</v>
      </c>
      <c r="R416" s="247" t="str" cm="1">
        <f t="array" ref="R416">IF($K416&gt;0, INDEX(Clean,1+AH416,$C$1), "")</f>
        <v/>
      </c>
      <c r="S416" s="245"/>
      <c r="T416" s="245"/>
      <c r="U416" s="246"/>
      <c r="V416" s="248">
        <f t="shared" si="491"/>
        <v>0</v>
      </c>
      <c r="W416" s="261"/>
      <c r="X416" s="258"/>
      <c r="Y416" s="240"/>
      <c r="Z416" s="241" t="str">
        <f>IF(ISBLANK(Y416), "", VLOOKUP(Y416, Z!$A$2:$C$4127, 3, FALSE))</f>
        <v/>
      </c>
      <c r="AA416" s="262"/>
      <c r="AB416" s="249">
        <f t="shared" si="526"/>
        <v>0</v>
      </c>
      <c r="AC416" s="210"/>
      <c r="AD416" s="236">
        <f t="shared" si="514"/>
        <v>1</v>
      </c>
      <c r="AE416" s="236">
        <f t="shared" si="515"/>
        <v>1</v>
      </c>
      <c r="AF416" s="236">
        <f t="shared" si="516"/>
        <v>0</v>
      </c>
      <c r="AG416" s="236">
        <v>1</v>
      </c>
      <c r="AH416" s="236">
        <v>0</v>
      </c>
      <c r="AI416" s="236">
        <f t="shared" si="492"/>
        <v>-100</v>
      </c>
      <c r="AJ416" s="210"/>
      <c r="AK416" s="254"/>
      <c r="AL416" s="254"/>
      <c r="AM416" s="255"/>
      <c r="AN416" s="255"/>
      <c r="AO416" s="255"/>
      <c r="AP416" s="255"/>
      <c r="AQ416" s="255"/>
      <c r="AR416" s="255"/>
      <c r="AS416" s="255"/>
      <c r="AT416" s="255"/>
      <c r="AU416" s="255"/>
      <c r="AV416" s="255"/>
      <c r="AW416" s="255"/>
      <c r="AX416" s="210"/>
      <c r="AY416" s="236" cm="1">
        <f t="array" ref="AY416">INDEX(Use, $AD416, 4)</f>
        <v>7</v>
      </c>
      <c r="AZ416" s="236">
        <f t="shared" si="493"/>
        <v>32</v>
      </c>
      <c r="BA416" s="236">
        <f t="shared" si="518"/>
        <v>13</v>
      </c>
      <c r="BB416" s="236">
        <f t="shared" si="519"/>
        <v>0</v>
      </c>
      <c r="BC416" s="252" cm="1">
        <f t="array" ref="BC416">K416/IF($L416&gt;0, INDEX($AO$23:$AU$77, $L416+20, $AD416), 1)</f>
        <v>0</v>
      </c>
      <c r="BD416" s="237">
        <f t="shared" si="494"/>
        <v>0</v>
      </c>
      <c r="BE416" s="236">
        <v>35</v>
      </c>
      <c r="BF416" s="237">
        <f t="shared" si="495"/>
        <v>52.55</v>
      </c>
      <c r="BG416" s="253">
        <f t="shared" si="496"/>
        <v>2.7676728869374316</v>
      </c>
      <c r="BH416" s="253" cm="1">
        <f t="array" ref="BH416">$BC416 * SUMPRODUCT(INDEX($AL$77:$AN$82,,$AE416),INDEX($AO$77:$AU$82,,$AD416), N($AK$77:$AK$82&gt;$AI416)) / BG416 / 1000</f>
        <v>0</v>
      </c>
      <c r="BI416" s="250">
        <f t="shared" si="520"/>
        <v>30</v>
      </c>
      <c r="BJ416" s="237">
        <f t="shared" si="497"/>
        <v>46.033333333333331</v>
      </c>
      <c r="BK416" s="253">
        <f t="shared" si="498"/>
        <v>3.2297395388556791</v>
      </c>
      <c r="BL416" s="253" cm="1">
        <f t="array" ref="BL416">$BC416 * IF($AD416&lt;=2,
SUMPRODUCT(INDEX($AL$72:$AN$76,,$AE416), INDEX($AO$72:$AU$76,,$AD416), 1 / ($AV$72:$AV$76*BK416 + (1-$AV$72:$AV$76)*BG416), N($AK$72:$AK$76&gt;$AI416)),
SUMPRODUCT(INDEX($AL$67:$AN$76,,$AE416), INDEX($AO$67:$AU$76,,$AD416), 1 / ($AW$67:$AW$76*BK416 + (1-$AW$67:$AW$76)*BG416), N($AK$67:$AK$76&gt;$AI416))
) / 1000</f>
        <v>0</v>
      </c>
      <c r="BM416" s="250">
        <f t="shared" si="521"/>
        <v>25</v>
      </c>
      <c r="BN416" s="237">
        <f t="shared" si="499"/>
        <v>39.516666666666666</v>
      </c>
      <c r="BO416" s="253">
        <f t="shared" si="500"/>
        <v>3.877011788826243</v>
      </c>
      <c r="BP416" s="253" cm="1">
        <f t="array" ref="BP416">$BC416 * IF($AD416&lt;=2,
SUMPRODUCT(INDEX($AL$67:$AN$71,,$AE416), INDEX($AO$67:$AU$71,,$AD416), 1 / ($AV$67:$AV$71*BO416 + (1-$AV$67:$AV$71)*BK416), N($AK$67:$AK$71&gt;$AI416)),
SUMPRODUCT(INDEX($AL$57:$AN$66,,$AE416), INDEX($AO$57:$AU$66,,$AD416), 1 / ($AW$57:$AW$66*BO416 + (1-$AW$57:$AW$66)*BK416), N($AK$57:$AK$66&gt;$AI416))
) / 1000</f>
        <v>0</v>
      </c>
      <c r="BQ416" s="250">
        <f t="shared" si="522"/>
        <v>20</v>
      </c>
      <c r="BR416" s="237">
        <f t="shared" si="501"/>
        <v>33</v>
      </c>
      <c r="BS416" s="253">
        <f t="shared" si="502"/>
        <v>4.8487499999999999</v>
      </c>
      <c r="BT416" s="253" cm="1">
        <f t="array" ref="BT416">$BC416 * IF($AD416&lt;=2,
SUMPRODUCT(INDEX($AL$62:$AN$66,,$AE416), INDEX($AO$62:$AU$66,,$AD416), 1 / ($AV$62:$AV$66*BS416 + (1-$AV$62:$AV$66)*BO416), N($AK$62:$AK$66&gt;$AI416)),
SUMPRODUCT(INDEX($AL$47:$AN$56,,$AE416), INDEX($AO$47:$AU$56,,$AD416), 1 / ($AW$47:$AW$56*BS416 + (1-$AW$47:$AW$56)*BO416), N($AK$47:$AK$56&gt;$AI416))
) / 1000</f>
        <v>0</v>
      </c>
      <c r="BU416" s="253" cm="1">
        <f t="array" ref="BU416">$BC416 * IF($AD416&lt;=2,
SUMPRODUCT(INDEX($AL$23:$AN$61,,$AE416), INDEX($AO$23:$AU$61,,$AD416), 1 / ($AV$23:$AV$61*BS416), N($AK$23:$AK$61&gt;$AI416)),
SUMPRODUCT(INDEX($AL$23:$AN$46,,$AE416), INDEX($AO$23:$AU$46,,$AD416), 1 / ($AW$23:$AW$46*BS416), N($AK$23:$AK$46&gt;$AI416))
) / 1000</f>
        <v>0</v>
      </c>
      <c r="BV416" s="237">
        <f t="shared" si="503"/>
        <v>0</v>
      </c>
      <c r="BW416" s="210"/>
      <c r="BX416" s="237">
        <f t="shared" si="504"/>
        <v>0</v>
      </c>
      <c r="BY416" s="236">
        <v>35</v>
      </c>
      <c r="BZ416" s="237">
        <f t="shared" si="505"/>
        <v>48</v>
      </c>
      <c r="CA416" s="253">
        <f t="shared" si="506"/>
        <v>3.0748170731707316</v>
      </c>
      <c r="CB416" s="253" cm="1">
        <f t="array" ref="CB416">$BC416 * SUMPRODUCT(INDEX($AL$77:$AN$82,,$AE416),INDEX($AO$77:$AU$82,,$AD416), N($AK$77:$AK$82&gt;$AI416)) / CA416 / 1000</f>
        <v>0</v>
      </c>
      <c r="CC416" s="250">
        <f t="shared" si="523"/>
        <v>30</v>
      </c>
      <c r="CD416" s="237">
        <f t="shared" si="507"/>
        <v>43</v>
      </c>
      <c r="CE416" s="253">
        <f t="shared" si="508"/>
        <v>3.5018750000000001</v>
      </c>
      <c r="CF416" s="253" cm="1">
        <f t="array" ref="CF416">$BC416 * IF($AD416&lt;=2,
SUMPRODUCT(INDEX($AL$72:$AN$76,,$AE416), INDEX($AO$72:$AU$76,,$AD416), 1 / ($AV$72:$AV$76*CE416 + (1-$AV$72:$AV$76)*CA416), N($AK$72:$AK$76&gt;$AI416)),
SUMPRODUCT(INDEX($AL$67:$AN$76,,$AE416), INDEX($AO$67:$AU$76,,$AD416), 1 / ($AW$67:$AW$76*CE416 + (1-$AW$67:$AW$76)*CA416), N($AK$67:$AK$76&gt;$AI416))
) / 1000</f>
        <v>0</v>
      </c>
      <c r="CG416" s="250">
        <f t="shared" si="524"/>
        <v>25</v>
      </c>
      <c r="CH416" s="237">
        <f t="shared" si="509"/>
        <v>38</v>
      </c>
      <c r="CI416" s="253">
        <f t="shared" si="510"/>
        <v>4.0666935483870965</v>
      </c>
      <c r="CJ416" s="253" cm="1">
        <f t="array" ref="CJ416">$BC416 * IF($AD416&lt;=2,
SUMPRODUCT(INDEX($AL$67:$AN$71,,$AE416), INDEX($AO$67:$AU$71,,$AD416), 1 / ($AV$67:$AV$71*CI416 + (1-$AV$67:$AV$71)*CE416), N($AK$67:$AK$71&gt;$AI416)),
SUMPRODUCT(INDEX($AL$57:$AN$66,,$AE416), INDEX($AO$57:$AU$66,,$AD416), 1 / ($AW$57:$AW$66*CI416 + (1-$AW$57:$AW$66)*CE416), N($AK$57:$AK$66&gt;$AI416))
) / 1000</f>
        <v>0</v>
      </c>
      <c r="CK416" s="250">
        <f t="shared" si="525"/>
        <v>20</v>
      </c>
      <c r="CL416" s="237">
        <f t="shared" si="511"/>
        <v>33</v>
      </c>
      <c r="CM416" s="253">
        <f t="shared" si="512"/>
        <v>4.8487499999999999</v>
      </c>
      <c r="CN416" s="253" cm="1">
        <f t="array" ref="CN416">$BC416 * IF($AD416&lt;=2,
SUMPRODUCT(INDEX($AL$62:$AN$66,,$AE416), INDEX($AO$62:$AU$66,,$AD416), 1 / ($AV$62:$AV$66*CM416 + (1-$AV$62:$AV$66)*CI416), N($AK$62:$AK$66&gt;$AI416)),
SUMPRODUCT(INDEX($AL$47:$AN$56,,$AE416), INDEX($AO$47:$AU$56,,$AD416), 1 / ($AW$47:$AW$56*CM416 + (1-$AW$47:$AW$56)*CI416), N($AK$47:$AK$56&gt;$AI416))
) / 1000</f>
        <v>0</v>
      </c>
      <c r="CO416" s="253" cm="1">
        <f t="array" ref="CO416">$BC416 * IF($AD416&lt;=2,
SUMPRODUCT(INDEX($AL$23:$AN$61,,$AE416), INDEX($AO$23:$AU$61,,$AD416), 1 / ($AV$23:$AV$61*CM416), N($AK$23:$AK$61&gt;$AI416)),
SUMPRODUCT(INDEX($AL$23:$AN$46,,$AE416), INDEX($AO$23:$AU$46,,$AD416), 1 / ($AW$23:$AW$46*CM416), N($AK$23:$AK$46&gt;$AI416))
) / 1000</f>
        <v>0</v>
      </c>
      <c r="CP416" s="237">
        <f t="shared" si="513"/>
        <v>0</v>
      </c>
      <c r="CQ416" s="210"/>
    </row>
    <row r="417" spans="1:95" s="76" customFormat="1" ht="14.25" customHeight="1" x14ac:dyDescent="0.2">
      <c r="A417" s="238" t="b">
        <f t="shared" si="517"/>
        <v>0</v>
      </c>
      <c r="B417" s="239">
        <v>395</v>
      </c>
      <c r="C417" s="258"/>
      <c r="D417" s="258"/>
      <c r="E417" s="240"/>
      <c r="F417" s="241" t="str">
        <f>IF(ISBLANK(E417), "", VLOOKUP(E417, Z!$A$2:$C$4127, 3, FALSE))</f>
        <v/>
      </c>
      <c r="G417" s="242"/>
      <c r="H417" s="242"/>
      <c r="I417" s="243"/>
      <c r="J417" s="244"/>
      <c r="K417" s="259"/>
      <c r="L417" s="260"/>
      <c r="M417" s="247" t="str" cm="1">
        <f t="array" ref="M417">IF($K417&gt;0, INDEX(Clean,1+AG417,$C$1), "")</f>
        <v/>
      </c>
      <c r="N417" s="245"/>
      <c r="O417" s="245"/>
      <c r="P417" s="246"/>
      <c r="Q417" s="248">
        <f t="shared" si="490"/>
        <v>0</v>
      </c>
      <c r="R417" s="247" t="str" cm="1">
        <f t="array" ref="R417">IF($K417&gt;0, INDEX(Clean,1+AH417,$C$1), "")</f>
        <v/>
      </c>
      <c r="S417" s="245"/>
      <c r="T417" s="245"/>
      <c r="U417" s="246"/>
      <c r="V417" s="248">
        <f t="shared" si="491"/>
        <v>0</v>
      </c>
      <c r="W417" s="261"/>
      <c r="X417" s="258"/>
      <c r="Y417" s="240"/>
      <c r="Z417" s="241" t="str">
        <f>IF(ISBLANK(Y417), "", VLOOKUP(Y417, Z!$A$2:$C$4127, 3, FALSE))</f>
        <v/>
      </c>
      <c r="AA417" s="262"/>
      <c r="AB417" s="249">
        <f t="shared" si="526"/>
        <v>0</v>
      </c>
      <c r="AC417" s="210"/>
      <c r="AD417" s="236">
        <f t="shared" si="514"/>
        <v>1</v>
      </c>
      <c r="AE417" s="236">
        <f t="shared" si="515"/>
        <v>1</v>
      </c>
      <c r="AF417" s="236">
        <f t="shared" si="516"/>
        <v>0</v>
      </c>
      <c r="AG417" s="236">
        <v>1</v>
      </c>
      <c r="AH417" s="236">
        <v>0</v>
      </c>
      <c r="AI417" s="236">
        <f t="shared" si="492"/>
        <v>-100</v>
      </c>
      <c r="AJ417" s="210"/>
      <c r="AK417" s="254"/>
      <c r="AL417" s="254"/>
      <c r="AM417" s="255"/>
      <c r="AN417" s="255"/>
      <c r="AO417" s="255"/>
      <c r="AP417" s="255"/>
      <c r="AQ417" s="255"/>
      <c r="AR417" s="255"/>
      <c r="AS417" s="255"/>
      <c r="AT417" s="255"/>
      <c r="AU417" s="255"/>
      <c r="AV417" s="255"/>
      <c r="AW417" s="255"/>
      <c r="AX417" s="210"/>
      <c r="AY417" s="236" cm="1">
        <f t="array" ref="AY417">INDEX(Use, $AD417, 4)</f>
        <v>7</v>
      </c>
      <c r="AZ417" s="236">
        <f t="shared" si="493"/>
        <v>32</v>
      </c>
      <c r="BA417" s="236">
        <f t="shared" si="518"/>
        <v>13</v>
      </c>
      <c r="BB417" s="236">
        <f t="shared" si="519"/>
        <v>0</v>
      </c>
      <c r="BC417" s="252" cm="1">
        <f t="array" ref="BC417">K417/IF($L417&gt;0, INDEX($AO$23:$AU$77, $L417+20, $AD417), 1)</f>
        <v>0</v>
      </c>
      <c r="BD417" s="237">
        <f t="shared" si="494"/>
        <v>0</v>
      </c>
      <c r="BE417" s="236">
        <v>35</v>
      </c>
      <c r="BF417" s="237">
        <f t="shared" si="495"/>
        <v>52.55</v>
      </c>
      <c r="BG417" s="253">
        <f t="shared" si="496"/>
        <v>2.7676728869374316</v>
      </c>
      <c r="BH417" s="253" cm="1">
        <f t="array" ref="BH417">$BC417 * SUMPRODUCT(INDEX($AL$77:$AN$82,,$AE417),INDEX($AO$77:$AU$82,,$AD417), N($AK$77:$AK$82&gt;$AI417)) / BG417 / 1000</f>
        <v>0</v>
      </c>
      <c r="BI417" s="250">
        <f t="shared" si="520"/>
        <v>30</v>
      </c>
      <c r="BJ417" s="237">
        <f t="shared" si="497"/>
        <v>46.033333333333331</v>
      </c>
      <c r="BK417" s="253">
        <f t="shared" si="498"/>
        <v>3.2297395388556791</v>
      </c>
      <c r="BL417" s="253" cm="1">
        <f t="array" ref="BL417">$BC417 * IF($AD417&lt;=2,
SUMPRODUCT(INDEX($AL$72:$AN$76,,$AE417), INDEX($AO$72:$AU$76,,$AD417), 1 / ($AV$72:$AV$76*BK417 + (1-$AV$72:$AV$76)*BG417), N($AK$72:$AK$76&gt;$AI417)),
SUMPRODUCT(INDEX($AL$67:$AN$76,,$AE417), INDEX($AO$67:$AU$76,,$AD417), 1 / ($AW$67:$AW$76*BK417 + (1-$AW$67:$AW$76)*BG417), N($AK$67:$AK$76&gt;$AI417))
) / 1000</f>
        <v>0</v>
      </c>
      <c r="BM417" s="250">
        <f t="shared" si="521"/>
        <v>25</v>
      </c>
      <c r="BN417" s="237">
        <f t="shared" si="499"/>
        <v>39.516666666666666</v>
      </c>
      <c r="BO417" s="253">
        <f t="shared" si="500"/>
        <v>3.877011788826243</v>
      </c>
      <c r="BP417" s="253" cm="1">
        <f t="array" ref="BP417">$BC417 * IF($AD417&lt;=2,
SUMPRODUCT(INDEX($AL$67:$AN$71,,$AE417), INDEX($AO$67:$AU$71,,$AD417), 1 / ($AV$67:$AV$71*BO417 + (1-$AV$67:$AV$71)*BK417), N($AK$67:$AK$71&gt;$AI417)),
SUMPRODUCT(INDEX($AL$57:$AN$66,,$AE417), INDEX($AO$57:$AU$66,,$AD417), 1 / ($AW$57:$AW$66*BO417 + (1-$AW$57:$AW$66)*BK417), N($AK$57:$AK$66&gt;$AI417))
) / 1000</f>
        <v>0</v>
      </c>
      <c r="BQ417" s="250">
        <f t="shared" si="522"/>
        <v>20</v>
      </c>
      <c r="BR417" s="237">
        <f t="shared" si="501"/>
        <v>33</v>
      </c>
      <c r="BS417" s="253">
        <f t="shared" si="502"/>
        <v>4.8487499999999999</v>
      </c>
      <c r="BT417" s="253" cm="1">
        <f t="array" ref="BT417">$BC417 * IF($AD417&lt;=2,
SUMPRODUCT(INDEX($AL$62:$AN$66,,$AE417), INDEX($AO$62:$AU$66,,$AD417), 1 / ($AV$62:$AV$66*BS417 + (1-$AV$62:$AV$66)*BO417), N($AK$62:$AK$66&gt;$AI417)),
SUMPRODUCT(INDEX($AL$47:$AN$56,,$AE417), INDEX($AO$47:$AU$56,,$AD417), 1 / ($AW$47:$AW$56*BS417 + (1-$AW$47:$AW$56)*BO417), N($AK$47:$AK$56&gt;$AI417))
) / 1000</f>
        <v>0</v>
      </c>
      <c r="BU417" s="253" cm="1">
        <f t="array" ref="BU417">$BC417 * IF($AD417&lt;=2,
SUMPRODUCT(INDEX($AL$23:$AN$61,,$AE417), INDEX($AO$23:$AU$61,,$AD417), 1 / ($AV$23:$AV$61*BS417), N($AK$23:$AK$61&gt;$AI417)),
SUMPRODUCT(INDEX($AL$23:$AN$46,,$AE417), INDEX($AO$23:$AU$46,,$AD417), 1 / ($AW$23:$AW$46*BS417), N($AK$23:$AK$46&gt;$AI417))
) / 1000</f>
        <v>0</v>
      </c>
      <c r="BV417" s="237">
        <f t="shared" si="503"/>
        <v>0</v>
      </c>
      <c r="BW417" s="210"/>
      <c r="BX417" s="237">
        <f t="shared" si="504"/>
        <v>0</v>
      </c>
      <c r="BY417" s="236">
        <v>35</v>
      </c>
      <c r="BZ417" s="237">
        <f t="shared" si="505"/>
        <v>48</v>
      </c>
      <c r="CA417" s="253">
        <f t="shared" si="506"/>
        <v>3.0748170731707316</v>
      </c>
      <c r="CB417" s="253" cm="1">
        <f t="array" ref="CB417">$BC417 * SUMPRODUCT(INDEX($AL$77:$AN$82,,$AE417),INDEX($AO$77:$AU$82,,$AD417), N($AK$77:$AK$82&gt;$AI417)) / CA417 / 1000</f>
        <v>0</v>
      </c>
      <c r="CC417" s="250">
        <f t="shared" si="523"/>
        <v>30</v>
      </c>
      <c r="CD417" s="237">
        <f t="shared" si="507"/>
        <v>43</v>
      </c>
      <c r="CE417" s="253">
        <f t="shared" si="508"/>
        <v>3.5018750000000001</v>
      </c>
      <c r="CF417" s="253" cm="1">
        <f t="array" ref="CF417">$BC417 * IF($AD417&lt;=2,
SUMPRODUCT(INDEX($AL$72:$AN$76,,$AE417), INDEX($AO$72:$AU$76,,$AD417), 1 / ($AV$72:$AV$76*CE417 + (1-$AV$72:$AV$76)*CA417), N($AK$72:$AK$76&gt;$AI417)),
SUMPRODUCT(INDEX($AL$67:$AN$76,,$AE417), INDEX($AO$67:$AU$76,,$AD417), 1 / ($AW$67:$AW$76*CE417 + (1-$AW$67:$AW$76)*CA417), N($AK$67:$AK$76&gt;$AI417))
) / 1000</f>
        <v>0</v>
      </c>
      <c r="CG417" s="250">
        <f t="shared" si="524"/>
        <v>25</v>
      </c>
      <c r="CH417" s="237">
        <f t="shared" si="509"/>
        <v>38</v>
      </c>
      <c r="CI417" s="253">
        <f t="shared" si="510"/>
        <v>4.0666935483870965</v>
      </c>
      <c r="CJ417" s="253" cm="1">
        <f t="array" ref="CJ417">$BC417 * IF($AD417&lt;=2,
SUMPRODUCT(INDEX($AL$67:$AN$71,,$AE417), INDEX($AO$67:$AU$71,,$AD417), 1 / ($AV$67:$AV$71*CI417 + (1-$AV$67:$AV$71)*CE417), N($AK$67:$AK$71&gt;$AI417)),
SUMPRODUCT(INDEX($AL$57:$AN$66,,$AE417), INDEX($AO$57:$AU$66,,$AD417), 1 / ($AW$57:$AW$66*CI417 + (1-$AW$57:$AW$66)*CE417), N($AK$57:$AK$66&gt;$AI417))
) / 1000</f>
        <v>0</v>
      </c>
      <c r="CK417" s="250">
        <f t="shared" si="525"/>
        <v>20</v>
      </c>
      <c r="CL417" s="237">
        <f t="shared" si="511"/>
        <v>33</v>
      </c>
      <c r="CM417" s="253">
        <f t="shared" si="512"/>
        <v>4.8487499999999999</v>
      </c>
      <c r="CN417" s="253" cm="1">
        <f t="array" ref="CN417">$BC417 * IF($AD417&lt;=2,
SUMPRODUCT(INDEX($AL$62:$AN$66,,$AE417), INDEX($AO$62:$AU$66,,$AD417), 1 / ($AV$62:$AV$66*CM417 + (1-$AV$62:$AV$66)*CI417), N($AK$62:$AK$66&gt;$AI417)),
SUMPRODUCT(INDEX($AL$47:$AN$56,,$AE417), INDEX($AO$47:$AU$56,,$AD417), 1 / ($AW$47:$AW$56*CM417 + (1-$AW$47:$AW$56)*CI417), N($AK$47:$AK$56&gt;$AI417))
) / 1000</f>
        <v>0</v>
      </c>
      <c r="CO417" s="253" cm="1">
        <f t="array" ref="CO417">$BC417 * IF($AD417&lt;=2,
SUMPRODUCT(INDEX($AL$23:$AN$61,,$AE417), INDEX($AO$23:$AU$61,,$AD417), 1 / ($AV$23:$AV$61*CM417), N($AK$23:$AK$61&gt;$AI417)),
SUMPRODUCT(INDEX($AL$23:$AN$46,,$AE417), INDEX($AO$23:$AU$46,,$AD417), 1 / ($AW$23:$AW$46*CM417), N($AK$23:$AK$46&gt;$AI417))
) / 1000</f>
        <v>0</v>
      </c>
      <c r="CP417" s="237">
        <f t="shared" si="513"/>
        <v>0</v>
      </c>
      <c r="CQ417" s="210"/>
    </row>
    <row r="418" spans="1:95" s="76" customFormat="1" ht="14.25" customHeight="1" x14ac:dyDescent="0.2">
      <c r="A418" s="238" t="b">
        <f t="shared" si="517"/>
        <v>0</v>
      </c>
      <c r="B418" s="239">
        <v>396</v>
      </c>
      <c r="C418" s="258"/>
      <c r="D418" s="258"/>
      <c r="E418" s="240"/>
      <c r="F418" s="241" t="str">
        <f>IF(ISBLANK(E418), "", VLOOKUP(E418, Z!$A$2:$C$4127, 3, FALSE))</f>
        <v/>
      </c>
      <c r="G418" s="242"/>
      <c r="H418" s="242"/>
      <c r="I418" s="243"/>
      <c r="J418" s="244"/>
      <c r="K418" s="259"/>
      <c r="L418" s="260"/>
      <c r="M418" s="247" t="str" cm="1">
        <f t="array" ref="M418">IF($K418&gt;0, INDEX(Clean,1+AG418,$C$1), "")</f>
        <v/>
      </c>
      <c r="N418" s="245"/>
      <c r="O418" s="245"/>
      <c r="P418" s="246"/>
      <c r="Q418" s="248">
        <f t="shared" si="490"/>
        <v>0</v>
      </c>
      <c r="R418" s="247" t="str" cm="1">
        <f t="array" ref="R418">IF($K418&gt;0, INDEX(Clean,1+AH418,$C$1), "")</f>
        <v/>
      </c>
      <c r="S418" s="245"/>
      <c r="T418" s="245"/>
      <c r="U418" s="246"/>
      <c r="V418" s="248">
        <f t="shared" si="491"/>
        <v>0</v>
      </c>
      <c r="W418" s="261"/>
      <c r="X418" s="258"/>
      <c r="Y418" s="240"/>
      <c r="Z418" s="241" t="str">
        <f>IF(ISBLANK(Y418), "", VLOOKUP(Y418, Z!$A$2:$C$4127, 3, FALSE))</f>
        <v/>
      </c>
      <c r="AA418" s="262"/>
      <c r="AB418" s="249">
        <f t="shared" si="526"/>
        <v>0</v>
      </c>
      <c r="AC418" s="210"/>
      <c r="AD418" s="236">
        <f t="shared" si="514"/>
        <v>1</v>
      </c>
      <c r="AE418" s="236">
        <f t="shared" si="515"/>
        <v>1</v>
      </c>
      <c r="AF418" s="236">
        <f t="shared" si="516"/>
        <v>0</v>
      </c>
      <c r="AG418" s="236">
        <v>1</v>
      </c>
      <c r="AH418" s="236">
        <v>0</v>
      </c>
      <c r="AI418" s="236">
        <f t="shared" si="492"/>
        <v>-100</v>
      </c>
      <c r="AJ418" s="210"/>
      <c r="AK418" s="254"/>
      <c r="AL418" s="254"/>
      <c r="AM418" s="255"/>
      <c r="AN418" s="255"/>
      <c r="AO418" s="255"/>
      <c r="AP418" s="255"/>
      <c r="AQ418" s="255"/>
      <c r="AR418" s="255"/>
      <c r="AS418" s="255"/>
      <c r="AT418" s="255"/>
      <c r="AU418" s="255"/>
      <c r="AV418" s="255"/>
      <c r="AW418" s="255"/>
      <c r="AX418" s="210"/>
      <c r="AY418" s="236" cm="1">
        <f t="array" ref="AY418">INDEX(Use, $AD418, 4)</f>
        <v>7</v>
      </c>
      <c r="AZ418" s="236">
        <f t="shared" si="493"/>
        <v>32</v>
      </c>
      <c r="BA418" s="236">
        <f t="shared" si="518"/>
        <v>13</v>
      </c>
      <c r="BB418" s="236">
        <f t="shared" si="519"/>
        <v>0</v>
      </c>
      <c r="BC418" s="252" cm="1">
        <f t="array" ref="BC418">K418/IF($L418&gt;0, INDEX($AO$23:$AU$77, $L418+20, $AD418), 1)</f>
        <v>0</v>
      </c>
      <c r="BD418" s="237">
        <f t="shared" si="494"/>
        <v>0</v>
      </c>
      <c r="BE418" s="236">
        <v>35</v>
      </c>
      <c r="BF418" s="237">
        <f t="shared" si="495"/>
        <v>52.55</v>
      </c>
      <c r="BG418" s="253">
        <f t="shared" si="496"/>
        <v>2.7676728869374316</v>
      </c>
      <c r="BH418" s="253" cm="1">
        <f t="array" ref="BH418">$BC418 * SUMPRODUCT(INDEX($AL$77:$AN$82,,$AE418),INDEX($AO$77:$AU$82,,$AD418), N($AK$77:$AK$82&gt;$AI418)) / BG418 / 1000</f>
        <v>0</v>
      </c>
      <c r="BI418" s="250">
        <f t="shared" si="520"/>
        <v>30</v>
      </c>
      <c r="BJ418" s="237">
        <f t="shared" si="497"/>
        <v>46.033333333333331</v>
      </c>
      <c r="BK418" s="253">
        <f t="shared" si="498"/>
        <v>3.2297395388556791</v>
      </c>
      <c r="BL418" s="253" cm="1">
        <f t="array" ref="BL418">$BC418 * IF($AD418&lt;=2,
SUMPRODUCT(INDEX($AL$72:$AN$76,,$AE418), INDEX($AO$72:$AU$76,,$AD418), 1 / ($AV$72:$AV$76*BK418 + (1-$AV$72:$AV$76)*BG418), N($AK$72:$AK$76&gt;$AI418)),
SUMPRODUCT(INDEX($AL$67:$AN$76,,$AE418), INDEX($AO$67:$AU$76,,$AD418), 1 / ($AW$67:$AW$76*BK418 + (1-$AW$67:$AW$76)*BG418), N($AK$67:$AK$76&gt;$AI418))
) / 1000</f>
        <v>0</v>
      </c>
      <c r="BM418" s="250">
        <f t="shared" si="521"/>
        <v>25</v>
      </c>
      <c r="BN418" s="237">
        <f t="shared" si="499"/>
        <v>39.516666666666666</v>
      </c>
      <c r="BO418" s="253">
        <f t="shared" si="500"/>
        <v>3.877011788826243</v>
      </c>
      <c r="BP418" s="253" cm="1">
        <f t="array" ref="BP418">$BC418 * IF($AD418&lt;=2,
SUMPRODUCT(INDEX($AL$67:$AN$71,,$AE418), INDEX($AO$67:$AU$71,,$AD418), 1 / ($AV$67:$AV$71*BO418 + (1-$AV$67:$AV$71)*BK418), N($AK$67:$AK$71&gt;$AI418)),
SUMPRODUCT(INDEX($AL$57:$AN$66,,$AE418), INDEX($AO$57:$AU$66,,$AD418), 1 / ($AW$57:$AW$66*BO418 + (1-$AW$57:$AW$66)*BK418), N($AK$57:$AK$66&gt;$AI418))
) / 1000</f>
        <v>0</v>
      </c>
      <c r="BQ418" s="250">
        <f t="shared" si="522"/>
        <v>20</v>
      </c>
      <c r="BR418" s="237">
        <f t="shared" si="501"/>
        <v>33</v>
      </c>
      <c r="BS418" s="253">
        <f t="shared" si="502"/>
        <v>4.8487499999999999</v>
      </c>
      <c r="BT418" s="253" cm="1">
        <f t="array" ref="BT418">$BC418 * IF($AD418&lt;=2,
SUMPRODUCT(INDEX($AL$62:$AN$66,,$AE418), INDEX($AO$62:$AU$66,,$AD418), 1 / ($AV$62:$AV$66*BS418 + (1-$AV$62:$AV$66)*BO418), N($AK$62:$AK$66&gt;$AI418)),
SUMPRODUCT(INDEX($AL$47:$AN$56,,$AE418), INDEX($AO$47:$AU$56,,$AD418), 1 / ($AW$47:$AW$56*BS418 + (1-$AW$47:$AW$56)*BO418), N($AK$47:$AK$56&gt;$AI418))
) / 1000</f>
        <v>0</v>
      </c>
      <c r="BU418" s="253" cm="1">
        <f t="array" ref="BU418">$BC418 * IF($AD418&lt;=2,
SUMPRODUCT(INDEX($AL$23:$AN$61,,$AE418), INDEX($AO$23:$AU$61,,$AD418), 1 / ($AV$23:$AV$61*BS418), N($AK$23:$AK$61&gt;$AI418)),
SUMPRODUCT(INDEX($AL$23:$AN$46,,$AE418), INDEX($AO$23:$AU$46,,$AD418), 1 / ($AW$23:$AW$46*BS418), N($AK$23:$AK$46&gt;$AI418))
) / 1000</f>
        <v>0</v>
      </c>
      <c r="BV418" s="237">
        <f t="shared" si="503"/>
        <v>0</v>
      </c>
      <c r="BW418" s="210"/>
      <c r="BX418" s="237">
        <f t="shared" si="504"/>
        <v>0</v>
      </c>
      <c r="BY418" s="236">
        <v>35</v>
      </c>
      <c r="BZ418" s="237">
        <f t="shared" si="505"/>
        <v>48</v>
      </c>
      <c r="CA418" s="253">
        <f t="shared" si="506"/>
        <v>3.0748170731707316</v>
      </c>
      <c r="CB418" s="253" cm="1">
        <f t="array" ref="CB418">$BC418 * SUMPRODUCT(INDEX($AL$77:$AN$82,,$AE418),INDEX($AO$77:$AU$82,,$AD418), N($AK$77:$AK$82&gt;$AI418)) / CA418 / 1000</f>
        <v>0</v>
      </c>
      <c r="CC418" s="250">
        <f t="shared" si="523"/>
        <v>30</v>
      </c>
      <c r="CD418" s="237">
        <f t="shared" si="507"/>
        <v>43</v>
      </c>
      <c r="CE418" s="253">
        <f t="shared" si="508"/>
        <v>3.5018750000000001</v>
      </c>
      <c r="CF418" s="253" cm="1">
        <f t="array" ref="CF418">$BC418 * IF($AD418&lt;=2,
SUMPRODUCT(INDEX($AL$72:$AN$76,,$AE418), INDEX($AO$72:$AU$76,,$AD418), 1 / ($AV$72:$AV$76*CE418 + (1-$AV$72:$AV$76)*CA418), N($AK$72:$AK$76&gt;$AI418)),
SUMPRODUCT(INDEX($AL$67:$AN$76,,$AE418), INDEX($AO$67:$AU$76,,$AD418), 1 / ($AW$67:$AW$76*CE418 + (1-$AW$67:$AW$76)*CA418), N($AK$67:$AK$76&gt;$AI418))
) / 1000</f>
        <v>0</v>
      </c>
      <c r="CG418" s="250">
        <f t="shared" si="524"/>
        <v>25</v>
      </c>
      <c r="CH418" s="237">
        <f t="shared" si="509"/>
        <v>38</v>
      </c>
      <c r="CI418" s="253">
        <f t="shared" si="510"/>
        <v>4.0666935483870965</v>
      </c>
      <c r="CJ418" s="253" cm="1">
        <f t="array" ref="CJ418">$BC418 * IF($AD418&lt;=2,
SUMPRODUCT(INDEX($AL$67:$AN$71,,$AE418), INDEX($AO$67:$AU$71,,$AD418), 1 / ($AV$67:$AV$71*CI418 + (1-$AV$67:$AV$71)*CE418), N($AK$67:$AK$71&gt;$AI418)),
SUMPRODUCT(INDEX($AL$57:$AN$66,,$AE418), INDEX($AO$57:$AU$66,,$AD418), 1 / ($AW$57:$AW$66*CI418 + (1-$AW$57:$AW$66)*CE418), N($AK$57:$AK$66&gt;$AI418))
) / 1000</f>
        <v>0</v>
      </c>
      <c r="CK418" s="250">
        <f t="shared" si="525"/>
        <v>20</v>
      </c>
      <c r="CL418" s="237">
        <f t="shared" si="511"/>
        <v>33</v>
      </c>
      <c r="CM418" s="253">
        <f t="shared" si="512"/>
        <v>4.8487499999999999</v>
      </c>
      <c r="CN418" s="253" cm="1">
        <f t="array" ref="CN418">$BC418 * IF($AD418&lt;=2,
SUMPRODUCT(INDEX($AL$62:$AN$66,,$AE418), INDEX($AO$62:$AU$66,,$AD418), 1 / ($AV$62:$AV$66*CM418 + (1-$AV$62:$AV$66)*CI418), N($AK$62:$AK$66&gt;$AI418)),
SUMPRODUCT(INDEX($AL$47:$AN$56,,$AE418), INDEX($AO$47:$AU$56,,$AD418), 1 / ($AW$47:$AW$56*CM418 + (1-$AW$47:$AW$56)*CI418), N($AK$47:$AK$56&gt;$AI418))
) / 1000</f>
        <v>0</v>
      </c>
      <c r="CO418" s="253" cm="1">
        <f t="array" ref="CO418">$BC418 * IF($AD418&lt;=2,
SUMPRODUCT(INDEX($AL$23:$AN$61,,$AE418), INDEX($AO$23:$AU$61,,$AD418), 1 / ($AV$23:$AV$61*CM418), N($AK$23:$AK$61&gt;$AI418)),
SUMPRODUCT(INDEX($AL$23:$AN$46,,$AE418), INDEX($AO$23:$AU$46,,$AD418), 1 / ($AW$23:$AW$46*CM418), N($AK$23:$AK$46&gt;$AI418))
) / 1000</f>
        <v>0</v>
      </c>
      <c r="CP418" s="237">
        <f t="shared" si="513"/>
        <v>0</v>
      </c>
      <c r="CQ418" s="210"/>
    </row>
    <row r="419" spans="1:95" s="76" customFormat="1" ht="14.25" customHeight="1" x14ac:dyDescent="0.2">
      <c r="A419" s="238" t="b">
        <f t="shared" si="517"/>
        <v>0</v>
      </c>
      <c r="B419" s="239">
        <v>397</v>
      </c>
      <c r="C419" s="258"/>
      <c r="D419" s="258"/>
      <c r="E419" s="240"/>
      <c r="F419" s="241" t="str">
        <f>IF(ISBLANK(E419), "", VLOOKUP(E419, Z!$A$2:$C$4127, 3, FALSE))</f>
        <v/>
      </c>
      <c r="G419" s="242"/>
      <c r="H419" s="242"/>
      <c r="I419" s="243"/>
      <c r="J419" s="244"/>
      <c r="K419" s="259"/>
      <c r="L419" s="260"/>
      <c r="M419" s="247" t="str" cm="1">
        <f t="array" ref="M419">IF($K419&gt;0, INDEX(Clean,1+AG419,$C$1), "")</f>
        <v/>
      </c>
      <c r="N419" s="245"/>
      <c r="O419" s="245"/>
      <c r="P419" s="246"/>
      <c r="Q419" s="248">
        <f t="shared" si="490"/>
        <v>0</v>
      </c>
      <c r="R419" s="247" t="str" cm="1">
        <f t="array" ref="R419">IF($K419&gt;0, INDEX(Clean,1+AH419,$C$1), "")</f>
        <v/>
      </c>
      <c r="S419" s="245"/>
      <c r="T419" s="245"/>
      <c r="U419" s="246"/>
      <c r="V419" s="248">
        <f t="shared" si="491"/>
        <v>0</v>
      </c>
      <c r="W419" s="261"/>
      <c r="X419" s="258"/>
      <c r="Y419" s="240"/>
      <c r="Z419" s="241" t="str">
        <f>IF(ISBLANK(Y419), "", VLOOKUP(Y419, Z!$A$2:$C$4127, 3, FALSE))</f>
        <v/>
      </c>
      <c r="AA419" s="262"/>
      <c r="AB419" s="249">
        <f t="shared" si="526"/>
        <v>0</v>
      </c>
      <c r="AC419" s="210"/>
      <c r="AD419" s="236">
        <f t="shared" si="514"/>
        <v>1</v>
      </c>
      <c r="AE419" s="236">
        <f t="shared" si="515"/>
        <v>1</v>
      </c>
      <c r="AF419" s="236">
        <f t="shared" si="516"/>
        <v>0</v>
      </c>
      <c r="AG419" s="236">
        <v>1</v>
      </c>
      <c r="AH419" s="236">
        <v>0</v>
      </c>
      <c r="AI419" s="236">
        <f t="shared" si="492"/>
        <v>-100</v>
      </c>
      <c r="AJ419" s="210"/>
      <c r="AK419" s="254"/>
      <c r="AL419" s="254"/>
      <c r="AM419" s="255"/>
      <c r="AN419" s="255"/>
      <c r="AO419" s="255"/>
      <c r="AP419" s="255"/>
      <c r="AQ419" s="255"/>
      <c r="AR419" s="255"/>
      <c r="AS419" s="255"/>
      <c r="AT419" s="255"/>
      <c r="AU419" s="255"/>
      <c r="AV419" s="255"/>
      <c r="AW419" s="255"/>
      <c r="AX419" s="210"/>
      <c r="AY419" s="236" cm="1">
        <f t="array" ref="AY419">INDEX(Use, $AD419, 4)</f>
        <v>7</v>
      </c>
      <c r="AZ419" s="236">
        <f t="shared" si="493"/>
        <v>32</v>
      </c>
      <c r="BA419" s="236">
        <f t="shared" si="518"/>
        <v>13</v>
      </c>
      <c r="BB419" s="236">
        <f t="shared" si="519"/>
        <v>0</v>
      </c>
      <c r="BC419" s="252" cm="1">
        <f t="array" ref="BC419">K419/IF($L419&gt;0, INDEX($AO$23:$AU$77, $L419+20, $AD419), 1)</f>
        <v>0</v>
      </c>
      <c r="BD419" s="237">
        <f t="shared" si="494"/>
        <v>0</v>
      </c>
      <c r="BE419" s="236">
        <v>35</v>
      </c>
      <c r="BF419" s="237">
        <f t="shared" si="495"/>
        <v>52.55</v>
      </c>
      <c r="BG419" s="253">
        <f t="shared" si="496"/>
        <v>2.7676728869374316</v>
      </c>
      <c r="BH419" s="253" cm="1">
        <f t="array" ref="BH419">$BC419 * SUMPRODUCT(INDEX($AL$77:$AN$82,,$AE419),INDEX($AO$77:$AU$82,,$AD419), N($AK$77:$AK$82&gt;$AI419)) / BG419 / 1000</f>
        <v>0</v>
      </c>
      <c r="BI419" s="250">
        <f t="shared" si="520"/>
        <v>30</v>
      </c>
      <c r="BJ419" s="237">
        <f t="shared" si="497"/>
        <v>46.033333333333331</v>
      </c>
      <c r="BK419" s="253">
        <f t="shared" si="498"/>
        <v>3.2297395388556791</v>
      </c>
      <c r="BL419" s="253" cm="1">
        <f t="array" ref="BL419">$BC419 * IF($AD419&lt;=2,
SUMPRODUCT(INDEX($AL$72:$AN$76,,$AE419), INDEX($AO$72:$AU$76,,$AD419), 1 / ($AV$72:$AV$76*BK419 + (1-$AV$72:$AV$76)*BG419), N($AK$72:$AK$76&gt;$AI419)),
SUMPRODUCT(INDEX($AL$67:$AN$76,,$AE419), INDEX($AO$67:$AU$76,,$AD419), 1 / ($AW$67:$AW$76*BK419 + (1-$AW$67:$AW$76)*BG419), N($AK$67:$AK$76&gt;$AI419))
) / 1000</f>
        <v>0</v>
      </c>
      <c r="BM419" s="250">
        <f t="shared" si="521"/>
        <v>25</v>
      </c>
      <c r="BN419" s="237">
        <f t="shared" si="499"/>
        <v>39.516666666666666</v>
      </c>
      <c r="BO419" s="253">
        <f t="shared" si="500"/>
        <v>3.877011788826243</v>
      </c>
      <c r="BP419" s="253" cm="1">
        <f t="array" ref="BP419">$BC419 * IF($AD419&lt;=2,
SUMPRODUCT(INDEX($AL$67:$AN$71,,$AE419), INDEX($AO$67:$AU$71,,$AD419), 1 / ($AV$67:$AV$71*BO419 + (1-$AV$67:$AV$71)*BK419), N($AK$67:$AK$71&gt;$AI419)),
SUMPRODUCT(INDEX($AL$57:$AN$66,,$AE419), INDEX($AO$57:$AU$66,,$AD419), 1 / ($AW$57:$AW$66*BO419 + (1-$AW$57:$AW$66)*BK419), N($AK$57:$AK$66&gt;$AI419))
) / 1000</f>
        <v>0</v>
      </c>
      <c r="BQ419" s="250">
        <f t="shared" si="522"/>
        <v>20</v>
      </c>
      <c r="BR419" s="237">
        <f t="shared" si="501"/>
        <v>33</v>
      </c>
      <c r="BS419" s="253">
        <f t="shared" si="502"/>
        <v>4.8487499999999999</v>
      </c>
      <c r="BT419" s="253" cm="1">
        <f t="array" ref="BT419">$BC419 * IF($AD419&lt;=2,
SUMPRODUCT(INDEX($AL$62:$AN$66,,$AE419), INDEX($AO$62:$AU$66,,$AD419), 1 / ($AV$62:$AV$66*BS419 + (1-$AV$62:$AV$66)*BO419), N($AK$62:$AK$66&gt;$AI419)),
SUMPRODUCT(INDEX($AL$47:$AN$56,,$AE419), INDEX($AO$47:$AU$56,,$AD419), 1 / ($AW$47:$AW$56*BS419 + (1-$AW$47:$AW$56)*BO419), N($AK$47:$AK$56&gt;$AI419))
) / 1000</f>
        <v>0</v>
      </c>
      <c r="BU419" s="253" cm="1">
        <f t="array" ref="BU419">$BC419 * IF($AD419&lt;=2,
SUMPRODUCT(INDEX($AL$23:$AN$61,,$AE419), INDEX($AO$23:$AU$61,,$AD419), 1 / ($AV$23:$AV$61*BS419), N($AK$23:$AK$61&gt;$AI419)),
SUMPRODUCT(INDEX($AL$23:$AN$46,,$AE419), INDEX($AO$23:$AU$46,,$AD419), 1 / ($AW$23:$AW$46*BS419), N($AK$23:$AK$46&gt;$AI419))
) / 1000</f>
        <v>0</v>
      </c>
      <c r="BV419" s="237">
        <f t="shared" si="503"/>
        <v>0</v>
      </c>
      <c r="BW419" s="210"/>
      <c r="BX419" s="237">
        <f t="shared" si="504"/>
        <v>0</v>
      </c>
      <c r="BY419" s="236">
        <v>35</v>
      </c>
      <c r="BZ419" s="237">
        <f t="shared" si="505"/>
        <v>48</v>
      </c>
      <c r="CA419" s="253">
        <f t="shared" si="506"/>
        <v>3.0748170731707316</v>
      </c>
      <c r="CB419" s="253" cm="1">
        <f t="array" ref="CB419">$BC419 * SUMPRODUCT(INDEX($AL$77:$AN$82,,$AE419),INDEX($AO$77:$AU$82,,$AD419), N($AK$77:$AK$82&gt;$AI419)) / CA419 / 1000</f>
        <v>0</v>
      </c>
      <c r="CC419" s="250">
        <f t="shared" si="523"/>
        <v>30</v>
      </c>
      <c r="CD419" s="237">
        <f t="shared" si="507"/>
        <v>43</v>
      </c>
      <c r="CE419" s="253">
        <f t="shared" si="508"/>
        <v>3.5018750000000001</v>
      </c>
      <c r="CF419" s="253" cm="1">
        <f t="array" ref="CF419">$BC419 * IF($AD419&lt;=2,
SUMPRODUCT(INDEX($AL$72:$AN$76,,$AE419), INDEX($AO$72:$AU$76,,$AD419), 1 / ($AV$72:$AV$76*CE419 + (1-$AV$72:$AV$76)*CA419), N($AK$72:$AK$76&gt;$AI419)),
SUMPRODUCT(INDEX($AL$67:$AN$76,,$AE419), INDEX($AO$67:$AU$76,,$AD419), 1 / ($AW$67:$AW$76*CE419 + (1-$AW$67:$AW$76)*CA419), N($AK$67:$AK$76&gt;$AI419))
) / 1000</f>
        <v>0</v>
      </c>
      <c r="CG419" s="250">
        <f t="shared" si="524"/>
        <v>25</v>
      </c>
      <c r="CH419" s="237">
        <f t="shared" si="509"/>
        <v>38</v>
      </c>
      <c r="CI419" s="253">
        <f t="shared" si="510"/>
        <v>4.0666935483870965</v>
      </c>
      <c r="CJ419" s="253" cm="1">
        <f t="array" ref="CJ419">$BC419 * IF($AD419&lt;=2,
SUMPRODUCT(INDEX($AL$67:$AN$71,,$AE419), INDEX($AO$67:$AU$71,,$AD419), 1 / ($AV$67:$AV$71*CI419 + (1-$AV$67:$AV$71)*CE419), N($AK$67:$AK$71&gt;$AI419)),
SUMPRODUCT(INDEX($AL$57:$AN$66,,$AE419), INDEX($AO$57:$AU$66,,$AD419), 1 / ($AW$57:$AW$66*CI419 + (1-$AW$57:$AW$66)*CE419), N($AK$57:$AK$66&gt;$AI419))
) / 1000</f>
        <v>0</v>
      </c>
      <c r="CK419" s="250">
        <f t="shared" si="525"/>
        <v>20</v>
      </c>
      <c r="CL419" s="237">
        <f t="shared" si="511"/>
        <v>33</v>
      </c>
      <c r="CM419" s="253">
        <f t="shared" si="512"/>
        <v>4.8487499999999999</v>
      </c>
      <c r="CN419" s="253" cm="1">
        <f t="array" ref="CN419">$BC419 * IF($AD419&lt;=2,
SUMPRODUCT(INDEX($AL$62:$AN$66,,$AE419), INDEX($AO$62:$AU$66,,$AD419), 1 / ($AV$62:$AV$66*CM419 + (1-$AV$62:$AV$66)*CI419), N($AK$62:$AK$66&gt;$AI419)),
SUMPRODUCT(INDEX($AL$47:$AN$56,,$AE419), INDEX($AO$47:$AU$56,,$AD419), 1 / ($AW$47:$AW$56*CM419 + (1-$AW$47:$AW$56)*CI419), N($AK$47:$AK$56&gt;$AI419))
) / 1000</f>
        <v>0</v>
      </c>
      <c r="CO419" s="253" cm="1">
        <f t="array" ref="CO419">$BC419 * IF($AD419&lt;=2,
SUMPRODUCT(INDEX($AL$23:$AN$61,,$AE419), INDEX($AO$23:$AU$61,,$AD419), 1 / ($AV$23:$AV$61*CM419), N($AK$23:$AK$61&gt;$AI419)),
SUMPRODUCT(INDEX($AL$23:$AN$46,,$AE419), INDEX($AO$23:$AU$46,,$AD419), 1 / ($AW$23:$AW$46*CM419), N($AK$23:$AK$46&gt;$AI419))
) / 1000</f>
        <v>0</v>
      </c>
      <c r="CP419" s="237">
        <f t="shared" si="513"/>
        <v>0</v>
      </c>
      <c r="CQ419" s="210"/>
    </row>
    <row r="420" spans="1:95" s="76" customFormat="1" ht="14.25" customHeight="1" x14ac:dyDescent="0.2">
      <c r="A420" s="238" t="b">
        <f t="shared" si="517"/>
        <v>0</v>
      </c>
      <c r="B420" s="239">
        <v>398</v>
      </c>
      <c r="C420" s="258"/>
      <c r="D420" s="258"/>
      <c r="E420" s="240"/>
      <c r="F420" s="241" t="str">
        <f>IF(ISBLANK(E420), "", VLOOKUP(E420, Z!$A$2:$C$4127, 3, FALSE))</f>
        <v/>
      </c>
      <c r="G420" s="242"/>
      <c r="H420" s="242"/>
      <c r="I420" s="243"/>
      <c r="J420" s="244"/>
      <c r="K420" s="259"/>
      <c r="L420" s="260"/>
      <c r="M420" s="247" t="str" cm="1">
        <f t="array" ref="M420">IF($K420&gt;0, INDEX(Clean,1+AG420,$C$1), "")</f>
        <v/>
      </c>
      <c r="N420" s="245"/>
      <c r="O420" s="245"/>
      <c r="P420" s="246"/>
      <c r="Q420" s="248">
        <f t="shared" si="490"/>
        <v>0</v>
      </c>
      <c r="R420" s="247" t="str" cm="1">
        <f t="array" ref="R420">IF($K420&gt;0, INDEX(Clean,1+AH420,$C$1), "")</f>
        <v/>
      </c>
      <c r="S420" s="245"/>
      <c r="T420" s="245"/>
      <c r="U420" s="246"/>
      <c r="V420" s="248">
        <f t="shared" si="491"/>
        <v>0</v>
      </c>
      <c r="W420" s="261"/>
      <c r="X420" s="258"/>
      <c r="Y420" s="240"/>
      <c r="Z420" s="241" t="str">
        <f>IF(ISBLANK(Y420), "", VLOOKUP(Y420, Z!$A$2:$C$4127, 3, FALSE))</f>
        <v/>
      </c>
      <c r="AA420" s="262"/>
      <c r="AB420" s="249">
        <f t="shared" si="526"/>
        <v>0</v>
      </c>
      <c r="AC420" s="210"/>
      <c r="AD420" s="236">
        <f t="shared" si="514"/>
        <v>1</v>
      </c>
      <c r="AE420" s="236">
        <f t="shared" si="515"/>
        <v>1</v>
      </c>
      <c r="AF420" s="236">
        <f t="shared" si="516"/>
        <v>0</v>
      </c>
      <c r="AG420" s="236">
        <v>1</v>
      </c>
      <c r="AH420" s="236">
        <v>0</v>
      </c>
      <c r="AI420" s="236">
        <f t="shared" si="492"/>
        <v>-100</v>
      </c>
      <c r="AJ420" s="210"/>
      <c r="AK420" s="254"/>
      <c r="AL420" s="254"/>
      <c r="AM420" s="255"/>
      <c r="AN420" s="255"/>
      <c r="AO420" s="255"/>
      <c r="AP420" s="255"/>
      <c r="AQ420" s="255"/>
      <c r="AR420" s="255"/>
      <c r="AS420" s="255"/>
      <c r="AT420" s="255"/>
      <c r="AU420" s="255"/>
      <c r="AV420" s="255"/>
      <c r="AW420" s="255"/>
      <c r="AX420" s="210"/>
      <c r="AY420" s="236" cm="1">
        <f t="array" ref="AY420">INDEX(Use, $AD420, 4)</f>
        <v>7</v>
      </c>
      <c r="AZ420" s="236">
        <f t="shared" si="493"/>
        <v>32</v>
      </c>
      <c r="BA420" s="236">
        <f t="shared" si="518"/>
        <v>13</v>
      </c>
      <c r="BB420" s="236">
        <f t="shared" si="519"/>
        <v>0</v>
      </c>
      <c r="BC420" s="252" cm="1">
        <f t="array" ref="BC420">K420/IF($L420&gt;0, INDEX($AO$23:$AU$77, $L420+20, $AD420), 1)</f>
        <v>0</v>
      </c>
      <c r="BD420" s="237">
        <f t="shared" si="494"/>
        <v>0</v>
      </c>
      <c r="BE420" s="236">
        <v>35</v>
      </c>
      <c r="BF420" s="237">
        <f t="shared" si="495"/>
        <v>52.55</v>
      </c>
      <c r="BG420" s="253">
        <f t="shared" si="496"/>
        <v>2.7676728869374316</v>
      </c>
      <c r="BH420" s="253" cm="1">
        <f t="array" ref="BH420">$BC420 * SUMPRODUCT(INDEX($AL$77:$AN$82,,$AE420),INDEX($AO$77:$AU$82,,$AD420), N($AK$77:$AK$82&gt;$AI420)) / BG420 / 1000</f>
        <v>0</v>
      </c>
      <c r="BI420" s="250">
        <f t="shared" si="520"/>
        <v>30</v>
      </c>
      <c r="BJ420" s="237">
        <f t="shared" si="497"/>
        <v>46.033333333333331</v>
      </c>
      <c r="BK420" s="253">
        <f t="shared" si="498"/>
        <v>3.2297395388556791</v>
      </c>
      <c r="BL420" s="253" cm="1">
        <f t="array" ref="BL420">$BC420 * IF($AD420&lt;=2,
SUMPRODUCT(INDEX($AL$72:$AN$76,,$AE420), INDEX($AO$72:$AU$76,,$AD420), 1 / ($AV$72:$AV$76*BK420 + (1-$AV$72:$AV$76)*BG420), N($AK$72:$AK$76&gt;$AI420)),
SUMPRODUCT(INDEX($AL$67:$AN$76,,$AE420), INDEX($AO$67:$AU$76,,$AD420), 1 / ($AW$67:$AW$76*BK420 + (1-$AW$67:$AW$76)*BG420), N($AK$67:$AK$76&gt;$AI420))
) / 1000</f>
        <v>0</v>
      </c>
      <c r="BM420" s="250">
        <f t="shared" si="521"/>
        <v>25</v>
      </c>
      <c r="BN420" s="237">
        <f t="shared" si="499"/>
        <v>39.516666666666666</v>
      </c>
      <c r="BO420" s="253">
        <f t="shared" si="500"/>
        <v>3.877011788826243</v>
      </c>
      <c r="BP420" s="253" cm="1">
        <f t="array" ref="BP420">$BC420 * IF($AD420&lt;=2,
SUMPRODUCT(INDEX($AL$67:$AN$71,,$AE420), INDEX($AO$67:$AU$71,,$AD420), 1 / ($AV$67:$AV$71*BO420 + (1-$AV$67:$AV$71)*BK420), N($AK$67:$AK$71&gt;$AI420)),
SUMPRODUCT(INDEX($AL$57:$AN$66,,$AE420), INDEX($AO$57:$AU$66,,$AD420), 1 / ($AW$57:$AW$66*BO420 + (1-$AW$57:$AW$66)*BK420), N($AK$57:$AK$66&gt;$AI420))
) / 1000</f>
        <v>0</v>
      </c>
      <c r="BQ420" s="250">
        <f t="shared" si="522"/>
        <v>20</v>
      </c>
      <c r="BR420" s="237">
        <f t="shared" si="501"/>
        <v>33</v>
      </c>
      <c r="BS420" s="253">
        <f t="shared" si="502"/>
        <v>4.8487499999999999</v>
      </c>
      <c r="BT420" s="253" cm="1">
        <f t="array" ref="BT420">$BC420 * IF($AD420&lt;=2,
SUMPRODUCT(INDEX($AL$62:$AN$66,,$AE420), INDEX($AO$62:$AU$66,,$AD420), 1 / ($AV$62:$AV$66*BS420 + (1-$AV$62:$AV$66)*BO420), N($AK$62:$AK$66&gt;$AI420)),
SUMPRODUCT(INDEX($AL$47:$AN$56,,$AE420), INDEX($AO$47:$AU$56,,$AD420), 1 / ($AW$47:$AW$56*BS420 + (1-$AW$47:$AW$56)*BO420), N($AK$47:$AK$56&gt;$AI420))
) / 1000</f>
        <v>0</v>
      </c>
      <c r="BU420" s="253" cm="1">
        <f t="array" ref="BU420">$BC420 * IF($AD420&lt;=2,
SUMPRODUCT(INDEX($AL$23:$AN$61,,$AE420), INDEX($AO$23:$AU$61,,$AD420), 1 / ($AV$23:$AV$61*BS420), N($AK$23:$AK$61&gt;$AI420)),
SUMPRODUCT(INDEX($AL$23:$AN$46,,$AE420), INDEX($AO$23:$AU$46,,$AD420), 1 / ($AW$23:$AW$46*BS420), N($AK$23:$AK$46&gt;$AI420))
) / 1000</f>
        <v>0</v>
      </c>
      <c r="BV420" s="237">
        <f t="shared" si="503"/>
        <v>0</v>
      </c>
      <c r="BW420" s="210"/>
      <c r="BX420" s="237">
        <f t="shared" si="504"/>
        <v>0</v>
      </c>
      <c r="BY420" s="236">
        <v>35</v>
      </c>
      <c r="BZ420" s="237">
        <f t="shared" si="505"/>
        <v>48</v>
      </c>
      <c r="CA420" s="253">
        <f t="shared" si="506"/>
        <v>3.0748170731707316</v>
      </c>
      <c r="CB420" s="253" cm="1">
        <f t="array" ref="CB420">$BC420 * SUMPRODUCT(INDEX($AL$77:$AN$82,,$AE420),INDEX($AO$77:$AU$82,,$AD420), N($AK$77:$AK$82&gt;$AI420)) / CA420 / 1000</f>
        <v>0</v>
      </c>
      <c r="CC420" s="250">
        <f t="shared" si="523"/>
        <v>30</v>
      </c>
      <c r="CD420" s="237">
        <f t="shared" si="507"/>
        <v>43</v>
      </c>
      <c r="CE420" s="253">
        <f t="shared" si="508"/>
        <v>3.5018750000000001</v>
      </c>
      <c r="CF420" s="253" cm="1">
        <f t="array" ref="CF420">$BC420 * IF($AD420&lt;=2,
SUMPRODUCT(INDEX($AL$72:$AN$76,,$AE420), INDEX($AO$72:$AU$76,,$AD420), 1 / ($AV$72:$AV$76*CE420 + (1-$AV$72:$AV$76)*CA420), N($AK$72:$AK$76&gt;$AI420)),
SUMPRODUCT(INDEX($AL$67:$AN$76,,$AE420), INDEX($AO$67:$AU$76,,$AD420), 1 / ($AW$67:$AW$76*CE420 + (1-$AW$67:$AW$76)*CA420), N($AK$67:$AK$76&gt;$AI420))
) / 1000</f>
        <v>0</v>
      </c>
      <c r="CG420" s="250">
        <f t="shared" si="524"/>
        <v>25</v>
      </c>
      <c r="CH420" s="237">
        <f t="shared" si="509"/>
        <v>38</v>
      </c>
      <c r="CI420" s="253">
        <f t="shared" si="510"/>
        <v>4.0666935483870965</v>
      </c>
      <c r="CJ420" s="253" cm="1">
        <f t="array" ref="CJ420">$BC420 * IF($AD420&lt;=2,
SUMPRODUCT(INDEX($AL$67:$AN$71,,$AE420), INDEX($AO$67:$AU$71,,$AD420), 1 / ($AV$67:$AV$71*CI420 + (1-$AV$67:$AV$71)*CE420), N($AK$67:$AK$71&gt;$AI420)),
SUMPRODUCT(INDEX($AL$57:$AN$66,,$AE420), INDEX($AO$57:$AU$66,,$AD420), 1 / ($AW$57:$AW$66*CI420 + (1-$AW$57:$AW$66)*CE420), N($AK$57:$AK$66&gt;$AI420))
) / 1000</f>
        <v>0</v>
      </c>
      <c r="CK420" s="250">
        <f t="shared" si="525"/>
        <v>20</v>
      </c>
      <c r="CL420" s="237">
        <f t="shared" si="511"/>
        <v>33</v>
      </c>
      <c r="CM420" s="253">
        <f t="shared" si="512"/>
        <v>4.8487499999999999</v>
      </c>
      <c r="CN420" s="253" cm="1">
        <f t="array" ref="CN420">$BC420 * IF($AD420&lt;=2,
SUMPRODUCT(INDEX($AL$62:$AN$66,,$AE420), INDEX($AO$62:$AU$66,,$AD420), 1 / ($AV$62:$AV$66*CM420 + (1-$AV$62:$AV$66)*CI420), N($AK$62:$AK$66&gt;$AI420)),
SUMPRODUCT(INDEX($AL$47:$AN$56,,$AE420), INDEX($AO$47:$AU$56,,$AD420), 1 / ($AW$47:$AW$56*CM420 + (1-$AW$47:$AW$56)*CI420), N($AK$47:$AK$56&gt;$AI420))
) / 1000</f>
        <v>0</v>
      </c>
      <c r="CO420" s="253" cm="1">
        <f t="array" ref="CO420">$BC420 * IF($AD420&lt;=2,
SUMPRODUCT(INDEX($AL$23:$AN$61,,$AE420), INDEX($AO$23:$AU$61,,$AD420), 1 / ($AV$23:$AV$61*CM420), N($AK$23:$AK$61&gt;$AI420)),
SUMPRODUCT(INDEX($AL$23:$AN$46,,$AE420), INDEX($AO$23:$AU$46,,$AD420), 1 / ($AW$23:$AW$46*CM420), N($AK$23:$AK$46&gt;$AI420))
) / 1000</f>
        <v>0</v>
      </c>
      <c r="CP420" s="237">
        <f t="shared" si="513"/>
        <v>0</v>
      </c>
      <c r="CQ420" s="210"/>
    </row>
    <row r="421" spans="1:95" s="76" customFormat="1" ht="14.25" customHeight="1" x14ac:dyDescent="0.2">
      <c r="A421" s="238" t="b">
        <f t="shared" si="517"/>
        <v>0</v>
      </c>
      <c r="B421" s="239">
        <v>399</v>
      </c>
      <c r="C421" s="258"/>
      <c r="D421" s="258"/>
      <c r="E421" s="240"/>
      <c r="F421" s="241" t="str">
        <f>IF(ISBLANK(E421), "", VLOOKUP(E421, Z!$A$2:$C$4127, 3, FALSE))</f>
        <v/>
      </c>
      <c r="G421" s="242"/>
      <c r="H421" s="242"/>
      <c r="I421" s="243"/>
      <c r="J421" s="244"/>
      <c r="K421" s="259"/>
      <c r="L421" s="260"/>
      <c r="M421" s="247" t="str" cm="1">
        <f t="array" ref="M421">IF($K421&gt;0, INDEX(Clean,1+AG421,$C$1), "")</f>
        <v/>
      </c>
      <c r="N421" s="245"/>
      <c r="O421" s="245"/>
      <c r="P421" s="246"/>
      <c r="Q421" s="248">
        <f t="shared" si="490"/>
        <v>0</v>
      </c>
      <c r="R421" s="247" t="str" cm="1">
        <f t="array" ref="R421">IF($K421&gt;0, INDEX(Clean,1+AH421,$C$1), "")</f>
        <v/>
      </c>
      <c r="S421" s="245"/>
      <c r="T421" s="245"/>
      <c r="U421" s="246"/>
      <c r="V421" s="248">
        <f t="shared" si="491"/>
        <v>0</v>
      </c>
      <c r="W421" s="261"/>
      <c r="X421" s="258"/>
      <c r="Y421" s="240"/>
      <c r="Z421" s="241" t="str">
        <f>IF(ISBLANK(Y421), "", VLOOKUP(Y421, Z!$A$2:$C$4127, 3, FALSE))</f>
        <v/>
      </c>
      <c r="AA421" s="262"/>
      <c r="AB421" s="249">
        <f t="shared" si="526"/>
        <v>0</v>
      </c>
      <c r="AC421" s="210"/>
      <c r="AD421" s="236">
        <f t="shared" si="514"/>
        <v>1</v>
      </c>
      <c r="AE421" s="236">
        <f t="shared" si="515"/>
        <v>1</v>
      </c>
      <c r="AF421" s="236">
        <f t="shared" si="516"/>
        <v>0</v>
      </c>
      <c r="AG421" s="236">
        <v>1</v>
      </c>
      <c r="AH421" s="236">
        <v>0</v>
      </c>
      <c r="AI421" s="236">
        <f t="shared" si="492"/>
        <v>-100</v>
      </c>
      <c r="AJ421" s="210"/>
      <c r="AK421" s="254"/>
      <c r="AL421" s="254"/>
      <c r="AM421" s="255"/>
      <c r="AN421" s="255"/>
      <c r="AO421" s="255"/>
      <c r="AP421" s="255"/>
      <c r="AQ421" s="255"/>
      <c r="AR421" s="255"/>
      <c r="AS421" s="255"/>
      <c r="AT421" s="255"/>
      <c r="AU421" s="255"/>
      <c r="AV421" s="255"/>
      <c r="AW421" s="255"/>
      <c r="AX421" s="210"/>
      <c r="AY421" s="236" cm="1">
        <f t="array" ref="AY421">INDEX(Use, $AD421, 4)</f>
        <v>7</v>
      </c>
      <c r="AZ421" s="236">
        <f t="shared" si="493"/>
        <v>32</v>
      </c>
      <c r="BA421" s="236">
        <f t="shared" si="518"/>
        <v>13</v>
      </c>
      <c r="BB421" s="236">
        <f t="shared" si="519"/>
        <v>0</v>
      </c>
      <c r="BC421" s="252" cm="1">
        <f t="array" ref="BC421">K421/IF($L421&gt;0, INDEX($AO$23:$AU$77, $L421+20, $AD421), 1)</f>
        <v>0</v>
      </c>
      <c r="BD421" s="237">
        <f t="shared" si="494"/>
        <v>0</v>
      </c>
      <c r="BE421" s="236">
        <v>35</v>
      </c>
      <c r="BF421" s="237">
        <f t="shared" si="495"/>
        <v>52.55</v>
      </c>
      <c r="BG421" s="253">
        <f t="shared" si="496"/>
        <v>2.7676728869374316</v>
      </c>
      <c r="BH421" s="253" cm="1">
        <f t="array" ref="BH421">$BC421 * SUMPRODUCT(INDEX($AL$77:$AN$82,,$AE421),INDEX($AO$77:$AU$82,,$AD421), N($AK$77:$AK$82&gt;$AI421)) / BG421 / 1000</f>
        <v>0</v>
      </c>
      <c r="BI421" s="250">
        <f t="shared" si="520"/>
        <v>30</v>
      </c>
      <c r="BJ421" s="237">
        <f t="shared" si="497"/>
        <v>46.033333333333331</v>
      </c>
      <c r="BK421" s="253">
        <f t="shared" si="498"/>
        <v>3.2297395388556791</v>
      </c>
      <c r="BL421" s="253" cm="1">
        <f t="array" ref="BL421">$BC421 * IF($AD421&lt;=2,
SUMPRODUCT(INDEX($AL$72:$AN$76,,$AE421), INDEX($AO$72:$AU$76,,$AD421), 1 / ($AV$72:$AV$76*BK421 + (1-$AV$72:$AV$76)*BG421), N($AK$72:$AK$76&gt;$AI421)),
SUMPRODUCT(INDEX($AL$67:$AN$76,,$AE421), INDEX($AO$67:$AU$76,,$AD421), 1 / ($AW$67:$AW$76*BK421 + (1-$AW$67:$AW$76)*BG421), N($AK$67:$AK$76&gt;$AI421))
) / 1000</f>
        <v>0</v>
      </c>
      <c r="BM421" s="250">
        <f t="shared" si="521"/>
        <v>25</v>
      </c>
      <c r="BN421" s="237">
        <f t="shared" si="499"/>
        <v>39.516666666666666</v>
      </c>
      <c r="BO421" s="253">
        <f t="shared" si="500"/>
        <v>3.877011788826243</v>
      </c>
      <c r="BP421" s="253" cm="1">
        <f t="array" ref="BP421">$BC421 * IF($AD421&lt;=2,
SUMPRODUCT(INDEX($AL$67:$AN$71,,$AE421), INDEX($AO$67:$AU$71,,$AD421), 1 / ($AV$67:$AV$71*BO421 + (1-$AV$67:$AV$71)*BK421), N($AK$67:$AK$71&gt;$AI421)),
SUMPRODUCT(INDEX($AL$57:$AN$66,,$AE421), INDEX($AO$57:$AU$66,,$AD421), 1 / ($AW$57:$AW$66*BO421 + (1-$AW$57:$AW$66)*BK421), N($AK$57:$AK$66&gt;$AI421))
) / 1000</f>
        <v>0</v>
      </c>
      <c r="BQ421" s="250">
        <f t="shared" si="522"/>
        <v>20</v>
      </c>
      <c r="BR421" s="237">
        <f t="shared" si="501"/>
        <v>33</v>
      </c>
      <c r="BS421" s="253">
        <f t="shared" si="502"/>
        <v>4.8487499999999999</v>
      </c>
      <c r="BT421" s="253" cm="1">
        <f t="array" ref="BT421">$BC421 * IF($AD421&lt;=2,
SUMPRODUCT(INDEX($AL$62:$AN$66,,$AE421), INDEX($AO$62:$AU$66,,$AD421), 1 / ($AV$62:$AV$66*BS421 + (1-$AV$62:$AV$66)*BO421), N($AK$62:$AK$66&gt;$AI421)),
SUMPRODUCT(INDEX($AL$47:$AN$56,,$AE421), INDEX($AO$47:$AU$56,,$AD421), 1 / ($AW$47:$AW$56*BS421 + (1-$AW$47:$AW$56)*BO421), N($AK$47:$AK$56&gt;$AI421))
) / 1000</f>
        <v>0</v>
      </c>
      <c r="BU421" s="253" cm="1">
        <f t="array" ref="BU421">$BC421 * IF($AD421&lt;=2,
SUMPRODUCT(INDEX($AL$23:$AN$61,,$AE421), INDEX($AO$23:$AU$61,,$AD421), 1 / ($AV$23:$AV$61*BS421), N($AK$23:$AK$61&gt;$AI421)),
SUMPRODUCT(INDEX($AL$23:$AN$46,,$AE421), INDEX($AO$23:$AU$46,,$AD421), 1 / ($AW$23:$AW$46*BS421), N($AK$23:$AK$46&gt;$AI421))
) / 1000</f>
        <v>0</v>
      </c>
      <c r="BV421" s="237">
        <f t="shared" si="503"/>
        <v>0</v>
      </c>
      <c r="BW421" s="210"/>
      <c r="BX421" s="237">
        <f t="shared" si="504"/>
        <v>0</v>
      </c>
      <c r="BY421" s="236">
        <v>35</v>
      </c>
      <c r="BZ421" s="237">
        <f t="shared" si="505"/>
        <v>48</v>
      </c>
      <c r="CA421" s="253">
        <f t="shared" si="506"/>
        <v>3.0748170731707316</v>
      </c>
      <c r="CB421" s="253" cm="1">
        <f t="array" ref="CB421">$BC421 * SUMPRODUCT(INDEX($AL$77:$AN$82,,$AE421),INDEX($AO$77:$AU$82,,$AD421), N($AK$77:$AK$82&gt;$AI421)) / CA421 / 1000</f>
        <v>0</v>
      </c>
      <c r="CC421" s="250">
        <f t="shared" si="523"/>
        <v>30</v>
      </c>
      <c r="CD421" s="237">
        <f t="shared" si="507"/>
        <v>43</v>
      </c>
      <c r="CE421" s="253">
        <f t="shared" si="508"/>
        <v>3.5018750000000001</v>
      </c>
      <c r="CF421" s="253" cm="1">
        <f t="array" ref="CF421">$BC421 * IF($AD421&lt;=2,
SUMPRODUCT(INDEX($AL$72:$AN$76,,$AE421), INDEX($AO$72:$AU$76,,$AD421), 1 / ($AV$72:$AV$76*CE421 + (1-$AV$72:$AV$76)*CA421), N($AK$72:$AK$76&gt;$AI421)),
SUMPRODUCT(INDEX($AL$67:$AN$76,,$AE421), INDEX($AO$67:$AU$76,,$AD421), 1 / ($AW$67:$AW$76*CE421 + (1-$AW$67:$AW$76)*CA421), N($AK$67:$AK$76&gt;$AI421))
) / 1000</f>
        <v>0</v>
      </c>
      <c r="CG421" s="250">
        <f t="shared" si="524"/>
        <v>25</v>
      </c>
      <c r="CH421" s="237">
        <f t="shared" si="509"/>
        <v>38</v>
      </c>
      <c r="CI421" s="253">
        <f t="shared" si="510"/>
        <v>4.0666935483870965</v>
      </c>
      <c r="CJ421" s="253" cm="1">
        <f t="array" ref="CJ421">$BC421 * IF($AD421&lt;=2,
SUMPRODUCT(INDEX($AL$67:$AN$71,,$AE421), INDEX($AO$67:$AU$71,,$AD421), 1 / ($AV$67:$AV$71*CI421 + (1-$AV$67:$AV$71)*CE421), N($AK$67:$AK$71&gt;$AI421)),
SUMPRODUCT(INDEX($AL$57:$AN$66,,$AE421), INDEX($AO$57:$AU$66,,$AD421), 1 / ($AW$57:$AW$66*CI421 + (1-$AW$57:$AW$66)*CE421), N($AK$57:$AK$66&gt;$AI421))
) / 1000</f>
        <v>0</v>
      </c>
      <c r="CK421" s="250">
        <f t="shared" si="525"/>
        <v>20</v>
      </c>
      <c r="CL421" s="237">
        <f t="shared" si="511"/>
        <v>33</v>
      </c>
      <c r="CM421" s="253">
        <f t="shared" si="512"/>
        <v>4.8487499999999999</v>
      </c>
      <c r="CN421" s="253" cm="1">
        <f t="array" ref="CN421">$BC421 * IF($AD421&lt;=2,
SUMPRODUCT(INDEX($AL$62:$AN$66,,$AE421), INDEX($AO$62:$AU$66,,$AD421), 1 / ($AV$62:$AV$66*CM421 + (1-$AV$62:$AV$66)*CI421), N($AK$62:$AK$66&gt;$AI421)),
SUMPRODUCT(INDEX($AL$47:$AN$56,,$AE421), INDEX($AO$47:$AU$56,,$AD421), 1 / ($AW$47:$AW$56*CM421 + (1-$AW$47:$AW$56)*CI421), N($AK$47:$AK$56&gt;$AI421))
) / 1000</f>
        <v>0</v>
      </c>
      <c r="CO421" s="253" cm="1">
        <f t="array" ref="CO421">$BC421 * IF($AD421&lt;=2,
SUMPRODUCT(INDEX($AL$23:$AN$61,,$AE421), INDEX($AO$23:$AU$61,,$AD421), 1 / ($AV$23:$AV$61*CM421), N($AK$23:$AK$61&gt;$AI421)),
SUMPRODUCT(INDEX($AL$23:$AN$46,,$AE421), INDEX($AO$23:$AU$46,,$AD421), 1 / ($AW$23:$AW$46*CM421), N($AK$23:$AK$46&gt;$AI421))
) / 1000</f>
        <v>0</v>
      </c>
      <c r="CP421" s="237">
        <f t="shared" si="513"/>
        <v>0</v>
      </c>
      <c r="CQ421" s="210"/>
    </row>
    <row r="422" spans="1:95" s="76" customFormat="1" ht="14.25" customHeight="1" x14ac:dyDescent="0.2">
      <c r="A422" s="238" t="b">
        <f t="shared" si="517"/>
        <v>0</v>
      </c>
      <c r="B422" s="239">
        <v>400</v>
      </c>
      <c r="C422" s="258"/>
      <c r="D422" s="258"/>
      <c r="E422" s="240"/>
      <c r="F422" s="241" t="str">
        <f>IF(ISBLANK(E422), "", VLOOKUP(E422, Z!$A$2:$C$4127, 3, FALSE))</f>
        <v/>
      </c>
      <c r="G422" s="242"/>
      <c r="H422" s="242"/>
      <c r="I422" s="243"/>
      <c r="J422" s="244"/>
      <c r="K422" s="259"/>
      <c r="L422" s="260"/>
      <c r="M422" s="247" t="str" cm="1">
        <f t="array" ref="M422">IF($K422&gt;0, INDEX(Clean,1+AG422,$C$1), "")</f>
        <v/>
      </c>
      <c r="N422" s="245"/>
      <c r="O422" s="245"/>
      <c r="P422" s="246"/>
      <c r="Q422" s="248">
        <f t="shared" si="490"/>
        <v>0</v>
      </c>
      <c r="R422" s="247" t="str" cm="1">
        <f t="array" ref="R422">IF($K422&gt;0, INDEX(Clean,1+AH422,$C$1), "")</f>
        <v/>
      </c>
      <c r="S422" s="245"/>
      <c r="T422" s="245"/>
      <c r="U422" s="246"/>
      <c r="V422" s="248">
        <f t="shared" si="491"/>
        <v>0</v>
      </c>
      <c r="W422" s="261"/>
      <c r="X422" s="258"/>
      <c r="Y422" s="240"/>
      <c r="Z422" s="241" t="str">
        <f>IF(ISBLANK(Y422), "", VLOOKUP(Y422, Z!$A$2:$C$4127, 3, FALSE))</f>
        <v/>
      </c>
      <c r="AA422" s="262"/>
      <c r="AB422" s="249">
        <f t="shared" si="526"/>
        <v>0</v>
      </c>
      <c r="AC422" s="210"/>
      <c r="AD422" s="236">
        <f t="shared" si="514"/>
        <v>1</v>
      </c>
      <c r="AE422" s="236">
        <f t="shared" si="515"/>
        <v>1</v>
      </c>
      <c r="AF422" s="236">
        <f t="shared" si="516"/>
        <v>0</v>
      </c>
      <c r="AG422" s="236">
        <v>1</v>
      </c>
      <c r="AH422" s="236">
        <v>0</v>
      </c>
      <c r="AI422" s="236">
        <f t="shared" si="492"/>
        <v>-100</v>
      </c>
      <c r="AJ422" s="210"/>
      <c r="AK422" s="254"/>
      <c r="AL422" s="254"/>
      <c r="AM422" s="255"/>
      <c r="AN422" s="255"/>
      <c r="AO422" s="255"/>
      <c r="AP422" s="255"/>
      <c r="AQ422" s="255"/>
      <c r="AR422" s="255"/>
      <c r="AS422" s="255"/>
      <c r="AT422" s="255"/>
      <c r="AU422" s="255"/>
      <c r="AV422" s="255"/>
      <c r="AW422" s="255"/>
      <c r="AX422" s="210"/>
      <c r="AY422" s="236" cm="1">
        <f t="array" ref="AY422">INDEX(Use, $AD422, 4)</f>
        <v>7</v>
      </c>
      <c r="AZ422" s="236">
        <f t="shared" si="493"/>
        <v>32</v>
      </c>
      <c r="BA422" s="236">
        <f t="shared" si="518"/>
        <v>13</v>
      </c>
      <c r="BB422" s="236">
        <f t="shared" si="519"/>
        <v>0</v>
      </c>
      <c r="BC422" s="252" cm="1">
        <f t="array" ref="BC422">K422/IF($L422&gt;0, INDEX($AO$23:$AU$77, $L422+20, $AD422), 1)</f>
        <v>0</v>
      </c>
      <c r="BD422" s="237">
        <f t="shared" si="494"/>
        <v>0</v>
      </c>
      <c r="BE422" s="236">
        <v>35</v>
      </c>
      <c r="BF422" s="237">
        <f t="shared" si="495"/>
        <v>52.55</v>
      </c>
      <c r="BG422" s="253">
        <f t="shared" si="496"/>
        <v>2.7676728869374316</v>
      </c>
      <c r="BH422" s="253" cm="1">
        <f t="array" ref="BH422">$BC422 * SUMPRODUCT(INDEX($AL$77:$AN$82,,$AE422),INDEX($AO$77:$AU$82,,$AD422), N($AK$77:$AK$82&gt;$AI422)) / BG422 / 1000</f>
        <v>0</v>
      </c>
      <c r="BI422" s="250">
        <f t="shared" si="520"/>
        <v>30</v>
      </c>
      <c r="BJ422" s="237">
        <f t="shared" si="497"/>
        <v>46.033333333333331</v>
      </c>
      <c r="BK422" s="253">
        <f t="shared" si="498"/>
        <v>3.2297395388556791</v>
      </c>
      <c r="BL422" s="253" cm="1">
        <f t="array" ref="BL422">$BC422 * IF($AD422&lt;=2,
SUMPRODUCT(INDEX($AL$72:$AN$76,,$AE422), INDEX($AO$72:$AU$76,,$AD422), 1 / ($AV$72:$AV$76*BK422 + (1-$AV$72:$AV$76)*BG422), N($AK$72:$AK$76&gt;$AI422)),
SUMPRODUCT(INDEX($AL$67:$AN$76,,$AE422), INDEX($AO$67:$AU$76,,$AD422), 1 / ($AW$67:$AW$76*BK422 + (1-$AW$67:$AW$76)*BG422), N($AK$67:$AK$76&gt;$AI422))
) / 1000</f>
        <v>0</v>
      </c>
      <c r="BM422" s="250">
        <f t="shared" si="521"/>
        <v>25</v>
      </c>
      <c r="BN422" s="237">
        <f t="shared" si="499"/>
        <v>39.516666666666666</v>
      </c>
      <c r="BO422" s="253">
        <f t="shared" si="500"/>
        <v>3.877011788826243</v>
      </c>
      <c r="BP422" s="253" cm="1">
        <f t="array" ref="BP422">$BC422 * IF($AD422&lt;=2,
SUMPRODUCT(INDEX($AL$67:$AN$71,,$AE422), INDEX($AO$67:$AU$71,,$AD422), 1 / ($AV$67:$AV$71*BO422 + (1-$AV$67:$AV$71)*BK422), N($AK$67:$AK$71&gt;$AI422)),
SUMPRODUCT(INDEX($AL$57:$AN$66,,$AE422), INDEX($AO$57:$AU$66,,$AD422), 1 / ($AW$57:$AW$66*BO422 + (1-$AW$57:$AW$66)*BK422), N($AK$57:$AK$66&gt;$AI422))
) / 1000</f>
        <v>0</v>
      </c>
      <c r="BQ422" s="250">
        <f t="shared" si="522"/>
        <v>20</v>
      </c>
      <c r="BR422" s="237">
        <f t="shared" si="501"/>
        <v>33</v>
      </c>
      <c r="BS422" s="253">
        <f t="shared" si="502"/>
        <v>4.8487499999999999</v>
      </c>
      <c r="BT422" s="253" cm="1">
        <f t="array" ref="BT422">$BC422 * IF($AD422&lt;=2,
SUMPRODUCT(INDEX($AL$62:$AN$66,,$AE422), INDEX($AO$62:$AU$66,,$AD422), 1 / ($AV$62:$AV$66*BS422 + (1-$AV$62:$AV$66)*BO422), N($AK$62:$AK$66&gt;$AI422)),
SUMPRODUCT(INDEX($AL$47:$AN$56,,$AE422), INDEX($AO$47:$AU$56,,$AD422), 1 / ($AW$47:$AW$56*BS422 + (1-$AW$47:$AW$56)*BO422), N($AK$47:$AK$56&gt;$AI422))
) / 1000</f>
        <v>0</v>
      </c>
      <c r="BU422" s="253" cm="1">
        <f t="array" ref="BU422">$BC422 * IF($AD422&lt;=2,
SUMPRODUCT(INDEX($AL$23:$AN$61,,$AE422), INDEX($AO$23:$AU$61,,$AD422), 1 / ($AV$23:$AV$61*BS422), N($AK$23:$AK$61&gt;$AI422)),
SUMPRODUCT(INDEX($AL$23:$AN$46,,$AE422), INDEX($AO$23:$AU$46,,$AD422), 1 / ($AW$23:$AW$46*BS422), N($AK$23:$AK$46&gt;$AI422))
) / 1000</f>
        <v>0</v>
      </c>
      <c r="BV422" s="237">
        <f t="shared" si="503"/>
        <v>0</v>
      </c>
      <c r="BW422" s="210"/>
      <c r="BX422" s="237">
        <f t="shared" si="504"/>
        <v>0</v>
      </c>
      <c r="BY422" s="236">
        <v>35</v>
      </c>
      <c r="BZ422" s="237">
        <f t="shared" si="505"/>
        <v>48</v>
      </c>
      <c r="CA422" s="253">
        <f t="shared" si="506"/>
        <v>3.0748170731707316</v>
      </c>
      <c r="CB422" s="253" cm="1">
        <f t="array" ref="CB422">$BC422 * SUMPRODUCT(INDEX($AL$77:$AN$82,,$AE422),INDEX($AO$77:$AU$82,,$AD422), N($AK$77:$AK$82&gt;$AI422)) / CA422 / 1000</f>
        <v>0</v>
      </c>
      <c r="CC422" s="250">
        <f t="shared" si="523"/>
        <v>30</v>
      </c>
      <c r="CD422" s="237">
        <f t="shared" si="507"/>
        <v>43</v>
      </c>
      <c r="CE422" s="253">
        <f t="shared" si="508"/>
        <v>3.5018750000000001</v>
      </c>
      <c r="CF422" s="253" cm="1">
        <f t="array" ref="CF422">$BC422 * IF($AD422&lt;=2,
SUMPRODUCT(INDEX($AL$72:$AN$76,,$AE422), INDEX($AO$72:$AU$76,,$AD422), 1 / ($AV$72:$AV$76*CE422 + (1-$AV$72:$AV$76)*CA422), N($AK$72:$AK$76&gt;$AI422)),
SUMPRODUCT(INDEX($AL$67:$AN$76,,$AE422), INDEX($AO$67:$AU$76,,$AD422), 1 / ($AW$67:$AW$76*CE422 + (1-$AW$67:$AW$76)*CA422), N($AK$67:$AK$76&gt;$AI422))
) / 1000</f>
        <v>0</v>
      </c>
      <c r="CG422" s="250">
        <f t="shared" si="524"/>
        <v>25</v>
      </c>
      <c r="CH422" s="237">
        <f t="shared" si="509"/>
        <v>38</v>
      </c>
      <c r="CI422" s="253">
        <f t="shared" si="510"/>
        <v>4.0666935483870965</v>
      </c>
      <c r="CJ422" s="253" cm="1">
        <f t="array" ref="CJ422">$BC422 * IF($AD422&lt;=2,
SUMPRODUCT(INDEX($AL$67:$AN$71,,$AE422), INDEX($AO$67:$AU$71,,$AD422), 1 / ($AV$67:$AV$71*CI422 + (1-$AV$67:$AV$71)*CE422), N($AK$67:$AK$71&gt;$AI422)),
SUMPRODUCT(INDEX($AL$57:$AN$66,,$AE422), INDEX($AO$57:$AU$66,,$AD422), 1 / ($AW$57:$AW$66*CI422 + (1-$AW$57:$AW$66)*CE422), N($AK$57:$AK$66&gt;$AI422))
) / 1000</f>
        <v>0</v>
      </c>
      <c r="CK422" s="250">
        <f t="shared" si="525"/>
        <v>20</v>
      </c>
      <c r="CL422" s="237">
        <f t="shared" si="511"/>
        <v>33</v>
      </c>
      <c r="CM422" s="253">
        <f t="shared" si="512"/>
        <v>4.8487499999999999</v>
      </c>
      <c r="CN422" s="253" cm="1">
        <f t="array" ref="CN422">$BC422 * IF($AD422&lt;=2,
SUMPRODUCT(INDEX($AL$62:$AN$66,,$AE422), INDEX($AO$62:$AU$66,,$AD422), 1 / ($AV$62:$AV$66*CM422 + (1-$AV$62:$AV$66)*CI422), N($AK$62:$AK$66&gt;$AI422)),
SUMPRODUCT(INDEX($AL$47:$AN$56,,$AE422), INDEX($AO$47:$AU$56,,$AD422), 1 / ($AW$47:$AW$56*CM422 + (1-$AW$47:$AW$56)*CI422), N($AK$47:$AK$56&gt;$AI422))
) / 1000</f>
        <v>0</v>
      </c>
      <c r="CO422" s="253" cm="1">
        <f t="array" ref="CO422">$BC422 * IF($AD422&lt;=2,
SUMPRODUCT(INDEX($AL$23:$AN$61,,$AE422), INDEX($AO$23:$AU$61,,$AD422), 1 / ($AV$23:$AV$61*CM422), N($AK$23:$AK$61&gt;$AI422)),
SUMPRODUCT(INDEX($AL$23:$AN$46,,$AE422), INDEX($AO$23:$AU$46,,$AD422), 1 / ($AW$23:$AW$46*CM422), N($AK$23:$AK$46&gt;$AI422))
) / 1000</f>
        <v>0</v>
      </c>
      <c r="CP422" s="237">
        <f t="shared" si="513"/>
        <v>0</v>
      </c>
      <c r="CQ422" s="210"/>
    </row>
    <row r="423" spans="1:95" s="76" customFormat="1" ht="14.25" customHeight="1" x14ac:dyDescent="0.2">
      <c r="A423" s="238" t="b">
        <f t="shared" si="517"/>
        <v>0</v>
      </c>
      <c r="B423" s="239">
        <v>401</v>
      </c>
      <c r="C423" s="258"/>
      <c r="D423" s="258"/>
      <c r="E423" s="240"/>
      <c r="F423" s="241" t="str">
        <f>IF(ISBLANK(E423), "", VLOOKUP(E423, Z!$A$2:$C$4127, 3, FALSE))</f>
        <v/>
      </c>
      <c r="G423" s="242"/>
      <c r="H423" s="242"/>
      <c r="I423" s="243"/>
      <c r="J423" s="244"/>
      <c r="K423" s="259"/>
      <c r="L423" s="260"/>
      <c r="M423" s="247" t="str" cm="1">
        <f t="array" ref="M423">IF($K423&gt;0, INDEX(Clean,1+AG423,$C$1), "")</f>
        <v/>
      </c>
      <c r="N423" s="245"/>
      <c r="O423" s="245"/>
      <c r="P423" s="246"/>
      <c r="Q423" s="248">
        <f t="shared" si="490"/>
        <v>0</v>
      </c>
      <c r="R423" s="247" t="str" cm="1">
        <f t="array" ref="R423">IF($K423&gt;0, INDEX(Clean,1+AH423,$C$1), "")</f>
        <v/>
      </c>
      <c r="S423" s="245"/>
      <c r="T423" s="245"/>
      <c r="U423" s="246"/>
      <c r="V423" s="248">
        <f t="shared" si="491"/>
        <v>0</v>
      </c>
      <c r="W423" s="261"/>
      <c r="X423" s="258"/>
      <c r="Y423" s="240"/>
      <c r="Z423" s="241" t="str">
        <f>IF(ISBLANK(Y423), "", VLOOKUP(Y423, Z!$A$2:$C$4127, 3, FALSE))</f>
        <v/>
      </c>
      <c r="AA423" s="262"/>
      <c r="AB423" s="249">
        <f t="shared" si="526"/>
        <v>0</v>
      </c>
      <c r="AC423" s="210"/>
      <c r="AD423" s="236">
        <f t="shared" si="514"/>
        <v>1</v>
      </c>
      <c r="AE423" s="236">
        <f t="shared" si="515"/>
        <v>1</v>
      </c>
      <c r="AF423" s="236">
        <f t="shared" si="516"/>
        <v>0</v>
      </c>
      <c r="AG423" s="236">
        <v>1</v>
      </c>
      <c r="AH423" s="236">
        <v>0</v>
      </c>
      <c r="AI423" s="236">
        <f t="shared" si="492"/>
        <v>-100</v>
      </c>
      <c r="AJ423" s="210"/>
      <c r="AK423" s="254"/>
      <c r="AL423" s="254"/>
      <c r="AM423" s="255"/>
      <c r="AN423" s="255"/>
      <c r="AO423" s="255"/>
      <c r="AP423" s="255"/>
      <c r="AQ423" s="255"/>
      <c r="AR423" s="255"/>
      <c r="AS423" s="255"/>
      <c r="AT423" s="255"/>
      <c r="AU423" s="255"/>
      <c r="AV423" s="255"/>
      <c r="AW423" s="255"/>
      <c r="AX423" s="210"/>
      <c r="AY423" s="236" cm="1">
        <f t="array" ref="AY423">INDEX(Use, $AD423, 4)</f>
        <v>7</v>
      </c>
      <c r="AZ423" s="236">
        <f t="shared" si="493"/>
        <v>32</v>
      </c>
      <c r="BA423" s="236">
        <f t="shared" si="518"/>
        <v>13</v>
      </c>
      <c r="BB423" s="236">
        <f t="shared" si="519"/>
        <v>0</v>
      </c>
      <c r="BC423" s="252" cm="1">
        <f t="array" ref="BC423">K423/IF($L423&gt;0, INDEX($AO$23:$AU$77, $L423+20, $AD423), 1)</f>
        <v>0</v>
      </c>
      <c r="BD423" s="237">
        <f t="shared" si="494"/>
        <v>0</v>
      </c>
      <c r="BE423" s="236">
        <v>35</v>
      </c>
      <c r="BF423" s="237">
        <f t="shared" si="495"/>
        <v>52.55</v>
      </c>
      <c r="BG423" s="253">
        <f t="shared" si="496"/>
        <v>2.7676728869374316</v>
      </c>
      <c r="BH423" s="253" cm="1">
        <f t="array" ref="BH423">$BC423 * SUMPRODUCT(INDEX($AL$77:$AN$82,,$AE423),INDEX($AO$77:$AU$82,,$AD423), N($AK$77:$AK$82&gt;$AI423)) / BG423 / 1000</f>
        <v>0</v>
      </c>
      <c r="BI423" s="250">
        <f t="shared" si="520"/>
        <v>30</v>
      </c>
      <c r="BJ423" s="237">
        <f t="shared" si="497"/>
        <v>46.033333333333331</v>
      </c>
      <c r="BK423" s="253">
        <f t="shared" si="498"/>
        <v>3.2297395388556791</v>
      </c>
      <c r="BL423" s="253" cm="1">
        <f t="array" ref="BL423">$BC423 * IF($AD423&lt;=2,
SUMPRODUCT(INDEX($AL$72:$AN$76,,$AE423), INDEX($AO$72:$AU$76,,$AD423), 1 / ($AV$72:$AV$76*BK423 + (1-$AV$72:$AV$76)*BG423), N($AK$72:$AK$76&gt;$AI423)),
SUMPRODUCT(INDEX($AL$67:$AN$76,,$AE423), INDEX($AO$67:$AU$76,,$AD423), 1 / ($AW$67:$AW$76*BK423 + (1-$AW$67:$AW$76)*BG423), N($AK$67:$AK$76&gt;$AI423))
) / 1000</f>
        <v>0</v>
      </c>
      <c r="BM423" s="250">
        <f t="shared" si="521"/>
        <v>25</v>
      </c>
      <c r="BN423" s="237">
        <f t="shared" si="499"/>
        <v>39.516666666666666</v>
      </c>
      <c r="BO423" s="253">
        <f t="shared" si="500"/>
        <v>3.877011788826243</v>
      </c>
      <c r="BP423" s="253" cm="1">
        <f t="array" ref="BP423">$BC423 * IF($AD423&lt;=2,
SUMPRODUCT(INDEX($AL$67:$AN$71,,$AE423), INDEX($AO$67:$AU$71,,$AD423), 1 / ($AV$67:$AV$71*BO423 + (1-$AV$67:$AV$71)*BK423), N($AK$67:$AK$71&gt;$AI423)),
SUMPRODUCT(INDEX($AL$57:$AN$66,,$AE423), INDEX($AO$57:$AU$66,,$AD423), 1 / ($AW$57:$AW$66*BO423 + (1-$AW$57:$AW$66)*BK423), N($AK$57:$AK$66&gt;$AI423))
) / 1000</f>
        <v>0</v>
      </c>
      <c r="BQ423" s="250">
        <f t="shared" si="522"/>
        <v>20</v>
      </c>
      <c r="BR423" s="237">
        <f t="shared" si="501"/>
        <v>33</v>
      </c>
      <c r="BS423" s="253">
        <f t="shared" si="502"/>
        <v>4.8487499999999999</v>
      </c>
      <c r="BT423" s="253" cm="1">
        <f t="array" ref="BT423">$BC423 * IF($AD423&lt;=2,
SUMPRODUCT(INDEX($AL$62:$AN$66,,$AE423), INDEX($AO$62:$AU$66,,$AD423), 1 / ($AV$62:$AV$66*BS423 + (1-$AV$62:$AV$66)*BO423), N($AK$62:$AK$66&gt;$AI423)),
SUMPRODUCT(INDEX($AL$47:$AN$56,,$AE423), INDEX($AO$47:$AU$56,,$AD423), 1 / ($AW$47:$AW$56*BS423 + (1-$AW$47:$AW$56)*BO423), N($AK$47:$AK$56&gt;$AI423))
) / 1000</f>
        <v>0</v>
      </c>
      <c r="BU423" s="253" cm="1">
        <f t="array" ref="BU423">$BC423 * IF($AD423&lt;=2,
SUMPRODUCT(INDEX($AL$23:$AN$61,,$AE423), INDEX($AO$23:$AU$61,,$AD423), 1 / ($AV$23:$AV$61*BS423), N($AK$23:$AK$61&gt;$AI423)),
SUMPRODUCT(INDEX($AL$23:$AN$46,,$AE423), INDEX($AO$23:$AU$46,,$AD423), 1 / ($AW$23:$AW$46*BS423), N($AK$23:$AK$46&gt;$AI423))
) / 1000</f>
        <v>0</v>
      </c>
      <c r="BV423" s="237">
        <f t="shared" si="503"/>
        <v>0</v>
      </c>
      <c r="BW423" s="210"/>
      <c r="BX423" s="237">
        <f t="shared" si="504"/>
        <v>0</v>
      </c>
      <c r="BY423" s="236">
        <v>35</v>
      </c>
      <c r="BZ423" s="237">
        <f t="shared" si="505"/>
        <v>48</v>
      </c>
      <c r="CA423" s="253">
        <f t="shared" si="506"/>
        <v>3.0748170731707316</v>
      </c>
      <c r="CB423" s="253" cm="1">
        <f t="array" ref="CB423">$BC423 * SUMPRODUCT(INDEX($AL$77:$AN$82,,$AE423),INDEX($AO$77:$AU$82,,$AD423), N($AK$77:$AK$82&gt;$AI423)) / CA423 / 1000</f>
        <v>0</v>
      </c>
      <c r="CC423" s="250">
        <f t="shared" si="523"/>
        <v>30</v>
      </c>
      <c r="CD423" s="237">
        <f t="shared" si="507"/>
        <v>43</v>
      </c>
      <c r="CE423" s="253">
        <f t="shared" si="508"/>
        <v>3.5018750000000001</v>
      </c>
      <c r="CF423" s="253" cm="1">
        <f t="array" ref="CF423">$BC423 * IF($AD423&lt;=2,
SUMPRODUCT(INDEX($AL$72:$AN$76,,$AE423), INDEX($AO$72:$AU$76,,$AD423), 1 / ($AV$72:$AV$76*CE423 + (1-$AV$72:$AV$76)*CA423), N($AK$72:$AK$76&gt;$AI423)),
SUMPRODUCT(INDEX($AL$67:$AN$76,,$AE423), INDEX($AO$67:$AU$76,,$AD423), 1 / ($AW$67:$AW$76*CE423 + (1-$AW$67:$AW$76)*CA423), N($AK$67:$AK$76&gt;$AI423))
) / 1000</f>
        <v>0</v>
      </c>
      <c r="CG423" s="250">
        <f t="shared" si="524"/>
        <v>25</v>
      </c>
      <c r="CH423" s="237">
        <f t="shared" si="509"/>
        <v>38</v>
      </c>
      <c r="CI423" s="253">
        <f t="shared" si="510"/>
        <v>4.0666935483870965</v>
      </c>
      <c r="CJ423" s="253" cm="1">
        <f t="array" ref="CJ423">$BC423 * IF($AD423&lt;=2,
SUMPRODUCT(INDEX($AL$67:$AN$71,,$AE423), INDEX($AO$67:$AU$71,,$AD423), 1 / ($AV$67:$AV$71*CI423 + (1-$AV$67:$AV$71)*CE423), N($AK$67:$AK$71&gt;$AI423)),
SUMPRODUCT(INDEX($AL$57:$AN$66,,$AE423), INDEX($AO$57:$AU$66,,$AD423), 1 / ($AW$57:$AW$66*CI423 + (1-$AW$57:$AW$66)*CE423), N($AK$57:$AK$66&gt;$AI423))
) / 1000</f>
        <v>0</v>
      </c>
      <c r="CK423" s="250">
        <f t="shared" si="525"/>
        <v>20</v>
      </c>
      <c r="CL423" s="237">
        <f t="shared" si="511"/>
        <v>33</v>
      </c>
      <c r="CM423" s="253">
        <f t="shared" si="512"/>
        <v>4.8487499999999999</v>
      </c>
      <c r="CN423" s="253" cm="1">
        <f t="array" ref="CN423">$BC423 * IF($AD423&lt;=2,
SUMPRODUCT(INDEX($AL$62:$AN$66,,$AE423), INDEX($AO$62:$AU$66,,$AD423), 1 / ($AV$62:$AV$66*CM423 + (1-$AV$62:$AV$66)*CI423), N($AK$62:$AK$66&gt;$AI423)),
SUMPRODUCT(INDEX($AL$47:$AN$56,,$AE423), INDEX($AO$47:$AU$56,,$AD423), 1 / ($AW$47:$AW$56*CM423 + (1-$AW$47:$AW$56)*CI423), N($AK$47:$AK$56&gt;$AI423))
) / 1000</f>
        <v>0</v>
      </c>
      <c r="CO423" s="253" cm="1">
        <f t="array" ref="CO423">$BC423 * IF($AD423&lt;=2,
SUMPRODUCT(INDEX($AL$23:$AN$61,,$AE423), INDEX($AO$23:$AU$61,,$AD423), 1 / ($AV$23:$AV$61*CM423), N($AK$23:$AK$61&gt;$AI423)),
SUMPRODUCT(INDEX($AL$23:$AN$46,,$AE423), INDEX($AO$23:$AU$46,,$AD423), 1 / ($AW$23:$AW$46*CM423), N($AK$23:$AK$46&gt;$AI423))
) / 1000</f>
        <v>0</v>
      </c>
      <c r="CP423" s="237">
        <f t="shared" si="513"/>
        <v>0</v>
      </c>
      <c r="CQ423" s="210"/>
    </row>
    <row r="424" spans="1:95" s="76" customFormat="1" ht="14.25" customHeight="1" x14ac:dyDescent="0.2">
      <c r="A424" s="238" t="b">
        <f t="shared" si="517"/>
        <v>0</v>
      </c>
      <c r="B424" s="239">
        <v>402</v>
      </c>
      <c r="C424" s="258"/>
      <c r="D424" s="258"/>
      <c r="E424" s="240"/>
      <c r="F424" s="241" t="str">
        <f>IF(ISBLANK(E424), "", VLOOKUP(E424, Z!$A$2:$C$4127, 3, FALSE))</f>
        <v/>
      </c>
      <c r="G424" s="242"/>
      <c r="H424" s="242"/>
      <c r="I424" s="243"/>
      <c r="J424" s="244"/>
      <c r="K424" s="259"/>
      <c r="L424" s="260"/>
      <c r="M424" s="247" t="str" cm="1">
        <f t="array" ref="M424">IF($K424&gt;0, INDEX(Clean,1+AG424,$C$1), "")</f>
        <v/>
      </c>
      <c r="N424" s="245"/>
      <c r="O424" s="245"/>
      <c r="P424" s="246"/>
      <c r="Q424" s="248">
        <f t="shared" si="490"/>
        <v>0</v>
      </c>
      <c r="R424" s="247" t="str" cm="1">
        <f t="array" ref="R424">IF($K424&gt;0, INDEX(Clean,1+AH424,$C$1), "")</f>
        <v/>
      </c>
      <c r="S424" s="245"/>
      <c r="T424" s="245"/>
      <c r="U424" s="246"/>
      <c r="V424" s="248">
        <f t="shared" si="491"/>
        <v>0</v>
      </c>
      <c r="W424" s="261"/>
      <c r="X424" s="258"/>
      <c r="Y424" s="240"/>
      <c r="Z424" s="241" t="str">
        <f>IF(ISBLANK(Y424), "", VLOOKUP(Y424, Z!$A$2:$C$4127, 3, FALSE))</f>
        <v/>
      </c>
      <c r="AA424" s="262"/>
      <c r="AB424" s="249">
        <f t="shared" si="526"/>
        <v>0</v>
      </c>
      <c r="AC424" s="210"/>
      <c r="AD424" s="236">
        <f t="shared" si="514"/>
        <v>1</v>
      </c>
      <c r="AE424" s="236">
        <f t="shared" si="515"/>
        <v>1</v>
      </c>
      <c r="AF424" s="236">
        <f t="shared" si="516"/>
        <v>0</v>
      </c>
      <c r="AG424" s="236">
        <v>1</v>
      </c>
      <c r="AH424" s="236">
        <v>0</v>
      </c>
      <c r="AI424" s="236">
        <f t="shared" si="492"/>
        <v>-100</v>
      </c>
      <c r="AJ424" s="210"/>
      <c r="AK424" s="254"/>
      <c r="AL424" s="254"/>
      <c r="AM424" s="255"/>
      <c r="AN424" s="255"/>
      <c r="AO424" s="255"/>
      <c r="AP424" s="255"/>
      <c r="AQ424" s="255"/>
      <c r="AR424" s="255"/>
      <c r="AS424" s="255"/>
      <c r="AT424" s="255"/>
      <c r="AU424" s="255"/>
      <c r="AV424" s="255"/>
      <c r="AW424" s="255"/>
      <c r="AX424" s="210"/>
      <c r="AY424" s="236" cm="1">
        <f t="array" ref="AY424">INDEX(Use, $AD424, 4)</f>
        <v>7</v>
      </c>
      <c r="AZ424" s="236">
        <f t="shared" si="493"/>
        <v>32</v>
      </c>
      <c r="BA424" s="236">
        <f t="shared" si="518"/>
        <v>13</v>
      </c>
      <c r="BB424" s="236">
        <f t="shared" si="519"/>
        <v>0</v>
      </c>
      <c r="BC424" s="252" cm="1">
        <f t="array" ref="BC424">K424/IF($L424&gt;0, INDEX($AO$23:$AU$77, $L424+20, $AD424), 1)</f>
        <v>0</v>
      </c>
      <c r="BD424" s="237">
        <f t="shared" si="494"/>
        <v>0</v>
      </c>
      <c r="BE424" s="236">
        <v>35</v>
      </c>
      <c r="BF424" s="237">
        <f t="shared" si="495"/>
        <v>52.55</v>
      </c>
      <c r="BG424" s="253">
        <f t="shared" si="496"/>
        <v>2.7676728869374316</v>
      </c>
      <c r="BH424" s="253" cm="1">
        <f t="array" ref="BH424">$BC424 * SUMPRODUCT(INDEX($AL$77:$AN$82,,$AE424),INDEX($AO$77:$AU$82,,$AD424), N($AK$77:$AK$82&gt;$AI424)) / BG424 / 1000</f>
        <v>0</v>
      </c>
      <c r="BI424" s="250">
        <f t="shared" si="520"/>
        <v>30</v>
      </c>
      <c r="BJ424" s="237">
        <f t="shared" si="497"/>
        <v>46.033333333333331</v>
      </c>
      <c r="BK424" s="253">
        <f t="shared" si="498"/>
        <v>3.2297395388556791</v>
      </c>
      <c r="BL424" s="253" cm="1">
        <f t="array" ref="BL424">$BC424 * IF($AD424&lt;=2,
SUMPRODUCT(INDEX($AL$72:$AN$76,,$AE424), INDEX($AO$72:$AU$76,,$AD424), 1 / ($AV$72:$AV$76*BK424 + (1-$AV$72:$AV$76)*BG424), N($AK$72:$AK$76&gt;$AI424)),
SUMPRODUCT(INDEX($AL$67:$AN$76,,$AE424), INDEX($AO$67:$AU$76,,$AD424), 1 / ($AW$67:$AW$76*BK424 + (1-$AW$67:$AW$76)*BG424), N($AK$67:$AK$76&gt;$AI424))
) / 1000</f>
        <v>0</v>
      </c>
      <c r="BM424" s="250">
        <f t="shared" si="521"/>
        <v>25</v>
      </c>
      <c r="BN424" s="237">
        <f t="shared" si="499"/>
        <v>39.516666666666666</v>
      </c>
      <c r="BO424" s="253">
        <f t="shared" si="500"/>
        <v>3.877011788826243</v>
      </c>
      <c r="BP424" s="253" cm="1">
        <f t="array" ref="BP424">$BC424 * IF($AD424&lt;=2,
SUMPRODUCT(INDEX($AL$67:$AN$71,,$AE424), INDEX($AO$67:$AU$71,,$AD424), 1 / ($AV$67:$AV$71*BO424 + (1-$AV$67:$AV$71)*BK424), N($AK$67:$AK$71&gt;$AI424)),
SUMPRODUCT(INDEX($AL$57:$AN$66,,$AE424), INDEX($AO$57:$AU$66,,$AD424), 1 / ($AW$57:$AW$66*BO424 + (1-$AW$57:$AW$66)*BK424), N($AK$57:$AK$66&gt;$AI424))
) / 1000</f>
        <v>0</v>
      </c>
      <c r="BQ424" s="250">
        <f t="shared" si="522"/>
        <v>20</v>
      </c>
      <c r="BR424" s="237">
        <f t="shared" si="501"/>
        <v>33</v>
      </c>
      <c r="BS424" s="253">
        <f t="shared" si="502"/>
        <v>4.8487499999999999</v>
      </c>
      <c r="BT424" s="253" cm="1">
        <f t="array" ref="BT424">$BC424 * IF($AD424&lt;=2,
SUMPRODUCT(INDEX($AL$62:$AN$66,,$AE424), INDEX($AO$62:$AU$66,,$AD424), 1 / ($AV$62:$AV$66*BS424 + (1-$AV$62:$AV$66)*BO424), N($AK$62:$AK$66&gt;$AI424)),
SUMPRODUCT(INDEX($AL$47:$AN$56,,$AE424), INDEX($AO$47:$AU$56,,$AD424), 1 / ($AW$47:$AW$56*BS424 + (1-$AW$47:$AW$56)*BO424), N($AK$47:$AK$56&gt;$AI424))
) / 1000</f>
        <v>0</v>
      </c>
      <c r="BU424" s="253" cm="1">
        <f t="array" ref="BU424">$BC424 * IF($AD424&lt;=2,
SUMPRODUCT(INDEX($AL$23:$AN$61,,$AE424), INDEX($AO$23:$AU$61,,$AD424), 1 / ($AV$23:$AV$61*BS424), N($AK$23:$AK$61&gt;$AI424)),
SUMPRODUCT(INDEX($AL$23:$AN$46,,$AE424), INDEX($AO$23:$AU$46,,$AD424), 1 / ($AW$23:$AW$46*BS424), N($AK$23:$AK$46&gt;$AI424))
) / 1000</f>
        <v>0</v>
      </c>
      <c r="BV424" s="237">
        <f t="shared" si="503"/>
        <v>0</v>
      </c>
      <c r="BW424" s="210"/>
      <c r="BX424" s="237">
        <f t="shared" si="504"/>
        <v>0</v>
      </c>
      <c r="BY424" s="236">
        <v>35</v>
      </c>
      <c r="BZ424" s="237">
        <f t="shared" si="505"/>
        <v>48</v>
      </c>
      <c r="CA424" s="253">
        <f t="shared" si="506"/>
        <v>3.0748170731707316</v>
      </c>
      <c r="CB424" s="253" cm="1">
        <f t="array" ref="CB424">$BC424 * SUMPRODUCT(INDEX($AL$77:$AN$82,,$AE424),INDEX($AO$77:$AU$82,,$AD424), N($AK$77:$AK$82&gt;$AI424)) / CA424 / 1000</f>
        <v>0</v>
      </c>
      <c r="CC424" s="250">
        <f t="shared" si="523"/>
        <v>30</v>
      </c>
      <c r="CD424" s="237">
        <f t="shared" si="507"/>
        <v>43</v>
      </c>
      <c r="CE424" s="253">
        <f t="shared" si="508"/>
        <v>3.5018750000000001</v>
      </c>
      <c r="CF424" s="253" cm="1">
        <f t="array" ref="CF424">$BC424 * IF($AD424&lt;=2,
SUMPRODUCT(INDEX($AL$72:$AN$76,,$AE424), INDEX($AO$72:$AU$76,,$AD424), 1 / ($AV$72:$AV$76*CE424 + (1-$AV$72:$AV$76)*CA424), N($AK$72:$AK$76&gt;$AI424)),
SUMPRODUCT(INDEX($AL$67:$AN$76,,$AE424), INDEX($AO$67:$AU$76,,$AD424), 1 / ($AW$67:$AW$76*CE424 + (1-$AW$67:$AW$76)*CA424), N($AK$67:$AK$76&gt;$AI424))
) / 1000</f>
        <v>0</v>
      </c>
      <c r="CG424" s="250">
        <f t="shared" si="524"/>
        <v>25</v>
      </c>
      <c r="CH424" s="237">
        <f t="shared" si="509"/>
        <v>38</v>
      </c>
      <c r="CI424" s="253">
        <f t="shared" si="510"/>
        <v>4.0666935483870965</v>
      </c>
      <c r="CJ424" s="253" cm="1">
        <f t="array" ref="CJ424">$BC424 * IF($AD424&lt;=2,
SUMPRODUCT(INDEX($AL$67:$AN$71,,$AE424), INDEX($AO$67:$AU$71,,$AD424), 1 / ($AV$67:$AV$71*CI424 + (1-$AV$67:$AV$71)*CE424), N($AK$67:$AK$71&gt;$AI424)),
SUMPRODUCT(INDEX($AL$57:$AN$66,,$AE424), INDEX($AO$57:$AU$66,,$AD424), 1 / ($AW$57:$AW$66*CI424 + (1-$AW$57:$AW$66)*CE424), N($AK$57:$AK$66&gt;$AI424))
) / 1000</f>
        <v>0</v>
      </c>
      <c r="CK424" s="250">
        <f t="shared" si="525"/>
        <v>20</v>
      </c>
      <c r="CL424" s="237">
        <f t="shared" si="511"/>
        <v>33</v>
      </c>
      <c r="CM424" s="253">
        <f t="shared" si="512"/>
        <v>4.8487499999999999</v>
      </c>
      <c r="CN424" s="253" cm="1">
        <f t="array" ref="CN424">$BC424 * IF($AD424&lt;=2,
SUMPRODUCT(INDEX($AL$62:$AN$66,,$AE424), INDEX($AO$62:$AU$66,,$AD424), 1 / ($AV$62:$AV$66*CM424 + (1-$AV$62:$AV$66)*CI424), N($AK$62:$AK$66&gt;$AI424)),
SUMPRODUCT(INDEX($AL$47:$AN$56,,$AE424), INDEX($AO$47:$AU$56,,$AD424), 1 / ($AW$47:$AW$56*CM424 + (1-$AW$47:$AW$56)*CI424), N($AK$47:$AK$56&gt;$AI424))
) / 1000</f>
        <v>0</v>
      </c>
      <c r="CO424" s="253" cm="1">
        <f t="array" ref="CO424">$BC424 * IF($AD424&lt;=2,
SUMPRODUCT(INDEX($AL$23:$AN$61,,$AE424), INDEX($AO$23:$AU$61,,$AD424), 1 / ($AV$23:$AV$61*CM424), N($AK$23:$AK$61&gt;$AI424)),
SUMPRODUCT(INDEX($AL$23:$AN$46,,$AE424), INDEX($AO$23:$AU$46,,$AD424), 1 / ($AW$23:$AW$46*CM424), N($AK$23:$AK$46&gt;$AI424))
) / 1000</f>
        <v>0</v>
      </c>
      <c r="CP424" s="237">
        <f t="shared" si="513"/>
        <v>0</v>
      </c>
      <c r="CQ424" s="210"/>
    </row>
    <row r="425" spans="1:95" s="76" customFormat="1" ht="14.25" customHeight="1" x14ac:dyDescent="0.2">
      <c r="A425" s="238" t="b">
        <f t="shared" si="517"/>
        <v>0</v>
      </c>
      <c r="B425" s="239">
        <v>403</v>
      </c>
      <c r="C425" s="258"/>
      <c r="D425" s="258"/>
      <c r="E425" s="240"/>
      <c r="F425" s="241" t="str">
        <f>IF(ISBLANK(E425), "", VLOOKUP(E425, Z!$A$2:$C$4127, 3, FALSE))</f>
        <v/>
      </c>
      <c r="G425" s="242"/>
      <c r="H425" s="242"/>
      <c r="I425" s="243"/>
      <c r="J425" s="244"/>
      <c r="K425" s="259"/>
      <c r="L425" s="260"/>
      <c r="M425" s="247" t="str" cm="1">
        <f t="array" ref="M425">IF($K425&gt;0, INDEX(Clean,1+AG425,$C$1), "")</f>
        <v/>
      </c>
      <c r="N425" s="245"/>
      <c r="O425" s="245"/>
      <c r="P425" s="246"/>
      <c r="Q425" s="248">
        <f t="shared" si="490"/>
        <v>0</v>
      </c>
      <c r="R425" s="247" t="str" cm="1">
        <f t="array" ref="R425">IF($K425&gt;0, INDEX(Clean,1+AH425,$C$1), "")</f>
        <v/>
      </c>
      <c r="S425" s="245"/>
      <c r="T425" s="245"/>
      <c r="U425" s="246"/>
      <c r="V425" s="248">
        <f t="shared" si="491"/>
        <v>0</v>
      </c>
      <c r="W425" s="261"/>
      <c r="X425" s="258"/>
      <c r="Y425" s="240"/>
      <c r="Z425" s="241" t="str">
        <f>IF(ISBLANK(Y425), "", VLOOKUP(Y425, Z!$A$2:$C$4127, 3, FALSE))</f>
        <v/>
      </c>
      <c r="AA425" s="262"/>
      <c r="AB425" s="249">
        <f t="shared" si="526"/>
        <v>0</v>
      </c>
      <c r="AC425" s="210"/>
      <c r="AD425" s="236">
        <f t="shared" si="514"/>
        <v>1</v>
      </c>
      <c r="AE425" s="236">
        <f t="shared" si="515"/>
        <v>1</v>
      </c>
      <c r="AF425" s="236">
        <f t="shared" si="516"/>
        <v>0</v>
      </c>
      <c r="AG425" s="236">
        <v>1</v>
      </c>
      <c r="AH425" s="236">
        <v>0</v>
      </c>
      <c r="AI425" s="236">
        <f t="shared" si="492"/>
        <v>-100</v>
      </c>
      <c r="AJ425" s="210"/>
      <c r="AK425" s="254"/>
      <c r="AL425" s="254"/>
      <c r="AM425" s="255"/>
      <c r="AN425" s="255"/>
      <c r="AO425" s="255"/>
      <c r="AP425" s="255"/>
      <c r="AQ425" s="255"/>
      <c r="AR425" s="255"/>
      <c r="AS425" s="255"/>
      <c r="AT425" s="255"/>
      <c r="AU425" s="255"/>
      <c r="AV425" s="255"/>
      <c r="AW425" s="255"/>
      <c r="AX425" s="210"/>
      <c r="AY425" s="236" cm="1">
        <f t="array" ref="AY425">INDEX(Use, $AD425, 4)</f>
        <v>7</v>
      </c>
      <c r="AZ425" s="236">
        <f t="shared" si="493"/>
        <v>32</v>
      </c>
      <c r="BA425" s="236">
        <f t="shared" si="518"/>
        <v>13</v>
      </c>
      <c r="BB425" s="236">
        <f t="shared" si="519"/>
        <v>0</v>
      </c>
      <c r="BC425" s="252" cm="1">
        <f t="array" ref="BC425">K425/IF($L425&gt;0, INDEX($AO$23:$AU$77, $L425+20, $AD425), 1)</f>
        <v>0</v>
      </c>
      <c r="BD425" s="237">
        <f t="shared" si="494"/>
        <v>0</v>
      </c>
      <c r="BE425" s="236">
        <v>35</v>
      </c>
      <c r="BF425" s="237">
        <f t="shared" si="495"/>
        <v>52.55</v>
      </c>
      <c r="BG425" s="253">
        <f t="shared" si="496"/>
        <v>2.7676728869374316</v>
      </c>
      <c r="BH425" s="253" cm="1">
        <f t="array" ref="BH425">$BC425 * SUMPRODUCT(INDEX($AL$77:$AN$82,,$AE425),INDEX($AO$77:$AU$82,,$AD425), N($AK$77:$AK$82&gt;$AI425)) / BG425 / 1000</f>
        <v>0</v>
      </c>
      <c r="BI425" s="250">
        <f t="shared" si="520"/>
        <v>30</v>
      </c>
      <c r="BJ425" s="237">
        <f t="shared" si="497"/>
        <v>46.033333333333331</v>
      </c>
      <c r="BK425" s="253">
        <f t="shared" si="498"/>
        <v>3.2297395388556791</v>
      </c>
      <c r="BL425" s="253" cm="1">
        <f t="array" ref="BL425">$BC425 * IF($AD425&lt;=2,
SUMPRODUCT(INDEX($AL$72:$AN$76,,$AE425), INDEX($AO$72:$AU$76,,$AD425), 1 / ($AV$72:$AV$76*BK425 + (1-$AV$72:$AV$76)*BG425), N($AK$72:$AK$76&gt;$AI425)),
SUMPRODUCT(INDEX($AL$67:$AN$76,,$AE425), INDEX($AO$67:$AU$76,,$AD425), 1 / ($AW$67:$AW$76*BK425 + (1-$AW$67:$AW$76)*BG425), N($AK$67:$AK$76&gt;$AI425))
) / 1000</f>
        <v>0</v>
      </c>
      <c r="BM425" s="250">
        <f t="shared" si="521"/>
        <v>25</v>
      </c>
      <c r="BN425" s="237">
        <f t="shared" si="499"/>
        <v>39.516666666666666</v>
      </c>
      <c r="BO425" s="253">
        <f t="shared" si="500"/>
        <v>3.877011788826243</v>
      </c>
      <c r="BP425" s="253" cm="1">
        <f t="array" ref="BP425">$BC425 * IF($AD425&lt;=2,
SUMPRODUCT(INDEX($AL$67:$AN$71,,$AE425), INDEX($AO$67:$AU$71,,$AD425), 1 / ($AV$67:$AV$71*BO425 + (1-$AV$67:$AV$71)*BK425), N($AK$67:$AK$71&gt;$AI425)),
SUMPRODUCT(INDEX($AL$57:$AN$66,,$AE425), INDEX($AO$57:$AU$66,,$AD425), 1 / ($AW$57:$AW$66*BO425 + (1-$AW$57:$AW$66)*BK425), N($AK$57:$AK$66&gt;$AI425))
) / 1000</f>
        <v>0</v>
      </c>
      <c r="BQ425" s="250">
        <f t="shared" si="522"/>
        <v>20</v>
      </c>
      <c r="BR425" s="237">
        <f t="shared" si="501"/>
        <v>33</v>
      </c>
      <c r="BS425" s="253">
        <f t="shared" si="502"/>
        <v>4.8487499999999999</v>
      </c>
      <c r="BT425" s="253" cm="1">
        <f t="array" ref="BT425">$BC425 * IF($AD425&lt;=2,
SUMPRODUCT(INDEX($AL$62:$AN$66,,$AE425), INDEX($AO$62:$AU$66,,$AD425), 1 / ($AV$62:$AV$66*BS425 + (1-$AV$62:$AV$66)*BO425), N($AK$62:$AK$66&gt;$AI425)),
SUMPRODUCT(INDEX($AL$47:$AN$56,,$AE425), INDEX($AO$47:$AU$56,,$AD425), 1 / ($AW$47:$AW$56*BS425 + (1-$AW$47:$AW$56)*BO425), N($AK$47:$AK$56&gt;$AI425))
) / 1000</f>
        <v>0</v>
      </c>
      <c r="BU425" s="253" cm="1">
        <f t="array" ref="BU425">$BC425 * IF($AD425&lt;=2,
SUMPRODUCT(INDEX($AL$23:$AN$61,,$AE425), INDEX($AO$23:$AU$61,,$AD425), 1 / ($AV$23:$AV$61*BS425), N($AK$23:$AK$61&gt;$AI425)),
SUMPRODUCT(INDEX($AL$23:$AN$46,,$AE425), INDEX($AO$23:$AU$46,,$AD425), 1 / ($AW$23:$AW$46*BS425), N($AK$23:$AK$46&gt;$AI425))
) / 1000</f>
        <v>0</v>
      </c>
      <c r="BV425" s="237">
        <f t="shared" si="503"/>
        <v>0</v>
      </c>
      <c r="BW425" s="210"/>
      <c r="BX425" s="237">
        <f t="shared" si="504"/>
        <v>0</v>
      </c>
      <c r="BY425" s="236">
        <v>35</v>
      </c>
      <c r="BZ425" s="237">
        <f t="shared" si="505"/>
        <v>48</v>
      </c>
      <c r="CA425" s="253">
        <f t="shared" si="506"/>
        <v>3.0748170731707316</v>
      </c>
      <c r="CB425" s="253" cm="1">
        <f t="array" ref="CB425">$BC425 * SUMPRODUCT(INDEX($AL$77:$AN$82,,$AE425),INDEX($AO$77:$AU$82,,$AD425), N($AK$77:$AK$82&gt;$AI425)) / CA425 / 1000</f>
        <v>0</v>
      </c>
      <c r="CC425" s="250">
        <f t="shared" si="523"/>
        <v>30</v>
      </c>
      <c r="CD425" s="237">
        <f t="shared" si="507"/>
        <v>43</v>
      </c>
      <c r="CE425" s="253">
        <f t="shared" si="508"/>
        <v>3.5018750000000001</v>
      </c>
      <c r="CF425" s="253" cm="1">
        <f t="array" ref="CF425">$BC425 * IF($AD425&lt;=2,
SUMPRODUCT(INDEX($AL$72:$AN$76,,$AE425), INDEX($AO$72:$AU$76,,$AD425), 1 / ($AV$72:$AV$76*CE425 + (1-$AV$72:$AV$76)*CA425), N($AK$72:$AK$76&gt;$AI425)),
SUMPRODUCT(INDEX($AL$67:$AN$76,,$AE425), INDEX($AO$67:$AU$76,,$AD425), 1 / ($AW$67:$AW$76*CE425 + (1-$AW$67:$AW$76)*CA425), N($AK$67:$AK$76&gt;$AI425))
) / 1000</f>
        <v>0</v>
      </c>
      <c r="CG425" s="250">
        <f t="shared" si="524"/>
        <v>25</v>
      </c>
      <c r="CH425" s="237">
        <f t="shared" si="509"/>
        <v>38</v>
      </c>
      <c r="CI425" s="253">
        <f t="shared" si="510"/>
        <v>4.0666935483870965</v>
      </c>
      <c r="CJ425" s="253" cm="1">
        <f t="array" ref="CJ425">$BC425 * IF($AD425&lt;=2,
SUMPRODUCT(INDEX($AL$67:$AN$71,,$AE425), INDEX($AO$67:$AU$71,,$AD425), 1 / ($AV$67:$AV$71*CI425 + (1-$AV$67:$AV$71)*CE425), N($AK$67:$AK$71&gt;$AI425)),
SUMPRODUCT(INDEX($AL$57:$AN$66,,$AE425), INDEX($AO$57:$AU$66,,$AD425), 1 / ($AW$57:$AW$66*CI425 + (1-$AW$57:$AW$66)*CE425), N($AK$57:$AK$66&gt;$AI425))
) / 1000</f>
        <v>0</v>
      </c>
      <c r="CK425" s="250">
        <f t="shared" si="525"/>
        <v>20</v>
      </c>
      <c r="CL425" s="237">
        <f t="shared" si="511"/>
        <v>33</v>
      </c>
      <c r="CM425" s="253">
        <f t="shared" si="512"/>
        <v>4.8487499999999999</v>
      </c>
      <c r="CN425" s="253" cm="1">
        <f t="array" ref="CN425">$BC425 * IF($AD425&lt;=2,
SUMPRODUCT(INDEX($AL$62:$AN$66,,$AE425), INDEX($AO$62:$AU$66,,$AD425), 1 / ($AV$62:$AV$66*CM425 + (1-$AV$62:$AV$66)*CI425), N($AK$62:$AK$66&gt;$AI425)),
SUMPRODUCT(INDEX($AL$47:$AN$56,,$AE425), INDEX($AO$47:$AU$56,,$AD425), 1 / ($AW$47:$AW$56*CM425 + (1-$AW$47:$AW$56)*CI425), N($AK$47:$AK$56&gt;$AI425))
) / 1000</f>
        <v>0</v>
      </c>
      <c r="CO425" s="253" cm="1">
        <f t="array" ref="CO425">$BC425 * IF($AD425&lt;=2,
SUMPRODUCT(INDEX($AL$23:$AN$61,,$AE425), INDEX($AO$23:$AU$61,,$AD425), 1 / ($AV$23:$AV$61*CM425), N($AK$23:$AK$61&gt;$AI425)),
SUMPRODUCT(INDEX($AL$23:$AN$46,,$AE425), INDEX($AO$23:$AU$46,,$AD425), 1 / ($AW$23:$AW$46*CM425), N($AK$23:$AK$46&gt;$AI425))
) / 1000</f>
        <v>0</v>
      </c>
      <c r="CP425" s="237">
        <f t="shared" si="513"/>
        <v>0</v>
      </c>
      <c r="CQ425" s="210"/>
    </row>
    <row r="426" spans="1:95" s="76" customFormat="1" ht="14.25" customHeight="1" x14ac:dyDescent="0.2">
      <c r="A426" s="238" t="b">
        <f t="shared" si="517"/>
        <v>0</v>
      </c>
      <c r="B426" s="239">
        <v>404</v>
      </c>
      <c r="C426" s="258"/>
      <c r="D426" s="258"/>
      <c r="E426" s="240"/>
      <c r="F426" s="241" t="str">
        <f>IF(ISBLANK(E426), "", VLOOKUP(E426, Z!$A$2:$C$4127, 3, FALSE))</f>
        <v/>
      </c>
      <c r="G426" s="242"/>
      <c r="H426" s="242"/>
      <c r="I426" s="243"/>
      <c r="J426" s="244"/>
      <c r="K426" s="259"/>
      <c r="L426" s="260"/>
      <c r="M426" s="247" t="str" cm="1">
        <f t="array" ref="M426">IF($K426&gt;0, INDEX(Clean,1+AG426,$C$1), "")</f>
        <v/>
      </c>
      <c r="N426" s="245"/>
      <c r="O426" s="245"/>
      <c r="P426" s="246"/>
      <c r="Q426" s="248">
        <f t="shared" si="490"/>
        <v>0</v>
      </c>
      <c r="R426" s="247" t="str" cm="1">
        <f t="array" ref="R426">IF($K426&gt;0, INDEX(Clean,1+AH426,$C$1), "")</f>
        <v/>
      </c>
      <c r="S426" s="245"/>
      <c r="T426" s="245"/>
      <c r="U426" s="246"/>
      <c r="V426" s="248">
        <f t="shared" si="491"/>
        <v>0</v>
      </c>
      <c r="W426" s="261"/>
      <c r="X426" s="258"/>
      <c r="Y426" s="240"/>
      <c r="Z426" s="241" t="str">
        <f>IF(ISBLANK(Y426), "", VLOOKUP(Y426, Z!$A$2:$C$4127, 3, FALSE))</f>
        <v/>
      </c>
      <c r="AA426" s="262"/>
      <c r="AB426" s="249">
        <f t="shared" si="526"/>
        <v>0</v>
      </c>
      <c r="AC426" s="210"/>
      <c r="AD426" s="236">
        <f t="shared" si="514"/>
        <v>1</v>
      </c>
      <c r="AE426" s="236">
        <f t="shared" si="515"/>
        <v>1</v>
      </c>
      <c r="AF426" s="236">
        <f t="shared" si="516"/>
        <v>0</v>
      </c>
      <c r="AG426" s="236">
        <v>1</v>
      </c>
      <c r="AH426" s="236">
        <v>0</v>
      </c>
      <c r="AI426" s="236">
        <f t="shared" si="492"/>
        <v>-100</v>
      </c>
      <c r="AJ426" s="210"/>
      <c r="AK426" s="254"/>
      <c r="AL426" s="254"/>
      <c r="AM426" s="255"/>
      <c r="AN426" s="255"/>
      <c r="AO426" s="255"/>
      <c r="AP426" s="255"/>
      <c r="AQ426" s="255"/>
      <c r="AR426" s="255"/>
      <c r="AS426" s="255"/>
      <c r="AT426" s="255"/>
      <c r="AU426" s="255"/>
      <c r="AV426" s="255"/>
      <c r="AW426" s="255"/>
      <c r="AX426" s="210"/>
      <c r="AY426" s="236" cm="1">
        <f t="array" ref="AY426">INDEX(Use, $AD426, 4)</f>
        <v>7</v>
      </c>
      <c r="AZ426" s="236">
        <f t="shared" si="493"/>
        <v>32</v>
      </c>
      <c r="BA426" s="236">
        <f t="shared" si="518"/>
        <v>13</v>
      </c>
      <c r="BB426" s="236">
        <f t="shared" si="519"/>
        <v>0</v>
      </c>
      <c r="BC426" s="252" cm="1">
        <f t="array" ref="BC426">K426/IF($L426&gt;0, INDEX($AO$23:$AU$77, $L426+20, $AD426), 1)</f>
        <v>0</v>
      </c>
      <c r="BD426" s="237">
        <f t="shared" si="494"/>
        <v>0</v>
      </c>
      <c r="BE426" s="236">
        <v>35</v>
      </c>
      <c r="BF426" s="237">
        <f t="shared" si="495"/>
        <v>52.55</v>
      </c>
      <c r="BG426" s="253">
        <f t="shared" si="496"/>
        <v>2.7676728869374316</v>
      </c>
      <c r="BH426" s="253" cm="1">
        <f t="array" ref="BH426">$BC426 * SUMPRODUCT(INDEX($AL$77:$AN$82,,$AE426),INDEX($AO$77:$AU$82,,$AD426), N($AK$77:$AK$82&gt;$AI426)) / BG426 / 1000</f>
        <v>0</v>
      </c>
      <c r="BI426" s="250">
        <f t="shared" si="520"/>
        <v>30</v>
      </c>
      <c r="BJ426" s="237">
        <f t="shared" si="497"/>
        <v>46.033333333333331</v>
      </c>
      <c r="BK426" s="253">
        <f t="shared" si="498"/>
        <v>3.2297395388556791</v>
      </c>
      <c r="BL426" s="253" cm="1">
        <f t="array" ref="BL426">$BC426 * IF($AD426&lt;=2,
SUMPRODUCT(INDEX($AL$72:$AN$76,,$AE426), INDEX($AO$72:$AU$76,,$AD426), 1 / ($AV$72:$AV$76*BK426 + (1-$AV$72:$AV$76)*BG426), N($AK$72:$AK$76&gt;$AI426)),
SUMPRODUCT(INDEX($AL$67:$AN$76,,$AE426), INDEX($AO$67:$AU$76,,$AD426), 1 / ($AW$67:$AW$76*BK426 + (1-$AW$67:$AW$76)*BG426), N($AK$67:$AK$76&gt;$AI426))
) / 1000</f>
        <v>0</v>
      </c>
      <c r="BM426" s="250">
        <f t="shared" si="521"/>
        <v>25</v>
      </c>
      <c r="BN426" s="237">
        <f t="shared" si="499"/>
        <v>39.516666666666666</v>
      </c>
      <c r="BO426" s="253">
        <f t="shared" si="500"/>
        <v>3.877011788826243</v>
      </c>
      <c r="BP426" s="253" cm="1">
        <f t="array" ref="BP426">$BC426 * IF($AD426&lt;=2,
SUMPRODUCT(INDEX($AL$67:$AN$71,,$AE426), INDEX($AO$67:$AU$71,,$AD426), 1 / ($AV$67:$AV$71*BO426 + (1-$AV$67:$AV$71)*BK426), N($AK$67:$AK$71&gt;$AI426)),
SUMPRODUCT(INDEX($AL$57:$AN$66,,$AE426), INDEX($AO$57:$AU$66,,$AD426), 1 / ($AW$57:$AW$66*BO426 + (1-$AW$57:$AW$66)*BK426), N($AK$57:$AK$66&gt;$AI426))
) / 1000</f>
        <v>0</v>
      </c>
      <c r="BQ426" s="250">
        <f t="shared" si="522"/>
        <v>20</v>
      </c>
      <c r="BR426" s="237">
        <f t="shared" si="501"/>
        <v>33</v>
      </c>
      <c r="BS426" s="253">
        <f t="shared" si="502"/>
        <v>4.8487499999999999</v>
      </c>
      <c r="BT426" s="253" cm="1">
        <f t="array" ref="BT426">$BC426 * IF($AD426&lt;=2,
SUMPRODUCT(INDEX($AL$62:$AN$66,,$AE426), INDEX($AO$62:$AU$66,,$AD426), 1 / ($AV$62:$AV$66*BS426 + (1-$AV$62:$AV$66)*BO426), N($AK$62:$AK$66&gt;$AI426)),
SUMPRODUCT(INDEX($AL$47:$AN$56,,$AE426), INDEX($AO$47:$AU$56,,$AD426), 1 / ($AW$47:$AW$56*BS426 + (1-$AW$47:$AW$56)*BO426), N($AK$47:$AK$56&gt;$AI426))
) / 1000</f>
        <v>0</v>
      </c>
      <c r="BU426" s="253" cm="1">
        <f t="array" ref="BU426">$BC426 * IF($AD426&lt;=2,
SUMPRODUCT(INDEX($AL$23:$AN$61,,$AE426), INDEX($AO$23:$AU$61,,$AD426), 1 / ($AV$23:$AV$61*BS426), N($AK$23:$AK$61&gt;$AI426)),
SUMPRODUCT(INDEX($AL$23:$AN$46,,$AE426), INDEX($AO$23:$AU$46,,$AD426), 1 / ($AW$23:$AW$46*BS426), N($AK$23:$AK$46&gt;$AI426))
) / 1000</f>
        <v>0</v>
      </c>
      <c r="BV426" s="237">
        <f t="shared" si="503"/>
        <v>0</v>
      </c>
      <c r="BW426" s="210"/>
      <c r="BX426" s="237">
        <f t="shared" si="504"/>
        <v>0</v>
      </c>
      <c r="BY426" s="236">
        <v>35</v>
      </c>
      <c r="BZ426" s="237">
        <f t="shared" si="505"/>
        <v>48</v>
      </c>
      <c r="CA426" s="253">
        <f t="shared" si="506"/>
        <v>3.0748170731707316</v>
      </c>
      <c r="CB426" s="253" cm="1">
        <f t="array" ref="CB426">$BC426 * SUMPRODUCT(INDEX($AL$77:$AN$82,,$AE426),INDEX($AO$77:$AU$82,,$AD426), N($AK$77:$AK$82&gt;$AI426)) / CA426 / 1000</f>
        <v>0</v>
      </c>
      <c r="CC426" s="250">
        <f t="shared" si="523"/>
        <v>30</v>
      </c>
      <c r="CD426" s="237">
        <f t="shared" si="507"/>
        <v>43</v>
      </c>
      <c r="CE426" s="253">
        <f t="shared" si="508"/>
        <v>3.5018750000000001</v>
      </c>
      <c r="CF426" s="253" cm="1">
        <f t="array" ref="CF426">$BC426 * IF($AD426&lt;=2,
SUMPRODUCT(INDEX($AL$72:$AN$76,,$AE426), INDEX($AO$72:$AU$76,,$AD426), 1 / ($AV$72:$AV$76*CE426 + (1-$AV$72:$AV$76)*CA426), N($AK$72:$AK$76&gt;$AI426)),
SUMPRODUCT(INDEX($AL$67:$AN$76,,$AE426), INDEX($AO$67:$AU$76,,$AD426), 1 / ($AW$67:$AW$76*CE426 + (1-$AW$67:$AW$76)*CA426), N($AK$67:$AK$76&gt;$AI426))
) / 1000</f>
        <v>0</v>
      </c>
      <c r="CG426" s="250">
        <f t="shared" si="524"/>
        <v>25</v>
      </c>
      <c r="CH426" s="237">
        <f t="shared" si="509"/>
        <v>38</v>
      </c>
      <c r="CI426" s="253">
        <f t="shared" si="510"/>
        <v>4.0666935483870965</v>
      </c>
      <c r="CJ426" s="253" cm="1">
        <f t="array" ref="CJ426">$BC426 * IF($AD426&lt;=2,
SUMPRODUCT(INDEX($AL$67:$AN$71,,$AE426), INDEX($AO$67:$AU$71,,$AD426), 1 / ($AV$67:$AV$71*CI426 + (1-$AV$67:$AV$71)*CE426), N($AK$67:$AK$71&gt;$AI426)),
SUMPRODUCT(INDEX($AL$57:$AN$66,,$AE426), INDEX($AO$57:$AU$66,,$AD426), 1 / ($AW$57:$AW$66*CI426 + (1-$AW$57:$AW$66)*CE426), N($AK$57:$AK$66&gt;$AI426))
) / 1000</f>
        <v>0</v>
      </c>
      <c r="CK426" s="250">
        <f t="shared" si="525"/>
        <v>20</v>
      </c>
      <c r="CL426" s="237">
        <f t="shared" si="511"/>
        <v>33</v>
      </c>
      <c r="CM426" s="253">
        <f t="shared" si="512"/>
        <v>4.8487499999999999</v>
      </c>
      <c r="CN426" s="253" cm="1">
        <f t="array" ref="CN426">$BC426 * IF($AD426&lt;=2,
SUMPRODUCT(INDEX($AL$62:$AN$66,,$AE426), INDEX($AO$62:$AU$66,,$AD426), 1 / ($AV$62:$AV$66*CM426 + (1-$AV$62:$AV$66)*CI426), N($AK$62:$AK$66&gt;$AI426)),
SUMPRODUCT(INDEX($AL$47:$AN$56,,$AE426), INDEX($AO$47:$AU$56,,$AD426), 1 / ($AW$47:$AW$56*CM426 + (1-$AW$47:$AW$56)*CI426), N($AK$47:$AK$56&gt;$AI426))
) / 1000</f>
        <v>0</v>
      </c>
      <c r="CO426" s="253" cm="1">
        <f t="array" ref="CO426">$BC426 * IF($AD426&lt;=2,
SUMPRODUCT(INDEX($AL$23:$AN$61,,$AE426), INDEX($AO$23:$AU$61,,$AD426), 1 / ($AV$23:$AV$61*CM426), N($AK$23:$AK$61&gt;$AI426)),
SUMPRODUCT(INDEX($AL$23:$AN$46,,$AE426), INDEX($AO$23:$AU$46,,$AD426), 1 / ($AW$23:$AW$46*CM426), N($AK$23:$AK$46&gt;$AI426))
) / 1000</f>
        <v>0</v>
      </c>
      <c r="CP426" s="237">
        <f t="shared" si="513"/>
        <v>0</v>
      </c>
      <c r="CQ426" s="210"/>
    </row>
    <row r="427" spans="1:95" s="76" customFormat="1" ht="14.25" customHeight="1" x14ac:dyDescent="0.2">
      <c r="A427" s="238" t="b">
        <f t="shared" si="517"/>
        <v>0</v>
      </c>
      <c r="B427" s="239">
        <v>405</v>
      </c>
      <c r="C427" s="258"/>
      <c r="D427" s="258"/>
      <c r="E427" s="240"/>
      <c r="F427" s="241" t="str">
        <f>IF(ISBLANK(E427), "", VLOOKUP(E427, Z!$A$2:$C$4127, 3, FALSE))</f>
        <v/>
      </c>
      <c r="G427" s="242"/>
      <c r="H427" s="242"/>
      <c r="I427" s="243"/>
      <c r="J427" s="244"/>
      <c r="K427" s="259"/>
      <c r="L427" s="260"/>
      <c r="M427" s="247" t="str" cm="1">
        <f t="array" ref="M427">IF($K427&gt;0, INDEX(Clean,1+AG427,$C$1), "")</f>
        <v/>
      </c>
      <c r="N427" s="245"/>
      <c r="O427" s="245"/>
      <c r="P427" s="246"/>
      <c r="Q427" s="248">
        <f t="shared" si="490"/>
        <v>0</v>
      </c>
      <c r="R427" s="247" t="str" cm="1">
        <f t="array" ref="R427">IF($K427&gt;0, INDEX(Clean,1+AH427,$C$1), "")</f>
        <v/>
      </c>
      <c r="S427" s="245"/>
      <c r="T427" s="245"/>
      <c r="U427" s="246"/>
      <c r="V427" s="248">
        <f t="shared" si="491"/>
        <v>0</v>
      </c>
      <c r="W427" s="261"/>
      <c r="X427" s="258"/>
      <c r="Y427" s="240"/>
      <c r="Z427" s="241" t="str">
        <f>IF(ISBLANK(Y427), "", VLOOKUP(Y427, Z!$A$2:$C$4127, 3, FALSE))</f>
        <v/>
      </c>
      <c r="AA427" s="262"/>
      <c r="AB427" s="249">
        <f t="shared" si="526"/>
        <v>0</v>
      </c>
      <c r="AC427" s="210"/>
      <c r="AD427" s="236">
        <f t="shared" si="514"/>
        <v>1</v>
      </c>
      <c r="AE427" s="236">
        <f t="shared" si="515"/>
        <v>1</v>
      </c>
      <c r="AF427" s="236">
        <f t="shared" si="516"/>
        <v>0</v>
      </c>
      <c r="AG427" s="236">
        <v>1</v>
      </c>
      <c r="AH427" s="236">
        <v>0</v>
      </c>
      <c r="AI427" s="236">
        <f t="shared" si="492"/>
        <v>-100</v>
      </c>
      <c r="AJ427" s="210"/>
      <c r="AK427" s="254"/>
      <c r="AL427" s="254"/>
      <c r="AM427" s="255"/>
      <c r="AN427" s="255"/>
      <c r="AO427" s="255"/>
      <c r="AP427" s="255"/>
      <c r="AQ427" s="255"/>
      <c r="AR427" s="255"/>
      <c r="AS427" s="255"/>
      <c r="AT427" s="255"/>
      <c r="AU427" s="255"/>
      <c r="AV427" s="255"/>
      <c r="AW427" s="255"/>
      <c r="AX427" s="210"/>
      <c r="AY427" s="236" cm="1">
        <f t="array" ref="AY427">INDEX(Use, $AD427, 4)</f>
        <v>7</v>
      </c>
      <c r="AZ427" s="236">
        <f t="shared" si="493"/>
        <v>32</v>
      </c>
      <c r="BA427" s="236">
        <f t="shared" si="518"/>
        <v>13</v>
      </c>
      <c r="BB427" s="236">
        <f t="shared" si="519"/>
        <v>0</v>
      </c>
      <c r="BC427" s="252" cm="1">
        <f t="array" ref="BC427">K427/IF($L427&gt;0, INDEX($AO$23:$AU$77, $L427+20, $AD427), 1)</f>
        <v>0</v>
      </c>
      <c r="BD427" s="237">
        <f t="shared" si="494"/>
        <v>0</v>
      </c>
      <c r="BE427" s="236">
        <v>35</v>
      </c>
      <c r="BF427" s="237">
        <f t="shared" si="495"/>
        <v>52.55</v>
      </c>
      <c r="BG427" s="253">
        <f t="shared" si="496"/>
        <v>2.7676728869374316</v>
      </c>
      <c r="BH427" s="253" cm="1">
        <f t="array" ref="BH427">$BC427 * SUMPRODUCT(INDEX($AL$77:$AN$82,,$AE427),INDEX($AO$77:$AU$82,,$AD427), N($AK$77:$AK$82&gt;$AI427)) / BG427 / 1000</f>
        <v>0</v>
      </c>
      <c r="BI427" s="250">
        <f t="shared" si="520"/>
        <v>30</v>
      </c>
      <c r="BJ427" s="237">
        <f t="shared" si="497"/>
        <v>46.033333333333331</v>
      </c>
      <c r="BK427" s="253">
        <f t="shared" si="498"/>
        <v>3.2297395388556791</v>
      </c>
      <c r="BL427" s="253" cm="1">
        <f t="array" ref="BL427">$BC427 * IF($AD427&lt;=2,
SUMPRODUCT(INDEX($AL$72:$AN$76,,$AE427), INDEX($AO$72:$AU$76,,$AD427), 1 / ($AV$72:$AV$76*BK427 + (1-$AV$72:$AV$76)*BG427), N($AK$72:$AK$76&gt;$AI427)),
SUMPRODUCT(INDEX($AL$67:$AN$76,,$AE427), INDEX($AO$67:$AU$76,,$AD427), 1 / ($AW$67:$AW$76*BK427 + (1-$AW$67:$AW$76)*BG427), N($AK$67:$AK$76&gt;$AI427))
) / 1000</f>
        <v>0</v>
      </c>
      <c r="BM427" s="250">
        <f t="shared" si="521"/>
        <v>25</v>
      </c>
      <c r="BN427" s="237">
        <f t="shared" si="499"/>
        <v>39.516666666666666</v>
      </c>
      <c r="BO427" s="253">
        <f t="shared" si="500"/>
        <v>3.877011788826243</v>
      </c>
      <c r="BP427" s="253" cm="1">
        <f t="array" ref="BP427">$BC427 * IF($AD427&lt;=2,
SUMPRODUCT(INDEX($AL$67:$AN$71,,$AE427), INDEX($AO$67:$AU$71,,$AD427), 1 / ($AV$67:$AV$71*BO427 + (1-$AV$67:$AV$71)*BK427), N($AK$67:$AK$71&gt;$AI427)),
SUMPRODUCT(INDEX($AL$57:$AN$66,,$AE427), INDEX($AO$57:$AU$66,,$AD427), 1 / ($AW$57:$AW$66*BO427 + (1-$AW$57:$AW$66)*BK427), N($AK$57:$AK$66&gt;$AI427))
) / 1000</f>
        <v>0</v>
      </c>
      <c r="BQ427" s="250">
        <f t="shared" si="522"/>
        <v>20</v>
      </c>
      <c r="BR427" s="237">
        <f t="shared" si="501"/>
        <v>33</v>
      </c>
      <c r="BS427" s="253">
        <f t="shared" si="502"/>
        <v>4.8487499999999999</v>
      </c>
      <c r="BT427" s="253" cm="1">
        <f t="array" ref="BT427">$BC427 * IF($AD427&lt;=2,
SUMPRODUCT(INDEX($AL$62:$AN$66,,$AE427), INDEX($AO$62:$AU$66,,$AD427), 1 / ($AV$62:$AV$66*BS427 + (1-$AV$62:$AV$66)*BO427), N($AK$62:$AK$66&gt;$AI427)),
SUMPRODUCT(INDEX($AL$47:$AN$56,,$AE427), INDEX($AO$47:$AU$56,,$AD427), 1 / ($AW$47:$AW$56*BS427 + (1-$AW$47:$AW$56)*BO427), N($AK$47:$AK$56&gt;$AI427))
) / 1000</f>
        <v>0</v>
      </c>
      <c r="BU427" s="253" cm="1">
        <f t="array" ref="BU427">$BC427 * IF($AD427&lt;=2,
SUMPRODUCT(INDEX($AL$23:$AN$61,,$AE427), INDEX($AO$23:$AU$61,,$AD427), 1 / ($AV$23:$AV$61*BS427), N($AK$23:$AK$61&gt;$AI427)),
SUMPRODUCT(INDEX($AL$23:$AN$46,,$AE427), INDEX($AO$23:$AU$46,,$AD427), 1 / ($AW$23:$AW$46*BS427), N($AK$23:$AK$46&gt;$AI427))
) / 1000</f>
        <v>0</v>
      </c>
      <c r="BV427" s="237">
        <f t="shared" si="503"/>
        <v>0</v>
      </c>
      <c r="BW427" s="210"/>
      <c r="BX427" s="237">
        <f t="shared" si="504"/>
        <v>0</v>
      </c>
      <c r="BY427" s="236">
        <v>35</v>
      </c>
      <c r="BZ427" s="237">
        <f t="shared" si="505"/>
        <v>48</v>
      </c>
      <c r="CA427" s="253">
        <f t="shared" si="506"/>
        <v>3.0748170731707316</v>
      </c>
      <c r="CB427" s="253" cm="1">
        <f t="array" ref="CB427">$BC427 * SUMPRODUCT(INDEX($AL$77:$AN$82,,$AE427),INDEX($AO$77:$AU$82,,$AD427), N($AK$77:$AK$82&gt;$AI427)) / CA427 / 1000</f>
        <v>0</v>
      </c>
      <c r="CC427" s="250">
        <f t="shared" si="523"/>
        <v>30</v>
      </c>
      <c r="CD427" s="237">
        <f t="shared" si="507"/>
        <v>43</v>
      </c>
      <c r="CE427" s="253">
        <f t="shared" si="508"/>
        <v>3.5018750000000001</v>
      </c>
      <c r="CF427" s="253" cm="1">
        <f t="array" ref="CF427">$BC427 * IF($AD427&lt;=2,
SUMPRODUCT(INDEX($AL$72:$AN$76,,$AE427), INDEX($AO$72:$AU$76,,$AD427), 1 / ($AV$72:$AV$76*CE427 + (1-$AV$72:$AV$76)*CA427), N($AK$72:$AK$76&gt;$AI427)),
SUMPRODUCT(INDEX($AL$67:$AN$76,,$AE427), INDEX($AO$67:$AU$76,,$AD427), 1 / ($AW$67:$AW$76*CE427 + (1-$AW$67:$AW$76)*CA427), N($AK$67:$AK$76&gt;$AI427))
) / 1000</f>
        <v>0</v>
      </c>
      <c r="CG427" s="250">
        <f t="shared" si="524"/>
        <v>25</v>
      </c>
      <c r="CH427" s="237">
        <f t="shared" si="509"/>
        <v>38</v>
      </c>
      <c r="CI427" s="253">
        <f t="shared" si="510"/>
        <v>4.0666935483870965</v>
      </c>
      <c r="CJ427" s="253" cm="1">
        <f t="array" ref="CJ427">$BC427 * IF($AD427&lt;=2,
SUMPRODUCT(INDEX($AL$67:$AN$71,,$AE427), INDEX($AO$67:$AU$71,,$AD427), 1 / ($AV$67:$AV$71*CI427 + (1-$AV$67:$AV$71)*CE427), N($AK$67:$AK$71&gt;$AI427)),
SUMPRODUCT(INDEX($AL$57:$AN$66,,$AE427), INDEX($AO$57:$AU$66,,$AD427), 1 / ($AW$57:$AW$66*CI427 + (1-$AW$57:$AW$66)*CE427), N($AK$57:$AK$66&gt;$AI427))
) / 1000</f>
        <v>0</v>
      </c>
      <c r="CK427" s="250">
        <f t="shared" si="525"/>
        <v>20</v>
      </c>
      <c r="CL427" s="237">
        <f t="shared" si="511"/>
        <v>33</v>
      </c>
      <c r="CM427" s="253">
        <f t="shared" si="512"/>
        <v>4.8487499999999999</v>
      </c>
      <c r="CN427" s="253" cm="1">
        <f t="array" ref="CN427">$BC427 * IF($AD427&lt;=2,
SUMPRODUCT(INDEX($AL$62:$AN$66,,$AE427), INDEX($AO$62:$AU$66,,$AD427), 1 / ($AV$62:$AV$66*CM427 + (1-$AV$62:$AV$66)*CI427), N($AK$62:$AK$66&gt;$AI427)),
SUMPRODUCT(INDEX($AL$47:$AN$56,,$AE427), INDEX($AO$47:$AU$56,,$AD427), 1 / ($AW$47:$AW$56*CM427 + (1-$AW$47:$AW$56)*CI427), N($AK$47:$AK$56&gt;$AI427))
) / 1000</f>
        <v>0</v>
      </c>
      <c r="CO427" s="253" cm="1">
        <f t="array" ref="CO427">$BC427 * IF($AD427&lt;=2,
SUMPRODUCT(INDEX($AL$23:$AN$61,,$AE427), INDEX($AO$23:$AU$61,,$AD427), 1 / ($AV$23:$AV$61*CM427), N($AK$23:$AK$61&gt;$AI427)),
SUMPRODUCT(INDEX($AL$23:$AN$46,,$AE427), INDEX($AO$23:$AU$46,,$AD427), 1 / ($AW$23:$AW$46*CM427), N($AK$23:$AK$46&gt;$AI427))
) / 1000</f>
        <v>0</v>
      </c>
      <c r="CP427" s="237">
        <f t="shared" si="513"/>
        <v>0</v>
      </c>
      <c r="CQ427" s="210"/>
    </row>
    <row r="428" spans="1:95" s="76" customFormat="1" ht="14.25" customHeight="1" x14ac:dyDescent="0.2">
      <c r="A428" s="238" t="b">
        <f t="shared" si="517"/>
        <v>0</v>
      </c>
      <c r="B428" s="239">
        <v>406</v>
      </c>
      <c r="C428" s="258"/>
      <c r="D428" s="258"/>
      <c r="E428" s="240"/>
      <c r="F428" s="241" t="str">
        <f>IF(ISBLANK(E428), "", VLOOKUP(E428, Z!$A$2:$C$4127, 3, FALSE))</f>
        <v/>
      </c>
      <c r="G428" s="242"/>
      <c r="H428" s="242"/>
      <c r="I428" s="243"/>
      <c r="J428" s="244"/>
      <c r="K428" s="259"/>
      <c r="L428" s="260"/>
      <c r="M428" s="247" t="str" cm="1">
        <f t="array" ref="M428">IF($K428&gt;0, INDEX(Clean,1+AG428,$C$1), "")</f>
        <v/>
      </c>
      <c r="N428" s="245"/>
      <c r="O428" s="245"/>
      <c r="P428" s="246"/>
      <c r="Q428" s="248">
        <f t="shared" si="490"/>
        <v>0</v>
      </c>
      <c r="R428" s="247" t="str" cm="1">
        <f t="array" ref="R428">IF($K428&gt;0, INDEX(Clean,1+AH428,$C$1), "")</f>
        <v/>
      </c>
      <c r="S428" s="245"/>
      <c r="T428" s="245"/>
      <c r="U428" s="246"/>
      <c r="V428" s="248">
        <f t="shared" si="491"/>
        <v>0</v>
      </c>
      <c r="W428" s="261"/>
      <c r="X428" s="258"/>
      <c r="Y428" s="240"/>
      <c r="Z428" s="241" t="str">
        <f>IF(ISBLANK(Y428), "", VLOOKUP(Y428, Z!$A$2:$C$4127, 3, FALSE))</f>
        <v/>
      </c>
      <c r="AA428" s="262"/>
      <c r="AB428" s="249">
        <f t="shared" si="526"/>
        <v>0</v>
      </c>
      <c r="AC428" s="210"/>
      <c r="AD428" s="236">
        <f t="shared" si="514"/>
        <v>1</v>
      </c>
      <c r="AE428" s="236">
        <f t="shared" si="515"/>
        <v>1</v>
      </c>
      <c r="AF428" s="236">
        <f t="shared" si="516"/>
        <v>0</v>
      </c>
      <c r="AG428" s="236">
        <v>1</v>
      </c>
      <c r="AH428" s="236">
        <v>0</v>
      </c>
      <c r="AI428" s="236">
        <f t="shared" si="492"/>
        <v>-100</v>
      </c>
      <c r="AJ428" s="210"/>
      <c r="AK428" s="254"/>
      <c r="AL428" s="254"/>
      <c r="AM428" s="255"/>
      <c r="AN428" s="255"/>
      <c r="AO428" s="255"/>
      <c r="AP428" s="255"/>
      <c r="AQ428" s="255"/>
      <c r="AR428" s="255"/>
      <c r="AS428" s="255"/>
      <c r="AT428" s="255"/>
      <c r="AU428" s="255"/>
      <c r="AV428" s="255"/>
      <c r="AW428" s="255"/>
      <c r="AX428" s="210"/>
      <c r="AY428" s="236" cm="1">
        <f t="array" ref="AY428">INDEX(Use, $AD428, 4)</f>
        <v>7</v>
      </c>
      <c r="AZ428" s="236">
        <f t="shared" si="493"/>
        <v>32</v>
      </c>
      <c r="BA428" s="236">
        <f t="shared" si="518"/>
        <v>13</v>
      </c>
      <c r="BB428" s="236">
        <f t="shared" si="519"/>
        <v>0</v>
      </c>
      <c r="BC428" s="252" cm="1">
        <f t="array" ref="BC428">K428/IF($L428&gt;0, INDEX($AO$23:$AU$77, $L428+20, $AD428), 1)</f>
        <v>0</v>
      </c>
      <c r="BD428" s="237">
        <f t="shared" si="494"/>
        <v>0</v>
      </c>
      <c r="BE428" s="236">
        <v>35</v>
      </c>
      <c r="BF428" s="237">
        <f t="shared" si="495"/>
        <v>52.55</v>
      </c>
      <c r="BG428" s="253">
        <f t="shared" si="496"/>
        <v>2.7676728869374316</v>
      </c>
      <c r="BH428" s="253" cm="1">
        <f t="array" ref="BH428">$BC428 * SUMPRODUCT(INDEX($AL$77:$AN$82,,$AE428),INDEX($AO$77:$AU$82,,$AD428), N($AK$77:$AK$82&gt;$AI428)) / BG428 / 1000</f>
        <v>0</v>
      </c>
      <c r="BI428" s="250">
        <f t="shared" si="520"/>
        <v>30</v>
      </c>
      <c r="BJ428" s="237">
        <f t="shared" si="497"/>
        <v>46.033333333333331</v>
      </c>
      <c r="BK428" s="253">
        <f t="shared" si="498"/>
        <v>3.2297395388556791</v>
      </c>
      <c r="BL428" s="253" cm="1">
        <f t="array" ref="BL428">$BC428 * IF($AD428&lt;=2,
SUMPRODUCT(INDEX($AL$72:$AN$76,,$AE428), INDEX($AO$72:$AU$76,,$AD428), 1 / ($AV$72:$AV$76*BK428 + (1-$AV$72:$AV$76)*BG428), N($AK$72:$AK$76&gt;$AI428)),
SUMPRODUCT(INDEX($AL$67:$AN$76,,$AE428), INDEX($AO$67:$AU$76,,$AD428), 1 / ($AW$67:$AW$76*BK428 + (1-$AW$67:$AW$76)*BG428), N($AK$67:$AK$76&gt;$AI428))
) / 1000</f>
        <v>0</v>
      </c>
      <c r="BM428" s="250">
        <f t="shared" si="521"/>
        <v>25</v>
      </c>
      <c r="BN428" s="237">
        <f t="shared" si="499"/>
        <v>39.516666666666666</v>
      </c>
      <c r="BO428" s="253">
        <f t="shared" si="500"/>
        <v>3.877011788826243</v>
      </c>
      <c r="BP428" s="253" cm="1">
        <f t="array" ref="BP428">$BC428 * IF($AD428&lt;=2,
SUMPRODUCT(INDEX($AL$67:$AN$71,,$AE428), INDEX($AO$67:$AU$71,,$AD428), 1 / ($AV$67:$AV$71*BO428 + (1-$AV$67:$AV$71)*BK428), N($AK$67:$AK$71&gt;$AI428)),
SUMPRODUCT(INDEX($AL$57:$AN$66,,$AE428), INDEX($AO$57:$AU$66,,$AD428), 1 / ($AW$57:$AW$66*BO428 + (1-$AW$57:$AW$66)*BK428), N($AK$57:$AK$66&gt;$AI428))
) / 1000</f>
        <v>0</v>
      </c>
      <c r="BQ428" s="250">
        <f t="shared" si="522"/>
        <v>20</v>
      </c>
      <c r="BR428" s="237">
        <f t="shared" si="501"/>
        <v>33</v>
      </c>
      <c r="BS428" s="253">
        <f t="shared" si="502"/>
        <v>4.8487499999999999</v>
      </c>
      <c r="BT428" s="253" cm="1">
        <f t="array" ref="BT428">$BC428 * IF($AD428&lt;=2,
SUMPRODUCT(INDEX($AL$62:$AN$66,,$AE428), INDEX($AO$62:$AU$66,,$AD428), 1 / ($AV$62:$AV$66*BS428 + (1-$AV$62:$AV$66)*BO428), N($AK$62:$AK$66&gt;$AI428)),
SUMPRODUCT(INDEX($AL$47:$AN$56,,$AE428), INDEX($AO$47:$AU$56,,$AD428), 1 / ($AW$47:$AW$56*BS428 + (1-$AW$47:$AW$56)*BO428), N($AK$47:$AK$56&gt;$AI428))
) / 1000</f>
        <v>0</v>
      </c>
      <c r="BU428" s="253" cm="1">
        <f t="array" ref="BU428">$BC428 * IF($AD428&lt;=2,
SUMPRODUCT(INDEX($AL$23:$AN$61,,$AE428), INDEX($AO$23:$AU$61,,$AD428), 1 / ($AV$23:$AV$61*BS428), N($AK$23:$AK$61&gt;$AI428)),
SUMPRODUCT(INDEX($AL$23:$AN$46,,$AE428), INDEX($AO$23:$AU$46,,$AD428), 1 / ($AW$23:$AW$46*BS428), N($AK$23:$AK$46&gt;$AI428))
) / 1000</f>
        <v>0</v>
      </c>
      <c r="BV428" s="237">
        <f t="shared" si="503"/>
        <v>0</v>
      </c>
      <c r="BW428" s="210"/>
      <c r="BX428" s="237">
        <f t="shared" si="504"/>
        <v>0</v>
      </c>
      <c r="BY428" s="236">
        <v>35</v>
      </c>
      <c r="BZ428" s="237">
        <f t="shared" si="505"/>
        <v>48</v>
      </c>
      <c r="CA428" s="253">
        <f t="shared" si="506"/>
        <v>3.0748170731707316</v>
      </c>
      <c r="CB428" s="253" cm="1">
        <f t="array" ref="CB428">$BC428 * SUMPRODUCT(INDEX($AL$77:$AN$82,,$AE428),INDEX($AO$77:$AU$82,,$AD428), N($AK$77:$AK$82&gt;$AI428)) / CA428 / 1000</f>
        <v>0</v>
      </c>
      <c r="CC428" s="250">
        <f t="shared" si="523"/>
        <v>30</v>
      </c>
      <c r="CD428" s="237">
        <f t="shared" si="507"/>
        <v>43</v>
      </c>
      <c r="CE428" s="253">
        <f t="shared" si="508"/>
        <v>3.5018750000000001</v>
      </c>
      <c r="CF428" s="253" cm="1">
        <f t="array" ref="CF428">$BC428 * IF($AD428&lt;=2,
SUMPRODUCT(INDEX($AL$72:$AN$76,,$AE428), INDEX($AO$72:$AU$76,,$AD428), 1 / ($AV$72:$AV$76*CE428 + (1-$AV$72:$AV$76)*CA428), N($AK$72:$AK$76&gt;$AI428)),
SUMPRODUCT(INDEX($AL$67:$AN$76,,$AE428), INDEX($AO$67:$AU$76,,$AD428), 1 / ($AW$67:$AW$76*CE428 + (1-$AW$67:$AW$76)*CA428), N($AK$67:$AK$76&gt;$AI428))
) / 1000</f>
        <v>0</v>
      </c>
      <c r="CG428" s="250">
        <f t="shared" si="524"/>
        <v>25</v>
      </c>
      <c r="CH428" s="237">
        <f t="shared" si="509"/>
        <v>38</v>
      </c>
      <c r="CI428" s="253">
        <f t="shared" si="510"/>
        <v>4.0666935483870965</v>
      </c>
      <c r="CJ428" s="253" cm="1">
        <f t="array" ref="CJ428">$BC428 * IF($AD428&lt;=2,
SUMPRODUCT(INDEX($AL$67:$AN$71,,$AE428), INDEX($AO$67:$AU$71,,$AD428), 1 / ($AV$67:$AV$71*CI428 + (1-$AV$67:$AV$71)*CE428), N($AK$67:$AK$71&gt;$AI428)),
SUMPRODUCT(INDEX($AL$57:$AN$66,,$AE428), INDEX($AO$57:$AU$66,,$AD428), 1 / ($AW$57:$AW$66*CI428 + (1-$AW$57:$AW$66)*CE428), N($AK$57:$AK$66&gt;$AI428))
) / 1000</f>
        <v>0</v>
      </c>
      <c r="CK428" s="250">
        <f t="shared" si="525"/>
        <v>20</v>
      </c>
      <c r="CL428" s="237">
        <f t="shared" si="511"/>
        <v>33</v>
      </c>
      <c r="CM428" s="253">
        <f t="shared" si="512"/>
        <v>4.8487499999999999</v>
      </c>
      <c r="CN428" s="253" cm="1">
        <f t="array" ref="CN428">$BC428 * IF($AD428&lt;=2,
SUMPRODUCT(INDEX($AL$62:$AN$66,,$AE428), INDEX($AO$62:$AU$66,,$AD428), 1 / ($AV$62:$AV$66*CM428 + (1-$AV$62:$AV$66)*CI428), N($AK$62:$AK$66&gt;$AI428)),
SUMPRODUCT(INDEX($AL$47:$AN$56,,$AE428), INDEX($AO$47:$AU$56,,$AD428), 1 / ($AW$47:$AW$56*CM428 + (1-$AW$47:$AW$56)*CI428), N($AK$47:$AK$56&gt;$AI428))
) / 1000</f>
        <v>0</v>
      </c>
      <c r="CO428" s="253" cm="1">
        <f t="array" ref="CO428">$BC428 * IF($AD428&lt;=2,
SUMPRODUCT(INDEX($AL$23:$AN$61,,$AE428), INDEX($AO$23:$AU$61,,$AD428), 1 / ($AV$23:$AV$61*CM428), N($AK$23:$AK$61&gt;$AI428)),
SUMPRODUCT(INDEX($AL$23:$AN$46,,$AE428), INDEX($AO$23:$AU$46,,$AD428), 1 / ($AW$23:$AW$46*CM428), N($AK$23:$AK$46&gt;$AI428))
) / 1000</f>
        <v>0</v>
      </c>
      <c r="CP428" s="237">
        <f t="shared" si="513"/>
        <v>0</v>
      </c>
      <c r="CQ428" s="210"/>
    </row>
    <row r="429" spans="1:95" s="76" customFormat="1" ht="14.25" customHeight="1" x14ac:dyDescent="0.2">
      <c r="A429" s="238" t="b">
        <f t="shared" si="517"/>
        <v>0</v>
      </c>
      <c r="B429" s="239">
        <v>407</v>
      </c>
      <c r="C429" s="258"/>
      <c r="D429" s="258"/>
      <c r="E429" s="240"/>
      <c r="F429" s="241" t="str">
        <f>IF(ISBLANK(E429), "", VLOOKUP(E429, Z!$A$2:$C$4127, 3, FALSE))</f>
        <v/>
      </c>
      <c r="G429" s="242"/>
      <c r="H429" s="242"/>
      <c r="I429" s="243"/>
      <c r="J429" s="244"/>
      <c r="K429" s="259"/>
      <c r="L429" s="260"/>
      <c r="M429" s="247" t="str" cm="1">
        <f t="array" ref="M429">IF($K429&gt;0, INDEX(Clean,1+AG429,$C$1), "")</f>
        <v/>
      </c>
      <c r="N429" s="245"/>
      <c r="O429" s="245"/>
      <c r="P429" s="246"/>
      <c r="Q429" s="248">
        <f t="shared" si="490"/>
        <v>0</v>
      </c>
      <c r="R429" s="247" t="str" cm="1">
        <f t="array" ref="R429">IF($K429&gt;0, INDEX(Clean,1+AH429,$C$1), "")</f>
        <v/>
      </c>
      <c r="S429" s="245"/>
      <c r="T429" s="245"/>
      <c r="U429" s="246"/>
      <c r="V429" s="248">
        <f t="shared" si="491"/>
        <v>0</v>
      </c>
      <c r="W429" s="261"/>
      <c r="X429" s="258"/>
      <c r="Y429" s="240"/>
      <c r="Z429" s="241" t="str">
        <f>IF(ISBLANK(Y429), "", VLOOKUP(Y429, Z!$A$2:$C$4127, 3, FALSE))</f>
        <v/>
      </c>
      <c r="AA429" s="262"/>
      <c r="AB429" s="249">
        <f t="shared" si="526"/>
        <v>0</v>
      </c>
      <c r="AC429" s="210"/>
      <c r="AD429" s="236">
        <f t="shared" si="514"/>
        <v>1</v>
      </c>
      <c r="AE429" s="236">
        <f t="shared" si="515"/>
        <v>1</v>
      </c>
      <c r="AF429" s="236">
        <f t="shared" si="516"/>
        <v>0</v>
      </c>
      <c r="AG429" s="236">
        <v>1</v>
      </c>
      <c r="AH429" s="236">
        <v>0</v>
      </c>
      <c r="AI429" s="236">
        <f t="shared" si="492"/>
        <v>-100</v>
      </c>
      <c r="AJ429" s="210"/>
      <c r="AK429" s="254"/>
      <c r="AL429" s="254"/>
      <c r="AM429" s="255"/>
      <c r="AN429" s="255"/>
      <c r="AO429" s="255"/>
      <c r="AP429" s="255"/>
      <c r="AQ429" s="255"/>
      <c r="AR429" s="255"/>
      <c r="AS429" s="255"/>
      <c r="AT429" s="255"/>
      <c r="AU429" s="255"/>
      <c r="AV429" s="255"/>
      <c r="AW429" s="255"/>
      <c r="AX429" s="210"/>
      <c r="AY429" s="236" cm="1">
        <f t="array" ref="AY429">INDEX(Use, $AD429, 4)</f>
        <v>7</v>
      </c>
      <c r="AZ429" s="236">
        <f t="shared" si="493"/>
        <v>32</v>
      </c>
      <c r="BA429" s="236">
        <f t="shared" si="518"/>
        <v>13</v>
      </c>
      <c r="BB429" s="236">
        <f t="shared" si="519"/>
        <v>0</v>
      </c>
      <c r="BC429" s="252" cm="1">
        <f t="array" ref="BC429">K429/IF($L429&gt;0, INDEX($AO$23:$AU$77, $L429+20, $AD429), 1)</f>
        <v>0</v>
      </c>
      <c r="BD429" s="237">
        <f t="shared" si="494"/>
        <v>0</v>
      </c>
      <c r="BE429" s="236">
        <v>35</v>
      </c>
      <c r="BF429" s="237">
        <f t="shared" si="495"/>
        <v>52.55</v>
      </c>
      <c r="BG429" s="253">
        <f t="shared" si="496"/>
        <v>2.7676728869374316</v>
      </c>
      <c r="BH429" s="253" cm="1">
        <f t="array" ref="BH429">$BC429 * SUMPRODUCT(INDEX($AL$77:$AN$82,,$AE429),INDEX($AO$77:$AU$82,,$AD429), N($AK$77:$AK$82&gt;$AI429)) / BG429 / 1000</f>
        <v>0</v>
      </c>
      <c r="BI429" s="250">
        <f t="shared" si="520"/>
        <v>30</v>
      </c>
      <c r="BJ429" s="237">
        <f t="shared" si="497"/>
        <v>46.033333333333331</v>
      </c>
      <c r="BK429" s="253">
        <f t="shared" si="498"/>
        <v>3.2297395388556791</v>
      </c>
      <c r="BL429" s="253" cm="1">
        <f t="array" ref="BL429">$BC429 * IF($AD429&lt;=2,
SUMPRODUCT(INDEX($AL$72:$AN$76,,$AE429), INDEX($AO$72:$AU$76,,$AD429), 1 / ($AV$72:$AV$76*BK429 + (1-$AV$72:$AV$76)*BG429), N($AK$72:$AK$76&gt;$AI429)),
SUMPRODUCT(INDEX($AL$67:$AN$76,,$AE429), INDEX($AO$67:$AU$76,,$AD429), 1 / ($AW$67:$AW$76*BK429 + (1-$AW$67:$AW$76)*BG429), N($AK$67:$AK$76&gt;$AI429))
) / 1000</f>
        <v>0</v>
      </c>
      <c r="BM429" s="250">
        <f t="shared" si="521"/>
        <v>25</v>
      </c>
      <c r="BN429" s="237">
        <f t="shared" si="499"/>
        <v>39.516666666666666</v>
      </c>
      <c r="BO429" s="253">
        <f t="shared" si="500"/>
        <v>3.877011788826243</v>
      </c>
      <c r="BP429" s="253" cm="1">
        <f t="array" ref="BP429">$BC429 * IF($AD429&lt;=2,
SUMPRODUCT(INDEX($AL$67:$AN$71,,$AE429), INDEX($AO$67:$AU$71,,$AD429), 1 / ($AV$67:$AV$71*BO429 + (1-$AV$67:$AV$71)*BK429), N($AK$67:$AK$71&gt;$AI429)),
SUMPRODUCT(INDEX($AL$57:$AN$66,,$AE429), INDEX($AO$57:$AU$66,,$AD429), 1 / ($AW$57:$AW$66*BO429 + (1-$AW$57:$AW$66)*BK429), N($AK$57:$AK$66&gt;$AI429))
) / 1000</f>
        <v>0</v>
      </c>
      <c r="BQ429" s="250">
        <f t="shared" si="522"/>
        <v>20</v>
      </c>
      <c r="BR429" s="237">
        <f t="shared" si="501"/>
        <v>33</v>
      </c>
      <c r="BS429" s="253">
        <f t="shared" si="502"/>
        <v>4.8487499999999999</v>
      </c>
      <c r="BT429" s="253" cm="1">
        <f t="array" ref="BT429">$BC429 * IF($AD429&lt;=2,
SUMPRODUCT(INDEX($AL$62:$AN$66,,$AE429), INDEX($AO$62:$AU$66,,$AD429), 1 / ($AV$62:$AV$66*BS429 + (1-$AV$62:$AV$66)*BO429), N($AK$62:$AK$66&gt;$AI429)),
SUMPRODUCT(INDEX($AL$47:$AN$56,,$AE429), INDEX($AO$47:$AU$56,,$AD429), 1 / ($AW$47:$AW$56*BS429 + (1-$AW$47:$AW$56)*BO429), N($AK$47:$AK$56&gt;$AI429))
) / 1000</f>
        <v>0</v>
      </c>
      <c r="BU429" s="253" cm="1">
        <f t="array" ref="BU429">$BC429 * IF($AD429&lt;=2,
SUMPRODUCT(INDEX($AL$23:$AN$61,,$AE429), INDEX($AO$23:$AU$61,,$AD429), 1 / ($AV$23:$AV$61*BS429), N($AK$23:$AK$61&gt;$AI429)),
SUMPRODUCT(INDEX($AL$23:$AN$46,,$AE429), INDEX($AO$23:$AU$46,,$AD429), 1 / ($AW$23:$AW$46*BS429), N($AK$23:$AK$46&gt;$AI429))
) / 1000</f>
        <v>0</v>
      </c>
      <c r="BV429" s="237">
        <f t="shared" si="503"/>
        <v>0</v>
      </c>
      <c r="BW429" s="210"/>
      <c r="BX429" s="237">
        <f t="shared" si="504"/>
        <v>0</v>
      </c>
      <c r="BY429" s="236">
        <v>35</v>
      </c>
      <c r="BZ429" s="237">
        <f t="shared" si="505"/>
        <v>48</v>
      </c>
      <c r="CA429" s="253">
        <f t="shared" si="506"/>
        <v>3.0748170731707316</v>
      </c>
      <c r="CB429" s="253" cm="1">
        <f t="array" ref="CB429">$BC429 * SUMPRODUCT(INDEX($AL$77:$AN$82,,$AE429),INDEX($AO$77:$AU$82,,$AD429), N($AK$77:$AK$82&gt;$AI429)) / CA429 / 1000</f>
        <v>0</v>
      </c>
      <c r="CC429" s="250">
        <f t="shared" si="523"/>
        <v>30</v>
      </c>
      <c r="CD429" s="237">
        <f t="shared" si="507"/>
        <v>43</v>
      </c>
      <c r="CE429" s="253">
        <f t="shared" si="508"/>
        <v>3.5018750000000001</v>
      </c>
      <c r="CF429" s="253" cm="1">
        <f t="array" ref="CF429">$BC429 * IF($AD429&lt;=2,
SUMPRODUCT(INDEX($AL$72:$AN$76,,$AE429), INDEX($AO$72:$AU$76,,$AD429), 1 / ($AV$72:$AV$76*CE429 + (1-$AV$72:$AV$76)*CA429), N($AK$72:$AK$76&gt;$AI429)),
SUMPRODUCT(INDEX($AL$67:$AN$76,,$AE429), INDEX($AO$67:$AU$76,,$AD429), 1 / ($AW$67:$AW$76*CE429 + (1-$AW$67:$AW$76)*CA429), N($AK$67:$AK$76&gt;$AI429))
) / 1000</f>
        <v>0</v>
      </c>
      <c r="CG429" s="250">
        <f t="shared" si="524"/>
        <v>25</v>
      </c>
      <c r="CH429" s="237">
        <f t="shared" si="509"/>
        <v>38</v>
      </c>
      <c r="CI429" s="253">
        <f t="shared" si="510"/>
        <v>4.0666935483870965</v>
      </c>
      <c r="CJ429" s="253" cm="1">
        <f t="array" ref="CJ429">$BC429 * IF($AD429&lt;=2,
SUMPRODUCT(INDEX($AL$67:$AN$71,,$AE429), INDEX($AO$67:$AU$71,,$AD429), 1 / ($AV$67:$AV$71*CI429 + (1-$AV$67:$AV$71)*CE429), N($AK$67:$AK$71&gt;$AI429)),
SUMPRODUCT(INDEX($AL$57:$AN$66,,$AE429), INDEX($AO$57:$AU$66,,$AD429), 1 / ($AW$57:$AW$66*CI429 + (1-$AW$57:$AW$66)*CE429), N($AK$57:$AK$66&gt;$AI429))
) / 1000</f>
        <v>0</v>
      </c>
      <c r="CK429" s="250">
        <f t="shared" si="525"/>
        <v>20</v>
      </c>
      <c r="CL429" s="237">
        <f t="shared" si="511"/>
        <v>33</v>
      </c>
      <c r="CM429" s="253">
        <f t="shared" si="512"/>
        <v>4.8487499999999999</v>
      </c>
      <c r="CN429" s="253" cm="1">
        <f t="array" ref="CN429">$BC429 * IF($AD429&lt;=2,
SUMPRODUCT(INDEX($AL$62:$AN$66,,$AE429), INDEX($AO$62:$AU$66,,$AD429), 1 / ($AV$62:$AV$66*CM429 + (1-$AV$62:$AV$66)*CI429), N($AK$62:$AK$66&gt;$AI429)),
SUMPRODUCT(INDEX($AL$47:$AN$56,,$AE429), INDEX($AO$47:$AU$56,,$AD429), 1 / ($AW$47:$AW$56*CM429 + (1-$AW$47:$AW$56)*CI429), N($AK$47:$AK$56&gt;$AI429))
) / 1000</f>
        <v>0</v>
      </c>
      <c r="CO429" s="253" cm="1">
        <f t="array" ref="CO429">$BC429 * IF($AD429&lt;=2,
SUMPRODUCT(INDEX($AL$23:$AN$61,,$AE429), INDEX($AO$23:$AU$61,,$AD429), 1 / ($AV$23:$AV$61*CM429), N($AK$23:$AK$61&gt;$AI429)),
SUMPRODUCT(INDEX($AL$23:$AN$46,,$AE429), INDEX($AO$23:$AU$46,,$AD429), 1 / ($AW$23:$AW$46*CM429), N($AK$23:$AK$46&gt;$AI429))
) / 1000</f>
        <v>0</v>
      </c>
      <c r="CP429" s="237">
        <f t="shared" si="513"/>
        <v>0</v>
      </c>
      <c r="CQ429" s="210"/>
    </row>
    <row r="430" spans="1:95" s="76" customFormat="1" ht="14.25" customHeight="1" x14ac:dyDescent="0.2">
      <c r="A430" s="238" t="b">
        <f t="shared" si="517"/>
        <v>0</v>
      </c>
      <c r="B430" s="239">
        <v>408</v>
      </c>
      <c r="C430" s="258"/>
      <c r="D430" s="258"/>
      <c r="E430" s="240"/>
      <c r="F430" s="241" t="str">
        <f>IF(ISBLANK(E430), "", VLOOKUP(E430, Z!$A$2:$C$4127, 3, FALSE))</f>
        <v/>
      </c>
      <c r="G430" s="242"/>
      <c r="H430" s="242"/>
      <c r="I430" s="243"/>
      <c r="J430" s="244"/>
      <c r="K430" s="259"/>
      <c r="L430" s="260"/>
      <c r="M430" s="247" t="str" cm="1">
        <f t="array" ref="M430">IF($K430&gt;0, INDEX(Clean,1+AG430,$C$1), "")</f>
        <v/>
      </c>
      <c r="N430" s="245"/>
      <c r="O430" s="245"/>
      <c r="P430" s="246"/>
      <c r="Q430" s="248">
        <f t="shared" si="490"/>
        <v>0</v>
      </c>
      <c r="R430" s="247" t="str" cm="1">
        <f t="array" ref="R430">IF($K430&gt;0, INDEX(Clean,1+AH430,$C$1), "")</f>
        <v/>
      </c>
      <c r="S430" s="245"/>
      <c r="T430" s="245"/>
      <c r="U430" s="246"/>
      <c r="V430" s="248">
        <f t="shared" si="491"/>
        <v>0</v>
      </c>
      <c r="W430" s="261"/>
      <c r="X430" s="258"/>
      <c r="Y430" s="240"/>
      <c r="Z430" s="241" t="str">
        <f>IF(ISBLANK(Y430), "", VLOOKUP(Y430, Z!$A$2:$C$4127, 3, FALSE))</f>
        <v/>
      </c>
      <c r="AA430" s="262"/>
      <c r="AB430" s="249">
        <f t="shared" si="526"/>
        <v>0</v>
      </c>
      <c r="AC430" s="210"/>
      <c r="AD430" s="236">
        <f t="shared" si="514"/>
        <v>1</v>
      </c>
      <c r="AE430" s="236">
        <f t="shared" si="515"/>
        <v>1</v>
      </c>
      <c r="AF430" s="236">
        <f t="shared" si="516"/>
        <v>0</v>
      </c>
      <c r="AG430" s="236">
        <v>1</v>
      </c>
      <c r="AH430" s="236">
        <v>0</v>
      </c>
      <c r="AI430" s="236">
        <f t="shared" si="492"/>
        <v>-100</v>
      </c>
      <c r="AJ430" s="210"/>
      <c r="AK430" s="254"/>
      <c r="AL430" s="254"/>
      <c r="AM430" s="255"/>
      <c r="AN430" s="255"/>
      <c r="AO430" s="255"/>
      <c r="AP430" s="255"/>
      <c r="AQ430" s="255"/>
      <c r="AR430" s="255"/>
      <c r="AS430" s="255"/>
      <c r="AT430" s="255"/>
      <c r="AU430" s="255"/>
      <c r="AV430" s="255"/>
      <c r="AW430" s="255"/>
      <c r="AX430" s="210"/>
      <c r="AY430" s="236" cm="1">
        <f t="array" ref="AY430">INDEX(Use, $AD430, 4)</f>
        <v>7</v>
      </c>
      <c r="AZ430" s="236">
        <f t="shared" si="493"/>
        <v>32</v>
      </c>
      <c r="BA430" s="236">
        <f t="shared" si="518"/>
        <v>13</v>
      </c>
      <c r="BB430" s="236">
        <f t="shared" si="519"/>
        <v>0</v>
      </c>
      <c r="BC430" s="252" cm="1">
        <f t="array" ref="BC430">K430/IF($L430&gt;0, INDEX($AO$23:$AU$77, $L430+20, $AD430), 1)</f>
        <v>0</v>
      </c>
      <c r="BD430" s="237">
        <f t="shared" si="494"/>
        <v>0</v>
      </c>
      <c r="BE430" s="236">
        <v>35</v>
      </c>
      <c r="BF430" s="237">
        <f t="shared" si="495"/>
        <v>52.55</v>
      </c>
      <c r="BG430" s="253">
        <f t="shared" si="496"/>
        <v>2.7676728869374316</v>
      </c>
      <c r="BH430" s="253" cm="1">
        <f t="array" ref="BH430">$BC430 * SUMPRODUCT(INDEX($AL$77:$AN$82,,$AE430),INDEX($AO$77:$AU$82,,$AD430), N($AK$77:$AK$82&gt;$AI430)) / BG430 / 1000</f>
        <v>0</v>
      </c>
      <c r="BI430" s="250">
        <f t="shared" si="520"/>
        <v>30</v>
      </c>
      <c r="BJ430" s="237">
        <f t="shared" si="497"/>
        <v>46.033333333333331</v>
      </c>
      <c r="BK430" s="253">
        <f t="shared" si="498"/>
        <v>3.2297395388556791</v>
      </c>
      <c r="BL430" s="253" cm="1">
        <f t="array" ref="BL430">$BC430 * IF($AD430&lt;=2,
SUMPRODUCT(INDEX($AL$72:$AN$76,,$AE430), INDEX($AO$72:$AU$76,,$AD430), 1 / ($AV$72:$AV$76*BK430 + (1-$AV$72:$AV$76)*BG430), N($AK$72:$AK$76&gt;$AI430)),
SUMPRODUCT(INDEX($AL$67:$AN$76,,$AE430), INDEX($AO$67:$AU$76,,$AD430), 1 / ($AW$67:$AW$76*BK430 + (1-$AW$67:$AW$76)*BG430), N($AK$67:$AK$76&gt;$AI430))
) / 1000</f>
        <v>0</v>
      </c>
      <c r="BM430" s="250">
        <f t="shared" si="521"/>
        <v>25</v>
      </c>
      <c r="BN430" s="237">
        <f t="shared" si="499"/>
        <v>39.516666666666666</v>
      </c>
      <c r="BO430" s="253">
        <f t="shared" si="500"/>
        <v>3.877011788826243</v>
      </c>
      <c r="BP430" s="253" cm="1">
        <f t="array" ref="BP430">$BC430 * IF($AD430&lt;=2,
SUMPRODUCT(INDEX($AL$67:$AN$71,,$AE430), INDEX($AO$67:$AU$71,,$AD430), 1 / ($AV$67:$AV$71*BO430 + (1-$AV$67:$AV$71)*BK430), N($AK$67:$AK$71&gt;$AI430)),
SUMPRODUCT(INDEX($AL$57:$AN$66,,$AE430), INDEX($AO$57:$AU$66,,$AD430), 1 / ($AW$57:$AW$66*BO430 + (1-$AW$57:$AW$66)*BK430), N($AK$57:$AK$66&gt;$AI430))
) / 1000</f>
        <v>0</v>
      </c>
      <c r="BQ430" s="250">
        <f t="shared" si="522"/>
        <v>20</v>
      </c>
      <c r="BR430" s="237">
        <f t="shared" si="501"/>
        <v>33</v>
      </c>
      <c r="BS430" s="253">
        <f t="shared" si="502"/>
        <v>4.8487499999999999</v>
      </c>
      <c r="BT430" s="253" cm="1">
        <f t="array" ref="BT430">$BC430 * IF($AD430&lt;=2,
SUMPRODUCT(INDEX($AL$62:$AN$66,,$AE430), INDEX($AO$62:$AU$66,,$AD430), 1 / ($AV$62:$AV$66*BS430 + (1-$AV$62:$AV$66)*BO430), N($AK$62:$AK$66&gt;$AI430)),
SUMPRODUCT(INDEX($AL$47:$AN$56,,$AE430), INDEX($AO$47:$AU$56,,$AD430), 1 / ($AW$47:$AW$56*BS430 + (1-$AW$47:$AW$56)*BO430), N($AK$47:$AK$56&gt;$AI430))
) / 1000</f>
        <v>0</v>
      </c>
      <c r="BU430" s="253" cm="1">
        <f t="array" ref="BU430">$BC430 * IF($AD430&lt;=2,
SUMPRODUCT(INDEX($AL$23:$AN$61,,$AE430), INDEX($AO$23:$AU$61,,$AD430), 1 / ($AV$23:$AV$61*BS430), N($AK$23:$AK$61&gt;$AI430)),
SUMPRODUCT(INDEX($AL$23:$AN$46,,$AE430), INDEX($AO$23:$AU$46,,$AD430), 1 / ($AW$23:$AW$46*BS430), N($AK$23:$AK$46&gt;$AI430))
) / 1000</f>
        <v>0</v>
      </c>
      <c r="BV430" s="237">
        <f t="shared" si="503"/>
        <v>0</v>
      </c>
      <c r="BW430" s="210"/>
      <c r="BX430" s="237">
        <f t="shared" si="504"/>
        <v>0</v>
      </c>
      <c r="BY430" s="236">
        <v>35</v>
      </c>
      <c r="BZ430" s="237">
        <f t="shared" si="505"/>
        <v>48</v>
      </c>
      <c r="CA430" s="253">
        <f t="shared" si="506"/>
        <v>3.0748170731707316</v>
      </c>
      <c r="CB430" s="253" cm="1">
        <f t="array" ref="CB430">$BC430 * SUMPRODUCT(INDEX($AL$77:$AN$82,,$AE430),INDEX($AO$77:$AU$82,,$AD430), N($AK$77:$AK$82&gt;$AI430)) / CA430 / 1000</f>
        <v>0</v>
      </c>
      <c r="CC430" s="250">
        <f t="shared" si="523"/>
        <v>30</v>
      </c>
      <c r="CD430" s="237">
        <f t="shared" si="507"/>
        <v>43</v>
      </c>
      <c r="CE430" s="253">
        <f t="shared" si="508"/>
        <v>3.5018750000000001</v>
      </c>
      <c r="CF430" s="253" cm="1">
        <f t="array" ref="CF430">$BC430 * IF($AD430&lt;=2,
SUMPRODUCT(INDEX($AL$72:$AN$76,,$AE430), INDEX($AO$72:$AU$76,,$AD430), 1 / ($AV$72:$AV$76*CE430 + (1-$AV$72:$AV$76)*CA430), N($AK$72:$AK$76&gt;$AI430)),
SUMPRODUCT(INDEX($AL$67:$AN$76,,$AE430), INDEX($AO$67:$AU$76,,$AD430), 1 / ($AW$67:$AW$76*CE430 + (1-$AW$67:$AW$76)*CA430), N($AK$67:$AK$76&gt;$AI430))
) / 1000</f>
        <v>0</v>
      </c>
      <c r="CG430" s="250">
        <f t="shared" si="524"/>
        <v>25</v>
      </c>
      <c r="CH430" s="237">
        <f t="shared" si="509"/>
        <v>38</v>
      </c>
      <c r="CI430" s="253">
        <f t="shared" si="510"/>
        <v>4.0666935483870965</v>
      </c>
      <c r="CJ430" s="253" cm="1">
        <f t="array" ref="CJ430">$BC430 * IF($AD430&lt;=2,
SUMPRODUCT(INDEX($AL$67:$AN$71,,$AE430), INDEX($AO$67:$AU$71,,$AD430), 1 / ($AV$67:$AV$71*CI430 + (1-$AV$67:$AV$71)*CE430), N($AK$67:$AK$71&gt;$AI430)),
SUMPRODUCT(INDEX($AL$57:$AN$66,,$AE430), INDEX($AO$57:$AU$66,,$AD430), 1 / ($AW$57:$AW$66*CI430 + (1-$AW$57:$AW$66)*CE430), N($AK$57:$AK$66&gt;$AI430))
) / 1000</f>
        <v>0</v>
      </c>
      <c r="CK430" s="250">
        <f t="shared" si="525"/>
        <v>20</v>
      </c>
      <c r="CL430" s="237">
        <f t="shared" si="511"/>
        <v>33</v>
      </c>
      <c r="CM430" s="253">
        <f t="shared" si="512"/>
        <v>4.8487499999999999</v>
      </c>
      <c r="CN430" s="253" cm="1">
        <f t="array" ref="CN430">$BC430 * IF($AD430&lt;=2,
SUMPRODUCT(INDEX($AL$62:$AN$66,,$AE430), INDEX($AO$62:$AU$66,,$AD430), 1 / ($AV$62:$AV$66*CM430 + (1-$AV$62:$AV$66)*CI430), N($AK$62:$AK$66&gt;$AI430)),
SUMPRODUCT(INDEX($AL$47:$AN$56,,$AE430), INDEX($AO$47:$AU$56,,$AD430), 1 / ($AW$47:$AW$56*CM430 + (1-$AW$47:$AW$56)*CI430), N($AK$47:$AK$56&gt;$AI430))
) / 1000</f>
        <v>0</v>
      </c>
      <c r="CO430" s="253" cm="1">
        <f t="array" ref="CO430">$BC430 * IF($AD430&lt;=2,
SUMPRODUCT(INDEX($AL$23:$AN$61,,$AE430), INDEX($AO$23:$AU$61,,$AD430), 1 / ($AV$23:$AV$61*CM430), N($AK$23:$AK$61&gt;$AI430)),
SUMPRODUCT(INDEX($AL$23:$AN$46,,$AE430), INDEX($AO$23:$AU$46,,$AD430), 1 / ($AW$23:$AW$46*CM430), N($AK$23:$AK$46&gt;$AI430))
) / 1000</f>
        <v>0</v>
      </c>
      <c r="CP430" s="237">
        <f t="shared" si="513"/>
        <v>0</v>
      </c>
      <c r="CQ430" s="210"/>
    </row>
    <row r="431" spans="1:95" s="76" customFormat="1" ht="14.25" customHeight="1" x14ac:dyDescent="0.2">
      <c r="A431" s="238" t="b">
        <f t="shared" si="517"/>
        <v>0</v>
      </c>
      <c r="B431" s="239">
        <v>409</v>
      </c>
      <c r="C431" s="258"/>
      <c r="D431" s="258"/>
      <c r="E431" s="240"/>
      <c r="F431" s="241" t="str">
        <f>IF(ISBLANK(E431), "", VLOOKUP(E431, Z!$A$2:$C$4127, 3, FALSE))</f>
        <v/>
      </c>
      <c r="G431" s="242"/>
      <c r="H431" s="242"/>
      <c r="I431" s="243"/>
      <c r="J431" s="244"/>
      <c r="K431" s="259"/>
      <c r="L431" s="260"/>
      <c r="M431" s="247" t="str" cm="1">
        <f t="array" ref="M431">IF($K431&gt;0, INDEX(Clean,1+AG431,$C$1), "")</f>
        <v/>
      </c>
      <c r="N431" s="245"/>
      <c r="O431" s="245"/>
      <c r="P431" s="246"/>
      <c r="Q431" s="248">
        <f t="shared" si="490"/>
        <v>0</v>
      </c>
      <c r="R431" s="247" t="str" cm="1">
        <f t="array" ref="R431">IF($K431&gt;0, INDEX(Clean,1+AH431,$C$1), "")</f>
        <v/>
      </c>
      <c r="S431" s="245"/>
      <c r="T431" s="245"/>
      <c r="U431" s="246"/>
      <c r="V431" s="248">
        <f t="shared" si="491"/>
        <v>0</v>
      </c>
      <c r="W431" s="261"/>
      <c r="X431" s="258"/>
      <c r="Y431" s="240"/>
      <c r="Z431" s="241" t="str">
        <f>IF(ISBLANK(Y431), "", VLOOKUP(Y431, Z!$A$2:$C$4127, 3, FALSE))</f>
        <v/>
      </c>
      <c r="AA431" s="262"/>
      <c r="AB431" s="249">
        <f t="shared" si="526"/>
        <v>0</v>
      </c>
      <c r="AC431" s="210"/>
      <c r="AD431" s="236">
        <f t="shared" si="514"/>
        <v>1</v>
      </c>
      <c r="AE431" s="236">
        <f t="shared" si="515"/>
        <v>1</v>
      </c>
      <c r="AF431" s="236">
        <f t="shared" si="516"/>
        <v>0</v>
      </c>
      <c r="AG431" s="236">
        <v>1</v>
      </c>
      <c r="AH431" s="236">
        <v>0</v>
      </c>
      <c r="AI431" s="236">
        <f t="shared" si="492"/>
        <v>-100</v>
      </c>
      <c r="AJ431" s="210"/>
      <c r="AK431" s="254"/>
      <c r="AL431" s="254"/>
      <c r="AM431" s="255"/>
      <c r="AN431" s="255"/>
      <c r="AO431" s="255"/>
      <c r="AP431" s="255"/>
      <c r="AQ431" s="255"/>
      <c r="AR431" s="255"/>
      <c r="AS431" s="255"/>
      <c r="AT431" s="255"/>
      <c r="AU431" s="255"/>
      <c r="AV431" s="255"/>
      <c r="AW431" s="255"/>
      <c r="AX431" s="210"/>
      <c r="AY431" s="236" cm="1">
        <f t="array" ref="AY431">INDEX(Use, $AD431, 4)</f>
        <v>7</v>
      </c>
      <c r="AZ431" s="236">
        <f t="shared" si="493"/>
        <v>32</v>
      </c>
      <c r="BA431" s="236">
        <f t="shared" si="518"/>
        <v>13</v>
      </c>
      <c r="BB431" s="236">
        <f t="shared" si="519"/>
        <v>0</v>
      </c>
      <c r="BC431" s="252" cm="1">
        <f t="array" ref="BC431">K431/IF($L431&gt;0, INDEX($AO$23:$AU$77, $L431+20, $AD431), 1)</f>
        <v>0</v>
      </c>
      <c r="BD431" s="237">
        <f t="shared" si="494"/>
        <v>0</v>
      </c>
      <c r="BE431" s="236">
        <v>35</v>
      </c>
      <c r="BF431" s="237">
        <f t="shared" si="495"/>
        <v>52.55</v>
      </c>
      <c r="BG431" s="253">
        <f t="shared" si="496"/>
        <v>2.7676728869374316</v>
      </c>
      <c r="BH431" s="253" cm="1">
        <f t="array" ref="BH431">$BC431 * SUMPRODUCT(INDEX($AL$77:$AN$82,,$AE431),INDEX($AO$77:$AU$82,,$AD431), N($AK$77:$AK$82&gt;$AI431)) / BG431 / 1000</f>
        <v>0</v>
      </c>
      <c r="BI431" s="250">
        <f t="shared" si="520"/>
        <v>30</v>
      </c>
      <c r="BJ431" s="237">
        <f t="shared" si="497"/>
        <v>46.033333333333331</v>
      </c>
      <c r="BK431" s="253">
        <f t="shared" si="498"/>
        <v>3.2297395388556791</v>
      </c>
      <c r="BL431" s="253" cm="1">
        <f t="array" ref="BL431">$BC431 * IF($AD431&lt;=2,
SUMPRODUCT(INDEX($AL$72:$AN$76,,$AE431), INDEX($AO$72:$AU$76,,$AD431), 1 / ($AV$72:$AV$76*BK431 + (1-$AV$72:$AV$76)*BG431), N($AK$72:$AK$76&gt;$AI431)),
SUMPRODUCT(INDEX($AL$67:$AN$76,,$AE431), INDEX($AO$67:$AU$76,,$AD431), 1 / ($AW$67:$AW$76*BK431 + (1-$AW$67:$AW$76)*BG431), N($AK$67:$AK$76&gt;$AI431))
) / 1000</f>
        <v>0</v>
      </c>
      <c r="BM431" s="250">
        <f t="shared" si="521"/>
        <v>25</v>
      </c>
      <c r="BN431" s="237">
        <f t="shared" si="499"/>
        <v>39.516666666666666</v>
      </c>
      <c r="BO431" s="253">
        <f t="shared" si="500"/>
        <v>3.877011788826243</v>
      </c>
      <c r="BP431" s="253" cm="1">
        <f t="array" ref="BP431">$BC431 * IF($AD431&lt;=2,
SUMPRODUCT(INDEX($AL$67:$AN$71,,$AE431), INDEX($AO$67:$AU$71,,$AD431), 1 / ($AV$67:$AV$71*BO431 + (1-$AV$67:$AV$71)*BK431), N($AK$67:$AK$71&gt;$AI431)),
SUMPRODUCT(INDEX($AL$57:$AN$66,,$AE431), INDEX($AO$57:$AU$66,,$AD431), 1 / ($AW$57:$AW$66*BO431 + (1-$AW$57:$AW$66)*BK431), N($AK$57:$AK$66&gt;$AI431))
) / 1000</f>
        <v>0</v>
      </c>
      <c r="BQ431" s="250">
        <f t="shared" si="522"/>
        <v>20</v>
      </c>
      <c r="BR431" s="237">
        <f t="shared" si="501"/>
        <v>33</v>
      </c>
      <c r="BS431" s="253">
        <f t="shared" si="502"/>
        <v>4.8487499999999999</v>
      </c>
      <c r="BT431" s="253" cm="1">
        <f t="array" ref="BT431">$BC431 * IF($AD431&lt;=2,
SUMPRODUCT(INDEX($AL$62:$AN$66,,$AE431), INDEX($AO$62:$AU$66,,$AD431), 1 / ($AV$62:$AV$66*BS431 + (1-$AV$62:$AV$66)*BO431), N($AK$62:$AK$66&gt;$AI431)),
SUMPRODUCT(INDEX($AL$47:$AN$56,,$AE431), INDEX($AO$47:$AU$56,,$AD431), 1 / ($AW$47:$AW$56*BS431 + (1-$AW$47:$AW$56)*BO431), N($AK$47:$AK$56&gt;$AI431))
) / 1000</f>
        <v>0</v>
      </c>
      <c r="BU431" s="253" cm="1">
        <f t="array" ref="BU431">$BC431 * IF($AD431&lt;=2,
SUMPRODUCT(INDEX($AL$23:$AN$61,,$AE431), INDEX($AO$23:$AU$61,,$AD431), 1 / ($AV$23:$AV$61*BS431), N($AK$23:$AK$61&gt;$AI431)),
SUMPRODUCT(INDEX($AL$23:$AN$46,,$AE431), INDEX($AO$23:$AU$46,,$AD431), 1 / ($AW$23:$AW$46*BS431), N($AK$23:$AK$46&gt;$AI431))
) / 1000</f>
        <v>0</v>
      </c>
      <c r="BV431" s="237">
        <f t="shared" si="503"/>
        <v>0</v>
      </c>
      <c r="BW431" s="210"/>
      <c r="BX431" s="237">
        <f t="shared" si="504"/>
        <v>0</v>
      </c>
      <c r="BY431" s="236">
        <v>35</v>
      </c>
      <c r="BZ431" s="237">
        <f t="shared" si="505"/>
        <v>48</v>
      </c>
      <c r="CA431" s="253">
        <f t="shared" si="506"/>
        <v>3.0748170731707316</v>
      </c>
      <c r="CB431" s="253" cm="1">
        <f t="array" ref="CB431">$BC431 * SUMPRODUCT(INDEX($AL$77:$AN$82,,$AE431),INDEX($AO$77:$AU$82,,$AD431), N($AK$77:$AK$82&gt;$AI431)) / CA431 / 1000</f>
        <v>0</v>
      </c>
      <c r="CC431" s="250">
        <f t="shared" si="523"/>
        <v>30</v>
      </c>
      <c r="CD431" s="237">
        <f t="shared" si="507"/>
        <v>43</v>
      </c>
      <c r="CE431" s="253">
        <f t="shared" si="508"/>
        <v>3.5018750000000001</v>
      </c>
      <c r="CF431" s="253" cm="1">
        <f t="array" ref="CF431">$BC431 * IF($AD431&lt;=2,
SUMPRODUCT(INDEX($AL$72:$AN$76,,$AE431), INDEX($AO$72:$AU$76,,$AD431), 1 / ($AV$72:$AV$76*CE431 + (1-$AV$72:$AV$76)*CA431), N($AK$72:$AK$76&gt;$AI431)),
SUMPRODUCT(INDEX($AL$67:$AN$76,,$AE431), INDEX($AO$67:$AU$76,,$AD431), 1 / ($AW$67:$AW$76*CE431 + (1-$AW$67:$AW$76)*CA431), N($AK$67:$AK$76&gt;$AI431))
) / 1000</f>
        <v>0</v>
      </c>
      <c r="CG431" s="250">
        <f t="shared" si="524"/>
        <v>25</v>
      </c>
      <c r="CH431" s="237">
        <f t="shared" si="509"/>
        <v>38</v>
      </c>
      <c r="CI431" s="253">
        <f t="shared" si="510"/>
        <v>4.0666935483870965</v>
      </c>
      <c r="CJ431" s="253" cm="1">
        <f t="array" ref="CJ431">$BC431 * IF($AD431&lt;=2,
SUMPRODUCT(INDEX($AL$67:$AN$71,,$AE431), INDEX($AO$67:$AU$71,,$AD431), 1 / ($AV$67:$AV$71*CI431 + (1-$AV$67:$AV$71)*CE431), N($AK$67:$AK$71&gt;$AI431)),
SUMPRODUCT(INDEX($AL$57:$AN$66,,$AE431), INDEX($AO$57:$AU$66,,$AD431), 1 / ($AW$57:$AW$66*CI431 + (1-$AW$57:$AW$66)*CE431), N($AK$57:$AK$66&gt;$AI431))
) / 1000</f>
        <v>0</v>
      </c>
      <c r="CK431" s="250">
        <f t="shared" si="525"/>
        <v>20</v>
      </c>
      <c r="CL431" s="237">
        <f t="shared" si="511"/>
        <v>33</v>
      </c>
      <c r="CM431" s="253">
        <f t="shared" si="512"/>
        <v>4.8487499999999999</v>
      </c>
      <c r="CN431" s="253" cm="1">
        <f t="array" ref="CN431">$BC431 * IF($AD431&lt;=2,
SUMPRODUCT(INDEX($AL$62:$AN$66,,$AE431), INDEX($AO$62:$AU$66,,$AD431), 1 / ($AV$62:$AV$66*CM431 + (1-$AV$62:$AV$66)*CI431), N($AK$62:$AK$66&gt;$AI431)),
SUMPRODUCT(INDEX($AL$47:$AN$56,,$AE431), INDEX($AO$47:$AU$56,,$AD431), 1 / ($AW$47:$AW$56*CM431 + (1-$AW$47:$AW$56)*CI431), N($AK$47:$AK$56&gt;$AI431))
) / 1000</f>
        <v>0</v>
      </c>
      <c r="CO431" s="253" cm="1">
        <f t="array" ref="CO431">$BC431 * IF($AD431&lt;=2,
SUMPRODUCT(INDEX($AL$23:$AN$61,,$AE431), INDEX($AO$23:$AU$61,,$AD431), 1 / ($AV$23:$AV$61*CM431), N($AK$23:$AK$61&gt;$AI431)),
SUMPRODUCT(INDEX($AL$23:$AN$46,,$AE431), INDEX($AO$23:$AU$46,,$AD431), 1 / ($AW$23:$AW$46*CM431), N($AK$23:$AK$46&gt;$AI431))
) / 1000</f>
        <v>0</v>
      </c>
      <c r="CP431" s="237">
        <f t="shared" si="513"/>
        <v>0</v>
      </c>
      <c r="CQ431" s="210"/>
    </row>
    <row r="432" spans="1:95" s="76" customFormat="1" ht="14.25" customHeight="1" x14ac:dyDescent="0.2">
      <c r="A432" s="238" t="b">
        <f t="shared" si="517"/>
        <v>0</v>
      </c>
      <c r="B432" s="239">
        <v>410</v>
      </c>
      <c r="C432" s="258"/>
      <c r="D432" s="258"/>
      <c r="E432" s="240"/>
      <c r="F432" s="241" t="str">
        <f>IF(ISBLANK(E432), "", VLOOKUP(E432, Z!$A$2:$C$4127, 3, FALSE))</f>
        <v/>
      </c>
      <c r="G432" s="242"/>
      <c r="H432" s="242"/>
      <c r="I432" s="243"/>
      <c r="J432" s="244"/>
      <c r="K432" s="259"/>
      <c r="L432" s="260"/>
      <c r="M432" s="247" t="str" cm="1">
        <f t="array" ref="M432">IF($K432&gt;0, INDEX(Clean,1+AG432,$C$1), "")</f>
        <v/>
      </c>
      <c r="N432" s="245"/>
      <c r="O432" s="245"/>
      <c r="P432" s="246"/>
      <c r="Q432" s="248">
        <f t="shared" si="490"/>
        <v>0</v>
      </c>
      <c r="R432" s="247" t="str" cm="1">
        <f t="array" ref="R432">IF($K432&gt;0, INDEX(Clean,1+AH432,$C$1), "")</f>
        <v/>
      </c>
      <c r="S432" s="245"/>
      <c r="T432" s="245"/>
      <c r="U432" s="246"/>
      <c r="V432" s="248">
        <f t="shared" si="491"/>
        <v>0</v>
      </c>
      <c r="W432" s="261"/>
      <c r="X432" s="258"/>
      <c r="Y432" s="240"/>
      <c r="Z432" s="241" t="str">
        <f>IF(ISBLANK(Y432), "", VLOOKUP(Y432, Z!$A$2:$C$4127, 3, FALSE))</f>
        <v/>
      </c>
      <c r="AA432" s="262"/>
      <c r="AB432" s="249">
        <f t="shared" si="526"/>
        <v>0</v>
      </c>
      <c r="AC432" s="210"/>
      <c r="AD432" s="236">
        <f t="shared" si="514"/>
        <v>1</v>
      </c>
      <c r="AE432" s="236">
        <f t="shared" si="515"/>
        <v>1</v>
      </c>
      <c r="AF432" s="236">
        <f t="shared" si="516"/>
        <v>0</v>
      </c>
      <c r="AG432" s="236">
        <v>1</v>
      </c>
      <c r="AH432" s="236">
        <v>0</v>
      </c>
      <c r="AI432" s="236">
        <f t="shared" si="492"/>
        <v>-100</v>
      </c>
      <c r="AJ432" s="210"/>
      <c r="AK432" s="254"/>
      <c r="AL432" s="254"/>
      <c r="AM432" s="255"/>
      <c r="AN432" s="255"/>
      <c r="AO432" s="255"/>
      <c r="AP432" s="255"/>
      <c r="AQ432" s="255"/>
      <c r="AR432" s="255"/>
      <c r="AS432" s="255"/>
      <c r="AT432" s="255"/>
      <c r="AU432" s="255"/>
      <c r="AV432" s="255"/>
      <c r="AW432" s="255"/>
      <c r="AX432" s="210"/>
      <c r="AY432" s="236" cm="1">
        <f t="array" ref="AY432">INDEX(Use, $AD432, 4)</f>
        <v>7</v>
      </c>
      <c r="AZ432" s="236">
        <f t="shared" si="493"/>
        <v>32</v>
      </c>
      <c r="BA432" s="236">
        <f t="shared" si="518"/>
        <v>13</v>
      </c>
      <c r="BB432" s="236">
        <f t="shared" si="519"/>
        <v>0</v>
      </c>
      <c r="BC432" s="252" cm="1">
        <f t="array" ref="BC432">K432/IF($L432&gt;0, INDEX($AO$23:$AU$77, $L432+20, $AD432), 1)</f>
        <v>0</v>
      </c>
      <c r="BD432" s="237">
        <f t="shared" si="494"/>
        <v>0</v>
      </c>
      <c r="BE432" s="236">
        <v>35</v>
      </c>
      <c r="BF432" s="237">
        <f t="shared" si="495"/>
        <v>52.55</v>
      </c>
      <c r="BG432" s="253">
        <f t="shared" si="496"/>
        <v>2.7676728869374316</v>
      </c>
      <c r="BH432" s="253" cm="1">
        <f t="array" ref="BH432">$BC432 * SUMPRODUCT(INDEX($AL$77:$AN$82,,$AE432),INDEX($AO$77:$AU$82,,$AD432), N($AK$77:$AK$82&gt;$AI432)) / BG432 / 1000</f>
        <v>0</v>
      </c>
      <c r="BI432" s="250">
        <f t="shared" si="520"/>
        <v>30</v>
      </c>
      <c r="BJ432" s="237">
        <f t="shared" si="497"/>
        <v>46.033333333333331</v>
      </c>
      <c r="BK432" s="253">
        <f t="shared" si="498"/>
        <v>3.2297395388556791</v>
      </c>
      <c r="BL432" s="253" cm="1">
        <f t="array" ref="BL432">$BC432 * IF($AD432&lt;=2,
SUMPRODUCT(INDEX($AL$72:$AN$76,,$AE432), INDEX($AO$72:$AU$76,,$AD432), 1 / ($AV$72:$AV$76*BK432 + (1-$AV$72:$AV$76)*BG432), N($AK$72:$AK$76&gt;$AI432)),
SUMPRODUCT(INDEX($AL$67:$AN$76,,$AE432), INDEX($AO$67:$AU$76,,$AD432), 1 / ($AW$67:$AW$76*BK432 + (1-$AW$67:$AW$76)*BG432), N($AK$67:$AK$76&gt;$AI432))
) / 1000</f>
        <v>0</v>
      </c>
      <c r="BM432" s="250">
        <f t="shared" si="521"/>
        <v>25</v>
      </c>
      <c r="BN432" s="237">
        <f t="shared" si="499"/>
        <v>39.516666666666666</v>
      </c>
      <c r="BO432" s="253">
        <f t="shared" si="500"/>
        <v>3.877011788826243</v>
      </c>
      <c r="BP432" s="253" cm="1">
        <f t="array" ref="BP432">$BC432 * IF($AD432&lt;=2,
SUMPRODUCT(INDEX($AL$67:$AN$71,,$AE432), INDEX($AO$67:$AU$71,,$AD432), 1 / ($AV$67:$AV$71*BO432 + (1-$AV$67:$AV$71)*BK432), N($AK$67:$AK$71&gt;$AI432)),
SUMPRODUCT(INDEX($AL$57:$AN$66,,$AE432), INDEX($AO$57:$AU$66,,$AD432), 1 / ($AW$57:$AW$66*BO432 + (1-$AW$57:$AW$66)*BK432), N($AK$57:$AK$66&gt;$AI432))
) / 1000</f>
        <v>0</v>
      </c>
      <c r="BQ432" s="250">
        <f t="shared" si="522"/>
        <v>20</v>
      </c>
      <c r="BR432" s="237">
        <f t="shared" si="501"/>
        <v>33</v>
      </c>
      <c r="BS432" s="253">
        <f t="shared" si="502"/>
        <v>4.8487499999999999</v>
      </c>
      <c r="BT432" s="253" cm="1">
        <f t="array" ref="BT432">$BC432 * IF($AD432&lt;=2,
SUMPRODUCT(INDEX($AL$62:$AN$66,,$AE432), INDEX($AO$62:$AU$66,,$AD432), 1 / ($AV$62:$AV$66*BS432 + (1-$AV$62:$AV$66)*BO432), N($AK$62:$AK$66&gt;$AI432)),
SUMPRODUCT(INDEX($AL$47:$AN$56,,$AE432), INDEX($AO$47:$AU$56,,$AD432), 1 / ($AW$47:$AW$56*BS432 + (1-$AW$47:$AW$56)*BO432), N($AK$47:$AK$56&gt;$AI432))
) / 1000</f>
        <v>0</v>
      </c>
      <c r="BU432" s="253" cm="1">
        <f t="array" ref="BU432">$BC432 * IF($AD432&lt;=2,
SUMPRODUCT(INDEX($AL$23:$AN$61,,$AE432), INDEX($AO$23:$AU$61,,$AD432), 1 / ($AV$23:$AV$61*BS432), N($AK$23:$AK$61&gt;$AI432)),
SUMPRODUCT(INDEX($AL$23:$AN$46,,$AE432), INDEX($AO$23:$AU$46,,$AD432), 1 / ($AW$23:$AW$46*BS432), N($AK$23:$AK$46&gt;$AI432))
) / 1000</f>
        <v>0</v>
      </c>
      <c r="BV432" s="237">
        <f t="shared" si="503"/>
        <v>0</v>
      </c>
      <c r="BW432" s="210"/>
      <c r="BX432" s="237">
        <f t="shared" si="504"/>
        <v>0</v>
      </c>
      <c r="BY432" s="236">
        <v>35</v>
      </c>
      <c r="BZ432" s="237">
        <f t="shared" si="505"/>
        <v>48</v>
      </c>
      <c r="CA432" s="253">
        <f t="shared" si="506"/>
        <v>3.0748170731707316</v>
      </c>
      <c r="CB432" s="253" cm="1">
        <f t="array" ref="CB432">$BC432 * SUMPRODUCT(INDEX($AL$77:$AN$82,,$AE432),INDEX($AO$77:$AU$82,,$AD432), N($AK$77:$AK$82&gt;$AI432)) / CA432 / 1000</f>
        <v>0</v>
      </c>
      <c r="CC432" s="250">
        <f t="shared" si="523"/>
        <v>30</v>
      </c>
      <c r="CD432" s="237">
        <f t="shared" si="507"/>
        <v>43</v>
      </c>
      <c r="CE432" s="253">
        <f t="shared" si="508"/>
        <v>3.5018750000000001</v>
      </c>
      <c r="CF432" s="253" cm="1">
        <f t="array" ref="CF432">$BC432 * IF($AD432&lt;=2,
SUMPRODUCT(INDEX($AL$72:$AN$76,,$AE432), INDEX($AO$72:$AU$76,,$AD432), 1 / ($AV$72:$AV$76*CE432 + (1-$AV$72:$AV$76)*CA432), N($AK$72:$AK$76&gt;$AI432)),
SUMPRODUCT(INDEX($AL$67:$AN$76,,$AE432), INDEX($AO$67:$AU$76,,$AD432), 1 / ($AW$67:$AW$76*CE432 + (1-$AW$67:$AW$76)*CA432), N($AK$67:$AK$76&gt;$AI432))
) / 1000</f>
        <v>0</v>
      </c>
      <c r="CG432" s="250">
        <f t="shared" si="524"/>
        <v>25</v>
      </c>
      <c r="CH432" s="237">
        <f t="shared" si="509"/>
        <v>38</v>
      </c>
      <c r="CI432" s="253">
        <f t="shared" si="510"/>
        <v>4.0666935483870965</v>
      </c>
      <c r="CJ432" s="253" cm="1">
        <f t="array" ref="CJ432">$BC432 * IF($AD432&lt;=2,
SUMPRODUCT(INDEX($AL$67:$AN$71,,$AE432), INDEX($AO$67:$AU$71,,$AD432), 1 / ($AV$67:$AV$71*CI432 + (1-$AV$67:$AV$71)*CE432), N($AK$67:$AK$71&gt;$AI432)),
SUMPRODUCT(INDEX($AL$57:$AN$66,,$AE432), INDEX($AO$57:$AU$66,,$AD432), 1 / ($AW$57:$AW$66*CI432 + (1-$AW$57:$AW$66)*CE432), N($AK$57:$AK$66&gt;$AI432))
) / 1000</f>
        <v>0</v>
      </c>
      <c r="CK432" s="250">
        <f t="shared" si="525"/>
        <v>20</v>
      </c>
      <c r="CL432" s="237">
        <f t="shared" si="511"/>
        <v>33</v>
      </c>
      <c r="CM432" s="253">
        <f t="shared" si="512"/>
        <v>4.8487499999999999</v>
      </c>
      <c r="CN432" s="253" cm="1">
        <f t="array" ref="CN432">$BC432 * IF($AD432&lt;=2,
SUMPRODUCT(INDEX($AL$62:$AN$66,,$AE432), INDEX($AO$62:$AU$66,,$AD432), 1 / ($AV$62:$AV$66*CM432 + (1-$AV$62:$AV$66)*CI432), N($AK$62:$AK$66&gt;$AI432)),
SUMPRODUCT(INDEX($AL$47:$AN$56,,$AE432), INDEX($AO$47:$AU$56,,$AD432), 1 / ($AW$47:$AW$56*CM432 + (1-$AW$47:$AW$56)*CI432), N($AK$47:$AK$56&gt;$AI432))
) / 1000</f>
        <v>0</v>
      </c>
      <c r="CO432" s="253" cm="1">
        <f t="array" ref="CO432">$BC432 * IF($AD432&lt;=2,
SUMPRODUCT(INDEX($AL$23:$AN$61,,$AE432), INDEX($AO$23:$AU$61,,$AD432), 1 / ($AV$23:$AV$61*CM432), N($AK$23:$AK$61&gt;$AI432)),
SUMPRODUCT(INDEX($AL$23:$AN$46,,$AE432), INDEX($AO$23:$AU$46,,$AD432), 1 / ($AW$23:$AW$46*CM432), N($AK$23:$AK$46&gt;$AI432))
) / 1000</f>
        <v>0</v>
      </c>
      <c r="CP432" s="237">
        <f t="shared" si="513"/>
        <v>0</v>
      </c>
      <c r="CQ432" s="210"/>
    </row>
    <row r="433" spans="1:95" s="76" customFormat="1" ht="14.25" customHeight="1" x14ac:dyDescent="0.2">
      <c r="A433" s="238" t="b">
        <f t="shared" si="517"/>
        <v>0</v>
      </c>
      <c r="B433" s="239">
        <v>411</v>
      </c>
      <c r="C433" s="258"/>
      <c r="D433" s="258"/>
      <c r="E433" s="240"/>
      <c r="F433" s="241" t="str">
        <f>IF(ISBLANK(E433), "", VLOOKUP(E433, Z!$A$2:$C$4127, 3, FALSE))</f>
        <v/>
      </c>
      <c r="G433" s="242"/>
      <c r="H433" s="242"/>
      <c r="I433" s="243"/>
      <c r="J433" s="244"/>
      <c r="K433" s="259"/>
      <c r="L433" s="260"/>
      <c r="M433" s="247" t="str" cm="1">
        <f t="array" ref="M433">IF($K433&gt;0, INDEX(Clean,1+AG433,$C$1), "")</f>
        <v/>
      </c>
      <c r="N433" s="245"/>
      <c r="O433" s="245"/>
      <c r="P433" s="246"/>
      <c r="Q433" s="248">
        <f t="shared" si="490"/>
        <v>0</v>
      </c>
      <c r="R433" s="247" t="str" cm="1">
        <f t="array" ref="R433">IF($K433&gt;0, INDEX(Clean,1+AH433,$C$1), "")</f>
        <v/>
      </c>
      <c r="S433" s="245"/>
      <c r="T433" s="245"/>
      <c r="U433" s="246"/>
      <c r="V433" s="248">
        <f t="shared" si="491"/>
        <v>0</v>
      </c>
      <c r="W433" s="261"/>
      <c r="X433" s="258"/>
      <c r="Y433" s="240"/>
      <c r="Z433" s="241" t="str">
        <f>IF(ISBLANK(Y433), "", VLOOKUP(Y433, Z!$A$2:$C$4127, 3, FALSE))</f>
        <v/>
      </c>
      <c r="AA433" s="262"/>
      <c r="AB433" s="249">
        <f t="shared" si="526"/>
        <v>0</v>
      </c>
      <c r="AC433" s="210"/>
      <c r="AD433" s="236">
        <f t="shared" si="514"/>
        <v>1</v>
      </c>
      <c r="AE433" s="236">
        <f t="shared" si="515"/>
        <v>1</v>
      </c>
      <c r="AF433" s="236">
        <f t="shared" si="516"/>
        <v>0</v>
      </c>
      <c r="AG433" s="236">
        <v>1</v>
      </c>
      <c r="AH433" s="236">
        <v>0</v>
      </c>
      <c r="AI433" s="236">
        <f t="shared" si="492"/>
        <v>-100</v>
      </c>
      <c r="AJ433" s="210"/>
      <c r="AK433" s="254"/>
      <c r="AL433" s="254"/>
      <c r="AM433" s="255"/>
      <c r="AN433" s="255"/>
      <c r="AO433" s="255"/>
      <c r="AP433" s="255"/>
      <c r="AQ433" s="255"/>
      <c r="AR433" s="255"/>
      <c r="AS433" s="255"/>
      <c r="AT433" s="255"/>
      <c r="AU433" s="255"/>
      <c r="AV433" s="255"/>
      <c r="AW433" s="255"/>
      <c r="AX433" s="210"/>
      <c r="AY433" s="236" cm="1">
        <f t="array" ref="AY433">INDEX(Use, $AD433, 4)</f>
        <v>7</v>
      </c>
      <c r="AZ433" s="236">
        <f t="shared" si="493"/>
        <v>32</v>
      </c>
      <c r="BA433" s="236">
        <f t="shared" si="518"/>
        <v>13</v>
      </c>
      <c r="BB433" s="236">
        <f t="shared" si="519"/>
        <v>0</v>
      </c>
      <c r="BC433" s="252" cm="1">
        <f t="array" ref="BC433">K433/IF($L433&gt;0, INDEX($AO$23:$AU$77, $L433+20, $AD433), 1)</f>
        <v>0</v>
      </c>
      <c r="BD433" s="237">
        <f t="shared" si="494"/>
        <v>0</v>
      </c>
      <c r="BE433" s="236">
        <v>35</v>
      </c>
      <c r="BF433" s="237">
        <f t="shared" si="495"/>
        <v>52.55</v>
      </c>
      <c r="BG433" s="253">
        <f t="shared" si="496"/>
        <v>2.7676728869374316</v>
      </c>
      <c r="BH433" s="253" cm="1">
        <f t="array" ref="BH433">$BC433 * SUMPRODUCT(INDEX($AL$77:$AN$82,,$AE433),INDEX($AO$77:$AU$82,,$AD433), N($AK$77:$AK$82&gt;$AI433)) / BG433 / 1000</f>
        <v>0</v>
      </c>
      <c r="BI433" s="250">
        <f t="shared" si="520"/>
        <v>30</v>
      </c>
      <c r="BJ433" s="237">
        <f t="shared" si="497"/>
        <v>46.033333333333331</v>
      </c>
      <c r="BK433" s="253">
        <f t="shared" si="498"/>
        <v>3.2297395388556791</v>
      </c>
      <c r="BL433" s="253" cm="1">
        <f t="array" ref="BL433">$BC433 * IF($AD433&lt;=2,
SUMPRODUCT(INDEX($AL$72:$AN$76,,$AE433), INDEX($AO$72:$AU$76,,$AD433), 1 / ($AV$72:$AV$76*BK433 + (1-$AV$72:$AV$76)*BG433), N($AK$72:$AK$76&gt;$AI433)),
SUMPRODUCT(INDEX($AL$67:$AN$76,,$AE433), INDEX($AO$67:$AU$76,,$AD433), 1 / ($AW$67:$AW$76*BK433 + (1-$AW$67:$AW$76)*BG433), N($AK$67:$AK$76&gt;$AI433))
) / 1000</f>
        <v>0</v>
      </c>
      <c r="BM433" s="250">
        <f t="shared" si="521"/>
        <v>25</v>
      </c>
      <c r="BN433" s="237">
        <f t="shared" si="499"/>
        <v>39.516666666666666</v>
      </c>
      <c r="BO433" s="253">
        <f t="shared" si="500"/>
        <v>3.877011788826243</v>
      </c>
      <c r="BP433" s="253" cm="1">
        <f t="array" ref="BP433">$BC433 * IF($AD433&lt;=2,
SUMPRODUCT(INDEX($AL$67:$AN$71,,$AE433), INDEX($AO$67:$AU$71,,$AD433), 1 / ($AV$67:$AV$71*BO433 + (1-$AV$67:$AV$71)*BK433), N($AK$67:$AK$71&gt;$AI433)),
SUMPRODUCT(INDEX($AL$57:$AN$66,,$AE433), INDEX($AO$57:$AU$66,,$AD433), 1 / ($AW$57:$AW$66*BO433 + (1-$AW$57:$AW$66)*BK433), N($AK$57:$AK$66&gt;$AI433))
) / 1000</f>
        <v>0</v>
      </c>
      <c r="BQ433" s="250">
        <f t="shared" si="522"/>
        <v>20</v>
      </c>
      <c r="BR433" s="237">
        <f t="shared" si="501"/>
        <v>33</v>
      </c>
      <c r="BS433" s="253">
        <f t="shared" si="502"/>
        <v>4.8487499999999999</v>
      </c>
      <c r="BT433" s="253" cm="1">
        <f t="array" ref="BT433">$BC433 * IF($AD433&lt;=2,
SUMPRODUCT(INDEX($AL$62:$AN$66,,$AE433), INDEX($AO$62:$AU$66,,$AD433), 1 / ($AV$62:$AV$66*BS433 + (1-$AV$62:$AV$66)*BO433), N($AK$62:$AK$66&gt;$AI433)),
SUMPRODUCT(INDEX($AL$47:$AN$56,,$AE433), INDEX($AO$47:$AU$56,,$AD433), 1 / ($AW$47:$AW$56*BS433 + (1-$AW$47:$AW$56)*BO433), N($AK$47:$AK$56&gt;$AI433))
) / 1000</f>
        <v>0</v>
      </c>
      <c r="BU433" s="253" cm="1">
        <f t="array" ref="BU433">$BC433 * IF($AD433&lt;=2,
SUMPRODUCT(INDEX($AL$23:$AN$61,,$AE433), INDEX($AO$23:$AU$61,,$AD433), 1 / ($AV$23:$AV$61*BS433), N($AK$23:$AK$61&gt;$AI433)),
SUMPRODUCT(INDEX($AL$23:$AN$46,,$AE433), INDEX($AO$23:$AU$46,,$AD433), 1 / ($AW$23:$AW$46*BS433), N($AK$23:$AK$46&gt;$AI433))
) / 1000</f>
        <v>0</v>
      </c>
      <c r="BV433" s="237">
        <f t="shared" si="503"/>
        <v>0</v>
      </c>
      <c r="BW433" s="210"/>
      <c r="BX433" s="237">
        <f t="shared" si="504"/>
        <v>0</v>
      </c>
      <c r="BY433" s="236">
        <v>35</v>
      </c>
      <c r="BZ433" s="237">
        <f t="shared" si="505"/>
        <v>48</v>
      </c>
      <c r="CA433" s="253">
        <f t="shared" si="506"/>
        <v>3.0748170731707316</v>
      </c>
      <c r="CB433" s="253" cm="1">
        <f t="array" ref="CB433">$BC433 * SUMPRODUCT(INDEX($AL$77:$AN$82,,$AE433),INDEX($AO$77:$AU$82,,$AD433), N($AK$77:$AK$82&gt;$AI433)) / CA433 / 1000</f>
        <v>0</v>
      </c>
      <c r="CC433" s="250">
        <f t="shared" si="523"/>
        <v>30</v>
      </c>
      <c r="CD433" s="237">
        <f t="shared" si="507"/>
        <v>43</v>
      </c>
      <c r="CE433" s="253">
        <f t="shared" si="508"/>
        <v>3.5018750000000001</v>
      </c>
      <c r="CF433" s="253" cm="1">
        <f t="array" ref="CF433">$BC433 * IF($AD433&lt;=2,
SUMPRODUCT(INDEX($AL$72:$AN$76,,$AE433), INDEX($AO$72:$AU$76,,$AD433), 1 / ($AV$72:$AV$76*CE433 + (1-$AV$72:$AV$76)*CA433), N($AK$72:$AK$76&gt;$AI433)),
SUMPRODUCT(INDEX($AL$67:$AN$76,,$AE433), INDEX($AO$67:$AU$76,,$AD433), 1 / ($AW$67:$AW$76*CE433 + (1-$AW$67:$AW$76)*CA433), N($AK$67:$AK$76&gt;$AI433))
) / 1000</f>
        <v>0</v>
      </c>
      <c r="CG433" s="250">
        <f t="shared" si="524"/>
        <v>25</v>
      </c>
      <c r="CH433" s="237">
        <f t="shared" si="509"/>
        <v>38</v>
      </c>
      <c r="CI433" s="253">
        <f t="shared" si="510"/>
        <v>4.0666935483870965</v>
      </c>
      <c r="CJ433" s="253" cm="1">
        <f t="array" ref="CJ433">$BC433 * IF($AD433&lt;=2,
SUMPRODUCT(INDEX($AL$67:$AN$71,,$AE433), INDEX($AO$67:$AU$71,,$AD433), 1 / ($AV$67:$AV$71*CI433 + (1-$AV$67:$AV$71)*CE433), N($AK$67:$AK$71&gt;$AI433)),
SUMPRODUCT(INDEX($AL$57:$AN$66,,$AE433), INDEX($AO$57:$AU$66,,$AD433), 1 / ($AW$57:$AW$66*CI433 + (1-$AW$57:$AW$66)*CE433), N($AK$57:$AK$66&gt;$AI433))
) / 1000</f>
        <v>0</v>
      </c>
      <c r="CK433" s="250">
        <f t="shared" si="525"/>
        <v>20</v>
      </c>
      <c r="CL433" s="237">
        <f t="shared" si="511"/>
        <v>33</v>
      </c>
      <c r="CM433" s="253">
        <f t="shared" si="512"/>
        <v>4.8487499999999999</v>
      </c>
      <c r="CN433" s="253" cm="1">
        <f t="array" ref="CN433">$BC433 * IF($AD433&lt;=2,
SUMPRODUCT(INDEX($AL$62:$AN$66,,$AE433), INDEX($AO$62:$AU$66,,$AD433), 1 / ($AV$62:$AV$66*CM433 + (1-$AV$62:$AV$66)*CI433), N($AK$62:$AK$66&gt;$AI433)),
SUMPRODUCT(INDEX($AL$47:$AN$56,,$AE433), INDEX($AO$47:$AU$56,,$AD433), 1 / ($AW$47:$AW$56*CM433 + (1-$AW$47:$AW$56)*CI433), N($AK$47:$AK$56&gt;$AI433))
) / 1000</f>
        <v>0</v>
      </c>
      <c r="CO433" s="253" cm="1">
        <f t="array" ref="CO433">$BC433 * IF($AD433&lt;=2,
SUMPRODUCT(INDEX($AL$23:$AN$61,,$AE433), INDEX($AO$23:$AU$61,,$AD433), 1 / ($AV$23:$AV$61*CM433), N($AK$23:$AK$61&gt;$AI433)),
SUMPRODUCT(INDEX($AL$23:$AN$46,,$AE433), INDEX($AO$23:$AU$46,,$AD433), 1 / ($AW$23:$AW$46*CM433), N($AK$23:$AK$46&gt;$AI433))
) / 1000</f>
        <v>0</v>
      </c>
      <c r="CP433" s="237">
        <f t="shared" si="513"/>
        <v>0</v>
      </c>
      <c r="CQ433" s="210"/>
    </row>
    <row r="434" spans="1:95" s="76" customFormat="1" ht="14.25" customHeight="1" x14ac:dyDescent="0.2">
      <c r="A434" s="238" t="b">
        <f t="shared" si="517"/>
        <v>0</v>
      </c>
      <c r="B434" s="239">
        <v>412</v>
      </c>
      <c r="C434" s="258"/>
      <c r="D434" s="258"/>
      <c r="E434" s="240"/>
      <c r="F434" s="241" t="str">
        <f>IF(ISBLANK(E434), "", VLOOKUP(E434, Z!$A$2:$C$4127, 3, FALSE))</f>
        <v/>
      </c>
      <c r="G434" s="242"/>
      <c r="H434" s="242"/>
      <c r="I434" s="243"/>
      <c r="J434" s="244"/>
      <c r="K434" s="259"/>
      <c r="L434" s="260"/>
      <c r="M434" s="247" t="str" cm="1">
        <f t="array" ref="M434">IF($K434&gt;0, INDEX(Clean,1+AG434,$C$1), "")</f>
        <v/>
      </c>
      <c r="N434" s="245"/>
      <c r="O434" s="245"/>
      <c r="P434" s="246"/>
      <c r="Q434" s="248">
        <f t="shared" si="490"/>
        <v>0</v>
      </c>
      <c r="R434" s="247" t="str" cm="1">
        <f t="array" ref="R434">IF($K434&gt;0, INDEX(Clean,1+AH434,$C$1), "")</f>
        <v/>
      </c>
      <c r="S434" s="245"/>
      <c r="T434" s="245"/>
      <c r="U434" s="246"/>
      <c r="V434" s="248">
        <f t="shared" si="491"/>
        <v>0</v>
      </c>
      <c r="W434" s="261"/>
      <c r="X434" s="258"/>
      <c r="Y434" s="240"/>
      <c r="Z434" s="241" t="str">
        <f>IF(ISBLANK(Y434), "", VLOOKUP(Y434, Z!$A$2:$C$4127, 3, FALSE))</f>
        <v/>
      </c>
      <c r="AA434" s="262"/>
      <c r="AB434" s="249">
        <f t="shared" si="526"/>
        <v>0</v>
      </c>
      <c r="AC434" s="210"/>
      <c r="AD434" s="236">
        <f t="shared" si="514"/>
        <v>1</v>
      </c>
      <c r="AE434" s="236">
        <f t="shared" si="515"/>
        <v>1</v>
      </c>
      <c r="AF434" s="236">
        <f t="shared" si="516"/>
        <v>0</v>
      </c>
      <c r="AG434" s="236">
        <v>1</v>
      </c>
      <c r="AH434" s="236">
        <v>0</v>
      </c>
      <c r="AI434" s="236">
        <f t="shared" si="492"/>
        <v>-100</v>
      </c>
      <c r="AJ434" s="210"/>
      <c r="AK434" s="254"/>
      <c r="AL434" s="254"/>
      <c r="AM434" s="255"/>
      <c r="AN434" s="255"/>
      <c r="AO434" s="255"/>
      <c r="AP434" s="255"/>
      <c r="AQ434" s="255"/>
      <c r="AR434" s="255"/>
      <c r="AS434" s="255"/>
      <c r="AT434" s="255"/>
      <c r="AU434" s="255"/>
      <c r="AV434" s="255"/>
      <c r="AW434" s="255"/>
      <c r="AX434" s="210"/>
      <c r="AY434" s="236" cm="1">
        <f t="array" ref="AY434">INDEX(Use, $AD434, 4)</f>
        <v>7</v>
      </c>
      <c r="AZ434" s="236">
        <f t="shared" si="493"/>
        <v>32</v>
      </c>
      <c r="BA434" s="236">
        <f t="shared" si="518"/>
        <v>13</v>
      </c>
      <c r="BB434" s="236">
        <f t="shared" si="519"/>
        <v>0</v>
      </c>
      <c r="BC434" s="252" cm="1">
        <f t="array" ref="BC434">K434/IF($L434&gt;0, INDEX($AO$23:$AU$77, $L434+20, $AD434), 1)</f>
        <v>0</v>
      </c>
      <c r="BD434" s="237">
        <f t="shared" si="494"/>
        <v>0</v>
      </c>
      <c r="BE434" s="236">
        <v>35</v>
      </c>
      <c r="BF434" s="237">
        <f t="shared" si="495"/>
        <v>52.55</v>
      </c>
      <c r="BG434" s="253">
        <f t="shared" si="496"/>
        <v>2.7676728869374316</v>
      </c>
      <c r="BH434" s="253" cm="1">
        <f t="array" ref="BH434">$BC434 * SUMPRODUCT(INDEX($AL$77:$AN$82,,$AE434),INDEX($AO$77:$AU$82,,$AD434), N($AK$77:$AK$82&gt;$AI434)) / BG434 / 1000</f>
        <v>0</v>
      </c>
      <c r="BI434" s="250">
        <f t="shared" si="520"/>
        <v>30</v>
      </c>
      <c r="BJ434" s="237">
        <f t="shared" si="497"/>
        <v>46.033333333333331</v>
      </c>
      <c r="BK434" s="253">
        <f t="shared" si="498"/>
        <v>3.2297395388556791</v>
      </c>
      <c r="BL434" s="253" cm="1">
        <f t="array" ref="BL434">$BC434 * IF($AD434&lt;=2,
SUMPRODUCT(INDEX($AL$72:$AN$76,,$AE434), INDEX($AO$72:$AU$76,,$AD434), 1 / ($AV$72:$AV$76*BK434 + (1-$AV$72:$AV$76)*BG434), N($AK$72:$AK$76&gt;$AI434)),
SUMPRODUCT(INDEX($AL$67:$AN$76,,$AE434), INDEX($AO$67:$AU$76,,$AD434), 1 / ($AW$67:$AW$76*BK434 + (1-$AW$67:$AW$76)*BG434), N($AK$67:$AK$76&gt;$AI434))
) / 1000</f>
        <v>0</v>
      </c>
      <c r="BM434" s="250">
        <f t="shared" si="521"/>
        <v>25</v>
      </c>
      <c r="BN434" s="237">
        <f t="shared" si="499"/>
        <v>39.516666666666666</v>
      </c>
      <c r="BO434" s="253">
        <f t="shared" si="500"/>
        <v>3.877011788826243</v>
      </c>
      <c r="BP434" s="253" cm="1">
        <f t="array" ref="BP434">$BC434 * IF($AD434&lt;=2,
SUMPRODUCT(INDEX($AL$67:$AN$71,,$AE434), INDEX($AO$67:$AU$71,,$AD434), 1 / ($AV$67:$AV$71*BO434 + (1-$AV$67:$AV$71)*BK434), N($AK$67:$AK$71&gt;$AI434)),
SUMPRODUCT(INDEX($AL$57:$AN$66,,$AE434), INDEX($AO$57:$AU$66,,$AD434), 1 / ($AW$57:$AW$66*BO434 + (1-$AW$57:$AW$66)*BK434), N($AK$57:$AK$66&gt;$AI434))
) / 1000</f>
        <v>0</v>
      </c>
      <c r="BQ434" s="250">
        <f t="shared" si="522"/>
        <v>20</v>
      </c>
      <c r="BR434" s="237">
        <f t="shared" si="501"/>
        <v>33</v>
      </c>
      <c r="BS434" s="253">
        <f t="shared" si="502"/>
        <v>4.8487499999999999</v>
      </c>
      <c r="BT434" s="253" cm="1">
        <f t="array" ref="BT434">$BC434 * IF($AD434&lt;=2,
SUMPRODUCT(INDEX($AL$62:$AN$66,,$AE434), INDEX($AO$62:$AU$66,,$AD434), 1 / ($AV$62:$AV$66*BS434 + (1-$AV$62:$AV$66)*BO434), N($AK$62:$AK$66&gt;$AI434)),
SUMPRODUCT(INDEX($AL$47:$AN$56,,$AE434), INDEX($AO$47:$AU$56,,$AD434), 1 / ($AW$47:$AW$56*BS434 + (1-$AW$47:$AW$56)*BO434), N($AK$47:$AK$56&gt;$AI434))
) / 1000</f>
        <v>0</v>
      </c>
      <c r="BU434" s="253" cm="1">
        <f t="array" ref="BU434">$BC434 * IF($AD434&lt;=2,
SUMPRODUCT(INDEX($AL$23:$AN$61,,$AE434), INDEX($AO$23:$AU$61,,$AD434), 1 / ($AV$23:$AV$61*BS434), N($AK$23:$AK$61&gt;$AI434)),
SUMPRODUCT(INDEX($AL$23:$AN$46,,$AE434), INDEX($AO$23:$AU$46,,$AD434), 1 / ($AW$23:$AW$46*BS434), N($AK$23:$AK$46&gt;$AI434))
) / 1000</f>
        <v>0</v>
      </c>
      <c r="BV434" s="237">
        <f t="shared" si="503"/>
        <v>0</v>
      </c>
      <c r="BW434" s="210"/>
      <c r="BX434" s="237">
        <f t="shared" si="504"/>
        <v>0</v>
      </c>
      <c r="BY434" s="236">
        <v>35</v>
      </c>
      <c r="BZ434" s="237">
        <f t="shared" si="505"/>
        <v>48</v>
      </c>
      <c r="CA434" s="253">
        <f t="shared" si="506"/>
        <v>3.0748170731707316</v>
      </c>
      <c r="CB434" s="253" cm="1">
        <f t="array" ref="CB434">$BC434 * SUMPRODUCT(INDEX($AL$77:$AN$82,,$AE434),INDEX($AO$77:$AU$82,,$AD434), N($AK$77:$AK$82&gt;$AI434)) / CA434 / 1000</f>
        <v>0</v>
      </c>
      <c r="CC434" s="250">
        <f t="shared" si="523"/>
        <v>30</v>
      </c>
      <c r="CD434" s="237">
        <f t="shared" si="507"/>
        <v>43</v>
      </c>
      <c r="CE434" s="253">
        <f t="shared" si="508"/>
        <v>3.5018750000000001</v>
      </c>
      <c r="CF434" s="253" cm="1">
        <f t="array" ref="CF434">$BC434 * IF($AD434&lt;=2,
SUMPRODUCT(INDEX($AL$72:$AN$76,,$AE434), INDEX($AO$72:$AU$76,,$AD434), 1 / ($AV$72:$AV$76*CE434 + (1-$AV$72:$AV$76)*CA434), N($AK$72:$AK$76&gt;$AI434)),
SUMPRODUCT(INDEX($AL$67:$AN$76,,$AE434), INDEX($AO$67:$AU$76,,$AD434), 1 / ($AW$67:$AW$76*CE434 + (1-$AW$67:$AW$76)*CA434), N($AK$67:$AK$76&gt;$AI434))
) / 1000</f>
        <v>0</v>
      </c>
      <c r="CG434" s="250">
        <f t="shared" si="524"/>
        <v>25</v>
      </c>
      <c r="CH434" s="237">
        <f t="shared" si="509"/>
        <v>38</v>
      </c>
      <c r="CI434" s="253">
        <f t="shared" si="510"/>
        <v>4.0666935483870965</v>
      </c>
      <c r="CJ434" s="253" cm="1">
        <f t="array" ref="CJ434">$BC434 * IF($AD434&lt;=2,
SUMPRODUCT(INDEX($AL$67:$AN$71,,$AE434), INDEX($AO$67:$AU$71,,$AD434), 1 / ($AV$67:$AV$71*CI434 + (1-$AV$67:$AV$71)*CE434), N($AK$67:$AK$71&gt;$AI434)),
SUMPRODUCT(INDEX($AL$57:$AN$66,,$AE434), INDEX($AO$57:$AU$66,,$AD434), 1 / ($AW$57:$AW$66*CI434 + (1-$AW$57:$AW$66)*CE434), N($AK$57:$AK$66&gt;$AI434))
) / 1000</f>
        <v>0</v>
      </c>
      <c r="CK434" s="250">
        <f t="shared" si="525"/>
        <v>20</v>
      </c>
      <c r="CL434" s="237">
        <f t="shared" si="511"/>
        <v>33</v>
      </c>
      <c r="CM434" s="253">
        <f t="shared" si="512"/>
        <v>4.8487499999999999</v>
      </c>
      <c r="CN434" s="253" cm="1">
        <f t="array" ref="CN434">$BC434 * IF($AD434&lt;=2,
SUMPRODUCT(INDEX($AL$62:$AN$66,,$AE434), INDEX($AO$62:$AU$66,,$AD434), 1 / ($AV$62:$AV$66*CM434 + (1-$AV$62:$AV$66)*CI434), N($AK$62:$AK$66&gt;$AI434)),
SUMPRODUCT(INDEX($AL$47:$AN$56,,$AE434), INDEX($AO$47:$AU$56,,$AD434), 1 / ($AW$47:$AW$56*CM434 + (1-$AW$47:$AW$56)*CI434), N($AK$47:$AK$56&gt;$AI434))
) / 1000</f>
        <v>0</v>
      </c>
      <c r="CO434" s="253" cm="1">
        <f t="array" ref="CO434">$BC434 * IF($AD434&lt;=2,
SUMPRODUCT(INDEX($AL$23:$AN$61,,$AE434), INDEX($AO$23:$AU$61,,$AD434), 1 / ($AV$23:$AV$61*CM434), N($AK$23:$AK$61&gt;$AI434)),
SUMPRODUCT(INDEX($AL$23:$AN$46,,$AE434), INDEX($AO$23:$AU$46,,$AD434), 1 / ($AW$23:$AW$46*CM434), N($AK$23:$AK$46&gt;$AI434))
) / 1000</f>
        <v>0</v>
      </c>
      <c r="CP434" s="237">
        <f t="shared" si="513"/>
        <v>0</v>
      </c>
      <c r="CQ434" s="210"/>
    </row>
    <row r="435" spans="1:95" s="76" customFormat="1" ht="14.25" customHeight="1" x14ac:dyDescent="0.2">
      <c r="A435" s="238" t="b">
        <f t="shared" si="517"/>
        <v>0</v>
      </c>
      <c r="B435" s="239">
        <v>413</v>
      </c>
      <c r="C435" s="258"/>
      <c r="D435" s="258"/>
      <c r="E435" s="240"/>
      <c r="F435" s="241" t="str">
        <f>IF(ISBLANK(E435), "", VLOOKUP(E435, Z!$A$2:$C$4127, 3, FALSE))</f>
        <v/>
      </c>
      <c r="G435" s="242"/>
      <c r="H435" s="242"/>
      <c r="I435" s="243"/>
      <c r="J435" s="244"/>
      <c r="K435" s="259"/>
      <c r="L435" s="260"/>
      <c r="M435" s="247" t="str" cm="1">
        <f t="array" ref="M435">IF($K435&gt;0, INDEX(Clean,1+AG435,$C$1), "")</f>
        <v/>
      </c>
      <c r="N435" s="245"/>
      <c r="O435" s="245"/>
      <c r="P435" s="246"/>
      <c r="Q435" s="248">
        <f t="shared" si="490"/>
        <v>0</v>
      </c>
      <c r="R435" s="247" t="str" cm="1">
        <f t="array" ref="R435">IF($K435&gt;0, INDEX(Clean,1+AH435,$C$1), "")</f>
        <v/>
      </c>
      <c r="S435" s="245"/>
      <c r="T435" s="245"/>
      <c r="U435" s="246"/>
      <c r="V435" s="248">
        <f t="shared" si="491"/>
        <v>0</v>
      </c>
      <c r="W435" s="261"/>
      <c r="X435" s="258"/>
      <c r="Y435" s="240"/>
      <c r="Z435" s="241" t="str">
        <f>IF(ISBLANK(Y435), "", VLOOKUP(Y435, Z!$A$2:$C$4127, 3, FALSE))</f>
        <v/>
      </c>
      <c r="AA435" s="262"/>
      <c r="AB435" s="249">
        <f t="shared" si="526"/>
        <v>0</v>
      </c>
      <c r="AC435" s="210"/>
      <c r="AD435" s="236">
        <f t="shared" si="514"/>
        <v>1</v>
      </c>
      <c r="AE435" s="236">
        <f t="shared" si="515"/>
        <v>1</v>
      </c>
      <c r="AF435" s="236">
        <f t="shared" si="516"/>
        <v>0</v>
      </c>
      <c r="AG435" s="236">
        <v>1</v>
      </c>
      <c r="AH435" s="236">
        <v>0</v>
      </c>
      <c r="AI435" s="236">
        <f t="shared" si="492"/>
        <v>-100</v>
      </c>
      <c r="AJ435" s="210"/>
      <c r="AK435" s="254"/>
      <c r="AL435" s="254"/>
      <c r="AM435" s="255"/>
      <c r="AN435" s="255"/>
      <c r="AO435" s="255"/>
      <c r="AP435" s="255"/>
      <c r="AQ435" s="255"/>
      <c r="AR435" s="255"/>
      <c r="AS435" s="255"/>
      <c r="AT435" s="255"/>
      <c r="AU435" s="255"/>
      <c r="AV435" s="255"/>
      <c r="AW435" s="255"/>
      <c r="AX435" s="210"/>
      <c r="AY435" s="236" cm="1">
        <f t="array" ref="AY435">INDEX(Use, $AD435, 4)</f>
        <v>7</v>
      </c>
      <c r="AZ435" s="236">
        <f t="shared" si="493"/>
        <v>32</v>
      </c>
      <c r="BA435" s="236">
        <f t="shared" si="518"/>
        <v>13</v>
      </c>
      <c r="BB435" s="236">
        <f t="shared" si="519"/>
        <v>0</v>
      </c>
      <c r="BC435" s="252" cm="1">
        <f t="array" ref="BC435">K435/IF($L435&gt;0, INDEX($AO$23:$AU$77, $L435+20, $AD435), 1)</f>
        <v>0</v>
      </c>
      <c r="BD435" s="237">
        <f t="shared" si="494"/>
        <v>0</v>
      </c>
      <c r="BE435" s="236">
        <v>35</v>
      </c>
      <c r="BF435" s="237">
        <f t="shared" si="495"/>
        <v>52.55</v>
      </c>
      <c r="BG435" s="253">
        <f t="shared" si="496"/>
        <v>2.7676728869374316</v>
      </c>
      <c r="BH435" s="253" cm="1">
        <f t="array" ref="BH435">$BC435 * SUMPRODUCT(INDEX($AL$77:$AN$82,,$AE435),INDEX($AO$77:$AU$82,,$AD435), N($AK$77:$AK$82&gt;$AI435)) / BG435 / 1000</f>
        <v>0</v>
      </c>
      <c r="BI435" s="250">
        <f t="shared" si="520"/>
        <v>30</v>
      </c>
      <c r="BJ435" s="237">
        <f t="shared" si="497"/>
        <v>46.033333333333331</v>
      </c>
      <c r="BK435" s="253">
        <f t="shared" si="498"/>
        <v>3.2297395388556791</v>
      </c>
      <c r="BL435" s="253" cm="1">
        <f t="array" ref="BL435">$BC435 * IF($AD435&lt;=2,
SUMPRODUCT(INDEX($AL$72:$AN$76,,$AE435), INDEX($AO$72:$AU$76,,$AD435), 1 / ($AV$72:$AV$76*BK435 + (1-$AV$72:$AV$76)*BG435), N($AK$72:$AK$76&gt;$AI435)),
SUMPRODUCT(INDEX($AL$67:$AN$76,,$AE435), INDEX($AO$67:$AU$76,,$AD435), 1 / ($AW$67:$AW$76*BK435 + (1-$AW$67:$AW$76)*BG435), N($AK$67:$AK$76&gt;$AI435))
) / 1000</f>
        <v>0</v>
      </c>
      <c r="BM435" s="250">
        <f t="shared" si="521"/>
        <v>25</v>
      </c>
      <c r="BN435" s="237">
        <f t="shared" si="499"/>
        <v>39.516666666666666</v>
      </c>
      <c r="BO435" s="253">
        <f t="shared" si="500"/>
        <v>3.877011788826243</v>
      </c>
      <c r="BP435" s="253" cm="1">
        <f t="array" ref="BP435">$BC435 * IF($AD435&lt;=2,
SUMPRODUCT(INDEX($AL$67:$AN$71,,$AE435), INDEX($AO$67:$AU$71,,$AD435), 1 / ($AV$67:$AV$71*BO435 + (1-$AV$67:$AV$71)*BK435), N($AK$67:$AK$71&gt;$AI435)),
SUMPRODUCT(INDEX($AL$57:$AN$66,,$AE435), INDEX($AO$57:$AU$66,,$AD435), 1 / ($AW$57:$AW$66*BO435 + (1-$AW$57:$AW$66)*BK435), N($AK$57:$AK$66&gt;$AI435))
) / 1000</f>
        <v>0</v>
      </c>
      <c r="BQ435" s="250">
        <f t="shared" si="522"/>
        <v>20</v>
      </c>
      <c r="BR435" s="237">
        <f t="shared" si="501"/>
        <v>33</v>
      </c>
      <c r="BS435" s="253">
        <f t="shared" si="502"/>
        <v>4.8487499999999999</v>
      </c>
      <c r="BT435" s="253" cm="1">
        <f t="array" ref="BT435">$BC435 * IF($AD435&lt;=2,
SUMPRODUCT(INDEX($AL$62:$AN$66,,$AE435), INDEX($AO$62:$AU$66,,$AD435), 1 / ($AV$62:$AV$66*BS435 + (1-$AV$62:$AV$66)*BO435), N($AK$62:$AK$66&gt;$AI435)),
SUMPRODUCT(INDEX($AL$47:$AN$56,,$AE435), INDEX($AO$47:$AU$56,,$AD435), 1 / ($AW$47:$AW$56*BS435 + (1-$AW$47:$AW$56)*BO435), N($AK$47:$AK$56&gt;$AI435))
) / 1000</f>
        <v>0</v>
      </c>
      <c r="BU435" s="253" cm="1">
        <f t="array" ref="BU435">$BC435 * IF($AD435&lt;=2,
SUMPRODUCT(INDEX($AL$23:$AN$61,,$AE435), INDEX($AO$23:$AU$61,,$AD435), 1 / ($AV$23:$AV$61*BS435), N($AK$23:$AK$61&gt;$AI435)),
SUMPRODUCT(INDEX($AL$23:$AN$46,,$AE435), INDEX($AO$23:$AU$46,,$AD435), 1 / ($AW$23:$AW$46*BS435), N($AK$23:$AK$46&gt;$AI435))
) / 1000</f>
        <v>0</v>
      </c>
      <c r="BV435" s="237">
        <f t="shared" si="503"/>
        <v>0</v>
      </c>
      <c r="BW435" s="210"/>
      <c r="BX435" s="237">
        <f t="shared" si="504"/>
        <v>0</v>
      </c>
      <c r="BY435" s="236">
        <v>35</v>
      </c>
      <c r="BZ435" s="237">
        <f t="shared" si="505"/>
        <v>48</v>
      </c>
      <c r="CA435" s="253">
        <f t="shared" si="506"/>
        <v>3.0748170731707316</v>
      </c>
      <c r="CB435" s="253" cm="1">
        <f t="array" ref="CB435">$BC435 * SUMPRODUCT(INDEX($AL$77:$AN$82,,$AE435),INDEX($AO$77:$AU$82,,$AD435), N($AK$77:$AK$82&gt;$AI435)) / CA435 / 1000</f>
        <v>0</v>
      </c>
      <c r="CC435" s="250">
        <f t="shared" si="523"/>
        <v>30</v>
      </c>
      <c r="CD435" s="237">
        <f t="shared" si="507"/>
        <v>43</v>
      </c>
      <c r="CE435" s="253">
        <f t="shared" si="508"/>
        <v>3.5018750000000001</v>
      </c>
      <c r="CF435" s="253" cm="1">
        <f t="array" ref="CF435">$BC435 * IF($AD435&lt;=2,
SUMPRODUCT(INDEX($AL$72:$AN$76,,$AE435), INDEX($AO$72:$AU$76,,$AD435), 1 / ($AV$72:$AV$76*CE435 + (1-$AV$72:$AV$76)*CA435), N($AK$72:$AK$76&gt;$AI435)),
SUMPRODUCT(INDEX($AL$67:$AN$76,,$AE435), INDEX($AO$67:$AU$76,,$AD435), 1 / ($AW$67:$AW$76*CE435 + (1-$AW$67:$AW$76)*CA435), N($AK$67:$AK$76&gt;$AI435))
) / 1000</f>
        <v>0</v>
      </c>
      <c r="CG435" s="250">
        <f t="shared" si="524"/>
        <v>25</v>
      </c>
      <c r="CH435" s="237">
        <f t="shared" si="509"/>
        <v>38</v>
      </c>
      <c r="CI435" s="253">
        <f t="shared" si="510"/>
        <v>4.0666935483870965</v>
      </c>
      <c r="CJ435" s="253" cm="1">
        <f t="array" ref="CJ435">$BC435 * IF($AD435&lt;=2,
SUMPRODUCT(INDEX($AL$67:$AN$71,,$AE435), INDEX($AO$67:$AU$71,,$AD435), 1 / ($AV$67:$AV$71*CI435 + (1-$AV$67:$AV$71)*CE435), N($AK$67:$AK$71&gt;$AI435)),
SUMPRODUCT(INDEX($AL$57:$AN$66,,$AE435), INDEX($AO$57:$AU$66,,$AD435), 1 / ($AW$57:$AW$66*CI435 + (1-$AW$57:$AW$66)*CE435), N($AK$57:$AK$66&gt;$AI435))
) / 1000</f>
        <v>0</v>
      </c>
      <c r="CK435" s="250">
        <f t="shared" si="525"/>
        <v>20</v>
      </c>
      <c r="CL435" s="237">
        <f t="shared" si="511"/>
        <v>33</v>
      </c>
      <c r="CM435" s="253">
        <f t="shared" si="512"/>
        <v>4.8487499999999999</v>
      </c>
      <c r="CN435" s="253" cm="1">
        <f t="array" ref="CN435">$BC435 * IF($AD435&lt;=2,
SUMPRODUCT(INDEX($AL$62:$AN$66,,$AE435), INDEX($AO$62:$AU$66,,$AD435), 1 / ($AV$62:$AV$66*CM435 + (1-$AV$62:$AV$66)*CI435), N($AK$62:$AK$66&gt;$AI435)),
SUMPRODUCT(INDEX($AL$47:$AN$56,,$AE435), INDEX($AO$47:$AU$56,,$AD435), 1 / ($AW$47:$AW$56*CM435 + (1-$AW$47:$AW$56)*CI435), N($AK$47:$AK$56&gt;$AI435))
) / 1000</f>
        <v>0</v>
      </c>
      <c r="CO435" s="253" cm="1">
        <f t="array" ref="CO435">$BC435 * IF($AD435&lt;=2,
SUMPRODUCT(INDEX($AL$23:$AN$61,,$AE435), INDEX($AO$23:$AU$61,,$AD435), 1 / ($AV$23:$AV$61*CM435), N($AK$23:$AK$61&gt;$AI435)),
SUMPRODUCT(INDEX($AL$23:$AN$46,,$AE435), INDEX($AO$23:$AU$46,,$AD435), 1 / ($AW$23:$AW$46*CM435), N($AK$23:$AK$46&gt;$AI435))
) / 1000</f>
        <v>0</v>
      </c>
      <c r="CP435" s="237">
        <f t="shared" si="513"/>
        <v>0</v>
      </c>
      <c r="CQ435" s="210"/>
    </row>
    <row r="436" spans="1:95" s="76" customFormat="1" ht="14.25" customHeight="1" x14ac:dyDescent="0.2">
      <c r="A436" s="238" t="b">
        <f t="shared" si="517"/>
        <v>0</v>
      </c>
      <c r="B436" s="239">
        <v>414</v>
      </c>
      <c r="C436" s="258"/>
      <c r="D436" s="258"/>
      <c r="E436" s="240"/>
      <c r="F436" s="241" t="str">
        <f>IF(ISBLANK(E436), "", VLOOKUP(E436, Z!$A$2:$C$4127, 3, FALSE))</f>
        <v/>
      </c>
      <c r="G436" s="242"/>
      <c r="H436" s="242"/>
      <c r="I436" s="243"/>
      <c r="J436" s="244"/>
      <c r="K436" s="259"/>
      <c r="L436" s="260"/>
      <c r="M436" s="247" t="str" cm="1">
        <f t="array" ref="M436">IF($K436&gt;0, INDEX(Clean,1+AG436,$C$1), "")</f>
        <v/>
      </c>
      <c r="N436" s="245"/>
      <c r="O436" s="245"/>
      <c r="P436" s="246"/>
      <c r="Q436" s="248">
        <f t="shared" si="490"/>
        <v>0</v>
      </c>
      <c r="R436" s="247" t="str" cm="1">
        <f t="array" ref="R436">IF($K436&gt;0, INDEX(Clean,1+AH436,$C$1), "")</f>
        <v/>
      </c>
      <c r="S436" s="245"/>
      <c r="T436" s="245"/>
      <c r="U436" s="246"/>
      <c r="V436" s="248">
        <f t="shared" si="491"/>
        <v>0</v>
      </c>
      <c r="W436" s="261"/>
      <c r="X436" s="258"/>
      <c r="Y436" s="240"/>
      <c r="Z436" s="241" t="str">
        <f>IF(ISBLANK(Y436), "", VLOOKUP(Y436, Z!$A$2:$C$4127, 3, FALSE))</f>
        <v/>
      </c>
      <c r="AA436" s="262"/>
      <c r="AB436" s="249">
        <f t="shared" si="526"/>
        <v>0</v>
      </c>
      <c r="AC436" s="210"/>
      <c r="AD436" s="236">
        <f t="shared" si="514"/>
        <v>1</v>
      </c>
      <c r="AE436" s="236">
        <f t="shared" si="515"/>
        <v>1</v>
      </c>
      <c r="AF436" s="236">
        <f t="shared" si="516"/>
        <v>0</v>
      </c>
      <c r="AG436" s="236">
        <v>1</v>
      </c>
      <c r="AH436" s="236">
        <v>0</v>
      </c>
      <c r="AI436" s="236">
        <f t="shared" si="492"/>
        <v>-100</v>
      </c>
      <c r="AJ436" s="210"/>
      <c r="AK436" s="254"/>
      <c r="AL436" s="254"/>
      <c r="AM436" s="255"/>
      <c r="AN436" s="255"/>
      <c r="AO436" s="255"/>
      <c r="AP436" s="255"/>
      <c r="AQ436" s="255"/>
      <c r="AR436" s="255"/>
      <c r="AS436" s="255"/>
      <c r="AT436" s="255"/>
      <c r="AU436" s="255"/>
      <c r="AV436" s="255"/>
      <c r="AW436" s="255"/>
      <c r="AX436" s="210"/>
      <c r="AY436" s="236" cm="1">
        <f t="array" ref="AY436">INDEX(Use, $AD436, 4)</f>
        <v>7</v>
      </c>
      <c r="AZ436" s="236">
        <f t="shared" si="493"/>
        <v>32</v>
      </c>
      <c r="BA436" s="236">
        <f t="shared" si="518"/>
        <v>13</v>
      </c>
      <c r="BB436" s="236">
        <f t="shared" si="519"/>
        <v>0</v>
      </c>
      <c r="BC436" s="252" cm="1">
        <f t="array" ref="BC436">K436/IF($L436&gt;0, INDEX($AO$23:$AU$77, $L436+20, $AD436), 1)</f>
        <v>0</v>
      </c>
      <c r="BD436" s="237">
        <f t="shared" si="494"/>
        <v>0</v>
      </c>
      <c r="BE436" s="236">
        <v>35</v>
      </c>
      <c r="BF436" s="237">
        <f t="shared" si="495"/>
        <v>52.55</v>
      </c>
      <c r="BG436" s="253">
        <f t="shared" si="496"/>
        <v>2.7676728869374316</v>
      </c>
      <c r="BH436" s="253" cm="1">
        <f t="array" ref="BH436">$BC436 * SUMPRODUCT(INDEX($AL$77:$AN$82,,$AE436),INDEX($AO$77:$AU$82,,$AD436), N($AK$77:$AK$82&gt;$AI436)) / BG436 / 1000</f>
        <v>0</v>
      </c>
      <c r="BI436" s="250">
        <f t="shared" si="520"/>
        <v>30</v>
      </c>
      <c r="BJ436" s="237">
        <f t="shared" si="497"/>
        <v>46.033333333333331</v>
      </c>
      <c r="BK436" s="253">
        <f t="shared" si="498"/>
        <v>3.2297395388556791</v>
      </c>
      <c r="BL436" s="253" cm="1">
        <f t="array" ref="BL436">$BC436 * IF($AD436&lt;=2,
SUMPRODUCT(INDEX($AL$72:$AN$76,,$AE436), INDEX($AO$72:$AU$76,,$AD436), 1 / ($AV$72:$AV$76*BK436 + (1-$AV$72:$AV$76)*BG436), N($AK$72:$AK$76&gt;$AI436)),
SUMPRODUCT(INDEX($AL$67:$AN$76,,$AE436), INDEX($AO$67:$AU$76,,$AD436), 1 / ($AW$67:$AW$76*BK436 + (1-$AW$67:$AW$76)*BG436), N($AK$67:$AK$76&gt;$AI436))
) / 1000</f>
        <v>0</v>
      </c>
      <c r="BM436" s="250">
        <f t="shared" si="521"/>
        <v>25</v>
      </c>
      <c r="BN436" s="237">
        <f t="shared" si="499"/>
        <v>39.516666666666666</v>
      </c>
      <c r="BO436" s="253">
        <f t="shared" si="500"/>
        <v>3.877011788826243</v>
      </c>
      <c r="BP436" s="253" cm="1">
        <f t="array" ref="BP436">$BC436 * IF($AD436&lt;=2,
SUMPRODUCT(INDEX($AL$67:$AN$71,,$AE436), INDEX($AO$67:$AU$71,,$AD436), 1 / ($AV$67:$AV$71*BO436 + (1-$AV$67:$AV$71)*BK436), N($AK$67:$AK$71&gt;$AI436)),
SUMPRODUCT(INDEX($AL$57:$AN$66,,$AE436), INDEX($AO$57:$AU$66,,$AD436), 1 / ($AW$57:$AW$66*BO436 + (1-$AW$57:$AW$66)*BK436), N($AK$57:$AK$66&gt;$AI436))
) / 1000</f>
        <v>0</v>
      </c>
      <c r="BQ436" s="250">
        <f t="shared" si="522"/>
        <v>20</v>
      </c>
      <c r="BR436" s="237">
        <f t="shared" si="501"/>
        <v>33</v>
      </c>
      <c r="BS436" s="253">
        <f t="shared" si="502"/>
        <v>4.8487499999999999</v>
      </c>
      <c r="BT436" s="253" cm="1">
        <f t="array" ref="BT436">$BC436 * IF($AD436&lt;=2,
SUMPRODUCT(INDEX($AL$62:$AN$66,,$AE436), INDEX($AO$62:$AU$66,,$AD436), 1 / ($AV$62:$AV$66*BS436 + (1-$AV$62:$AV$66)*BO436), N($AK$62:$AK$66&gt;$AI436)),
SUMPRODUCT(INDEX($AL$47:$AN$56,,$AE436), INDEX($AO$47:$AU$56,,$AD436), 1 / ($AW$47:$AW$56*BS436 + (1-$AW$47:$AW$56)*BO436), N($AK$47:$AK$56&gt;$AI436))
) / 1000</f>
        <v>0</v>
      </c>
      <c r="BU436" s="253" cm="1">
        <f t="array" ref="BU436">$BC436 * IF($AD436&lt;=2,
SUMPRODUCT(INDEX($AL$23:$AN$61,,$AE436), INDEX($AO$23:$AU$61,,$AD436), 1 / ($AV$23:$AV$61*BS436), N($AK$23:$AK$61&gt;$AI436)),
SUMPRODUCT(INDEX($AL$23:$AN$46,,$AE436), INDEX($AO$23:$AU$46,,$AD436), 1 / ($AW$23:$AW$46*BS436), N($AK$23:$AK$46&gt;$AI436))
) / 1000</f>
        <v>0</v>
      </c>
      <c r="BV436" s="237">
        <f t="shared" si="503"/>
        <v>0</v>
      </c>
      <c r="BW436" s="210"/>
      <c r="BX436" s="237">
        <f t="shared" si="504"/>
        <v>0</v>
      </c>
      <c r="BY436" s="236">
        <v>35</v>
      </c>
      <c r="BZ436" s="237">
        <f t="shared" si="505"/>
        <v>48</v>
      </c>
      <c r="CA436" s="253">
        <f t="shared" si="506"/>
        <v>3.0748170731707316</v>
      </c>
      <c r="CB436" s="253" cm="1">
        <f t="array" ref="CB436">$BC436 * SUMPRODUCT(INDEX($AL$77:$AN$82,,$AE436),INDEX($AO$77:$AU$82,,$AD436), N($AK$77:$AK$82&gt;$AI436)) / CA436 / 1000</f>
        <v>0</v>
      </c>
      <c r="CC436" s="250">
        <f t="shared" si="523"/>
        <v>30</v>
      </c>
      <c r="CD436" s="237">
        <f t="shared" si="507"/>
        <v>43</v>
      </c>
      <c r="CE436" s="253">
        <f t="shared" si="508"/>
        <v>3.5018750000000001</v>
      </c>
      <c r="CF436" s="253" cm="1">
        <f t="array" ref="CF436">$BC436 * IF($AD436&lt;=2,
SUMPRODUCT(INDEX($AL$72:$AN$76,,$AE436), INDEX($AO$72:$AU$76,,$AD436), 1 / ($AV$72:$AV$76*CE436 + (1-$AV$72:$AV$76)*CA436), N($AK$72:$AK$76&gt;$AI436)),
SUMPRODUCT(INDEX($AL$67:$AN$76,,$AE436), INDEX($AO$67:$AU$76,,$AD436), 1 / ($AW$67:$AW$76*CE436 + (1-$AW$67:$AW$76)*CA436), N($AK$67:$AK$76&gt;$AI436))
) / 1000</f>
        <v>0</v>
      </c>
      <c r="CG436" s="250">
        <f t="shared" si="524"/>
        <v>25</v>
      </c>
      <c r="CH436" s="237">
        <f t="shared" si="509"/>
        <v>38</v>
      </c>
      <c r="CI436" s="253">
        <f t="shared" si="510"/>
        <v>4.0666935483870965</v>
      </c>
      <c r="CJ436" s="253" cm="1">
        <f t="array" ref="CJ436">$BC436 * IF($AD436&lt;=2,
SUMPRODUCT(INDEX($AL$67:$AN$71,,$AE436), INDEX($AO$67:$AU$71,,$AD436), 1 / ($AV$67:$AV$71*CI436 + (1-$AV$67:$AV$71)*CE436), N($AK$67:$AK$71&gt;$AI436)),
SUMPRODUCT(INDEX($AL$57:$AN$66,,$AE436), INDEX($AO$57:$AU$66,,$AD436), 1 / ($AW$57:$AW$66*CI436 + (1-$AW$57:$AW$66)*CE436), N($AK$57:$AK$66&gt;$AI436))
) / 1000</f>
        <v>0</v>
      </c>
      <c r="CK436" s="250">
        <f t="shared" si="525"/>
        <v>20</v>
      </c>
      <c r="CL436" s="237">
        <f t="shared" si="511"/>
        <v>33</v>
      </c>
      <c r="CM436" s="253">
        <f t="shared" si="512"/>
        <v>4.8487499999999999</v>
      </c>
      <c r="CN436" s="253" cm="1">
        <f t="array" ref="CN436">$BC436 * IF($AD436&lt;=2,
SUMPRODUCT(INDEX($AL$62:$AN$66,,$AE436), INDEX($AO$62:$AU$66,,$AD436), 1 / ($AV$62:$AV$66*CM436 + (1-$AV$62:$AV$66)*CI436), N($AK$62:$AK$66&gt;$AI436)),
SUMPRODUCT(INDEX($AL$47:$AN$56,,$AE436), INDEX($AO$47:$AU$56,,$AD436), 1 / ($AW$47:$AW$56*CM436 + (1-$AW$47:$AW$56)*CI436), N($AK$47:$AK$56&gt;$AI436))
) / 1000</f>
        <v>0</v>
      </c>
      <c r="CO436" s="253" cm="1">
        <f t="array" ref="CO436">$BC436 * IF($AD436&lt;=2,
SUMPRODUCT(INDEX($AL$23:$AN$61,,$AE436), INDEX($AO$23:$AU$61,,$AD436), 1 / ($AV$23:$AV$61*CM436), N($AK$23:$AK$61&gt;$AI436)),
SUMPRODUCT(INDEX($AL$23:$AN$46,,$AE436), INDEX($AO$23:$AU$46,,$AD436), 1 / ($AW$23:$AW$46*CM436), N($AK$23:$AK$46&gt;$AI436))
) / 1000</f>
        <v>0</v>
      </c>
      <c r="CP436" s="237">
        <f t="shared" si="513"/>
        <v>0</v>
      </c>
      <c r="CQ436" s="210"/>
    </row>
    <row r="437" spans="1:95" s="76" customFormat="1" ht="14.25" customHeight="1" x14ac:dyDescent="0.2">
      <c r="A437" s="238" t="b">
        <f t="shared" si="517"/>
        <v>0</v>
      </c>
      <c r="B437" s="239">
        <v>415</v>
      </c>
      <c r="C437" s="258"/>
      <c r="D437" s="258"/>
      <c r="E437" s="240"/>
      <c r="F437" s="241" t="str">
        <f>IF(ISBLANK(E437), "", VLOOKUP(E437, Z!$A$2:$C$4127, 3, FALSE))</f>
        <v/>
      </c>
      <c r="G437" s="242"/>
      <c r="H437" s="242"/>
      <c r="I437" s="243"/>
      <c r="J437" s="244"/>
      <c r="K437" s="259"/>
      <c r="L437" s="260"/>
      <c r="M437" s="247" t="str" cm="1">
        <f t="array" ref="M437">IF($K437&gt;0, INDEX(Clean,1+AG437,$C$1), "")</f>
        <v/>
      </c>
      <c r="N437" s="245"/>
      <c r="O437" s="245"/>
      <c r="P437" s="246"/>
      <c r="Q437" s="248">
        <f t="shared" si="490"/>
        <v>0</v>
      </c>
      <c r="R437" s="247" t="str" cm="1">
        <f t="array" ref="R437">IF($K437&gt;0, INDEX(Clean,1+AH437,$C$1), "")</f>
        <v/>
      </c>
      <c r="S437" s="245"/>
      <c r="T437" s="245"/>
      <c r="U437" s="246"/>
      <c r="V437" s="248">
        <f t="shared" si="491"/>
        <v>0</v>
      </c>
      <c r="W437" s="261"/>
      <c r="X437" s="258"/>
      <c r="Y437" s="240"/>
      <c r="Z437" s="241" t="str">
        <f>IF(ISBLANK(Y437), "", VLOOKUP(Y437, Z!$A$2:$C$4127, 3, FALSE))</f>
        <v/>
      </c>
      <c r="AA437" s="262"/>
      <c r="AB437" s="249">
        <f t="shared" si="526"/>
        <v>0</v>
      </c>
      <c r="AC437" s="210"/>
      <c r="AD437" s="236">
        <f t="shared" si="514"/>
        <v>1</v>
      </c>
      <c r="AE437" s="236">
        <f t="shared" si="515"/>
        <v>1</v>
      </c>
      <c r="AF437" s="236">
        <f t="shared" si="516"/>
        <v>0</v>
      </c>
      <c r="AG437" s="236">
        <v>1</v>
      </c>
      <c r="AH437" s="236">
        <v>0</v>
      </c>
      <c r="AI437" s="236">
        <f t="shared" si="492"/>
        <v>-100</v>
      </c>
      <c r="AJ437" s="210"/>
      <c r="AK437" s="254"/>
      <c r="AL437" s="254"/>
      <c r="AM437" s="255"/>
      <c r="AN437" s="255"/>
      <c r="AO437" s="255"/>
      <c r="AP437" s="255"/>
      <c r="AQ437" s="255"/>
      <c r="AR437" s="255"/>
      <c r="AS437" s="255"/>
      <c r="AT437" s="255"/>
      <c r="AU437" s="255"/>
      <c r="AV437" s="255"/>
      <c r="AW437" s="255"/>
      <c r="AX437" s="210"/>
      <c r="AY437" s="236" cm="1">
        <f t="array" ref="AY437">INDEX(Use, $AD437, 4)</f>
        <v>7</v>
      </c>
      <c r="AZ437" s="236">
        <f t="shared" si="493"/>
        <v>32</v>
      </c>
      <c r="BA437" s="236">
        <f t="shared" si="518"/>
        <v>13</v>
      </c>
      <c r="BB437" s="236">
        <f t="shared" si="519"/>
        <v>0</v>
      </c>
      <c r="BC437" s="252" cm="1">
        <f t="array" ref="BC437">K437/IF($L437&gt;0, INDEX($AO$23:$AU$77, $L437+20, $AD437), 1)</f>
        <v>0</v>
      </c>
      <c r="BD437" s="237">
        <f t="shared" si="494"/>
        <v>0</v>
      </c>
      <c r="BE437" s="236">
        <v>35</v>
      </c>
      <c r="BF437" s="237">
        <f t="shared" si="495"/>
        <v>52.55</v>
      </c>
      <c r="BG437" s="253">
        <f t="shared" si="496"/>
        <v>2.7676728869374316</v>
      </c>
      <c r="BH437" s="253" cm="1">
        <f t="array" ref="BH437">$BC437 * SUMPRODUCT(INDEX($AL$77:$AN$82,,$AE437),INDEX($AO$77:$AU$82,,$AD437), N($AK$77:$AK$82&gt;$AI437)) / BG437 / 1000</f>
        <v>0</v>
      </c>
      <c r="BI437" s="250">
        <f t="shared" si="520"/>
        <v>30</v>
      </c>
      <c r="BJ437" s="237">
        <f t="shared" si="497"/>
        <v>46.033333333333331</v>
      </c>
      <c r="BK437" s="253">
        <f t="shared" si="498"/>
        <v>3.2297395388556791</v>
      </c>
      <c r="BL437" s="253" cm="1">
        <f t="array" ref="BL437">$BC437 * IF($AD437&lt;=2,
SUMPRODUCT(INDEX($AL$72:$AN$76,,$AE437), INDEX($AO$72:$AU$76,,$AD437), 1 / ($AV$72:$AV$76*BK437 + (1-$AV$72:$AV$76)*BG437), N($AK$72:$AK$76&gt;$AI437)),
SUMPRODUCT(INDEX($AL$67:$AN$76,,$AE437), INDEX($AO$67:$AU$76,,$AD437), 1 / ($AW$67:$AW$76*BK437 + (1-$AW$67:$AW$76)*BG437), N($AK$67:$AK$76&gt;$AI437))
) / 1000</f>
        <v>0</v>
      </c>
      <c r="BM437" s="250">
        <f t="shared" si="521"/>
        <v>25</v>
      </c>
      <c r="BN437" s="237">
        <f t="shared" si="499"/>
        <v>39.516666666666666</v>
      </c>
      <c r="BO437" s="253">
        <f t="shared" si="500"/>
        <v>3.877011788826243</v>
      </c>
      <c r="BP437" s="253" cm="1">
        <f t="array" ref="BP437">$BC437 * IF($AD437&lt;=2,
SUMPRODUCT(INDEX($AL$67:$AN$71,,$AE437), INDEX($AO$67:$AU$71,,$AD437), 1 / ($AV$67:$AV$71*BO437 + (1-$AV$67:$AV$71)*BK437), N($AK$67:$AK$71&gt;$AI437)),
SUMPRODUCT(INDEX($AL$57:$AN$66,,$AE437), INDEX($AO$57:$AU$66,,$AD437), 1 / ($AW$57:$AW$66*BO437 + (1-$AW$57:$AW$66)*BK437), N($AK$57:$AK$66&gt;$AI437))
) / 1000</f>
        <v>0</v>
      </c>
      <c r="BQ437" s="250">
        <f t="shared" si="522"/>
        <v>20</v>
      </c>
      <c r="BR437" s="237">
        <f t="shared" si="501"/>
        <v>33</v>
      </c>
      <c r="BS437" s="253">
        <f t="shared" si="502"/>
        <v>4.8487499999999999</v>
      </c>
      <c r="BT437" s="253" cm="1">
        <f t="array" ref="BT437">$BC437 * IF($AD437&lt;=2,
SUMPRODUCT(INDEX($AL$62:$AN$66,,$AE437), INDEX($AO$62:$AU$66,,$AD437), 1 / ($AV$62:$AV$66*BS437 + (1-$AV$62:$AV$66)*BO437), N($AK$62:$AK$66&gt;$AI437)),
SUMPRODUCT(INDEX($AL$47:$AN$56,,$AE437), INDEX($AO$47:$AU$56,,$AD437), 1 / ($AW$47:$AW$56*BS437 + (1-$AW$47:$AW$56)*BO437), N($AK$47:$AK$56&gt;$AI437))
) / 1000</f>
        <v>0</v>
      </c>
      <c r="BU437" s="253" cm="1">
        <f t="array" ref="BU437">$BC437 * IF($AD437&lt;=2,
SUMPRODUCT(INDEX($AL$23:$AN$61,,$AE437), INDEX($AO$23:$AU$61,,$AD437), 1 / ($AV$23:$AV$61*BS437), N($AK$23:$AK$61&gt;$AI437)),
SUMPRODUCT(INDEX($AL$23:$AN$46,,$AE437), INDEX($AO$23:$AU$46,,$AD437), 1 / ($AW$23:$AW$46*BS437), N($AK$23:$AK$46&gt;$AI437))
) / 1000</f>
        <v>0</v>
      </c>
      <c r="BV437" s="237">
        <f t="shared" si="503"/>
        <v>0</v>
      </c>
      <c r="BW437" s="210"/>
      <c r="BX437" s="237">
        <f t="shared" si="504"/>
        <v>0</v>
      </c>
      <c r="BY437" s="236">
        <v>35</v>
      </c>
      <c r="BZ437" s="237">
        <f t="shared" si="505"/>
        <v>48</v>
      </c>
      <c r="CA437" s="253">
        <f t="shared" si="506"/>
        <v>3.0748170731707316</v>
      </c>
      <c r="CB437" s="253" cm="1">
        <f t="array" ref="CB437">$BC437 * SUMPRODUCT(INDEX($AL$77:$AN$82,,$AE437),INDEX($AO$77:$AU$82,,$AD437), N($AK$77:$AK$82&gt;$AI437)) / CA437 / 1000</f>
        <v>0</v>
      </c>
      <c r="CC437" s="250">
        <f t="shared" si="523"/>
        <v>30</v>
      </c>
      <c r="CD437" s="237">
        <f t="shared" si="507"/>
        <v>43</v>
      </c>
      <c r="CE437" s="253">
        <f t="shared" si="508"/>
        <v>3.5018750000000001</v>
      </c>
      <c r="CF437" s="253" cm="1">
        <f t="array" ref="CF437">$BC437 * IF($AD437&lt;=2,
SUMPRODUCT(INDEX($AL$72:$AN$76,,$AE437), INDEX($AO$72:$AU$76,,$AD437), 1 / ($AV$72:$AV$76*CE437 + (1-$AV$72:$AV$76)*CA437), N($AK$72:$AK$76&gt;$AI437)),
SUMPRODUCT(INDEX($AL$67:$AN$76,,$AE437), INDEX($AO$67:$AU$76,,$AD437), 1 / ($AW$67:$AW$76*CE437 + (1-$AW$67:$AW$76)*CA437), N($AK$67:$AK$76&gt;$AI437))
) / 1000</f>
        <v>0</v>
      </c>
      <c r="CG437" s="250">
        <f t="shared" si="524"/>
        <v>25</v>
      </c>
      <c r="CH437" s="237">
        <f t="shared" si="509"/>
        <v>38</v>
      </c>
      <c r="CI437" s="253">
        <f t="shared" si="510"/>
        <v>4.0666935483870965</v>
      </c>
      <c r="CJ437" s="253" cm="1">
        <f t="array" ref="CJ437">$BC437 * IF($AD437&lt;=2,
SUMPRODUCT(INDEX($AL$67:$AN$71,,$AE437), INDEX($AO$67:$AU$71,,$AD437), 1 / ($AV$67:$AV$71*CI437 + (1-$AV$67:$AV$71)*CE437), N($AK$67:$AK$71&gt;$AI437)),
SUMPRODUCT(INDEX($AL$57:$AN$66,,$AE437), INDEX($AO$57:$AU$66,,$AD437), 1 / ($AW$57:$AW$66*CI437 + (1-$AW$57:$AW$66)*CE437), N($AK$57:$AK$66&gt;$AI437))
) / 1000</f>
        <v>0</v>
      </c>
      <c r="CK437" s="250">
        <f t="shared" si="525"/>
        <v>20</v>
      </c>
      <c r="CL437" s="237">
        <f t="shared" si="511"/>
        <v>33</v>
      </c>
      <c r="CM437" s="253">
        <f t="shared" si="512"/>
        <v>4.8487499999999999</v>
      </c>
      <c r="CN437" s="253" cm="1">
        <f t="array" ref="CN437">$BC437 * IF($AD437&lt;=2,
SUMPRODUCT(INDEX($AL$62:$AN$66,,$AE437), INDEX($AO$62:$AU$66,,$AD437), 1 / ($AV$62:$AV$66*CM437 + (1-$AV$62:$AV$66)*CI437), N($AK$62:$AK$66&gt;$AI437)),
SUMPRODUCT(INDEX($AL$47:$AN$56,,$AE437), INDEX($AO$47:$AU$56,,$AD437), 1 / ($AW$47:$AW$56*CM437 + (1-$AW$47:$AW$56)*CI437), N($AK$47:$AK$56&gt;$AI437))
) / 1000</f>
        <v>0</v>
      </c>
      <c r="CO437" s="253" cm="1">
        <f t="array" ref="CO437">$BC437 * IF($AD437&lt;=2,
SUMPRODUCT(INDEX($AL$23:$AN$61,,$AE437), INDEX($AO$23:$AU$61,,$AD437), 1 / ($AV$23:$AV$61*CM437), N($AK$23:$AK$61&gt;$AI437)),
SUMPRODUCT(INDEX($AL$23:$AN$46,,$AE437), INDEX($AO$23:$AU$46,,$AD437), 1 / ($AW$23:$AW$46*CM437), N($AK$23:$AK$46&gt;$AI437))
) / 1000</f>
        <v>0</v>
      </c>
      <c r="CP437" s="237">
        <f t="shared" si="513"/>
        <v>0</v>
      </c>
      <c r="CQ437" s="210"/>
    </row>
    <row r="438" spans="1:95" s="76" customFormat="1" ht="14.25" customHeight="1" x14ac:dyDescent="0.2">
      <c r="A438" s="238" t="b">
        <f t="shared" si="517"/>
        <v>0</v>
      </c>
      <c r="B438" s="239">
        <v>416</v>
      </c>
      <c r="C438" s="258"/>
      <c r="D438" s="258"/>
      <c r="E438" s="240"/>
      <c r="F438" s="241" t="str">
        <f>IF(ISBLANK(E438), "", VLOOKUP(E438, Z!$A$2:$C$4127, 3, FALSE))</f>
        <v/>
      </c>
      <c r="G438" s="242"/>
      <c r="H438" s="242"/>
      <c r="I438" s="243"/>
      <c r="J438" s="244"/>
      <c r="K438" s="259"/>
      <c r="L438" s="260"/>
      <c r="M438" s="247" t="str" cm="1">
        <f t="array" ref="M438">IF($K438&gt;0, INDEX(Clean,1+AG438,$C$1), "")</f>
        <v/>
      </c>
      <c r="N438" s="245"/>
      <c r="O438" s="245"/>
      <c r="P438" s="246"/>
      <c r="Q438" s="248">
        <f t="shared" si="490"/>
        <v>0</v>
      </c>
      <c r="R438" s="247" t="str" cm="1">
        <f t="array" ref="R438">IF($K438&gt;0, INDEX(Clean,1+AH438,$C$1), "")</f>
        <v/>
      </c>
      <c r="S438" s="245"/>
      <c r="T438" s="245"/>
      <c r="U438" s="246"/>
      <c r="V438" s="248">
        <f t="shared" si="491"/>
        <v>0</v>
      </c>
      <c r="W438" s="261"/>
      <c r="X438" s="258"/>
      <c r="Y438" s="240"/>
      <c r="Z438" s="241" t="str">
        <f>IF(ISBLANK(Y438), "", VLOOKUP(Y438, Z!$A$2:$C$4127, 3, FALSE))</f>
        <v/>
      </c>
      <c r="AA438" s="262"/>
      <c r="AB438" s="249">
        <f t="shared" si="526"/>
        <v>0</v>
      </c>
      <c r="AC438" s="210"/>
      <c r="AD438" s="236">
        <f t="shared" si="514"/>
        <v>1</v>
      </c>
      <c r="AE438" s="236">
        <f t="shared" si="515"/>
        <v>1</v>
      </c>
      <c r="AF438" s="236">
        <f t="shared" si="516"/>
        <v>0</v>
      </c>
      <c r="AG438" s="236">
        <v>1</v>
      </c>
      <c r="AH438" s="236">
        <v>0</v>
      </c>
      <c r="AI438" s="236">
        <f t="shared" si="492"/>
        <v>-100</v>
      </c>
      <c r="AJ438" s="210"/>
      <c r="AK438" s="254"/>
      <c r="AL438" s="254"/>
      <c r="AM438" s="255"/>
      <c r="AN438" s="255"/>
      <c r="AO438" s="255"/>
      <c r="AP438" s="255"/>
      <c r="AQ438" s="255"/>
      <c r="AR438" s="255"/>
      <c r="AS438" s="255"/>
      <c r="AT438" s="255"/>
      <c r="AU438" s="255"/>
      <c r="AV438" s="255"/>
      <c r="AW438" s="255"/>
      <c r="AX438" s="210"/>
      <c r="AY438" s="236" cm="1">
        <f t="array" ref="AY438">INDEX(Use, $AD438, 4)</f>
        <v>7</v>
      </c>
      <c r="AZ438" s="236">
        <f t="shared" si="493"/>
        <v>32</v>
      </c>
      <c r="BA438" s="236">
        <f t="shared" si="518"/>
        <v>13</v>
      </c>
      <c r="BB438" s="236">
        <f t="shared" si="519"/>
        <v>0</v>
      </c>
      <c r="BC438" s="252" cm="1">
        <f t="array" ref="BC438">K438/IF($L438&gt;0, INDEX($AO$23:$AU$77, $L438+20, $AD438), 1)</f>
        <v>0</v>
      </c>
      <c r="BD438" s="237">
        <f t="shared" si="494"/>
        <v>0</v>
      </c>
      <c r="BE438" s="236">
        <v>35</v>
      </c>
      <c r="BF438" s="237">
        <f t="shared" si="495"/>
        <v>52.55</v>
      </c>
      <c r="BG438" s="253">
        <f t="shared" si="496"/>
        <v>2.7676728869374316</v>
      </c>
      <c r="BH438" s="253" cm="1">
        <f t="array" ref="BH438">$BC438 * SUMPRODUCT(INDEX($AL$77:$AN$82,,$AE438),INDEX($AO$77:$AU$82,,$AD438), N($AK$77:$AK$82&gt;$AI438)) / BG438 / 1000</f>
        <v>0</v>
      </c>
      <c r="BI438" s="250">
        <f t="shared" si="520"/>
        <v>30</v>
      </c>
      <c r="BJ438" s="237">
        <f t="shared" si="497"/>
        <v>46.033333333333331</v>
      </c>
      <c r="BK438" s="253">
        <f t="shared" si="498"/>
        <v>3.2297395388556791</v>
      </c>
      <c r="BL438" s="253" cm="1">
        <f t="array" ref="BL438">$BC438 * IF($AD438&lt;=2,
SUMPRODUCT(INDEX($AL$72:$AN$76,,$AE438), INDEX($AO$72:$AU$76,,$AD438), 1 / ($AV$72:$AV$76*BK438 + (1-$AV$72:$AV$76)*BG438), N($AK$72:$AK$76&gt;$AI438)),
SUMPRODUCT(INDEX($AL$67:$AN$76,,$AE438), INDEX($AO$67:$AU$76,,$AD438), 1 / ($AW$67:$AW$76*BK438 + (1-$AW$67:$AW$76)*BG438), N($AK$67:$AK$76&gt;$AI438))
) / 1000</f>
        <v>0</v>
      </c>
      <c r="BM438" s="250">
        <f t="shared" si="521"/>
        <v>25</v>
      </c>
      <c r="BN438" s="237">
        <f t="shared" si="499"/>
        <v>39.516666666666666</v>
      </c>
      <c r="BO438" s="253">
        <f t="shared" si="500"/>
        <v>3.877011788826243</v>
      </c>
      <c r="BP438" s="253" cm="1">
        <f t="array" ref="BP438">$BC438 * IF($AD438&lt;=2,
SUMPRODUCT(INDEX($AL$67:$AN$71,,$AE438), INDEX($AO$67:$AU$71,,$AD438), 1 / ($AV$67:$AV$71*BO438 + (1-$AV$67:$AV$71)*BK438), N($AK$67:$AK$71&gt;$AI438)),
SUMPRODUCT(INDEX($AL$57:$AN$66,,$AE438), INDEX($AO$57:$AU$66,,$AD438), 1 / ($AW$57:$AW$66*BO438 + (1-$AW$57:$AW$66)*BK438), N($AK$57:$AK$66&gt;$AI438))
) / 1000</f>
        <v>0</v>
      </c>
      <c r="BQ438" s="250">
        <f t="shared" si="522"/>
        <v>20</v>
      </c>
      <c r="BR438" s="237">
        <f t="shared" si="501"/>
        <v>33</v>
      </c>
      <c r="BS438" s="253">
        <f t="shared" si="502"/>
        <v>4.8487499999999999</v>
      </c>
      <c r="BT438" s="253" cm="1">
        <f t="array" ref="BT438">$BC438 * IF($AD438&lt;=2,
SUMPRODUCT(INDEX($AL$62:$AN$66,,$AE438), INDEX($AO$62:$AU$66,,$AD438), 1 / ($AV$62:$AV$66*BS438 + (1-$AV$62:$AV$66)*BO438), N($AK$62:$AK$66&gt;$AI438)),
SUMPRODUCT(INDEX($AL$47:$AN$56,,$AE438), INDEX($AO$47:$AU$56,,$AD438), 1 / ($AW$47:$AW$56*BS438 + (1-$AW$47:$AW$56)*BO438), N($AK$47:$AK$56&gt;$AI438))
) / 1000</f>
        <v>0</v>
      </c>
      <c r="BU438" s="253" cm="1">
        <f t="array" ref="BU438">$BC438 * IF($AD438&lt;=2,
SUMPRODUCT(INDEX($AL$23:$AN$61,,$AE438), INDEX($AO$23:$AU$61,,$AD438), 1 / ($AV$23:$AV$61*BS438), N($AK$23:$AK$61&gt;$AI438)),
SUMPRODUCT(INDEX($AL$23:$AN$46,,$AE438), INDEX($AO$23:$AU$46,,$AD438), 1 / ($AW$23:$AW$46*BS438), N($AK$23:$AK$46&gt;$AI438))
) / 1000</f>
        <v>0</v>
      </c>
      <c r="BV438" s="237">
        <f t="shared" si="503"/>
        <v>0</v>
      </c>
      <c r="BW438" s="210"/>
      <c r="BX438" s="237">
        <f t="shared" si="504"/>
        <v>0</v>
      </c>
      <c r="BY438" s="236">
        <v>35</v>
      </c>
      <c r="BZ438" s="237">
        <f t="shared" si="505"/>
        <v>48</v>
      </c>
      <c r="CA438" s="253">
        <f t="shared" si="506"/>
        <v>3.0748170731707316</v>
      </c>
      <c r="CB438" s="253" cm="1">
        <f t="array" ref="CB438">$BC438 * SUMPRODUCT(INDEX($AL$77:$AN$82,,$AE438),INDEX($AO$77:$AU$82,,$AD438), N($AK$77:$AK$82&gt;$AI438)) / CA438 / 1000</f>
        <v>0</v>
      </c>
      <c r="CC438" s="250">
        <f t="shared" si="523"/>
        <v>30</v>
      </c>
      <c r="CD438" s="237">
        <f t="shared" si="507"/>
        <v>43</v>
      </c>
      <c r="CE438" s="253">
        <f t="shared" si="508"/>
        <v>3.5018750000000001</v>
      </c>
      <c r="CF438" s="253" cm="1">
        <f t="array" ref="CF438">$BC438 * IF($AD438&lt;=2,
SUMPRODUCT(INDEX($AL$72:$AN$76,,$AE438), INDEX($AO$72:$AU$76,,$AD438), 1 / ($AV$72:$AV$76*CE438 + (1-$AV$72:$AV$76)*CA438), N($AK$72:$AK$76&gt;$AI438)),
SUMPRODUCT(INDEX($AL$67:$AN$76,,$AE438), INDEX($AO$67:$AU$76,,$AD438), 1 / ($AW$67:$AW$76*CE438 + (1-$AW$67:$AW$76)*CA438), N($AK$67:$AK$76&gt;$AI438))
) / 1000</f>
        <v>0</v>
      </c>
      <c r="CG438" s="250">
        <f t="shared" si="524"/>
        <v>25</v>
      </c>
      <c r="CH438" s="237">
        <f t="shared" si="509"/>
        <v>38</v>
      </c>
      <c r="CI438" s="253">
        <f t="shared" si="510"/>
        <v>4.0666935483870965</v>
      </c>
      <c r="CJ438" s="253" cm="1">
        <f t="array" ref="CJ438">$BC438 * IF($AD438&lt;=2,
SUMPRODUCT(INDEX($AL$67:$AN$71,,$AE438), INDEX($AO$67:$AU$71,,$AD438), 1 / ($AV$67:$AV$71*CI438 + (1-$AV$67:$AV$71)*CE438), N($AK$67:$AK$71&gt;$AI438)),
SUMPRODUCT(INDEX($AL$57:$AN$66,,$AE438), INDEX($AO$57:$AU$66,,$AD438), 1 / ($AW$57:$AW$66*CI438 + (1-$AW$57:$AW$66)*CE438), N($AK$57:$AK$66&gt;$AI438))
) / 1000</f>
        <v>0</v>
      </c>
      <c r="CK438" s="250">
        <f t="shared" si="525"/>
        <v>20</v>
      </c>
      <c r="CL438" s="237">
        <f t="shared" si="511"/>
        <v>33</v>
      </c>
      <c r="CM438" s="253">
        <f t="shared" si="512"/>
        <v>4.8487499999999999</v>
      </c>
      <c r="CN438" s="253" cm="1">
        <f t="array" ref="CN438">$BC438 * IF($AD438&lt;=2,
SUMPRODUCT(INDEX($AL$62:$AN$66,,$AE438), INDEX($AO$62:$AU$66,,$AD438), 1 / ($AV$62:$AV$66*CM438 + (1-$AV$62:$AV$66)*CI438), N($AK$62:$AK$66&gt;$AI438)),
SUMPRODUCT(INDEX($AL$47:$AN$56,,$AE438), INDEX($AO$47:$AU$56,,$AD438), 1 / ($AW$47:$AW$56*CM438 + (1-$AW$47:$AW$56)*CI438), N($AK$47:$AK$56&gt;$AI438))
) / 1000</f>
        <v>0</v>
      </c>
      <c r="CO438" s="253" cm="1">
        <f t="array" ref="CO438">$BC438 * IF($AD438&lt;=2,
SUMPRODUCT(INDEX($AL$23:$AN$61,,$AE438), INDEX($AO$23:$AU$61,,$AD438), 1 / ($AV$23:$AV$61*CM438), N($AK$23:$AK$61&gt;$AI438)),
SUMPRODUCT(INDEX($AL$23:$AN$46,,$AE438), INDEX($AO$23:$AU$46,,$AD438), 1 / ($AW$23:$AW$46*CM438), N($AK$23:$AK$46&gt;$AI438))
) / 1000</f>
        <v>0</v>
      </c>
      <c r="CP438" s="237">
        <f t="shared" si="513"/>
        <v>0</v>
      </c>
      <c r="CQ438" s="210"/>
    </row>
    <row r="439" spans="1:95" s="76" customFormat="1" ht="14.25" customHeight="1" x14ac:dyDescent="0.2">
      <c r="A439" s="238" t="b">
        <f t="shared" si="517"/>
        <v>0</v>
      </c>
      <c r="B439" s="239">
        <v>417</v>
      </c>
      <c r="C439" s="258"/>
      <c r="D439" s="258"/>
      <c r="E439" s="240"/>
      <c r="F439" s="241" t="str">
        <f>IF(ISBLANK(E439), "", VLOOKUP(E439, Z!$A$2:$C$4127, 3, FALSE))</f>
        <v/>
      </c>
      <c r="G439" s="242"/>
      <c r="H439" s="242"/>
      <c r="I439" s="243"/>
      <c r="J439" s="244"/>
      <c r="K439" s="259"/>
      <c r="L439" s="260"/>
      <c r="M439" s="247" t="str" cm="1">
        <f t="array" ref="M439">IF($K439&gt;0, INDEX(Clean,1+AG439,$C$1), "")</f>
        <v/>
      </c>
      <c r="N439" s="245"/>
      <c r="O439" s="245"/>
      <c r="P439" s="246"/>
      <c r="Q439" s="248">
        <f t="shared" si="490"/>
        <v>0</v>
      </c>
      <c r="R439" s="247" t="str" cm="1">
        <f t="array" ref="R439">IF($K439&gt;0, INDEX(Clean,1+AH439,$C$1), "")</f>
        <v/>
      </c>
      <c r="S439" s="245"/>
      <c r="T439" s="245"/>
      <c r="U439" s="246"/>
      <c r="V439" s="248">
        <f t="shared" si="491"/>
        <v>0</v>
      </c>
      <c r="W439" s="261"/>
      <c r="X439" s="258"/>
      <c r="Y439" s="240"/>
      <c r="Z439" s="241" t="str">
        <f>IF(ISBLANK(Y439), "", VLOOKUP(Y439, Z!$A$2:$C$4127, 3, FALSE))</f>
        <v/>
      </c>
      <c r="AA439" s="262"/>
      <c r="AB439" s="249">
        <f t="shared" si="526"/>
        <v>0</v>
      </c>
      <c r="AC439" s="210"/>
      <c r="AD439" s="236">
        <f t="shared" si="514"/>
        <v>1</v>
      </c>
      <c r="AE439" s="236">
        <f t="shared" si="515"/>
        <v>1</v>
      </c>
      <c r="AF439" s="236">
        <f t="shared" si="516"/>
        <v>0</v>
      </c>
      <c r="AG439" s="236">
        <v>1</v>
      </c>
      <c r="AH439" s="236">
        <v>0</v>
      </c>
      <c r="AI439" s="236">
        <f t="shared" si="492"/>
        <v>-100</v>
      </c>
      <c r="AJ439" s="210"/>
      <c r="AK439" s="254"/>
      <c r="AL439" s="254"/>
      <c r="AM439" s="255"/>
      <c r="AN439" s="255"/>
      <c r="AO439" s="255"/>
      <c r="AP439" s="255"/>
      <c r="AQ439" s="255"/>
      <c r="AR439" s="255"/>
      <c r="AS439" s="255"/>
      <c r="AT439" s="255"/>
      <c r="AU439" s="255"/>
      <c r="AV439" s="255"/>
      <c r="AW439" s="255"/>
      <c r="AX439" s="210"/>
      <c r="AY439" s="236" cm="1">
        <f t="array" ref="AY439">INDEX(Use, $AD439, 4)</f>
        <v>7</v>
      </c>
      <c r="AZ439" s="236">
        <f t="shared" si="493"/>
        <v>32</v>
      </c>
      <c r="BA439" s="236">
        <f t="shared" si="518"/>
        <v>13</v>
      </c>
      <c r="BB439" s="236">
        <f t="shared" si="519"/>
        <v>0</v>
      </c>
      <c r="BC439" s="252" cm="1">
        <f t="array" ref="BC439">K439/IF($L439&gt;0, INDEX($AO$23:$AU$77, $L439+20, $AD439), 1)</f>
        <v>0</v>
      </c>
      <c r="BD439" s="237">
        <f t="shared" si="494"/>
        <v>0</v>
      </c>
      <c r="BE439" s="236">
        <v>35</v>
      </c>
      <c r="BF439" s="237">
        <f t="shared" si="495"/>
        <v>52.55</v>
      </c>
      <c r="BG439" s="253">
        <f t="shared" si="496"/>
        <v>2.7676728869374316</v>
      </c>
      <c r="BH439" s="253" cm="1">
        <f t="array" ref="BH439">$BC439 * SUMPRODUCT(INDEX($AL$77:$AN$82,,$AE439),INDEX($AO$77:$AU$82,,$AD439), N($AK$77:$AK$82&gt;$AI439)) / BG439 / 1000</f>
        <v>0</v>
      </c>
      <c r="BI439" s="250">
        <f t="shared" si="520"/>
        <v>30</v>
      </c>
      <c r="BJ439" s="237">
        <f t="shared" si="497"/>
        <v>46.033333333333331</v>
      </c>
      <c r="BK439" s="253">
        <f t="shared" si="498"/>
        <v>3.2297395388556791</v>
      </c>
      <c r="BL439" s="253" cm="1">
        <f t="array" ref="BL439">$BC439 * IF($AD439&lt;=2,
SUMPRODUCT(INDEX($AL$72:$AN$76,,$AE439), INDEX($AO$72:$AU$76,,$AD439), 1 / ($AV$72:$AV$76*BK439 + (1-$AV$72:$AV$76)*BG439), N($AK$72:$AK$76&gt;$AI439)),
SUMPRODUCT(INDEX($AL$67:$AN$76,,$AE439), INDEX($AO$67:$AU$76,,$AD439), 1 / ($AW$67:$AW$76*BK439 + (1-$AW$67:$AW$76)*BG439), N($AK$67:$AK$76&gt;$AI439))
) / 1000</f>
        <v>0</v>
      </c>
      <c r="BM439" s="250">
        <f t="shared" si="521"/>
        <v>25</v>
      </c>
      <c r="BN439" s="237">
        <f t="shared" si="499"/>
        <v>39.516666666666666</v>
      </c>
      <c r="BO439" s="253">
        <f t="shared" si="500"/>
        <v>3.877011788826243</v>
      </c>
      <c r="BP439" s="253" cm="1">
        <f t="array" ref="BP439">$BC439 * IF($AD439&lt;=2,
SUMPRODUCT(INDEX($AL$67:$AN$71,,$AE439), INDEX($AO$67:$AU$71,,$AD439), 1 / ($AV$67:$AV$71*BO439 + (1-$AV$67:$AV$71)*BK439), N($AK$67:$AK$71&gt;$AI439)),
SUMPRODUCT(INDEX($AL$57:$AN$66,,$AE439), INDEX($AO$57:$AU$66,,$AD439), 1 / ($AW$57:$AW$66*BO439 + (1-$AW$57:$AW$66)*BK439), N($AK$57:$AK$66&gt;$AI439))
) / 1000</f>
        <v>0</v>
      </c>
      <c r="BQ439" s="250">
        <f t="shared" si="522"/>
        <v>20</v>
      </c>
      <c r="BR439" s="237">
        <f t="shared" si="501"/>
        <v>33</v>
      </c>
      <c r="BS439" s="253">
        <f t="shared" si="502"/>
        <v>4.8487499999999999</v>
      </c>
      <c r="BT439" s="253" cm="1">
        <f t="array" ref="BT439">$BC439 * IF($AD439&lt;=2,
SUMPRODUCT(INDEX($AL$62:$AN$66,,$AE439), INDEX($AO$62:$AU$66,,$AD439), 1 / ($AV$62:$AV$66*BS439 + (1-$AV$62:$AV$66)*BO439), N($AK$62:$AK$66&gt;$AI439)),
SUMPRODUCT(INDEX($AL$47:$AN$56,,$AE439), INDEX($AO$47:$AU$56,,$AD439), 1 / ($AW$47:$AW$56*BS439 + (1-$AW$47:$AW$56)*BO439), N($AK$47:$AK$56&gt;$AI439))
) / 1000</f>
        <v>0</v>
      </c>
      <c r="BU439" s="253" cm="1">
        <f t="array" ref="BU439">$BC439 * IF($AD439&lt;=2,
SUMPRODUCT(INDEX($AL$23:$AN$61,,$AE439), INDEX($AO$23:$AU$61,,$AD439), 1 / ($AV$23:$AV$61*BS439), N($AK$23:$AK$61&gt;$AI439)),
SUMPRODUCT(INDEX($AL$23:$AN$46,,$AE439), INDEX($AO$23:$AU$46,,$AD439), 1 / ($AW$23:$AW$46*BS439), N($AK$23:$AK$46&gt;$AI439))
) / 1000</f>
        <v>0</v>
      </c>
      <c r="BV439" s="237">
        <f t="shared" si="503"/>
        <v>0</v>
      </c>
      <c r="BW439" s="210"/>
      <c r="BX439" s="237">
        <f t="shared" si="504"/>
        <v>0</v>
      </c>
      <c r="BY439" s="236">
        <v>35</v>
      </c>
      <c r="BZ439" s="237">
        <f t="shared" si="505"/>
        <v>48</v>
      </c>
      <c r="CA439" s="253">
        <f t="shared" si="506"/>
        <v>3.0748170731707316</v>
      </c>
      <c r="CB439" s="253" cm="1">
        <f t="array" ref="CB439">$BC439 * SUMPRODUCT(INDEX($AL$77:$AN$82,,$AE439),INDEX($AO$77:$AU$82,,$AD439), N($AK$77:$AK$82&gt;$AI439)) / CA439 / 1000</f>
        <v>0</v>
      </c>
      <c r="CC439" s="250">
        <f t="shared" si="523"/>
        <v>30</v>
      </c>
      <c r="CD439" s="237">
        <f t="shared" si="507"/>
        <v>43</v>
      </c>
      <c r="CE439" s="253">
        <f t="shared" si="508"/>
        <v>3.5018750000000001</v>
      </c>
      <c r="CF439" s="253" cm="1">
        <f t="array" ref="CF439">$BC439 * IF($AD439&lt;=2,
SUMPRODUCT(INDEX($AL$72:$AN$76,,$AE439), INDEX($AO$72:$AU$76,,$AD439), 1 / ($AV$72:$AV$76*CE439 + (1-$AV$72:$AV$76)*CA439), N($AK$72:$AK$76&gt;$AI439)),
SUMPRODUCT(INDEX($AL$67:$AN$76,,$AE439), INDEX($AO$67:$AU$76,,$AD439), 1 / ($AW$67:$AW$76*CE439 + (1-$AW$67:$AW$76)*CA439), N($AK$67:$AK$76&gt;$AI439))
) / 1000</f>
        <v>0</v>
      </c>
      <c r="CG439" s="250">
        <f t="shared" si="524"/>
        <v>25</v>
      </c>
      <c r="CH439" s="237">
        <f t="shared" si="509"/>
        <v>38</v>
      </c>
      <c r="CI439" s="253">
        <f t="shared" si="510"/>
        <v>4.0666935483870965</v>
      </c>
      <c r="CJ439" s="253" cm="1">
        <f t="array" ref="CJ439">$BC439 * IF($AD439&lt;=2,
SUMPRODUCT(INDEX($AL$67:$AN$71,,$AE439), INDEX($AO$67:$AU$71,,$AD439), 1 / ($AV$67:$AV$71*CI439 + (1-$AV$67:$AV$71)*CE439), N($AK$67:$AK$71&gt;$AI439)),
SUMPRODUCT(INDEX($AL$57:$AN$66,,$AE439), INDEX($AO$57:$AU$66,,$AD439), 1 / ($AW$57:$AW$66*CI439 + (1-$AW$57:$AW$66)*CE439), N($AK$57:$AK$66&gt;$AI439))
) / 1000</f>
        <v>0</v>
      </c>
      <c r="CK439" s="250">
        <f t="shared" si="525"/>
        <v>20</v>
      </c>
      <c r="CL439" s="237">
        <f t="shared" si="511"/>
        <v>33</v>
      </c>
      <c r="CM439" s="253">
        <f t="shared" si="512"/>
        <v>4.8487499999999999</v>
      </c>
      <c r="CN439" s="253" cm="1">
        <f t="array" ref="CN439">$BC439 * IF($AD439&lt;=2,
SUMPRODUCT(INDEX($AL$62:$AN$66,,$AE439), INDEX($AO$62:$AU$66,,$AD439), 1 / ($AV$62:$AV$66*CM439 + (1-$AV$62:$AV$66)*CI439), N($AK$62:$AK$66&gt;$AI439)),
SUMPRODUCT(INDEX($AL$47:$AN$56,,$AE439), INDEX($AO$47:$AU$56,,$AD439), 1 / ($AW$47:$AW$56*CM439 + (1-$AW$47:$AW$56)*CI439), N($AK$47:$AK$56&gt;$AI439))
) / 1000</f>
        <v>0</v>
      </c>
      <c r="CO439" s="253" cm="1">
        <f t="array" ref="CO439">$BC439 * IF($AD439&lt;=2,
SUMPRODUCT(INDEX($AL$23:$AN$61,,$AE439), INDEX($AO$23:$AU$61,,$AD439), 1 / ($AV$23:$AV$61*CM439), N($AK$23:$AK$61&gt;$AI439)),
SUMPRODUCT(INDEX($AL$23:$AN$46,,$AE439), INDEX($AO$23:$AU$46,,$AD439), 1 / ($AW$23:$AW$46*CM439), N($AK$23:$AK$46&gt;$AI439))
) / 1000</f>
        <v>0</v>
      </c>
      <c r="CP439" s="237">
        <f t="shared" si="513"/>
        <v>0</v>
      </c>
      <c r="CQ439" s="210"/>
    </row>
    <row r="440" spans="1:95" s="76" customFormat="1" ht="14.25" customHeight="1" x14ac:dyDescent="0.2">
      <c r="A440" s="238" t="b">
        <f t="shared" si="517"/>
        <v>0</v>
      </c>
      <c r="B440" s="239">
        <v>418</v>
      </c>
      <c r="C440" s="258"/>
      <c r="D440" s="258"/>
      <c r="E440" s="240"/>
      <c r="F440" s="241" t="str">
        <f>IF(ISBLANK(E440), "", VLOOKUP(E440, Z!$A$2:$C$4127, 3, FALSE))</f>
        <v/>
      </c>
      <c r="G440" s="242"/>
      <c r="H440" s="242"/>
      <c r="I440" s="243"/>
      <c r="J440" s="244"/>
      <c r="K440" s="259"/>
      <c r="L440" s="260"/>
      <c r="M440" s="247" t="str" cm="1">
        <f t="array" ref="M440">IF($K440&gt;0, INDEX(Clean,1+AG440,$C$1), "")</f>
        <v/>
      </c>
      <c r="N440" s="245"/>
      <c r="O440" s="245"/>
      <c r="P440" s="246"/>
      <c r="Q440" s="248">
        <f t="shared" si="490"/>
        <v>0</v>
      </c>
      <c r="R440" s="247" t="str" cm="1">
        <f t="array" ref="R440">IF($K440&gt;0, INDEX(Clean,1+AH440,$C$1), "")</f>
        <v/>
      </c>
      <c r="S440" s="245"/>
      <c r="T440" s="245"/>
      <c r="U440" s="246"/>
      <c r="V440" s="248">
        <f t="shared" si="491"/>
        <v>0</v>
      </c>
      <c r="W440" s="261"/>
      <c r="X440" s="258"/>
      <c r="Y440" s="240"/>
      <c r="Z440" s="241" t="str">
        <f>IF(ISBLANK(Y440), "", VLOOKUP(Y440, Z!$A$2:$C$4127, 3, FALSE))</f>
        <v/>
      </c>
      <c r="AA440" s="262"/>
      <c r="AB440" s="249">
        <f t="shared" si="526"/>
        <v>0</v>
      </c>
      <c r="AC440" s="210"/>
      <c r="AD440" s="236">
        <f t="shared" si="514"/>
        <v>1</v>
      </c>
      <c r="AE440" s="236">
        <f t="shared" si="515"/>
        <v>1</v>
      </c>
      <c r="AF440" s="236">
        <f t="shared" si="516"/>
        <v>0</v>
      </c>
      <c r="AG440" s="236">
        <v>1</v>
      </c>
      <c r="AH440" s="236">
        <v>0</v>
      </c>
      <c r="AI440" s="236">
        <f t="shared" si="492"/>
        <v>-100</v>
      </c>
      <c r="AJ440" s="210"/>
      <c r="AK440" s="254"/>
      <c r="AL440" s="254"/>
      <c r="AM440" s="255"/>
      <c r="AN440" s="255"/>
      <c r="AO440" s="255"/>
      <c r="AP440" s="255"/>
      <c r="AQ440" s="255"/>
      <c r="AR440" s="255"/>
      <c r="AS440" s="255"/>
      <c r="AT440" s="255"/>
      <c r="AU440" s="255"/>
      <c r="AV440" s="255"/>
      <c r="AW440" s="255"/>
      <c r="AX440" s="210"/>
      <c r="AY440" s="236" cm="1">
        <f t="array" ref="AY440">INDEX(Use, $AD440, 4)</f>
        <v>7</v>
      </c>
      <c r="AZ440" s="236">
        <f t="shared" si="493"/>
        <v>32</v>
      </c>
      <c r="BA440" s="236">
        <f t="shared" si="518"/>
        <v>13</v>
      </c>
      <c r="BB440" s="236">
        <f t="shared" si="519"/>
        <v>0</v>
      </c>
      <c r="BC440" s="252" cm="1">
        <f t="array" ref="BC440">K440/IF($L440&gt;0, INDEX($AO$23:$AU$77, $L440+20, $AD440), 1)</f>
        <v>0</v>
      </c>
      <c r="BD440" s="237">
        <f t="shared" si="494"/>
        <v>0</v>
      </c>
      <c r="BE440" s="236">
        <v>35</v>
      </c>
      <c r="BF440" s="237">
        <f t="shared" si="495"/>
        <v>52.55</v>
      </c>
      <c r="BG440" s="253">
        <f t="shared" si="496"/>
        <v>2.7676728869374316</v>
      </c>
      <c r="BH440" s="253" cm="1">
        <f t="array" ref="BH440">$BC440 * SUMPRODUCT(INDEX($AL$77:$AN$82,,$AE440),INDEX($AO$77:$AU$82,,$AD440), N($AK$77:$AK$82&gt;$AI440)) / BG440 / 1000</f>
        <v>0</v>
      </c>
      <c r="BI440" s="250">
        <f t="shared" si="520"/>
        <v>30</v>
      </c>
      <c r="BJ440" s="237">
        <f t="shared" si="497"/>
        <v>46.033333333333331</v>
      </c>
      <c r="BK440" s="253">
        <f t="shared" si="498"/>
        <v>3.2297395388556791</v>
      </c>
      <c r="BL440" s="253" cm="1">
        <f t="array" ref="BL440">$BC440 * IF($AD440&lt;=2,
SUMPRODUCT(INDEX($AL$72:$AN$76,,$AE440), INDEX($AO$72:$AU$76,,$AD440), 1 / ($AV$72:$AV$76*BK440 + (1-$AV$72:$AV$76)*BG440), N($AK$72:$AK$76&gt;$AI440)),
SUMPRODUCT(INDEX($AL$67:$AN$76,,$AE440), INDEX($AO$67:$AU$76,,$AD440), 1 / ($AW$67:$AW$76*BK440 + (1-$AW$67:$AW$76)*BG440), N($AK$67:$AK$76&gt;$AI440))
) / 1000</f>
        <v>0</v>
      </c>
      <c r="BM440" s="250">
        <f t="shared" si="521"/>
        <v>25</v>
      </c>
      <c r="BN440" s="237">
        <f t="shared" si="499"/>
        <v>39.516666666666666</v>
      </c>
      <c r="BO440" s="253">
        <f t="shared" si="500"/>
        <v>3.877011788826243</v>
      </c>
      <c r="BP440" s="253" cm="1">
        <f t="array" ref="BP440">$BC440 * IF($AD440&lt;=2,
SUMPRODUCT(INDEX($AL$67:$AN$71,,$AE440), INDEX($AO$67:$AU$71,,$AD440), 1 / ($AV$67:$AV$71*BO440 + (1-$AV$67:$AV$71)*BK440), N($AK$67:$AK$71&gt;$AI440)),
SUMPRODUCT(INDEX($AL$57:$AN$66,,$AE440), INDEX($AO$57:$AU$66,,$AD440), 1 / ($AW$57:$AW$66*BO440 + (1-$AW$57:$AW$66)*BK440), N($AK$57:$AK$66&gt;$AI440))
) / 1000</f>
        <v>0</v>
      </c>
      <c r="BQ440" s="250">
        <f t="shared" si="522"/>
        <v>20</v>
      </c>
      <c r="BR440" s="237">
        <f t="shared" si="501"/>
        <v>33</v>
      </c>
      <c r="BS440" s="253">
        <f t="shared" si="502"/>
        <v>4.8487499999999999</v>
      </c>
      <c r="BT440" s="253" cm="1">
        <f t="array" ref="BT440">$BC440 * IF($AD440&lt;=2,
SUMPRODUCT(INDEX($AL$62:$AN$66,,$AE440), INDEX($AO$62:$AU$66,,$AD440), 1 / ($AV$62:$AV$66*BS440 + (1-$AV$62:$AV$66)*BO440), N($AK$62:$AK$66&gt;$AI440)),
SUMPRODUCT(INDEX($AL$47:$AN$56,,$AE440), INDEX($AO$47:$AU$56,,$AD440), 1 / ($AW$47:$AW$56*BS440 + (1-$AW$47:$AW$56)*BO440), N($AK$47:$AK$56&gt;$AI440))
) / 1000</f>
        <v>0</v>
      </c>
      <c r="BU440" s="253" cm="1">
        <f t="array" ref="BU440">$BC440 * IF($AD440&lt;=2,
SUMPRODUCT(INDEX($AL$23:$AN$61,,$AE440), INDEX($AO$23:$AU$61,,$AD440), 1 / ($AV$23:$AV$61*BS440), N($AK$23:$AK$61&gt;$AI440)),
SUMPRODUCT(INDEX($AL$23:$AN$46,,$AE440), INDEX($AO$23:$AU$46,,$AD440), 1 / ($AW$23:$AW$46*BS440), N($AK$23:$AK$46&gt;$AI440))
) / 1000</f>
        <v>0</v>
      </c>
      <c r="BV440" s="237">
        <f t="shared" si="503"/>
        <v>0</v>
      </c>
      <c r="BW440" s="210"/>
      <c r="BX440" s="237">
        <f t="shared" si="504"/>
        <v>0</v>
      </c>
      <c r="BY440" s="236">
        <v>35</v>
      </c>
      <c r="BZ440" s="237">
        <f t="shared" si="505"/>
        <v>48</v>
      </c>
      <c r="CA440" s="253">
        <f t="shared" si="506"/>
        <v>3.0748170731707316</v>
      </c>
      <c r="CB440" s="253" cm="1">
        <f t="array" ref="CB440">$BC440 * SUMPRODUCT(INDEX($AL$77:$AN$82,,$AE440),INDEX($AO$77:$AU$82,,$AD440), N($AK$77:$AK$82&gt;$AI440)) / CA440 / 1000</f>
        <v>0</v>
      </c>
      <c r="CC440" s="250">
        <f t="shared" si="523"/>
        <v>30</v>
      </c>
      <c r="CD440" s="237">
        <f t="shared" si="507"/>
        <v>43</v>
      </c>
      <c r="CE440" s="253">
        <f t="shared" si="508"/>
        <v>3.5018750000000001</v>
      </c>
      <c r="CF440" s="253" cm="1">
        <f t="array" ref="CF440">$BC440 * IF($AD440&lt;=2,
SUMPRODUCT(INDEX($AL$72:$AN$76,,$AE440), INDEX($AO$72:$AU$76,,$AD440), 1 / ($AV$72:$AV$76*CE440 + (1-$AV$72:$AV$76)*CA440), N($AK$72:$AK$76&gt;$AI440)),
SUMPRODUCT(INDEX($AL$67:$AN$76,,$AE440), INDEX($AO$67:$AU$76,,$AD440), 1 / ($AW$67:$AW$76*CE440 + (1-$AW$67:$AW$76)*CA440), N($AK$67:$AK$76&gt;$AI440))
) / 1000</f>
        <v>0</v>
      </c>
      <c r="CG440" s="250">
        <f t="shared" si="524"/>
        <v>25</v>
      </c>
      <c r="CH440" s="237">
        <f t="shared" si="509"/>
        <v>38</v>
      </c>
      <c r="CI440" s="253">
        <f t="shared" si="510"/>
        <v>4.0666935483870965</v>
      </c>
      <c r="CJ440" s="253" cm="1">
        <f t="array" ref="CJ440">$BC440 * IF($AD440&lt;=2,
SUMPRODUCT(INDEX($AL$67:$AN$71,,$AE440), INDEX($AO$67:$AU$71,,$AD440), 1 / ($AV$67:$AV$71*CI440 + (1-$AV$67:$AV$71)*CE440), N($AK$67:$AK$71&gt;$AI440)),
SUMPRODUCT(INDEX($AL$57:$AN$66,,$AE440), INDEX($AO$57:$AU$66,,$AD440), 1 / ($AW$57:$AW$66*CI440 + (1-$AW$57:$AW$66)*CE440), N($AK$57:$AK$66&gt;$AI440))
) / 1000</f>
        <v>0</v>
      </c>
      <c r="CK440" s="250">
        <f t="shared" si="525"/>
        <v>20</v>
      </c>
      <c r="CL440" s="237">
        <f t="shared" si="511"/>
        <v>33</v>
      </c>
      <c r="CM440" s="253">
        <f t="shared" si="512"/>
        <v>4.8487499999999999</v>
      </c>
      <c r="CN440" s="253" cm="1">
        <f t="array" ref="CN440">$BC440 * IF($AD440&lt;=2,
SUMPRODUCT(INDEX($AL$62:$AN$66,,$AE440), INDEX($AO$62:$AU$66,,$AD440), 1 / ($AV$62:$AV$66*CM440 + (1-$AV$62:$AV$66)*CI440), N($AK$62:$AK$66&gt;$AI440)),
SUMPRODUCT(INDEX($AL$47:$AN$56,,$AE440), INDEX($AO$47:$AU$56,,$AD440), 1 / ($AW$47:$AW$56*CM440 + (1-$AW$47:$AW$56)*CI440), N($AK$47:$AK$56&gt;$AI440))
) / 1000</f>
        <v>0</v>
      </c>
      <c r="CO440" s="253" cm="1">
        <f t="array" ref="CO440">$BC440 * IF($AD440&lt;=2,
SUMPRODUCT(INDEX($AL$23:$AN$61,,$AE440), INDEX($AO$23:$AU$61,,$AD440), 1 / ($AV$23:$AV$61*CM440), N($AK$23:$AK$61&gt;$AI440)),
SUMPRODUCT(INDEX($AL$23:$AN$46,,$AE440), INDEX($AO$23:$AU$46,,$AD440), 1 / ($AW$23:$AW$46*CM440), N($AK$23:$AK$46&gt;$AI440))
) / 1000</f>
        <v>0</v>
      </c>
      <c r="CP440" s="237">
        <f t="shared" si="513"/>
        <v>0</v>
      </c>
      <c r="CQ440" s="210"/>
    </row>
    <row r="441" spans="1:95" s="76" customFormat="1" ht="14.25" customHeight="1" x14ac:dyDescent="0.2">
      <c r="A441" s="238" t="b">
        <f t="shared" si="517"/>
        <v>0</v>
      </c>
      <c r="B441" s="239">
        <v>419</v>
      </c>
      <c r="C441" s="258"/>
      <c r="D441" s="258"/>
      <c r="E441" s="240"/>
      <c r="F441" s="241" t="str">
        <f>IF(ISBLANK(E441), "", VLOOKUP(E441, Z!$A$2:$C$4127, 3, FALSE))</f>
        <v/>
      </c>
      <c r="G441" s="242"/>
      <c r="H441" s="242"/>
      <c r="I441" s="243"/>
      <c r="J441" s="244"/>
      <c r="K441" s="259"/>
      <c r="L441" s="260"/>
      <c r="M441" s="247" t="str" cm="1">
        <f t="array" ref="M441">IF($K441&gt;0, INDEX(Clean,1+AG441,$C$1), "")</f>
        <v/>
      </c>
      <c r="N441" s="245"/>
      <c r="O441" s="245"/>
      <c r="P441" s="246"/>
      <c r="Q441" s="248">
        <f t="shared" si="490"/>
        <v>0</v>
      </c>
      <c r="R441" s="247" t="str" cm="1">
        <f t="array" ref="R441">IF($K441&gt;0, INDEX(Clean,1+AH441,$C$1), "")</f>
        <v/>
      </c>
      <c r="S441" s="245"/>
      <c r="T441" s="245"/>
      <c r="U441" s="246"/>
      <c r="V441" s="248">
        <f t="shared" si="491"/>
        <v>0</v>
      </c>
      <c r="W441" s="261"/>
      <c r="X441" s="258"/>
      <c r="Y441" s="240"/>
      <c r="Z441" s="241" t="str">
        <f>IF(ISBLANK(Y441), "", VLOOKUP(Y441, Z!$A$2:$C$4127, 3, FALSE))</f>
        <v/>
      </c>
      <c r="AA441" s="262"/>
      <c r="AB441" s="249">
        <f t="shared" si="526"/>
        <v>0</v>
      </c>
      <c r="AC441" s="210"/>
      <c r="AD441" s="236">
        <f t="shared" si="514"/>
        <v>1</v>
      </c>
      <c r="AE441" s="236">
        <f t="shared" si="515"/>
        <v>1</v>
      </c>
      <c r="AF441" s="236">
        <f t="shared" si="516"/>
        <v>0</v>
      </c>
      <c r="AG441" s="236">
        <v>1</v>
      </c>
      <c r="AH441" s="236">
        <v>0</v>
      </c>
      <c r="AI441" s="236">
        <f t="shared" si="492"/>
        <v>-100</v>
      </c>
      <c r="AJ441" s="210"/>
      <c r="AK441" s="254"/>
      <c r="AL441" s="254"/>
      <c r="AM441" s="255"/>
      <c r="AN441" s="255"/>
      <c r="AO441" s="255"/>
      <c r="AP441" s="255"/>
      <c r="AQ441" s="255"/>
      <c r="AR441" s="255"/>
      <c r="AS441" s="255"/>
      <c r="AT441" s="255"/>
      <c r="AU441" s="255"/>
      <c r="AV441" s="255"/>
      <c r="AW441" s="255"/>
      <c r="AX441" s="210"/>
      <c r="AY441" s="236" cm="1">
        <f t="array" ref="AY441">INDEX(Use, $AD441, 4)</f>
        <v>7</v>
      </c>
      <c r="AZ441" s="236">
        <f t="shared" si="493"/>
        <v>32</v>
      </c>
      <c r="BA441" s="236">
        <f t="shared" si="518"/>
        <v>13</v>
      </c>
      <c r="BB441" s="236">
        <f t="shared" si="519"/>
        <v>0</v>
      </c>
      <c r="BC441" s="252" cm="1">
        <f t="array" ref="BC441">K441/IF($L441&gt;0, INDEX($AO$23:$AU$77, $L441+20, $AD441), 1)</f>
        <v>0</v>
      </c>
      <c r="BD441" s="237">
        <f t="shared" si="494"/>
        <v>0</v>
      </c>
      <c r="BE441" s="236">
        <v>35</v>
      </c>
      <c r="BF441" s="237">
        <f t="shared" si="495"/>
        <v>52.55</v>
      </c>
      <c r="BG441" s="253">
        <f t="shared" si="496"/>
        <v>2.7676728869374316</v>
      </c>
      <c r="BH441" s="253" cm="1">
        <f t="array" ref="BH441">$BC441 * SUMPRODUCT(INDEX($AL$77:$AN$82,,$AE441),INDEX($AO$77:$AU$82,,$AD441), N($AK$77:$AK$82&gt;$AI441)) / BG441 / 1000</f>
        <v>0</v>
      </c>
      <c r="BI441" s="250">
        <f t="shared" si="520"/>
        <v>30</v>
      </c>
      <c r="BJ441" s="237">
        <f t="shared" si="497"/>
        <v>46.033333333333331</v>
      </c>
      <c r="BK441" s="253">
        <f t="shared" si="498"/>
        <v>3.2297395388556791</v>
      </c>
      <c r="BL441" s="253" cm="1">
        <f t="array" ref="BL441">$BC441 * IF($AD441&lt;=2,
SUMPRODUCT(INDEX($AL$72:$AN$76,,$AE441), INDEX($AO$72:$AU$76,,$AD441), 1 / ($AV$72:$AV$76*BK441 + (1-$AV$72:$AV$76)*BG441), N($AK$72:$AK$76&gt;$AI441)),
SUMPRODUCT(INDEX($AL$67:$AN$76,,$AE441), INDEX($AO$67:$AU$76,,$AD441), 1 / ($AW$67:$AW$76*BK441 + (1-$AW$67:$AW$76)*BG441), N($AK$67:$AK$76&gt;$AI441))
) / 1000</f>
        <v>0</v>
      </c>
      <c r="BM441" s="250">
        <f t="shared" si="521"/>
        <v>25</v>
      </c>
      <c r="BN441" s="237">
        <f t="shared" si="499"/>
        <v>39.516666666666666</v>
      </c>
      <c r="BO441" s="253">
        <f t="shared" si="500"/>
        <v>3.877011788826243</v>
      </c>
      <c r="BP441" s="253" cm="1">
        <f t="array" ref="BP441">$BC441 * IF($AD441&lt;=2,
SUMPRODUCT(INDEX($AL$67:$AN$71,,$AE441), INDEX($AO$67:$AU$71,,$AD441), 1 / ($AV$67:$AV$71*BO441 + (1-$AV$67:$AV$71)*BK441), N($AK$67:$AK$71&gt;$AI441)),
SUMPRODUCT(INDEX($AL$57:$AN$66,,$AE441), INDEX($AO$57:$AU$66,,$AD441), 1 / ($AW$57:$AW$66*BO441 + (1-$AW$57:$AW$66)*BK441), N($AK$57:$AK$66&gt;$AI441))
) / 1000</f>
        <v>0</v>
      </c>
      <c r="BQ441" s="250">
        <f t="shared" si="522"/>
        <v>20</v>
      </c>
      <c r="BR441" s="237">
        <f t="shared" si="501"/>
        <v>33</v>
      </c>
      <c r="BS441" s="253">
        <f t="shared" si="502"/>
        <v>4.8487499999999999</v>
      </c>
      <c r="BT441" s="253" cm="1">
        <f t="array" ref="BT441">$BC441 * IF($AD441&lt;=2,
SUMPRODUCT(INDEX($AL$62:$AN$66,,$AE441), INDEX($AO$62:$AU$66,,$AD441), 1 / ($AV$62:$AV$66*BS441 + (1-$AV$62:$AV$66)*BO441), N($AK$62:$AK$66&gt;$AI441)),
SUMPRODUCT(INDEX($AL$47:$AN$56,,$AE441), INDEX($AO$47:$AU$56,,$AD441), 1 / ($AW$47:$AW$56*BS441 + (1-$AW$47:$AW$56)*BO441), N($AK$47:$AK$56&gt;$AI441))
) / 1000</f>
        <v>0</v>
      </c>
      <c r="BU441" s="253" cm="1">
        <f t="array" ref="BU441">$BC441 * IF($AD441&lt;=2,
SUMPRODUCT(INDEX($AL$23:$AN$61,,$AE441), INDEX($AO$23:$AU$61,,$AD441), 1 / ($AV$23:$AV$61*BS441), N($AK$23:$AK$61&gt;$AI441)),
SUMPRODUCT(INDEX($AL$23:$AN$46,,$AE441), INDEX($AO$23:$AU$46,,$AD441), 1 / ($AW$23:$AW$46*BS441), N($AK$23:$AK$46&gt;$AI441))
) / 1000</f>
        <v>0</v>
      </c>
      <c r="BV441" s="237">
        <f t="shared" si="503"/>
        <v>0</v>
      </c>
      <c r="BW441" s="210"/>
      <c r="BX441" s="237">
        <f t="shared" si="504"/>
        <v>0</v>
      </c>
      <c r="BY441" s="236">
        <v>35</v>
      </c>
      <c r="BZ441" s="237">
        <f t="shared" si="505"/>
        <v>48</v>
      </c>
      <c r="CA441" s="253">
        <f t="shared" si="506"/>
        <v>3.0748170731707316</v>
      </c>
      <c r="CB441" s="253" cm="1">
        <f t="array" ref="CB441">$BC441 * SUMPRODUCT(INDEX($AL$77:$AN$82,,$AE441),INDEX($AO$77:$AU$82,,$AD441), N($AK$77:$AK$82&gt;$AI441)) / CA441 / 1000</f>
        <v>0</v>
      </c>
      <c r="CC441" s="250">
        <f t="shared" si="523"/>
        <v>30</v>
      </c>
      <c r="CD441" s="237">
        <f t="shared" si="507"/>
        <v>43</v>
      </c>
      <c r="CE441" s="253">
        <f t="shared" si="508"/>
        <v>3.5018750000000001</v>
      </c>
      <c r="CF441" s="253" cm="1">
        <f t="array" ref="CF441">$BC441 * IF($AD441&lt;=2,
SUMPRODUCT(INDEX($AL$72:$AN$76,,$AE441), INDEX($AO$72:$AU$76,,$AD441), 1 / ($AV$72:$AV$76*CE441 + (1-$AV$72:$AV$76)*CA441), N($AK$72:$AK$76&gt;$AI441)),
SUMPRODUCT(INDEX($AL$67:$AN$76,,$AE441), INDEX($AO$67:$AU$76,,$AD441), 1 / ($AW$67:$AW$76*CE441 + (1-$AW$67:$AW$76)*CA441), N($AK$67:$AK$76&gt;$AI441))
) / 1000</f>
        <v>0</v>
      </c>
      <c r="CG441" s="250">
        <f t="shared" si="524"/>
        <v>25</v>
      </c>
      <c r="CH441" s="237">
        <f t="shared" si="509"/>
        <v>38</v>
      </c>
      <c r="CI441" s="253">
        <f t="shared" si="510"/>
        <v>4.0666935483870965</v>
      </c>
      <c r="CJ441" s="253" cm="1">
        <f t="array" ref="CJ441">$BC441 * IF($AD441&lt;=2,
SUMPRODUCT(INDEX($AL$67:$AN$71,,$AE441), INDEX($AO$67:$AU$71,,$AD441), 1 / ($AV$67:$AV$71*CI441 + (1-$AV$67:$AV$71)*CE441), N($AK$67:$AK$71&gt;$AI441)),
SUMPRODUCT(INDEX($AL$57:$AN$66,,$AE441), INDEX($AO$57:$AU$66,,$AD441), 1 / ($AW$57:$AW$66*CI441 + (1-$AW$57:$AW$66)*CE441), N($AK$57:$AK$66&gt;$AI441))
) / 1000</f>
        <v>0</v>
      </c>
      <c r="CK441" s="250">
        <f t="shared" si="525"/>
        <v>20</v>
      </c>
      <c r="CL441" s="237">
        <f t="shared" si="511"/>
        <v>33</v>
      </c>
      <c r="CM441" s="253">
        <f t="shared" si="512"/>
        <v>4.8487499999999999</v>
      </c>
      <c r="CN441" s="253" cm="1">
        <f t="array" ref="CN441">$BC441 * IF($AD441&lt;=2,
SUMPRODUCT(INDEX($AL$62:$AN$66,,$AE441), INDEX($AO$62:$AU$66,,$AD441), 1 / ($AV$62:$AV$66*CM441 + (1-$AV$62:$AV$66)*CI441), N($AK$62:$AK$66&gt;$AI441)),
SUMPRODUCT(INDEX($AL$47:$AN$56,,$AE441), INDEX($AO$47:$AU$56,,$AD441), 1 / ($AW$47:$AW$56*CM441 + (1-$AW$47:$AW$56)*CI441), N($AK$47:$AK$56&gt;$AI441))
) / 1000</f>
        <v>0</v>
      </c>
      <c r="CO441" s="253" cm="1">
        <f t="array" ref="CO441">$BC441 * IF($AD441&lt;=2,
SUMPRODUCT(INDEX($AL$23:$AN$61,,$AE441), INDEX($AO$23:$AU$61,,$AD441), 1 / ($AV$23:$AV$61*CM441), N($AK$23:$AK$61&gt;$AI441)),
SUMPRODUCT(INDEX($AL$23:$AN$46,,$AE441), INDEX($AO$23:$AU$46,,$AD441), 1 / ($AW$23:$AW$46*CM441), N($AK$23:$AK$46&gt;$AI441))
) / 1000</f>
        <v>0</v>
      </c>
      <c r="CP441" s="237">
        <f t="shared" si="513"/>
        <v>0</v>
      </c>
      <c r="CQ441" s="210"/>
    </row>
    <row r="442" spans="1:95" s="76" customFormat="1" ht="14.25" customHeight="1" x14ac:dyDescent="0.2">
      <c r="A442" s="238" t="b">
        <f t="shared" si="517"/>
        <v>0</v>
      </c>
      <c r="B442" s="239">
        <v>420</v>
      </c>
      <c r="C442" s="258"/>
      <c r="D442" s="258"/>
      <c r="E442" s="240"/>
      <c r="F442" s="241" t="str">
        <f>IF(ISBLANK(E442), "", VLOOKUP(E442, Z!$A$2:$C$4127, 3, FALSE))</f>
        <v/>
      </c>
      <c r="G442" s="242"/>
      <c r="H442" s="242"/>
      <c r="I442" s="243"/>
      <c r="J442" s="244"/>
      <c r="K442" s="259"/>
      <c r="L442" s="260"/>
      <c r="M442" s="247" t="str" cm="1">
        <f t="array" ref="M442">IF($K442&gt;0, INDEX(Clean,1+AG442,$C$1), "")</f>
        <v/>
      </c>
      <c r="N442" s="245"/>
      <c r="O442" s="245"/>
      <c r="P442" s="246"/>
      <c r="Q442" s="248">
        <f t="shared" si="490"/>
        <v>0</v>
      </c>
      <c r="R442" s="247" t="str" cm="1">
        <f t="array" ref="R442">IF($K442&gt;0, INDEX(Clean,1+AH442,$C$1), "")</f>
        <v/>
      </c>
      <c r="S442" s="245"/>
      <c r="T442" s="245"/>
      <c r="U442" s="246"/>
      <c r="V442" s="248">
        <f t="shared" si="491"/>
        <v>0</v>
      </c>
      <c r="W442" s="261"/>
      <c r="X442" s="258"/>
      <c r="Y442" s="240"/>
      <c r="Z442" s="241" t="str">
        <f>IF(ISBLANK(Y442), "", VLOOKUP(Y442, Z!$A$2:$C$4127, 3, FALSE))</f>
        <v/>
      </c>
      <c r="AA442" s="262"/>
      <c r="AB442" s="249">
        <f t="shared" si="526"/>
        <v>0</v>
      </c>
      <c r="AC442" s="210"/>
      <c r="AD442" s="236">
        <f t="shared" si="514"/>
        <v>1</v>
      </c>
      <c r="AE442" s="236">
        <f t="shared" si="515"/>
        <v>1</v>
      </c>
      <c r="AF442" s="236">
        <f t="shared" si="516"/>
        <v>0</v>
      </c>
      <c r="AG442" s="236">
        <v>1</v>
      </c>
      <c r="AH442" s="236">
        <v>0</v>
      </c>
      <c r="AI442" s="236">
        <f t="shared" si="492"/>
        <v>-100</v>
      </c>
      <c r="AJ442" s="210"/>
      <c r="AK442" s="254"/>
      <c r="AL442" s="254"/>
      <c r="AM442" s="255"/>
      <c r="AN442" s="255"/>
      <c r="AO442" s="255"/>
      <c r="AP442" s="255"/>
      <c r="AQ442" s="255"/>
      <c r="AR442" s="255"/>
      <c r="AS442" s="255"/>
      <c r="AT442" s="255"/>
      <c r="AU442" s="255"/>
      <c r="AV442" s="255"/>
      <c r="AW442" s="255"/>
      <c r="AX442" s="210"/>
      <c r="AY442" s="236" cm="1">
        <f t="array" ref="AY442">INDEX(Use, $AD442, 4)</f>
        <v>7</v>
      </c>
      <c r="AZ442" s="236">
        <f t="shared" si="493"/>
        <v>32</v>
      </c>
      <c r="BA442" s="236">
        <f t="shared" si="518"/>
        <v>13</v>
      </c>
      <c r="BB442" s="236">
        <f t="shared" si="519"/>
        <v>0</v>
      </c>
      <c r="BC442" s="252" cm="1">
        <f t="array" ref="BC442">K442/IF($L442&gt;0, INDEX($AO$23:$AU$77, $L442+20, $AD442), 1)</f>
        <v>0</v>
      </c>
      <c r="BD442" s="237">
        <f t="shared" si="494"/>
        <v>0</v>
      </c>
      <c r="BE442" s="236">
        <v>35</v>
      </c>
      <c r="BF442" s="237">
        <f t="shared" si="495"/>
        <v>52.55</v>
      </c>
      <c r="BG442" s="253">
        <f t="shared" si="496"/>
        <v>2.7676728869374316</v>
      </c>
      <c r="BH442" s="253" cm="1">
        <f t="array" ref="BH442">$BC442 * SUMPRODUCT(INDEX($AL$77:$AN$82,,$AE442),INDEX($AO$77:$AU$82,,$AD442), N($AK$77:$AK$82&gt;$AI442)) / BG442 / 1000</f>
        <v>0</v>
      </c>
      <c r="BI442" s="250">
        <f t="shared" si="520"/>
        <v>30</v>
      </c>
      <c r="BJ442" s="237">
        <f t="shared" si="497"/>
        <v>46.033333333333331</v>
      </c>
      <c r="BK442" s="253">
        <f t="shared" si="498"/>
        <v>3.2297395388556791</v>
      </c>
      <c r="BL442" s="253" cm="1">
        <f t="array" ref="BL442">$BC442 * IF($AD442&lt;=2,
SUMPRODUCT(INDEX($AL$72:$AN$76,,$AE442), INDEX($AO$72:$AU$76,,$AD442), 1 / ($AV$72:$AV$76*BK442 + (1-$AV$72:$AV$76)*BG442), N($AK$72:$AK$76&gt;$AI442)),
SUMPRODUCT(INDEX($AL$67:$AN$76,,$AE442), INDEX($AO$67:$AU$76,,$AD442), 1 / ($AW$67:$AW$76*BK442 + (1-$AW$67:$AW$76)*BG442), N($AK$67:$AK$76&gt;$AI442))
) / 1000</f>
        <v>0</v>
      </c>
      <c r="BM442" s="250">
        <f t="shared" si="521"/>
        <v>25</v>
      </c>
      <c r="BN442" s="237">
        <f t="shared" si="499"/>
        <v>39.516666666666666</v>
      </c>
      <c r="BO442" s="253">
        <f t="shared" si="500"/>
        <v>3.877011788826243</v>
      </c>
      <c r="BP442" s="253" cm="1">
        <f t="array" ref="BP442">$BC442 * IF($AD442&lt;=2,
SUMPRODUCT(INDEX($AL$67:$AN$71,,$AE442), INDEX($AO$67:$AU$71,,$AD442), 1 / ($AV$67:$AV$71*BO442 + (1-$AV$67:$AV$71)*BK442), N($AK$67:$AK$71&gt;$AI442)),
SUMPRODUCT(INDEX($AL$57:$AN$66,,$AE442), INDEX($AO$57:$AU$66,,$AD442), 1 / ($AW$57:$AW$66*BO442 + (1-$AW$57:$AW$66)*BK442), N($AK$57:$AK$66&gt;$AI442))
) / 1000</f>
        <v>0</v>
      </c>
      <c r="BQ442" s="250">
        <f t="shared" si="522"/>
        <v>20</v>
      </c>
      <c r="BR442" s="237">
        <f t="shared" si="501"/>
        <v>33</v>
      </c>
      <c r="BS442" s="253">
        <f t="shared" si="502"/>
        <v>4.8487499999999999</v>
      </c>
      <c r="BT442" s="253" cm="1">
        <f t="array" ref="BT442">$BC442 * IF($AD442&lt;=2,
SUMPRODUCT(INDEX($AL$62:$AN$66,,$AE442), INDEX($AO$62:$AU$66,,$AD442), 1 / ($AV$62:$AV$66*BS442 + (1-$AV$62:$AV$66)*BO442), N($AK$62:$AK$66&gt;$AI442)),
SUMPRODUCT(INDEX($AL$47:$AN$56,,$AE442), INDEX($AO$47:$AU$56,,$AD442), 1 / ($AW$47:$AW$56*BS442 + (1-$AW$47:$AW$56)*BO442), N($AK$47:$AK$56&gt;$AI442))
) / 1000</f>
        <v>0</v>
      </c>
      <c r="BU442" s="253" cm="1">
        <f t="array" ref="BU442">$BC442 * IF($AD442&lt;=2,
SUMPRODUCT(INDEX($AL$23:$AN$61,,$AE442), INDEX($AO$23:$AU$61,,$AD442), 1 / ($AV$23:$AV$61*BS442), N($AK$23:$AK$61&gt;$AI442)),
SUMPRODUCT(INDEX($AL$23:$AN$46,,$AE442), INDEX($AO$23:$AU$46,,$AD442), 1 / ($AW$23:$AW$46*BS442), N($AK$23:$AK$46&gt;$AI442))
) / 1000</f>
        <v>0</v>
      </c>
      <c r="BV442" s="237">
        <f t="shared" si="503"/>
        <v>0</v>
      </c>
      <c r="BW442" s="210"/>
      <c r="BX442" s="237">
        <f t="shared" si="504"/>
        <v>0</v>
      </c>
      <c r="BY442" s="236">
        <v>35</v>
      </c>
      <c r="BZ442" s="237">
        <f t="shared" si="505"/>
        <v>48</v>
      </c>
      <c r="CA442" s="253">
        <f t="shared" si="506"/>
        <v>3.0748170731707316</v>
      </c>
      <c r="CB442" s="253" cm="1">
        <f t="array" ref="CB442">$BC442 * SUMPRODUCT(INDEX($AL$77:$AN$82,,$AE442),INDEX($AO$77:$AU$82,,$AD442), N($AK$77:$AK$82&gt;$AI442)) / CA442 / 1000</f>
        <v>0</v>
      </c>
      <c r="CC442" s="250">
        <f t="shared" si="523"/>
        <v>30</v>
      </c>
      <c r="CD442" s="237">
        <f t="shared" si="507"/>
        <v>43</v>
      </c>
      <c r="CE442" s="253">
        <f t="shared" si="508"/>
        <v>3.5018750000000001</v>
      </c>
      <c r="CF442" s="253" cm="1">
        <f t="array" ref="CF442">$BC442 * IF($AD442&lt;=2,
SUMPRODUCT(INDEX($AL$72:$AN$76,,$AE442), INDEX($AO$72:$AU$76,,$AD442), 1 / ($AV$72:$AV$76*CE442 + (1-$AV$72:$AV$76)*CA442), N($AK$72:$AK$76&gt;$AI442)),
SUMPRODUCT(INDEX($AL$67:$AN$76,,$AE442), INDEX($AO$67:$AU$76,,$AD442), 1 / ($AW$67:$AW$76*CE442 + (1-$AW$67:$AW$76)*CA442), N($AK$67:$AK$76&gt;$AI442))
) / 1000</f>
        <v>0</v>
      </c>
      <c r="CG442" s="250">
        <f t="shared" si="524"/>
        <v>25</v>
      </c>
      <c r="CH442" s="237">
        <f t="shared" si="509"/>
        <v>38</v>
      </c>
      <c r="CI442" s="253">
        <f t="shared" si="510"/>
        <v>4.0666935483870965</v>
      </c>
      <c r="CJ442" s="253" cm="1">
        <f t="array" ref="CJ442">$BC442 * IF($AD442&lt;=2,
SUMPRODUCT(INDEX($AL$67:$AN$71,,$AE442), INDEX($AO$67:$AU$71,,$AD442), 1 / ($AV$67:$AV$71*CI442 + (1-$AV$67:$AV$71)*CE442), N($AK$67:$AK$71&gt;$AI442)),
SUMPRODUCT(INDEX($AL$57:$AN$66,,$AE442), INDEX($AO$57:$AU$66,,$AD442), 1 / ($AW$57:$AW$66*CI442 + (1-$AW$57:$AW$66)*CE442), N($AK$57:$AK$66&gt;$AI442))
) / 1000</f>
        <v>0</v>
      </c>
      <c r="CK442" s="250">
        <f t="shared" si="525"/>
        <v>20</v>
      </c>
      <c r="CL442" s="237">
        <f t="shared" si="511"/>
        <v>33</v>
      </c>
      <c r="CM442" s="253">
        <f t="shared" si="512"/>
        <v>4.8487499999999999</v>
      </c>
      <c r="CN442" s="253" cm="1">
        <f t="array" ref="CN442">$BC442 * IF($AD442&lt;=2,
SUMPRODUCT(INDEX($AL$62:$AN$66,,$AE442), INDEX($AO$62:$AU$66,,$AD442), 1 / ($AV$62:$AV$66*CM442 + (1-$AV$62:$AV$66)*CI442), N($AK$62:$AK$66&gt;$AI442)),
SUMPRODUCT(INDEX($AL$47:$AN$56,,$AE442), INDEX($AO$47:$AU$56,,$AD442), 1 / ($AW$47:$AW$56*CM442 + (1-$AW$47:$AW$56)*CI442), N($AK$47:$AK$56&gt;$AI442))
) / 1000</f>
        <v>0</v>
      </c>
      <c r="CO442" s="253" cm="1">
        <f t="array" ref="CO442">$BC442 * IF($AD442&lt;=2,
SUMPRODUCT(INDEX($AL$23:$AN$61,,$AE442), INDEX($AO$23:$AU$61,,$AD442), 1 / ($AV$23:$AV$61*CM442), N($AK$23:$AK$61&gt;$AI442)),
SUMPRODUCT(INDEX($AL$23:$AN$46,,$AE442), INDEX($AO$23:$AU$46,,$AD442), 1 / ($AW$23:$AW$46*CM442), N($AK$23:$AK$46&gt;$AI442))
) / 1000</f>
        <v>0</v>
      </c>
      <c r="CP442" s="237">
        <f t="shared" si="513"/>
        <v>0</v>
      </c>
      <c r="CQ442" s="210"/>
    </row>
    <row r="443" spans="1:95" s="76" customFormat="1" ht="14.25" customHeight="1" x14ac:dyDescent="0.2">
      <c r="A443" s="238" t="b">
        <f t="shared" si="517"/>
        <v>0</v>
      </c>
      <c r="B443" s="239">
        <v>421</v>
      </c>
      <c r="C443" s="258"/>
      <c r="D443" s="258"/>
      <c r="E443" s="240"/>
      <c r="F443" s="241" t="str">
        <f>IF(ISBLANK(E443), "", VLOOKUP(E443, Z!$A$2:$C$4127, 3, FALSE))</f>
        <v/>
      </c>
      <c r="G443" s="242"/>
      <c r="H443" s="242"/>
      <c r="I443" s="243"/>
      <c r="J443" s="244"/>
      <c r="K443" s="259"/>
      <c r="L443" s="260"/>
      <c r="M443" s="247" t="str" cm="1">
        <f t="array" ref="M443">IF($K443&gt;0, INDEX(Clean,1+AG443,$C$1), "")</f>
        <v/>
      </c>
      <c r="N443" s="245"/>
      <c r="O443" s="245"/>
      <c r="P443" s="246"/>
      <c r="Q443" s="248">
        <f t="shared" ref="Q443:Q506" si="527">BV443*1000</f>
        <v>0</v>
      </c>
      <c r="R443" s="247" t="str" cm="1">
        <f t="array" ref="R443">IF($K443&gt;0, INDEX(Clean,1+AH443,$C$1), "")</f>
        <v/>
      </c>
      <c r="S443" s="245"/>
      <c r="T443" s="245"/>
      <c r="U443" s="246"/>
      <c r="V443" s="248">
        <f t="shared" ref="V443:V506" si="528">CP443*1000</f>
        <v>0</v>
      </c>
      <c r="W443" s="261"/>
      <c r="X443" s="258"/>
      <c r="Y443" s="240"/>
      <c r="Z443" s="241" t="str">
        <f>IF(ISBLANK(Y443), "", VLOOKUP(Y443, Z!$A$2:$C$4127, 3, FALSE))</f>
        <v/>
      </c>
      <c r="AA443" s="262"/>
      <c r="AB443" s="249">
        <f t="shared" si="526"/>
        <v>0</v>
      </c>
      <c r="AC443" s="210"/>
      <c r="AD443" s="236">
        <f t="shared" si="514"/>
        <v>1</v>
      </c>
      <c r="AE443" s="236">
        <f t="shared" si="515"/>
        <v>1</v>
      </c>
      <c r="AF443" s="236">
        <f t="shared" si="516"/>
        <v>0</v>
      </c>
      <c r="AG443" s="236">
        <v>1</v>
      </c>
      <c r="AH443" s="236">
        <v>0</v>
      </c>
      <c r="AI443" s="236">
        <f t="shared" ref="AI443:AI506" si="529">IF(AND(J443="x", AD443=5), 11, IF(AND(J443="x", AD443=6), 19, -100))</f>
        <v>-100</v>
      </c>
      <c r="AJ443" s="210"/>
      <c r="AK443" s="254"/>
      <c r="AL443" s="254"/>
      <c r="AM443" s="255"/>
      <c r="AN443" s="255"/>
      <c r="AO443" s="255"/>
      <c r="AP443" s="255"/>
      <c r="AQ443" s="255"/>
      <c r="AR443" s="255"/>
      <c r="AS443" s="255"/>
      <c r="AT443" s="255"/>
      <c r="AU443" s="255"/>
      <c r="AV443" s="255"/>
      <c r="AW443" s="255"/>
      <c r="AX443" s="210"/>
      <c r="AY443" s="236" cm="1">
        <f t="array" ref="AY443">INDEX(Use, $AD443, 4)</f>
        <v>7</v>
      </c>
      <c r="AZ443" s="236">
        <f t="shared" ref="AZ443:AZ506" si="530">MAX(25, AY443+25)</f>
        <v>32</v>
      </c>
      <c r="BA443" s="236">
        <f t="shared" si="518"/>
        <v>13</v>
      </c>
      <c r="BB443" s="236">
        <f t="shared" si="519"/>
        <v>0</v>
      </c>
      <c r="BC443" s="252" cm="1">
        <f t="array" ref="BC443">K443/IF($L443&gt;0, INDEX($AO$23:$AU$77, $L443+20, $AD443), 1)</f>
        <v>0</v>
      </c>
      <c r="BD443" s="237">
        <f t="shared" ref="BD443:BD506" si="531">P443 /  IF(AD443&lt;=2, 0.7 + 0.3 * (O443-20)/(35-20), 0.4 + 0.6 * (O443-5)/(35-5))</f>
        <v>0</v>
      </c>
      <c r="BE443" s="236">
        <v>35</v>
      </c>
      <c r="BF443" s="237">
        <f t="shared" ref="BF443:BF506" si="532">MAX($N443, MAX($AZ443, $BE443 + $BA443 + $BB443 + 0.35*$AG443*$BA443 + BD443))</f>
        <v>52.55</v>
      </c>
      <c r="BG443" s="253">
        <f t="shared" ref="BG443:BG506" si="533">0.45*($AY443+273.15)/(BF443-$AY443)</f>
        <v>2.7676728869374316</v>
      </c>
      <c r="BH443" s="253" cm="1">
        <f t="array" ref="BH443">$BC443 * SUMPRODUCT(INDEX($AL$77:$AN$82,,$AE443),INDEX($AO$77:$AU$82,,$AD443), N($AK$77:$AK$82&gt;$AI443)) / BG443 / 1000</f>
        <v>0</v>
      </c>
      <c r="BI443" s="250">
        <f t="shared" si="520"/>
        <v>30</v>
      </c>
      <c r="BJ443" s="237">
        <f t="shared" ref="BJ443:BJ506" si="534">MAX($N443, MAX($AZ443, BI443 + $BA443 + $BB443 + IF($AD443&lt;=2, (BI443-20)/(35-20), 0.6+0.4*(BI443-5)/(35-5))*0.35*$AG443*$BA443) + IF($AD443&lt;=2,0.9,0.8)*$BD443)</f>
        <v>46.033333333333331</v>
      </c>
      <c r="BK443" s="253">
        <f t="shared" ref="BK443:BK506" si="535">0.45*($AY443+273.15)/(BJ443-$AY443)</f>
        <v>3.2297395388556791</v>
      </c>
      <c r="BL443" s="253" cm="1">
        <f t="array" ref="BL443">$BC443 * IF($AD443&lt;=2,
SUMPRODUCT(INDEX($AL$72:$AN$76,,$AE443), INDEX($AO$72:$AU$76,,$AD443), 1 / ($AV$72:$AV$76*BK443 + (1-$AV$72:$AV$76)*BG443), N($AK$72:$AK$76&gt;$AI443)),
SUMPRODUCT(INDEX($AL$67:$AN$76,,$AE443), INDEX($AO$67:$AU$76,,$AD443), 1 / ($AW$67:$AW$76*BK443 + (1-$AW$67:$AW$76)*BG443), N($AK$67:$AK$76&gt;$AI443))
) / 1000</f>
        <v>0</v>
      </c>
      <c r="BM443" s="250">
        <f t="shared" si="521"/>
        <v>25</v>
      </c>
      <c r="BN443" s="237">
        <f t="shared" ref="BN443:BN506" si="536">MAX($N443, MAX($AZ443, BM443 + $BA443 + $BB443 + IF($AD443&lt;=2, (BM443-20)/(35-20), 0.6+0.4*(BM443-5)/(35-5))*0.35*$AG443*$BA443) + IF($AD443&lt;=2,0.8,0.6)*$BD443)</f>
        <v>39.516666666666666</v>
      </c>
      <c r="BO443" s="253">
        <f t="shared" ref="BO443:BO506" si="537">0.45*($AY443+273.15)/(BN443-$AY443)</f>
        <v>3.877011788826243</v>
      </c>
      <c r="BP443" s="253" cm="1">
        <f t="array" ref="BP443">$BC443 * IF($AD443&lt;=2,
SUMPRODUCT(INDEX($AL$67:$AN$71,,$AE443), INDEX($AO$67:$AU$71,,$AD443), 1 / ($AV$67:$AV$71*BO443 + (1-$AV$67:$AV$71)*BK443), N($AK$67:$AK$71&gt;$AI443)),
SUMPRODUCT(INDEX($AL$57:$AN$66,,$AE443), INDEX($AO$57:$AU$66,,$AD443), 1 / ($AW$57:$AW$66*BO443 + (1-$AW$57:$AW$66)*BK443), N($AK$57:$AK$66&gt;$AI443))
) / 1000</f>
        <v>0</v>
      </c>
      <c r="BQ443" s="250">
        <f t="shared" si="522"/>
        <v>20</v>
      </c>
      <c r="BR443" s="237">
        <f t="shared" ref="BR443:BR506" si="538">MAX($N443, MAX($AZ443, BQ443 + $BA443 + $BB443 + IF($AD443&lt;=2, (BQ443-20)/(35-20), 0.6+0.4*(BQ443-5)/(35-5))*0.35*$AG443*$BA443) + IF($AD443&lt;=2,0.7,0.4)*$BD443)</f>
        <v>33</v>
      </c>
      <c r="BS443" s="253">
        <f t="shared" ref="BS443:BS506" si="539">0.45*($AY443+273.15)/(BR443-$AY443)</f>
        <v>4.8487499999999999</v>
      </c>
      <c r="BT443" s="253" cm="1">
        <f t="array" ref="BT443">$BC443 * IF($AD443&lt;=2,
SUMPRODUCT(INDEX($AL$62:$AN$66,,$AE443), INDEX($AO$62:$AU$66,,$AD443), 1 / ($AV$62:$AV$66*BS443 + (1-$AV$62:$AV$66)*BO443), N($AK$62:$AK$66&gt;$AI443)),
SUMPRODUCT(INDEX($AL$47:$AN$56,,$AE443), INDEX($AO$47:$AU$56,,$AD443), 1 / ($AW$47:$AW$56*BS443 + (1-$AW$47:$AW$56)*BO443), N($AK$47:$AK$56&gt;$AI443))
) / 1000</f>
        <v>0</v>
      </c>
      <c r="BU443" s="253" cm="1">
        <f t="array" ref="BU443">$BC443 * IF($AD443&lt;=2,
SUMPRODUCT(INDEX($AL$23:$AN$61,,$AE443), INDEX($AO$23:$AU$61,,$AD443), 1 / ($AV$23:$AV$61*BS443), N($AK$23:$AK$61&gt;$AI443)),
SUMPRODUCT(INDEX($AL$23:$AN$46,,$AE443), INDEX($AO$23:$AU$46,,$AD443), 1 / ($AW$23:$AW$46*BS443), N($AK$23:$AK$46&gt;$AI443))
) / 1000</f>
        <v>0</v>
      </c>
      <c r="BV443" s="237">
        <f t="shared" ref="BV443:BV506" si="540">BH443+BL443+BP443+BT443+BU443</f>
        <v>0</v>
      </c>
      <c r="BW443" s="210"/>
      <c r="BX443" s="237">
        <f t="shared" ref="BX443:BX506" si="541">U443 /  IF(AD443&lt;=2, 0.7 + 0.3 * (T443-20)/(35-20), 0.4 + 0.6 * (T443-5)/(35-5))</f>
        <v>0</v>
      </c>
      <c r="BY443" s="236">
        <v>35</v>
      </c>
      <c r="BZ443" s="237">
        <f t="shared" ref="BZ443:BZ506" si="542">MAX($S443, MAX($AZ443, $BE443 + $BA443 + $BB443 + 0.35*$AH443*$BA443 + BX443))</f>
        <v>48</v>
      </c>
      <c r="CA443" s="253">
        <f t="shared" ref="CA443:CA506" si="543">0.45*($AY443+273.15)/(BZ443-$AY443)</f>
        <v>3.0748170731707316</v>
      </c>
      <c r="CB443" s="253" cm="1">
        <f t="array" ref="CB443">$BC443 * SUMPRODUCT(INDEX($AL$77:$AN$82,,$AE443),INDEX($AO$77:$AU$82,,$AD443), N($AK$77:$AK$82&gt;$AI443)) / CA443 / 1000</f>
        <v>0</v>
      </c>
      <c r="CC443" s="250">
        <f t="shared" si="523"/>
        <v>30</v>
      </c>
      <c r="CD443" s="237">
        <f t="shared" ref="CD443:CD506" si="544">MAX($S443, MAX($AZ443, CC443 + $BA443 + $BB443 + IF($AD443&lt;=2, (CC443-20)/(35-20), 0.6+0.4*(CC443-5)/(35-5))*0.35*$AH443*$BA443) + IF($AD443&lt;=2,0.9,0.8)*$BX443)</f>
        <v>43</v>
      </c>
      <c r="CE443" s="253">
        <f t="shared" ref="CE443:CE506" si="545">0.45*($AY443+273.15)/(CD443-$AY443)</f>
        <v>3.5018750000000001</v>
      </c>
      <c r="CF443" s="253" cm="1">
        <f t="array" ref="CF443">$BC443 * IF($AD443&lt;=2,
SUMPRODUCT(INDEX($AL$72:$AN$76,,$AE443), INDEX($AO$72:$AU$76,,$AD443), 1 / ($AV$72:$AV$76*CE443 + (1-$AV$72:$AV$76)*CA443), N($AK$72:$AK$76&gt;$AI443)),
SUMPRODUCT(INDEX($AL$67:$AN$76,,$AE443), INDEX($AO$67:$AU$76,,$AD443), 1 / ($AW$67:$AW$76*CE443 + (1-$AW$67:$AW$76)*CA443), N($AK$67:$AK$76&gt;$AI443))
) / 1000</f>
        <v>0</v>
      </c>
      <c r="CG443" s="250">
        <f t="shared" si="524"/>
        <v>25</v>
      </c>
      <c r="CH443" s="237">
        <f t="shared" ref="CH443:CH506" si="546">MAX($S443, MAX($AZ443, CG443 + $BA443 + $BB443 + IF($AD443&lt;=2, (CG443-20)/(35-20), 0.6+0.4*(CG443-5)/(35-5))*0.35*$AH443*$BA443) + IF($AD443&lt;=2,0.8,0.6)*$BX443)</f>
        <v>38</v>
      </c>
      <c r="CI443" s="253">
        <f t="shared" ref="CI443:CI506" si="547">0.45*($AY443+273.15)/(CH443-$AY443)</f>
        <v>4.0666935483870965</v>
      </c>
      <c r="CJ443" s="253" cm="1">
        <f t="array" ref="CJ443">$BC443 * IF($AD443&lt;=2,
SUMPRODUCT(INDEX($AL$67:$AN$71,,$AE443), INDEX($AO$67:$AU$71,,$AD443), 1 / ($AV$67:$AV$71*CI443 + (1-$AV$67:$AV$71)*CE443), N($AK$67:$AK$71&gt;$AI443)),
SUMPRODUCT(INDEX($AL$57:$AN$66,,$AE443), INDEX($AO$57:$AU$66,,$AD443), 1 / ($AW$57:$AW$66*CI443 + (1-$AW$57:$AW$66)*CE443), N($AK$57:$AK$66&gt;$AI443))
) / 1000</f>
        <v>0</v>
      </c>
      <c r="CK443" s="250">
        <f t="shared" si="525"/>
        <v>20</v>
      </c>
      <c r="CL443" s="237">
        <f t="shared" ref="CL443:CL506" si="548">MAX($S443, MAX($AZ443, CK443 + $BA443 + $BB443 + IF($AD443&lt;=2, (CK443-20)/(35-20), 0.6+0.4*(CK443-5)/(35-5))*0.35*$AH443*$BA443) + IF($AD443&lt;=2,0.7,0.4)*$BX443)</f>
        <v>33</v>
      </c>
      <c r="CM443" s="253">
        <f t="shared" ref="CM443:CM506" si="549">0.45*($AY443+273.15)/(CL443-$AY443)</f>
        <v>4.8487499999999999</v>
      </c>
      <c r="CN443" s="253" cm="1">
        <f t="array" ref="CN443">$BC443 * IF($AD443&lt;=2,
SUMPRODUCT(INDEX($AL$62:$AN$66,,$AE443), INDEX($AO$62:$AU$66,,$AD443), 1 / ($AV$62:$AV$66*CM443 + (1-$AV$62:$AV$66)*CI443), N($AK$62:$AK$66&gt;$AI443)),
SUMPRODUCT(INDEX($AL$47:$AN$56,,$AE443), INDEX($AO$47:$AU$56,,$AD443), 1 / ($AW$47:$AW$56*CM443 + (1-$AW$47:$AW$56)*CI443), N($AK$47:$AK$56&gt;$AI443))
) / 1000</f>
        <v>0</v>
      </c>
      <c r="CO443" s="253" cm="1">
        <f t="array" ref="CO443">$BC443 * IF($AD443&lt;=2,
SUMPRODUCT(INDEX($AL$23:$AN$61,,$AE443), INDEX($AO$23:$AU$61,,$AD443), 1 / ($AV$23:$AV$61*CM443), N($AK$23:$AK$61&gt;$AI443)),
SUMPRODUCT(INDEX($AL$23:$AN$46,,$AE443), INDEX($AO$23:$AU$46,,$AD443), 1 / ($AW$23:$AW$46*CM443), N($AK$23:$AK$46&gt;$AI443))
) / 1000</f>
        <v>0</v>
      </c>
      <c r="CP443" s="237">
        <f t="shared" ref="CP443:CP506" si="550">CB443+CF443+CJ443+CN443+CO443</f>
        <v>0</v>
      </c>
      <c r="CQ443" s="210"/>
    </row>
    <row r="444" spans="1:95" s="76" customFormat="1" ht="14.25" customHeight="1" x14ac:dyDescent="0.2">
      <c r="A444" s="238" t="b">
        <f t="shared" si="517"/>
        <v>0</v>
      </c>
      <c r="B444" s="239">
        <v>422</v>
      </c>
      <c r="C444" s="258"/>
      <c r="D444" s="258"/>
      <c r="E444" s="240"/>
      <c r="F444" s="241" t="str">
        <f>IF(ISBLANK(E444), "", VLOOKUP(E444, Z!$A$2:$C$4127, 3, FALSE))</f>
        <v/>
      </c>
      <c r="G444" s="242"/>
      <c r="H444" s="242"/>
      <c r="I444" s="243"/>
      <c r="J444" s="244"/>
      <c r="K444" s="259"/>
      <c r="L444" s="260"/>
      <c r="M444" s="247" t="str" cm="1">
        <f t="array" ref="M444">IF($K444&gt;0, INDEX(Clean,1+AG444,$C$1), "")</f>
        <v/>
      </c>
      <c r="N444" s="245"/>
      <c r="O444" s="245"/>
      <c r="P444" s="246"/>
      <c r="Q444" s="248">
        <f t="shared" si="527"/>
        <v>0</v>
      </c>
      <c r="R444" s="247" t="str" cm="1">
        <f t="array" ref="R444">IF($K444&gt;0, INDEX(Clean,1+AH444,$C$1), "")</f>
        <v/>
      </c>
      <c r="S444" s="245"/>
      <c r="T444" s="245"/>
      <c r="U444" s="246"/>
      <c r="V444" s="248">
        <f t="shared" si="528"/>
        <v>0</v>
      </c>
      <c r="W444" s="261"/>
      <c r="X444" s="258"/>
      <c r="Y444" s="240"/>
      <c r="Z444" s="241" t="str">
        <f>IF(ISBLANK(Y444), "", VLOOKUP(Y444, Z!$A$2:$C$4127, 3, FALSE))</f>
        <v/>
      </c>
      <c r="AA444" s="262"/>
      <c r="AB444" s="249">
        <f t="shared" si="526"/>
        <v>0</v>
      </c>
      <c r="AC444" s="210"/>
      <c r="AD444" s="236">
        <f t="shared" ref="AD444:AD507" si="551">IF(ISBLANK(H444), 1, IFERROR(MATCH(H444, INDEX(Use,,1), 0), IFERROR(MATCH(H444, INDEX(Use,,2), 0), MATCH(H444, INDEX(Use,,3), 0))))</f>
        <v>1</v>
      </c>
      <c r="AE444" s="236">
        <f t="shared" ref="AE444:AE507" si="552">IF(ISBLANK(G444), 1, IFERROR(MATCH(G444, INDEX(Loc,,1), 0), IFERROR(MATCH(G444, INDEX(Loc,,2), 0), MATCH(G444, INDEX(Loc,,3), 0))))</f>
        <v>1</v>
      </c>
      <c r="AF444" s="236">
        <f t="shared" ref="AF444:AF507" si="553">_xlfn.IFNA(IF(IFERROR(MATCH(I444, INDEX(Medium,,1), 0), IFERROR(MATCH(I444, INDEX(Medium,,2), 0), MATCH(I444, INDEX(Medium,,3), 0))) = 2, 1, 0), 0)</f>
        <v>0</v>
      </c>
      <c r="AG444" s="236">
        <v>1</v>
      </c>
      <c r="AH444" s="236">
        <v>0</v>
      </c>
      <c r="AI444" s="236">
        <f t="shared" si="529"/>
        <v>-100</v>
      </c>
      <c r="AJ444" s="210"/>
      <c r="AK444" s="254"/>
      <c r="AL444" s="254"/>
      <c r="AM444" s="255"/>
      <c r="AN444" s="255"/>
      <c r="AO444" s="255"/>
      <c r="AP444" s="255"/>
      <c r="AQ444" s="255"/>
      <c r="AR444" s="255"/>
      <c r="AS444" s="255"/>
      <c r="AT444" s="255"/>
      <c r="AU444" s="255"/>
      <c r="AV444" s="255"/>
      <c r="AW444" s="255"/>
      <c r="AX444" s="210"/>
      <c r="AY444" s="236" cm="1">
        <f t="array" ref="AY444">INDEX(Use, $AD444, 4)</f>
        <v>7</v>
      </c>
      <c r="AZ444" s="236">
        <f t="shared" si="530"/>
        <v>32</v>
      </c>
      <c r="BA444" s="236">
        <f t="shared" si="518"/>
        <v>13</v>
      </c>
      <c r="BB444" s="236">
        <f t="shared" si="519"/>
        <v>0</v>
      </c>
      <c r="BC444" s="252" cm="1">
        <f t="array" ref="BC444">K444/IF($L444&gt;0, INDEX($AO$23:$AU$77, $L444+20, $AD444), 1)</f>
        <v>0</v>
      </c>
      <c r="BD444" s="237">
        <f t="shared" si="531"/>
        <v>0</v>
      </c>
      <c r="BE444" s="236">
        <v>35</v>
      </c>
      <c r="BF444" s="237">
        <f t="shared" si="532"/>
        <v>52.55</v>
      </c>
      <c r="BG444" s="253">
        <f t="shared" si="533"/>
        <v>2.7676728869374316</v>
      </c>
      <c r="BH444" s="253" cm="1">
        <f t="array" ref="BH444">$BC444 * SUMPRODUCT(INDEX($AL$77:$AN$82,,$AE444),INDEX($AO$77:$AU$82,,$AD444), N($AK$77:$AK$82&gt;$AI444)) / BG444 / 1000</f>
        <v>0</v>
      </c>
      <c r="BI444" s="250">
        <f t="shared" si="520"/>
        <v>30</v>
      </c>
      <c r="BJ444" s="237">
        <f t="shared" si="534"/>
        <v>46.033333333333331</v>
      </c>
      <c r="BK444" s="253">
        <f t="shared" si="535"/>
        <v>3.2297395388556791</v>
      </c>
      <c r="BL444" s="253" cm="1">
        <f t="array" ref="BL444">$BC444 * IF($AD444&lt;=2,
SUMPRODUCT(INDEX($AL$72:$AN$76,,$AE444), INDEX($AO$72:$AU$76,,$AD444), 1 / ($AV$72:$AV$76*BK444 + (1-$AV$72:$AV$76)*BG444), N($AK$72:$AK$76&gt;$AI444)),
SUMPRODUCT(INDEX($AL$67:$AN$76,,$AE444), INDEX($AO$67:$AU$76,,$AD444), 1 / ($AW$67:$AW$76*BK444 + (1-$AW$67:$AW$76)*BG444), N($AK$67:$AK$76&gt;$AI444))
) / 1000</f>
        <v>0</v>
      </c>
      <c r="BM444" s="250">
        <f t="shared" si="521"/>
        <v>25</v>
      </c>
      <c r="BN444" s="237">
        <f t="shared" si="536"/>
        <v>39.516666666666666</v>
      </c>
      <c r="BO444" s="253">
        <f t="shared" si="537"/>
        <v>3.877011788826243</v>
      </c>
      <c r="BP444" s="253" cm="1">
        <f t="array" ref="BP444">$BC444 * IF($AD444&lt;=2,
SUMPRODUCT(INDEX($AL$67:$AN$71,,$AE444), INDEX($AO$67:$AU$71,,$AD444), 1 / ($AV$67:$AV$71*BO444 + (1-$AV$67:$AV$71)*BK444), N($AK$67:$AK$71&gt;$AI444)),
SUMPRODUCT(INDEX($AL$57:$AN$66,,$AE444), INDEX($AO$57:$AU$66,,$AD444), 1 / ($AW$57:$AW$66*BO444 + (1-$AW$57:$AW$66)*BK444), N($AK$57:$AK$66&gt;$AI444))
) / 1000</f>
        <v>0</v>
      </c>
      <c r="BQ444" s="250">
        <f t="shared" si="522"/>
        <v>20</v>
      </c>
      <c r="BR444" s="237">
        <f t="shared" si="538"/>
        <v>33</v>
      </c>
      <c r="BS444" s="253">
        <f t="shared" si="539"/>
        <v>4.8487499999999999</v>
      </c>
      <c r="BT444" s="253" cm="1">
        <f t="array" ref="BT444">$BC444 * IF($AD444&lt;=2,
SUMPRODUCT(INDEX($AL$62:$AN$66,,$AE444), INDEX($AO$62:$AU$66,,$AD444), 1 / ($AV$62:$AV$66*BS444 + (1-$AV$62:$AV$66)*BO444), N($AK$62:$AK$66&gt;$AI444)),
SUMPRODUCT(INDEX($AL$47:$AN$56,,$AE444), INDEX($AO$47:$AU$56,,$AD444), 1 / ($AW$47:$AW$56*BS444 + (1-$AW$47:$AW$56)*BO444), N($AK$47:$AK$56&gt;$AI444))
) / 1000</f>
        <v>0</v>
      </c>
      <c r="BU444" s="253" cm="1">
        <f t="array" ref="BU444">$BC444 * IF($AD444&lt;=2,
SUMPRODUCT(INDEX($AL$23:$AN$61,,$AE444), INDEX($AO$23:$AU$61,,$AD444), 1 / ($AV$23:$AV$61*BS444), N($AK$23:$AK$61&gt;$AI444)),
SUMPRODUCT(INDEX($AL$23:$AN$46,,$AE444), INDEX($AO$23:$AU$46,,$AD444), 1 / ($AW$23:$AW$46*BS444), N($AK$23:$AK$46&gt;$AI444))
) / 1000</f>
        <v>0</v>
      </c>
      <c r="BV444" s="237">
        <f t="shared" si="540"/>
        <v>0</v>
      </c>
      <c r="BW444" s="210"/>
      <c r="BX444" s="237">
        <f t="shared" si="541"/>
        <v>0</v>
      </c>
      <c r="BY444" s="236">
        <v>35</v>
      </c>
      <c r="BZ444" s="237">
        <f t="shared" si="542"/>
        <v>48</v>
      </c>
      <c r="CA444" s="253">
        <f t="shared" si="543"/>
        <v>3.0748170731707316</v>
      </c>
      <c r="CB444" s="253" cm="1">
        <f t="array" ref="CB444">$BC444 * SUMPRODUCT(INDEX($AL$77:$AN$82,,$AE444),INDEX($AO$77:$AU$82,,$AD444), N($AK$77:$AK$82&gt;$AI444)) / CA444 / 1000</f>
        <v>0</v>
      </c>
      <c r="CC444" s="250">
        <f t="shared" si="523"/>
        <v>30</v>
      </c>
      <c r="CD444" s="237">
        <f t="shared" si="544"/>
        <v>43</v>
      </c>
      <c r="CE444" s="253">
        <f t="shared" si="545"/>
        <v>3.5018750000000001</v>
      </c>
      <c r="CF444" s="253" cm="1">
        <f t="array" ref="CF444">$BC444 * IF($AD444&lt;=2,
SUMPRODUCT(INDEX($AL$72:$AN$76,,$AE444), INDEX($AO$72:$AU$76,,$AD444), 1 / ($AV$72:$AV$76*CE444 + (1-$AV$72:$AV$76)*CA444), N($AK$72:$AK$76&gt;$AI444)),
SUMPRODUCT(INDEX($AL$67:$AN$76,,$AE444), INDEX($AO$67:$AU$76,,$AD444), 1 / ($AW$67:$AW$76*CE444 + (1-$AW$67:$AW$76)*CA444), N($AK$67:$AK$76&gt;$AI444))
) / 1000</f>
        <v>0</v>
      </c>
      <c r="CG444" s="250">
        <f t="shared" si="524"/>
        <v>25</v>
      </c>
      <c r="CH444" s="237">
        <f t="shared" si="546"/>
        <v>38</v>
      </c>
      <c r="CI444" s="253">
        <f t="shared" si="547"/>
        <v>4.0666935483870965</v>
      </c>
      <c r="CJ444" s="253" cm="1">
        <f t="array" ref="CJ444">$BC444 * IF($AD444&lt;=2,
SUMPRODUCT(INDEX($AL$67:$AN$71,,$AE444), INDEX($AO$67:$AU$71,,$AD444), 1 / ($AV$67:$AV$71*CI444 + (1-$AV$67:$AV$71)*CE444), N($AK$67:$AK$71&gt;$AI444)),
SUMPRODUCT(INDEX($AL$57:$AN$66,,$AE444), INDEX($AO$57:$AU$66,,$AD444), 1 / ($AW$57:$AW$66*CI444 + (1-$AW$57:$AW$66)*CE444), N($AK$57:$AK$66&gt;$AI444))
) / 1000</f>
        <v>0</v>
      </c>
      <c r="CK444" s="250">
        <f t="shared" si="525"/>
        <v>20</v>
      </c>
      <c r="CL444" s="237">
        <f t="shared" si="548"/>
        <v>33</v>
      </c>
      <c r="CM444" s="253">
        <f t="shared" si="549"/>
        <v>4.8487499999999999</v>
      </c>
      <c r="CN444" s="253" cm="1">
        <f t="array" ref="CN444">$BC444 * IF($AD444&lt;=2,
SUMPRODUCT(INDEX($AL$62:$AN$66,,$AE444), INDEX($AO$62:$AU$66,,$AD444), 1 / ($AV$62:$AV$66*CM444 + (1-$AV$62:$AV$66)*CI444), N($AK$62:$AK$66&gt;$AI444)),
SUMPRODUCT(INDEX($AL$47:$AN$56,,$AE444), INDEX($AO$47:$AU$56,,$AD444), 1 / ($AW$47:$AW$56*CM444 + (1-$AW$47:$AW$56)*CI444), N($AK$47:$AK$56&gt;$AI444))
) / 1000</f>
        <v>0</v>
      </c>
      <c r="CO444" s="253" cm="1">
        <f t="array" ref="CO444">$BC444 * IF($AD444&lt;=2,
SUMPRODUCT(INDEX($AL$23:$AN$61,,$AE444), INDEX($AO$23:$AU$61,,$AD444), 1 / ($AV$23:$AV$61*CM444), N($AK$23:$AK$61&gt;$AI444)),
SUMPRODUCT(INDEX($AL$23:$AN$46,,$AE444), INDEX($AO$23:$AU$46,,$AD444), 1 / ($AW$23:$AW$46*CM444), N($AK$23:$AK$46&gt;$AI444))
) / 1000</f>
        <v>0</v>
      </c>
      <c r="CP444" s="237">
        <f t="shared" si="550"/>
        <v>0</v>
      </c>
      <c r="CQ444" s="210"/>
    </row>
    <row r="445" spans="1:95" s="76" customFormat="1" ht="14.25" customHeight="1" x14ac:dyDescent="0.2">
      <c r="A445" s="238" t="b">
        <f t="shared" si="517"/>
        <v>0</v>
      </c>
      <c r="B445" s="239">
        <v>423</v>
      </c>
      <c r="C445" s="258"/>
      <c r="D445" s="258"/>
      <c r="E445" s="240"/>
      <c r="F445" s="241" t="str">
        <f>IF(ISBLANK(E445), "", VLOOKUP(E445, Z!$A$2:$C$4127, 3, FALSE))</f>
        <v/>
      </c>
      <c r="G445" s="242"/>
      <c r="H445" s="242"/>
      <c r="I445" s="243"/>
      <c r="J445" s="244"/>
      <c r="K445" s="259"/>
      <c r="L445" s="260"/>
      <c r="M445" s="247" t="str" cm="1">
        <f t="array" ref="M445">IF($K445&gt;0, INDEX(Clean,1+AG445,$C$1), "")</f>
        <v/>
      </c>
      <c r="N445" s="245"/>
      <c r="O445" s="245"/>
      <c r="P445" s="246"/>
      <c r="Q445" s="248">
        <f t="shared" si="527"/>
        <v>0</v>
      </c>
      <c r="R445" s="247" t="str" cm="1">
        <f t="array" ref="R445">IF($K445&gt;0, INDEX(Clean,1+AH445,$C$1), "")</f>
        <v/>
      </c>
      <c r="S445" s="245"/>
      <c r="T445" s="245"/>
      <c r="U445" s="246"/>
      <c r="V445" s="248">
        <f t="shared" si="528"/>
        <v>0</v>
      </c>
      <c r="W445" s="261"/>
      <c r="X445" s="258"/>
      <c r="Y445" s="240"/>
      <c r="Z445" s="241" t="str">
        <f>IF(ISBLANK(Y445), "", VLOOKUP(Y445, Z!$A$2:$C$4127, 3, FALSE))</f>
        <v/>
      </c>
      <c r="AA445" s="262"/>
      <c r="AB445" s="249">
        <f t="shared" si="526"/>
        <v>0</v>
      </c>
      <c r="AC445" s="210"/>
      <c r="AD445" s="236">
        <f t="shared" si="551"/>
        <v>1</v>
      </c>
      <c r="AE445" s="236">
        <f t="shared" si="552"/>
        <v>1</v>
      </c>
      <c r="AF445" s="236">
        <f t="shared" si="553"/>
        <v>0</v>
      </c>
      <c r="AG445" s="236">
        <v>1</v>
      </c>
      <c r="AH445" s="236">
        <v>0</v>
      </c>
      <c r="AI445" s="236">
        <f t="shared" si="529"/>
        <v>-100</v>
      </c>
      <c r="AJ445" s="210"/>
      <c r="AK445" s="254"/>
      <c r="AL445" s="254"/>
      <c r="AM445" s="255"/>
      <c r="AN445" s="255"/>
      <c r="AO445" s="255"/>
      <c r="AP445" s="255"/>
      <c r="AQ445" s="255"/>
      <c r="AR445" s="255"/>
      <c r="AS445" s="255"/>
      <c r="AT445" s="255"/>
      <c r="AU445" s="255"/>
      <c r="AV445" s="255"/>
      <c r="AW445" s="255"/>
      <c r="AX445" s="210"/>
      <c r="AY445" s="236" cm="1">
        <f t="array" ref="AY445">INDEX(Use, $AD445, 4)</f>
        <v>7</v>
      </c>
      <c r="AZ445" s="236">
        <f t="shared" si="530"/>
        <v>32</v>
      </c>
      <c r="BA445" s="236">
        <f t="shared" si="518"/>
        <v>13</v>
      </c>
      <c r="BB445" s="236">
        <f t="shared" si="519"/>
        <v>0</v>
      </c>
      <c r="BC445" s="252" cm="1">
        <f t="array" ref="BC445">K445/IF($L445&gt;0, INDEX($AO$23:$AU$77, $L445+20, $AD445), 1)</f>
        <v>0</v>
      </c>
      <c r="BD445" s="237">
        <f t="shared" si="531"/>
        <v>0</v>
      </c>
      <c r="BE445" s="236">
        <v>35</v>
      </c>
      <c r="BF445" s="237">
        <f t="shared" si="532"/>
        <v>52.55</v>
      </c>
      <c r="BG445" s="253">
        <f t="shared" si="533"/>
        <v>2.7676728869374316</v>
      </c>
      <c r="BH445" s="253" cm="1">
        <f t="array" ref="BH445">$BC445 * SUMPRODUCT(INDEX($AL$77:$AN$82,,$AE445),INDEX($AO$77:$AU$82,,$AD445), N($AK$77:$AK$82&gt;$AI445)) / BG445 / 1000</f>
        <v>0</v>
      </c>
      <c r="BI445" s="250">
        <f t="shared" si="520"/>
        <v>30</v>
      </c>
      <c r="BJ445" s="237">
        <f t="shared" si="534"/>
        <v>46.033333333333331</v>
      </c>
      <c r="BK445" s="253">
        <f t="shared" si="535"/>
        <v>3.2297395388556791</v>
      </c>
      <c r="BL445" s="253" cm="1">
        <f t="array" ref="BL445">$BC445 * IF($AD445&lt;=2,
SUMPRODUCT(INDEX($AL$72:$AN$76,,$AE445), INDEX($AO$72:$AU$76,,$AD445), 1 / ($AV$72:$AV$76*BK445 + (1-$AV$72:$AV$76)*BG445), N($AK$72:$AK$76&gt;$AI445)),
SUMPRODUCT(INDEX($AL$67:$AN$76,,$AE445), INDEX($AO$67:$AU$76,,$AD445), 1 / ($AW$67:$AW$76*BK445 + (1-$AW$67:$AW$76)*BG445), N($AK$67:$AK$76&gt;$AI445))
) / 1000</f>
        <v>0</v>
      </c>
      <c r="BM445" s="250">
        <f t="shared" si="521"/>
        <v>25</v>
      </c>
      <c r="BN445" s="237">
        <f t="shared" si="536"/>
        <v>39.516666666666666</v>
      </c>
      <c r="BO445" s="253">
        <f t="shared" si="537"/>
        <v>3.877011788826243</v>
      </c>
      <c r="BP445" s="253" cm="1">
        <f t="array" ref="BP445">$BC445 * IF($AD445&lt;=2,
SUMPRODUCT(INDEX($AL$67:$AN$71,,$AE445), INDEX($AO$67:$AU$71,,$AD445), 1 / ($AV$67:$AV$71*BO445 + (1-$AV$67:$AV$71)*BK445), N($AK$67:$AK$71&gt;$AI445)),
SUMPRODUCT(INDEX($AL$57:$AN$66,,$AE445), INDEX($AO$57:$AU$66,,$AD445), 1 / ($AW$57:$AW$66*BO445 + (1-$AW$57:$AW$66)*BK445), N($AK$57:$AK$66&gt;$AI445))
) / 1000</f>
        <v>0</v>
      </c>
      <c r="BQ445" s="250">
        <f t="shared" si="522"/>
        <v>20</v>
      </c>
      <c r="BR445" s="237">
        <f t="shared" si="538"/>
        <v>33</v>
      </c>
      <c r="BS445" s="253">
        <f t="shared" si="539"/>
        <v>4.8487499999999999</v>
      </c>
      <c r="BT445" s="253" cm="1">
        <f t="array" ref="BT445">$BC445 * IF($AD445&lt;=2,
SUMPRODUCT(INDEX($AL$62:$AN$66,,$AE445), INDEX($AO$62:$AU$66,,$AD445), 1 / ($AV$62:$AV$66*BS445 + (1-$AV$62:$AV$66)*BO445), N($AK$62:$AK$66&gt;$AI445)),
SUMPRODUCT(INDEX($AL$47:$AN$56,,$AE445), INDEX($AO$47:$AU$56,,$AD445), 1 / ($AW$47:$AW$56*BS445 + (1-$AW$47:$AW$56)*BO445), N($AK$47:$AK$56&gt;$AI445))
) / 1000</f>
        <v>0</v>
      </c>
      <c r="BU445" s="253" cm="1">
        <f t="array" ref="BU445">$BC445 * IF($AD445&lt;=2,
SUMPRODUCT(INDEX($AL$23:$AN$61,,$AE445), INDEX($AO$23:$AU$61,,$AD445), 1 / ($AV$23:$AV$61*BS445), N($AK$23:$AK$61&gt;$AI445)),
SUMPRODUCT(INDEX($AL$23:$AN$46,,$AE445), INDEX($AO$23:$AU$46,,$AD445), 1 / ($AW$23:$AW$46*BS445), N($AK$23:$AK$46&gt;$AI445))
) / 1000</f>
        <v>0</v>
      </c>
      <c r="BV445" s="237">
        <f t="shared" si="540"/>
        <v>0</v>
      </c>
      <c r="BW445" s="210"/>
      <c r="BX445" s="237">
        <f t="shared" si="541"/>
        <v>0</v>
      </c>
      <c r="BY445" s="236">
        <v>35</v>
      </c>
      <c r="BZ445" s="237">
        <f t="shared" si="542"/>
        <v>48</v>
      </c>
      <c r="CA445" s="253">
        <f t="shared" si="543"/>
        <v>3.0748170731707316</v>
      </c>
      <c r="CB445" s="253" cm="1">
        <f t="array" ref="CB445">$BC445 * SUMPRODUCT(INDEX($AL$77:$AN$82,,$AE445),INDEX($AO$77:$AU$82,,$AD445), N($AK$77:$AK$82&gt;$AI445)) / CA445 / 1000</f>
        <v>0</v>
      </c>
      <c r="CC445" s="250">
        <f t="shared" si="523"/>
        <v>30</v>
      </c>
      <c r="CD445" s="237">
        <f t="shared" si="544"/>
        <v>43</v>
      </c>
      <c r="CE445" s="253">
        <f t="shared" si="545"/>
        <v>3.5018750000000001</v>
      </c>
      <c r="CF445" s="253" cm="1">
        <f t="array" ref="CF445">$BC445 * IF($AD445&lt;=2,
SUMPRODUCT(INDEX($AL$72:$AN$76,,$AE445), INDEX($AO$72:$AU$76,,$AD445), 1 / ($AV$72:$AV$76*CE445 + (1-$AV$72:$AV$76)*CA445), N($AK$72:$AK$76&gt;$AI445)),
SUMPRODUCT(INDEX($AL$67:$AN$76,,$AE445), INDEX($AO$67:$AU$76,,$AD445), 1 / ($AW$67:$AW$76*CE445 + (1-$AW$67:$AW$76)*CA445), N($AK$67:$AK$76&gt;$AI445))
) / 1000</f>
        <v>0</v>
      </c>
      <c r="CG445" s="250">
        <f t="shared" si="524"/>
        <v>25</v>
      </c>
      <c r="CH445" s="237">
        <f t="shared" si="546"/>
        <v>38</v>
      </c>
      <c r="CI445" s="253">
        <f t="shared" si="547"/>
        <v>4.0666935483870965</v>
      </c>
      <c r="CJ445" s="253" cm="1">
        <f t="array" ref="CJ445">$BC445 * IF($AD445&lt;=2,
SUMPRODUCT(INDEX($AL$67:$AN$71,,$AE445), INDEX($AO$67:$AU$71,,$AD445), 1 / ($AV$67:$AV$71*CI445 + (1-$AV$67:$AV$71)*CE445), N($AK$67:$AK$71&gt;$AI445)),
SUMPRODUCT(INDEX($AL$57:$AN$66,,$AE445), INDEX($AO$57:$AU$66,,$AD445), 1 / ($AW$57:$AW$66*CI445 + (1-$AW$57:$AW$66)*CE445), N($AK$57:$AK$66&gt;$AI445))
) / 1000</f>
        <v>0</v>
      </c>
      <c r="CK445" s="250">
        <f t="shared" si="525"/>
        <v>20</v>
      </c>
      <c r="CL445" s="237">
        <f t="shared" si="548"/>
        <v>33</v>
      </c>
      <c r="CM445" s="253">
        <f t="shared" si="549"/>
        <v>4.8487499999999999</v>
      </c>
      <c r="CN445" s="253" cm="1">
        <f t="array" ref="CN445">$BC445 * IF($AD445&lt;=2,
SUMPRODUCT(INDEX($AL$62:$AN$66,,$AE445), INDEX($AO$62:$AU$66,,$AD445), 1 / ($AV$62:$AV$66*CM445 + (1-$AV$62:$AV$66)*CI445), N($AK$62:$AK$66&gt;$AI445)),
SUMPRODUCT(INDEX($AL$47:$AN$56,,$AE445), INDEX($AO$47:$AU$56,,$AD445), 1 / ($AW$47:$AW$56*CM445 + (1-$AW$47:$AW$56)*CI445), N($AK$47:$AK$56&gt;$AI445))
) / 1000</f>
        <v>0</v>
      </c>
      <c r="CO445" s="253" cm="1">
        <f t="array" ref="CO445">$BC445 * IF($AD445&lt;=2,
SUMPRODUCT(INDEX($AL$23:$AN$61,,$AE445), INDEX($AO$23:$AU$61,,$AD445), 1 / ($AV$23:$AV$61*CM445), N($AK$23:$AK$61&gt;$AI445)),
SUMPRODUCT(INDEX($AL$23:$AN$46,,$AE445), INDEX($AO$23:$AU$46,,$AD445), 1 / ($AW$23:$AW$46*CM445), N($AK$23:$AK$46&gt;$AI445))
) / 1000</f>
        <v>0</v>
      </c>
      <c r="CP445" s="237">
        <f t="shared" si="550"/>
        <v>0</v>
      </c>
      <c r="CQ445" s="210"/>
    </row>
    <row r="446" spans="1:95" s="76" customFormat="1" ht="14.25" customHeight="1" x14ac:dyDescent="0.2">
      <c r="A446" s="238" t="b">
        <f t="shared" si="517"/>
        <v>0</v>
      </c>
      <c r="B446" s="239">
        <v>424</v>
      </c>
      <c r="C446" s="258"/>
      <c r="D446" s="258"/>
      <c r="E446" s="240"/>
      <c r="F446" s="241" t="str">
        <f>IF(ISBLANK(E446), "", VLOOKUP(E446, Z!$A$2:$C$4127, 3, FALSE))</f>
        <v/>
      </c>
      <c r="G446" s="242"/>
      <c r="H446" s="242"/>
      <c r="I446" s="243"/>
      <c r="J446" s="244"/>
      <c r="K446" s="259"/>
      <c r="L446" s="260"/>
      <c r="M446" s="247" t="str" cm="1">
        <f t="array" ref="M446">IF($K446&gt;0, INDEX(Clean,1+AG446,$C$1), "")</f>
        <v/>
      </c>
      <c r="N446" s="245"/>
      <c r="O446" s="245"/>
      <c r="P446" s="246"/>
      <c r="Q446" s="248">
        <f t="shared" si="527"/>
        <v>0</v>
      </c>
      <c r="R446" s="247" t="str" cm="1">
        <f t="array" ref="R446">IF($K446&gt;0, INDEX(Clean,1+AH446,$C$1), "")</f>
        <v/>
      </c>
      <c r="S446" s="245"/>
      <c r="T446" s="245"/>
      <c r="U446" s="246"/>
      <c r="V446" s="248">
        <f t="shared" si="528"/>
        <v>0</v>
      </c>
      <c r="W446" s="261"/>
      <c r="X446" s="258"/>
      <c r="Y446" s="240"/>
      <c r="Z446" s="241" t="str">
        <f>IF(ISBLANK(Y446), "", VLOOKUP(Y446, Z!$A$2:$C$4127, 3, FALSE))</f>
        <v/>
      </c>
      <c r="AA446" s="262"/>
      <c r="AB446" s="249">
        <f t="shared" si="526"/>
        <v>0</v>
      </c>
      <c r="AC446" s="210"/>
      <c r="AD446" s="236">
        <f t="shared" si="551"/>
        <v>1</v>
      </c>
      <c r="AE446" s="236">
        <f t="shared" si="552"/>
        <v>1</v>
      </c>
      <c r="AF446" s="236">
        <f t="shared" si="553"/>
        <v>0</v>
      </c>
      <c r="AG446" s="236">
        <v>1</v>
      </c>
      <c r="AH446" s="236">
        <v>0</v>
      </c>
      <c r="AI446" s="236">
        <f t="shared" si="529"/>
        <v>-100</v>
      </c>
      <c r="AJ446" s="210"/>
      <c r="AK446" s="254"/>
      <c r="AL446" s="254"/>
      <c r="AM446" s="255"/>
      <c r="AN446" s="255"/>
      <c r="AO446" s="255"/>
      <c r="AP446" s="255"/>
      <c r="AQ446" s="255"/>
      <c r="AR446" s="255"/>
      <c r="AS446" s="255"/>
      <c r="AT446" s="255"/>
      <c r="AU446" s="255"/>
      <c r="AV446" s="255"/>
      <c r="AW446" s="255"/>
      <c r="AX446" s="210"/>
      <c r="AY446" s="236" cm="1">
        <f t="array" ref="AY446">INDEX(Use, $AD446, 4)</f>
        <v>7</v>
      </c>
      <c r="AZ446" s="236">
        <f t="shared" si="530"/>
        <v>32</v>
      </c>
      <c r="BA446" s="236">
        <f t="shared" si="518"/>
        <v>13</v>
      </c>
      <c r="BB446" s="236">
        <f t="shared" si="519"/>
        <v>0</v>
      </c>
      <c r="BC446" s="252" cm="1">
        <f t="array" ref="BC446">K446/IF($L446&gt;0, INDEX($AO$23:$AU$77, $L446+20, $AD446), 1)</f>
        <v>0</v>
      </c>
      <c r="BD446" s="237">
        <f t="shared" si="531"/>
        <v>0</v>
      </c>
      <c r="BE446" s="236">
        <v>35</v>
      </c>
      <c r="BF446" s="237">
        <f t="shared" si="532"/>
        <v>52.55</v>
      </c>
      <c r="BG446" s="253">
        <f t="shared" si="533"/>
        <v>2.7676728869374316</v>
      </c>
      <c r="BH446" s="253" cm="1">
        <f t="array" ref="BH446">$BC446 * SUMPRODUCT(INDEX($AL$77:$AN$82,,$AE446),INDEX($AO$77:$AU$82,,$AD446), N($AK$77:$AK$82&gt;$AI446)) / BG446 / 1000</f>
        <v>0</v>
      </c>
      <c r="BI446" s="250">
        <f t="shared" si="520"/>
        <v>30</v>
      </c>
      <c r="BJ446" s="237">
        <f t="shared" si="534"/>
        <v>46.033333333333331</v>
      </c>
      <c r="BK446" s="253">
        <f t="shared" si="535"/>
        <v>3.2297395388556791</v>
      </c>
      <c r="BL446" s="253" cm="1">
        <f t="array" ref="BL446">$BC446 * IF($AD446&lt;=2,
SUMPRODUCT(INDEX($AL$72:$AN$76,,$AE446), INDEX($AO$72:$AU$76,,$AD446), 1 / ($AV$72:$AV$76*BK446 + (1-$AV$72:$AV$76)*BG446), N($AK$72:$AK$76&gt;$AI446)),
SUMPRODUCT(INDEX($AL$67:$AN$76,,$AE446), INDEX($AO$67:$AU$76,,$AD446), 1 / ($AW$67:$AW$76*BK446 + (1-$AW$67:$AW$76)*BG446), N($AK$67:$AK$76&gt;$AI446))
) / 1000</f>
        <v>0</v>
      </c>
      <c r="BM446" s="250">
        <f t="shared" si="521"/>
        <v>25</v>
      </c>
      <c r="BN446" s="237">
        <f t="shared" si="536"/>
        <v>39.516666666666666</v>
      </c>
      <c r="BO446" s="253">
        <f t="shared" si="537"/>
        <v>3.877011788826243</v>
      </c>
      <c r="BP446" s="253" cm="1">
        <f t="array" ref="BP446">$BC446 * IF($AD446&lt;=2,
SUMPRODUCT(INDEX($AL$67:$AN$71,,$AE446), INDEX($AO$67:$AU$71,,$AD446), 1 / ($AV$67:$AV$71*BO446 + (1-$AV$67:$AV$71)*BK446), N($AK$67:$AK$71&gt;$AI446)),
SUMPRODUCT(INDEX($AL$57:$AN$66,,$AE446), INDEX($AO$57:$AU$66,,$AD446), 1 / ($AW$57:$AW$66*BO446 + (1-$AW$57:$AW$66)*BK446), N($AK$57:$AK$66&gt;$AI446))
) / 1000</f>
        <v>0</v>
      </c>
      <c r="BQ446" s="250">
        <f t="shared" si="522"/>
        <v>20</v>
      </c>
      <c r="BR446" s="237">
        <f t="shared" si="538"/>
        <v>33</v>
      </c>
      <c r="BS446" s="253">
        <f t="shared" si="539"/>
        <v>4.8487499999999999</v>
      </c>
      <c r="BT446" s="253" cm="1">
        <f t="array" ref="BT446">$BC446 * IF($AD446&lt;=2,
SUMPRODUCT(INDEX($AL$62:$AN$66,,$AE446), INDEX($AO$62:$AU$66,,$AD446), 1 / ($AV$62:$AV$66*BS446 + (1-$AV$62:$AV$66)*BO446), N($AK$62:$AK$66&gt;$AI446)),
SUMPRODUCT(INDEX($AL$47:$AN$56,,$AE446), INDEX($AO$47:$AU$56,,$AD446), 1 / ($AW$47:$AW$56*BS446 + (1-$AW$47:$AW$56)*BO446), N($AK$47:$AK$56&gt;$AI446))
) / 1000</f>
        <v>0</v>
      </c>
      <c r="BU446" s="253" cm="1">
        <f t="array" ref="BU446">$BC446 * IF($AD446&lt;=2,
SUMPRODUCT(INDEX($AL$23:$AN$61,,$AE446), INDEX($AO$23:$AU$61,,$AD446), 1 / ($AV$23:$AV$61*BS446), N($AK$23:$AK$61&gt;$AI446)),
SUMPRODUCT(INDEX($AL$23:$AN$46,,$AE446), INDEX($AO$23:$AU$46,,$AD446), 1 / ($AW$23:$AW$46*BS446), N($AK$23:$AK$46&gt;$AI446))
) / 1000</f>
        <v>0</v>
      </c>
      <c r="BV446" s="237">
        <f t="shared" si="540"/>
        <v>0</v>
      </c>
      <c r="BW446" s="210"/>
      <c r="BX446" s="237">
        <f t="shared" si="541"/>
        <v>0</v>
      </c>
      <c r="BY446" s="236">
        <v>35</v>
      </c>
      <c r="BZ446" s="237">
        <f t="shared" si="542"/>
        <v>48</v>
      </c>
      <c r="CA446" s="253">
        <f t="shared" si="543"/>
        <v>3.0748170731707316</v>
      </c>
      <c r="CB446" s="253" cm="1">
        <f t="array" ref="CB446">$BC446 * SUMPRODUCT(INDEX($AL$77:$AN$82,,$AE446),INDEX($AO$77:$AU$82,,$AD446), N($AK$77:$AK$82&gt;$AI446)) / CA446 / 1000</f>
        <v>0</v>
      </c>
      <c r="CC446" s="250">
        <f t="shared" si="523"/>
        <v>30</v>
      </c>
      <c r="CD446" s="237">
        <f t="shared" si="544"/>
        <v>43</v>
      </c>
      <c r="CE446" s="253">
        <f t="shared" si="545"/>
        <v>3.5018750000000001</v>
      </c>
      <c r="CF446" s="253" cm="1">
        <f t="array" ref="CF446">$BC446 * IF($AD446&lt;=2,
SUMPRODUCT(INDEX($AL$72:$AN$76,,$AE446), INDEX($AO$72:$AU$76,,$AD446), 1 / ($AV$72:$AV$76*CE446 + (1-$AV$72:$AV$76)*CA446), N($AK$72:$AK$76&gt;$AI446)),
SUMPRODUCT(INDEX($AL$67:$AN$76,,$AE446), INDEX($AO$67:$AU$76,,$AD446), 1 / ($AW$67:$AW$76*CE446 + (1-$AW$67:$AW$76)*CA446), N($AK$67:$AK$76&gt;$AI446))
) / 1000</f>
        <v>0</v>
      </c>
      <c r="CG446" s="250">
        <f t="shared" si="524"/>
        <v>25</v>
      </c>
      <c r="CH446" s="237">
        <f t="shared" si="546"/>
        <v>38</v>
      </c>
      <c r="CI446" s="253">
        <f t="shared" si="547"/>
        <v>4.0666935483870965</v>
      </c>
      <c r="CJ446" s="253" cm="1">
        <f t="array" ref="CJ446">$BC446 * IF($AD446&lt;=2,
SUMPRODUCT(INDEX($AL$67:$AN$71,,$AE446), INDEX($AO$67:$AU$71,,$AD446), 1 / ($AV$67:$AV$71*CI446 + (1-$AV$67:$AV$71)*CE446), N($AK$67:$AK$71&gt;$AI446)),
SUMPRODUCT(INDEX($AL$57:$AN$66,,$AE446), INDEX($AO$57:$AU$66,,$AD446), 1 / ($AW$57:$AW$66*CI446 + (1-$AW$57:$AW$66)*CE446), N($AK$57:$AK$66&gt;$AI446))
) / 1000</f>
        <v>0</v>
      </c>
      <c r="CK446" s="250">
        <f t="shared" si="525"/>
        <v>20</v>
      </c>
      <c r="CL446" s="237">
        <f t="shared" si="548"/>
        <v>33</v>
      </c>
      <c r="CM446" s="253">
        <f t="shared" si="549"/>
        <v>4.8487499999999999</v>
      </c>
      <c r="CN446" s="253" cm="1">
        <f t="array" ref="CN446">$BC446 * IF($AD446&lt;=2,
SUMPRODUCT(INDEX($AL$62:$AN$66,,$AE446), INDEX($AO$62:$AU$66,,$AD446), 1 / ($AV$62:$AV$66*CM446 + (1-$AV$62:$AV$66)*CI446), N($AK$62:$AK$66&gt;$AI446)),
SUMPRODUCT(INDEX($AL$47:$AN$56,,$AE446), INDEX($AO$47:$AU$56,,$AD446), 1 / ($AW$47:$AW$56*CM446 + (1-$AW$47:$AW$56)*CI446), N($AK$47:$AK$56&gt;$AI446))
) / 1000</f>
        <v>0</v>
      </c>
      <c r="CO446" s="253" cm="1">
        <f t="array" ref="CO446">$BC446 * IF($AD446&lt;=2,
SUMPRODUCT(INDEX($AL$23:$AN$61,,$AE446), INDEX($AO$23:$AU$61,,$AD446), 1 / ($AV$23:$AV$61*CM446), N($AK$23:$AK$61&gt;$AI446)),
SUMPRODUCT(INDEX($AL$23:$AN$46,,$AE446), INDEX($AO$23:$AU$46,,$AD446), 1 / ($AW$23:$AW$46*CM446), N($AK$23:$AK$46&gt;$AI446))
) / 1000</f>
        <v>0</v>
      </c>
      <c r="CP446" s="237">
        <f t="shared" si="550"/>
        <v>0</v>
      </c>
      <c r="CQ446" s="210"/>
    </row>
    <row r="447" spans="1:95" s="76" customFormat="1" ht="14.25" customHeight="1" x14ac:dyDescent="0.2">
      <c r="A447" s="238" t="b">
        <f t="shared" si="517"/>
        <v>0</v>
      </c>
      <c r="B447" s="239">
        <v>425</v>
      </c>
      <c r="C447" s="258"/>
      <c r="D447" s="258"/>
      <c r="E447" s="240"/>
      <c r="F447" s="241" t="str">
        <f>IF(ISBLANK(E447), "", VLOOKUP(E447, Z!$A$2:$C$4127, 3, FALSE))</f>
        <v/>
      </c>
      <c r="G447" s="242"/>
      <c r="H447" s="242"/>
      <c r="I447" s="243"/>
      <c r="J447" s="244"/>
      <c r="K447" s="259"/>
      <c r="L447" s="260"/>
      <c r="M447" s="247" t="str" cm="1">
        <f t="array" ref="M447">IF($K447&gt;0, INDEX(Clean,1+AG447,$C$1), "")</f>
        <v/>
      </c>
      <c r="N447" s="245"/>
      <c r="O447" s="245"/>
      <c r="P447" s="246"/>
      <c r="Q447" s="248">
        <f t="shared" si="527"/>
        <v>0</v>
      </c>
      <c r="R447" s="247" t="str" cm="1">
        <f t="array" ref="R447">IF($K447&gt;0, INDEX(Clean,1+AH447,$C$1), "")</f>
        <v/>
      </c>
      <c r="S447" s="245"/>
      <c r="T447" s="245"/>
      <c r="U447" s="246"/>
      <c r="V447" s="248">
        <f t="shared" si="528"/>
        <v>0</v>
      </c>
      <c r="W447" s="261"/>
      <c r="X447" s="258"/>
      <c r="Y447" s="240"/>
      <c r="Z447" s="241" t="str">
        <f>IF(ISBLANK(Y447), "", VLOOKUP(Y447, Z!$A$2:$C$4127, 3, FALSE))</f>
        <v/>
      </c>
      <c r="AA447" s="262"/>
      <c r="AB447" s="249">
        <f t="shared" si="526"/>
        <v>0</v>
      </c>
      <c r="AC447" s="210"/>
      <c r="AD447" s="236">
        <f t="shared" si="551"/>
        <v>1</v>
      </c>
      <c r="AE447" s="236">
        <f t="shared" si="552"/>
        <v>1</v>
      </c>
      <c r="AF447" s="236">
        <f t="shared" si="553"/>
        <v>0</v>
      </c>
      <c r="AG447" s="236">
        <v>1</v>
      </c>
      <c r="AH447" s="236">
        <v>0</v>
      </c>
      <c r="AI447" s="236">
        <f t="shared" si="529"/>
        <v>-100</v>
      </c>
      <c r="AJ447" s="210"/>
      <c r="AK447" s="254"/>
      <c r="AL447" s="254"/>
      <c r="AM447" s="255"/>
      <c r="AN447" s="255"/>
      <c r="AO447" s="255"/>
      <c r="AP447" s="255"/>
      <c r="AQ447" s="255"/>
      <c r="AR447" s="255"/>
      <c r="AS447" s="255"/>
      <c r="AT447" s="255"/>
      <c r="AU447" s="255"/>
      <c r="AV447" s="255"/>
      <c r="AW447" s="255"/>
      <c r="AX447" s="210"/>
      <c r="AY447" s="236" cm="1">
        <f t="array" ref="AY447">INDEX(Use, $AD447, 4)</f>
        <v>7</v>
      </c>
      <c r="AZ447" s="236">
        <f t="shared" si="530"/>
        <v>32</v>
      </c>
      <c r="BA447" s="236">
        <f t="shared" si="518"/>
        <v>13</v>
      </c>
      <c r="BB447" s="236">
        <f t="shared" si="519"/>
        <v>0</v>
      </c>
      <c r="BC447" s="252" cm="1">
        <f t="array" ref="BC447">K447/IF($L447&gt;0, INDEX($AO$23:$AU$77, $L447+20, $AD447), 1)</f>
        <v>0</v>
      </c>
      <c r="BD447" s="237">
        <f t="shared" si="531"/>
        <v>0</v>
      </c>
      <c r="BE447" s="236">
        <v>35</v>
      </c>
      <c r="BF447" s="237">
        <f t="shared" si="532"/>
        <v>52.55</v>
      </c>
      <c r="BG447" s="253">
        <f t="shared" si="533"/>
        <v>2.7676728869374316</v>
      </c>
      <c r="BH447" s="253" cm="1">
        <f t="array" ref="BH447">$BC447 * SUMPRODUCT(INDEX($AL$77:$AN$82,,$AE447),INDEX($AO$77:$AU$82,,$AD447), N($AK$77:$AK$82&gt;$AI447)) / BG447 / 1000</f>
        <v>0</v>
      </c>
      <c r="BI447" s="250">
        <f t="shared" si="520"/>
        <v>30</v>
      </c>
      <c r="BJ447" s="237">
        <f t="shared" si="534"/>
        <v>46.033333333333331</v>
      </c>
      <c r="BK447" s="253">
        <f t="shared" si="535"/>
        <v>3.2297395388556791</v>
      </c>
      <c r="BL447" s="253" cm="1">
        <f t="array" ref="BL447">$BC447 * IF($AD447&lt;=2,
SUMPRODUCT(INDEX($AL$72:$AN$76,,$AE447), INDEX($AO$72:$AU$76,,$AD447), 1 / ($AV$72:$AV$76*BK447 + (1-$AV$72:$AV$76)*BG447), N($AK$72:$AK$76&gt;$AI447)),
SUMPRODUCT(INDEX($AL$67:$AN$76,,$AE447), INDEX($AO$67:$AU$76,,$AD447), 1 / ($AW$67:$AW$76*BK447 + (1-$AW$67:$AW$76)*BG447), N($AK$67:$AK$76&gt;$AI447))
) / 1000</f>
        <v>0</v>
      </c>
      <c r="BM447" s="250">
        <f t="shared" si="521"/>
        <v>25</v>
      </c>
      <c r="BN447" s="237">
        <f t="shared" si="536"/>
        <v>39.516666666666666</v>
      </c>
      <c r="BO447" s="253">
        <f t="shared" si="537"/>
        <v>3.877011788826243</v>
      </c>
      <c r="BP447" s="253" cm="1">
        <f t="array" ref="BP447">$BC447 * IF($AD447&lt;=2,
SUMPRODUCT(INDEX($AL$67:$AN$71,,$AE447), INDEX($AO$67:$AU$71,,$AD447), 1 / ($AV$67:$AV$71*BO447 + (1-$AV$67:$AV$71)*BK447), N($AK$67:$AK$71&gt;$AI447)),
SUMPRODUCT(INDEX($AL$57:$AN$66,,$AE447), INDEX($AO$57:$AU$66,,$AD447), 1 / ($AW$57:$AW$66*BO447 + (1-$AW$57:$AW$66)*BK447), N($AK$57:$AK$66&gt;$AI447))
) / 1000</f>
        <v>0</v>
      </c>
      <c r="BQ447" s="250">
        <f t="shared" si="522"/>
        <v>20</v>
      </c>
      <c r="BR447" s="237">
        <f t="shared" si="538"/>
        <v>33</v>
      </c>
      <c r="BS447" s="253">
        <f t="shared" si="539"/>
        <v>4.8487499999999999</v>
      </c>
      <c r="BT447" s="253" cm="1">
        <f t="array" ref="BT447">$BC447 * IF($AD447&lt;=2,
SUMPRODUCT(INDEX($AL$62:$AN$66,,$AE447), INDEX($AO$62:$AU$66,,$AD447), 1 / ($AV$62:$AV$66*BS447 + (1-$AV$62:$AV$66)*BO447), N($AK$62:$AK$66&gt;$AI447)),
SUMPRODUCT(INDEX($AL$47:$AN$56,,$AE447), INDEX($AO$47:$AU$56,,$AD447), 1 / ($AW$47:$AW$56*BS447 + (1-$AW$47:$AW$56)*BO447), N($AK$47:$AK$56&gt;$AI447))
) / 1000</f>
        <v>0</v>
      </c>
      <c r="BU447" s="253" cm="1">
        <f t="array" ref="BU447">$BC447 * IF($AD447&lt;=2,
SUMPRODUCT(INDEX($AL$23:$AN$61,,$AE447), INDEX($AO$23:$AU$61,,$AD447), 1 / ($AV$23:$AV$61*BS447), N($AK$23:$AK$61&gt;$AI447)),
SUMPRODUCT(INDEX($AL$23:$AN$46,,$AE447), INDEX($AO$23:$AU$46,,$AD447), 1 / ($AW$23:$AW$46*BS447), N($AK$23:$AK$46&gt;$AI447))
) / 1000</f>
        <v>0</v>
      </c>
      <c r="BV447" s="237">
        <f t="shared" si="540"/>
        <v>0</v>
      </c>
      <c r="BW447" s="210"/>
      <c r="BX447" s="237">
        <f t="shared" si="541"/>
        <v>0</v>
      </c>
      <c r="BY447" s="236">
        <v>35</v>
      </c>
      <c r="BZ447" s="237">
        <f t="shared" si="542"/>
        <v>48</v>
      </c>
      <c r="CA447" s="253">
        <f t="shared" si="543"/>
        <v>3.0748170731707316</v>
      </c>
      <c r="CB447" s="253" cm="1">
        <f t="array" ref="CB447">$BC447 * SUMPRODUCT(INDEX($AL$77:$AN$82,,$AE447),INDEX($AO$77:$AU$82,,$AD447), N($AK$77:$AK$82&gt;$AI447)) / CA447 / 1000</f>
        <v>0</v>
      </c>
      <c r="CC447" s="250">
        <f t="shared" si="523"/>
        <v>30</v>
      </c>
      <c r="CD447" s="237">
        <f t="shared" si="544"/>
        <v>43</v>
      </c>
      <c r="CE447" s="253">
        <f t="shared" si="545"/>
        <v>3.5018750000000001</v>
      </c>
      <c r="CF447" s="253" cm="1">
        <f t="array" ref="CF447">$BC447 * IF($AD447&lt;=2,
SUMPRODUCT(INDEX($AL$72:$AN$76,,$AE447), INDEX($AO$72:$AU$76,,$AD447), 1 / ($AV$72:$AV$76*CE447 + (1-$AV$72:$AV$76)*CA447), N($AK$72:$AK$76&gt;$AI447)),
SUMPRODUCT(INDEX($AL$67:$AN$76,,$AE447), INDEX($AO$67:$AU$76,,$AD447), 1 / ($AW$67:$AW$76*CE447 + (1-$AW$67:$AW$76)*CA447), N($AK$67:$AK$76&gt;$AI447))
) / 1000</f>
        <v>0</v>
      </c>
      <c r="CG447" s="250">
        <f t="shared" si="524"/>
        <v>25</v>
      </c>
      <c r="CH447" s="237">
        <f t="shared" si="546"/>
        <v>38</v>
      </c>
      <c r="CI447" s="253">
        <f t="shared" si="547"/>
        <v>4.0666935483870965</v>
      </c>
      <c r="CJ447" s="253" cm="1">
        <f t="array" ref="CJ447">$BC447 * IF($AD447&lt;=2,
SUMPRODUCT(INDEX($AL$67:$AN$71,,$AE447), INDEX($AO$67:$AU$71,,$AD447), 1 / ($AV$67:$AV$71*CI447 + (1-$AV$67:$AV$71)*CE447), N($AK$67:$AK$71&gt;$AI447)),
SUMPRODUCT(INDEX($AL$57:$AN$66,,$AE447), INDEX($AO$57:$AU$66,,$AD447), 1 / ($AW$57:$AW$66*CI447 + (1-$AW$57:$AW$66)*CE447), N($AK$57:$AK$66&gt;$AI447))
) / 1000</f>
        <v>0</v>
      </c>
      <c r="CK447" s="250">
        <f t="shared" si="525"/>
        <v>20</v>
      </c>
      <c r="CL447" s="237">
        <f t="shared" si="548"/>
        <v>33</v>
      </c>
      <c r="CM447" s="253">
        <f t="shared" si="549"/>
        <v>4.8487499999999999</v>
      </c>
      <c r="CN447" s="253" cm="1">
        <f t="array" ref="CN447">$BC447 * IF($AD447&lt;=2,
SUMPRODUCT(INDEX($AL$62:$AN$66,,$AE447), INDEX($AO$62:$AU$66,,$AD447), 1 / ($AV$62:$AV$66*CM447 + (1-$AV$62:$AV$66)*CI447), N($AK$62:$AK$66&gt;$AI447)),
SUMPRODUCT(INDEX($AL$47:$AN$56,,$AE447), INDEX($AO$47:$AU$56,,$AD447), 1 / ($AW$47:$AW$56*CM447 + (1-$AW$47:$AW$56)*CI447), N($AK$47:$AK$56&gt;$AI447))
) / 1000</f>
        <v>0</v>
      </c>
      <c r="CO447" s="253" cm="1">
        <f t="array" ref="CO447">$BC447 * IF($AD447&lt;=2,
SUMPRODUCT(INDEX($AL$23:$AN$61,,$AE447), INDEX($AO$23:$AU$61,,$AD447), 1 / ($AV$23:$AV$61*CM447), N($AK$23:$AK$61&gt;$AI447)),
SUMPRODUCT(INDEX($AL$23:$AN$46,,$AE447), INDEX($AO$23:$AU$46,,$AD447), 1 / ($AW$23:$AW$46*CM447), N($AK$23:$AK$46&gt;$AI447))
) / 1000</f>
        <v>0</v>
      </c>
      <c r="CP447" s="237">
        <f t="shared" si="550"/>
        <v>0</v>
      </c>
      <c r="CQ447" s="210"/>
    </row>
    <row r="448" spans="1:95" s="76" customFormat="1" ht="14.25" customHeight="1" x14ac:dyDescent="0.2">
      <c r="A448" s="238" t="b">
        <f t="shared" si="517"/>
        <v>0</v>
      </c>
      <c r="B448" s="239">
        <v>426</v>
      </c>
      <c r="C448" s="258"/>
      <c r="D448" s="258"/>
      <c r="E448" s="240"/>
      <c r="F448" s="241" t="str">
        <f>IF(ISBLANK(E448), "", VLOOKUP(E448, Z!$A$2:$C$4127, 3, FALSE))</f>
        <v/>
      </c>
      <c r="G448" s="242"/>
      <c r="H448" s="242"/>
      <c r="I448" s="243"/>
      <c r="J448" s="244"/>
      <c r="K448" s="259"/>
      <c r="L448" s="260"/>
      <c r="M448" s="247" t="str" cm="1">
        <f t="array" ref="M448">IF($K448&gt;0, INDEX(Clean,1+AG448,$C$1), "")</f>
        <v/>
      </c>
      <c r="N448" s="245"/>
      <c r="O448" s="245"/>
      <c r="P448" s="246"/>
      <c r="Q448" s="248">
        <f t="shared" si="527"/>
        <v>0</v>
      </c>
      <c r="R448" s="247" t="str" cm="1">
        <f t="array" ref="R448">IF($K448&gt;0, INDEX(Clean,1+AH448,$C$1), "")</f>
        <v/>
      </c>
      <c r="S448" s="245"/>
      <c r="T448" s="245"/>
      <c r="U448" s="246"/>
      <c r="V448" s="248">
        <f t="shared" si="528"/>
        <v>0</v>
      </c>
      <c r="W448" s="261"/>
      <c r="X448" s="258"/>
      <c r="Y448" s="240"/>
      <c r="Z448" s="241" t="str">
        <f>IF(ISBLANK(Y448), "", VLOOKUP(Y448, Z!$A$2:$C$4127, 3, FALSE))</f>
        <v/>
      </c>
      <c r="AA448" s="262"/>
      <c r="AB448" s="249">
        <f t="shared" si="526"/>
        <v>0</v>
      </c>
      <c r="AC448" s="210"/>
      <c r="AD448" s="236">
        <f t="shared" si="551"/>
        <v>1</v>
      </c>
      <c r="AE448" s="236">
        <f t="shared" si="552"/>
        <v>1</v>
      </c>
      <c r="AF448" s="236">
        <f t="shared" si="553"/>
        <v>0</v>
      </c>
      <c r="AG448" s="236">
        <v>1</v>
      </c>
      <c r="AH448" s="236">
        <v>0</v>
      </c>
      <c r="AI448" s="236">
        <f t="shared" si="529"/>
        <v>-100</v>
      </c>
      <c r="AJ448" s="210"/>
      <c r="AK448" s="254"/>
      <c r="AL448" s="254"/>
      <c r="AM448" s="255"/>
      <c r="AN448" s="255"/>
      <c r="AO448" s="255"/>
      <c r="AP448" s="255"/>
      <c r="AQ448" s="255"/>
      <c r="AR448" s="255"/>
      <c r="AS448" s="255"/>
      <c r="AT448" s="255"/>
      <c r="AU448" s="255"/>
      <c r="AV448" s="255"/>
      <c r="AW448" s="255"/>
      <c r="AX448" s="210"/>
      <c r="AY448" s="236" cm="1">
        <f t="array" ref="AY448">INDEX(Use, $AD448, 4)</f>
        <v>7</v>
      </c>
      <c r="AZ448" s="236">
        <f t="shared" si="530"/>
        <v>32</v>
      </c>
      <c r="BA448" s="236">
        <f t="shared" si="518"/>
        <v>13</v>
      </c>
      <c r="BB448" s="236">
        <f t="shared" si="519"/>
        <v>0</v>
      </c>
      <c r="BC448" s="252" cm="1">
        <f t="array" ref="BC448">K448/IF($L448&gt;0, INDEX($AO$23:$AU$77, $L448+20, $AD448), 1)</f>
        <v>0</v>
      </c>
      <c r="BD448" s="237">
        <f t="shared" si="531"/>
        <v>0</v>
      </c>
      <c r="BE448" s="236">
        <v>35</v>
      </c>
      <c r="BF448" s="237">
        <f t="shared" si="532"/>
        <v>52.55</v>
      </c>
      <c r="BG448" s="253">
        <f t="shared" si="533"/>
        <v>2.7676728869374316</v>
      </c>
      <c r="BH448" s="253" cm="1">
        <f t="array" ref="BH448">$BC448 * SUMPRODUCT(INDEX($AL$77:$AN$82,,$AE448),INDEX($AO$77:$AU$82,,$AD448), N($AK$77:$AK$82&gt;$AI448)) / BG448 / 1000</f>
        <v>0</v>
      </c>
      <c r="BI448" s="250">
        <f t="shared" si="520"/>
        <v>30</v>
      </c>
      <c r="BJ448" s="237">
        <f t="shared" si="534"/>
        <v>46.033333333333331</v>
      </c>
      <c r="BK448" s="253">
        <f t="shared" si="535"/>
        <v>3.2297395388556791</v>
      </c>
      <c r="BL448" s="253" cm="1">
        <f t="array" ref="BL448">$BC448 * IF($AD448&lt;=2,
SUMPRODUCT(INDEX($AL$72:$AN$76,,$AE448), INDEX($AO$72:$AU$76,,$AD448), 1 / ($AV$72:$AV$76*BK448 + (1-$AV$72:$AV$76)*BG448), N($AK$72:$AK$76&gt;$AI448)),
SUMPRODUCT(INDEX($AL$67:$AN$76,,$AE448), INDEX($AO$67:$AU$76,,$AD448), 1 / ($AW$67:$AW$76*BK448 + (1-$AW$67:$AW$76)*BG448), N($AK$67:$AK$76&gt;$AI448))
) / 1000</f>
        <v>0</v>
      </c>
      <c r="BM448" s="250">
        <f t="shared" si="521"/>
        <v>25</v>
      </c>
      <c r="BN448" s="237">
        <f t="shared" si="536"/>
        <v>39.516666666666666</v>
      </c>
      <c r="BO448" s="253">
        <f t="shared" si="537"/>
        <v>3.877011788826243</v>
      </c>
      <c r="BP448" s="253" cm="1">
        <f t="array" ref="BP448">$BC448 * IF($AD448&lt;=2,
SUMPRODUCT(INDEX($AL$67:$AN$71,,$AE448), INDEX($AO$67:$AU$71,,$AD448), 1 / ($AV$67:$AV$71*BO448 + (1-$AV$67:$AV$71)*BK448), N($AK$67:$AK$71&gt;$AI448)),
SUMPRODUCT(INDEX($AL$57:$AN$66,,$AE448), INDEX($AO$57:$AU$66,,$AD448), 1 / ($AW$57:$AW$66*BO448 + (1-$AW$57:$AW$66)*BK448), N($AK$57:$AK$66&gt;$AI448))
) / 1000</f>
        <v>0</v>
      </c>
      <c r="BQ448" s="250">
        <f t="shared" si="522"/>
        <v>20</v>
      </c>
      <c r="BR448" s="237">
        <f t="shared" si="538"/>
        <v>33</v>
      </c>
      <c r="BS448" s="253">
        <f t="shared" si="539"/>
        <v>4.8487499999999999</v>
      </c>
      <c r="BT448" s="253" cm="1">
        <f t="array" ref="BT448">$BC448 * IF($AD448&lt;=2,
SUMPRODUCT(INDEX($AL$62:$AN$66,,$AE448), INDEX($AO$62:$AU$66,,$AD448), 1 / ($AV$62:$AV$66*BS448 + (1-$AV$62:$AV$66)*BO448), N($AK$62:$AK$66&gt;$AI448)),
SUMPRODUCT(INDEX($AL$47:$AN$56,,$AE448), INDEX($AO$47:$AU$56,,$AD448), 1 / ($AW$47:$AW$56*BS448 + (1-$AW$47:$AW$56)*BO448), N($AK$47:$AK$56&gt;$AI448))
) / 1000</f>
        <v>0</v>
      </c>
      <c r="BU448" s="253" cm="1">
        <f t="array" ref="BU448">$BC448 * IF($AD448&lt;=2,
SUMPRODUCT(INDEX($AL$23:$AN$61,,$AE448), INDEX($AO$23:$AU$61,,$AD448), 1 / ($AV$23:$AV$61*BS448), N($AK$23:$AK$61&gt;$AI448)),
SUMPRODUCT(INDEX($AL$23:$AN$46,,$AE448), INDEX($AO$23:$AU$46,,$AD448), 1 / ($AW$23:$AW$46*BS448), N($AK$23:$AK$46&gt;$AI448))
) / 1000</f>
        <v>0</v>
      </c>
      <c r="BV448" s="237">
        <f t="shared" si="540"/>
        <v>0</v>
      </c>
      <c r="BW448" s="210"/>
      <c r="BX448" s="237">
        <f t="shared" si="541"/>
        <v>0</v>
      </c>
      <c r="BY448" s="236">
        <v>35</v>
      </c>
      <c r="BZ448" s="237">
        <f t="shared" si="542"/>
        <v>48</v>
      </c>
      <c r="CA448" s="253">
        <f t="shared" si="543"/>
        <v>3.0748170731707316</v>
      </c>
      <c r="CB448" s="253" cm="1">
        <f t="array" ref="CB448">$BC448 * SUMPRODUCT(INDEX($AL$77:$AN$82,,$AE448),INDEX($AO$77:$AU$82,,$AD448), N($AK$77:$AK$82&gt;$AI448)) / CA448 / 1000</f>
        <v>0</v>
      </c>
      <c r="CC448" s="250">
        <f t="shared" si="523"/>
        <v>30</v>
      </c>
      <c r="CD448" s="237">
        <f t="shared" si="544"/>
        <v>43</v>
      </c>
      <c r="CE448" s="253">
        <f t="shared" si="545"/>
        <v>3.5018750000000001</v>
      </c>
      <c r="CF448" s="253" cm="1">
        <f t="array" ref="CF448">$BC448 * IF($AD448&lt;=2,
SUMPRODUCT(INDEX($AL$72:$AN$76,,$AE448), INDEX($AO$72:$AU$76,,$AD448), 1 / ($AV$72:$AV$76*CE448 + (1-$AV$72:$AV$76)*CA448), N($AK$72:$AK$76&gt;$AI448)),
SUMPRODUCT(INDEX($AL$67:$AN$76,,$AE448), INDEX($AO$67:$AU$76,,$AD448), 1 / ($AW$67:$AW$76*CE448 + (1-$AW$67:$AW$76)*CA448), N($AK$67:$AK$76&gt;$AI448))
) / 1000</f>
        <v>0</v>
      </c>
      <c r="CG448" s="250">
        <f t="shared" si="524"/>
        <v>25</v>
      </c>
      <c r="CH448" s="237">
        <f t="shared" si="546"/>
        <v>38</v>
      </c>
      <c r="CI448" s="253">
        <f t="shared" si="547"/>
        <v>4.0666935483870965</v>
      </c>
      <c r="CJ448" s="253" cm="1">
        <f t="array" ref="CJ448">$BC448 * IF($AD448&lt;=2,
SUMPRODUCT(INDEX($AL$67:$AN$71,,$AE448), INDEX($AO$67:$AU$71,,$AD448), 1 / ($AV$67:$AV$71*CI448 + (1-$AV$67:$AV$71)*CE448), N($AK$67:$AK$71&gt;$AI448)),
SUMPRODUCT(INDEX($AL$57:$AN$66,,$AE448), INDEX($AO$57:$AU$66,,$AD448), 1 / ($AW$57:$AW$66*CI448 + (1-$AW$57:$AW$66)*CE448), N($AK$57:$AK$66&gt;$AI448))
) / 1000</f>
        <v>0</v>
      </c>
      <c r="CK448" s="250">
        <f t="shared" si="525"/>
        <v>20</v>
      </c>
      <c r="CL448" s="237">
        <f t="shared" si="548"/>
        <v>33</v>
      </c>
      <c r="CM448" s="253">
        <f t="shared" si="549"/>
        <v>4.8487499999999999</v>
      </c>
      <c r="CN448" s="253" cm="1">
        <f t="array" ref="CN448">$BC448 * IF($AD448&lt;=2,
SUMPRODUCT(INDEX($AL$62:$AN$66,,$AE448), INDEX($AO$62:$AU$66,,$AD448), 1 / ($AV$62:$AV$66*CM448 + (1-$AV$62:$AV$66)*CI448), N($AK$62:$AK$66&gt;$AI448)),
SUMPRODUCT(INDEX($AL$47:$AN$56,,$AE448), INDEX($AO$47:$AU$56,,$AD448), 1 / ($AW$47:$AW$56*CM448 + (1-$AW$47:$AW$56)*CI448), N($AK$47:$AK$56&gt;$AI448))
) / 1000</f>
        <v>0</v>
      </c>
      <c r="CO448" s="253" cm="1">
        <f t="array" ref="CO448">$BC448 * IF($AD448&lt;=2,
SUMPRODUCT(INDEX($AL$23:$AN$61,,$AE448), INDEX($AO$23:$AU$61,,$AD448), 1 / ($AV$23:$AV$61*CM448), N($AK$23:$AK$61&gt;$AI448)),
SUMPRODUCT(INDEX($AL$23:$AN$46,,$AE448), INDEX($AO$23:$AU$46,,$AD448), 1 / ($AW$23:$AW$46*CM448), N($AK$23:$AK$46&gt;$AI448))
) / 1000</f>
        <v>0</v>
      </c>
      <c r="CP448" s="237">
        <f t="shared" si="550"/>
        <v>0</v>
      </c>
      <c r="CQ448" s="210"/>
    </row>
    <row r="449" spans="1:95" s="76" customFormat="1" ht="14.25" customHeight="1" x14ac:dyDescent="0.2">
      <c r="A449" s="238" t="b">
        <f t="shared" si="517"/>
        <v>0</v>
      </c>
      <c r="B449" s="239">
        <v>427</v>
      </c>
      <c r="C449" s="258"/>
      <c r="D449" s="258"/>
      <c r="E449" s="240"/>
      <c r="F449" s="241" t="str">
        <f>IF(ISBLANK(E449), "", VLOOKUP(E449, Z!$A$2:$C$4127, 3, FALSE))</f>
        <v/>
      </c>
      <c r="G449" s="242"/>
      <c r="H449" s="242"/>
      <c r="I449" s="243"/>
      <c r="J449" s="244"/>
      <c r="K449" s="259"/>
      <c r="L449" s="260"/>
      <c r="M449" s="247" t="str" cm="1">
        <f t="array" ref="M449">IF($K449&gt;0, INDEX(Clean,1+AG449,$C$1), "")</f>
        <v/>
      </c>
      <c r="N449" s="245"/>
      <c r="O449" s="245"/>
      <c r="P449" s="246"/>
      <c r="Q449" s="248">
        <f t="shared" si="527"/>
        <v>0</v>
      </c>
      <c r="R449" s="247" t="str" cm="1">
        <f t="array" ref="R449">IF($K449&gt;0, INDEX(Clean,1+AH449,$C$1), "")</f>
        <v/>
      </c>
      <c r="S449" s="245"/>
      <c r="T449" s="245"/>
      <c r="U449" s="246"/>
      <c r="V449" s="248">
        <f t="shared" si="528"/>
        <v>0</v>
      </c>
      <c r="W449" s="261"/>
      <c r="X449" s="258"/>
      <c r="Y449" s="240"/>
      <c r="Z449" s="241" t="str">
        <f>IF(ISBLANK(Y449), "", VLOOKUP(Y449, Z!$A$2:$C$4127, 3, FALSE))</f>
        <v/>
      </c>
      <c r="AA449" s="262"/>
      <c r="AB449" s="249">
        <f t="shared" si="526"/>
        <v>0</v>
      </c>
      <c r="AC449" s="210"/>
      <c r="AD449" s="236">
        <f t="shared" si="551"/>
        <v>1</v>
      </c>
      <c r="AE449" s="236">
        <f t="shared" si="552"/>
        <v>1</v>
      </c>
      <c r="AF449" s="236">
        <f t="shared" si="553"/>
        <v>0</v>
      </c>
      <c r="AG449" s="236">
        <v>1</v>
      </c>
      <c r="AH449" s="236">
        <v>0</v>
      </c>
      <c r="AI449" s="236">
        <f t="shared" si="529"/>
        <v>-100</v>
      </c>
      <c r="AJ449" s="210"/>
      <c r="AK449" s="254"/>
      <c r="AL449" s="254"/>
      <c r="AM449" s="255"/>
      <c r="AN449" s="255"/>
      <c r="AO449" s="255"/>
      <c r="AP449" s="255"/>
      <c r="AQ449" s="255"/>
      <c r="AR449" s="255"/>
      <c r="AS449" s="255"/>
      <c r="AT449" s="255"/>
      <c r="AU449" s="255"/>
      <c r="AV449" s="255"/>
      <c r="AW449" s="255"/>
      <c r="AX449" s="210"/>
      <c r="AY449" s="236" cm="1">
        <f t="array" ref="AY449">INDEX(Use, $AD449, 4)</f>
        <v>7</v>
      </c>
      <c r="AZ449" s="236">
        <f t="shared" si="530"/>
        <v>32</v>
      </c>
      <c r="BA449" s="236">
        <f t="shared" si="518"/>
        <v>13</v>
      </c>
      <c r="BB449" s="236">
        <f t="shared" si="519"/>
        <v>0</v>
      </c>
      <c r="BC449" s="252" cm="1">
        <f t="array" ref="BC449">K449/IF($L449&gt;0, INDEX($AO$23:$AU$77, $L449+20, $AD449), 1)</f>
        <v>0</v>
      </c>
      <c r="BD449" s="237">
        <f t="shared" si="531"/>
        <v>0</v>
      </c>
      <c r="BE449" s="236">
        <v>35</v>
      </c>
      <c r="BF449" s="237">
        <f t="shared" si="532"/>
        <v>52.55</v>
      </c>
      <c r="BG449" s="253">
        <f t="shared" si="533"/>
        <v>2.7676728869374316</v>
      </c>
      <c r="BH449" s="253" cm="1">
        <f t="array" ref="BH449">$BC449 * SUMPRODUCT(INDEX($AL$77:$AN$82,,$AE449),INDEX($AO$77:$AU$82,,$AD449), N($AK$77:$AK$82&gt;$AI449)) / BG449 / 1000</f>
        <v>0</v>
      </c>
      <c r="BI449" s="250">
        <f t="shared" si="520"/>
        <v>30</v>
      </c>
      <c r="BJ449" s="237">
        <f t="shared" si="534"/>
        <v>46.033333333333331</v>
      </c>
      <c r="BK449" s="253">
        <f t="shared" si="535"/>
        <v>3.2297395388556791</v>
      </c>
      <c r="BL449" s="253" cm="1">
        <f t="array" ref="BL449">$BC449 * IF($AD449&lt;=2,
SUMPRODUCT(INDEX($AL$72:$AN$76,,$AE449), INDEX($AO$72:$AU$76,,$AD449), 1 / ($AV$72:$AV$76*BK449 + (1-$AV$72:$AV$76)*BG449), N($AK$72:$AK$76&gt;$AI449)),
SUMPRODUCT(INDEX($AL$67:$AN$76,,$AE449), INDEX($AO$67:$AU$76,,$AD449), 1 / ($AW$67:$AW$76*BK449 + (1-$AW$67:$AW$76)*BG449), N($AK$67:$AK$76&gt;$AI449))
) / 1000</f>
        <v>0</v>
      </c>
      <c r="BM449" s="250">
        <f t="shared" si="521"/>
        <v>25</v>
      </c>
      <c r="BN449" s="237">
        <f t="shared" si="536"/>
        <v>39.516666666666666</v>
      </c>
      <c r="BO449" s="253">
        <f t="shared" si="537"/>
        <v>3.877011788826243</v>
      </c>
      <c r="BP449" s="253" cm="1">
        <f t="array" ref="BP449">$BC449 * IF($AD449&lt;=2,
SUMPRODUCT(INDEX($AL$67:$AN$71,,$AE449), INDEX($AO$67:$AU$71,,$AD449), 1 / ($AV$67:$AV$71*BO449 + (1-$AV$67:$AV$71)*BK449), N($AK$67:$AK$71&gt;$AI449)),
SUMPRODUCT(INDEX($AL$57:$AN$66,,$AE449), INDEX($AO$57:$AU$66,,$AD449), 1 / ($AW$57:$AW$66*BO449 + (1-$AW$57:$AW$66)*BK449), N($AK$57:$AK$66&gt;$AI449))
) / 1000</f>
        <v>0</v>
      </c>
      <c r="BQ449" s="250">
        <f t="shared" si="522"/>
        <v>20</v>
      </c>
      <c r="BR449" s="237">
        <f t="shared" si="538"/>
        <v>33</v>
      </c>
      <c r="BS449" s="253">
        <f t="shared" si="539"/>
        <v>4.8487499999999999</v>
      </c>
      <c r="BT449" s="253" cm="1">
        <f t="array" ref="BT449">$BC449 * IF($AD449&lt;=2,
SUMPRODUCT(INDEX($AL$62:$AN$66,,$AE449), INDEX($AO$62:$AU$66,,$AD449), 1 / ($AV$62:$AV$66*BS449 + (1-$AV$62:$AV$66)*BO449), N($AK$62:$AK$66&gt;$AI449)),
SUMPRODUCT(INDEX($AL$47:$AN$56,,$AE449), INDEX($AO$47:$AU$56,,$AD449), 1 / ($AW$47:$AW$56*BS449 + (1-$AW$47:$AW$56)*BO449), N($AK$47:$AK$56&gt;$AI449))
) / 1000</f>
        <v>0</v>
      </c>
      <c r="BU449" s="253" cm="1">
        <f t="array" ref="BU449">$BC449 * IF($AD449&lt;=2,
SUMPRODUCT(INDEX($AL$23:$AN$61,,$AE449), INDEX($AO$23:$AU$61,,$AD449), 1 / ($AV$23:$AV$61*BS449), N($AK$23:$AK$61&gt;$AI449)),
SUMPRODUCT(INDEX($AL$23:$AN$46,,$AE449), INDEX($AO$23:$AU$46,,$AD449), 1 / ($AW$23:$AW$46*BS449), N($AK$23:$AK$46&gt;$AI449))
) / 1000</f>
        <v>0</v>
      </c>
      <c r="BV449" s="237">
        <f t="shared" si="540"/>
        <v>0</v>
      </c>
      <c r="BW449" s="210"/>
      <c r="BX449" s="237">
        <f t="shared" si="541"/>
        <v>0</v>
      </c>
      <c r="BY449" s="236">
        <v>35</v>
      </c>
      <c r="BZ449" s="237">
        <f t="shared" si="542"/>
        <v>48</v>
      </c>
      <c r="CA449" s="253">
        <f t="shared" si="543"/>
        <v>3.0748170731707316</v>
      </c>
      <c r="CB449" s="253" cm="1">
        <f t="array" ref="CB449">$BC449 * SUMPRODUCT(INDEX($AL$77:$AN$82,,$AE449),INDEX($AO$77:$AU$82,,$AD449), N($AK$77:$AK$82&gt;$AI449)) / CA449 / 1000</f>
        <v>0</v>
      </c>
      <c r="CC449" s="250">
        <f t="shared" si="523"/>
        <v>30</v>
      </c>
      <c r="CD449" s="237">
        <f t="shared" si="544"/>
        <v>43</v>
      </c>
      <c r="CE449" s="253">
        <f t="shared" si="545"/>
        <v>3.5018750000000001</v>
      </c>
      <c r="CF449" s="253" cm="1">
        <f t="array" ref="CF449">$BC449 * IF($AD449&lt;=2,
SUMPRODUCT(INDEX($AL$72:$AN$76,,$AE449), INDEX($AO$72:$AU$76,,$AD449), 1 / ($AV$72:$AV$76*CE449 + (1-$AV$72:$AV$76)*CA449), N($AK$72:$AK$76&gt;$AI449)),
SUMPRODUCT(INDEX($AL$67:$AN$76,,$AE449), INDEX($AO$67:$AU$76,,$AD449), 1 / ($AW$67:$AW$76*CE449 + (1-$AW$67:$AW$76)*CA449), N($AK$67:$AK$76&gt;$AI449))
) / 1000</f>
        <v>0</v>
      </c>
      <c r="CG449" s="250">
        <f t="shared" si="524"/>
        <v>25</v>
      </c>
      <c r="CH449" s="237">
        <f t="shared" si="546"/>
        <v>38</v>
      </c>
      <c r="CI449" s="253">
        <f t="shared" si="547"/>
        <v>4.0666935483870965</v>
      </c>
      <c r="CJ449" s="253" cm="1">
        <f t="array" ref="CJ449">$BC449 * IF($AD449&lt;=2,
SUMPRODUCT(INDEX($AL$67:$AN$71,,$AE449), INDEX($AO$67:$AU$71,,$AD449), 1 / ($AV$67:$AV$71*CI449 + (1-$AV$67:$AV$71)*CE449), N($AK$67:$AK$71&gt;$AI449)),
SUMPRODUCT(INDEX($AL$57:$AN$66,,$AE449), INDEX($AO$57:$AU$66,,$AD449), 1 / ($AW$57:$AW$66*CI449 + (1-$AW$57:$AW$66)*CE449), N($AK$57:$AK$66&gt;$AI449))
) / 1000</f>
        <v>0</v>
      </c>
      <c r="CK449" s="250">
        <f t="shared" si="525"/>
        <v>20</v>
      </c>
      <c r="CL449" s="237">
        <f t="shared" si="548"/>
        <v>33</v>
      </c>
      <c r="CM449" s="253">
        <f t="shared" si="549"/>
        <v>4.8487499999999999</v>
      </c>
      <c r="CN449" s="253" cm="1">
        <f t="array" ref="CN449">$BC449 * IF($AD449&lt;=2,
SUMPRODUCT(INDEX($AL$62:$AN$66,,$AE449), INDEX($AO$62:$AU$66,,$AD449), 1 / ($AV$62:$AV$66*CM449 + (1-$AV$62:$AV$66)*CI449), N($AK$62:$AK$66&gt;$AI449)),
SUMPRODUCT(INDEX($AL$47:$AN$56,,$AE449), INDEX($AO$47:$AU$56,,$AD449), 1 / ($AW$47:$AW$56*CM449 + (1-$AW$47:$AW$56)*CI449), N($AK$47:$AK$56&gt;$AI449))
) / 1000</f>
        <v>0</v>
      </c>
      <c r="CO449" s="253" cm="1">
        <f t="array" ref="CO449">$BC449 * IF($AD449&lt;=2,
SUMPRODUCT(INDEX($AL$23:$AN$61,,$AE449), INDEX($AO$23:$AU$61,,$AD449), 1 / ($AV$23:$AV$61*CM449), N($AK$23:$AK$61&gt;$AI449)),
SUMPRODUCT(INDEX($AL$23:$AN$46,,$AE449), INDEX($AO$23:$AU$46,,$AD449), 1 / ($AW$23:$AW$46*CM449), N($AK$23:$AK$46&gt;$AI449))
) / 1000</f>
        <v>0</v>
      </c>
      <c r="CP449" s="237">
        <f t="shared" si="550"/>
        <v>0</v>
      </c>
      <c r="CQ449" s="210"/>
    </row>
    <row r="450" spans="1:95" s="76" customFormat="1" ht="14.25" customHeight="1" x14ac:dyDescent="0.2">
      <c r="A450" s="238" t="b">
        <f t="shared" si="517"/>
        <v>0</v>
      </c>
      <c r="B450" s="239">
        <v>428</v>
      </c>
      <c r="C450" s="258"/>
      <c r="D450" s="258"/>
      <c r="E450" s="240"/>
      <c r="F450" s="241" t="str">
        <f>IF(ISBLANK(E450), "", VLOOKUP(E450, Z!$A$2:$C$4127, 3, FALSE))</f>
        <v/>
      </c>
      <c r="G450" s="242"/>
      <c r="H450" s="242"/>
      <c r="I450" s="243"/>
      <c r="J450" s="244"/>
      <c r="K450" s="259"/>
      <c r="L450" s="260"/>
      <c r="M450" s="247" t="str" cm="1">
        <f t="array" ref="M450">IF($K450&gt;0, INDEX(Clean,1+AG450,$C$1), "")</f>
        <v/>
      </c>
      <c r="N450" s="245"/>
      <c r="O450" s="245"/>
      <c r="P450" s="246"/>
      <c r="Q450" s="248">
        <f t="shared" si="527"/>
        <v>0</v>
      </c>
      <c r="R450" s="247" t="str" cm="1">
        <f t="array" ref="R450">IF($K450&gt;0, INDEX(Clean,1+AH450,$C$1), "")</f>
        <v/>
      </c>
      <c r="S450" s="245"/>
      <c r="T450" s="245"/>
      <c r="U450" s="246"/>
      <c r="V450" s="248">
        <f t="shared" si="528"/>
        <v>0</v>
      </c>
      <c r="W450" s="261"/>
      <c r="X450" s="258"/>
      <c r="Y450" s="240"/>
      <c r="Z450" s="241" t="str">
        <f>IF(ISBLANK(Y450), "", VLOOKUP(Y450, Z!$A$2:$C$4127, 3, FALSE))</f>
        <v/>
      </c>
      <c r="AA450" s="262"/>
      <c r="AB450" s="249">
        <f t="shared" si="526"/>
        <v>0</v>
      </c>
      <c r="AC450" s="210"/>
      <c r="AD450" s="236">
        <f t="shared" si="551"/>
        <v>1</v>
      </c>
      <c r="AE450" s="236">
        <f t="shared" si="552"/>
        <v>1</v>
      </c>
      <c r="AF450" s="236">
        <f t="shared" si="553"/>
        <v>0</v>
      </c>
      <c r="AG450" s="236">
        <v>1</v>
      </c>
      <c r="AH450" s="236">
        <v>0</v>
      </c>
      <c r="AI450" s="236">
        <f t="shared" si="529"/>
        <v>-100</v>
      </c>
      <c r="AJ450" s="210"/>
      <c r="AK450" s="254"/>
      <c r="AL450" s="254"/>
      <c r="AM450" s="255"/>
      <c r="AN450" s="255"/>
      <c r="AO450" s="255"/>
      <c r="AP450" s="255"/>
      <c r="AQ450" s="255"/>
      <c r="AR450" s="255"/>
      <c r="AS450" s="255"/>
      <c r="AT450" s="255"/>
      <c r="AU450" s="255"/>
      <c r="AV450" s="255"/>
      <c r="AW450" s="255"/>
      <c r="AX450" s="210"/>
      <c r="AY450" s="236" cm="1">
        <f t="array" ref="AY450">INDEX(Use, $AD450, 4)</f>
        <v>7</v>
      </c>
      <c r="AZ450" s="236">
        <f t="shared" si="530"/>
        <v>32</v>
      </c>
      <c r="BA450" s="236">
        <f t="shared" si="518"/>
        <v>13</v>
      </c>
      <c r="BB450" s="236">
        <f t="shared" si="519"/>
        <v>0</v>
      </c>
      <c r="BC450" s="252" cm="1">
        <f t="array" ref="BC450">K450/IF($L450&gt;0, INDEX($AO$23:$AU$77, $L450+20, $AD450), 1)</f>
        <v>0</v>
      </c>
      <c r="BD450" s="237">
        <f t="shared" si="531"/>
        <v>0</v>
      </c>
      <c r="BE450" s="236">
        <v>35</v>
      </c>
      <c r="BF450" s="237">
        <f t="shared" si="532"/>
        <v>52.55</v>
      </c>
      <c r="BG450" s="253">
        <f t="shared" si="533"/>
        <v>2.7676728869374316</v>
      </c>
      <c r="BH450" s="253" cm="1">
        <f t="array" ref="BH450">$BC450 * SUMPRODUCT(INDEX($AL$77:$AN$82,,$AE450),INDEX($AO$77:$AU$82,,$AD450), N($AK$77:$AK$82&gt;$AI450)) / BG450 / 1000</f>
        <v>0</v>
      </c>
      <c r="BI450" s="250">
        <f t="shared" si="520"/>
        <v>30</v>
      </c>
      <c r="BJ450" s="237">
        <f t="shared" si="534"/>
        <v>46.033333333333331</v>
      </c>
      <c r="BK450" s="253">
        <f t="shared" si="535"/>
        <v>3.2297395388556791</v>
      </c>
      <c r="BL450" s="253" cm="1">
        <f t="array" ref="BL450">$BC450 * IF($AD450&lt;=2,
SUMPRODUCT(INDEX($AL$72:$AN$76,,$AE450), INDEX($AO$72:$AU$76,,$AD450), 1 / ($AV$72:$AV$76*BK450 + (1-$AV$72:$AV$76)*BG450), N($AK$72:$AK$76&gt;$AI450)),
SUMPRODUCT(INDEX($AL$67:$AN$76,,$AE450), INDEX($AO$67:$AU$76,,$AD450), 1 / ($AW$67:$AW$76*BK450 + (1-$AW$67:$AW$76)*BG450), N($AK$67:$AK$76&gt;$AI450))
) / 1000</f>
        <v>0</v>
      </c>
      <c r="BM450" s="250">
        <f t="shared" si="521"/>
        <v>25</v>
      </c>
      <c r="BN450" s="237">
        <f t="shared" si="536"/>
        <v>39.516666666666666</v>
      </c>
      <c r="BO450" s="253">
        <f t="shared" si="537"/>
        <v>3.877011788826243</v>
      </c>
      <c r="BP450" s="253" cm="1">
        <f t="array" ref="BP450">$BC450 * IF($AD450&lt;=2,
SUMPRODUCT(INDEX($AL$67:$AN$71,,$AE450), INDEX($AO$67:$AU$71,,$AD450), 1 / ($AV$67:$AV$71*BO450 + (1-$AV$67:$AV$71)*BK450), N($AK$67:$AK$71&gt;$AI450)),
SUMPRODUCT(INDEX($AL$57:$AN$66,,$AE450), INDEX($AO$57:$AU$66,,$AD450), 1 / ($AW$57:$AW$66*BO450 + (1-$AW$57:$AW$66)*BK450), N($AK$57:$AK$66&gt;$AI450))
) / 1000</f>
        <v>0</v>
      </c>
      <c r="BQ450" s="250">
        <f t="shared" si="522"/>
        <v>20</v>
      </c>
      <c r="BR450" s="237">
        <f t="shared" si="538"/>
        <v>33</v>
      </c>
      <c r="BS450" s="253">
        <f t="shared" si="539"/>
        <v>4.8487499999999999</v>
      </c>
      <c r="BT450" s="253" cm="1">
        <f t="array" ref="BT450">$BC450 * IF($AD450&lt;=2,
SUMPRODUCT(INDEX($AL$62:$AN$66,,$AE450), INDEX($AO$62:$AU$66,,$AD450), 1 / ($AV$62:$AV$66*BS450 + (1-$AV$62:$AV$66)*BO450), N($AK$62:$AK$66&gt;$AI450)),
SUMPRODUCT(INDEX($AL$47:$AN$56,,$AE450), INDEX($AO$47:$AU$56,,$AD450), 1 / ($AW$47:$AW$56*BS450 + (1-$AW$47:$AW$56)*BO450), N($AK$47:$AK$56&gt;$AI450))
) / 1000</f>
        <v>0</v>
      </c>
      <c r="BU450" s="253" cm="1">
        <f t="array" ref="BU450">$BC450 * IF($AD450&lt;=2,
SUMPRODUCT(INDEX($AL$23:$AN$61,,$AE450), INDEX($AO$23:$AU$61,,$AD450), 1 / ($AV$23:$AV$61*BS450), N($AK$23:$AK$61&gt;$AI450)),
SUMPRODUCT(INDEX($AL$23:$AN$46,,$AE450), INDEX($AO$23:$AU$46,,$AD450), 1 / ($AW$23:$AW$46*BS450), N($AK$23:$AK$46&gt;$AI450))
) / 1000</f>
        <v>0</v>
      </c>
      <c r="BV450" s="237">
        <f t="shared" si="540"/>
        <v>0</v>
      </c>
      <c r="BW450" s="210"/>
      <c r="BX450" s="237">
        <f t="shared" si="541"/>
        <v>0</v>
      </c>
      <c r="BY450" s="236">
        <v>35</v>
      </c>
      <c r="BZ450" s="237">
        <f t="shared" si="542"/>
        <v>48</v>
      </c>
      <c r="CA450" s="253">
        <f t="shared" si="543"/>
        <v>3.0748170731707316</v>
      </c>
      <c r="CB450" s="253" cm="1">
        <f t="array" ref="CB450">$BC450 * SUMPRODUCT(INDEX($AL$77:$AN$82,,$AE450),INDEX($AO$77:$AU$82,,$AD450), N($AK$77:$AK$82&gt;$AI450)) / CA450 / 1000</f>
        <v>0</v>
      </c>
      <c r="CC450" s="250">
        <f t="shared" si="523"/>
        <v>30</v>
      </c>
      <c r="CD450" s="237">
        <f t="shared" si="544"/>
        <v>43</v>
      </c>
      <c r="CE450" s="253">
        <f t="shared" si="545"/>
        <v>3.5018750000000001</v>
      </c>
      <c r="CF450" s="253" cm="1">
        <f t="array" ref="CF450">$BC450 * IF($AD450&lt;=2,
SUMPRODUCT(INDEX($AL$72:$AN$76,,$AE450), INDEX($AO$72:$AU$76,,$AD450), 1 / ($AV$72:$AV$76*CE450 + (1-$AV$72:$AV$76)*CA450), N($AK$72:$AK$76&gt;$AI450)),
SUMPRODUCT(INDEX($AL$67:$AN$76,,$AE450), INDEX($AO$67:$AU$76,,$AD450), 1 / ($AW$67:$AW$76*CE450 + (1-$AW$67:$AW$76)*CA450), N($AK$67:$AK$76&gt;$AI450))
) / 1000</f>
        <v>0</v>
      </c>
      <c r="CG450" s="250">
        <f t="shared" si="524"/>
        <v>25</v>
      </c>
      <c r="CH450" s="237">
        <f t="shared" si="546"/>
        <v>38</v>
      </c>
      <c r="CI450" s="253">
        <f t="shared" si="547"/>
        <v>4.0666935483870965</v>
      </c>
      <c r="CJ450" s="253" cm="1">
        <f t="array" ref="CJ450">$BC450 * IF($AD450&lt;=2,
SUMPRODUCT(INDEX($AL$67:$AN$71,,$AE450), INDEX($AO$67:$AU$71,,$AD450), 1 / ($AV$67:$AV$71*CI450 + (1-$AV$67:$AV$71)*CE450), N($AK$67:$AK$71&gt;$AI450)),
SUMPRODUCT(INDEX($AL$57:$AN$66,,$AE450), INDEX($AO$57:$AU$66,,$AD450), 1 / ($AW$57:$AW$66*CI450 + (1-$AW$57:$AW$66)*CE450), N($AK$57:$AK$66&gt;$AI450))
) / 1000</f>
        <v>0</v>
      </c>
      <c r="CK450" s="250">
        <f t="shared" si="525"/>
        <v>20</v>
      </c>
      <c r="CL450" s="237">
        <f t="shared" si="548"/>
        <v>33</v>
      </c>
      <c r="CM450" s="253">
        <f t="shared" si="549"/>
        <v>4.8487499999999999</v>
      </c>
      <c r="CN450" s="253" cm="1">
        <f t="array" ref="CN450">$BC450 * IF($AD450&lt;=2,
SUMPRODUCT(INDEX($AL$62:$AN$66,,$AE450), INDEX($AO$62:$AU$66,,$AD450), 1 / ($AV$62:$AV$66*CM450 + (1-$AV$62:$AV$66)*CI450), N($AK$62:$AK$66&gt;$AI450)),
SUMPRODUCT(INDEX($AL$47:$AN$56,,$AE450), INDEX($AO$47:$AU$56,,$AD450), 1 / ($AW$47:$AW$56*CM450 + (1-$AW$47:$AW$56)*CI450), N($AK$47:$AK$56&gt;$AI450))
) / 1000</f>
        <v>0</v>
      </c>
      <c r="CO450" s="253" cm="1">
        <f t="array" ref="CO450">$BC450 * IF($AD450&lt;=2,
SUMPRODUCT(INDEX($AL$23:$AN$61,,$AE450), INDEX($AO$23:$AU$61,,$AD450), 1 / ($AV$23:$AV$61*CM450), N($AK$23:$AK$61&gt;$AI450)),
SUMPRODUCT(INDEX($AL$23:$AN$46,,$AE450), INDEX($AO$23:$AU$46,,$AD450), 1 / ($AW$23:$AW$46*CM450), N($AK$23:$AK$46&gt;$AI450))
) / 1000</f>
        <v>0</v>
      </c>
      <c r="CP450" s="237">
        <f t="shared" si="550"/>
        <v>0</v>
      </c>
      <c r="CQ450" s="210"/>
    </row>
    <row r="451" spans="1:95" s="76" customFormat="1" ht="14.25" customHeight="1" x14ac:dyDescent="0.2">
      <c r="A451" s="238" t="b">
        <f t="shared" si="517"/>
        <v>0</v>
      </c>
      <c r="B451" s="239">
        <v>429</v>
      </c>
      <c r="C451" s="258"/>
      <c r="D451" s="258"/>
      <c r="E451" s="240"/>
      <c r="F451" s="241" t="str">
        <f>IF(ISBLANK(E451), "", VLOOKUP(E451, Z!$A$2:$C$4127, 3, FALSE))</f>
        <v/>
      </c>
      <c r="G451" s="242"/>
      <c r="H451" s="242"/>
      <c r="I451" s="243"/>
      <c r="J451" s="244"/>
      <c r="K451" s="259"/>
      <c r="L451" s="260"/>
      <c r="M451" s="247" t="str" cm="1">
        <f t="array" ref="M451">IF($K451&gt;0, INDEX(Clean,1+AG451,$C$1), "")</f>
        <v/>
      </c>
      <c r="N451" s="245"/>
      <c r="O451" s="245"/>
      <c r="P451" s="246"/>
      <c r="Q451" s="248">
        <f t="shared" si="527"/>
        <v>0</v>
      </c>
      <c r="R451" s="247" t="str" cm="1">
        <f t="array" ref="R451">IF($K451&gt;0, INDEX(Clean,1+AH451,$C$1), "")</f>
        <v/>
      </c>
      <c r="S451" s="245"/>
      <c r="T451" s="245"/>
      <c r="U451" s="246"/>
      <c r="V451" s="248">
        <f t="shared" si="528"/>
        <v>0</v>
      </c>
      <c r="W451" s="261"/>
      <c r="X451" s="258"/>
      <c r="Y451" s="240"/>
      <c r="Z451" s="241" t="str">
        <f>IF(ISBLANK(Y451), "", VLOOKUP(Y451, Z!$A$2:$C$4127, 3, FALSE))</f>
        <v/>
      </c>
      <c r="AA451" s="262"/>
      <c r="AB451" s="249">
        <f t="shared" si="526"/>
        <v>0</v>
      </c>
      <c r="AC451" s="210"/>
      <c r="AD451" s="236">
        <f t="shared" si="551"/>
        <v>1</v>
      </c>
      <c r="AE451" s="236">
        <f t="shared" si="552"/>
        <v>1</v>
      </c>
      <c r="AF451" s="236">
        <f t="shared" si="553"/>
        <v>0</v>
      </c>
      <c r="AG451" s="236">
        <v>1</v>
      </c>
      <c r="AH451" s="236">
        <v>0</v>
      </c>
      <c r="AI451" s="236">
        <f t="shared" si="529"/>
        <v>-100</v>
      </c>
      <c r="AJ451" s="210"/>
      <c r="AK451" s="254"/>
      <c r="AL451" s="254"/>
      <c r="AM451" s="255"/>
      <c r="AN451" s="255"/>
      <c r="AO451" s="255"/>
      <c r="AP451" s="255"/>
      <c r="AQ451" s="255"/>
      <c r="AR451" s="255"/>
      <c r="AS451" s="255"/>
      <c r="AT451" s="255"/>
      <c r="AU451" s="255"/>
      <c r="AV451" s="255"/>
      <c r="AW451" s="255"/>
      <c r="AX451" s="210"/>
      <c r="AY451" s="236" cm="1">
        <f t="array" ref="AY451">INDEX(Use, $AD451, 4)</f>
        <v>7</v>
      </c>
      <c r="AZ451" s="236">
        <f t="shared" si="530"/>
        <v>32</v>
      </c>
      <c r="BA451" s="236">
        <f t="shared" si="518"/>
        <v>13</v>
      </c>
      <c r="BB451" s="236">
        <f t="shared" si="519"/>
        <v>0</v>
      </c>
      <c r="BC451" s="252" cm="1">
        <f t="array" ref="BC451">K451/IF($L451&gt;0, INDEX($AO$23:$AU$77, $L451+20, $AD451), 1)</f>
        <v>0</v>
      </c>
      <c r="BD451" s="237">
        <f t="shared" si="531"/>
        <v>0</v>
      </c>
      <c r="BE451" s="236">
        <v>35</v>
      </c>
      <c r="BF451" s="237">
        <f t="shared" si="532"/>
        <v>52.55</v>
      </c>
      <c r="BG451" s="253">
        <f t="shared" si="533"/>
        <v>2.7676728869374316</v>
      </c>
      <c r="BH451" s="253" cm="1">
        <f t="array" ref="BH451">$BC451 * SUMPRODUCT(INDEX($AL$77:$AN$82,,$AE451),INDEX($AO$77:$AU$82,,$AD451), N($AK$77:$AK$82&gt;$AI451)) / BG451 / 1000</f>
        <v>0</v>
      </c>
      <c r="BI451" s="250">
        <f t="shared" si="520"/>
        <v>30</v>
      </c>
      <c r="BJ451" s="237">
        <f t="shared" si="534"/>
        <v>46.033333333333331</v>
      </c>
      <c r="BK451" s="253">
        <f t="shared" si="535"/>
        <v>3.2297395388556791</v>
      </c>
      <c r="BL451" s="253" cm="1">
        <f t="array" ref="BL451">$BC451 * IF($AD451&lt;=2,
SUMPRODUCT(INDEX($AL$72:$AN$76,,$AE451), INDEX($AO$72:$AU$76,,$AD451), 1 / ($AV$72:$AV$76*BK451 + (1-$AV$72:$AV$76)*BG451), N($AK$72:$AK$76&gt;$AI451)),
SUMPRODUCT(INDEX($AL$67:$AN$76,,$AE451), INDEX($AO$67:$AU$76,,$AD451), 1 / ($AW$67:$AW$76*BK451 + (1-$AW$67:$AW$76)*BG451), N($AK$67:$AK$76&gt;$AI451))
) / 1000</f>
        <v>0</v>
      </c>
      <c r="BM451" s="250">
        <f t="shared" si="521"/>
        <v>25</v>
      </c>
      <c r="BN451" s="237">
        <f t="shared" si="536"/>
        <v>39.516666666666666</v>
      </c>
      <c r="BO451" s="253">
        <f t="shared" si="537"/>
        <v>3.877011788826243</v>
      </c>
      <c r="BP451" s="253" cm="1">
        <f t="array" ref="BP451">$BC451 * IF($AD451&lt;=2,
SUMPRODUCT(INDEX($AL$67:$AN$71,,$AE451), INDEX($AO$67:$AU$71,,$AD451), 1 / ($AV$67:$AV$71*BO451 + (1-$AV$67:$AV$71)*BK451), N($AK$67:$AK$71&gt;$AI451)),
SUMPRODUCT(INDEX($AL$57:$AN$66,,$AE451), INDEX($AO$57:$AU$66,,$AD451), 1 / ($AW$57:$AW$66*BO451 + (1-$AW$57:$AW$66)*BK451), N($AK$57:$AK$66&gt;$AI451))
) / 1000</f>
        <v>0</v>
      </c>
      <c r="BQ451" s="250">
        <f t="shared" si="522"/>
        <v>20</v>
      </c>
      <c r="BR451" s="237">
        <f t="shared" si="538"/>
        <v>33</v>
      </c>
      <c r="BS451" s="253">
        <f t="shared" si="539"/>
        <v>4.8487499999999999</v>
      </c>
      <c r="BT451" s="253" cm="1">
        <f t="array" ref="BT451">$BC451 * IF($AD451&lt;=2,
SUMPRODUCT(INDEX($AL$62:$AN$66,,$AE451), INDEX($AO$62:$AU$66,,$AD451), 1 / ($AV$62:$AV$66*BS451 + (1-$AV$62:$AV$66)*BO451), N($AK$62:$AK$66&gt;$AI451)),
SUMPRODUCT(INDEX($AL$47:$AN$56,,$AE451), INDEX($AO$47:$AU$56,,$AD451), 1 / ($AW$47:$AW$56*BS451 + (1-$AW$47:$AW$56)*BO451), N($AK$47:$AK$56&gt;$AI451))
) / 1000</f>
        <v>0</v>
      </c>
      <c r="BU451" s="253" cm="1">
        <f t="array" ref="BU451">$BC451 * IF($AD451&lt;=2,
SUMPRODUCT(INDEX($AL$23:$AN$61,,$AE451), INDEX($AO$23:$AU$61,,$AD451), 1 / ($AV$23:$AV$61*BS451), N($AK$23:$AK$61&gt;$AI451)),
SUMPRODUCT(INDEX($AL$23:$AN$46,,$AE451), INDEX($AO$23:$AU$46,,$AD451), 1 / ($AW$23:$AW$46*BS451), N($AK$23:$AK$46&gt;$AI451))
) / 1000</f>
        <v>0</v>
      </c>
      <c r="BV451" s="237">
        <f t="shared" si="540"/>
        <v>0</v>
      </c>
      <c r="BW451" s="210"/>
      <c r="BX451" s="237">
        <f t="shared" si="541"/>
        <v>0</v>
      </c>
      <c r="BY451" s="236">
        <v>35</v>
      </c>
      <c r="BZ451" s="237">
        <f t="shared" si="542"/>
        <v>48</v>
      </c>
      <c r="CA451" s="253">
        <f t="shared" si="543"/>
        <v>3.0748170731707316</v>
      </c>
      <c r="CB451" s="253" cm="1">
        <f t="array" ref="CB451">$BC451 * SUMPRODUCT(INDEX($AL$77:$AN$82,,$AE451),INDEX($AO$77:$AU$82,,$AD451), N($AK$77:$AK$82&gt;$AI451)) / CA451 / 1000</f>
        <v>0</v>
      </c>
      <c r="CC451" s="250">
        <f t="shared" si="523"/>
        <v>30</v>
      </c>
      <c r="CD451" s="237">
        <f t="shared" si="544"/>
        <v>43</v>
      </c>
      <c r="CE451" s="253">
        <f t="shared" si="545"/>
        <v>3.5018750000000001</v>
      </c>
      <c r="CF451" s="253" cm="1">
        <f t="array" ref="CF451">$BC451 * IF($AD451&lt;=2,
SUMPRODUCT(INDEX($AL$72:$AN$76,,$AE451), INDEX($AO$72:$AU$76,,$AD451), 1 / ($AV$72:$AV$76*CE451 + (1-$AV$72:$AV$76)*CA451), N($AK$72:$AK$76&gt;$AI451)),
SUMPRODUCT(INDEX($AL$67:$AN$76,,$AE451), INDEX($AO$67:$AU$76,,$AD451), 1 / ($AW$67:$AW$76*CE451 + (1-$AW$67:$AW$76)*CA451), N($AK$67:$AK$76&gt;$AI451))
) / 1000</f>
        <v>0</v>
      </c>
      <c r="CG451" s="250">
        <f t="shared" si="524"/>
        <v>25</v>
      </c>
      <c r="CH451" s="237">
        <f t="shared" si="546"/>
        <v>38</v>
      </c>
      <c r="CI451" s="253">
        <f t="shared" si="547"/>
        <v>4.0666935483870965</v>
      </c>
      <c r="CJ451" s="253" cm="1">
        <f t="array" ref="CJ451">$BC451 * IF($AD451&lt;=2,
SUMPRODUCT(INDEX($AL$67:$AN$71,,$AE451), INDEX($AO$67:$AU$71,,$AD451), 1 / ($AV$67:$AV$71*CI451 + (1-$AV$67:$AV$71)*CE451), N($AK$67:$AK$71&gt;$AI451)),
SUMPRODUCT(INDEX($AL$57:$AN$66,,$AE451), INDEX($AO$57:$AU$66,,$AD451), 1 / ($AW$57:$AW$66*CI451 + (1-$AW$57:$AW$66)*CE451), N($AK$57:$AK$66&gt;$AI451))
) / 1000</f>
        <v>0</v>
      </c>
      <c r="CK451" s="250">
        <f t="shared" si="525"/>
        <v>20</v>
      </c>
      <c r="CL451" s="237">
        <f t="shared" si="548"/>
        <v>33</v>
      </c>
      <c r="CM451" s="253">
        <f t="shared" si="549"/>
        <v>4.8487499999999999</v>
      </c>
      <c r="CN451" s="253" cm="1">
        <f t="array" ref="CN451">$BC451 * IF($AD451&lt;=2,
SUMPRODUCT(INDEX($AL$62:$AN$66,,$AE451), INDEX($AO$62:$AU$66,,$AD451), 1 / ($AV$62:$AV$66*CM451 + (1-$AV$62:$AV$66)*CI451), N($AK$62:$AK$66&gt;$AI451)),
SUMPRODUCT(INDEX($AL$47:$AN$56,,$AE451), INDEX($AO$47:$AU$56,,$AD451), 1 / ($AW$47:$AW$56*CM451 + (1-$AW$47:$AW$56)*CI451), N($AK$47:$AK$56&gt;$AI451))
) / 1000</f>
        <v>0</v>
      </c>
      <c r="CO451" s="253" cm="1">
        <f t="array" ref="CO451">$BC451 * IF($AD451&lt;=2,
SUMPRODUCT(INDEX($AL$23:$AN$61,,$AE451), INDEX($AO$23:$AU$61,,$AD451), 1 / ($AV$23:$AV$61*CM451), N($AK$23:$AK$61&gt;$AI451)),
SUMPRODUCT(INDEX($AL$23:$AN$46,,$AE451), INDEX($AO$23:$AU$46,,$AD451), 1 / ($AW$23:$AW$46*CM451), N($AK$23:$AK$46&gt;$AI451))
) / 1000</f>
        <v>0</v>
      </c>
      <c r="CP451" s="237">
        <f t="shared" si="550"/>
        <v>0</v>
      </c>
      <c r="CQ451" s="210"/>
    </row>
    <row r="452" spans="1:95" s="76" customFormat="1" ht="14.25" customHeight="1" x14ac:dyDescent="0.2">
      <c r="A452" s="238" t="b">
        <f t="shared" si="517"/>
        <v>0</v>
      </c>
      <c r="B452" s="239">
        <v>430</v>
      </c>
      <c r="C452" s="258"/>
      <c r="D452" s="258"/>
      <c r="E452" s="240"/>
      <c r="F452" s="241" t="str">
        <f>IF(ISBLANK(E452), "", VLOOKUP(E452, Z!$A$2:$C$4127, 3, FALSE))</f>
        <v/>
      </c>
      <c r="G452" s="242"/>
      <c r="H452" s="242"/>
      <c r="I452" s="243"/>
      <c r="J452" s="244"/>
      <c r="K452" s="259"/>
      <c r="L452" s="260"/>
      <c r="M452" s="247" t="str" cm="1">
        <f t="array" ref="M452">IF($K452&gt;0, INDEX(Clean,1+AG452,$C$1), "")</f>
        <v/>
      </c>
      <c r="N452" s="245"/>
      <c r="O452" s="245"/>
      <c r="P452" s="246"/>
      <c r="Q452" s="248">
        <f t="shared" si="527"/>
        <v>0</v>
      </c>
      <c r="R452" s="247" t="str" cm="1">
        <f t="array" ref="R452">IF($K452&gt;0, INDEX(Clean,1+AH452,$C$1), "")</f>
        <v/>
      </c>
      <c r="S452" s="245"/>
      <c r="T452" s="245"/>
      <c r="U452" s="246"/>
      <c r="V452" s="248">
        <f t="shared" si="528"/>
        <v>0</v>
      </c>
      <c r="W452" s="261"/>
      <c r="X452" s="258"/>
      <c r="Y452" s="240"/>
      <c r="Z452" s="241" t="str">
        <f>IF(ISBLANK(Y452), "", VLOOKUP(Y452, Z!$A$2:$C$4127, 3, FALSE))</f>
        <v/>
      </c>
      <c r="AA452" s="262"/>
      <c r="AB452" s="249">
        <f t="shared" si="526"/>
        <v>0</v>
      </c>
      <c r="AC452" s="210"/>
      <c r="AD452" s="236">
        <f t="shared" si="551"/>
        <v>1</v>
      </c>
      <c r="AE452" s="236">
        <f t="shared" si="552"/>
        <v>1</v>
      </c>
      <c r="AF452" s="236">
        <f t="shared" si="553"/>
        <v>0</v>
      </c>
      <c r="AG452" s="236">
        <v>1</v>
      </c>
      <c r="AH452" s="236">
        <v>0</v>
      </c>
      <c r="AI452" s="236">
        <f t="shared" si="529"/>
        <v>-100</v>
      </c>
      <c r="AJ452" s="210"/>
      <c r="AK452" s="254"/>
      <c r="AL452" s="254"/>
      <c r="AM452" s="255"/>
      <c r="AN452" s="255"/>
      <c r="AO452" s="255"/>
      <c r="AP452" s="255"/>
      <c r="AQ452" s="255"/>
      <c r="AR452" s="255"/>
      <c r="AS452" s="255"/>
      <c r="AT452" s="255"/>
      <c r="AU452" s="255"/>
      <c r="AV452" s="255"/>
      <c r="AW452" s="255"/>
      <c r="AX452" s="210"/>
      <c r="AY452" s="236" cm="1">
        <f t="array" ref="AY452">INDEX(Use, $AD452, 4)</f>
        <v>7</v>
      </c>
      <c r="AZ452" s="236">
        <f t="shared" si="530"/>
        <v>32</v>
      </c>
      <c r="BA452" s="236">
        <f t="shared" si="518"/>
        <v>13</v>
      </c>
      <c r="BB452" s="236">
        <f t="shared" si="519"/>
        <v>0</v>
      </c>
      <c r="BC452" s="252" cm="1">
        <f t="array" ref="BC452">K452/IF($L452&gt;0, INDEX($AO$23:$AU$77, $L452+20, $AD452), 1)</f>
        <v>0</v>
      </c>
      <c r="BD452" s="237">
        <f t="shared" si="531"/>
        <v>0</v>
      </c>
      <c r="BE452" s="236">
        <v>35</v>
      </c>
      <c r="BF452" s="237">
        <f t="shared" si="532"/>
        <v>52.55</v>
      </c>
      <c r="BG452" s="253">
        <f t="shared" si="533"/>
        <v>2.7676728869374316</v>
      </c>
      <c r="BH452" s="253" cm="1">
        <f t="array" ref="BH452">$BC452 * SUMPRODUCT(INDEX($AL$77:$AN$82,,$AE452),INDEX($AO$77:$AU$82,,$AD452), N($AK$77:$AK$82&gt;$AI452)) / BG452 / 1000</f>
        <v>0</v>
      </c>
      <c r="BI452" s="250">
        <f t="shared" si="520"/>
        <v>30</v>
      </c>
      <c r="BJ452" s="237">
        <f t="shared" si="534"/>
        <v>46.033333333333331</v>
      </c>
      <c r="BK452" s="253">
        <f t="shared" si="535"/>
        <v>3.2297395388556791</v>
      </c>
      <c r="BL452" s="253" cm="1">
        <f t="array" ref="BL452">$BC452 * IF($AD452&lt;=2,
SUMPRODUCT(INDEX($AL$72:$AN$76,,$AE452), INDEX($AO$72:$AU$76,,$AD452), 1 / ($AV$72:$AV$76*BK452 + (1-$AV$72:$AV$76)*BG452), N($AK$72:$AK$76&gt;$AI452)),
SUMPRODUCT(INDEX($AL$67:$AN$76,,$AE452), INDEX($AO$67:$AU$76,,$AD452), 1 / ($AW$67:$AW$76*BK452 + (1-$AW$67:$AW$76)*BG452), N($AK$67:$AK$76&gt;$AI452))
) / 1000</f>
        <v>0</v>
      </c>
      <c r="BM452" s="250">
        <f t="shared" si="521"/>
        <v>25</v>
      </c>
      <c r="BN452" s="237">
        <f t="shared" si="536"/>
        <v>39.516666666666666</v>
      </c>
      <c r="BO452" s="253">
        <f t="shared" si="537"/>
        <v>3.877011788826243</v>
      </c>
      <c r="BP452" s="253" cm="1">
        <f t="array" ref="BP452">$BC452 * IF($AD452&lt;=2,
SUMPRODUCT(INDEX($AL$67:$AN$71,,$AE452), INDEX($AO$67:$AU$71,,$AD452), 1 / ($AV$67:$AV$71*BO452 + (1-$AV$67:$AV$71)*BK452), N($AK$67:$AK$71&gt;$AI452)),
SUMPRODUCT(INDEX($AL$57:$AN$66,,$AE452), INDEX($AO$57:$AU$66,,$AD452), 1 / ($AW$57:$AW$66*BO452 + (1-$AW$57:$AW$66)*BK452), N($AK$57:$AK$66&gt;$AI452))
) / 1000</f>
        <v>0</v>
      </c>
      <c r="BQ452" s="250">
        <f t="shared" si="522"/>
        <v>20</v>
      </c>
      <c r="BR452" s="237">
        <f t="shared" si="538"/>
        <v>33</v>
      </c>
      <c r="BS452" s="253">
        <f t="shared" si="539"/>
        <v>4.8487499999999999</v>
      </c>
      <c r="BT452" s="253" cm="1">
        <f t="array" ref="BT452">$BC452 * IF($AD452&lt;=2,
SUMPRODUCT(INDEX($AL$62:$AN$66,,$AE452), INDEX($AO$62:$AU$66,,$AD452), 1 / ($AV$62:$AV$66*BS452 + (1-$AV$62:$AV$66)*BO452), N($AK$62:$AK$66&gt;$AI452)),
SUMPRODUCT(INDEX($AL$47:$AN$56,,$AE452), INDEX($AO$47:$AU$56,,$AD452), 1 / ($AW$47:$AW$56*BS452 + (1-$AW$47:$AW$56)*BO452), N($AK$47:$AK$56&gt;$AI452))
) / 1000</f>
        <v>0</v>
      </c>
      <c r="BU452" s="253" cm="1">
        <f t="array" ref="BU452">$BC452 * IF($AD452&lt;=2,
SUMPRODUCT(INDEX($AL$23:$AN$61,,$AE452), INDEX($AO$23:$AU$61,,$AD452), 1 / ($AV$23:$AV$61*BS452), N($AK$23:$AK$61&gt;$AI452)),
SUMPRODUCT(INDEX($AL$23:$AN$46,,$AE452), INDEX($AO$23:$AU$46,,$AD452), 1 / ($AW$23:$AW$46*BS452), N($AK$23:$AK$46&gt;$AI452))
) / 1000</f>
        <v>0</v>
      </c>
      <c r="BV452" s="237">
        <f t="shared" si="540"/>
        <v>0</v>
      </c>
      <c r="BW452" s="210"/>
      <c r="BX452" s="237">
        <f t="shared" si="541"/>
        <v>0</v>
      </c>
      <c r="BY452" s="236">
        <v>35</v>
      </c>
      <c r="BZ452" s="237">
        <f t="shared" si="542"/>
        <v>48</v>
      </c>
      <c r="CA452" s="253">
        <f t="shared" si="543"/>
        <v>3.0748170731707316</v>
      </c>
      <c r="CB452" s="253" cm="1">
        <f t="array" ref="CB452">$BC452 * SUMPRODUCT(INDEX($AL$77:$AN$82,,$AE452),INDEX($AO$77:$AU$82,,$AD452), N($AK$77:$AK$82&gt;$AI452)) / CA452 / 1000</f>
        <v>0</v>
      </c>
      <c r="CC452" s="250">
        <f t="shared" si="523"/>
        <v>30</v>
      </c>
      <c r="CD452" s="237">
        <f t="shared" si="544"/>
        <v>43</v>
      </c>
      <c r="CE452" s="253">
        <f t="shared" si="545"/>
        <v>3.5018750000000001</v>
      </c>
      <c r="CF452" s="253" cm="1">
        <f t="array" ref="CF452">$BC452 * IF($AD452&lt;=2,
SUMPRODUCT(INDEX($AL$72:$AN$76,,$AE452), INDEX($AO$72:$AU$76,,$AD452), 1 / ($AV$72:$AV$76*CE452 + (1-$AV$72:$AV$76)*CA452), N($AK$72:$AK$76&gt;$AI452)),
SUMPRODUCT(INDEX($AL$67:$AN$76,,$AE452), INDEX($AO$67:$AU$76,,$AD452), 1 / ($AW$67:$AW$76*CE452 + (1-$AW$67:$AW$76)*CA452), N($AK$67:$AK$76&gt;$AI452))
) / 1000</f>
        <v>0</v>
      </c>
      <c r="CG452" s="250">
        <f t="shared" si="524"/>
        <v>25</v>
      </c>
      <c r="CH452" s="237">
        <f t="shared" si="546"/>
        <v>38</v>
      </c>
      <c r="CI452" s="253">
        <f t="shared" si="547"/>
        <v>4.0666935483870965</v>
      </c>
      <c r="CJ452" s="253" cm="1">
        <f t="array" ref="CJ452">$BC452 * IF($AD452&lt;=2,
SUMPRODUCT(INDEX($AL$67:$AN$71,,$AE452), INDEX($AO$67:$AU$71,,$AD452), 1 / ($AV$67:$AV$71*CI452 + (1-$AV$67:$AV$71)*CE452), N($AK$67:$AK$71&gt;$AI452)),
SUMPRODUCT(INDEX($AL$57:$AN$66,,$AE452), INDEX($AO$57:$AU$66,,$AD452), 1 / ($AW$57:$AW$66*CI452 + (1-$AW$57:$AW$66)*CE452), N($AK$57:$AK$66&gt;$AI452))
) / 1000</f>
        <v>0</v>
      </c>
      <c r="CK452" s="250">
        <f t="shared" si="525"/>
        <v>20</v>
      </c>
      <c r="CL452" s="237">
        <f t="shared" si="548"/>
        <v>33</v>
      </c>
      <c r="CM452" s="253">
        <f t="shared" si="549"/>
        <v>4.8487499999999999</v>
      </c>
      <c r="CN452" s="253" cm="1">
        <f t="array" ref="CN452">$BC452 * IF($AD452&lt;=2,
SUMPRODUCT(INDEX($AL$62:$AN$66,,$AE452), INDEX($AO$62:$AU$66,,$AD452), 1 / ($AV$62:$AV$66*CM452 + (1-$AV$62:$AV$66)*CI452), N($AK$62:$AK$66&gt;$AI452)),
SUMPRODUCT(INDEX($AL$47:$AN$56,,$AE452), INDEX($AO$47:$AU$56,,$AD452), 1 / ($AW$47:$AW$56*CM452 + (1-$AW$47:$AW$56)*CI452), N($AK$47:$AK$56&gt;$AI452))
) / 1000</f>
        <v>0</v>
      </c>
      <c r="CO452" s="253" cm="1">
        <f t="array" ref="CO452">$BC452 * IF($AD452&lt;=2,
SUMPRODUCT(INDEX($AL$23:$AN$61,,$AE452), INDEX($AO$23:$AU$61,,$AD452), 1 / ($AV$23:$AV$61*CM452), N($AK$23:$AK$61&gt;$AI452)),
SUMPRODUCT(INDEX($AL$23:$AN$46,,$AE452), INDEX($AO$23:$AU$46,,$AD452), 1 / ($AW$23:$AW$46*CM452), N($AK$23:$AK$46&gt;$AI452))
) / 1000</f>
        <v>0</v>
      </c>
      <c r="CP452" s="237">
        <f t="shared" si="550"/>
        <v>0</v>
      </c>
      <c r="CQ452" s="210"/>
    </row>
    <row r="453" spans="1:95" s="76" customFormat="1" ht="14.25" customHeight="1" x14ac:dyDescent="0.2">
      <c r="A453" s="238" t="b">
        <f t="shared" si="517"/>
        <v>0</v>
      </c>
      <c r="B453" s="239">
        <v>431</v>
      </c>
      <c r="C453" s="258"/>
      <c r="D453" s="258"/>
      <c r="E453" s="240"/>
      <c r="F453" s="241" t="str">
        <f>IF(ISBLANK(E453), "", VLOOKUP(E453, Z!$A$2:$C$4127, 3, FALSE))</f>
        <v/>
      </c>
      <c r="G453" s="242"/>
      <c r="H453" s="242"/>
      <c r="I453" s="243"/>
      <c r="J453" s="244"/>
      <c r="K453" s="259"/>
      <c r="L453" s="260"/>
      <c r="M453" s="247" t="str" cm="1">
        <f t="array" ref="M453">IF($K453&gt;0, INDEX(Clean,1+AG453,$C$1), "")</f>
        <v/>
      </c>
      <c r="N453" s="245"/>
      <c r="O453" s="245"/>
      <c r="P453" s="246"/>
      <c r="Q453" s="248">
        <f t="shared" si="527"/>
        <v>0</v>
      </c>
      <c r="R453" s="247" t="str" cm="1">
        <f t="array" ref="R453">IF($K453&gt;0, INDEX(Clean,1+AH453,$C$1), "")</f>
        <v/>
      </c>
      <c r="S453" s="245"/>
      <c r="T453" s="245"/>
      <c r="U453" s="246"/>
      <c r="V453" s="248">
        <f t="shared" si="528"/>
        <v>0</v>
      </c>
      <c r="W453" s="261"/>
      <c r="X453" s="258"/>
      <c r="Y453" s="240"/>
      <c r="Z453" s="241" t="str">
        <f>IF(ISBLANK(Y453), "", VLOOKUP(Y453, Z!$A$2:$C$4127, 3, FALSE))</f>
        <v/>
      </c>
      <c r="AA453" s="262"/>
      <c r="AB453" s="249">
        <f t="shared" si="526"/>
        <v>0</v>
      </c>
      <c r="AC453" s="210"/>
      <c r="AD453" s="236">
        <f t="shared" si="551"/>
        <v>1</v>
      </c>
      <c r="AE453" s="236">
        <f t="shared" si="552"/>
        <v>1</v>
      </c>
      <c r="AF453" s="236">
        <f t="shared" si="553"/>
        <v>0</v>
      </c>
      <c r="AG453" s="236">
        <v>1</v>
      </c>
      <c r="AH453" s="236">
        <v>0</v>
      </c>
      <c r="AI453" s="236">
        <f t="shared" si="529"/>
        <v>-100</v>
      </c>
      <c r="AJ453" s="210"/>
      <c r="AK453" s="254"/>
      <c r="AL453" s="254"/>
      <c r="AM453" s="255"/>
      <c r="AN453" s="255"/>
      <c r="AO453" s="255"/>
      <c r="AP453" s="255"/>
      <c r="AQ453" s="255"/>
      <c r="AR453" s="255"/>
      <c r="AS453" s="255"/>
      <c r="AT453" s="255"/>
      <c r="AU453" s="255"/>
      <c r="AV453" s="255"/>
      <c r="AW453" s="255"/>
      <c r="AX453" s="210"/>
      <c r="AY453" s="236" cm="1">
        <f t="array" ref="AY453">INDEX(Use, $AD453, 4)</f>
        <v>7</v>
      </c>
      <c r="AZ453" s="236">
        <f t="shared" si="530"/>
        <v>32</v>
      </c>
      <c r="BA453" s="236">
        <f t="shared" si="518"/>
        <v>13</v>
      </c>
      <c r="BB453" s="236">
        <f t="shared" si="519"/>
        <v>0</v>
      </c>
      <c r="BC453" s="252" cm="1">
        <f t="array" ref="BC453">K453/IF($L453&gt;0, INDEX($AO$23:$AU$77, $L453+20, $AD453), 1)</f>
        <v>0</v>
      </c>
      <c r="BD453" s="237">
        <f t="shared" si="531"/>
        <v>0</v>
      </c>
      <c r="BE453" s="236">
        <v>35</v>
      </c>
      <c r="BF453" s="237">
        <f t="shared" si="532"/>
        <v>52.55</v>
      </c>
      <c r="BG453" s="253">
        <f t="shared" si="533"/>
        <v>2.7676728869374316</v>
      </c>
      <c r="BH453" s="253" cm="1">
        <f t="array" ref="BH453">$BC453 * SUMPRODUCT(INDEX($AL$77:$AN$82,,$AE453),INDEX($AO$77:$AU$82,,$AD453), N($AK$77:$AK$82&gt;$AI453)) / BG453 / 1000</f>
        <v>0</v>
      </c>
      <c r="BI453" s="250">
        <f t="shared" si="520"/>
        <v>30</v>
      </c>
      <c r="BJ453" s="237">
        <f t="shared" si="534"/>
        <v>46.033333333333331</v>
      </c>
      <c r="BK453" s="253">
        <f t="shared" si="535"/>
        <v>3.2297395388556791</v>
      </c>
      <c r="BL453" s="253" cm="1">
        <f t="array" ref="BL453">$BC453 * IF($AD453&lt;=2,
SUMPRODUCT(INDEX($AL$72:$AN$76,,$AE453), INDEX($AO$72:$AU$76,,$AD453), 1 / ($AV$72:$AV$76*BK453 + (1-$AV$72:$AV$76)*BG453), N($AK$72:$AK$76&gt;$AI453)),
SUMPRODUCT(INDEX($AL$67:$AN$76,,$AE453), INDEX($AO$67:$AU$76,,$AD453), 1 / ($AW$67:$AW$76*BK453 + (1-$AW$67:$AW$76)*BG453), N($AK$67:$AK$76&gt;$AI453))
) / 1000</f>
        <v>0</v>
      </c>
      <c r="BM453" s="250">
        <f t="shared" si="521"/>
        <v>25</v>
      </c>
      <c r="BN453" s="237">
        <f t="shared" si="536"/>
        <v>39.516666666666666</v>
      </c>
      <c r="BO453" s="253">
        <f t="shared" si="537"/>
        <v>3.877011788826243</v>
      </c>
      <c r="BP453" s="253" cm="1">
        <f t="array" ref="BP453">$BC453 * IF($AD453&lt;=2,
SUMPRODUCT(INDEX($AL$67:$AN$71,,$AE453), INDEX($AO$67:$AU$71,,$AD453), 1 / ($AV$67:$AV$71*BO453 + (1-$AV$67:$AV$71)*BK453), N($AK$67:$AK$71&gt;$AI453)),
SUMPRODUCT(INDEX($AL$57:$AN$66,,$AE453), INDEX($AO$57:$AU$66,,$AD453), 1 / ($AW$57:$AW$66*BO453 + (1-$AW$57:$AW$66)*BK453), N($AK$57:$AK$66&gt;$AI453))
) / 1000</f>
        <v>0</v>
      </c>
      <c r="BQ453" s="250">
        <f t="shared" si="522"/>
        <v>20</v>
      </c>
      <c r="BR453" s="237">
        <f t="shared" si="538"/>
        <v>33</v>
      </c>
      <c r="BS453" s="253">
        <f t="shared" si="539"/>
        <v>4.8487499999999999</v>
      </c>
      <c r="BT453" s="253" cm="1">
        <f t="array" ref="BT453">$BC453 * IF($AD453&lt;=2,
SUMPRODUCT(INDEX($AL$62:$AN$66,,$AE453), INDEX($AO$62:$AU$66,,$AD453), 1 / ($AV$62:$AV$66*BS453 + (1-$AV$62:$AV$66)*BO453), N($AK$62:$AK$66&gt;$AI453)),
SUMPRODUCT(INDEX($AL$47:$AN$56,,$AE453), INDEX($AO$47:$AU$56,,$AD453), 1 / ($AW$47:$AW$56*BS453 + (1-$AW$47:$AW$56)*BO453), N($AK$47:$AK$56&gt;$AI453))
) / 1000</f>
        <v>0</v>
      </c>
      <c r="BU453" s="253" cm="1">
        <f t="array" ref="BU453">$BC453 * IF($AD453&lt;=2,
SUMPRODUCT(INDEX($AL$23:$AN$61,,$AE453), INDEX($AO$23:$AU$61,,$AD453), 1 / ($AV$23:$AV$61*BS453), N($AK$23:$AK$61&gt;$AI453)),
SUMPRODUCT(INDEX($AL$23:$AN$46,,$AE453), INDEX($AO$23:$AU$46,,$AD453), 1 / ($AW$23:$AW$46*BS453), N($AK$23:$AK$46&gt;$AI453))
) / 1000</f>
        <v>0</v>
      </c>
      <c r="BV453" s="237">
        <f t="shared" si="540"/>
        <v>0</v>
      </c>
      <c r="BW453" s="210"/>
      <c r="BX453" s="237">
        <f t="shared" si="541"/>
        <v>0</v>
      </c>
      <c r="BY453" s="236">
        <v>35</v>
      </c>
      <c r="BZ453" s="237">
        <f t="shared" si="542"/>
        <v>48</v>
      </c>
      <c r="CA453" s="253">
        <f t="shared" si="543"/>
        <v>3.0748170731707316</v>
      </c>
      <c r="CB453" s="253" cm="1">
        <f t="array" ref="CB453">$BC453 * SUMPRODUCT(INDEX($AL$77:$AN$82,,$AE453),INDEX($AO$77:$AU$82,,$AD453), N($AK$77:$AK$82&gt;$AI453)) / CA453 / 1000</f>
        <v>0</v>
      </c>
      <c r="CC453" s="250">
        <f t="shared" si="523"/>
        <v>30</v>
      </c>
      <c r="CD453" s="237">
        <f t="shared" si="544"/>
        <v>43</v>
      </c>
      <c r="CE453" s="253">
        <f t="shared" si="545"/>
        <v>3.5018750000000001</v>
      </c>
      <c r="CF453" s="253" cm="1">
        <f t="array" ref="CF453">$BC453 * IF($AD453&lt;=2,
SUMPRODUCT(INDEX($AL$72:$AN$76,,$AE453), INDEX($AO$72:$AU$76,,$AD453), 1 / ($AV$72:$AV$76*CE453 + (1-$AV$72:$AV$76)*CA453), N($AK$72:$AK$76&gt;$AI453)),
SUMPRODUCT(INDEX($AL$67:$AN$76,,$AE453), INDEX($AO$67:$AU$76,,$AD453), 1 / ($AW$67:$AW$76*CE453 + (1-$AW$67:$AW$76)*CA453), N($AK$67:$AK$76&gt;$AI453))
) / 1000</f>
        <v>0</v>
      </c>
      <c r="CG453" s="250">
        <f t="shared" si="524"/>
        <v>25</v>
      </c>
      <c r="CH453" s="237">
        <f t="shared" si="546"/>
        <v>38</v>
      </c>
      <c r="CI453" s="253">
        <f t="shared" si="547"/>
        <v>4.0666935483870965</v>
      </c>
      <c r="CJ453" s="253" cm="1">
        <f t="array" ref="CJ453">$BC453 * IF($AD453&lt;=2,
SUMPRODUCT(INDEX($AL$67:$AN$71,,$AE453), INDEX($AO$67:$AU$71,,$AD453), 1 / ($AV$67:$AV$71*CI453 + (1-$AV$67:$AV$71)*CE453), N($AK$67:$AK$71&gt;$AI453)),
SUMPRODUCT(INDEX($AL$57:$AN$66,,$AE453), INDEX($AO$57:$AU$66,,$AD453), 1 / ($AW$57:$AW$66*CI453 + (1-$AW$57:$AW$66)*CE453), N($AK$57:$AK$66&gt;$AI453))
) / 1000</f>
        <v>0</v>
      </c>
      <c r="CK453" s="250">
        <f t="shared" si="525"/>
        <v>20</v>
      </c>
      <c r="CL453" s="237">
        <f t="shared" si="548"/>
        <v>33</v>
      </c>
      <c r="CM453" s="253">
        <f t="shared" si="549"/>
        <v>4.8487499999999999</v>
      </c>
      <c r="CN453" s="253" cm="1">
        <f t="array" ref="CN453">$BC453 * IF($AD453&lt;=2,
SUMPRODUCT(INDEX($AL$62:$AN$66,,$AE453), INDEX($AO$62:$AU$66,,$AD453), 1 / ($AV$62:$AV$66*CM453 + (1-$AV$62:$AV$66)*CI453), N($AK$62:$AK$66&gt;$AI453)),
SUMPRODUCT(INDEX($AL$47:$AN$56,,$AE453), INDEX($AO$47:$AU$56,,$AD453), 1 / ($AW$47:$AW$56*CM453 + (1-$AW$47:$AW$56)*CI453), N($AK$47:$AK$56&gt;$AI453))
) / 1000</f>
        <v>0</v>
      </c>
      <c r="CO453" s="253" cm="1">
        <f t="array" ref="CO453">$BC453 * IF($AD453&lt;=2,
SUMPRODUCT(INDEX($AL$23:$AN$61,,$AE453), INDEX($AO$23:$AU$61,,$AD453), 1 / ($AV$23:$AV$61*CM453), N($AK$23:$AK$61&gt;$AI453)),
SUMPRODUCT(INDEX($AL$23:$AN$46,,$AE453), INDEX($AO$23:$AU$46,,$AD453), 1 / ($AW$23:$AW$46*CM453), N($AK$23:$AK$46&gt;$AI453))
) / 1000</f>
        <v>0</v>
      </c>
      <c r="CP453" s="237">
        <f t="shared" si="550"/>
        <v>0</v>
      </c>
      <c r="CQ453" s="210"/>
    </row>
    <row r="454" spans="1:95" s="76" customFormat="1" ht="14.25" customHeight="1" x14ac:dyDescent="0.2">
      <c r="A454" s="238" t="b">
        <f t="shared" si="517"/>
        <v>0</v>
      </c>
      <c r="B454" s="239">
        <v>432</v>
      </c>
      <c r="C454" s="258"/>
      <c r="D454" s="258"/>
      <c r="E454" s="240"/>
      <c r="F454" s="241" t="str">
        <f>IF(ISBLANK(E454), "", VLOOKUP(E454, Z!$A$2:$C$4127, 3, FALSE))</f>
        <v/>
      </c>
      <c r="G454" s="242"/>
      <c r="H454" s="242"/>
      <c r="I454" s="243"/>
      <c r="J454" s="244"/>
      <c r="K454" s="259"/>
      <c r="L454" s="260"/>
      <c r="M454" s="247" t="str" cm="1">
        <f t="array" ref="M454">IF($K454&gt;0, INDEX(Clean,1+AG454,$C$1), "")</f>
        <v/>
      </c>
      <c r="N454" s="245"/>
      <c r="O454" s="245"/>
      <c r="P454" s="246"/>
      <c r="Q454" s="248">
        <f t="shared" si="527"/>
        <v>0</v>
      </c>
      <c r="R454" s="247" t="str" cm="1">
        <f t="array" ref="R454">IF($K454&gt;0, INDEX(Clean,1+AH454,$C$1), "")</f>
        <v/>
      </c>
      <c r="S454" s="245"/>
      <c r="T454" s="245"/>
      <c r="U454" s="246"/>
      <c r="V454" s="248">
        <f t="shared" si="528"/>
        <v>0</v>
      </c>
      <c r="W454" s="261"/>
      <c r="X454" s="258"/>
      <c r="Y454" s="240"/>
      <c r="Z454" s="241" t="str">
        <f>IF(ISBLANK(Y454), "", VLOOKUP(Y454, Z!$A$2:$C$4127, 3, FALSE))</f>
        <v/>
      </c>
      <c r="AA454" s="262"/>
      <c r="AB454" s="249">
        <f t="shared" si="526"/>
        <v>0</v>
      </c>
      <c r="AC454" s="210"/>
      <c r="AD454" s="236">
        <f t="shared" si="551"/>
        <v>1</v>
      </c>
      <c r="AE454" s="236">
        <f t="shared" si="552"/>
        <v>1</v>
      </c>
      <c r="AF454" s="236">
        <f t="shared" si="553"/>
        <v>0</v>
      </c>
      <c r="AG454" s="236">
        <v>1</v>
      </c>
      <c r="AH454" s="236">
        <v>0</v>
      </c>
      <c r="AI454" s="236">
        <f t="shared" si="529"/>
        <v>-100</v>
      </c>
      <c r="AJ454" s="210"/>
      <c r="AK454" s="254"/>
      <c r="AL454" s="254"/>
      <c r="AM454" s="255"/>
      <c r="AN454" s="255"/>
      <c r="AO454" s="255"/>
      <c r="AP454" s="255"/>
      <c r="AQ454" s="255"/>
      <c r="AR454" s="255"/>
      <c r="AS454" s="255"/>
      <c r="AT454" s="255"/>
      <c r="AU454" s="255"/>
      <c r="AV454" s="255"/>
      <c r="AW454" s="255"/>
      <c r="AX454" s="210"/>
      <c r="AY454" s="236" cm="1">
        <f t="array" ref="AY454">INDEX(Use, $AD454, 4)</f>
        <v>7</v>
      </c>
      <c r="AZ454" s="236">
        <f t="shared" si="530"/>
        <v>32</v>
      </c>
      <c r="BA454" s="236">
        <f t="shared" si="518"/>
        <v>13</v>
      </c>
      <c r="BB454" s="236">
        <f t="shared" si="519"/>
        <v>0</v>
      </c>
      <c r="BC454" s="252" cm="1">
        <f t="array" ref="BC454">K454/IF($L454&gt;0, INDEX($AO$23:$AU$77, $L454+20, $AD454), 1)</f>
        <v>0</v>
      </c>
      <c r="BD454" s="237">
        <f t="shared" si="531"/>
        <v>0</v>
      </c>
      <c r="BE454" s="236">
        <v>35</v>
      </c>
      <c r="BF454" s="237">
        <f t="shared" si="532"/>
        <v>52.55</v>
      </c>
      <c r="BG454" s="253">
        <f t="shared" si="533"/>
        <v>2.7676728869374316</v>
      </c>
      <c r="BH454" s="253" cm="1">
        <f t="array" ref="BH454">$BC454 * SUMPRODUCT(INDEX($AL$77:$AN$82,,$AE454),INDEX($AO$77:$AU$82,,$AD454), N($AK$77:$AK$82&gt;$AI454)) / BG454 / 1000</f>
        <v>0</v>
      </c>
      <c r="BI454" s="250">
        <f t="shared" si="520"/>
        <v>30</v>
      </c>
      <c r="BJ454" s="237">
        <f t="shared" si="534"/>
        <v>46.033333333333331</v>
      </c>
      <c r="BK454" s="253">
        <f t="shared" si="535"/>
        <v>3.2297395388556791</v>
      </c>
      <c r="BL454" s="253" cm="1">
        <f t="array" ref="BL454">$BC454 * IF($AD454&lt;=2,
SUMPRODUCT(INDEX($AL$72:$AN$76,,$AE454), INDEX($AO$72:$AU$76,,$AD454), 1 / ($AV$72:$AV$76*BK454 + (1-$AV$72:$AV$76)*BG454), N($AK$72:$AK$76&gt;$AI454)),
SUMPRODUCT(INDEX($AL$67:$AN$76,,$AE454), INDEX($AO$67:$AU$76,,$AD454), 1 / ($AW$67:$AW$76*BK454 + (1-$AW$67:$AW$76)*BG454), N($AK$67:$AK$76&gt;$AI454))
) / 1000</f>
        <v>0</v>
      </c>
      <c r="BM454" s="250">
        <f t="shared" si="521"/>
        <v>25</v>
      </c>
      <c r="BN454" s="237">
        <f t="shared" si="536"/>
        <v>39.516666666666666</v>
      </c>
      <c r="BO454" s="253">
        <f t="shared" si="537"/>
        <v>3.877011788826243</v>
      </c>
      <c r="BP454" s="253" cm="1">
        <f t="array" ref="BP454">$BC454 * IF($AD454&lt;=2,
SUMPRODUCT(INDEX($AL$67:$AN$71,,$AE454), INDEX($AO$67:$AU$71,,$AD454), 1 / ($AV$67:$AV$71*BO454 + (1-$AV$67:$AV$71)*BK454), N($AK$67:$AK$71&gt;$AI454)),
SUMPRODUCT(INDEX($AL$57:$AN$66,,$AE454), INDEX($AO$57:$AU$66,,$AD454), 1 / ($AW$57:$AW$66*BO454 + (1-$AW$57:$AW$66)*BK454), N($AK$57:$AK$66&gt;$AI454))
) / 1000</f>
        <v>0</v>
      </c>
      <c r="BQ454" s="250">
        <f t="shared" si="522"/>
        <v>20</v>
      </c>
      <c r="BR454" s="237">
        <f t="shared" si="538"/>
        <v>33</v>
      </c>
      <c r="BS454" s="253">
        <f t="shared" si="539"/>
        <v>4.8487499999999999</v>
      </c>
      <c r="BT454" s="253" cm="1">
        <f t="array" ref="BT454">$BC454 * IF($AD454&lt;=2,
SUMPRODUCT(INDEX($AL$62:$AN$66,,$AE454), INDEX($AO$62:$AU$66,,$AD454), 1 / ($AV$62:$AV$66*BS454 + (1-$AV$62:$AV$66)*BO454), N($AK$62:$AK$66&gt;$AI454)),
SUMPRODUCT(INDEX($AL$47:$AN$56,,$AE454), INDEX($AO$47:$AU$56,,$AD454), 1 / ($AW$47:$AW$56*BS454 + (1-$AW$47:$AW$56)*BO454), N($AK$47:$AK$56&gt;$AI454))
) / 1000</f>
        <v>0</v>
      </c>
      <c r="BU454" s="253" cm="1">
        <f t="array" ref="BU454">$BC454 * IF($AD454&lt;=2,
SUMPRODUCT(INDEX($AL$23:$AN$61,,$AE454), INDEX($AO$23:$AU$61,,$AD454), 1 / ($AV$23:$AV$61*BS454), N($AK$23:$AK$61&gt;$AI454)),
SUMPRODUCT(INDEX($AL$23:$AN$46,,$AE454), INDEX($AO$23:$AU$46,,$AD454), 1 / ($AW$23:$AW$46*BS454), N($AK$23:$AK$46&gt;$AI454))
) / 1000</f>
        <v>0</v>
      </c>
      <c r="BV454" s="237">
        <f t="shared" si="540"/>
        <v>0</v>
      </c>
      <c r="BW454" s="210"/>
      <c r="BX454" s="237">
        <f t="shared" si="541"/>
        <v>0</v>
      </c>
      <c r="BY454" s="236">
        <v>35</v>
      </c>
      <c r="BZ454" s="237">
        <f t="shared" si="542"/>
        <v>48</v>
      </c>
      <c r="CA454" s="253">
        <f t="shared" si="543"/>
        <v>3.0748170731707316</v>
      </c>
      <c r="CB454" s="253" cm="1">
        <f t="array" ref="CB454">$BC454 * SUMPRODUCT(INDEX($AL$77:$AN$82,,$AE454),INDEX($AO$77:$AU$82,,$AD454), N($AK$77:$AK$82&gt;$AI454)) / CA454 / 1000</f>
        <v>0</v>
      </c>
      <c r="CC454" s="250">
        <f t="shared" si="523"/>
        <v>30</v>
      </c>
      <c r="CD454" s="237">
        <f t="shared" si="544"/>
        <v>43</v>
      </c>
      <c r="CE454" s="253">
        <f t="shared" si="545"/>
        <v>3.5018750000000001</v>
      </c>
      <c r="CF454" s="253" cm="1">
        <f t="array" ref="CF454">$BC454 * IF($AD454&lt;=2,
SUMPRODUCT(INDEX($AL$72:$AN$76,,$AE454), INDEX($AO$72:$AU$76,,$AD454), 1 / ($AV$72:$AV$76*CE454 + (1-$AV$72:$AV$76)*CA454), N($AK$72:$AK$76&gt;$AI454)),
SUMPRODUCT(INDEX($AL$67:$AN$76,,$AE454), INDEX($AO$67:$AU$76,,$AD454), 1 / ($AW$67:$AW$76*CE454 + (1-$AW$67:$AW$76)*CA454), N($AK$67:$AK$76&gt;$AI454))
) / 1000</f>
        <v>0</v>
      </c>
      <c r="CG454" s="250">
        <f t="shared" si="524"/>
        <v>25</v>
      </c>
      <c r="CH454" s="237">
        <f t="shared" si="546"/>
        <v>38</v>
      </c>
      <c r="CI454" s="253">
        <f t="shared" si="547"/>
        <v>4.0666935483870965</v>
      </c>
      <c r="CJ454" s="253" cm="1">
        <f t="array" ref="CJ454">$BC454 * IF($AD454&lt;=2,
SUMPRODUCT(INDEX($AL$67:$AN$71,,$AE454), INDEX($AO$67:$AU$71,,$AD454), 1 / ($AV$67:$AV$71*CI454 + (1-$AV$67:$AV$71)*CE454), N($AK$67:$AK$71&gt;$AI454)),
SUMPRODUCT(INDEX($AL$57:$AN$66,,$AE454), INDEX($AO$57:$AU$66,,$AD454), 1 / ($AW$57:$AW$66*CI454 + (1-$AW$57:$AW$66)*CE454), N($AK$57:$AK$66&gt;$AI454))
) / 1000</f>
        <v>0</v>
      </c>
      <c r="CK454" s="250">
        <f t="shared" si="525"/>
        <v>20</v>
      </c>
      <c r="CL454" s="237">
        <f t="shared" si="548"/>
        <v>33</v>
      </c>
      <c r="CM454" s="253">
        <f t="shared" si="549"/>
        <v>4.8487499999999999</v>
      </c>
      <c r="CN454" s="253" cm="1">
        <f t="array" ref="CN454">$BC454 * IF($AD454&lt;=2,
SUMPRODUCT(INDEX($AL$62:$AN$66,,$AE454), INDEX($AO$62:$AU$66,,$AD454), 1 / ($AV$62:$AV$66*CM454 + (1-$AV$62:$AV$66)*CI454), N($AK$62:$AK$66&gt;$AI454)),
SUMPRODUCT(INDEX($AL$47:$AN$56,,$AE454), INDEX($AO$47:$AU$56,,$AD454), 1 / ($AW$47:$AW$56*CM454 + (1-$AW$47:$AW$56)*CI454), N($AK$47:$AK$56&gt;$AI454))
) / 1000</f>
        <v>0</v>
      </c>
      <c r="CO454" s="253" cm="1">
        <f t="array" ref="CO454">$BC454 * IF($AD454&lt;=2,
SUMPRODUCT(INDEX($AL$23:$AN$61,,$AE454), INDEX($AO$23:$AU$61,,$AD454), 1 / ($AV$23:$AV$61*CM454), N($AK$23:$AK$61&gt;$AI454)),
SUMPRODUCT(INDEX($AL$23:$AN$46,,$AE454), INDEX($AO$23:$AU$46,,$AD454), 1 / ($AW$23:$AW$46*CM454), N($AK$23:$AK$46&gt;$AI454))
) / 1000</f>
        <v>0</v>
      </c>
      <c r="CP454" s="237">
        <f t="shared" si="550"/>
        <v>0</v>
      </c>
      <c r="CQ454" s="210"/>
    </row>
    <row r="455" spans="1:95" s="76" customFormat="1" ht="14.25" customHeight="1" x14ac:dyDescent="0.2">
      <c r="A455" s="238" t="b">
        <f t="shared" si="517"/>
        <v>0</v>
      </c>
      <c r="B455" s="239">
        <v>433</v>
      </c>
      <c r="C455" s="258"/>
      <c r="D455" s="258"/>
      <c r="E455" s="240"/>
      <c r="F455" s="241" t="str">
        <f>IF(ISBLANK(E455), "", VLOOKUP(E455, Z!$A$2:$C$4127, 3, FALSE))</f>
        <v/>
      </c>
      <c r="G455" s="242"/>
      <c r="H455" s="242"/>
      <c r="I455" s="243"/>
      <c r="J455" s="244"/>
      <c r="K455" s="259"/>
      <c r="L455" s="260"/>
      <c r="M455" s="247" t="str" cm="1">
        <f t="array" ref="M455">IF($K455&gt;0, INDEX(Clean,1+AG455,$C$1), "")</f>
        <v/>
      </c>
      <c r="N455" s="245"/>
      <c r="O455" s="245"/>
      <c r="P455" s="246"/>
      <c r="Q455" s="248">
        <f t="shared" si="527"/>
        <v>0</v>
      </c>
      <c r="R455" s="247" t="str" cm="1">
        <f t="array" ref="R455">IF($K455&gt;0, INDEX(Clean,1+AH455,$C$1), "")</f>
        <v/>
      </c>
      <c r="S455" s="245"/>
      <c r="T455" s="245"/>
      <c r="U455" s="246"/>
      <c r="V455" s="248">
        <f t="shared" si="528"/>
        <v>0</v>
      </c>
      <c r="W455" s="261"/>
      <c r="X455" s="258"/>
      <c r="Y455" s="240"/>
      <c r="Z455" s="241" t="str">
        <f>IF(ISBLANK(Y455), "", VLOOKUP(Y455, Z!$A$2:$C$4127, 3, FALSE))</f>
        <v/>
      </c>
      <c r="AA455" s="262"/>
      <c r="AB455" s="249">
        <f t="shared" si="526"/>
        <v>0</v>
      </c>
      <c r="AC455" s="210"/>
      <c r="AD455" s="236">
        <f t="shared" si="551"/>
        <v>1</v>
      </c>
      <c r="AE455" s="236">
        <f t="shared" si="552"/>
        <v>1</v>
      </c>
      <c r="AF455" s="236">
        <f t="shared" si="553"/>
        <v>0</v>
      </c>
      <c r="AG455" s="236">
        <v>1</v>
      </c>
      <c r="AH455" s="236">
        <v>0</v>
      </c>
      <c r="AI455" s="236">
        <f t="shared" si="529"/>
        <v>-100</v>
      </c>
      <c r="AJ455" s="210"/>
      <c r="AK455" s="254"/>
      <c r="AL455" s="254"/>
      <c r="AM455" s="255"/>
      <c r="AN455" s="255"/>
      <c r="AO455" s="255"/>
      <c r="AP455" s="255"/>
      <c r="AQ455" s="255"/>
      <c r="AR455" s="255"/>
      <c r="AS455" s="255"/>
      <c r="AT455" s="255"/>
      <c r="AU455" s="255"/>
      <c r="AV455" s="255"/>
      <c r="AW455" s="255"/>
      <c r="AX455" s="210"/>
      <c r="AY455" s="236" cm="1">
        <f t="array" ref="AY455">INDEX(Use, $AD455, 4)</f>
        <v>7</v>
      </c>
      <c r="AZ455" s="236">
        <f t="shared" si="530"/>
        <v>32</v>
      </c>
      <c r="BA455" s="236">
        <f t="shared" si="518"/>
        <v>13</v>
      </c>
      <c r="BB455" s="236">
        <f t="shared" si="519"/>
        <v>0</v>
      </c>
      <c r="BC455" s="252" cm="1">
        <f t="array" ref="BC455">K455/IF($L455&gt;0, INDEX($AO$23:$AU$77, $L455+20, $AD455), 1)</f>
        <v>0</v>
      </c>
      <c r="BD455" s="237">
        <f t="shared" si="531"/>
        <v>0</v>
      </c>
      <c r="BE455" s="236">
        <v>35</v>
      </c>
      <c r="BF455" s="237">
        <f t="shared" si="532"/>
        <v>52.55</v>
      </c>
      <c r="BG455" s="253">
        <f t="shared" si="533"/>
        <v>2.7676728869374316</v>
      </c>
      <c r="BH455" s="253" cm="1">
        <f t="array" ref="BH455">$BC455 * SUMPRODUCT(INDEX($AL$77:$AN$82,,$AE455),INDEX($AO$77:$AU$82,,$AD455), N($AK$77:$AK$82&gt;$AI455)) / BG455 / 1000</f>
        <v>0</v>
      </c>
      <c r="BI455" s="250">
        <f t="shared" si="520"/>
        <v>30</v>
      </c>
      <c r="BJ455" s="237">
        <f t="shared" si="534"/>
        <v>46.033333333333331</v>
      </c>
      <c r="BK455" s="253">
        <f t="shared" si="535"/>
        <v>3.2297395388556791</v>
      </c>
      <c r="BL455" s="253" cm="1">
        <f t="array" ref="BL455">$BC455 * IF($AD455&lt;=2,
SUMPRODUCT(INDEX($AL$72:$AN$76,,$AE455), INDEX($AO$72:$AU$76,,$AD455), 1 / ($AV$72:$AV$76*BK455 + (1-$AV$72:$AV$76)*BG455), N($AK$72:$AK$76&gt;$AI455)),
SUMPRODUCT(INDEX($AL$67:$AN$76,,$AE455), INDEX($AO$67:$AU$76,,$AD455), 1 / ($AW$67:$AW$76*BK455 + (1-$AW$67:$AW$76)*BG455), N($AK$67:$AK$76&gt;$AI455))
) / 1000</f>
        <v>0</v>
      </c>
      <c r="BM455" s="250">
        <f t="shared" si="521"/>
        <v>25</v>
      </c>
      <c r="BN455" s="237">
        <f t="shared" si="536"/>
        <v>39.516666666666666</v>
      </c>
      <c r="BO455" s="253">
        <f t="shared" si="537"/>
        <v>3.877011788826243</v>
      </c>
      <c r="BP455" s="253" cm="1">
        <f t="array" ref="BP455">$BC455 * IF($AD455&lt;=2,
SUMPRODUCT(INDEX($AL$67:$AN$71,,$AE455), INDEX($AO$67:$AU$71,,$AD455), 1 / ($AV$67:$AV$71*BO455 + (1-$AV$67:$AV$71)*BK455), N($AK$67:$AK$71&gt;$AI455)),
SUMPRODUCT(INDEX($AL$57:$AN$66,,$AE455), INDEX($AO$57:$AU$66,,$AD455), 1 / ($AW$57:$AW$66*BO455 + (1-$AW$57:$AW$66)*BK455), N($AK$57:$AK$66&gt;$AI455))
) / 1000</f>
        <v>0</v>
      </c>
      <c r="BQ455" s="250">
        <f t="shared" si="522"/>
        <v>20</v>
      </c>
      <c r="BR455" s="237">
        <f t="shared" si="538"/>
        <v>33</v>
      </c>
      <c r="BS455" s="253">
        <f t="shared" si="539"/>
        <v>4.8487499999999999</v>
      </c>
      <c r="BT455" s="253" cm="1">
        <f t="array" ref="BT455">$BC455 * IF($AD455&lt;=2,
SUMPRODUCT(INDEX($AL$62:$AN$66,,$AE455), INDEX($AO$62:$AU$66,,$AD455), 1 / ($AV$62:$AV$66*BS455 + (1-$AV$62:$AV$66)*BO455), N($AK$62:$AK$66&gt;$AI455)),
SUMPRODUCT(INDEX($AL$47:$AN$56,,$AE455), INDEX($AO$47:$AU$56,,$AD455), 1 / ($AW$47:$AW$56*BS455 + (1-$AW$47:$AW$56)*BO455), N($AK$47:$AK$56&gt;$AI455))
) / 1000</f>
        <v>0</v>
      </c>
      <c r="BU455" s="253" cm="1">
        <f t="array" ref="BU455">$BC455 * IF($AD455&lt;=2,
SUMPRODUCT(INDEX($AL$23:$AN$61,,$AE455), INDEX($AO$23:$AU$61,,$AD455), 1 / ($AV$23:$AV$61*BS455), N($AK$23:$AK$61&gt;$AI455)),
SUMPRODUCT(INDEX($AL$23:$AN$46,,$AE455), INDEX($AO$23:$AU$46,,$AD455), 1 / ($AW$23:$AW$46*BS455), N($AK$23:$AK$46&gt;$AI455))
) / 1000</f>
        <v>0</v>
      </c>
      <c r="BV455" s="237">
        <f t="shared" si="540"/>
        <v>0</v>
      </c>
      <c r="BW455" s="210"/>
      <c r="BX455" s="237">
        <f t="shared" si="541"/>
        <v>0</v>
      </c>
      <c r="BY455" s="236">
        <v>35</v>
      </c>
      <c r="BZ455" s="237">
        <f t="shared" si="542"/>
        <v>48</v>
      </c>
      <c r="CA455" s="253">
        <f t="shared" si="543"/>
        <v>3.0748170731707316</v>
      </c>
      <c r="CB455" s="253" cm="1">
        <f t="array" ref="CB455">$BC455 * SUMPRODUCT(INDEX($AL$77:$AN$82,,$AE455),INDEX($AO$77:$AU$82,,$AD455), N($AK$77:$AK$82&gt;$AI455)) / CA455 / 1000</f>
        <v>0</v>
      </c>
      <c r="CC455" s="250">
        <f t="shared" si="523"/>
        <v>30</v>
      </c>
      <c r="CD455" s="237">
        <f t="shared" si="544"/>
        <v>43</v>
      </c>
      <c r="CE455" s="253">
        <f t="shared" si="545"/>
        <v>3.5018750000000001</v>
      </c>
      <c r="CF455" s="253" cm="1">
        <f t="array" ref="CF455">$BC455 * IF($AD455&lt;=2,
SUMPRODUCT(INDEX($AL$72:$AN$76,,$AE455), INDEX($AO$72:$AU$76,,$AD455), 1 / ($AV$72:$AV$76*CE455 + (1-$AV$72:$AV$76)*CA455), N($AK$72:$AK$76&gt;$AI455)),
SUMPRODUCT(INDEX($AL$67:$AN$76,,$AE455), INDEX($AO$67:$AU$76,,$AD455), 1 / ($AW$67:$AW$76*CE455 + (1-$AW$67:$AW$76)*CA455), N($AK$67:$AK$76&gt;$AI455))
) / 1000</f>
        <v>0</v>
      </c>
      <c r="CG455" s="250">
        <f t="shared" si="524"/>
        <v>25</v>
      </c>
      <c r="CH455" s="237">
        <f t="shared" si="546"/>
        <v>38</v>
      </c>
      <c r="CI455" s="253">
        <f t="shared" si="547"/>
        <v>4.0666935483870965</v>
      </c>
      <c r="CJ455" s="253" cm="1">
        <f t="array" ref="CJ455">$BC455 * IF($AD455&lt;=2,
SUMPRODUCT(INDEX($AL$67:$AN$71,,$AE455), INDEX($AO$67:$AU$71,,$AD455), 1 / ($AV$67:$AV$71*CI455 + (1-$AV$67:$AV$71)*CE455), N($AK$67:$AK$71&gt;$AI455)),
SUMPRODUCT(INDEX($AL$57:$AN$66,,$AE455), INDEX($AO$57:$AU$66,,$AD455), 1 / ($AW$57:$AW$66*CI455 + (1-$AW$57:$AW$66)*CE455), N($AK$57:$AK$66&gt;$AI455))
) / 1000</f>
        <v>0</v>
      </c>
      <c r="CK455" s="250">
        <f t="shared" si="525"/>
        <v>20</v>
      </c>
      <c r="CL455" s="237">
        <f t="shared" si="548"/>
        <v>33</v>
      </c>
      <c r="CM455" s="253">
        <f t="shared" si="549"/>
        <v>4.8487499999999999</v>
      </c>
      <c r="CN455" s="253" cm="1">
        <f t="array" ref="CN455">$BC455 * IF($AD455&lt;=2,
SUMPRODUCT(INDEX($AL$62:$AN$66,,$AE455), INDEX($AO$62:$AU$66,,$AD455), 1 / ($AV$62:$AV$66*CM455 + (1-$AV$62:$AV$66)*CI455), N($AK$62:$AK$66&gt;$AI455)),
SUMPRODUCT(INDEX($AL$47:$AN$56,,$AE455), INDEX($AO$47:$AU$56,,$AD455), 1 / ($AW$47:$AW$56*CM455 + (1-$AW$47:$AW$56)*CI455), N($AK$47:$AK$56&gt;$AI455))
) / 1000</f>
        <v>0</v>
      </c>
      <c r="CO455" s="253" cm="1">
        <f t="array" ref="CO455">$BC455 * IF($AD455&lt;=2,
SUMPRODUCT(INDEX($AL$23:$AN$61,,$AE455), INDEX($AO$23:$AU$61,,$AD455), 1 / ($AV$23:$AV$61*CM455), N($AK$23:$AK$61&gt;$AI455)),
SUMPRODUCT(INDEX($AL$23:$AN$46,,$AE455), INDEX($AO$23:$AU$46,,$AD455), 1 / ($AW$23:$AW$46*CM455), N($AK$23:$AK$46&gt;$AI455))
) / 1000</f>
        <v>0</v>
      </c>
      <c r="CP455" s="237">
        <f t="shared" si="550"/>
        <v>0</v>
      </c>
      <c r="CQ455" s="210"/>
    </row>
    <row r="456" spans="1:95" s="76" customFormat="1" ht="14.25" customHeight="1" x14ac:dyDescent="0.2">
      <c r="A456" s="238" t="b">
        <f t="shared" si="517"/>
        <v>0</v>
      </c>
      <c r="B456" s="239">
        <v>434</v>
      </c>
      <c r="C456" s="258"/>
      <c r="D456" s="258"/>
      <c r="E456" s="240"/>
      <c r="F456" s="241" t="str">
        <f>IF(ISBLANK(E456), "", VLOOKUP(E456, Z!$A$2:$C$4127, 3, FALSE))</f>
        <v/>
      </c>
      <c r="G456" s="242"/>
      <c r="H456" s="242"/>
      <c r="I456" s="243"/>
      <c r="J456" s="244"/>
      <c r="K456" s="259"/>
      <c r="L456" s="260"/>
      <c r="M456" s="247" t="str" cm="1">
        <f t="array" ref="M456">IF($K456&gt;0, INDEX(Clean,1+AG456,$C$1), "")</f>
        <v/>
      </c>
      <c r="N456" s="245"/>
      <c r="O456" s="245"/>
      <c r="P456" s="246"/>
      <c r="Q456" s="248">
        <f t="shared" si="527"/>
        <v>0</v>
      </c>
      <c r="R456" s="247" t="str" cm="1">
        <f t="array" ref="R456">IF($K456&gt;0, INDEX(Clean,1+AH456,$C$1), "")</f>
        <v/>
      </c>
      <c r="S456" s="245"/>
      <c r="T456" s="245"/>
      <c r="U456" s="246"/>
      <c r="V456" s="248">
        <f t="shared" si="528"/>
        <v>0</v>
      </c>
      <c r="W456" s="261"/>
      <c r="X456" s="258"/>
      <c r="Y456" s="240"/>
      <c r="Z456" s="241" t="str">
        <f>IF(ISBLANK(Y456), "", VLOOKUP(Y456, Z!$A$2:$C$4127, 3, FALSE))</f>
        <v/>
      </c>
      <c r="AA456" s="262"/>
      <c r="AB456" s="249">
        <f t="shared" si="526"/>
        <v>0</v>
      </c>
      <c r="AC456" s="210"/>
      <c r="AD456" s="236">
        <f t="shared" si="551"/>
        <v>1</v>
      </c>
      <c r="AE456" s="236">
        <f t="shared" si="552"/>
        <v>1</v>
      </c>
      <c r="AF456" s="236">
        <f t="shared" si="553"/>
        <v>0</v>
      </c>
      <c r="AG456" s="236">
        <v>1</v>
      </c>
      <c r="AH456" s="236">
        <v>0</v>
      </c>
      <c r="AI456" s="236">
        <f t="shared" si="529"/>
        <v>-100</v>
      </c>
      <c r="AJ456" s="210"/>
      <c r="AK456" s="254"/>
      <c r="AL456" s="254"/>
      <c r="AM456" s="255"/>
      <c r="AN456" s="255"/>
      <c r="AO456" s="255"/>
      <c r="AP456" s="255"/>
      <c r="AQ456" s="255"/>
      <c r="AR456" s="255"/>
      <c r="AS456" s="255"/>
      <c r="AT456" s="255"/>
      <c r="AU456" s="255"/>
      <c r="AV456" s="255"/>
      <c r="AW456" s="255"/>
      <c r="AX456" s="210"/>
      <c r="AY456" s="236" cm="1">
        <f t="array" ref="AY456">INDEX(Use, $AD456, 4)</f>
        <v>7</v>
      </c>
      <c r="AZ456" s="236">
        <f t="shared" si="530"/>
        <v>32</v>
      </c>
      <c r="BA456" s="236">
        <f t="shared" si="518"/>
        <v>13</v>
      </c>
      <c r="BB456" s="236">
        <f t="shared" si="519"/>
        <v>0</v>
      </c>
      <c r="BC456" s="252" cm="1">
        <f t="array" ref="BC456">K456/IF($L456&gt;0, INDEX($AO$23:$AU$77, $L456+20, $AD456), 1)</f>
        <v>0</v>
      </c>
      <c r="BD456" s="237">
        <f t="shared" si="531"/>
        <v>0</v>
      </c>
      <c r="BE456" s="236">
        <v>35</v>
      </c>
      <c r="BF456" s="237">
        <f t="shared" si="532"/>
        <v>52.55</v>
      </c>
      <c r="BG456" s="253">
        <f t="shared" si="533"/>
        <v>2.7676728869374316</v>
      </c>
      <c r="BH456" s="253" cm="1">
        <f t="array" ref="BH456">$BC456 * SUMPRODUCT(INDEX($AL$77:$AN$82,,$AE456),INDEX($AO$77:$AU$82,,$AD456), N($AK$77:$AK$82&gt;$AI456)) / BG456 / 1000</f>
        <v>0</v>
      </c>
      <c r="BI456" s="250">
        <f t="shared" si="520"/>
        <v>30</v>
      </c>
      <c r="BJ456" s="237">
        <f t="shared" si="534"/>
        <v>46.033333333333331</v>
      </c>
      <c r="BK456" s="253">
        <f t="shared" si="535"/>
        <v>3.2297395388556791</v>
      </c>
      <c r="BL456" s="253" cm="1">
        <f t="array" ref="BL456">$BC456 * IF($AD456&lt;=2,
SUMPRODUCT(INDEX($AL$72:$AN$76,,$AE456), INDEX($AO$72:$AU$76,,$AD456), 1 / ($AV$72:$AV$76*BK456 + (1-$AV$72:$AV$76)*BG456), N($AK$72:$AK$76&gt;$AI456)),
SUMPRODUCT(INDEX($AL$67:$AN$76,,$AE456), INDEX($AO$67:$AU$76,,$AD456), 1 / ($AW$67:$AW$76*BK456 + (1-$AW$67:$AW$76)*BG456), N($AK$67:$AK$76&gt;$AI456))
) / 1000</f>
        <v>0</v>
      </c>
      <c r="BM456" s="250">
        <f t="shared" si="521"/>
        <v>25</v>
      </c>
      <c r="BN456" s="237">
        <f t="shared" si="536"/>
        <v>39.516666666666666</v>
      </c>
      <c r="BO456" s="253">
        <f t="shared" si="537"/>
        <v>3.877011788826243</v>
      </c>
      <c r="BP456" s="253" cm="1">
        <f t="array" ref="BP456">$BC456 * IF($AD456&lt;=2,
SUMPRODUCT(INDEX($AL$67:$AN$71,,$AE456), INDEX($AO$67:$AU$71,,$AD456), 1 / ($AV$67:$AV$71*BO456 + (1-$AV$67:$AV$71)*BK456), N($AK$67:$AK$71&gt;$AI456)),
SUMPRODUCT(INDEX($AL$57:$AN$66,,$AE456), INDEX($AO$57:$AU$66,,$AD456), 1 / ($AW$57:$AW$66*BO456 + (1-$AW$57:$AW$66)*BK456), N($AK$57:$AK$66&gt;$AI456))
) / 1000</f>
        <v>0</v>
      </c>
      <c r="BQ456" s="250">
        <f t="shared" si="522"/>
        <v>20</v>
      </c>
      <c r="BR456" s="237">
        <f t="shared" si="538"/>
        <v>33</v>
      </c>
      <c r="BS456" s="253">
        <f t="shared" si="539"/>
        <v>4.8487499999999999</v>
      </c>
      <c r="BT456" s="253" cm="1">
        <f t="array" ref="BT456">$BC456 * IF($AD456&lt;=2,
SUMPRODUCT(INDEX($AL$62:$AN$66,,$AE456), INDEX($AO$62:$AU$66,,$AD456), 1 / ($AV$62:$AV$66*BS456 + (1-$AV$62:$AV$66)*BO456), N($AK$62:$AK$66&gt;$AI456)),
SUMPRODUCT(INDEX($AL$47:$AN$56,,$AE456), INDEX($AO$47:$AU$56,,$AD456), 1 / ($AW$47:$AW$56*BS456 + (1-$AW$47:$AW$56)*BO456), N($AK$47:$AK$56&gt;$AI456))
) / 1000</f>
        <v>0</v>
      </c>
      <c r="BU456" s="253" cm="1">
        <f t="array" ref="BU456">$BC456 * IF($AD456&lt;=2,
SUMPRODUCT(INDEX($AL$23:$AN$61,,$AE456), INDEX($AO$23:$AU$61,,$AD456), 1 / ($AV$23:$AV$61*BS456), N($AK$23:$AK$61&gt;$AI456)),
SUMPRODUCT(INDEX($AL$23:$AN$46,,$AE456), INDEX($AO$23:$AU$46,,$AD456), 1 / ($AW$23:$AW$46*BS456), N($AK$23:$AK$46&gt;$AI456))
) / 1000</f>
        <v>0</v>
      </c>
      <c r="BV456" s="237">
        <f t="shared" si="540"/>
        <v>0</v>
      </c>
      <c r="BW456" s="210"/>
      <c r="BX456" s="237">
        <f t="shared" si="541"/>
        <v>0</v>
      </c>
      <c r="BY456" s="236">
        <v>35</v>
      </c>
      <c r="BZ456" s="237">
        <f t="shared" si="542"/>
        <v>48</v>
      </c>
      <c r="CA456" s="253">
        <f t="shared" si="543"/>
        <v>3.0748170731707316</v>
      </c>
      <c r="CB456" s="253" cm="1">
        <f t="array" ref="CB456">$BC456 * SUMPRODUCT(INDEX($AL$77:$AN$82,,$AE456),INDEX($AO$77:$AU$82,,$AD456), N($AK$77:$AK$82&gt;$AI456)) / CA456 / 1000</f>
        <v>0</v>
      </c>
      <c r="CC456" s="250">
        <f t="shared" si="523"/>
        <v>30</v>
      </c>
      <c r="CD456" s="237">
        <f t="shared" si="544"/>
        <v>43</v>
      </c>
      <c r="CE456" s="253">
        <f t="shared" si="545"/>
        <v>3.5018750000000001</v>
      </c>
      <c r="CF456" s="253" cm="1">
        <f t="array" ref="CF456">$BC456 * IF($AD456&lt;=2,
SUMPRODUCT(INDEX($AL$72:$AN$76,,$AE456), INDEX($AO$72:$AU$76,,$AD456), 1 / ($AV$72:$AV$76*CE456 + (1-$AV$72:$AV$76)*CA456), N($AK$72:$AK$76&gt;$AI456)),
SUMPRODUCT(INDEX($AL$67:$AN$76,,$AE456), INDEX($AO$67:$AU$76,,$AD456), 1 / ($AW$67:$AW$76*CE456 + (1-$AW$67:$AW$76)*CA456), N($AK$67:$AK$76&gt;$AI456))
) / 1000</f>
        <v>0</v>
      </c>
      <c r="CG456" s="250">
        <f t="shared" si="524"/>
        <v>25</v>
      </c>
      <c r="CH456" s="237">
        <f t="shared" si="546"/>
        <v>38</v>
      </c>
      <c r="CI456" s="253">
        <f t="shared" si="547"/>
        <v>4.0666935483870965</v>
      </c>
      <c r="CJ456" s="253" cm="1">
        <f t="array" ref="CJ456">$BC456 * IF($AD456&lt;=2,
SUMPRODUCT(INDEX($AL$67:$AN$71,,$AE456), INDEX($AO$67:$AU$71,,$AD456), 1 / ($AV$67:$AV$71*CI456 + (1-$AV$67:$AV$71)*CE456), N($AK$67:$AK$71&gt;$AI456)),
SUMPRODUCT(INDEX($AL$57:$AN$66,,$AE456), INDEX($AO$57:$AU$66,,$AD456), 1 / ($AW$57:$AW$66*CI456 + (1-$AW$57:$AW$66)*CE456), N($AK$57:$AK$66&gt;$AI456))
) / 1000</f>
        <v>0</v>
      </c>
      <c r="CK456" s="250">
        <f t="shared" si="525"/>
        <v>20</v>
      </c>
      <c r="CL456" s="237">
        <f t="shared" si="548"/>
        <v>33</v>
      </c>
      <c r="CM456" s="253">
        <f t="shared" si="549"/>
        <v>4.8487499999999999</v>
      </c>
      <c r="CN456" s="253" cm="1">
        <f t="array" ref="CN456">$BC456 * IF($AD456&lt;=2,
SUMPRODUCT(INDEX($AL$62:$AN$66,,$AE456), INDEX($AO$62:$AU$66,,$AD456), 1 / ($AV$62:$AV$66*CM456 + (1-$AV$62:$AV$66)*CI456), N($AK$62:$AK$66&gt;$AI456)),
SUMPRODUCT(INDEX($AL$47:$AN$56,,$AE456), INDEX($AO$47:$AU$56,,$AD456), 1 / ($AW$47:$AW$56*CM456 + (1-$AW$47:$AW$56)*CI456), N($AK$47:$AK$56&gt;$AI456))
) / 1000</f>
        <v>0</v>
      </c>
      <c r="CO456" s="253" cm="1">
        <f t="array" ref="CO456">$BC456 * IF($AD456&lt;=2,
SUMPRODUCT(INDEX($AL$23:$AN$61,,$AE456), INDEX($AO$23:$AU$61,,$AD456), 1 / ($AV$23:$AV$61*CM456), N($AK$23:$AK$61&gt;$AI456)),
SUMPRODUCT(INDEX($AL$23:$AN$46,,$AE456), INDEX($AO$23:$AU$46,,$AD456), 1 / ($AW$23:$AW$46*CM456), N($AK$23:$AK$46&gt;$AI456))
) / 1000</f>
        <v>0</v>
      </c>
      <c r="CP456" s="237">
        <f t="shared" si="550"/>
        <v>0</v>
      </c>
      <c r="CQ456" s="210"/>
    </row>
    <row r="457" spans="1:95" s="76" customFormat="1" ht="14.25" customHeight="1" x14ac:dyDescent="0.2">
      <c r="A457" s="238" t="b">
        <f t="shared" si="517"/>
        <v>0</v>
      </c>
      <c r="B457" s="239">
        <v>435</v>
      </c>
      <c r="C457" s="258"/>
      <c r="D457" s="258"/>
      <c r="E457" s="240"/>
      <c r="F457" s="241" t="str">
        <f>IF(ISBLANK(E457), "", VLOOKUP(E457, Z!$A$2:$C$4127, 3, FALSE))</f>
        <v/>
      </c>
      <c r="G457" s="242"/>
      <c r="H457" s="242"/>
      <c r="I457" s="243"/>
      <c r="J457" s="244"/>
      <c r="K457" s="259"/>
      <c r="L457" s="260"/>
      <c r="M457" s="247" t="str" cm="1">
        <f t="array" ref="M457">IF($K457&gt;0, INDEX(Clean,1+AG457,$C$1), "")</f>
        <v/>
      </c>
      <c r="N457" s="245"/>
      <c r="O457" s="245"/>
      <c r="P457" s="246"/>
      <c r="Q457" s="248">
        <f t="shared" si="527"/>
        <v>0</v>
      </c>
      <c r="R457" s="247" t="str" cm="1">
        <f t="array" ref="R457">IF($K457&gt;0, INDEX(Clean,1+AH457,$C$1), "")</f>
        <v/>
      </c>
      <c r="S457" s="245"/>
      <c r="T457" s="245"/>
      <c r="U457" s="246"/>
      <c r="V457" s="248">
        <f t="shared" si="528"/>
        <v>0</v>
      </c>
      <c r="W457" s="261"/>
      <c r="X457" s="258"/>
      <c r="Y457" s="240"/>
      <c r="Z457" s="241" t="str">
        <f>IF(ISBLANK(Y457), "", VLOOKUP(Y457, Z!$A$2:$C$4127, 3, FALSE))</f>
        <v/>
      </c>
      <c r="AA457" s="262"/>
      <c r="AB457" s="249">
        <f t="shared" si="526"/>
        <v>0</v>
      </c>
      <c r="AC457" s="210"/>
      <c r="AD457" s="236">
        <f t="shared" si="551"/>
        <v>1</v>
      </c>
      <c r="AE457" s="236">
        <f t="shared" si="552"/>
        <v>1</v>
      </c>
      <c r="AF457" s="236">
        <f t="shared" si="553"/>
        <v>0</v>
      </c>
      <c r="AG457" s="236">
        <v>1</v>
      </c>
      <c r="AH457" s="236">
        <v>0</v>
      </c>
      <c r="AI457" s="236">
        <f t="shared" si="529"/>
        <v>-100</v>
      </c>
      <c r="AJ457" s="210"/>
      <c r="AK457" s="254"/>
      <c r="AL457" s="254"/>
      <c r="AM457" s="255"/>
      <c r="AN457" s="255"/>
      <c r="AO457" s="255"/>
      <c r="AP457" s="255"/>
      <c r="AQ457" s="255"/>
      <c r="AR457" s="255"/>
      <c r="AS457" s="255"/>
      <c r="AT457" s="255"/>
      <c r="AU457" s="255"/>
      <c r="AV457" s="255"/>
      <c r="AW457" s="255"/>
      <c r="AX457" s="210"/>
      <c r="AY457" s="236" cm="1">
        <f t="array" ref="AY457">INDEX(Use, $AD457, 4)</f>
        <v>7</v>
      </c>
      <c r="AZ457" s="236">
        <f t="shared" si="530"/>
        <v>32</v>
      </c>
      <c r="BA457" s="236">
        <f t="shared" si="518"/>
        <v>13</v>
      </c>
      <c r="BB457" s="236">
        <f t="shared" si="519"/>
        <v>0</v>
      </c>
      <c r="BC457" s="252" cm="1">
        <f t="array" ref="BC457">K457/IF($L457&gt;0, INDEX($AO$23:$AU$77, $L457+20, $AD457), 1)</f>
        <v>0</v>
      </c>
      <c r="BD457" s="237">
        <f t="shared" si="531"/>
        <v>0</v>
      </c>
      <c r="BE457" s="236">
        <v>35</v>
      </c>
      <c r="BF457" s="237">
        <f t="shared" si="532"/>
        <v>52.55</v>
      </c>
      <c r="BG457" s="253">
        <f t="shared" si="533"/>
        <v>2.7676728869374316</v>
      </c>
      <c r="BH457" s="253" cm="1">
        <f t="array" ref="BH457">$BC457 * SUMPRODUCT(INDEX($AL$77:$AN$82,,$AE457),INDEX($AO$77:$AU$82,,$AD457), N($AK$77:$AK$82&gt;$AI457)) / BG457 / 1000</f>
        <v>0</v>
      </c>
      <c r="BI457" s="250">
        <f t="shared" si="520"/>
        <v>30</v>
      </c>
      <c r="BJ457" s="237">
        <f t="shared" si="534"/>
        <v>46.033333333333331</v>
      </c>
      <c r="BK457" s="253">
        <f t="shared" si="535"/>
        <v>3.2297395388556791</v>
      </c>
      <c r="BL457" s="253" cm="1">
        <f t="array" ref="BL457">$BC457 * IF($AD457&lt;=2,
SUMPRODUCT(INDEX($AL$72:$AN$76,,$AE457), INDEX($AO$72:$AU$76,,$AD457), 1 / ($AV$72:$AV$76*BK457 + (1-$AV$72:$AV$76)*BG457), N($AK$72:$AK$76&gt;$AI457)),
SUMPRODUCT(INDEX($AL$67:$AN$76,,$AE457), INDEX($AO$67:$AU$76,,$AD457), 1 / ($AW$67:$AW$76*BK457 + (1-$AW$67:$AW$76)*BG457), N($AK$67:$AK$76&gt;$AI457))
) / 1000</f>
        <v>0</v>
      </c>
      <c r="BM457" s="250">
        <f t="shared" si="521"/>
        <v>25</v>
      </c>
      <c r="BN457" s="237">
        <f t="shared" si="536"/>
        <v>39.516666666666666</v>
      </c>
      <c r="BO457" s="253">
        <f t="shared" si="537"/>
        <v>3.877011788826243</v>
      </c>
      <c r="BP457" s="253" cm="1">
        <f t="array" ref="BP457">$BC457 * IF($AD457&lt;=2,
SUMPRODUCT(INDEX($AL$67:$AN$71,,$AE457), INDEX($AO$67:$AU$71,,$AD457), 1 / ($AV$67:$AV$71*BO457 + (1-$AV$67:$AV$71)*BK457), N($AK$67:$AK$71&gt;$AI457)),
SUMPRODUCT(INDEX($AL$57:$AN$66,,$AE457), INDEX($AO$57:$AU$66,,$AD457), 1 / ($AW$57:$AW$66*BO457 + (1-$AW$57:$AW$66)*BK457), N($AK$57:$AK$66&gt;$AI457))
) / 1000</f>
        <v>0</v>
      </c>
      <c r="BQ457" s="250">
        <f t="shared" si="522"/>
        <v>20</v>
      </c>
      <c r="BR457" s="237">
        <f t="shared" si="538"/>
        <v>33</v>
      </c>
      <c r="BS457" s="253">
        <f t="shared" si="539"/>
        <v>4.8487499999999999</v>
      </c>
      <c r="BT457" s="253" cm="1">
        <f t="array" ref="BT457">$BC457 * IF($AD457&lt;=2,
SUMPRODUCT(INDEX($AL$62:$AN$66,,$AE457), INDEX($AO$62:$AU$66,,$AD457), 1 / ($AV$62:$AV$66*BS457 + (1-$AV$62:$AV$66)*BO457), N($AK$62:$AK$66&gt;$AI457)),
SUMPRODUCT(INDEX($AL$47:$AN$56,,$AE457), INDEX($AO$47:$AU$56,,$AD457), 1 / ($AW$47:$AW$56*BS457 + (1-$AW$47:$AW$56)*BO457), N($AK$47:$AK$56&gt;$AI457))
) / 1000</f>
        <v>0</v>
      </c>
      <c r="BU457" s="253" cm="1">
        <f t="array" ref="BU457">$BC457 * IF($AD457&lt;=2,
SUMPRODUCT(INDEX($AL$23:$AN$61,,$AE457), INDEX($AO$23:$AU$61,,$AD457), 1 / ($AV$23:$AV$61*BS457), N($AK$23:$AK$61&gt;$AI457)),
SUMPRODUCT(INDEX($AL$23:$AN$46,,$AE457), INDEX($AO$23:$AU$46,,$AD457), 1 / ($AW$23:$AW$46*BS457), N($AK$23:$AK$46&gt;$AI457))
) / 1000</f>
        <v>0</v>
      </c>
      <c r="BV457" s="237">
        <f t="shared" si="540"/>
        <v>0</v>
      </c>
      <c r="BW457" s="210"/>
      <c r="BX457" s="237">
        <f t="shared" si="541"/>
        <v>0</v>
      </c>
      <c r="BY457" s="236">
        <v>35</v>
      </c>
      <c r="BZ457" s="237">
        <f t="shared" si="542"/>
        <v>48</v>
      </c>
      <c r="CA457" s="253">
        <f t="shared" si="543"/>
        <v>3.0748170731707316</v>
      </c>
      <c r="CB457" s="253" cm="1">
        <f t="array" ref="CB457">$BC457 * SUMPRODUCT(INDEX($AL$77:$AN$82,,$AE457),INDEX($AO$77:$AU$82,,$AD457), N($AK$77:$AK$82&gt;$AI457)) / CA457 / 1000</f>
        <v>0</v>
      </c>
      <c r="CC457" s="250">
        <f t="shared" si="523"/>
        <v>30</v>
      </c>
      <c r="CD457" s="237">
        <f t="shared" si="544"/>
        <v>43</v>
      </c>
      <c r="CE457" s="253">
        <f t="shared" si="545"/>
        <v>3.5018750000000001</v>
      </c>
      <c r="CF457" s="253" cm="1">
        <f t="array" ref="CF457">$BC457 * IF($AD457&lt;=2,
SUMPRODUCT(INDEX($AL$72:$AN$76,,$AE457), INDEX($AO$72:$AU$76,,$AD457), 1 / ($AV$72:$AV$76*CE457 + (1-$AV$72:$AV$76)*CA457), N($AK$72:$AK$76&gt;$AI457)),
SUMPRODUCT(INDEX($AL$67:$AN$76,,$AE457), INDEX($AO$67:$AU$76,,$AD457), 1 / ($AW$67:$AW$76*CE457 + (1-$AW$67:$AW$76)*CA457), N($AK$67:$AK$76&gt;$AI457))
) / 1000</f>
        <v>0</v>
      </c>
      <c r="CG457" s="250">
        <f t="shared" si="524"/>
        <v>25</v>
      </c>
      <c r="CH457" s="237">
        <f t="shared" si="546"/>
        <v>38</v>
      </c>
      <c r="CI457" s="253">
        <f t="shared" si="547"/>
        <v>4.0666935483870965</v>
      </c>
      <c r="CJ457" s="253" cm="1">
        <f t="array" ref="CJ457">$BC457 * IF($AD457&lt;=2,
SUMPRODUCT(INDEX($AL$67:$AN$71,,$AE457), INDEX($AO$67:$AU$71,,$AD457), 1 / ($AV$67:$AV$71*CI457 + (1-$AV$67:$AV$71)*CE457), N($AK$67:$AK$71&gt;$AI457)),
SUMPRODUCT(INDEX($AL$57:$AN$66,,$AE457), INDEX($AO$57:$AU$66,,$AD457), 1 / ($AW$57:$AW$66*CI457 + (1-$AW$57:$AW$66)*CE457), N($AK$57:$AK$66&gt;$AI457))
) / 1000</f>
        <v>0</v>
      </c>
      <c r="CK457" s="250">
        <f t="shared" si="525"/>
        <v>20</v>
      </c>
      <c r="CL457" s="237">
        <f t="shared" si="548"/>
        <v>33</v>
      </c>
      <c r="CM457" s="253">
        <f t="shared" si="549"/>
        <v>4.8487499999999999</v>
      </c>
      <c r="CN457" s="253" cm="1">
        <f t="array" ref="CN457">$BC457 * IF($AD457&lt;=2,
SUMPRODUCT(INDEX($AL$62:$AN$66,,$AE457), INDEX($AO$62:$AU$66,,$AD457), 1 / ($AV$62:$AV$66*CM457 + (1-$AV$62:$AV$66)*CI457), N($AK$62:$AK$66&gt;$AI457)),
SUMPRODUCT(INDEX($AL$47:$AN$56,,$AE457), INDEX($AO$47:$AU$56,,$AD457), 1 / ($AW$47:$AW$56*CM457 + (1-$AW$47:$AW$56)*CI457), N($AK$47:$AK$56&gt;$AI457))
) / 1000</f>
        <v>0</v>
      </c>
      <c r="CO457" s="253" cm="1">
        <f t="array" ref="CO457">$BC457 * IF($AD457&lt;=2,
SUMPRODUCT(INDEX($AL$23:$AN$61,,$AE457), INDEX($AO$23:$AU$61,,$AD457), 1 / ($AV$23:$AV$61*CM457), N($AK$23:$AK$61&gt;$AI457)),
SUMPRODUCT(INDEX($AL$23:$AN$46,,$AE457), INDEX($AO$23:$AU$46,,$AD457), 1 / ($AW$23:$AW$46*CM457), N($AK$23:$AK$46&gt;$AI457))
) / 1000</f>
        <v>0</v>
      </c>
      <c r="CP457" s="237">
        <f t="shared" si="550"/>
        <v>0</v>
      </c>
      <c r="CQ457" s="210"/>
    </row>
    <row r="458" spans="1:95" s="76" customFormat="1" ht="14.25" customHeight="1" x14ac:dyDescent="0.2">
      <c r="A458" s="238" t="b">
        <f t="shared" si="517"/>
        <v>0</v>
      </c>
      <c r="B458" s="239">
        <v>436</v>
      </c>
      <c r="C458" s="258"/>
      <c r="D458" s="258"/>
      <c r="E458" s="240"/>
      <c r="F458" s="241" t="str">
        <f>IF(ISBLANK(E458), "", VLOOKUP(E458, Z!$A$2:$C$4127, 3, FALSE))</f>
        <v/>
      </c>
      <c r="G458" s="242"/>
      <c r="H458" s="242"/>
      <c r="I458" s="243"/>
      <c r="J458" s="244"/>
      <c r="K458" s="259"/>
      <c r="L458" s="260"/>
      <c r="M458" s="247" t="str" cm="1">
        <f t="array" ref="M458">IF($K458&gt;0, INDEX(Clean,1+AG458,$C$1), "")</f>
        <v/>
      </c>
      <c r="N458" s="245"/>
      <c r="O458" s="245"/>
      <c r="P458" s="246"/>
      <c r="Q458" s="248">
        <f t="shared" si="527"/>
        <v>0</v>
      </c>
      <c r="R458" s="247" t="str" cm="1">
        <f t="array" ref="R458">IF($K458&gt;0, INDEX(Clean,1+AH458,$C$1), "")</f>
        <v/>
      </c>
      <c r="S458" s="245"/>
      <c r="T458" s="245"/>
      <c r="U458" s="246"/>
      <c r="V458" s="248">
        <f t="shared" si="528"/>
        <v>0</v>
      </c>
      <c r="W458" s="261"/>
      <c r="X458" s="258"/>
      <c r="Y458" s="240"/>
      <c r="Z458" s="241" t="str">
        <f>IF(ISBLANK(Y458), "", VLOOKUP(Y458, Z!$A$2:$C$4127, 3, FALSE))</f>
        <v/>
      </c>
      <c r="AA458" s="262"/>
      <c r="AB458" s="249">
        <f t="shared" si="526"/>
        <v>0</v>
      </c>
      <c r="AC458" s="210"/>
      <c r="AD458" s="236">
        <f t="shared" si="551"/>
        <v>1</v>
      </c>
      <c r="AE458" s="236">
        <f t="shared" si="552"/>
        <v>1</v>
      </c>
      <c r="AF458" s="236">
        <f t="shared" si="553"/>
        <v>0</v>
      </c>
      <c r="AG458" s="236">
        <v>1</v>
      </c>
      <c r="AH458" s="236">
        <v>0</v>
      </c>
      <c r="AI458" s="236">
        <f t="shared" si="529"/>
        <v>-100</v>
      </c>
      <c r="AJ458" s="210"/>
      <c r="AK458" s="254"/>
      <c r="AL458" s="254"/>
      <c r="AM458" s="255"/>
      <c r="AN458" s="255"/>
      <c r="AO458" s="255"/>
      <c r="AP458" s="255"/>
      <c r="AQ458" s="255"/>
      <c r="AR458" s="255"/>
      <c r="AS458" s="255"/>
      <c r="AT458" s="255"/>
      <c r="AU458" s="255"/>
      <c r="AV458" s="255"/>
      <c r="AW458" s="255"/>
      <c r="AX458" s="210"/>
      <c r="AY458" s="236" cm="1">
        <f t="array" ref="AY458">INDEX(Use, $AD458, 4)</f>
        <v>7</v>
      </c>
      <c r="AZ458" s="236">
        <f t="shared" si="530"/>
        <v>32</v>
      </c>
      <c r="BA458" s="236">
        <f t="shared" si="518"/>
        <v>13</v>
      </c>
      <c r="BB458" s="236">
        <f t="shared" si="519"/>
        <v>0</v>
      </c>
      <c r="BC458" s="252" cm="1">
        <f t="array" ref="BC458">K458/IF($L458&gt;0, INDEX($AO$23:$AU$77, $L458+20, $AD458), 1)</f>
        <v>0</v>
      </c>
      <c r="BD458" s="237">
        <f t="shared" si="531"/>
        <v>0</v>
      </c>
      <c r="BE458" s="236">
        <v>35</v>
      </c>
      <c r="BF458" s="237">
        <f t="shared" si="532"/>
        <v>52.55</v>
      </c>
      <c r="BG458" s="253">
        <f t="shared" si="533"/>
        <v>2.7676728869374316</v>
      </c>
      <c r="BH458" s="253" cm="1">
        <f t="array" ref="BH458">$BC458 * SUMPRODUCT(INDEX($AL$77:$AN$82,,$AE458),INDEX($AO$77:$AU$82,,$AD458), N($AK$77:$AK$82&gt;$AI458)) / BG458 / 1000</f>
        <v>0</v>
      </c>
      <c r="BI458" s="250">
        <f t="shared" si="520"/>
        <v>30</v>
      </c>
      <c r="BJ458" s="237">
        <f t="shared" si="534"/>
        <v>46.033333333333331</v>
      </c>
      <c r="BK458" s="253">
        <f t="shared" si="535"/>
        <v>3.2297395388556791</v>
      </c>
      <c r="BL458" s="253" cm="1">
        <f t="array" ref="BL458">$BC458 * IF($AD458&lt;=2,
SUMPRODUCT(INDEX($AL$72:$AN$76,,$AE458), INDEX($AO$72:$AU$76,,$AD458), 1 / ($AV$72:$AV$76*BK458 + (1-$AV$72:$AV$76)*BG458), N($AK$72:$AK$76&gt;$AI458)),
SUMPRODUCT(INDEX($AL$67:$AN$76,,$AE458), INDEX($AO$67:$AU$76,,$AD458), 1 / ($AW$67:$AW$76*BK458 + (1-$AW$67:$AW$76)*BG458), N($AK$67:$AK$76&gt;$AI458))
) / 1000</f>
        <v>0</v>
      </c>
      <c r="BM458" s="250">
        <f t="shared" si="521"/>
        <v>25</v>
      </c>
      <c r="BN458" s="237">
        <f t="shared" si="536"/>
        <v>39.516666666666666</v>
      </c>
      <c r="BO458" s="253">
        <f t="shared" si="537"/>
        <v>3.877011788826243</v>
      </c>
      <c r="BP458" s="253" cm="1">
        <f t="array" ref="BP458">$BC458 * IF($AD458&lt;=2,
SUMPRODUCT(INDEX($AL$67:$AN$71,,$AE458), INDEX($AO$67:$AU$71,,$AD458), 1 / ($AV$67:$AV$71*BO458 + (1-$AV$67:$AV$71)*BK458), N($AK$67:$AK$71&gt;$AI458)),
SUMPRODUCT(INDEX($AL$57:$AN$66,,$AE458), INDEX($AO$57:$AU$66,,$AD458), 1 / ($AW$57:$AW$66*BO458 + (1-$AW$57:$AW$66)*BK458), N($AK$57:$AK$66&gt;$AI458))
) / 1000</f>
        <v>0</v>
      </c>
      <c r="BQ458" s="250">
        <f t="shared" si="522"/>
        <v>20</v>
      </c>
      <c r="BR458" s="237">
        <f t="shared" si="538"/>
        <v>33</v>
      </c>
      <c r="BS458" s="253">
        <f t="shared" si="539"/>
        <v>4.8487499999999999</v>
      </c>
      <c r="BT458" s="253" cm="1">
        <f t="array" ref="BT458">$BC458 * IF($AD458&lt;=2,
SUMPRODUCT(INDEX($AL$62:$AN$66,,$AE458), INDEX($AO$62:$AU$66,,$AD458), 1 / ($AV$62:$AV$66*BS458 + (1-$AV$62:$AV$66)*BO458), N($AK$62:$AK$66&gt;$AI458)),
SUMPRODUCT(INDEX($AL$47:$AN$56,,$AE458), INDEX($AO$47:$AU$56,,$AD458), 1 / ($AW$47:$AW$56*BS458 + (1-$AW$47:$AW$56)*BO458), N($AK$47:$AK$56&gt;$AI458))
) / 1000</f>
        <v>0</v>
      </c>
      <c r="BU458" s="253" cm="1">
        <f t="array" ref="BU458">$BC458 * IF($AD458&lt;=2,
SUMPRODUCT(INDEX($AL$23:$AN$61,,$AE458), INDEX($AO$23:$AU$61,,$AD458), 1 / ($AV$23:$AV$61*BS458), N($AK$23:$AK$61&gt;$AI458)),
SUMPRODUCT(INDEX($AL$23:$AN$46,,$AE458), INDEX($AO$23:$AU$46,,$AD458), 1 / ($AW$23:$AW$46*BS458), N($AK$23:$AK$46&gt;$AI458))
) / 1000</f>
        <v>0</v>
      </c>
      <c r="BV458" s="237">
        <f t="shared" si="540"/>
        <v>0</v>
      </c>
      <c r="BW458" s="210"/>
      <c r="BX458" s="237">
        <f t="shared" si="541"/>
        <v>0</v>
      </c>
      <c r="BY458" s="236">
        <v>35</v>
      </c>
      <c r="BZ458" s="237">
        <f t="shared" si="542"/>
        <v>48</v>
      </c>
      <c r="CA458" s="253">
        <f t="shared" si="543"/>
        <v>3.0748170731707316</v>
      </c>
      <c r="CB458" s="253" cm="1">
        <f t="array" ref="CB458">$BC458 * SUMPRODUCT(INDEX($AL$77:$AN$82,,$AE458),INDEX($AO$77:$AU$82,,$AD458), N($AK$77:$AK$82&gt;$AI458)) / CA458 / 1000</f>
        <v>0</v>
      </c>
      <c r="CC458" s="250">
        <f t="shared" si="523"/>
        <v>30</v>
      </c>
      <c r="CD458" s="237">
        <f t="shared" si="544"/>
        <v>43</v>
      </c>
      <c r="CE458" s="253">
        <f t="shared" si="545"/>
        <v>3.5018750000000001</v>
      </c>
      <c r="CF458" s="253" cm="1">
        <f t="array" ref="CF458">$BC458 * IF($AD458&lt;=2,
SUMPRODUCT(INDEX($AL$72:$AN$76,,$AE458), INDEX($AO$72:$AU$76,,$AD458), 1 / ($AV$72:$AV$76*CE458 + (1-$AV$72:$AV$76)*CA458), N($AK$72:$AK$76&gt;$AI458)),
SUMPRODUCT(INDEX($AL$67:$AN$76,,$AE458), INDEX($AO$67:$AU$76,,$AD458), 1 / ($AW$67:$AW$76*CE458 + (1-$AW$67:$AW$76)*CA458), N($AK$67:$AK$76&gt;$AI458))
) / 1000</f>
        <v>0</v>
      </c>
      <c r="CG458" s="250">
        <f t="shared" si="524"/>
        <v>25</v>
      </c>
      <c r="CH458" s="237">
        <f t="shared" si="546"/>
        <v>38</v>
      </c>
      <c r="CI458" s="253">
        <f t="shared" si="547"/>
        <v>4.0666935483870965</v>
      </c>
      <c r="CJ458" s="253" cm="1">
        <f t="array" ref="CJ458">$BC458 * IF($AD458&lt;=2,
SUMPRODUCT(INDEX($AL$67:$AN$71,,$AE458), INDEX($AO$67:$AU$71,,$AD458), 1 / ($AV$67:$AV$71*CI458 + (1-$AV$67:$AV$71)*CE458), N($AK$67:$AK$71&gt;$AI458)),
SUMPRODUCT(INDEX($AL$57:$AN$66,,$AE458), INDEX($AO$57:$AU$66,,$AD458), 1 / ($AW$57:$AW$66*CI458 + (1-$AW$57:$AW$66)*CE458), N($AK$57:$AK$66&gt;$AI458))
) / 1000</f>
        <v>0</v>
      </c>
      <c r="CK458" s="250">
        <f t="shared" si="525"/>
        <v>20</v>
      </c>
      <c r="CL458" s="237">
        <f t="shared" si="548"/>
        <v>33</v>
      </c>
      <c r="CM458" s="253">
        <f t="shared" si="549"/>
        <v>4.8487499999999999</v>
      </c>
      <c r="CN458" s="253" cm="1">
        <f t="array" ref="CN458">$BC458 * IF($AD458&lt;=2,
SUMPRODUCT(INDEX($AL$62:$AN$66,,$AE458), INDEX($AO$62:$AU$66,,$AD458), 1 / ($AV$62:$AV$66*CM458 + (1-$AV$62:$AV$66)*CI458), N($AK$62:$AK$66&gt;$AI458)),
SUMPRODUCT(INDEX($AL$47:$AN$56,,$AE458), INDEX($AO$47:$AU$56,,$AD458), 1 / ($AW$47:$AW$56*CM458 + (1-$AW$47:$AW$56)*CI458), N($AK$47:$AK$56&gt;$AI458))
) / 1000</f>
        <v>0</v>
      </c>
      <c r="CO458" s="253" cm="1">
        <f t="array" ref="CO458">$BC458 * IF($AD458&lt;=2,
SUMPRODUCT(INDEX($AL$23:$AN$61,,$AE458), INDEX($AO$23:$AU$61,,$AD458), 1 / ($AV$23:$AV$61*CM458), N($AK$23:$AK$61&gt;$AI458)),
SUMPRODUCT(INDEX($AL$23:$AN$46,,$AE458), INDEX($AO$23:$AU$46,,$AD458), 1 / ($AW$23:$AW$46*CM458), N($AK$23:$AK$46&gt;$AI458))
) / 1000</f>
        <v>0</v>
      </c>
      <c r="CP458" s="237">
        <f t="shared" si="550"/>
        <v>0</v>
      </c>
      <c r="CQ458" s="210"/>
    </row>
    <row r="459" spans="1:95" s="76" customFormat="1" ht="14.25" customHeight="1" x14ac:dyDescent="0.2">
      <c r="A459" s="238" t="b">
        <f t="shared" si="517"/>
        <v>0</v>
      </c>
      <c r="B459" s="239">
        <v>437</v>
      </c>
      <c r="C459" s="258"/>
      <c r="D459" s="258"/>
      <c r="E459" s="240"/>
      <c r="F459" s="241" t="str">
        <f>IF(ISBLANK(E459), "", VLOOKUP(E459, Z!$A$2:$C$4127, 3, FALSE))</f>
        <v/>
      </c>
      <c r="G459" s="242"/>
      <c r="H459" s="242"/>
      <c r="I459" s="243"/>
      <c r="J459" s="244"/>
      <c r="K459" s="259"/>
      <c r="L459" s="260"/>
      <c r="M459" s="247" t="str" cm="1">
        <f t="array" ref="M459">IF($K459&gt;0, INDEX(Clean,1+AG459,$C$1), "")</f>
        <v/>
      </c>
      <c r="N459" s="245"/>
      <c r="O459" s="245"/>
      <c r="P459" s="246"/>
      <c r="Q459" s="248">
        <f t="shared" si="527"/>
        <v>0</v>
      </c>
      <c r="R459" s="247" t="str" cm="1">
        <f t="array" ref="R459">IF($K459&gt;0, INDEX(Clean,1+AH459,$C$1), "")</f>
        <v/>
      </c>
      <c r="S459" s="245"/>
      <c r="T459" s="245"/>
      <c r="U459" s="246"/>
      <c r="V459" s="248">
        <f t="shared" si="528"/>
        <v>0</v>
      </c>
      <c r="W459" s="261"/>
      <c r="X459" s="258"/>
      <c r="Y459" s="240"/>
      <c r="Z459" s="241" t="str">
        <f>IF(ISBLANK(Y459), "", VLOOKUP(Y459, Z!$A$2:$C$4127, 3, FALSE))</f>
        <v/>
      </c>
      <c r="AA459" s="262"/>
      <c r="AB459" s="249">
        <f t="shared" si="526"/>
        <v>0</v>
      </c>
      <c r="AC459" s="210"/>
      <c r="AD459" s="236">
        <f t="shared" si="551"/>
        <v>1</v>
      </c>
      <c r="AE459" s="236">
        <f t="shared" si="552"/>
        <v>1</v>
      </c>
      <c r="AF459" s="236">
        <f t="shared" si="553"/>
        <v>0</v>
      </c>
      <c r="AG459" s="236">
        <v>1</v>
      </c>
      <c r="AH459" s="236">
        <v>0</v>
      </c>
      <c r="AI459" s="236">
        <f t="shared" si="529"/>
        <v>-100</v>
      </c>
      <c r="AJ459" s="210"/>
      <c r="AK459" s="254"/>
      <c r="AL459" s="254"/>
      <c r="AM459" s="255"/>
      <c r="AN459" s="255"/>
      <c r="AO459" s="255"/>
      <c r="AP459" s="255"/>
      <c r="AQ459" s="255"/>
      <c r="AR459" s="255"/>
      <c r="AS459" s="255"/>
      <c r="AT459" s="255"/>
      <c r="AU459" s="255"/>
      <c r="AV459" s="255"/>
      <c r="AW459" s="255"/>
      <c r="AX459" s="210"/>
      <c r="AY459" s="236" cm="1">
        <f t="array" ref="AY459">INDEX(Use, $AD459, 4)</f>
        <v>7</v>
      </c>
      <c r="AZ459" s="236">
        <f t="shared" si="530"/>
        <v>32</v>
      </c>
      <c r="BA459" s="236">
        <f t="shared" si="518"/>
        <v>13</v>
      </c>
      <c r="BB459" s="236">
        <f t="shared" si="519"/>
        <v>0</v>
      </c>
      <c r="BC459" s="252" cm="1">
        <f t="array" ref="BC459">K459/IF($L459&gt;0, INDEX($AO$23:$AU$77, $L459+20, $AD459), 1)</f>
        <v>0</v>
      </c>
      <c r="BD459" s="237">
        <f t="shared" si="531"/>
        <v>0</v>
      </c>
      <c r="BE459" s="236">
        <v>35</v>
      </c>
      <c r="BF459" s="237">
        <f t="shared" si="532"/>
        <v>52.55</v>
      </c>
      <c r="BG459" s="253">
        <f t="shared" si="533"/>
        <v>2.7676728869374316</v>
      </c>
      <c r="BH459" s="253" cm="1">
        <f t="array" ref="BH459">$BC459 * SUMPRODUCT(INDEX($AL$77:$AN$82,,$AE459),INDEX($AO$77:$AU$82,,$AD459), N($AK$77:$AK$82&gt;$AI459)) / BG459 / 1000</f>
        <v>0</v>
      </c>
      <c r="BI459" s="250">
        <f t="shared" si="520"/>
        <v>30</v>
      </c>
      <c r="BJ459" s="237">
        <f t="shared" si="534"/>
        <v>46.033333333333331</v>
      </c>
      <c r="BK459" s="253">
        <f t="shared" si="535"/>
        <v>3.2297395388556791</v>
      </c>
      <c r="BL459" s="253" cm="1">
        <f t="array" ref="BL459">$BC459 * IF($AD459&lt;=2,
SUMPRODUCT(INDEX($AL$72:$AN$76,,$AE459), INDEX($AO$72:$AU$76,,$AD459), 1 / ($AV$72:$AV$76*BK459 + (1-$AV$72:$AV$76)*BG459), N($AK$72:$AK$76&gt;$AI459)),
SUMPRODUCT(INDEX($AL$67:$AN$76,,$AE459), INDEX($AO$67:$AU$76,,$AD459), 1 / ($AW$67:$AW$76*BK459 + (1-$AW$67:$AW$76)*BG459), N($AK$67:$AK$76&gt;$AI459))
) / 1000</f>
        <v>0</v>
      </c>
      <c r="BM459" s="250">
        <f t="shared" si="521"/>
        <v>25</v>
      </c>
      <c r="BN459" s="237">
        <f t="shared" si="536"/>
        <v>39.516666666666666</v>
      </c>
      <c r="BO459" s="253">
        <f t="shared" si="537"/>
        <v>3.877011788826243</v>
      </c>
      <c r="BP459" s="253" cm="1">
        <f t="array" ref="BP459">$BC459 * IF($AD459&lt;=2,
SUMPRODUCT(INDEX($AL$67:$AN$71,,$AE459), INDEX($AO$67:$AU$71,,$AD459), 1 / ($AV$67:$AV$71*BO459 + (1-$AV$67:$AV$71)*BK459), N($AK$67:$AK$71&gt;$AI459)),
SUMPRODUCT(INDEX($AL$57:$AN$66,,$AE459), INDEX($AO$57:$AU$66,,$AD459), 1 / ($AW$57:$AW$66*BO459 + (1-$AW$57:$AW$66)*BK459), N($AK$57:$AK$66&gt;$AI459))
) / 1000</f>
        <v>0</v>
      </c>
      <c r="BQ459" s="250">
        <f t="shared" si="522"/>
        <v>20</v>
      </c>
      <c r="BR459" s="237">
        <f t="shared" si="538"/>
        <v>33</v>
      </c>
      <c r="BS459" s="253">
        <f t="shared" si="539"/>
        <v>4.8487499999999999</v>
      </c>
      <c r="BT459" s="253" cm="1">
        <f t="array" ref="BT459">$BC459 * IF($AD459&lt;=2,
SUMPRODUCT(INDEX($AL$62:$AN$66,,$AE459), INDEX($AO$62:$AU$66,,$AD459), 1 / ($AV$62:$AV$66*BS459 + (1-$AV$62:$AV$66)*BO459), N($AK$62:$AK$66&gt;$AI459)),
SUMPRODUCT(INDEX($AL$47:$AN$56,,$AE459), INDEX($AO$47:$AU$56,,$AD459), 1 / ($AW$47:$AW$56*BS459 + (1-$AW$47:$AW$56)*BO459), N($AK$47:$AK$56&gt;$AI459))
) / 1000</f>
        <v>0</v>
      </c>
      <c r="BU459" s="253" cm="1">
        <f t="array" ref="BU459">$BC459 * IF($AD459&lt;=2,
SUMPRODUCT(INDEX($AL$23:$AN$61,,$AE459), INDEX($AO$23:$AU$61,,$AD459), 1 / ($AV$23:$AV$61*BS459), N($AK$23:$AK$61&gt;$AI459)),
SUMPRODUCT(INDEX($AL$23:$AN$46,,$AE459), INDEX($AO$23:$AU$46,,$AD459), 1 / ($AW$23:$AW$46*BS459), N($AK$23:$AK$46&gt;$AI459))
) / 1000</f>
        <v>0</v>
      </c>
      <c r="BV459" s="237">
        <f t="shared" si="540"/>
        <v>0</v>
      </c>
      <c r="BW459" s="210"/>
      <c r="BX459" s="237">
        <f t="shared" si="541"/>
        <v>0</v>
      </c>
      <c r="BY459" s="236">
        <v>35</v>
      </c>
      <c r="BZ459" s="237">
        <f t="shared" si="542"/>
        <v>48</v>
      </c>
      <c r="CA459" s="253">
        <f t="shared" si="543"/>
        <v>3.0748170731707316</v>
      </c>
      <c r="CB459" s="253" cm="1">
        <f t="array" ref="CB459">$BC459 * SUMPRODUCT(INDEX($AL$77:$AN$82,,$AE459),INDEX($AO$77:$AU$82,,$AD459), N($AK$77:$AK$82&gt;$AI459)) / CA459 / 1000</f>
        <v>0</v>
      </c>
      <c r="CC459" s="250">
        <f t="shared" si="523"/>
        <v>30</v>
      </c>
      <c r="CD459" s="237">
        <f t="shared" si="544"/>
        <v>43</v>
      </c>
      <c r="CE459" s="253">
        <f t="shared" si="545"/>
        <v>3.5018750000000001</v>
      </c>
      <c r="CF459" s="253" cm="1">
        <f t="array" ref="CF459">$BC459 * IF($AD459&lt;=2,
SUMPRODUCT(INDEX($AL$72:$AN$76,,$AE459), INDEX($AO$72:$AU$76,,$AD459), 1 / ($AV$72:$AV$76*CE459 + (1-$AV$72:$AV$76)*CA459), N($AK$72:$AK$76&gt;$AI459)),
SUMPRODUCT(INDEX($AL$67:$AN$76,,$AE459), INDEX($AO$67:$AU$76,,$AD459), 1 / ($AW$67:$AW$76*CE459 + (1-$AW$67:$AW$76)*CA459), N($AK$67:$AK$76&gt;$AI459))
) / 1000</f>
        <v>0</v>
      </c>
      <c r="CG459" s="250">
        <f t="shared" si="524"/>
        <v>25</v>
      </c>
      <c r="CH459" s="237">
        <f t="shared" si="546"/>
        <v>38</v>
      </c>
      <c r="CI459" s="253">
        <f t="shared" si="547"/>
        <v>4.0666935483870965</v>
      </c>
      <c r="CJ459" s="253" cm="1">
        <f t="array" ref="CJ459">$BC459 * IF($AD459&lt;=2,
SUMPRODUCT(INDEX($AL$67:$AN$71,,$AE459), INDEX($AO$67:$AU$71,,$AD459), 1 / ($AV$67:$AV$71*CI459 + (1-$AV$67:$AV$71)*CE459), N($AK$67:$AK$71&gt;$AI459)),
SUMPRODUCT(INDEX($AL$57:$AN$66,,$AE459), INDEX($AO$57:$AU$66,,$AD459), 1 / ($AW$57:$AW$66*CI459 + (1-$AW$57:$AW$66)*CE459), N($AK$57:$AK$66&gt;$AI459))
) / 1000</f>
        <v>0</v>
      </c>
      <c r="CK459" s="250">
        <f t="shared" si="525"/>
        <v>20</v>
      </c>
      <c r="CL459" s="237">
        <f t="shared" si="548"/>
        <v>33</v>
      </c>
      <c r="CM459" s="253">
        <f t="shared" si="549"/>
        <v>4.8487499999999999</v>
      </c>
      <c r="CN459" s="253" cm="1">
        <f t="array" ref="CN459">$BC459 * IF($AD459&lt;=2,
SUMPRODUCT(INDEX($AL$62:$AN$66,,$AE459), INDEX($AO$62:$AU$66,,$AD459), 1 / ($AV$62:$AV$66*CM459 + (1-$AV$62:$AV$66)*CI459), N($AK$62:$AK$66&gt;$AI459)),
SUMPRODUCT(INDEX($AL$47:$AN$56,,$AE459), INDEX($AO$47:$AU$56,,$AD459), 1 / ($AW$47:$AW$56*CM459 + (1-$AW$47:$AW$56)*CI459), N($AK$47:$AK$56&gt;$AI459))
) / 1000</f>
        <v>0</v>
      </c>
      <c r="CO459" s="253" cm="1">
        <f t="array" ref="CO459">$BC459 * IF($AD459&lt;=2,
SUMPRODUCT(INDEX($AL$23:$AN$61,,$AE459), INDEX($AO$23:$AU$61,,$AD459), 1 / ($AV$23:$AV$61*CM459), N($AK$23:$AK$61&gt;$AI459)),
SUMPRODUCT(INDEX($AL$23:$AN$46,,$AE459), INDEX($AO$23:$AU$46,,$AD459), 1 / ($AW$23:$AW$46*CM459), N($AK$23:$AK$46&gt;$AI459))
) / 1000</f>
        <v>0</v>
      </c>
      <c r="CP459" s="237">
        <f t="shared" si="550"/>
        <v>0</v>
      </c>
      <c r="CQ459" s="210"/>
    </row>
    <row r="460" spans="1:95" s="76" customFormat="1" ht="14.25" customHeight="1" x14ac:dyDescent="0.2">
      <c r="A460" s="238" t="b">
        <f t="shared" si="517"/>
        <v>0</v>
      </c>
      <c r="B460" s="239">
        <v>438</v>
      </c>
      <c r="C460" s="258"/>
      <c r="D460" s="258"/>
      <c r="E460" s="240"/>
      <c r="F460" s="241" t="str">
        <f>IF(ISBLANK(E460), "", VLOOKUP(E460, Z!$A$2:$C$4127, 3, FALSE))</f>
        <v/>
      </c>
      <c r="G460" s="242"/>
      <c r="H460" s="242"/>
      <c r="I460" s="243"/>
      <c r="J460" s="244"/>
      <c r="K460" s="259"/>
      <c r="L460" s="260"/>
      <c r="M460" s="247" t="str" cm="1">
        <f t="array" ref="M460">IF($K460&gt;0, INDEX(Clean,1+AG460,$C$1), "")</f>
        <v/>
      </c>
      <c r="N460" s="245"/>
      <c r="O460" s="245"/>
      <c r="P460" s="246"/>
      <c r="Q460" s="248">
        <f t="shared" si="527"/>
        <v>0</v>
      </c>
      <c r="R460" s="247" t="str" cm="1">
        <f t="array" ref="R460">IF($K460&gt;0, INDEX(Clean,1+AH460,$C$1), "")</f>
        <v/>
      </c>
      <c r="S460" s="245"/>
      <c r="T460" s="245"/>
      <c r="U460" s="246"/>
      <c r="V460" s="248">
        <f t="shared" si="528"/>
        <v>0</v>
      </c>
      <c r="W460" s="261"/>
      <c r="X460" s="258"/>
      <c r="Y460" s="240"/>
      <c r="Z460" s="241" t="str">
        <f>IF(ISBLANK(Y460), "", VLOOKUP(Y460, Z!$A$2:$C$4127, 3, FALSE))</f>
        <v/>
      </c>
      <c r="AA460" s="262"/>
      <c r="AB460" s="249">
        <f t="shared" si="526"/>
        <v>0</v>
      </c>
      <c r="AC460" s="210"/>
      <c r="AD460" s="236">
        <f t="shared" si="551"/>
        <v>1</v>
      </c>
      <c r="AE460" s="236">
        <f t="shared" si="552"/>
        <v>1</v>
      </c>
      <c r="AF460" s="236">
        <f t="shared" si="553"/>
        <v>0</v>
      </c>
      <c r="AG460" s="236">
        <v>1</v>
      </c>
      <c r="AH460" s="236">
        <v>0</v>
      </c>
      <c r="AI460" s="236">
        <f t="shared" si="529"/>
        <v>-100</v>
      </c>
      <c r="AJ460" s="210"/>
      <c r="AK460" s="254"/>
      <c r="AL460" s="254"/>
      <c r="AM460" s="255"/>
      <c r="AN460" s="255"/>
      <c r="AO460" s="255"/>
      <c r="AP460" s="255"/>
      <c r="AQ460" s="255"/>
      <c r="AR460" s="255"/>
      <c r="AS460" s="255"/>
      <c r="AT460" s="255"/>
      <c r="AU460" s="255"/>
      <c r="AV460" s="255"/>
      <c r="AW460" s="255"/>
      <c r="AX460" s="210"/>
      <c r="AY460" s="236" cm="1">
        <f t="array" ref="AY460">INDEX(Use, $AD460, 4)</f>
        <v>7</v>
      </c>
      <c r="AZ460" s="236">
        <f t="shared" si="530"/>
        <v>32</v>
      </c>
      <c r="BA460" s="236">
        <f t="shared" si="518"/>
        <v>13</v>
      </c>
      <c r="BB460" s="236">
        <f t="shared" si="519"/>
        <v>0</v>
      </c>
      <c r="BC460" s="252" cm="1">
        <f t="array" ref="BC460">K460/IF($L460&gt;0, INDEX($AO$23:$AU$77, $L460+20, $AD460), 1)</f>
        <v>0</v>
      </c>
      <c r="BD460" s="237">
        <f t="shared" si="531"/>
        <v>0</v>
      </c>
      <c r="BE460" s="236">
        <v>35</v>
      </c>
      <c r="BF460" s="237">
        <f t="shared" si="532"/>
        <v>52.55</v>
      </c>
      <c r="BG460" s="253">
        <f t="shared" si="533"/>
        <v>2.7676728869374316</v>
      </c>
      <c r="BH460" s="253" cm="1">
        <f t="array" ref="BH460">$BC460 * SUMPRODUCT(INDEX($AL$77:$AN$82,,$AE460),INDEX($AO$77:$AU$82,,$AD460), N($AK$77:$AK$82&gt;$AI460)) / BG460 / 1000</f>
        <v>0</v>
      </c>
      <c r="BI460" s="250">
        <f t="shared" si="520"/>
        <v>30</v>
      </c>
      <c r="BJ460" s="237">
        <f t="shared" si="534"/>
        <v>46.033333333333331</v>
      </c>
      <c r="BK460" s="253">
        <f t="shared" si="535"/>
        <v>3.2297395388556791</v>
      </c>
      <c r="BL460" s="253" cm="1">
        <f t="array" ref="BL460">$BC460 * IF($AD460&lt;=2,
SUMPRODUCT(INDEX($AL$72:$AN$76,,$AE460), INDEX($AO$72:$AU$76,,$AD460), 1 / ($AV$72:$AV$76*BK460 + (1-$AV$72:$AV$76)*BG460), N($AK$72:$AK$76&gt;$AI460)),
SUMPRODUCT(INDEX($AL$67:$AN$76,,$AE460), INDEX($AO$67:$AU$76,,$AD460), 1 / ($AW$67:$AW$76*BK460 + (1-$AW$67:$AW$76)*BG460), N($AK$67:$AK$76&gt;$AI460))
) / 1000</f>
        <v>0</v>
      </c>
      <c r="BM460" s="250">
        <f t="shared" si="521"/>
        <v>25</v>
      </c>
      <c r="BN460" s="237">
        <f t="shared" si="536"/>
        <v>39.516666666666666</v>
      </c>
      <c r="BO460" s="253">
        <f t="shared" si="537"/>
        <v>3.877011788826243</v>
      </c>
      <c r="BP460" s="253" cm="1">
        <f t="array" ref="BP460">$BC460 * IF($AD460&lt;=2,
SUMPRODUCT(INDEX($AL$67:$AN$71,,$AE460), INDEX($AO$67:$AU$71,,$AD460), 1 / ($AV$67:$AV$71*BO460 + (1-$AV$67:$AV$71)*BK460), N($AK$67:$AK$71&gt;$AI460)),
SUMPRODUCT(INDEX($AL$57:$AN$66,,$AE460), INDEX($AO$57:$AU$66,,$AD460), 1 / ($AW$57:$AW$66*BO460 + (1-$AW$57:$AW$66)*BK460), N($AK$57:$AK$66&gt;$AI460))
) / 1000</f>
        <v>0</v>
      </c>
      <c r="BQ460" s="250">
        <f t="shared" si="522"/>
        <v>20</v>
      </c>
      <c r="BR460" s="237">
        <f t="shared" si="538"/>
        <v>33</v>
      </c>
      <c r="BS460" s="253">
        <f t="shared" si="539"/>
        <v>4.8487499999999999</v>
      </c>
      <c r="BT460" s="253" cm="1">
        <f t="array" ref="BT460">$BC460 * IF($AD460&lt;=2,
SUMPRODUCT(INDEX($AL$62:$AN$66,,$AE460), INDEX($AO$62:$AU$66,,$AD460), 1 / ($AV$62:$AV$66*BS460 + (1-$AV$62:$AV$66)*BO460), N($AK$62:$AK$66&gt;$AI460)),
SUMPRODUCT(INDEX($AL$47:$AN$56,,$AE460), INDEX($AO$47:$AU$56,,$AD460), 1 / ($AW$47:$AW$56*BS460 + (1-$AW$47:$AW$56)*BO460), N($AK$47:$AK$56&gt;$AI460))
) / 1000</f>
        <v>0</v>
      </c>
      <c r="BU460" s="253" cm="1">
        <f t="array" ref="BU460">$BC460 * IF($AD460&lt;=2,
SUMPRODUCT(INDEX($AL$23:$AN$61,,$AE460), INDEX($AO$23:$AU$61,,$AD460), 1 / ($AV$23:$AV$61*BS460), N($AK$23:$AK$61&gt;$AI460)),
SUMPRODUCT(INDEX($AL$23:$AN$46,,$AE460), INDEX($AO$23:$AU$46,,$AD460), 1 / ($AW$23:$AW$46*BS460), N($AK$23:$AK$46&gt;$AI460))
) / 1000</f>
        <v>0</v>
      </c>
      <c r="BV460" s="237">
        <f t="shared" si="540"/>
        <v>0</v>
      </c>
      <c r="BW460" s="210"/>
      <c r="BX460" s="237">
        <f t="shared" si="541"/>
        <v>0</v>
      </c>
      <c r="BY460" s="236">
        <v>35</v>
      </c>
      <c r="BZ460" s="237">
        <f t="shared" si="542"/>
        <v>48</v>
      </c>
      <c r="CA460" s="253">
        <f t="shared" si="543"/>
        <v>3.0748170731707316</v>
      </c>
      <c r="CB460" s="253" cm="1">
        <f t="array" ref="CB460">$BC460 * SUMPRODUCT(INDEX($AL$77:$AN$82,,$AE460),INDEX($AO$77:$AU$82,,$AD460), N($AK$77:$AK$82&gt;$AI460)) / CA460 / 1000</f>
        <v>0</v>
      </c>
      <c r="CC460" s="250">
        <f t="shared" si="523"/>
        <v>30</v>
      </c>
      <c r="CD460" s="237">
        <f t="shared" si="544"/>
        <v>43</v>
      </c>
      <c r="CE460" s="253">
        <f t="shared" si="545"/>
        <v>3.5018750000000001</v>
      </c>
      <c r="CF460" s="253" cm="1">
        <f t="array" ref="CF460">$BC460 * IF($AD460&lt;=2,
SUMPRODUCT(INDEX($AL$72:$AN$76,,$AE460), INDEX($AO$72:$AU$76,,$AD460), 1 / ($AV$72:$AV$76*CE460 + (1-$AV$72:$AV$76)*CA460), N($AK$72:$AK$76&gt;$AI460)),
SUMPRODUCT(INDEX($AL$67:$AN$76,,$AE460), INDEX($AO$67:$AU$76,,$AD460), 1 / ($AW$67:$AW$76*CE460 + (1-$AW$67:$AW$76)*CA460), N($AK$67:$AK$76&gt;$AI460))
) / 1000</f>
        <v>0</v>
      </c>
      <c r="CG460" s="250">
        <f t="shared" si="524"/>
        <v>25</v>
      </c>
      <c r="CH460" s="237">
        <f t="shared" si="546"/>
        <v>38</v>
      </c>
      <c r="CI460" s="253">
        <f t="shared" si="547"/>
        <v>4.0666935483870965</v>
      </c>
      <c r="CJ460" s="253" cm="1">
        <f t="array" ref="CJ460">$BC460 * IF($AD460&lt;=2,
SUMPRODUCT(INDEX($AL$67:$AN$71,,$AE460), INDEX($AO$67:$AU$71,,$AD460), 1 / ($AV$67:$AV$71*CI460 + (1-$AV$67:$AV$71)*CE460), N($AK$67:$AK$71&gt;$AI460)),
SUMPRODUCT(INDEX($AL$57:$AN$66,,$AE460), INDEX($AO$57:$AU$66,,$AD460), 1 / ($AW$57:$AW$66*CI460 + (1-$AW$57:$AW$66)*CE460), N($AK$57:$AK$66&gt;$AI460))
) / 1000</f>
        <v>0</v>
      </c>
      <c r="CK460" s="250">
        <f t="shared" si="525"/>
        <v>20</v>
      </c>
      <c r="CL460" s="237">
        <f t="shared" si="548"/>
        <v>33</v>
      </c>
      <c r="CM460" s="253">
        <f t="shared" si="549"/>
        <v>4.8487499999999999</v>
      </c>
      <c r="CN460" s="253" cm="1">
        <f t="array" ref="CN460">$BC460 * IF($AD460&lt;=2,
SUMPRODUCT(INDEX($AL$62:$AN$66,,$AE460), INDEX($AO$62:$AU$66,,$AD460), 1 / ($AV$62:$AV$66*CM460 + (1-$AV$62:$AV$66)*CI460), N($AK$62:$AK$66&gt;$AI460)),
SUMPRODUCT(INDEX($AL$47:$AN$56,,$AE460), INDEX($AO$47:$AU$56,,$AD460), 1 / ($AW$47:$AW$56*CM460 + (1-$AW$47:$AW$56)*CI460), N($AK$47:$AK$56&gt;$AI460))
) / 1000</f>
        <v>0</v>
      </c>
      <c r="CO460" s="253" cm="1">
        <f t="array" ref="CO460">$BC460 * IF($AD460&lt;=2,
SUMPRODUCT(INDEX($AL$23:$AN$61,,$AE460), INDEX($AO$23:$AU$61,,$AD460), 1 / ($AV$23:$AV$61*CM460), N($AK$23:$AK$61&gt;$AI460)),
SUMPRODUCT(INDEX($AL$23:$AN$46,,$AE460), INDEX($AO$23:$AU$46,,$AD460), 1 / ($AW$23:$AW$46*CM460), N($AK$23:$AK$46&gt;$AI460))
) / 1000</f>
        <v>0</v>
      </c>
      <c r="CP460" s="237">
        <f t="shared" si="550"/>
        <v>0</v>
      </c>
      <c r="CQ460" s="210"/>
    </row>
    <row r="461" spans="1:95" s="76" customFormat="1" ht="14.25" customHeight="1" x14ac:dyDescent="0.2">
      <c r="A461" s="238" t="b">
        <f t="shared" si="517"/>
        <v>0</v>
      </c>
      <c r="B461" s="239">
        <v>439</v>
      </c>
      <c r="C461" s="258"/>
      <c r="D461" s="258"/>
      <c r="E461" s="240"/>
      <c r="F461" s="241" t="str">
        <f>IF(ISBLANK(E461), "", VLOOKUP(E461, Z!$A$2:$C$4127, 3, FALSE))</f>
        <v/>
      </c>
      <c r="G461" s="242"/>
      <c r="H461" s="242"/>
      <c r="I461" s="243"/>
      <c r="J461" s="244"/>
      <c r="K461" s="259"/>
      <c r="L461" s="260"/>
      <c r="M461" s="247" t="str" cm="1">
        <f t="array" ref="M461">IF($K461&gt;0, INDEX(Clean,1+AG461,$C$1), "")</f>
        <v/>
      </c>
      <c r="N461" s="245"/>
      <c r="O461" s="245"/>
      <c r="P461" s="246"/>
      <c r="Q461" s="248">
        <f t="shared" si="527"/>
        <v>0</v>
      </c>
      <c r="R461" s="247" t="str" cm="1">
        <f t="array" ref="R461">IF($K461&gt;0, INDEX(Clean,1+AH461,$C$1), "")</f>
        <v/>
      </c>
      <c r="S461" s="245"/>
      <c r="T461" s="245"/>
      <c r="U461" s="246"/>
      <c r="V461" s="248">
        <f t="shared" si="528"/>
        <v>0</v>
      </c>
      <c r="W461" s="261"/>
      <c r="X461" s="258"/>
      <c r="Y461" s="240"/>
      <c r="Z461" s="241" t="str">
        <f>IF(ISBLANK(Y461), "", VLOOKUP(Y461, Z!$A$2:$C$4127, 3, FALSE))</f>
        <v/>
      </c>
      <c r="AA461" s="262"/>
      <c r="AB461" s="249">
        <f t="shared" si="526"/>
        <v>0</v>
      </c>
      <c r="AC461" s="210"/>
      <c r="AD461" s="236">
        <f t="shared" si="551"/>
        <v>1</v>
      </c>
      <c r="AE461" s="236">
        <f t="shared" si="552"/>
        <v>1</v>
      </c>
      <c r="AF461" s="236">
        <f t="shared" si="553"/>
        <v>0</v>
      </c>
      <c r="AG461" s="236">
        <v>1</v>
      </c>
      <c r="AH461" s="236">
        <v>0</v>
      </c>
      <c r="AI461" s="236">
        <f t="shared" si="529"/>
        <v>-100</v>
      </c>
      <c r="AJ461" s="210"/>
      <c r="AK461" s="254"/>
      <c r="AL461" s="254"/>
      <c r="AM461" s="255"/>
      <c r="AN461" s="255"/>
      <c r="AO461" s="255"/>
      <c r="AP461" s="255"/>
      <c r="AQ461" s="255"/>
      <c r="AR461" s="255"/>
      <c r="AS461" s="255"/>
      <c r="AT461" s="255"/>
      <c r="AU461" s="255"/>
      <c r="AV461" s="255"/>
      <c r="AW461" s="255"/>
      <c r="AX461" s="210"/>
      <c r="AY461" s="236" cm="1">
        <f t="array" ref="AY461">INDEX(Use, $AD461, 4)</f>
        <v>7</v>
      </c>
      <c r="AZ461" s="236">
        <f t="shared" si="530"/>
        <v>32</v>
      </c>
      <c r="BA461" s="236">
        <f t="shared" si="518"/>
        <v>13</v>
      </c>
      <c r="BB461" s="236">
        <f t="shared" si="519"/>
        <v>0</v>
      </c>
      <c r="BC461" s="252" cm="1">
        <f t="array" ref="BC461">K461/IF($L461&gt;0, INDEX($AO$23:$AU$77, $L461+20, $AD461), 1)</f>
        <v>0</v>
      </c>
      <c r="BD461" s="237">
        <f t="shared" si="531"/>
        <v>0</v>
      </c>
      <c r="BE461" s="236">
        <v>35</v>
      </c>
      <c r="BF461" s="237">
        <f t="shared" si="532"/>
        <v>52.55</v>
      </c>
      <c r="BG461" s="253">
        <f t="shared" si="533"/>
        <v>2.7676728869374316</v>
      </c>
      <c r="BH461" s="253" cm="1">
        <f t="array" ref="BH461">$BC461 * SUMPRODUCT(INDEX($AL$77:$AN$82,,$AE461),INDEX($AO$77:$AU$82,,$AD461), N($AK$77:$AK$82&gt;$AI461)) / BG461 / 1000</f>
        <v>0</v>
      </c>
      <c r="BI461" s="250">
        <f t="shared" si="520"/>
        <v>30</v>
      </c>
      <c r="BJ461" s="237">
        <f t="shared" si="534"/>
        <v>46.033333333333331</v>
      </c>
      <c r="BK461" s="253">
        <f t="shared" si="535"/>
        <v>3.2297395388556791</v>
      </c>
      <c r="BL461" s="253" cm="1">
        <f t="array" ref="BL461">$BC461 * IF($AD461&lt;=2,
SUMPRODUCT(INDEX($AL$72:$AN$76,,$AE461), INDEX($AO$72:$AU$76,,$AD461), 1 / ($AV$72:$AV$76*BK461 + (1-$AV$72:$AV$76)*BG461), N($AK$72:$AK$76&gt;$AI461)),
SUMPRODUCT(INDEX($AL$67:$AN$76,,$AE461), INDEX($AO$67:$AU$76,,$AD461), 1 / ($AW$67:$AW$76*BK461 + (1-$AW$67:$AW$76)*BG461), N($AK$67:$AK$76&gt;$AI461))
) / 1000</f>
        <v>0</v>
      </c>
      <c r="BM461" s="250">
        <f t="shared" si="521"/>
        <v>25</v>
      </c>
      <c r="BN461" s="237">
        <f t="shared" si="536"/>
        <v>39.516666666666666</v>
      </c>
      <c r="BO461" s="253">
        <f t="shared" si="537"/>
        <v>3.877011788826243</v>
      </c>
      <c r="BP461" s="253" cm="1">
        <f t="array" ref="BP461">$BC461 * IF($AD461&lt;=2,
SUMPRODUCT(INDEX($AL$67:$AN$71,,$AE461), INDEX($AO$67:$AU$71,,$AD461), 1 / ($AV$67:$AV$71*BO461 + (1-$AV$67:$AV$71)*BK461), N($AK$67:$AK$71&gt;$AI461)),
SUMPRODUCT(INDEX($AL$57:$AN$66,,$AE461), INDEX($AO$57:$AU$66,,$AD461), 1 / ($AW$57:$AW$66*BO461 + (1-$AW$57:$AW$66)*BK461), N($AK$57:$AK$66&gt;$AI461))
) / 1000</f>
        <v>0</v>
      </c>
      <c r="BQ461" s="250">
        <f t="shared" si="522"/>
        <v>20</v>
      </c>
      <c r="BR461" s="237">
        <f t="shared" si="538"/>
        <v>33</v>
      </c>
      <c r="BS461" s="253">
        <f t="shared" si="539"/>
        <v>4.8487499999999999</v>
      </c>
      <c r="BT461" s="253" cm="1">
        <f t="array" ref="BT461">$BC461 * IF($AD461&lt;=2,
SUMPRODUCT(INDEX($AL$62:$AN$66,,$AE461), INDEX($AO$62:$AU$66,,$AD461), 1 / ($AV$62:$AV$66*BS461 + (1-$AV$62:$AV$66)*BO461), N($AK$62:$AK$66&gt;$AI461)),
SUMPRODUCT(INDEX($AL$47:$AN$56,,$AE461), INDEX($AO$47:$AU$56,,$AD461), 1 / ($AW$47:$AW$56*BS461 + (1-$AW$47:$AW$56)*BO461), N($AK$47:$AK$56&gt;$AI461))
) / 1000</f>
        <v>0</v>
      </c>
      <c r="BU461" s="253" cm="1">
        <f t="array" ref="BU461">$BC461 * IF($AD461&lt;=2,
SUMPRODUCT(INDEX($AL$23:$AN$61,,$AE461), INDEX($AO$23:$AU$61,,$AD461), 1 / ($AV$23:$AV$61*BS461), N($AK$23:$AK$61&gt;$AI461)),
SUMPRODUCT(INDEX($AL$23:$AN$46,,$AE461), INDEX($AO$23:$AU$46,,$AD461), 1 / ($AW$23:$AW$46*BS461), N($AK$23:$AK$46&gt;$AI461))
) / 1000</f>
        <v>0</v>
      </c>
      <c r="BV461" s="237">
        <f t="shared" si="540"/>
        <v>0</v>
      </c>
      <c r="BW461" s="210"/>
      <c r="BX461" s="237">
        <f t="shared" si="541"/>
        <v>0</v>
      </c>
      <c r="BY461" s="236">
        <v>35</v>
      </c>
      <c r="BZ461" s="237">
        <f t="shared" si="542"/>
        <v>48</v>
      </c>
      <c r="CA461" s="253">
        <f t="shared" si="543"/>
        <v>3.0748170731707316</v>
      </c>
      <c r="CB461" s="253" cm="1">
        <f t="array" ref="CB461">$BC461 * SUMPRODUCT(INDEX($AL$77:$AN$82,,$AE461),INDEX($AO$77:$AU$82,,$AD461), N($AK$77:$AK$82&gt;$AI461)) / CA461 / 1000</f>
        <v>0</v>
      </c>
      <c r="CC461" s="250">
        <f t="shared" si="523"/>
        <v>30</v>
      </c>
      <c r="CD461" s="237">
        <f t="shared" si="544"/>
        <v>43</v>
      </c>
      <c r="CE461" s="253">
        <f t="shared" si="545"/>
        <v>3.5018750000000001</v>
      </c>
      <c r="CF461" s="253" cm="1">
        <f t="array" ref="CF461">$BC461 * IF($AD461&lt;=2,
SUMPRODUCT(INDEX($AL$72:$AN$76,,$AE461), INDEX($AO$72:$AU$76,,$AD461), 1 / ($AV$72:$AV$76*CE461 + (1-$AV$72:$AV$76)*CA461), N($AK$72:$AK$76&gt;$AI461)),
SUMPRODUCT(INDEX($AL$67:$AN$76,,$AE461), INDEX($AO$67:$AU$76,,$AD461), 1 / ($AW$67:$AW$76*CE461 + (1-$AW$67:$AW$76)*CA461), N($AK$67:$AK$76&gt;$AI461))
) / 1000</f>
        <v>0</v>
      </c>
      <c r="CG461" s="250">
        <f t="shared" si="524"/>
        <v>25</v>
      </c>
      <c r="CH461" s="237">
        <f t="shared" si="546"/>
        <v>38</v>
      </c>
      <c r="CI461" s="253">
        <f t="shared" si="547"/>
        <v>4.0666935483870965</v>
      </c>
      <c r="CJ461" s="253" cm="1">
        <f t="array" ref="CJ461">$BC461 * IF($AD461&lt;=2,
SUMPRODUCT(INDEX($AL$67:$AN$71,,$AE461), INDEX($AO$67:$AU$71,,$AD461), 1 / ($AV$67:$AV$71*CI461 + (1-$AV$67:$AV$71)*CE461), N($AK$67:$AK$71&gt;$AI461)),
SUMPRODUCT(INDEX($AL$57:$AN$66,,$AE461), INDEX($AO$57:$AU$66,,$AD461), 1 / ($AW$57:$AW$66*CI461 + (1-$AW$57:$AW$66)*CE461), N($AK$57:$AK$66&gt;$AI461))
) / 1000</f>
        <v>0</v>
      </c>
      <c r="CK461" s="250">
        <f t="shared" si="525"/>
        <v>20</v>
      </c>
      <c r="CL461" s="237">
        <f t="shared" si="548"/>
        <v>33</v>
      </c>
      <c r="CM461" s="253">
        <f t="shared" si="549"/>
        <v>4.8487499999999999</v>
      </c>
      <c r="CN461" s="253" cm="1">
        <f t="array" ref="CN461">$BC461 * IF($AD461&lt;=2,
SUMPRODUCT(INDEX($AL$62:$AN$66,,$AE461), INDEX($AO$62:$AU$66,,$AD461), 1 / ($AV$62:$AV$66*CM461 + (1-$AV$62:$AV$66)*CI461), N($AK$62:$AK$66&gt;$AI461)),
SUMPRODUCT(INDEX($AL$47:$AN$56,,$AE461), INDEX($AO$47:$AU$56,,$AD461), 1 / ($AW$47:$AW$56*CM461 + (1-$AW$47:$AW$56)*CI461), N($AK$47:$AK$56&gt;$AI461))
) / 1000</f>
        <v>0</v>
      </c>
      <c r="CO461" s="253" cm="1">
        <f t="array" ref="CO461">$BC461 * IF($AD461&lt;=2,
SUMPRODUCT(INDEX($AL$23:$AN$61,,$AE461), INDEX($AO$23:$AU$61,,$AD461), 1 / ($AV$23:$AV$61*CM461), N($AK$23:$AK$61&gt;$AI461)),
SUMPRODUCT(INDEX($AL$23:$AN$46,,$AE461), INDEX($AO$23:$AU$46,,$AD461), 1 / ($AW$23:$AW$46*CM461), N($AK$23:$AK$46&gt;$AI461))
) / 1000</f>
        <v>0</v>
      </c>
      <c r="CP461" s="237">
        <f t="shared" si="550"/>
        <v>0</v>
      </c>
      <c r="CQ461" s="210"/>
    </row>
    <row r="462" spans="1:95" s="76" customFormat="1" ht="14.25" customHeight="1" x14ac:dyDescent="0.2">
      <c r="A462" s="238" t="b">
        <f t="shared" si="517"/>
        <v>0</v>
      </c>
      <c r="B462" s="239">
        <v>440</v>
      </c>
      <c r="C462" s="258"/>
      <c r="D462" s="258"/>
      <c r="E462" s="240"/>
      <c r="F462" s="241" t="str">
        <f>IF(ISBLANK(E462), "", VLOOKUP(E462, Z!$A$2:$C$4127, 3, FALSE))</f>
        <v/>
      </c>
      <c r="G462" s="242"/>
      <c r="H462" s="242"/>
      <c r="I462" s="243"/>
      <c r="J462" s="244"/>
      <c r="K462" s="259"/>
      <c r="L462" s="260"/>
      <c r="M462" s="247" t="str" cm="1">
        <f t="array" ref="M462">IF($K462&gt;0, INDEX(Clean,1+AG462,$C$1), "")</f>
        <v/>
      </c>
      <c r="N462" s="245"/>
      <c r="O462" s="245"/>
      <c r="P462" s="246"/>
      <c r="Q462" s="248">
        <f t="shared" si="527"/>
        <v>0</v>
      </c>
      <c r="R462" s="247" t="str" cm="1">
        <f t="array" ref="R462">IF($K462&gt;0, INDEX(Clean,1+AH462,$C$1), "")</f>
        <v/>
      </c>
      <c r="S462" s="245"/>
      <c r="T462" s="245"/>
      <c r="U462" s="246"/>
      <c r="V462" s="248">
        <f t="shared" si="528"/>
        <v>0</v>
      </c>
      <c r="W462" s="261"/>
      <c r="X462" s="258"/>
      <c r="Y462" s="240"/>
      <c r="Z462" s="241" t="str">
        <f>IF(ISBLANK(Y462), "", VLOOKUP(Y462, Z!$A$2:$C$4127, 3, FALSE))</f>
        <v/>
      </c>
      <c r="AA462" s="262"/>
      <c r="AB462" s="249">
        <f t="shared" si="526"/>
        <v>0</v>
      </c>
      <c r="AC462" s="210"/>
      <c r="AD462" s="236">
        <f t="shared" si="551"/>
        <v>1</v>
      </c>
      <c r="AE462" s="236">
        <f t="shared" si="552"/>
        <v>1</v>
      </c>
      <c r="AF462" s="236">
        <f t="shared" si="553"/>
        <v>0</v>
      </c>
      <c r="AG462" s="236">
        <v>1</v>
      </c>
      <c r="AH462" s="236">
        <v>0</v>
      </c>
      <c r="AI462" s="236">
        <f t="shared" si="529"/>
        <v>-100</v>
      </c>
      <c r="AJ462" s="210"/>
      <c r="AK462" s="254"/>
      <c r="AL462" s="254"/>
      <c r="AM462" s="255"/>
      <c r="AN462" s="255"/>
      <c r="AO462" s="255"/>
      <c r="AP462" s="255"/>
      <c r="AQ462" s="255"/>
      <c r="AR462" s="255"/>
      <c r="AS462" s="255"/>
      <c r="AT462" s="255"/>
      <c r="AU462" s="255"/>
      <c r="AV462" s="255"/>
      <c r="AW462" s="255"/>
      <c r="AX462" s="210"/>
      <c r="AY462" s="236" cm="1">
        <f t="array" ref="AY462">INDEX(Use, $AD462, 4)</f>
        <v>7</v>
      </c>
      <c r="AZ462" s="236">
        <f t="shared" si="530"/>
        <v>32</v>
      </c>
      <c r="BA462" s="236">
        <f t="shared" si="518"/>
        <v>13</v>
      </c>
      <c r="BB462" s="236">
        <f t="shared" si="519"/>
        <v>0</v>
      </c>
      <c r="BC462" s="252" cm="1">
        <f t="array" ref="BC462">K462/IF($L462&gt;0, INDEX($AO$23:$AU$77, $L462+20, $AD462), 1)</f>
        <v>0</v>
      </c>
      <c r="BD462" s="237">
        <f t="shared" si="531"/>
        <v>0</v>
      </c>
      <c r="BE462" s="236">
        <v>35</v>
      </c>
      <c r="BF462" s="237">
        <f t="shared" si="532"/>
        <v>52.55</v>
      </c>
      <c r="BG462" s="253">
        <f t="shared" si="533"/>
        <v>2.7676728869374316</v>
      </c>
      <c r="BH462" s="253" cm="1">
        <f t="array" ref="BH462">$BC462 * SUMPRODUCT(INDEX($AL$77:$AN$82,,$AE462),INDEX($AO$77:$AU$82,,$AD462), N($AK$77:$AK$82&gt;$AI462)) / BG462 / 1000</f>
        <v>0</v>
      </c>
      <c r="BI462" s="250">
        <f t="shared" si="520"/>
        <v>30</v>
      </c>
      <c r="BJ462" s="237">
        <f t="shared" si="534"/>
        <v>46.033333333333331</v>
      </c>
      <c r="BK462" s="253">
        <f t="shared" si="535"/>
        <v>3.2297395388556791</v>
      </c>
      <c r="BL462" s="253" cm="1">
        <f t="array" ref="BL462">$BC462 * IF($AD462&lt;=2,
SUMPRODUCT(INDEX($AL$72:$AN$76,,$AE462), INDEX($AO$72:$AU$76,,$AD462), 1 / ($AV$72:$AV$76*BK462 + (1-$AV$72:$AV$76)*BG462), N($AK$72:$AK$76&gt;$AI462)),
SUMPRODUCT(INDEX($AL$67:$AN$76,,$AE462), INDEX($AO$67:$AU$76,,$AD462), 1 / ($AW$67:$AW$76*BK462 + (1-$AW$67:$AW$76)*BG462), N($AK$67:$AK$76&gt;$AI462))
) / 1000</f>
        <v>0</v>
      </c>
      <c r="BM462" s="250">
        <f t="shared" si="521"/>
        <v>25</v>
      </c>
      <c r="BN462" s="237">
        <f t="shared" si="536"/>
        <v>39.516666666666666</v>
      </c>
      <c r="BO462" s="253">
        <f t="shared" si="537"/>
        <v>3.877011788826243</v>
      </c>
      <c r="BP462" s="253" cm="1">
        <f t="array" ref="BP462">$BC462 * IF($AD462&lt;=2,
SUMPRODUCT(INDEX($AL$67:$AN$71,,$AE462), INDEX($AO$67:$AU$71,,$AD462), 1 / ($AV$67:$AV$71*BO462 + (1-$AV$67:$AV$71)*BK462), N($AK$67:$AK$71&gt;$AI462)),
SUMPRODUCT(INDEX($AL$57:$AN$66,,$AE462), INDEX($AO$57:$AU$66,,$AD462), 1 / ($AW$57:$AW$66*BO462 + (1-$AW$57:$AW$66)*BK462), N($AK$57:$AK$66&gt;$AI462))
) / 1000</f>
        <v>0</v>
      </c>
      <c r="BQ462" s="250">
        <f t="shared" si="522"/>
        <v>20</v>
      </c>
      <c r="BR462" s="237">
        <f t="shared" si="538"/>
        <v>33</v>
      </c>
      <c r="BS462" s="253">
        <f t="shared" si="539"/>
        <v>4.8487499999999999</v>
      </c>
      <c r="BT462" s="253" cm="1">
        <f t="array" ref="BT462">$BC462 * IF($AD462&lt;=2,
SUMPRODUCT(INDEX($AL$62:$AN$66,,$AE462), INDEX($AO$62:$AU$66,,$AD462), 1 / ($AV$62:$AV$66*BS462 + (1-$AV$62:$AV$66)*BO462), N($AK$62:$AK$66&gt;$AI462)),
SUMPRODUCT(INDEX($AL$47:$AN$56,,$AE462), INDEX($AO$47:$AU$56,,$AD462), 1 / ($AW$47:$AW$56*BS462 + (1-$AW$47:$AW$56)*BO462), N($AK$47:$AK$56&gt;$AI462))
) / 1000</f>
        <v>0</v>
      </c>
      <c r="BU462" s="253" cm="1">
        <f t="array" ref="BU462">$BC462 * IF($AD462&lt;=2,
SUMPRODUCT(INDEX($AL$23:$AN$61,,$AE462), INDEX($AO$23:$AU$61,,$AD462), 1 / ($AV$23:$AV$61*BS462), N($AK$23:$AK$61&gt;$AI462)),
SUMPRODUCT(INDEX($AL$23:$AN$46,,$AE462), INDEX($AO$23:$AU$46,,$AD462), 1 / ($AW$23:$AW$46*BS462), N($AK$23:$AK$46&gt;$AI462))
) / 1000</f>
        <v>0</v>
      </c>
      <c r="BV462" s="237">
        <f t="shared" si="540"/>
        <v>0</v>
      </c>
      <c r="BW462" s="210"/>
      <c r="BX462" s="237">
        <f t="shared" si="541"/>
        <v>0</v>
      </c>
      <c r="BY462" s="236">
        <v>35</v>
      </c>
      <c r="BZ462" s="237">
        <f t="shared" si="542"/>
        <v>48</v>
      </c>
      <c r="CA462" s="253">
        <f t="shared" si="543"/>
        <v>3.0748170731707316</v>
      </c>
      <c r="CB462" s="253" cm="1">
        <f t="array" ref="CB462">$BC462 * SUMPRODUCT(INDEX($AL$77:$AN$82,,$AE462),INDEX($AO$77:$AU$82,,$AD462), N($AK$77:$AK$82&gt;$AI462)) / CA462 / 1000</f>
        <v>0</v>
      </c>
      <c r="CC462" s="250">
        <f t="shared" si="523"/>
        <v>30</v>
      </c>
      <c r="CD462" s="237">
        <f t="shared" si="544"/>
        <v>43</v>
      </c>
      <c r="CE462" s="253">
        <f t="shared" si="545"/>
        <v>3.5018750000000001</v>
      </c>
      <c r="CF462" s="253" cm="1">
        <f t="array" ref="CF462">$BC462 * IF($AD462&lt;=2,
SUMPRODUCT(INDEX($AL$72:$AN$76,,$AE462), INDEX($AO$72:$AU$76,,$AD462), 1 / ($AV$72:$AV$76*CE462 + (1-$AV$72:$AV$76)*CA462), N($AK$72:$AK$76&gt;$AI462)),
SUMPRODUCT(INDEX($AL$67:$AN$76,,$AE462), INDEX($AO$67:$AU$76,,$AD462), 1 / ($AW$67:$AW$76*CE462 + (1-$AW$67:$AW$76)*CA462), N($AK$67:$AK$76&gt;$AI462))
) / 1000</f>
        <v>0</v>
      </c>
      <c r="CG462" s="250">
        <f t="shared" si="524"/>
        <v>25</v>
      </c>
      <c r="CH462" s="237">
        <f t="shared" si="546"/>
        <v>38</v>
      </c>
      <c r="CI462" s="253">
        <f t="shared" si="547"/>
        <v>4.0666935483870965</v>
      </c>
      <c r="CJ462" s="253" cm="1">
        <f t="array" ref="CJ462">$BC462 * IF($AD462&lt;=2,
SUMPRODUCT(INDEX($AL$67:$AN$71,,$AE462), INDEX($AO$67:$AU$71,,$AD462), 1 / ($AV$67:$AV$71*CI462 + (1-$AV$67:$AV$71)*CE462), N($AK$67:$AK$71&gt;$AI462)),
SUMPRODUCT(INDEX($AL$57:$AN$66,,$AE462), INDEX($AO$57:$AU$66,,$AD462), 1 / ($AW$57:$AW$66*CI462 + (1-$AW$57:$AW$66)*CE462), N($AK$57:$AK$66&gt;$AI462))
) / 1000</f>
        <v>0</v>
      </c>
      <c r="CK462" s="250">
        <f t="shared" si="525"/>
        <v>20</v>
      </c>
      <c r="CL462" s="237">
        <f t="shared" si="548"/>
        <v>33</v>
      </c>
      <c r="CM462" s="253">
        <f t="shared" si="549"/>
        <v>4.8487499999999999</v>
      </c>
      <c r="CN462" s="253" cm="1">
        <f t="array" ref="CN462">$BC462 * IF($AD462&lt;=2,
SUMPRODUCT(INDEX($AL$62:$AN$66,,$AE462), INDEX($AO$62:$AU$66,,$AD462), 1 / ($AV$62:$AV$66*CM462 + (1-$AV$62:$AV$66)*CI462), N($AK$62:$AK$66&gt;$AI462)),
SUMPRODUCT(INDEX($AL$47:$AN$56,,$AE462), INDEX($AO$47:$AU$56,,$AD462), 1 / ($AW$47:$AW$56*CM462 + (1-$AW$47:$AW$56)*CI462), N($AK$47:$AK$56&gt;$AI462))
) / 1000</f>
        <v>0</v>
      </c>
      <c r="CO462" s="253" cm="1">
        <f t="array" ref="CO462">$BC462 * IF($AD462&lt;=2,
SUMPRODUCT(INDEX($AL$23:$AN$61,,$AE462), INDEX($AO$23:$AU$61,,$AD462), 1 / ($AV$23:$AV$61*CM462), N($AK$23:$AK$61&gt;$AI462)),
SUMPRODUCT(INDEX($AL$23:$AN$46,,$AE462), INDEX($AO$23:$AU$46,,$AD462), 1 / ($AW$23:$AW$46*CM462), N($AK$23:$AK$46&gt;$AI462))
) / 1000</f>
        <v>0</v>
      </c>
      <c r="CP462" s="237">
        <f t="shared" si="550"/>
        <v>0</v>
      </c>
      <c r="CQ462" s="210"/>
    </row>
    <row r="463" spans="1:95" s="76" customFormat="1" ht="14.25" customHeight="1" x14ac:dyDescent="0.2">
      <c r="A463" s="238" t="b">
        <f t="shared" si="517"/>
        <v>0</v>
      </c>
      <c r="B463" s="239">
        <v>441</v>
      </c>
      <c r="C463" s="258"/>
      <c r="D463" s="258"/>
      <c r="E463" s="240"/>
      <c r="F463" s="241" t="str">
        <f>IF(ISBLANK(E463), "", VLOOKUP(E463, Z!$A$2:$C$4127, 3, FALSE))</f>
        <v/>
      </c>
      <c r="G463" s="242"/>
      <c r="H463" s="242"/>
      <c r="I463" s="243"/>
      <c r="J463" s="244"/>
      <c r="K463" s="259"/>
      <c r="L463" s="260"/>
      <c r="M463" s="247" t="str" cm="1">
        <f t="array" ref="M463">IF($K463&gt;0, INDEX(Clean,1+AG463,$C$1), "")</f>
        <v/>
      </c>
      <c r="N463" s="245"/>
      <c r="O463" s="245"/>
      <c r="P463" s="246"/>
      <c r="Q463" s="248">
        <f t="shared" si="527"/>
        <v>0</v>
      </c>
      <c r="R463" s="247" t="str" cm="1">
        <f t="array" ref="R463">IF($K463&gt;0, INDEX(Clean,1+AH463,$C$1), "")</f>
        <v/>
      </c>
      <c r="S463" s="245"/>
      <c r="T463" s="245"/>
      <c r="U463" s="246"/>
      <c r="V463" s="248">
        <f t="shared" si="528"/>
        <v>0</v>
      </c>
      <c r="W463" s="261"/>
      <c r="X463" s="258"/>
      <c r="Y463" s="240"/>
      <c r="Z463" s="241" t="str">
        <f>IF(ISBLANK(Y463), "", VLOOKUP(Y463, Z!$A$2:$C$4127, 3, FALSE))</f>
        <v/>
      </c>
      <c r="AA463" s="262"/>
      <c r="AB463" s="249">
        <f t="shared" si="526"/>
        <v>0</v>
      </c>
      <c r="AC463" s="210"/>
      <c r="AD463" s="236">
        <f t="shared" si="551"/>
        <v>1</v>
      </c>
      <c r="AE463" s="236">
        <f t="shared" si="552"/>
        <v>1</v>
      </c>
      <c r="AF463" s="236">
        <f t="shared" si="553"/>
        <v>0</v>
      </c>
      <c r="AG463" s="236">
        <v>1</v>
      </c>
      <c r="AH463" s="236">
        <v>0</v>
      </c>
      <c r="AI463" s="236">
        <f t="shared" si="529"/>
        <v>-100</v>
      </c>
      <c r="AJ463" s="210"/>
      <c r="AK463" s="254"/>
      <c r="AL463" s="254"/>
      <c r="AM463" s="255"/>
      <c r="AN463" s="255"/>
      <c r="AO463" s="255"/>
      <c r="AP463" s="255"/>
      <c r="AQ463" s="255"/>
      <c r="AR463" s="255"/>
      <c r="AS463" s="255"/>
      <c r="AT463" s="255"/>
      <c r="AU463" s="255"/>
      <c r="AV463" s="255"/>
      <c r="AW463" s="255"/>
      <c r="AX463" s="210"/>
      <c r="AY463" s="236" cm="1">
        <f t="array" ref="AY463">INDEX(Use, $AD463, 4)</f>
        <v>7</v>
      </c>
      <c r="AZ463" s="236">
        <f t="shared" si="530"/>
        <v>32</v>
      </c>
      <c r="BA463" s="236">
        <f t="shared" si="518"/>
        <v>13</v>
      </c>
      <c r="BB463" s="236">
        <f t="shared" si="519"/>
        <v>0</v>
      </c>
      <c r="BC463" s="252" cm="1">
        <f t="array" ref="BC463">K463/IF($L463&gt;0, INDEX($AO$23:$AU$77, $L463+20, $AD463), 1)</f>
        <v>0</v>
      </c>
      <c r="BD463" s="237">
        <f t="shared" si="531"/>
        <v>0</v>
      </c>
      <c r="BE463" s="236">
        <v>35</v>
      </c>
      <c r="BF463" s="237">
        <f t="shared" si="532"/>
        <v>52.55</v>
      </c>
      <c r="BG463" s="253">
        <f t="shared" si="533"/>
        <v>2.7676728869374316</v>
      </c>
      <c r="BH463" s="253" cm="1">
        <f t="array" ref="BH463">$BC463 * SUMPRODUCT(INDEX($AL$77:$AN$82,,$AE463),INDEX($AO$77:$AU$82,,$AD463), N($AK$77:$AK$82&gt;$AI463)) / BG463 / 1000</f>
        <v>0</v>
      </c>
      <c r="BI463" s="250">
        <f t="shared" si="520"/>
        <v>30</v>
      </c>
      <c r="BJ463" s="237">
        <f t="shared" si="534"/>
        <v>46.033333333333331</v>
      </c>
      <c r="BK463" s="253">
        <f t="shared" si="535"/>
        <v>3.2297395388556791</v>
      </c>
      <c r="BL463" s="253" cm="1">
        <f t="array" ref="BL463">$BC463 * IF($AD463&lt;=2,
SUMPRODUCT(INDEX($AL$72:$AN$76,,$AE463), INDEX($AO$72:$AU$76,,$AD463), 1 / ($AV$72:$AV$76*BK463 + (1-$AV$72:$AV$76)*BG463), N($AK$72:$AK$76&gt;$AI463)),
SUMPRODUCT(INDEX($AL$67:$AN$76,,$AE463), INDEX($AO$67:$AU$76,,$AD463), 1 / ($AW$67:$AW$76*BK463 + (1-$AW$67:$AW$76)*BG463), N($AK$67:$AK$76&gt;$AI463))
) / 1000</f>
        <v>0</v>
      </c>
      <c r="BM463" s="250">
        <f t="shared" si="521"/>
        <v>25</v>
      </c>
      <c r="BN463" s="237">
        <f t="shared" si="536"/>
        <v>39.516666666666666</v>
      </c>
      <c r="BO463" s="253">
        <f t="shared" si="537"/>
        <v>3.877011788826243</v>
      </c>
      <c r="BP463" s="253" cm="1">
        <f t="array" ref="BP463">$BC463 * IF($AD463&lt;=2,
SUMPRODUCT(INDEX($AL$67:$AN$71,,$AE463), INDEX($AO$67:$AU$71,,$AD463), 1 / ($AV$67:$AV$71*BO463 + (1-$AV$67:$AV$71)*BK463), N($AK$67:$AK$71&gt;$AI463)),
SUMPRODUCT(INDEX($AL$57:$AN$66,,$AE463), INDEX($AO$57:$AU$66,,$AD463), 1 / ($AW$57:$AW$66*BO463 + (1-$AW$57:$AW$66)*BK463), N($AK$57:$AK$66&gt;$AI463))
) / 1000</f>
        <v>0</v>
      </c>
      <c r="BQ463" s="250">
        <f t="shared" si="522"/>
        <v>20</v>
      </c>
      <c r="BR463" s="237">
        <f t="shared" si="538"/>
        <v>33</v>
      </c>
      <c r="BS463" s="253">
        <f t="shared" si="539"/>
        <v>4.8487499999999999</v>
      </c>
      <c r="BT463" s="253" cm="1">
        <f t="array" ref="BT463">$BC463 * IF($AD463&lt;=2,
SUMPRODUCT(INDEX($AL$62:$AN$66,,$AE463), INDEX($AO$62:$AU$66,,$AD463), 1 / ($AV$62:$AV$66*BS463 + (1-$AV$62:$AV$66)*BO463), N($AK$62:$AK$66&gt;$AI463)),
SUMPRODUCT(INDEX($AL$47:$AN$56,,$AE463), INDEX($AO$47:$AU$56,,$AD463), 1 / ($AW$47:$AW$56*BS463 + (1-$AW$47:$AW$56)*BO463), N($AK$47:$AK$56&gt;$AI463))
) / 1000</f>
        <v>0</v>
      </c>
      <c r="BU463" s="253" cm="1">
        <f t="array" ref="BU463">$BC463 * IF($AD463&lt;=2,
SUMPRODUCT(INDEX($AL$23:$AN$61,,$AE463), INDEX($AO$23:$AU$61,,$AD463), 1 / ($AV$23:$AV$61*BS463), N($AK$23:$AK$61&gt;$AI463)),
SUMPRODUCT(INDEX($AL$23:$AN$46,,$AE463), INDEX($AO$23:$AU$46,,$AD463), 1 / ($AW$23:$AW$46*BS463), N($AK$23:$AK$46&gt;$AI463))
) / 1000</f>
        <v>0</v>
      </c>
      <c r="BV463" s="237">
        <f t="shared" si="540"/>
        <v>0</v>
      </c>
      <c r="BW463" s="210"/>
      <c r="BX463" s="237">
        <f t="shared" si="541"/>
        <v>0</v>
      </c>
      <c r="BY463" s="236">
        <v>35</v>
      </c>
      <c r="BZ463" s="237">
        <f t="shared" si="542"/>
        <v>48</v>
      </c>
      <c r="CA463" s="253">
        <f t="shared" si="543"/>
        <v>3.0748170731707316</v>
      </c>
      <c r="CB463" s="253" cm="1">
        <f t="array" ref="CB463">$BC463 * SUMPRODUCT(INDEX($AL$77:$AN$82,,$AE463),INDEX($AO$77:$AU$82,,$AD463), N($AK$77:$AK$82&gt;$AI463)) / CA463 / 1000</f>
        <v>0</v>
      </c>
      <c r="CC463" s="250">
        <f t="shared" si="523"/>
        <v>30</v>
      </c>
      <c r="CD463" s="237">
        <f t="shared" si="544"/>
        <v>43</v>
      </c>
      <c r="CE463" s="253">
        <f t="shared" si="545"/>
        <v>3.5018750000000001</v>
      </c>
      <c r="CF463" s="253" cm="1">
        <f t="array" ref="CF463">$BC463 * IF($AD463&lt;=2,
SUMPRODUCT(INDEX($AL$72:$AN$76,,$AE463), INDEX($AO$72:$AU$76,,$AD463), 1 / ($AV$72:$AV$76*CE463 + (1-$AV$72:$AV$76)*CA463), N($AK$72:$AK$76&gt;$AI463)),
SUMPRODUCT(INDEX($AL$67:$AN$76,,$AE463), INDEX($AO$67:$AU$76,,$AD463), 1 / ($AW$67:$AW$76*CE463 + (1-$AW$67:$AW$76)*CA463), N($AK$67:$AK$76&gt;$AI463))
) / 1000</f>
        <v>0</v>
      </c>
      <c r="CG463" s="250">
        <f t="shared" si="524"/>
        <v>25</v>
      </c>
      <c r="CH463" s="237">
        <f t="shared" si="546"/>
        <v>38</v>
      </c>
      <c r="CI463" s="253">
        <f t="shared" si="547"/>
        <v>4.0666935483870965</v>
      </c>
      <c r="CJ463" s="253" cm="1">
        <f t="array" ref="CJ463">$BC463 * IF($AD463&lt;=2,
SUMPRODUCT(INDEX($AL$67:$AN$71,,$AE463), INDEX($AO$67:$AU$71,,$AD463), 1 / ($AV$67:$AV$71*CI463 + (1-$AV$67:$AV$71)*CE463), N($AK$67:$AK$71&gt;$AI463)),
SUMPRODUCT(INDEX($AL$57:$AN$66,,$AE463), INDEX($AO$57:$AU$66,,$AD463), 1 / ($AW$57:$AW$66*CI463 + (1-$AW$57:$AW$66)*CE463), N($AK$57:$AK$66&gt;$AI463))
) / 1000</f>
        <v>0</v>
      </c>
      <c r="CK463" s="250">
        <f t="shared" si="525"/>
        <v>20</v>
      </c>
      <c r="CL463" s="237">
        <f t="shared" si="548"/>
        <v>33</v>
      </c>
      <c r="CM463" s="253">
        <f t="shared" si="549"/>
        <v>4.8487499999999999</v>
      </c>
      <c r="CN463" s="253" cm="1">
        <f t="array" ref="CN463">$BC463 * IF($AD463&lt;=2,
SUMPRODUCT(INDEX($AL$62:$AN$66,,$AE463), INDEX($AO$62:$AU$66,,$AD463), 1 / ($AV$62:$AV$66*CM463 + (1-$AV$62:$AV$66)*CI463), N($AK$62:$AK$66&gt;$AI463)),
SUMPRODUCT(INDEX($AL$47:$AN$56,,$AE463), INDEX($AO$47:$AU$56,,$AD463), 1 / ($AW$47:$AW$56*CM463 + (1-$AW$47:$AW$56)*CI463), N($AK$47:$AK$56&gt;$AI463))
) / 1000</f>
        <v>0</v>
      </c>
      <c r="CO463" s="253" cm="1">
        <f t="array" ref="CO463">$BC463 * IF($AD463&lt;=2,
SUMPRODUCT(INDEX($AL$23:$AN$61,,$AE463), INDEX($AO$23:$AU$61,,$AD463), 1 / ($AV$23:$AV$61*CM463), N($AK$23:$AK$61&gt;$AI463)),
SUMPRODUCT(INDEX($AL$23:$AN$46,,$AE463), INDEX($AO$23:$AU$46,,$AD463), 1 / ($AW$23:$AW$46*CM463), N($AK$23:$AK$46&gt;$AI463))
) / 1000</f>
        <v>0</v>
      </c>
      <c r="CP463" s="237">
        <f t="shared" si="550"/>
        <v>0</v>
      </c>
      <c r="CQ463" s="210"/>
    </row>
    <row r="464" spans="1:95" s="76" customFormat="1" ht="14.25" customHeight="1" x14ac:dyDescent="0.2">
      <c r="A464" s="238" t="b">
        <f t="shared" si="517"/>
        <v>0</v>
      </c>
      <c r="B464" s="239">
        <v>442</v>
      </c>
      <c r="C464" s="258"/>
      <c r="D464" s="258"/>
      <c r="E464" s="240"/>
      <c r="F464" s="241" t="str">
        <f>IF(ISBLANK(E464), "", VLOOKUP(E464, Z!$A$2:$C$4127, 3, FALSE))</f>
        <v/>
      </c>
      <c r="G464" s="242"/>
      <c r="H464" s="242"/>
      <c r="I464" s="243"/>
      <c r="J464" s="244"/>
      <c r="K464" s="259"/>
      <c r="L464" s="260"/>
      <c r="M464" s="247" t="str" cm="1">
        <f t="array" ref="M464">IF($K464&gt;0, INDEX(Clean,1+AG464,$C$1), "")</f>
        <v/>
      </c>
      <c r="N464" s="245"/>
      <c r="O464" s="245"/>
      <c r="P464" s="246"/>
      <c r="Q464" s="248">
        <f t="shared" si="527"/>
        <v>0</v>
      </c>
      <c r="R464" s="247" t="str" cm="1">
        <f t="array" ref="R464">IF($K464&gt;0, INDEX(Clean,1+AH464,$C$1), "")</f>
        <v/>
      </c>
      <c r="S464" s="245"/>
      <c r="T464" s="245"/>
      <c r="U464" s="246"/>
      <c r="V464" s="248">
        <f t="shared" si="528"/>
        <v>0</v>
      </c>
      <c r="W464" s="261"/>
      <c r="X464" s="258"/>
      <c r="Y464" s="240"/>
      <c r="Z464" s="241" t="str">
        <f>IF(ISBLANK(Y464), "", VLOOKUP(Y464, Z!$A$2:$C$4127, 3, FALSE))</f>
        <v/>
      </c>
      <c r="AA464" s="262"/>
      <c r="AB464" s="249">
        <f t="shared" si="526"/>
        <v>0</v>
      </c>
      <c r="AC464" s="210"/>
      <c r="AD464" s="236">
        <f t="shared" si="551"/>
        <v>1</v>
      </c>
      <c r="AE464" s="236">
        <f t="shared" si="552"/>
        <v>1</v>
      </c>
      <c r="AF464" s="236">
        <f t="shared" si="553"/>
        <v>0</v>
      </c>
      <c r="AG464" s="236">
        <v>1</v>
      </c>
      <c r="AH464" s="236">
        <v>0</v>
      </c>
      <c r="AI464" s="236">
        <f t="shared" si="529"/>
        <v>-100</v>
      </c>
      <c r="AJ464" s="210"/>
      <c r="AK464" s="254"/>
      <c r="AL464" s="254"/>
      <c r="AM464" s="255"/>
      <c r="AN464" s="255"/>
      <c r="AO464" s="255"/>
      <c r="AP464" s="255"/>
      <c r="AQ464" s="255"/>
      <c r="AR464" s="255"/>
      <c r="AS464" s="255"/>
      <c r="AT464" s="255"/>
      <c r="AU464" s="255"/>
      <c r="AV464" s="255"/>
      <c r="AW464" s="255"/>
      <c r="AX464" s="210"/>
      <c r="AY464" s="236" cm="1">
        <f t="array" ref="AY464">INDEX(Use, $AD464, 4)</f>
        <v>7</v>
      </c>
      <c r="AZ464" s="236">
        <f t="shared" si="530"/>
        <v>32</v>
      </c>
      <c r="BA464" s="236">
        <f t="shared" si="518"/>
        <v>13</v>
      </c>
      <c r="BB464" s="236">
        <f t="shared" si="519"/>
        <v>0</v>
      </c>
      <c r="BC464" s="252" cm="1">
        <f t="array" ref="BC464">K464/IF($L464&gt;0, INDEX($AO$23:$AU$77, $L464+20, $AD464), 1)</f>
        <v>0</v>
      </c>
      <c r="BD464" s="237">
        <f t="shared" si="531"/>
        <v>0</v>
      </c>
      <c r="BE464" s="236">
        <v>35</v>
      </c>
      <c r="BF464" s="237">
        <f t="shared" si="532"/>
        <v>52.55</v>
      </c>
      <c r="BG464" s="253">
        <f t="shared" si="533"/>
        <v>2.7676728869374316</v>
      </c>
      <c r="BH464" s="253" cm="1">
        <f t="array" ref="BH464">$BC464 * SUMPRODUCT(INDEX($AL$77:$AN$82,,$AE464),INDEX($AO$77:$AU$82,,$AD464), N($AK$77:$AK$82&gt;$AI464)) / BG464 / 1000</f>
        <v>0</v>
      </c>
      <c r="BI464" s="250">
        <f t="shared" si="520"/>
        <v>30</v>
      </c>
      <c r="BJ464" s="237">
        <f t="shared" si="534"/>
        <v>46.033333333333331</v>
      </c>
      <c r="BK464" s="253">
        <f t="shared" si="535"/>
        <v>3.2297395388556791</v>
      </c>
      <c r="BL464" s="253" cm="1">
        <f t="array" ref="BL464">$BC464 * IF($AD464&lt;=2,
SUMPRODUCT(INDEX($AL$72:$AN$76,,$AE464), INDEX($AO$72:$AU$76,,$AD464), 1 / ($AV$72:$AV$76*BK464 + (1-$AV$72:$AV$76)*BG464), N($AK$72:$AK$76&gt;$AI464)),
SUMPRODUCT(INDEX($AL$67:$AN$76,,$AE464), INDEX($AO$67:$AU$76,,$AD464), 1 / ($AW$67:$AW$76*BK464 + (1-$AW$67:$AW$76)*BG464), N($AK$67:$AK$76&gt;$AI464))
) / 1000</f>
        <v>0</v>
      </c>
      <c r="BM464" s="250">
        <f t="shared" si="521"/>
        <v>25</v>
      </c>
      <c r="BN464" s="237">
        <f t="shared" si="536"/>
        <v>39.516666666666666</v>
      </c>
      <c r="BO464" s="253">
        <f t="shared" si="537"/>
        <v>3.877011788826243</v>
      </c>
      <c r="BP464" s="253" cm="1">
        <f t="array" ref="BP464">$BC464 * IF($AD464&lt;=2,
SUMPRODUCT(INDEX($AL$67:$AN$71,,$AE464), INDEX($AO$67:$AU$71,,$AD464), 1 / ($AV$67:$AV$71*BO464 + (1-$AV$67:$AV$71)*BK464), N($AK$67:$AK$71&gt;$AI464)),
SUMPRODUCT(INDEX($AL$57:$AN$66,,$AE464), INDEX($AO$57:$AU$66,,$AD464), 1 / ($AW$57:$AW$66*BO464 + (1-$AW$57:$AW$66)*BK464), N($AK$57:$AK$66&gt;$AI464))
) / 1000</f>
        <v>0</v>
      </c>
      <c r="BQ464" s="250">
        <f t="shared" si="522"/>
        <v>20</v>
      </c>
      <c r="BR464" s="237">
        <f t="shared" si="538"/>
        <v>33</v>
      </c>
      <c r="BS464" s="253">
        <f t="shared" si="539"/>
        <v>4.8487499999999999</v>
      </c>
      <c r="BT464" s="253" cm="1">
        <f t="array" ref="BT464">$BC464 * IF($AD464&lt;=2,
SUMPRODUCT(INDEX($AL$62:$AN$66,,$AE464), INDEX($AO$62:$AU$66,,$AD464), 1 / ($AV$62:$AV$66*BS464 + (1-$AV$62:$AV$66)*BO464), N($AK$62:$AK$66&gt;$AI464)),
SUMPRODUCT(INDEX($AL$47:$AN$56,,$AE464), INDEX($AO$47:$AU$56,,$AD464), 1 / ($AW$47:$AW$56*BS464 + (1-$AW$47:$AW$56)*BO464), N($AK$47:$AK$56&gt;$AI464))
) / 1000</f>
        <v>0</v>
      </c>
      <c r="BU464" s="253" cm="1">
        <f t="array" ref="BU464">$BC464 * IF($AD464&lt;=2,
SUMPRODUCT(INDEX($AL$23:$AN$61,,$AE464), INDEX($AO$23:$AU$61,,$AD464), 1 / ($AV$23:$AV$61*BS464), N($AK$23:$AK$61&gt;$AI464)),
SUMPRODUCT(INDEX($AL$23:$AN$46,,$AE464), INDEX($AO$23:$AU$46,,$AD464), 1 / ($AW$23:$AW$46*BS464), N($AK$23:$AK$46&gt;$AI464))
) / 1000</f>
        <v>0</v>
      </c>
      <c r="BV464" s="237">
        <f t="shared" si="540"/>
        <v>0</v>
      </c>
      <c r="BW464" s="210"/>
      <c r="BX464" s="237">
        <f t="shared" si="541"/>
        <v>0</v>
      </c>
      <c r="BY464" s="236">
        <v>35</v>
      </c>
      <c r="BZ464" s="237">
        <f t="shared" si="542"/>
        <v>48</v>
      </c>
      <c r="CA464" s="253">
        <f t="shared" si="543"/>
        <v>3.0748170731707316</v>
      </c>
      <c r="CB464" s="253" cm="1">
        <f t="array" ref="CB464">$BC464 * SUMPRODUCT(INDEX($AL$77:$AN$82,,$AE464),INDEX($AO$77:$AU$82,,$AD464), N($AK$77:$AK$82&gt;$AI464)) / CA464 / 1000</f>
        <v>0</v>
      </c>
      <c r="CC464" s="250">
        <f t="shared" si="523"/>
        <v>30</v>
      </c>
      <c r="CD464" s="237">
        <f t="shared" si="544"/>
        <v>43</v>
      </c>
      <c r="CE464" s="253">
        <f t="shared" si="545"/>
        <v>3.5018750000000001</v>
      </c>
      <c r="CF464" s="253" cm="1">
        <f t="array" ref="CF464">$BC464 * IF($AD464&lt;=2,
SUMPRODUCT(INDEX($AL$72:$AN$76,,$AE464), INDEX($AO$72:$AU$76,,$AD464), 1 / ($AV$72:$AV$76*CE464 + (1-$AV$72:$AV$76)*CA464), N($AK$72:$AK$76&gt;$AI464)),
SUMPRODUCT(INDEX($AL$67:$AN$76,,$AE464), INDEX($AO$67:$AU$76,,$AD464), 1 / ($AW$67:$AW$76*CE464 + (1-$AW$67:$AW$76)*CA464), N($AK$67:$AK$76&gt;$AI464))
) / 1000</f>
        <v>0</v>
      </c>
      <c r="CG464" s="250">
        <f t="shared" si="524"/>
        <v>25</v>
      </c>
      <c r="CH464" s="237">
        <f t="shared" si="546"/>
        <v>38</v>
      </c>
      <c r="CI464" s="253">
        <f t="shared" si="547"/>
        <v>4.0666935483870965</v>
      </c>
      <c r="CJ464" s="253" cm="1">
        <f t="array" ref="CJ464">$BC464 * IF($AD464&lt;=2,
SUMPRODUCT(INDEX($AL$67:$AN$71,,$AE464), INDEX($AO$67:$AU$71,,$AD464), 1 / ($AV$67:$AV$71*CI464 + (1-$AV$67:$AV$71)*CE464), N($AK$67:$AK$71&gt;$AI464)),
SUMPRODUCT(INDEX($AL$57:$AN$66,,$AE464), INDEX($AO$57:$AU$66,,$AD464), 1 / ($AW$57:$AW$66*CI464 + (1-$AW$57:$AW$66)*CE464), N($AK$57:$AK$66&gt;$AI464))
) / 1000</f>
        <v>0</v>
      </c>
      <c r="CK464" s="250">
        <f t="shared" si="525"/>
        <v>20</v>
      </c>
      <c r="CL464" s="237">
        <f t="shared" si="548"/>
        <v>33</v>
      </c>
      <c r="CM464" s="253">
        <f t="shared" si="549"/>
        <v>4.8487499999999999</v>
      </c>
      <c r="CN464" s="253" cm="1">
        <f t="array" ref="CN464">$BC464 * IF($AD464&lt;=2,
SUMPRODUCT(INDEX($AL$62:$AN$66,,$AE464), INDEX($AO$62:$AU$66,,$AD464), 1 / ($AV$62:$AV$66*CM464 + (1-$AV$62:$AV$66)*CI464), N($AK$62:$AK$66&gt;$AI464)),
SUMPRODUCT(INDEX($AL$47:$AN$56,,$AE464), INDEX($AO$47:$AU$56,,$AD464), 1 / ($AW$47:$AW$56*CM464 + (1-$AW$47:$AW$56)*CI464), N($AK$47:$AK$56&gt;$AI464))
) / 1000</f>
        <v>0</v>
      </c>
      <c r="CO464" s="253" cm="1">
        <f t="array" ref="CO464">$BC464 * IF($AD464&lt;=2,
SUMPRODUCT(INDEX($AL$23:$AN$61,,$AE464), INDEX($AO$23:$AU$61,,$AD464), 1 / ($AV$23:$AV$61*CM464), N($AK$23:$AK$61&gt;$AI464)),
SUMPRODUCT(INDEX($AL$23:$AN$46,,$AE464), INDEX($AO$23:$AU$46,,$AD464), 1 / ($AW$23:$AW$46*CM464), N($AK$23:$AK$46&gt;$AI464))
) / 1000</f>
        <v>0</v>
      </c>
      <c r="CP464" s="237">
        <f t="shared" si="550"/>
        <v>0</v>
      </c>
      <c r="CQ464" s="210"/>
    </row>
    <row r="465" spans="1:95" s="76" customFormat="1" ht="14.25" customHeight="1" x14ac:dyDescent="0.2">
      <c r="A465" s="238" t="b">
        <f t="shared" si="517"/>
        <v>0</v>
      </c>
      <c r="B465" s="239">
        <v>443</v>
      </c>
      <c r="C465" s="258"/>
      <c r="D465" s="258"/>
      <c r="E465" s="240"/>
      <c r="F465" s="241" t="str">
        <f>IF(ISBLANK(E465), "", VLOOKUP(E465, Z!$A$2:$C$4127, 3, FALSE))</f>
        <v/>
      </c>
      <c r="G465" s="242"/>
      <c r="H465" s="242"/>
      <c r="I465" s="243"/>
      <c r="J465" s="244"/>
      <c r="K465" s="259"/>
      <c r="L465" s="260"/>
      <c r="M465" s="247" t="str" cm="1">
        <f t="array" ref="M465">IF($K465&gt;0, INDEX(Clean,1+AG465,$C$1), "")</f>
        <v/>
      </c>
      <c r="N465" s="245"/>
      <c r="O465" s="245"/>
      <c r="P465" s="246"/>
      <c r="Q465" s="248">
        <f t="shared" si="527"/>
        <v>0</v>
      </c>
      <c r="R465" s="247" t="str" cm="1">
        <f t="array" ref="R465">IF($K465&gt;0, INDEX(Clean,1+AH465,$C$1), "")</f>
        <v/>
      </c>
      <c r="S465" s="245"/>
      <c r="T465" s="245"/>
      <c r="U465" s="246"/>
      <c r="V465" s="248">
        <f t="shared" si="528"/>
        <v>0</v>
      </c>
      <c r="W465" s="261"/>
      <c r="X465" s="258"/>
      <c r="Y465" s="240"/>
      <c r="Z465" s="241" t="str">
        <f>IF(ISBLANK(Y465), "", VLOOKUP(Y465, Z!$A$2:$C$4127, 3, FALSE))</f>
        <v/>
      </c>
      <c r="AA465" s="262"/>
      <c r="AB465" s="249">
        <f t="shared" si="526"/>
        <v>0</v>
      </c>
      <c r="AC465" s="210"/>
      <c r="AD465" s="236">
        <f t="shared" si="551"/>
        <v>1</v>
      </c>
      <c r="AE465" s="236">
        <f t="shared" si="552"/>
        <v>1</v>
      </c>
      <c r="AF465" s="236">
        <f t="shared" si="553"/>
        <v>0</v>
      </c>
      <c r="AG465" s="236">
        <v>1</v>
      </c>
      <c r="AH465" s="236">
        <v>0</v>
      </c>
      <c r="AI465" s="236">
        <f t="shared" si="529"/>
        <v>-100</v>
      </c>
      <c r="AJ465" s="210"/>
      <c r="AK465" s="254"/>
      <c r="AL465" s="254"/>
      <c r="AM465" s="255"/>
      <c r="AN465" s="255"/>
      <c r="AO465" s="255"/>
      <c r="AP465" s="255"/>
      <c r="AQ465" s="255"/>
      <c r="AR465" s="255"/>
      <c r="AS465" s="255"/>
      <c r="AT465" s="255"/>
      <c r="AU465" s="255"/>
      <c r="AV465" s="255"/>
      <c r="AW465" s="255"/>
      <c r="AX465" s="210"/>
      <c r="AY465" s="236" cm="1">
        <f t="array" ref="AY465">INDEX(Use, $AD465, 4)</f>
        <v>7</v>
      </c>
      <c r="AZ465" s="236">
        <f t="shared" si="530"/>
        <v>32</v>
      </c>
      <c r="BA465" s="236">
        <f t="shared" si="518"/>
        <v>13</v>
      </c>
      <c r="BB465" s="236">
        <f t="shared" si="519"/>
        <v>0</v>
      </c>
      <c r="BC465" s="252" cm="1">
        <f t="array" ref="BC465">K465/IF($L465&gt;0, INDEX($AO$23:$AU$77, $L465+20, $AD465), 1)</f>
        <v>0</v>
      </c>
      <c r="BD465" s="237">
        <f t="shared" si="531"/>
        <v>0</v>
      </c>
      <c r="BE465" s="236">
        <v>35</v>
      </c>
      <c r="BF465" s="237">
        <f t="shared" si="532"/>
        <v>52.55</v>
      </c>
      <c r="BG465" s="253">
        <f t="shared" si="533"/>
        <v>2.7676728869374316</v>
      </c>
      <c r="BH465" s="253" cm="1">
        <f t="array" ref="BH465">$BC465 * SUMPRODUCT(INDEX($AL$77:$AN$82,,$AE465),INDEX($AO$77:$AU$82,,$AD465), N($AK$77:$AK$82&gt;$AI465)) / BG465 / 1000</f>
        <v>0</v>
      </c>
      <c r="BI465" s="250">
        <f t="shared" si="520"/>
        <v>30</v>
      </c>
      <c r="BJ465" s="237">
        <f t="shared" si="534"/>
        <v>46.033333333333331</v>
      </c>
      <c r="BK465" s="253">
        <f t="shared" si="535"/>
        <v>3.2297395388556791</v>
      </c>
      <c r="BL465" s="253" cm="1">
        <f t="array" ref="BL465">$BC465 * IF($AD465&lt;=2,
SUMPRODUCT(INDEX($AL$72:$AN$76,,$AE465), INDEX($AO$72:$AU$76,,$AD465), 1 / ($AV$72:$AV$76*BK465 + (1-$AV$72:$AV$76)*BG465), N($AK$72:$AK$76&gt;$AI465)),
SUMPRODUCT(INDEX($AL$67:$AN$76,,$AE465), INDEX($AO$67:$AU$76,,$AD465), 1 / ($AW$67:$AW$76*BK465 + (1-$AW$67:$AW$76)*BG465), N($AK$67:$AK$76&gt;$AI465))
) / 1000</f>
        <v>0</v>
      </c>
      <c r="BM465" s="250">
        <f t="shared" si="521"/>
        <v>25</v>
      </c>
      <c r="BN465" s="237">
        <f t="shared" si="536"/>
        <v>39.516666666666666</v>
      </c>
      <c r="BO465" s="253">
        <f t="shared" si="537"/>
        <v>3.877011788826243</v>
      </c>
      <c r="BP465" s="253" cm="1">
        <f t="array" ref="BP465">$BC465 * IF($AD465&lt;=2,
SUMPRODUCT(INDEX($AL$67:$AN$71,,$AE465), INDEX($AO$67:$AU$71,,$AD465), 1 / ($AV$67:$AV$71*BO465 + (1-$AV$67:$AV$71)*BK465), N($AK$67:$AK$71&gt;$AI465)),
SUMPRODUCT(INDEX($AL$57:$AN$66,,$AE465), INDEX($AO$57:$AU$66,,$AD465), 1 / ($AW$57:$AW$66*BO465 + (1-$AW$57:$AW$66)*BK465), N($AK$57:$AK$66&gt;$AI465))
) / 1000</f>
        <v>0</v>
      </c>
      <c r="BQ465" s="250">
        <f t="shared" si="522"/>
        <v>20</v>
      </c>
      <c r="BR465" s="237">
        <f t="shared" si="538"/>
        <v>33</v>
      </c>
      <c r="BS465" s="253">
        <f t="shared" si="539"/>
        <v>4.8487499999999999</v>
      </c>
      <c r="BT465" s="253" cm="1">
        <f t="array" ref="BT465">$BC465 * IF($AD465&lt;=2,
SUMPRODUCT(INDEX($AL$62:$AN$66,,$AE465), INDEX($AO$62:$AU$66,,$AD465), 1 / ($AV$62:$AV$66*BS465 + (1-$AV$62:$AV$66)*BO465), N($AK$62:$AK$66&gt;$AI465)),
SUMPRODUCT(INDEX($AL$47:$AN$56,,$AE465), INDEX($AO$47:$AU$56,,$AD465), 1 / ($AW$47:$AW$56*BS465 + (1-$AW$47:$AW$56)*BO465), N($AK$47:$AK$56&gt;$AI465))
) / 1000</f>
        <v>0</v>
      </c>
      <c r="BU465" s="253" cm="1">
        <f t="array" ref="BU465">$BC465 * IF($AD465&lt;=2,
SUMPRODUCT(INDEX($AL$23:$AN$61,,$AE465), INDEX($AO$23:$AU$61,,$AD465), 1 / ($AV$23:$AV$61*BS465), N($AK$23:$AK$61&gt;$AI465)),
SUMPRODUCT(INDEX($AL$23:$AN$46,,$AE465), INDEX($AO$23:$AU$46,,$AD465), 1 / ($AW$23:$AW$46*BS465), N($AK$23:$AK$46&gt;$AI465))
) / 1000</f>
        <v>0</v>
      </c>
      <c r="BV465" s="237">
        <f t="shared" si="540"/>
        <v>0</v>
      </c>
      <c r="BW465" s="210"/>
      <c r="BX465" s="237">
        <f t="shared" si="541"/>
        <v>0</v>
      </c>
      <c r="BY465" s="236">
        <v>35</v>
      </c>
      <c r="BZ465" s="237">
        <f t="shared" si="542"/>
        <v>48</v>
      </c>
      <c r="CA465" s="253">
        <f t="shared" si="543"/>
        <v>3.0748170731707316</v>
      </c>
      <c r="CB465" s="253" cm="1">
        <f t="array" ref="CB465">$BC465 * SUMPRODUCT(INDEX($AL$77:$AN$82,,$AE465),INDEX($AO$77:$AU$82,,$AD465), N($AK$77:$AK$82&gt;$AI465)) / CA465 / 1000</f>
        <v>0</v>
      </c>
      <c r="CC465" s="250">
        <f t="shared" si="523"/>
        <v>30</v>
      </c>
      <c r="CD465" s="237">
        <f t="shared" si="544"/>
        <v>43</v>
      </c>
      <c r="CE465" s="253">
        <f t="shared" si="545"/>
        <v>3.5018750000000001</v>
      </c>
      <c r="CF465" s="253" cm="1">
        <f t="array" ref="CF465">$BC465 * IF($AD465&lt;=2,
SUMPRODUCT(INDEX($AL$72:$AN$76,,$AE465), INDEX($AO$72:$AU$76,,$AD465), 1 / ($AV$72:$AV$76*CE465 + (1-$AV$72:$AV$76)*CA465), N($AK$72:$AK$76&gt;$AI465)),
SUMPRODUCT(INDEX($AL$67:$AN$76,,$AE465), INDEX($AO$67:$AU$76,,$AD465), 1 / ($AW$67:$AW$76*CE465 + (1-$AW$67:$AW$76)*CA465), N($AK$67:$AK$76&gt;$AI465))
) / 1000</f>
        <v>0</v>
      </c>
      <c r="CG465" s="250">
        <f t="shared" si="524"/>
        <v>25</v>
      </c>
      <c r="CH465" s="237">
        <f t="shared" si="546"/>
        <v>38</v>
      </c>
      <c r="CI465" s="253">
        <f t="shared" si="547"/>
        <v>4.0666935483870965</v>
      </c>
      <c r="CJ465" s="253" cm="1">
        <f t="array" ref="CJ465">$BC465 * IF($AD465&lt;=2,
SUMPRODUCT(INDEX($AL$67:$AN$71,,$AE465), INDEX($AO$67:$AU$71,,$AD465), 1 / ($AV$67:$AV$71*CI465 + (1-$AV$67:$AV$71)*CE465), N($AK$67:$AK$71&gt;$AI465)),
SUMPRODUCT(INDEX($AL$57:$AN$66,,$AE465), INDEX($AO$57:$AU$66,,$AD465), 1 / ($AW$57:$AW$66*CI465 + (1-$AW$57:$AW$66)*CE465), N($AK$57:$AK$66&gt;$AI465))
) / 1000</f>
        <v>0</v>
      </c>
      <c r="CK465" s="250">
        <f t="shared" si="525"/>
        <v>20</v>
      </c>
      <c r="CL465" s="237">
        <f t="shared" si="548"/>
        <v>33</v>
      </c>
      <c r="CM465" s="253">
        <f t="shared" si="549"/>
        <v>4.8487499999999999</v>
      </c>
      <c r="CN465" s="253" cm="1">
        <f t="array" ref="CN465">$BC465 * IF($AD465&lt;=2,
SUMPRODUCT(INDEX($AL$62:$AN$66,,$AE465), INDEX($AO$62:$AU$66,,$AD465), 1 / ($AV$62:$AV$66*CM465 + (1-$AV$62:$AV$66)*CI465), N($AK$62:$AK$66&gt;$AI465)),
SUMPRODUCT(INDEX($AL$47:$AN$56,,$AE465), INDEX($AO$47:$AU$56,,$AD465), 1 / ($AW$47:$AW$56*CM465 + (1-$AW$47:$AW$56)*CI465), N($AK$47:$AK$56&gt;$AI465))
) / 1000</f>
        <v>0</v>
      </c>
      <c r="CO465" s="253" cm="1">
        <f t="array" ref="CO465">$BC465 * IF($AD465&lt;=2,
SUMPRODUCT(INDEX($AL$23:$AN$61,,$AE465), INDEX($AO$23:$AU$61,,$AD465), 1 / ($AV$23:$AV$61*CM465), N($AK$23:$AK$61&gt;$AI465)),
SUMPRODUCT(INDEX($AL$23:$AN$46,,$AE465), INDEX($AO$23:$AU$46,,$AD465), 1 / ($AW$23:$AW$46*CM465), N($AK$23:$AK$46&gt;$AI465))
) / 1000</f>
        <v>0</v>
      </c>
      <c r="CP465" s="237">
        <f t="shared" si="550"/>
        <v>0</v>
      </c>
      <c r="CQ465" s="210"/>
    </row>
    <row r="466" spans="1:95" s="76" customFormat="1" ht="14.25" customHeight="1" x14ac:dyDescent="0.2">
      <c r="A466" s="238" t="b">
        <f t="shared" si="517"/>
        <v>0</v>
      </c>
      <c r="B466" s="239">
        <v>444</v>
      </c>
      <c r="C466" s="258"/>
      <c r="D466" s="258"/>
      <c r="E466" s="240"/>
      <c r="F466" s="241" t="str">
        <f>IF(ISBLANK(E466), "", VLOOKUP(E466, Z!$A$2:$C$4127, 3, FALSE))</f>
        <v/>
      </c>
      <c r="G466" s="242"/>
      <c r="H466" s="242"/>
      <c r="I466" s="243"/>
      <c r="J466" s="244"/>
      <c r="K466" s="259"/>
      <c r="L466" s="260"/>
      <c r="M466" s="247" t="str" cm="1">
        <f t="array" ref="M466">IF($K466&gt;0, INDEX(Clean,1+AG466,$C$1), "")</f>
        <v/>
      </c>
      <c r="N466" s="245"/>
      <c r="O466" s="245"/>
      <c r="P466" s="246"/>
      <c r="Q466" s="248">
        <f t="shared" si="527"/>
        <v>0</v>
      </c>
      <c r="R466" s="247" t="str" cm="1">
        <f t="array" ref="R466">IF($K466&gt;0, INDEX(Clean,1+AH466,$C$1), "")</f>
        <v/>
      </c>
      <c r="S466" s="245"/>
      <c r="T466" s="245"/>
      <c r="U466" s="246"/>
      <c r="V466" s="248">
        <f t="shared" si="528"/>
        <v>0</v>
      </c>
      <c r="W466" s="261"/>
      <c r="X466" s="258"/>
      <c r="Y466" s="240"/>
      <c r="Z466" s="241" t="str">
        <f>IF(ISBLANK(Y466), "", VLOOKUP(Y466, Z!$A$2:$C$4127, 3, FALSE))</f>
        <v/>
      </c>
      <c r="AA466" s="262"/>
      <c r="AB466" s="249">
        <f t="shared" si="526"/>
        <v>0</v>
      </c>
      <c r="AC466" s="210"/>
      <c r="AD466" s="236">
        <f t="shared" si="551"/>
        <v>1</v>
      </c>
      <c r="AE466" s="236">
        <f t="shared" si="552"/>
        <v>1</v>
      </c>
      <c r="AF466" s="236">
        <f t="shared" si="553"/>
        <v>0</v>
      </c>
      <c r="AG466" s="236">
        <v>1</v>
      </c>
      <c r="AH466" s="236">
        <v>0</v>
      </c>
      <c r="AI466" s="236">
        <f t="shared" si="529"/>
        <v>-100</v>
      </c>
      <c r="AJ466" s="210"/>
      <c r="AK466" s="254"/>
      <c r="AL466" s="254"/>
      <c r="AM466" s="255"/>
      <c r="AN466" s="255"/>
      <c r="AO466" s="255"/>
      <c r="AP466" s="255"/>
      <c r="AQ466" s="255"/>
      <c r="AR466" s="255"/>
      <c r="AS466" s="255"/>
      <c r="AT466" s="255"/>
      <c r="AU466" s="255"/>
      <c r="AV466" s="255"/>
      <c r="AW466" s="255"/>
      <c r="AX466" s="210"/>
      <c r="AY466" s="236" cm="1">
        <f t="array" ref="AY466">INDEX(Use, $AD466, 4)</f>
        <v>7</v>
      </c>
      <c r="AZ466" s="236">
        <f t="shared" si="530"/>
        <v>32</v>
      </c>
      <c r="BA466" s="236">
        <f t="shared" si="518"/>
        <v>13</v>
      </c>
      <c r="BB466" s="236">
        <f t="shared" si="519"/>
        <v>0</v>
      </c>
      <c r="BC466" s="252" cm="1">
        <f t="array" ref="BC466">K466/IF($L466&gt;0, INDEX($AO$23:$AU$77, $L466+20, $AD466), 1)</f>
        <v>0</v>
      </c>
      <c r="BD466" s="237">
        <f t="shared" si="531"/>
        <v>0</v>
      </c>
      <c r="BE466" s="236">
        <v>35</v>
      </c>
      <c r="BF466" s="237">
        <f t="shared" si="532"/>
        <v>52.55</v>
      </c>
      <c r="BG466" s="253">
        <f t="shared" si="533"/>
        <v>2.7676728869374316</v>
      </c>
      <c r="BH466" s="253" cm="1">
        <f t="array" ref="BH466">$BC466 * SUMPRODUCT(INDEX($AL$77:$AN$82,,$AE466),INDEX($AO$77:$AU$82,,$AD466), N($AK$77:$AK$82&gt;$AI466)) / BG466 / 1000</f>
        <v>0</v>
      </c>
      <c r="BI466" s="250">
        <f t="shared" si="520"/>
        <v>30</v>
      </c>
      <c r="BJ466" s="237">
        <f t="shared" si="534"/>
        <v>46.033333333333331</v>
      </c>
      <c r="BK466" s="253">
        <f t="shared" si="535"/>
        <v>3.2297395388556791</v>
      </c>
      <c r="BL466" s="253" cm="1">
        <f t="array" ref="BL466">$BC466 * IF($AD466&lt;=2,
SUMPRODUCT(INDEX($AL$72:$AN$76,,$AE466), INDEX($AO$72:$AU$76,,$AD466), 1 / ($AV$72:$AV$76*BK466 + (1-$AV$72:$AV$76)*BG466), N($AK$72:$AK$76&gt;$AI466)),
SUMPRODUCT(INDEX($AL$67:$AN$76,,$AE466), INDEX($AO$67:$AU$76,,$AD466), 1 / ($AW$67:$AW$76*BK466 + (1-$AW$67:$AW$76)*BG466), N($AK$67:$AK$76&gt;$AI466))
) / 1000</f>
        <v>0</v>
      </c>
      <c r="BM466" s="250">
        <f t="shared" si="521"/>
        <v>25</v>
      </c>
      <c r="BN466" s="237">
        <f t="shared" si="536"/>
        <v>39.516666666666666</v>
      </c>
      <c r="BO466" s="253">
        <f t="shared" si="537"/>
        <v>3.877011788826243</v>
      </c>
      <c r="BP466" s="253" cm="1">
        <f t="array" ref="BP466">$BC466 * IF($AD466&lt;=2,
SUMPRODUCT(INDEX($AL$67:$AN$71,,$AE466), INDEX($AO$67:$AU$71,,$AD466), 1 / ($AV$67:$AV$71*BO466 + (1-$AV$67:$AV$71)*BK466), N($AK$67:$AK$71&gt;$AI466)),
SUMPRODUCT(INDEX($AL$57:$AN$66,,$AE466), INDEX($AO$57:$AU$66,,$AD466), 1 / ($AW$57:$AW$66*BO466 + (1-$AW$57:$AW$66)*BK466), N($AK$57:$AK$66&gt;$AI466))
) / 1000</f>
        <v>0</v>
      </c>
      <c r="BQ466" s="250">
        <f t="shared" si="522"/>
        <v>20</v>
      </c>
      <c r="BR466" s="237">
        <f t="shared" si="538"/>
        <v>33</v>
      </c>
      <c r="BS466" s="253">
        <f t="shared" si="539"/>
        <v>4.8487499999999999</v>
      </c>
      <c r="BT466" s="253" cm="1">
        <f t="array" ref="BT466">$BC466 * IF($AD466&lt;=2,
SUMPRODUCT(INDEX($AL$62:$AN$66,,$AE466), INDEX($AO$62:$AU$66,,$AD466), 1 / ($AV$62:$AV$66*BS466 + (1-$AV$62:$AV$66)*BO466), N($AK$62:$AK$66&gt;$AI466)),
SUMPRODUCT(INDEX($AL$47:$AN$56,,$AE466), INDEX($AO$47:$AU$56,,$AD466), 1 / ($AW$47:$AW$56*BS466 + (1-$AW$47:$AW$56)*BO466), N($AK$47:$AK$56&gt;$AI466))
) / 1000</f>
        <v>0</v>
      </c>
      <c r="BU466" s="253" cm="1">
        <f t="array" ref="BU466">$BC466 * IF($AD466&lt;=2,
SUMPRODUCT(INDEX($AL$23:$AN$61,,$AE466), INDEX($AO$23:$AU$61,,$AD466), 1 / ($AV$23:$AV$61*BS466), N($AK$23:$AK$61&gt;$AI466)),
SUMPRODUCT(INDEX($AL$23:$AN$46,,$AE466), INDEX($AO$23:$AU$46,,$AD466), 1 / ($AW$23:$AW$46*BS466), N($AK$23:$AK$46&gt;$AI466))
) / 1000</f>
        <v>0</v>
      </c>
      <c r="BV466" s="237">
        <f t="shared" si="540"/>
        <v>0</v>
      </c>
      <c r="BW466" s="210"/>
      <c r="BX466" s="237">
        <f t="shared" si="541"/>
        <v>0</v>
      </c>
      <c r="BY466" s="236">
        <v>35</v>
      </c>
      <c r="BZ466" s="237">
        <f t="shared" si="542"/>
        <v>48</v>
      </c>
      <c r="CA466" s="253">
        <f t="shared" si="543"/>
        <v>3.0748170731707316</v>
      </c>
      <c r="CB466" s="253" cm="1">
        <f t="array" ref="CB466">$BC466 * SUMPRODUCT(INDEX($AL$77:$AN$82,,$AE466),INDEX($AO$77:$AU$82,,$AD466), N($AK$77:$AK$82&gt;$AI466)) / CA466 / 1000</f>
        <v>0</v>
      </c>
      <c r="CC466" s="250">
        <f t="shared" si="523"/>
        <v>30</v>
      </c>
      <c r="CD466" s="237">
        <f t="shared" si="544"/>
        <v>43</v>
      </c>
      <c r="CE466" s="253">
        <f t="shared" si="545"/>
        <v>3.5018750000000001</v>
      </c>
      <c r="CF466" s="253" cm="1">
        <f t="array" ref="CF466">$BC466 * IF($AD466&lt;=2,
SUMPRODUCT(INDEX($AL$72:$AN$76,,$AE466), INDEX($AO$72:$AU$76,,$AD466), 1 / ($AV$72:$AV$76*CE466 + (1-$AV$72:$AV$76)*CA466), N($AK$72:$AK$76&gt;$AI466)),
SUMPRODUCT(INDEX($AL$67:$AN$76,,$AE466), INDEX($AO$67:$AU$76,,$AD466), 1 / ($AW$67:$AW$76*CE466 + (1-$AW$67:$AW$76)*CA466), N($AK$67:$AK$76&gt;$AI466))
) / 1000</f>
        <v>0</v>
      </c>
      <c r="CG466" s="250">
        <f t="shared" si="524"/>
        <v>25</v>
      </c>
      <c r="CH466" s="237">
        <f t="shared" si="546"/>
        <v>38</v>
      </c>
      <c r="CI466" s="253">
        <f t="shared" si="547"/>
        <v>4.0666935483870965</v>
      </c>
      <c r="CJ466" s="253" cm="1">
        <f t="array" ref="CJ466">$BC466 * IF($AD466&lt;=2,
SUMPRODUCT(INDEX($AL$67:$AN$71,,$AE466), INDEX($AO$67:$AU$71,,$AD466), 1 / ($AV$67:$AV$71*CI466 + (1-$AV$67:$AV$71)*CE466), N($AK$67:$AK$71&gt;$AI466)),
SUMPRODUCT(INDEX($AL$57:$AN$66,,$AE466), INDEX($AO$57:$AU$66,,$AD466), 1 / ($AW$57:$AW$66*CI466 + (1-$AW$57:$AW$66)*CE466), N($AK$57:$AK$66&gt;$AI466))
) / 1000</f>
        <v>0</v>
      </c>
      <c r="CK466" s="250">
        <f t="shared" si="525"/>
        <v>20</v>
      </c>
      <c r="CL466" s="237">
        <f t="shared" si="548"/>
        <v>33</v>
      </c>
      <c r="CM466" s="253">
        <f t="shared" si="549"/>
        <v>4.8487499999999999</v>
      </c>
      <c r="CN466" s="253" cm="1">
        <f t="array" ref="CN466">$BC466 * IF($AD466&lt;=2,
SUMPRODUCT(INDEX($AL$62:$AN$66,,$AE466), INDEX($AO$62:$AU$66,,$AD466), 1 / ($AV$62:$AV$66*CM466 + (1-$AV$62:$AV$66)*CI466), N($AK$62:$AK$66&gt;$AI466)),
SUMPRODUCT(INDEX($AL$47:$AN$56,,$AE466), INDEX($AO$47:$AU$56,,$AD466), 1 / ($AW$47:$AW$56*CM466 + (1-$AW$47:$AW$56)*CI466), N($AK$47:$AK$56&gt;$AI466))
) / 1000</f>
        <v>0</v>
      </c>
      <c r="CO466" s="253" cm="1">
        <f t="array" ref="CO466">$BC466 * IF($AD466&lt;=2,
SUMPRODUCT(INDEX($AL$23:$AN$61,,$AE466), INDEX($AO$23:$AU$61,,$AD466), 1 / ($AV$23:$AV$61*CM466), N($AK$23:$AK$61&gt;$AI466)),
SUMPRODUCT(INDEX($AL$23:$AN$46,,$AE466), INDEX($AO$23:$AU$46,,$AD466), 1 / ($AW$23:$AW$46*CM466), N($AK$23:$AK$46&gt;$AI466))
) / 1000</f>
        <v>0</v>
      </c>
      <c r="CP466" s="237">
        <f t="shared" si="550"/>
        <v>0</v>
      </c>
      <c r="CQ466" s="210"/>
    </row>
    <row r="467" spans="1:95" s="76" customFormat="1" ht="14.25" customHeight="1" x14ac:dyDescent="0.2">
      <c r="A467" s="238" t="b">
        <f t="shared" si="517"/>
        <v>0</v>
      </c>
      <c r="B467" s="239">
        <v>445</v>
      </c>
      <c r="C467" s="258"/>
      <c r="D467" s="258"/>
      <c r="E467" s="240"/>
      <c r="F467" s="241" t="str">
        <f>IF(ISBLANK(E467), "", VLOOKUP(E467, Z!$A$2:$C$4127, 3, FALSE))</f>
        <v/>
      </c>
      <c r="G467" s="242"/>
      <c r="H467" s="242"/>
      <c r="I467" s="243"/>
      <c r="J467" s="244"/>
      <c r="K467" s="259"/>
      <c r="L467" s="260"/>
      <c r="M467" s="247" t="str" cm="1">
        <f t="array" ref="M467">IF($K467&gt;0, INDEX(Clean,1+AG467,$C$1), "")</f>
        <v/>
      </c>
      <c r="N467" s="245"/>
      <c r="O467" s="245"/>
      <c r="P467" s="246"/>
      <c r="Q467" s="248">
        <f t="shared" si="527"/>
        <v>0</v>
      </c>
      <c r="R467" s="247" t="str" cm="1">
        <f t="array" ref="R467">IF($K467&gt;0, INDEX(Clean,1+AH467,$C$1), "")</f>
        <v/>
      </c>
      <c r="S467" s="245"/>
      <c r="T467" s="245"/>
      <c r="U467" s="246"/>
      <c r="V467" s="248">
        <f t="shared" si="528"/>
        <v>0</v>
      </c>
      <c r="W467" s="261"/>
      <c r="X467" s="258"/>
      <c r="Y467" s="240"/>
      <c r="Z467" s="241" t="str">
        <f>IF(ISBLANK(Y467), "", VLOOKUP(Y467, Z!$A$2:$C$4127, 3, FALSE))</f>
        <v/>
      </c>
      <c r="AA467" s="262"/>
      <c r="AB467" s="249">
        <f t="shared" si="526"/>
        <v>0</v>
      </c>
      <c r="AC467" s="210"/>
      <c r="AD467" s="236">
        <f t="shared" si="551"/>
        <v>1</v>
      </c>
      <c r="AE467" s="236">
        <f t="shared" si="552"/>
        <v>1</v>
      </c>
      <c r="AF467" s="236">
        <f t="shared" si="553"/>
        <v>0</v>
      </c>
      <c r="AG467" s="236">
        <v>1</v>
      </c>
      <c r="AH467" s="236">
        <v>0</v>
      </c>
      <c r="AI467" s="236">
        <f t="shared" si="529"/>
        <v>-100</v>
      </c>
      <c r="AJ467" s="210"/>
      <c r="AK467" s="254"/>
      <c r="AL467" s="254"/>
      <c r="AM467" s="255"/>
      <c r="AN467" s="255"/>
      <c r="AO467" s="255"/>
      <c r="AP467" s="255"/>
      <c r="AQ467" s="255"/>
      <c r="AR467" s="255"/>
      <c r="AS467" s="255"/>
      <c r="AT467" s="255"/>
      <c r="AU467" s="255"/>
      <c r="AV467" s="255"/>
      <c r="AW467" s="255"/>
      <c r="AX467" s="210"/>
      <c r="AY467" s="236" cm="1">
        <f t="array" ref="AY467">INDEX(Use, $AD467, 4)</f>
        <v>7</v>
      </c>
      <c r="AZ467" s="236">
        <f t="shared" si="530"/>
        <v>32</v>
      </c>
      <c r="BA467" s="236">
        <f t="shared" si="518"/>
        <v>13</v>
      </c>
      <c r="BB467" s="236">
        <f t="shared" si="519"/>
        <v>0</v>
      </c>
      <c r="BC467" s="252" cm="1">
        <f t="array" ref="BC467">K467/IF($L467&gt;0, INDEX($AO$23:$AU$77, $L467+20, $AD467), 1)</f>
        <v>0</v>
      </c>
      <c r="BD467" s="237">
        <f t="shared" si="531"/>
        <v>0</v>
      </c>
      <c r="BE467" s="236">
        <v>35</v>
      </c>
      <c r="BF467" s="237">
        <f t="shared" si="532"/>
        <v>52.55</v>
      </c>
      <c r="BG467" s="253">
        <f t="shared" si="533"/>
        <v>2.7676728869374316</v>
      </c>
      <c r="BH467" s="253" cm="1">
        <f t="array" ref="BH467">$BC467 * SUMPRODUCT(INDEX($AL$77:$AN$82,,$AE467),INDEX($AO$77:$AU$82,,$AD467), N($AK$77:$AK$82&gt;$AI467)) / BG467 / 1000</f>
        <v>0</v>
      </c>
      <c r="BI467" s="250">
        <f t="shared" si="520"/>
        <v>30</v>
      </c>
      <c r="BJ467" s="237">
        <f t="shared" si="534"/>
        <v>46.033333333333331</v>
      </c>
      <c r="BK467" s="253">
        <f t="shared" si="535"/>
        <v>3.2297395388556791</v>
      </c>
      <c r="BL467" s="253" cm="1">
        <f t="array" ref="BL467">$BC467 * IF($AD467&lt;=2,
SUMPRODUCT(INDEX($AL$72:$AN$76,,$AE467), INDEX($AO$72:$AU$76,,$AD467), 1 / ($AV$72:$AV$76*BK467 + (1-$AV$72:$AV$76)*BG467), N($AK$72:$AK$76&gt;$AI467)),
SUMPRODUCT(INDEX($AL$67:$AN$76,,$AE467), INDEX($AO$67:$AU$76,,$AD467), 1 / ($AW$67:$AW$76*BK467 + (1-$AW$67:$AW$76)*BG467), N($AK$67:$AK$76&gt;$AI467))
) / 1000</f>
        <v>0</v>
      </c>
      <c r="BM467" s="250">
        <f t="shared" si="521"/>
        <v>25</v>
      </c>
      <c r="BN467" s="237">
        <f t="shared" si="536"/>
        <v>39.516666666666666</v>
      </c>
      <c r="BO467" s="253">
        <f t="shared" si="537"/>
        <v>3.877011788826243</v>
      </c>
      <c r="BP467" s="253" cm="1">
        <f t="array" ref="BP467">$BC467 * IF($AD467&lt;=2,
SUMPRODUCT(INDEX($AL$67:$AN$71,,$AE467), INDEX($AO$67:$AU$71,,$AD467), 1 / ($AV$67:$AV$71*BO467 + (1-$AV$67:$AV$71)*BK467), N($AK$67:$AK$71&gt;$AI467)),
SUMPRODUCT(INDEX($AL$57:$AN$66,,$AE467), INDEX($AO$57:$AU$66,,$AD467), 1 / ($AW$57:$AW$66*BO467 + (1-$AW$57:$AW$66)*BK467), N($AK$57:$AK$66&gt;$AI467))
) / 1000</f>
        <v>0</v>
      </c>
      <c r="BQ467" s="250">
        <f t="shared" si="522"/>
        <v>20</v>
      </c>
      <c r="BR467" s="237">
        <f t="shared" si="538"/>
        <v>33</v>
      </c>
      <c r="BS467" s="253">
        <f t="shared" si="539"/>
        <v>4.8487499999999999</v>
      </c>
      <c r="BT467" s="253" cm="1">
        <f t="array" ref="BT467">$BC467 * IF($AD467&lt;=2,
SUMPRODUCT(INDEX($AL$62:$AN$66,,$AE467), INDEX($AO$62:$AU$66,,$AD467), 1 / ($AV$62:$AV$66*BS467 + (1-$AV$62:$AV$66)*BO467), N($AK$62:$AK$66&gt;$AI467)),
SUMPRODUCT(INDEX($AL$47:$AN$56,,$AE467), INDEX($AO$47:$AU$56,,$AD467), 1 / ($AW$47:$AW$56*BS467 + (1-$AW$47:$AW$56)*BO467), N($AK$47:$AK$56&gt;$AI467))
) / 1000</f>
        <v>0</v>
      </c>
      <c r="BU467" s="253" cm="1">
        <f t="array" ref="BU467">$BC467 * IF($AD467&lt;=2,
SUMPRODUCT(INDEX($AL$23:$AN$61,,$AE467), INDEX($AO$23:$AU$61,,$AD467), 1 / ($AV$23:$AV$61*BS467), N($AK$23:$AK$61&gt;$AI467)),
SUMPRODUCT(INDEX($AL$23:$AN$46,,$AE467), INDEX($AO$23:$AU$46,,$AD467), 1 / ($AW$23:$AW$46*BS467), N($AK$23:$AK$46&gt;$AI467))
) / 1000</f>
        <v>0</v>
      </c>
      <c r="BV467" s="237">
        <f t="shared" si="540"/>
        <v>0</v>
      </c>
      <c r="BW467" s="210"/>
      <c r="BX467" s="237">
        <f t="shared" si="541"/>
        <v>0</v>
      </c>
      <c r="BY467" s="236">
        <v>35</v>
      </c>
      <c r="BZ467" s="237">
        <f t="shared" si="542"/>
        <v>48</v>
      </c>
      <c r="CA467" s="253">
        <f t="shared" si="543"/>
        <v>3.0748170731707316</v>
      </c>
      <c r="CB467" s="253" cm="1">
        <f t="array" ref="CB467">$BC467 * SUMPRODUCT(INDEX($AL$77:$AN$82,,$AE467),INDEX($AO$77:$AU$82,,$AD467), N($AK$77:$AK$82&gt;$AI467)) / CA467 / 1000</f>
        <v>0</v>
      </c>
      <c r="CC467" s="250">
        <f t="shared" si="523"/>
        <v>30</v>
      </c>
      <c r="CD467" s="237">
        <f t="shared" si="544"/>
        <v>43</v>
      </c>
      <c r="CE467" s="253">
        <f t="shared" si="545"/>
        <v>3.5018750000000001</v>
      </c>
      <c r="CF467" s="253" cm="1">
        <f t="array" ref="CF467">$BC467 * IF($AD467&lt;=2,
SUMPRODUCT(INDEX($AL$72:$AN$76,,$AE467), INDEX($AO$72:$AU$76,,$AD467), 1 / ($AV$72:$AV$76*CE467 + (1-$AV$72:$AV$76)*CA467), N($AK$72:$AK$76&gt;$AI467)),
SUMPRODUCT(INDEX($AL$67:$AN$76,,$AE467), INDEX($AO$67:$AU$76,,$AD467), 1 / ($AW$67:$AW$76*CE467 + (1-$AW$67:$AW$76)*CA467), N($AK$67:$AK$76&gt;$AI467))
) / 1000</f>
        <v>0</v>
      </c>
      <c r="CG467" s="250">
        <f t="shared" si="524"/>
        <v>25</v>
      </c>
      <c r="CH467" s="237">
        <f t="shared" si="546"/>
        <v>38</v>
      </c>
      <c r="CI467" s="253">
        <f t="shared" si="547"/>
        <v>4.0666935483870965</v>
      </c>
      <c r="CJ467" s="253" cm="1">
        <f t="array" ref="CJ467">$BC467 * IF($AD467&lt;=2,
SUMPRODUCT(INDEX($AL$67:$AN$71,,$AE467), INDEX($AO$67:$AU$71,,$AD467), 1 / ($AV$67:$AV$71*CI467 + (1-$AV$67:$AV$71)*CE467), N($AK$67:$AK$71&gt;$AI467)),
SUMPRODUCT(INDEX($AL$57:$AN$66,,$AE467), INDEX($AO$57:$AU$66,,$AD467), 1 / ($AW$57:$AW$66*CI467 + (1-$AW$57:$AW$66)*CE467), N($AK$57:$AK$66&gt;$AI467))
) / 1000</f>
        <v>0</v>
      </c>
      <c r="CK467" s="250">
        <f t="shared" si="525"/>
        <v>20</v>
      </c>
      <c r="CL467" s="237">
        <f t="shared" si="548"/>
        <v>33</v>
      </c>
      <c r="CM467" s="253">
        <f t="shared" si="549"/>
        <v>4.8487499999999999</v>
      </c>
      <c r="CN467" s="253" cm="1">
        <f t="array" ref="CN467">$BC467 * IF($AD467&lt;=2,
SUMPRODUCT(INDEX($AL$62:$AN$66,,$AE467), INDEX($AO$62:$AU$66,,$AD467), 1 / ($AV$62:$AV$66*CM467 + (1-$AV$62:$AV$66)*CI467), N($AK$62:$AK$66&gt;$AI467)),
SUMPRODUCT(INDEX($AL$47:$AN$56,,$AE467), INDEX($AO$47:$AU$56,,$AD467), 1 / ($AW$47:$AW$56*CM467 + (1-$AW$47:$AW$56)*CI467), N($AK$47:$AK$56&gt;$AI467))
) / 1000</f>
        <v>0</v>
      </c>
      <c r="CO467" s="253" cm="1">
        <f t="array" ref="CO467">$BC467 * IF($AD467&lt;=2,
SUMPRODUCT(INDEX($AL$23:$AN$61,,$AE467), INDEX($AO$23:$AU$61,,$AD467), 1 / ($AV$23:$AV$61*CM467), N($AK$23:$AK$61&gt;$AI467)),
SUMPRODUCT(INDEX($AL$23:$AN$46,,$AE467), INDEX($AO$23:$AU$46,,$AD467), 1 / ($AW$23:$AW$46*CM467), N($AK$23:$AK$46&gt;$AI467))
) / 1000</f>
        <v>0</v>
      </c>
      <c r="CP467" s="237">
        <f t="shared" si="550"/>
        <v>0</v>
      </c>
      <c r="CQ467" s="210"/>
    </row>
    <row r="468" spans="1:95" s="76" customFormat="1" ht="14.25" customHeight="1" x14ac:dyDescent="0.2">
      <c r="A468" s="238" t="b">
        <f t="shared" si="517"/>
        <v>0</v>
      </c>
      <c r="B468" s="239">
        <v>446</v>
      </c>
      <c r="C468" s="258"/>
      <c r="D468" s="258"/>
      <c r="E468" s="240"/>
      <c r="F468" s="241" t="str">
        <f>IF(ISBLANK(E468), "", VLOOKUP(E468, Z!$A$2:$C$4127, 3, FALSE))</f>
        <v/>
      </c>
      <c r="G468" s="242"/>
      <c r="H468" s="242"/>
      <c r="I468" s="243"/>
      <c r="J468" s="244"/>
      <c r="K468" s="259"/>
      <c r="L468" s="260"/>
      <c r="M468" s="247" t="str" cm="1">
        <f t="array" ref="M468">IF($K468&gt;0, INDEX(Clean,1+AG468,$C$1), "")</f>
        <v/>
      </c>
      <c r="N468" s="245"/>
      <c r="O468" s="245"/>
      <c r="P468" s="246"/>
      <c r="Q468" s="248">
        <f t="shared" si="527"/>
        <v>0</v>
      </c>
      <c r="R468" s="247" t="str" cm="1">
        <f t="array" ref="R468">IF($K468&gt;0, INDEX(Clean,1+AH468,$C$1), "")</f>
        <v/>
      </c>
      <c r="S468" s="245"/>
      <c r="T468" s="245"/>
      <c r="U468" s="246"/>
      <c r="V468" s="248">
        <f t="shared" si="528"/>
        <v>0</v>
      </c>
      <c r="W468" s="261"/>
      <c r="X468" s="258"/>
      <c r="Y468" s="240"/>
      <c r="Z468" s="241" t="str">
        <f>IF(ISBLANK(Y468), "", VLOOKUP(Y468, Z!$A$2:$C$4127, 3, FALSE))</f>
        <v/>
      </c>
      <c r="AA468" s="262"/>
      <c r="AB468" s="249">
        <f t="shared" si="526"/>
        <v>0</v>
      </c>
      <c r="AC468" s="210"/>
      <c r="AD468" s="236">
        <f t="shared" si="551"/>
        <v>1</v>
      </c>
      <c r="AE468" s="236">
        <f t="shared" si="552"/>
        <v>1</v>
      </c>
      <c r="AF468" s="236">
        <f t="shared" si="553"/>
        <v>0</v>
      </c>
      <c r="AG468" s="236">
        <v>1</v>
      </c>
      <c r="AH468" s="236">
        <v>0</v>
      </c>
      <c r="AI468" s="236">
        <f t="shared" si="529"/>
        <v>-100</v>
      </c>
      <c r="AJ468" s="210"/>
      <c r="AK468" s="254"/>
      <c r="AL468" s="254"/>
      <c r="AM468" s="255"/>
      <c r="AN468" s="255"/>
      <c r="AO468" s="255"/>
      <c r="AP468" s="255"/>
      <c r="AQ468" s="255"/>
      <c r="AR468" s="255"/>
      <c r="AS468" s="255"/>
      <c r="AT468" s="255"/>
      <c r="AU468" s="255"/>
      <c r="AV468" s="255"/>
      <c r="AW468" s="255"/>
      <c r="AX468" s="210"/>
      <c r="AY468" s="236" cm="1">
        <f t="array" ref="AY468">INDEX(Use, $AD468, 4)</f>
        <v>7</v>
      </c>
      <c r="AZ468" s="236">
        <f t="shared" si="530"/>
        <v>32</v>
      </c>
      <c r="BA468" s="236">
        <f t="shared" si="518"/>
        <v>13</v>
      </c>
      <c r="BB468" s="236">
        <f t="shared" si="519"/>
        <v>0</v>
      </c>
      <c r="BC468" s="252" cm="1">
        <f t="array" ref="BC468">K468/IF($L468&gt;0, INDEX($AO$23:$AU$77, $L468+20, $AD468), 1)</f>
        <v>0</v>
      </c>
      <c r="BD468" s="237">
        <f t="shared" si="531"/>
        <v>0</v>
      </c>
      <c r="BE468" s="236">
        <v>35</v>
      </c>
      <c r="BF468" s="237">
        <f t="shared" si="532"/>
        <v>52.55</v>
      </c>
      <c r="BG468" s="253">
        <f t="shared" si="533"/>
        <v>2.7676728869374316</v>
      </c>
      <c r="BH468" s="253" cm="1">
        <f t="array" ref="BH468">$BC468 * SUMPRODUCT(INDEX($AL$77:$AN$82,,$AE468),INDEX($AO$77:$AU$82,,$AD468), N($AK$77:$AK$82&gt;$AI468)) / BG468 / 1000</f>
        <v>0</v>
      </c>
      <c r="BI468" s="250">
        <f t="shared" si="520"/>
        <v>30</v>
      </c>
      <c r="BJ468" s="237">
        <f t="shared" si="534"/>
        <v>46.033333333333331</v>
      </c>
      <c r="BK468" s="253">
        <f t="shared" si="535"/>
        <v>3.2297395388556791</v>
      </c>
      <c r="BL468" s="253" cm="1">
        <f t="array" ref="BL468">$BC468 * IF($AD468&lt;=2,
SUMPRODUCT(INDEX($AL$72:$AN$76,,$AE468), INDEX($AO$72:$AU$76,,$AD468), 1 / ($AV$72:$AV$76*BK468 + (1-$AV$72:$AV$76)*BG468), N($AK$72:$AK$76&gt;$AI468)),
SUMPRODUCT(INDEX($AL$67:$AN$76,,$AE468), INDEX($AO$67:$AU$76,,$AD468), 1 / ($AW$67:$AW$76*BK468 + (1-$AW$67:$AW$76)*BG468), N($AK$67:$AK$76&gt;$AI468))
) / 1000</f>
        <v>0</v>
      </c>
      <c r="BM468" s="250">
        <f t="shared" si="521"/>
        <v>25</v>
      </c>
      <c r="BN468" s="237">
        <f t="shared" si="536"/>
        <v>39.516666666666666</v>
      </c>
      <c r="BO468" s="253">
        <f t="shared" si="537"/>
        <v>3.877011788826243</v>
      </c>
      <c r="BP468" s="253" cm="1">
        <f t="array" ref="BP468">$BC468 * IF($AD468&lt;=2,
SUMPRODUCT(INDEX($AL$67:$AN$71,,$AE468), INDEX($AO$67:$AU$71,,$AD468), 1 / ($AV$67:$AV$71*BO468 + (1-$AV$67:$AV$71)*BK468), N($AK$67:$AK$71&gt;$AI468)),
SUMPRODUCT(INDEX($AL$57:$AN$66,,$AE468), INDEX($AO$57:$AU$66,,$AD468), 1 / ($AW$57:$AW$66*BO468 + (1-$AW$57:$AW$66)*BK468), N($AK$57:$AK$66&gt;$AI468))
) / 1000</f>
        <v>0</v>
      </c>
      <c r="BQ468" s="250">
        <f t="shared" si="522"/>
        <v>20</v>
      </c>
      <c r="BR468" s="237">
        <f t="shared" si="538"/>
        <v>33</v>
      </c>
      <c r="BS468" s="253">
        <f t="shared" si="539"/>
        <v>4.8487499999999999</v>
      </c>
      <c r="BT468" s="253" cm="1">
        <f t="array" ref="BT468">$BC468 * IF($AD468&lt;=2,
SUMPRODUCT(INDEX($AL$62:$AN$66,,$AE468), INDEX($AO$62:$AU$66,,$AD468), 1 / ($AV$62:$AV$66*BS468 + (1-$AV$62:$AV$66)*BO468), N($AK$62:$AK$66&gt;$AI468)),
SUMPRODUCT(INDEX($AL$47:$AN$56,,$AE468), INDEX($AO$47:$AU$56,,$AD468), 1 / ($AW$47:$AW$56*BS468 + (1-$AW$47:$AW$56)*BO468), N($AK$47:$AK$56&gt;$AI468))
) / 1000</f>
        <v>0</v>
      </c>
      <c r="BU468" s="253" cm="1">
        <f t="array" ref="BU468">$BC468 * IF($AD468&lt;=2,
SUMPRODUCT(INDEX($AL$23:$AN$61,,$AE468), INDEX($AO$23:$AU$61,,$AD468), 1 / ($AV$23:$AV$61*BS468), N($AK$23:$AK$61&gt;$AI468)),
SUMPRODUCT(INDEX($AL$23:$AN$46,,$AE468), INDEX($AO$23:$AU$46,,$AD468), 1 / ($AW$23:$AW$46*BS468), N($AK$23:$AK$46&gt;$AI468))
) / 1000</f>
        <v>0</v>
      </c>
      <c r="BV468" s="237">
        <f t="shared" si="540"/>
        <v>0</v>
      </c>
      <c r="BW468" s="210"/>
      <c r="BX468" s="237">
        <f t="shared" si="541"/>
        <v>0</v>
      </c>
      <c r="BY468" s="236">
        <v>35</v>
      </c>
      <c r="BZ468" s="237">
        <f t="shared" si="542"/>
        <v>48</v>
      </c>
      <c r="CA468" s="253">
        <f t="shared" si="543"/>
        <v>3.0748170731707316</v>
      </c>
      <c r="CB468" s="253" cm="1">
        <f t="array" ref="CB468">$BC468 * SUMPRODUCT(INDEX($AL$77:$AN$82,,$AE468),INDEX($AO$77:$AU$82,,$AD468), N($AK$77:$AK$82&gt;$AI468)) / CA468 / 1000</f>
        <v>0</v>
      </c>
      <c r="CC468" s="250">
        <f t="shared" si="523"/>
        <v>30</v>
      </c>
      <c r="CD468" s="237">
        <f t="shared" si="544"/>
        <v>43</v>
      </c>
      <c r="CE468" s="253">
        <f t="shared" si="545"/>
        <v>3.5018750000000001</v>
      </c>
      <c r="CF468" s="253" cm="1">
        <f t="array" ref="CF468">$BC468 * IF($AD468&lt;=2,
SUMPRODUCT(INDEX($AL$72:$AN$76,,$AE468), INDEX($AO$72:$AU$76,,$AD468), 1 / ($AV$72:$AV$76*CE468 + (1-$AV$72:$AV$76)*CA468), N($AK$72:$AK$76&gt;$AI468)),
SUMPRODUCT(INDEX($AL$67:$AN$76,,$AE468), INDEX($AO$67:$AU$76,,$AD468), 1 / ($AW$67:$AW$76*CE468 + (1-$AW$67:$AW$76)*CA468), N($AK$67:$AK$76&gt;$AI468))
) / 1000</f>
        <v>0</v>
      </c>
      <c r="CG468" s="250">
        <f t="shared" si="524"/>
        <v>25</v>
      </c>
      <c r="CH468" s="237">
        <f t="shared" si="546"/>
        <v>38</v>
      </c>
      <c r="CI468" s="253">
        <f t="shared" si="547"/>
        <v>4.0666935483870965</v>
      </c>
      <c r="CJ468" s="253" cm="1">
        <f t="array" ref="CJ468">$BC468 * IF($AD468&lt;=2,
SUMPRODUCT(INDEX($AL$67:$AN$71,,$AE468), INDEX($AO$67:$AU$71,,$AD468), 1 / ($AV$67:$AV$71*CI468 + (1-$AV$67:$AV$71)*CE468), N($AK$67:$AK$71&gt;$AI468)),
SUMPRODUCT(INDEX($AL$57:$AN$66,,$AE468), INDEX($AO$57:$AU$66,,$AD468), 1 / ($AW$57:$AW$66*CI468 + (1-$AW$57:$AW$66)*CE468), N($AK$57:$AK$66&gt;$AI468))
) / 1000</f>
        <v>0</v>
      </c>
      <c r="CK468" s="250">
        <f t="shared" si="525"/>
        <v>20</v>
      </c>
      <c r="CL468" s="237">
        <f t="shared" si="548"/>
        <v>33</v>
      </c>
      <c r="CM468" s="253">
        <f t="shared" si="549"/>
        <v>4.8487499999999999</v>
      </c>
      <c r="CN468" s="253" cm="1">
        <f t="array" ref="CN468">$BC468 * IF($AD468&lt;=2,
SUMPRODUCT(INDEX($AL$62:$AN$66,,$AE468), INDEX($AO$62:$AU$66,,$AD468), 1 / ($AV$62:$AV$66*CM468 + (1-$AV$62:$AV$66)*CI468), N($AK$62:$AK$66&gt;$AI468)),
SUMPRODUCT(INDEX($AL$47:$AN$56,,$AE468), INDEX($AO$47:$AU$56,,$AD468), 1 / ($AW$47:$AW$56*CM468 + (1-$AW$47:$AW$56)*CI468), N($AK$47:$AK$56&gt;$AI468))
) / 1000</f>
        <v>0</v>
      </c>
      <c r="CO468" s="253" cm="1">
        <f t="array" ref="CO468">$BC468 * IF($AD468&lt;=2,
SUMPRODUCT(INDEX($AL$23:$AN$61,,$AE468), INDEX($AO$23:$AU$61,,$AD468), 1 / ($AV$23:$AV$61*CM468), N($AK$23:$AK$61&gt;$AI468)),
SUMPRODUCT(INDEX($AL$23:$AN$46,,$AE468), INDEX($AO$23:$AU$46,,$AD468), 1 / ($AW$23:$AW$46*CM468), N($AK$23:$AK$46&gt;$AI468))
) / 1000</f>
        <v>0</v>
      </c>
      <c r="CP468" s="237">
        <f t="shared" si="550"/>
        <v>0</v>
      </c>
      <c r="CQ468" s="210"/>
    </row>
    <row r="469" spans="1:95" s="76" customFormat="1" ht="14.25" customHeight="1" x14ac:dyDescent="0.2">
      <c r="A469" s="238" t="b">
        <f t="shared" si="517"/>
        <v>0</v>
      </c>
      <c r="B469" s="239">
        <v>447</v>
      </c>
      <c r="C469" s="258"/>
      <c r="D469" s="258"/>
      <c r="E469" s="240"/>
      <c r="F469" s="241" t="str">
        <f>IF(ISBLANK(E469), "", VLOOKUP(E469, Z!$A$2:$C$4127, 3, FALSE))</f>
        <v/>
      </c>
      <c r="G469" s="242"/>
      <c r="H469" s="242"/>
      <c r="I469" s="243"/>
      <c r="J469" s="244"/>
      <c r="K469" s="259"/>
      <c r="L469" s="260"/>
      <c r="M469" s="247" t="str" cm="1">
        <f t="array" ref="M469">IF($K469&gt;0, INDEX(Clean,1+AG469,$C$1), "")</f>
        <v/>
      </c>
      <c r="N469" s="245"/>
      <c r="O469" s="245"/>
      <c r="P469" s="246"/>
      <c r="Q469" s="248">
        <f t="shared" si="527"/>
        <v>0</v>
      </c>
      <c r="R469" s="247" t="str" cm="1">
        <f t="array" ref="R469">IF($K469&gt;0, INDEX(Clean,1+AH469,$C$1), "")</f>
        <v/>
      </c>
      <c r="S469" s="245"/>
      <c r="T469" s="245"/>
      <c r="U469" s="246"/>
      <c r="V469" s="248">
        <f t="shared" si="528"/>
        <v>0</v>
      </c>
      <c r="W469" s="261"/>
      <c r="X469" s="258"/>
      <c r="Y469" s="240"/>
      <c r="Z469" s="241" t="str">
        <f>IF(ISBLANK(Y469), "", VLOOKUP(Y469, Z!$A$2:$C$4127, 3, FALSE))</f>
        <v/>
      </c>
      <c r="AA469" s="262"/>
      <c r="AB469" s="249">
        <f t="shared" si="526"/>
        <v>0</v>
      </c>
      <c r="AC469" s="210"/>
      <c r="AD469" s="236">
        <f t="shared" si="551"/>
        <v>1</v>
      </c>
      <c r="AE469" s="236">
        <f t="shared" si="552"/>
        <v>1</v>
      </c>
      <c r="AF469" s="236">
        <f t="shared" si="553"/>
        <v>0</v>
      </c>
      <c r="AG469" s="236">
        <v>1</v>
      </c>
      <c r="AH469" s="236">
        <v>0</v>
      </c>
      <c r="AI469" s="236">
        <f t="shared" si="529"/>
        <v>-100</v>
      </c>
      <c r="AJ469" s="210"/>
      <c r="AK469" s="254"/>
      <c r="AL469" s="254"/>
      <c r="AM469" s="255"/>
      <c r="AN469" s="255"/>
      <c r="AO469" s="255"/>
      <c r="AP469" s="255"/>
      <c r="AQ469" s="255"/>
      <c r="AR469" s="255"/>
      <c r="AS469" s="255"/>
      <c r="AT469" s="255"/>
      <c r="AU469" s="255"/>
      <c r="AV469" s="255"/>
      <c r="AW469" s="255"/>
      <c r="AX469" s="210"/>
      <c r="AY469" s="236" cm="1">
        <f t="array" ref="AY469">INDEX(Use, $AD469, 4)</f>
        <v>7</v>
      </c>
      <c r="AZ469" s="236">
        <f t="shared" si="530"/>
        <v>32</v>
      </c>
      <c r="BA469" s="236">
        <f t="shared" si="518"/>
        <v>13</v>
      </c>
      <c r="BB469" s="236">
        <f t="shared" si="519"/>
        <v>0</v>
      </c>
      <c r="BC469" s="252" cm="1">
        <f t="array" ref="BC469">K469/IF($L469&gt;0, INDEX($AO$23:$AU$77, $L469+20, $AD469), 1)</f>
        <v>0</v>
      </c>
      <c r="BD469" s="237">
        <f t="shared" si="531"/>
        <v>0</v>
      </c>
      <c r="BE469" s="236">
        <v>35</v>
      </c>
      <c r="BF469" s="237">
        <f t="shared" si="532"/>
        <v>52.55</v>
      </c>
      <c r="BG469" s="253">
        <f t="shared" si="533"/>
        <v>2.7676728869374316</v>
      </c>
      <c r="BH469" s="253" cm="1">
        <f t="array" ref="BH469">$BC469 * SUMPRODUCT(INDEX($AL$77:$AN$82,,$AE469),INDEX($AO$77:$AU$82,,$AD469), N($AK$77:$AK$82&gt;$AI469)) / BG469 / 1000</f>
        <v>0</v>
      </c>
      <c r="BI469" s="250">
        <f t="shared" si="520"/>
        <v>30</v>
      </c>
      <c r="BJ469" s="237">
        <f t="shared" si="534"/>
        <v>46.033333333333331</v>
      </c>
      <c r="BK469" s="253">
        <f t="shared" si="535"/>
        <v>3.2297395388556791</v>
      </c>
      <c r="BL469" s="253" cm="1">
        <f t="array" ref="BL469">$BC469 * IF($AD469&lt;=2,
SUMPRODUCT(INDEX($AL$72:$AN$76,,$AE469), INDEX($AO$72:$AU$76,,$AD469), 1 / ($AV$72:$AV$76*BK469 + (1-$AV$72:$AV$76)*BG469), N($AK$72:$AK$76&gt;$AI469)),
SUMPRODUCT(INDEX($AL$67:$AN$76,,$AE469), INDEX($AO$67:$AU$76,,$AD469), 1 / ($AW$67:$AW$76*BK469 + (1-$AW$67:$AW$76)*BG469), N($AK$67:$AK$76&gt;$AI469))
) / 1000</f>
        <v>0</v>
      </c>
      <c r="BM469" s="250">
        <f t="shared" si="521"/>
        <v>25</v>
      </c>
      <c r="BN469" s="237">
        <f t="shared" si="536"/>
        <v>39.516666666666666</v>
      </c>
      <c r="BO469" s="253">
        <f t="shared" si="537"/>
        <v>3.877011788826243</v>
      </c>
      <c r="BP469" s="253" cm="1">
        <f t="array" ref="BP469">$BC469 * IF($AD469&lt;=2,
SUMPRODUCT(INDEX($AL$67:$AN$71,,$AE469), INDEX($AO$67:$AU$71,,$AD469), 1 / ($AV$67:$AV$71*BO469 + (1-$AV$67:$AV$71)*BK469), N($AK$67:$AK$71&gt;$AI469)),
SUMPRODUCT(INDEX($AL$57:$AN$66,,$AE469), INDEX($AO$57:$AU$66,,$AD469), 1 / ($AW$57:$AW$66*BO469 + (1-$AW$57:$AW$66)*BK469), N($AK$57:$AK$66&gt;$AI469))
) / 1000</f>
        <v>0</v>
      </c>
      <c r="BQ469" s="250">
        <f t="shared" si="522"/>
        <v>20</v>
      </c>
      <c r="BR469" s="237">
        <f t="shared" si="538"/>
        <v>33</v>
      </c>
      <c r="BS469" s="253">
        <f t="shared" si="539"/>
        <v>4.8487499999999999</v>
      </c>
      <c r="BT469" s="253" cm="1">
        <f t="array" ref="BT469">$BC469 * IF($AD469&lt;=2,
SUMPRODUCT(INDEX($AL$62:$AN$66,,$AE469), INDEX($AO$62:$AU$66,,$AD469), 1 / ($AV$62:$AV$66*BS469 + (1-$AV$62:$AV$66)*BO469), N($AK$62:$AK$66&gt;$AI469)),
SUMPRODUCT(INDEX($AL$47:$AN$56,,$AE469), INDEX($AO$47:$AU$56,,$AD469), 1 / ($AW$47:$AW$56*BS469 + (1-$AW$47:$AW$56)*BO469), N($AK$47:$AK$56&gt;$AI469))
) / 1000</f>
        <v>0</v>
      </c>
      <c r="BU469" s="253" cm="1">
        <f t="array" ref="BU469">$BC469 * IF($AD469&lt;=2,
SUMPRODUCT(INDEX($AL$23:$AN$61,,$AE469), INDEX($AO$23:$AU$61,,$AD469), 1 / ($AV$23:$AV$61*BS469), N($AK$23:$AK$61&gt;$AI469)),
SUMPRODUCT(INDEX($AL$23:$AN$46,,$AE469), INDEX($AO$23:$AU$46,,$AD469), 1 / ($AW$23:$AW$46*BS469), N($AK$23:$AK$46&gt;$AI469))
) / 1000</f>
        <v>0</v>
      </c>
      <c r="BV469" s="237">
        <f t="shared" si="540"/>
        <v>0</v>
      </c>
      <c r="BW469" s="210"/>
      <c r="BX469" s="237">
        <f t="shared" si="541"/>
        <v>0</v>
      </c>
      <c r="BY469" s="236">
        <v>35</v>
      </c>
      <c r="BZ469" s="237">
        <f t="shared" si="542"/>
        <v>48</v>
      </c>
      <c r="CA469" s="253">
        <f t="shared" si="543"/>
        <v>3.0748170731707316</v>
      </c>
      <c r="CB469" s="253" cm="1">
        <f t="array" ref="CB469">$BC469 * SUMPRODUCT(INDEX($AL$77:$AN$82,,$AE469),INDEX($AO$77:$AU$82,,$AD469), N($AK$77:$AK$82&gt;$AI469)) / CA469 / 1000</f>
        <v>0</v>
      </c>
      <c r="CC469" s="250">
        <f t="shared" si="523"/>
        <v>30</v>
      </c>
      <c r="CD469" s="237">
        <f t="shared" si="544"/>
        <v>43</v>
      </c>
      <c r="CE469" s="253">
        <f t="shared" si="545"/>
        <v>3.5018750000000001</v>
      </c>
      <c r="CF469" s="253" cm="1">
        <f t="array" ref="CF469">$BC469 * IF($AD469&lt;=2,
SUMPRODUCT(INDEX($AL$72:$AN$76,,$AE469), INDEX($AO$72:$AU$76,,$AD469), 1 / ($AV$72:$AV$76*CE469 + (1-$AV$72:$AV$76)*CA469), N($AK$72:$AK$76&gt;$AI469)),
SUMPRODUCT(INDEX($AL$67:$AN$76,,$AE469), INDEX($AO$67:$AU$76,,$AD469), 1 / ($AW$67:$AW$76*CE469 + (1-$AW$67:$AW$76)*CA469), N($AK$67:$AK$76&gt;$AI469))
) / 1000</f>
        <v>0</v>
      </c>
      <c r="CG469" s="250">
        <f t="shared" si="524"/>
        <v>25</v>
      </c>
      <c r="CH469" s="237">
        <f t="shared" si="546"/>
        <v>38</v>
      </c>
      <c r="CI469" s="253">
        <f t="shared" si="547"/>
        <v>4.0666935483870965</v>
      </c>
      <c r="CJ469" s="253" cm="1">
        <f t="array" ref="CJ469">$BC469 * IF($AD469&lt;=2,
SUMPRODUCT(INDEX($AL$67:$AN$71,,$AE469), INDEX($AO$67:$AU$71,,$AD469), 1 / ($AV$67:$AV$71*CI469 + (1-$AV$67:$AV$71)*CE469), N($AK$67:$AK$71&gt;$AI469)),
SUMPRODUCT(INDEX($AL$57:$AN$66,,$AE469), INDEX($AO$57:$AU$66,,$AD469), 1 / ($AW$57:$AW$66*CI469 + (1-$AW$57:$AW$66)*CE469), N($AK$57:$AK$66&gt;$AI469))
) / 1000</f>
        <v>0</v>
      </c>
      <c r="CK469" s="250">
        <f t="shared" si="525"/>
        <v>20</v>
      </c>
      <c r="CL469" s="237">
        <f t="shared" si="548"/>
        <v>33</v>
      </c>
      <c r="CM469" s="253">
        <f t="shared" si="549"/>
        <v>4.8487499999999999</v>
      </c>
      <c r="CN469" s="253" cm="1">
        <f t="array" ref="CN469">$BC469 * IF($AD469&lt;=2,
SUMPRODUCT(INDEX($AL$62:$AN$66,,$AE469), INDEX($AO$62:$AU$66,,$AD469), 1 / ($AV$62:$AV$66*CM469 + (1-$AV$62:$AV$66)*CI469), N($AK$62:$AK$66&gt;$AI469)),
SUMPRODUCT(INDEX($AL$47:$AN$56,,$AE469), INDEX($AO$47:$AU$56,,$AD469), 1 / ($AW$47:$AW$56*CM469 + (1-$AW$47:$AW$56)*CI469), N($AK$47:$AK$56&gt;$AI469))
) / 1000</f>
        <v>0</v>
      </c>
      <c r="CO469" s="253" cm="1">
        <f t="array" ref="CO469">$BC469 * IF($AD469&lt;=2,
SUMPRODUCT(INDEX($AL$23:$AN$61,,$AE469), INDEX($AO$23:$AU$61,,$AD469), 1 / ($AV$23:$AV$61*CM469), N($AK$23:$AK$61&gt;$AI469)),
SUMPRODUCT(INDEX($AL$23:$AN$46,,$AE469), INDEX($AO$23:$AU$46,,$AD469), 1 / ($AW$23:$AW$46*CM469), N($AK$23:$AK$46&gt;$AI469))
) / 1000</f>
        <v>0</v>
      </c>
      <c r="CP469" s="237">
        <f t="shared" si="550"/>
        <v>0</v>
      </c>
      <c r="CQ469" s="210"/>
    </row>
    <row r="470" spans="1:95" s="76" customFormat="1" ht="14.25" customHeight="1" x14ac:dyDescent="0.2">
      <c r="A470" s="238" t="b">
        <f t="shared" ref="A470:A533" si="554">IF(OR(AND($K470&gt;80, $AD470=1), AND($K470&gt;40, $AD470=3), AND($K470&gt;30, $AD470=4),), TRUE, FALSE)</f>
        <v>0</v>
      </c>
      <c r="B470" s="239">
        <v>448</v>
      </c>
      <c r="C470" s="258"/>
      <c r="D470" s="258"/>
      <c r="E470" s="240"/>
      <c r="F470" s="241" t="str">
        <f>IF(ISBLANK(E470), "", VLOOKUP(E470, Z!$A$2:$C$4127, 3, FALSE))</f>
        <v/>
      </c>
      <c r="G470" s="242"/>
      <c r="H470" s="242"/>
      <c r="I470" s="243"/>
      <c r="J470" s="244"/>
      <c r="K470" s="259"/>
      <c r="L470" s="260"/>
      <c r="M470" s="247" t="str" cm="1">
        <f t="array" ref="M470">IF($K470&gt;0, INDEX(Clean,1+AG470,$C$1), "")</f>
        <v/>
      </c>
      <c r="N470" s="245"/>
      <c r="O470" s="245"/>
      <c r="P470" s="246"/>
      <c r="Q470" s="248">
        <f t="shared" si="527"/>
        <v>0</v>
      </c>
      <c r="R470" s="247" t="str" cm="1">
        <f t="array" ref="R470">IF($K470&gt;0, INDEX(Clean,1+AH470,$C$1), "")</f>
        <v/>
      </c>
      <c r="S470" s="245"/>
      <c r="T470" s="245"/>
      <c r="U470" s="246"/>
      <c r="V470" s="248">
        <f t="shared" si="528"/>
        <v>0</v>
      </c>
      <c r="W470" s="261"/>
      <c r="X470" s="258"/>
      <c r="Y470" s="240"/>
      <c r="Z470" s="241" t="str">
        <f>IF(ISBLANK(Y470), "", VLOOKUP(Y470, Z!$A$2:$C$4127, 3, FALSE))</f>
        <v/>
      </c>
      <c r="AA470" s="262"/>
      <c r="AB470" s="249">
        <f t="shared" si="526"/>
        <v>0</v>
      </c>
      <c r="AC470" s="210"/>
      <c r="AD470" s="236">
        <f t="shared" si="551"/>
        <v>1</v>
      </c>
      <c r="AE470" s="236">
        <f t="shared" si="552"/>
        <v>1</v>
      </c>
      <c r="AF470" s="236">
        <f t="shared" si="553"/>
        <v>0</v>
      </c>
      <c r="AG470" s="236">
        <v>1</v>
      </c>
      <c r="AH470" s="236">
        <v>0</v>
      </c>
      <c r="AI470" s="236">
        <f t="shared" si="529"/>
        <v>-100</v>
      </c>
      <c r="AJ470" s="210"/>
      <c r="AK470" s="254"/>
      <c r="AL470" s="254"/>
      <c r="AM470" s="255"/>
      <c r="AN470" s="255"/>
      <c r="AO470" s="255"/>
      <c r="AP470" s="255"/>
      <c r="AQ470" s="255"/>
      <c r="AR470" s="255"/>
      <c r="AS470" s="255"/>
      <c r="AT470" s="255"/>
      <c r="AU470" s="255"/>
      <c r="AV470" s="255"/>
      <c r="AW470" s="255"/>
      <c r="AX470" s="210"/>
      <c r="AY470" s="236" cm="1">
        <f t="array" ref="AY470">INDEX(Use, $AD470, 4)</f>
        <v>7</v>
      </c>
      <c r="AZ470" s="236">
        <f t="shared" si="530"/>
        <v>32</v>
      </c>
      <c r="BA470" s="236">
        <f t="shared" si="518"/>
        <v>13</v>
      </c>
      <c r="BB470" s="236">
        <f t="shared" si="519"/>
        <v>0</v>
      </c>
      <c r="BC470" s="252" cm="1">
        <f t="array" ref="BC470">K470/IF($L470&gt;0, INDEX($AO$23:$AU$77, $L470+20, $AD470), 1)</f>
        <v>0</v>
      </c>
      <c r="BD470" s="237">
        <f t="shared" si="531"/>
        <v>0</v>
      </c>
      <c r="BE470" s="236">
        <v>35</v>
      </c>
      <c r="BF470" s="237">
        <f t="shared" si="532"/>
        <v>52.55</v>
      </c>
      <c r="BG470" s="253">
        <f t="shared" si="533"/>
        <v>2.7676728869374316</v>
      </c>
      <c r="BH470" s="253" cm="1">
        <f t="array" ref="BH470">$BC470 * SUMPRODUCT(INDEX($AL$77:$AN$82,,$AE470),INDEX($AO$77:$AU$82,,$AD470), N($AK$77:$AK$82&gt;$AI470)) / BG470 / 1000</f>
        <v>0</v>
      </c>
      <c r="BI470" s="250">
        <f t="shared" si="520"/>
        <v>30</v>
      </c>
      <c r="BJ470" s="237">
        <f t="shared" si="534"/>
        <v>46.033333333333331</v>
      </c>
      <c r="BK470" s="253">
        <f t="shared" si="535"/>
        <v>3.2297395388556791</v>
      </c>
      <c r="BL470" s="253" cm="1">
        <f t="array" ref="BL470">$BC470 * IF($AD470&lt;=2,
SUMPRODUCT(INDEX($AL$72:$AN$76,,$AE470), INDEX($AO$72:$AU$76,,$AD470), 1 / ($AV$72:$AV$76*BK470 + (1-$AV$72:$AV$76)*BG470), N($AK$72:$AK$76&gt;$AI470)),
SUMPRODUCT(INDEX($AL$67:$AN$76,,$AE470), INDEX($AO$67:$AU$76,,$AD470), 1 / ($AW$67:$AW$76*BK470 + (1-$AW$67:$AW$76)*BG470), N($AK$67:$AK$76&gt;$AI470))
) / 1000</f>
        <v>0</v>
      </c>
      <c r="BM470" s="250">
        <f t="shared" si="521"/>
        <v>25</v>
      </c>
      <c r="BN470" s="237">
        <f t="shared" si="536"/>
        <v>39.516666666666666</v>
      </c>
      <c r="BO470" s="253">
        <f t="shared" si="537"/>
        <v>3.877011788826243</v>
      </c>
      <c r="BP470" s="253" cm="1">
        <f t="array" ref="BP470">$BC470 * IF($AD470&lt;=2,
SUMPRODUCT(INDEX($AL$67:$AN$71,,$AE470), INDEX($AO$67:$AU$71,,$AD470), 1 / ($AV$67:$AV$71*BO470 + (1-$AV$67:$AV$71)*BK470), N($AK$67:$AK$71&gt;$AI470)),
SUMPRODUCT(INDEX($AL$57:$AN$66,,$AE470), INDEX($AO$57:$AU$66,,$AD470), 1 / ($AW$57:$AW$66*BO470 + (1-$AW$57:$AW$66)*BK470), N($AK$57:$AK$66&gt;$AI470))
) / 1000</f>
        <v>0</v>
      </c>
      <c r="BQ470" s="250">
        <f t="shared" si="522"/>
        <v>20</v>
      </c>
      <c r="BR470" s="237">
        <f t="shared" si="538"/>
        <v>33</v>
      </c>
      <c r="BS470" s="253">
        <f t="shared" si="539"/>
        <v>4.8487499999999999</v>
      </c>
      <c r="BT470" s="253" cm="1">
        <f t="array" ref="BT470">$BC470 * IF($AD470&lt;=2,
SUMPRODUCT(INDEX($AL$62:$AN$66,,$AE470), INDEX($AO$62:$AU$66,,$AD470), 1 / ($AV$62:$AV$66*BS470 + (1-$AV$62:$AV$66)*BO470), N($AK$62:$AK$66&gt;$AI470)),
SUMPRODUCT(INDEX($AL$47:$AN$56,,$AE470), INDEX($AO$47:$AU$56,,$AD470), 1 / ($AW$47:$AW$56*BS470 + (1-$AW$47:$AW$56)*BO470), N($AK$47:$AK$56&gt;$AI470))
) / 1000</f>
        <v>0</v>
      </c>
      <c r="BU470" s="253" cm="1">
        <f t="array" ref="BU470">$BC470 * IF($AD470&lt;=2,
SUMPRODUCT(INDEX($AL$23:$AN$61,,$AE470), INDEX($AO$23:$AU$61,,$AD470), 1 / ($AV$23:$AV$61*BS470), N($AK$23:$AK$61&gt;$AI470)),
SUMPRODUCT(INDEX($AL$23:$AN$46,,$AE470), INDEX($AO$23:$AU$46,,$AD470), 1 / ($AW$23:$AW$46*BS470), N($AK$23:$AK$46&gt;$AI470))
) / 1000</f>
        <v>0</v>
      </c>
      <c r="BV470" s="237">
        <f t="shared" si="540"/>
        <v>0</v>
      </c>
      <c r="BW470" s="210"/>
      <c r="BX470" s="237">
        <f t="shared" si="541"/>
        <v>0</v>
      </c>
      <c r="BY470" s="236">
        <v>35</v>
      </c>
      <c r="BZ470" s="237">
        <f t="shared" si="542"/>
        <v>48</v>
      </c>
      <c r="CA470" s="253">
        <f t="shared" si="543"/>
        <v>3.0748170731707316</v>
      </c>
      <c r="CB470" s="253" cm="1">
        <f t="array" ref="CB470">$BC470 * SUMPRODUCT(INDEX($AL$77:$AN$82,,$AE470),INDEX($AO$77:$AU$82,,$AD470), N($AK$77:$AK$82&gt;$AI470)) / CA470 / 1000</f>
        <v>0</v>
      </c>
      <c r="CC470" s="250">
        <f t="shared" si="523"/>
        <v>30</v>
      </c>
      <c r="CD470" s="237">
        <f t="shared" si="544"/>
        <v>43</v>
      </c>
      <c r="CE470" s="253">
        <f t="shared" si="545"/>
        <v>3.5018750000000001</v>
      </c>
      <c r="CF470" s="253" cm="1">
        <f t="array" ref="CF470">$BC470 * IF($AD470&lt;=2,
SUMPRODUCT(INDEX($AL$72:$AN$76,,$AE470), INDEX($AO$72:$AU$76,,$AD470), 1 / ($AV$72:$AV$76*CE470 + (1-$AV$72:$AV$76)*CA470), N($AK$72:$AK$76&gt;$AI470)),
SUMPRODUCT(INDEX($AL$67:$AN$76,,$AE470), INDEX($AO$67:$AU$76,,$AD470), 1 / ($AW$67:$AW$76*CE470 + (1-$AW$67:$AW$76)*CA470), N($AK$67:$AK$76&gt;$AI470))
) / 1000</f>
        <v>0</v>
      </c>
      <c r="CG470" s="250">
        <f t="shared" si="524"/>
        <v>25</v>
      </c>
      <c r="CH470" s="237">
        <f t="shared" si="546"/>
        <v>38</v>
      </c>
      <c r="CI470" s="253">
        <f t="shared" si="547"/>
        <v>4.0666935483870965</v>
      </c>
      <c r="CJ470" s="253" cm="1">
        <f t="array" ref="CJ470">$BC470 * IF($AD470&lt;=2,
SUMPRODUCT(INDEX($AL$67:$AN$71,,$AE470), INDEX($AO$67:$AU$71,,$AD470), 1 / ($AV$67:$AV$71*CI470 + (1-$AV$67:$AV$71)*CE470), N($AK$67:$AK$71&gt;$AI470)),
SUMPRODUCT(INDEX($AL$57:$AN$66,,$AE470), INDEX($AO$57:$AU$66,,$AD470), 1 / ($AW$57:$AW$66*CI470 + (1-$AW$57:$AW$66)*CE470), N($AK$57:$AK$66&gt;$AI470))
) / 1000</f>
        <v>0</v>
      </c>
      <c r="CK470" s="250">
        <f t="shared" si="525"/>
        <v>20</v>
      </c>
      <c r="CL470" s="237">
        <f t="shared" si="548"/>
        <v>33</v>
      </c>
      <c r="CM470" s="253">
        <f t="shared" si="549"/>
        <v>4.8487499999999999</v>
      </c>
      <c r="CN470" s="253" cm="1">
        <f t="array" ref="CN470">$BC470 * IF($AD470&lt;=2,
SUMPRODUCT(INDEX($AL$62:$AN$66,,$AE470), INDEX($AO$62:$AU$66,,$AD470), 1 / ($AV$62:$AV$66*CM470 + (1-$AV$62:$AV$66)*CI470), N($AK$62:$AK$66&gt;$AI470)),
SUMPRODUCT(INDEX($AL$47:$AN$56,,$AE470), INDEX($AO$47:$AU$56,,$AD470), 1 / ($AW$47:$AW$56*CM470 + (1-$AW$47:$AW$56)*CI470), N($AK$47:$AK$56&gt;$AI470))
) / 1000</f>
        <v>0</v>
      </c>
      <c r="CO470" s="253" cm="1">
        <f t="array" ref="CO470">$BC470 * IF($AD470&lt;=2,
SUMPRODUCT(INDEX($AL$23:$AN$61,,$AE470), INDEX($AO$23:$AU$61,,$AD470), 1 / ($AV$23:$AV$61*CM470), N($AK$23:$AK$61&gt;$AI470)),
SUMPRODUCT(INDEX($AL$23:$AN$46,,$AE470), INDEX($AO$23:$AU$46,,$AD470), 1 / ($AW$23:$AW$46*CM470), N($AK$23:$AK$46&gt;$AI470))
) / 1000</f>
        <v>0</v>
      </c>
      <c r="CP470" s="237">
        <f t="shared" si="550"/>
        <v>0</v>
      </c>
      <c r="CQ470" s="210"/>
    </row>
    <row r="471" spans="1:95" s="76" customFormat="1" ht="14.25" customHeight="1" x14ac:dyDescent="0.2">
      <c r="A471" s="238" t="b">
        <f t="shared" si="554"/>
        <v>0</v>
      </c>
      <c r="B471" s="239">
        <v>449</v>
      </c>
      <c r="C471" s="258"/>
      <c r="D471" s="258"/>
      <c r="E471" s="240"/>
      <c r="F471" s="241" t="str">
        <f>IF(ISBLANK(E471), "", VLOOKUP(E471, Z!$A$2:$C$4127, 3, FALSE))</f>
        <v/>
      </c>
      <c r="G471" s="242"/>
      <c r="H471" s="242"/>
      <c r="I471" s="243"/>
      <c r="J471" s="244"/>
      <c r="K471" s="259"/>
      <c r="L471" s="260"/>
      <c r="M471" s="247" t="str" cm="1">
        <f t="array" ref="M471">IF($K471&gt;0, INDEX(Clean,1+AG471,$C$1), "")</f>
        <v/>
      </c>
      <c r="N471" s="245"/>
      <c r="O471" s="245"/>
      <c r="P471" s="246"/>
      <c r="Q471" s="248">
        <f t="shared" si="527"/>
        <v>0</v>
      </c>
      <c r="R471" s="247" t="str" cm="1">
        <f t="array" ref="R471">IF($K471&gt;0, INDEX(Clean,1+AH471,$C$1), "")</f>
        <v/>
      </c>
      <c r="S471" s="245"/>
      <c r="T471" s="245"/>
      <c r="U471" s="246"/>
      <c r="V471" s="248">
        <f t="shared" si="528"/>
        <v>0</v>
      </c>
      <c r="W471" s="261"/>
      <c r="X471" s="258"/>
      <c r="Y471" s="240"/>
      <c r="Z471" s="241" t="str">
        <f>IF(ISBLANK(Y471), "", VLOOKUP(Y471, Z!$A$2:$C$4127, 3, FALSE))</f>
        <v/>
      </c>
      <c r="AA471" s="262"/>
      <c r="AB471" s="249">
        <f t="shared" si="526"/>
        <v>0</v>
      </c>
      <c r="AC471" s="210"/>
      <c r="AD471" s="236">
        <f t="shared" si="551"/>
        <v>1</v>
      </c>
      <c r="AE471" s="236">
        <f t="shared" si="552"/>
        <v>1</v>
      </c>
      <c r="AF471" s="236">
        <f t="shared" si="553"/>
        <v>0</v>
      </c>
      <c r="AG471" s="236">
        <v>1</v>
      </c>
      <c r="AH471" s="236">
        <v>0</v>
      </c>
      <c r="AI471" s="236">
        <f t="shared" si="529"/>
        <v>-100</v>
      </c>
      <c r="AJ471" s="210"/>
      <c r="AK471" s="254"/>
      <c r="AL471" s="254"/>
      <c r="AM471" s="255"/>
      <c r="AN471" s="255"/>
      <c r="AO471" s="255"/>
      <c r="AP471" s="255"/>
      <c r="AQ471" s="255"/>
      <c r="AR471" s="255"/>
      <c r="AS471" s="255"/>
      <c r="AT471" s="255"/>
      <c r="AU471" s="255"/>
      <c r="AV471" s="255"/>
      <c r="AW471" s="255"/>
      <c r="AX471" s="210"/>
      <c r="AY471" s="236" cm="1">
        <f t="array" ref="AY471">INDEX(Use, $AD471, 4)</f>
        <v>7</v>
      </c>
      <c r="AZ471" s="236">
        <f t="shared" si="530"/>
        <v>32</v>
      </c>
      <c r="BA471" s="236">
        <f t="shared" ref="BA471:BA534" si="555">IF($AF471=1, 6, IF($AD471=4, 10, 13))</f>
        <v>13</v>
      </c>
      <c r="BB471" s="236">
        <f t="shared" ref="BB471:BB534" si="556">IF($AF471=1, 9, 0)</f>
        <v>0</v>
      </c>
      <c r="BC471" s="252" cm="1">
        <f t="array" ref="BC471">K471/IF($L471&gt;0, INDEX($AO$23:$AU$77, $L471+20, $AD471), 1)</f>
        <v>0</v>
      </c>
      <c r="BD471" s="237">
        <f t="shared" si="531"/>
        <v>0</v>
      </c>
      <c r="BE471" s="236">
        <v>35</v>
      </c>
      <c r="BF471" s="237">
        <f t="shared" si="532"/>
        <v>52.55</v>
      </c>
      <c r="BG471" s="253">
        <f t="shared" si="533"/>
        <v>2.7676728869374316</v>
      </c>
      <c r="BH471" s="253" cm="1">
        <f t="array" ref="BH471">$BC471 * SUMPRODUCT(INDEX($AL$77:$AN$82,,$AE471),INDEX($AO$77:$AU$82,,$AD471), N($AK$77:$AK$82&gt;$AI471)) / BG471 / 1000</f>
        <v>0</v>
      </c>
      <c r="BI471" s="250">
        <f t="shared" ref="BI471:BI534" si="557">IF($AD471&lt;=2, 30, 25)</f>
        <v>30</v>
      </c>
      <c r="BJ471" s="237">
        <f t="shared" si="534"/>
        <v>46.033333333333331</v>
      </c>
      <c r="BK471" s="253">
        <f t="shared" si="535"/>
        <v>3.2297395388556791</v>
      </c>
      <c r="BL471" s="253" cm="1">
        <f t="array" ref="BL471">$BC471 * IF($AD471&lt;=2,
SUMPRODUCT(INDEX($AL$72:$AN$76,,$AE471), INDEX($AO$72:$AU$76,,$AD471), 1 / ($AV$72:$AV$76*BK471 + (1-$AV$72:$AV$76)*BG471), N($AK$72:$AK$76&gt;$AI471)),
SUMPRODUCT(INDEX($AL$67:$AN$76,,$AE471), INDEX($AO$67:$AU$76,,$AD471), 1 / ($AW$67:$AW$76*BK471 + (1-$AW$67:$AW$76)*BG471), N($AK$67:$AK$76&gt;$AI471))
) / 1000</f>
        <v>0</v>
      </c>
      <c r="BM471" s="250">
        <f t="shared" ref="BM471:BM534" si="558">IF($AD471&lt;=2, 25, 15)</f>
        <v>25</v>
      </c>
      <c r="BN471" s="237">
        <f t="shared" si="536"/>
        <v>39.516666666666666</v>
      </c>
      <c r="BO471" s="253">
        <f t="shared" si="537"/>
        <v>3.877011788826243</v>
      </c>
      <c r="BP471" s="253" cm="1">
        <f t="array" ref="BP471">$BC471 * IF($AD471&lt;=2,
SUMPRODUCT(INDEX($AL$67:$AN$71,,$AE471), INDEX($AO$67:$AU$71,,$AD471), 1 / ($AV$67:$AV$71*BO471 + (1-$AV$67:$AV$71)*BK471), N($AK$67:$AK$71&gt;$AI471)),
SUMPRODUCT(INDEX($AL$57:$AN$66,,$AE471), INDEX($AO$57:$AU$66,,$AD471), 1 / ($AW$57:$AW$66*BO471 + (1-$AW$57:$AW$66)*BK471), N($AK$57:$AK$66&gt;$AI471))
) / 1000</f>
        <v>0</v>
      </c>
      <c r="BQ471" s="250">
        <f t="shared" ref="BQ471:BQ534" si="559">IF($AD471&lt;=2, 20, 5)</f>
        <v>20</v>
      </c>
      <c r="BR471" s="237">
        <f t="shared" si="538"/>
        <v>33</v>
      </c>
      <c r="BS471" s="253">
        <f t="shared" si="539"/>
        <v>4.8487499999999999</v>
      </c>
      <c r="BT471" s="253" cm="1">
        <f t="array" ref="BT471">$BC471 * IF($AD471&lt;=2,
SUMPRODUCT(INDEX($AL$62:$AN$66,,$AE471), INDEX($AO$62:$AU$66,,$AD471), 1 / ($AV$62:$AV$66*BS471 + (1-$AV$62:$AV$66)*BO471), N($AK$62:$AK$66&gt;$AI471)),
SUMPRODUCT(INDEX($AL$47:$AN$56,,$AE471), INDEX($AO$47:$AU$56,,$AD471), 1 / ($AW$47:$AW$56*BS471 + (1-$AW$47:$AW$56)*BO471), N($AK$47:$AK$56&gt;$AI471))
) / 1000</f>
        <v>0</v>
      </c>
      <c r="BU471" s="253" cm="1">
        <f t="array" ref="BU471">$BC471 * IF($AD471&lt;=2,
SUMPRODUCT(INDEX($AL$23:$AN$61,,$AE471), INDEX($AO$23:$AU$61,,$AD471), 1 / ($AV$23:$AV$61*BS471), N($AK$23:$AK$61&gt;$AI471)),
SUMPRODUCT(INDEX($AL$23:$AN$46,,$AE471), INDEX($AO$23:$AU$46,,$AD471), 1 / ($AW$23:$AW$46*BS471), N($AK$23:$AK$46&gt;$AI471))
) / 1000</f>
        <v>0</v>
      </c>
      <c r="BV471" s="237">
        <f t="shared" si="540"/>
        <v>0</v>
      </c>
      <c r="BW471" s="210"/>
      <c r="BX471" s="237">
        <f t="shared" si="541"/>
        <v>0</v>
      </c>
      <c r="BY471" s="236">
        <v>35</v>
      </c>
      <c r="BZ471" s="237">
        <f t="shared" si="542"/>
        <v>48</v>
      </c>
      <c r="CA471" s="253">
        <f t="shared" si="543"/>
        <v>3.0748170731707316</v>
      </c>
      <c r="CB471" s="253" cm="1">
        <f t="array" ref="CB471">$BC471 * SUMPRODUCT(INDEX($AL$77:$AN$82,,$AE471),INDEX($AO$77:$AU$82,,$AD471), N($AK$77:$AK$82&gt;$AI471)) / CA471 / 1000</f>
        <v>0</v>
      </c>
      <c r="CC471" s="250">
        <f t="shared" ref="CC471:CC534" si="560">IF($AD471&lt;=2, 30, 25)</f>
        <v>30</v>
      </c>
      <c r="CD471" s="237">
        <f t="shared" si="544"/>
        <v>43</v>
      </c>
      <c r="CE471" s="253">
        <f t="shared" si="545"/>
        <v>3.5018750000000001</v>
      </c>
      <c r="CF471" s="253" cm="1">
        <f t="array" ref="CF471">$BC471 * IF($AD471&lt;=2,
SUMPRODUCT(INDEX($AL$72:$AN$76,,$AE471), INDEX($AO$72:$AU$76,,$AD471), 1 / ($AV$72:$AV$76*CE471 + (1-$AV$72:$AV$76)*CA471), N($AK$72:$AK$76&gt;$AI471)),
SUMPRODUCT(INDEX($AL$67:$AN$76,,$AE471), INDEX($AO$67:$AU$76,,$AD471), 1 / ($AW$67:$AW$76*CE471 + (1-$AW$67:$AW$76)*CA471), N($AK$67:$AK$76&gt;$AI471))
) / 1000</f>
        <v>0</v>
      </c>
      <c r="CG471" s="250">
        <f t="shared" ref="CG471:CG534" si="561">IF($AD471&lt;=2, 25, 15)</f>
        <v>25</v>
      </c>
      <c r="CH471" s="237">
        <f t="shared" si="546"/>
        <v>38</v>
      </c>
      <c r="CI471" s="253">
        <f t="shared" si="547"/>
        <v>4.0666935483870965</v>
      </c>
      <c r="CJ471" s="253" cm="1">
        <f t="array" ref="CJ471">$BC471 * IF($AD471&lt;=2,
SUMPRODUCT(INDEX($AL$67:$AN$71,,$AE471), INDEX($AO$67:$AU$71,,$AD471), 1 / ($AV$67:$AV$71*CI471 + (1-$AV$67:$AV$71)*CE471), N($AK$67:$AK$71&gt;$AI471)),
SUMPRODUCT(INDEX($AL$57:$AN$66,,$AE471), INDEX($AO$57:$AU$66,,$AD471), 1 / ($AW$57:$AW$66*CI471 + (1-$AW$57:$AW$66)*CE471), N($AK$57:$AK$66&gt;$AI471))
) / 1000</f>
        <v>0</v>
      </c>
      <c r="CK471" s="250">
        <f t="shared" ref="CK471:CK534" si="562">IF($AD471&lt;=2, 20, 5)</f>
        <v>20</v>
      </c>
      <c r="CL471" s="237">
        <f t="shared" si="548"/>
        <v>33</v>
      </c>
      <c r="CM471" s="253">
        <f t="shared" si="549"/>
        <v>4.8487499999999999</v>
      </c>
      <c r="CN471" s="253" cm="1">
        <f t="array" ref="CN471">$BC471 * IF($AD471&lt;=2,
SUMPRODUCT(INDEX($AL$62:$AN$66,,$AE471), INDEX($AO$62:$AU$66,,$AD471), 1 / ($AV$62:$AV$66*CM471 + (1-$AV$62:$AV$66)*CI471), N($AK$62:$AK$66&gt;$AI471)),
SUMPRODUCT(INDEX($AL$47:$AN$56,,$AE471), INDEX($AO$47:$AU$56,,$AD471), 1 / ($AW$47:$AW$56*CM471 + (1-$AW$47:$AW$56)*CI471), N($AK$47:$AK$56&gt;$AI471))
) / 1000</f>
        <v>0</v>
      </c>
      <c r="CO471" s="253" cm="1">
        <f t="array" ref="CO471">$BC471 * IF($AD471&lt;=2,
SUMPRODUCT(INDEX($AL$23:$AN$61,,$AE471), INDEX($AO$23:$AU$61,,$AD471), 1 / ($AV$23:$AV$61*CM471), N($AK$23:$AK$61&gt;$AI471)),
SUMPRODUCT(INDEX($AL$23:$AN$46,,$AE471), INDEX($AO$23:$AU$46,,$AD471), 1 / ($AW$23:$AW$46*CM471), N($AK$23:$AK$46&gt;$AI471))
) / 1000</f>
        <v>0</v>
      </c>
      <c r="CP471" s="237">
        <f t="shared" si="550"/>
        <v>0</v>
      </c>
      <c r="CQ471" s="210"/>
    </row>
    <row r="472" spans="1:95" s="76" customFormat="1" ht="14.25" customHeight="1" x14ac:dyDescent="0.2">
      <c r="A472" s="238" t="b">
        <f t="shared" si="554"/>
        <v>0</v>
      </c>
      <c r="B472" s="239">
        <v>450</v>
      </c>
      <c r="C472" s="258"/>
      <c r="D472" s="258"/>
      <c r="E472" s="240"/>
      <c r="F472" s="241" t="str">
        <f>IF(ISBLANK(E472), "", VLOOKUP(E472, Z!$A$2:$C$4127, 3, FALSE))</f>
        <v/>
      </c>
      <c r="G472" s="242"/>
      <c r="H472" s="242"/>
      <c r="I472" s="243"/>
      <c r="J472" s="244"/>
      <c r="K472" s="259"/>
      <c r="L472" s="260"/>
      <c r="M472" s="247" t="str" cm="1">
        <f t="array" ref="M472">IF($K472&gt;0, INDEX(Clean,1+AG472,$C$1), "")</f>
        <v/>
      </c>
      <c r="N472" s="245"/>
      <c r="O472" s="245"/>
      <c r="P472" s="246"/>
      <c r="Q472" s="248">
        <f t="shared" si="527"/>
        <v>0</v>
      </c>
      <c r="R472" s="247" t="str" cm="1">
        <f t="array" ref="R472">IF($K472&gt;0, INDEX(Clean,1+AH472,$C$1), "")</f>
        <v/>
      </c>
      <c r="S472" s="245"/>
      <c r="T472" s="245"/>
      <c r="U472" s="246"/>
      <c r="V472" s="248">
        <f t="shared" si="528"/>
        <v>0</v>
      </c>
      <c r="W472" s="261"/>
      <c r="X472" s="258"/>
      <c r="Y472" s="240"/>
      <c r="Z472" s="241" t="str">
        <f>IF(ISBLANK(Y472), "", VLOOKUP(Y472, Z!$A$2:$C$4127, 3, FALSE))</f>
        <v/>
      </c>
      <c r="AA472" s="262"/>
      <c r="AB472" s="249">
        <f t="shared" ref="AB472:AB535" si="563">0.75*$AJ$22*(Q472-V472)</f>
        <v>0</v>
      </c>
      <c r="AC472" s="210"/>
      <c r="AD472" s="236">
        <f t="shared" si="551"/>
        <v>1</v>
      </c>
      <c r="AE472" s="236">
        <f t="shared" si="552"/>
        <v>1</v>
      </c>
      <c r="AF472" s="236">
        <f t="shared" si="553"/>
        <v>0</v>
      </c>
      <c r="AG472" s="236">
        <v>1</v>
      </c>
      <c r="AH472" s="236">
        <v>0</v>
      </c>
      <c r="AI472" s="236">
        <f t="shared" si="529"/>
        <v>-100</v>
      </c>
      <c r="AJ472" s="210"/>
      <c r="AK472" s="254"/>
      <c r="AL472" s="254"/>
      <c r="AM472" s="255"/>
      <c r="AN472" s="255"/>
      <c r="AO472" s="255"/>
      <c r="AP472" s="255"/>
      <c r="AQ472" s="255"/>
      <c r="AR472" s="255"/>
      <c r="AS472" s="255"/>
      <c r="AT472" s="255"/>
      <c r="AU472" s="255"/>
      <c r="AV472" s="255"/>
      <c r="AW472" s="255"/>
      <c r="AX472" s="210"/>
      <c r="AY472" s="236" cm="1">
        <f t="array" ref="AY472">INDEX(Use, $AD472, 4)</f>
        <v>7</v>
      </c>
      <c r="AZ472" s="236">
        <f t="shared" si="530"/>
        <v>32</v>
      </c>
      <c r="BA472" s="236">
        <f t="shared" si="555"/>
        <v>13</v>
      </c>
      <c r="BB472" s="236">
        <f t="shared" si="556"/>
        <v>0</v>
      </c>
      <c r="BC472" s="252" cm="1">
        <f t="array" ref="BC472">K472/IF($L472&gt;0, INDEX($AO$23:$AU$77, $L472+20, $AD472), 1)</f>
        <v>0</v>
      </c>
      <c r="BD472" s="237">
        <f t="shared" si="531"/>
        <v>0</v>
      </c>
      <c r="BE472" s="236">
        <v>35</v>
      </c>
      <c r="BF472" s="237">
        <f t="shared" si="532"/>
        <v>52.55</v>
      </c>
      <c r="BG472" s="253">
        <f t="shared" si="533"/>
        <v>2.7676728869374316</v>
      </c>
      <c r="BH472" s="253" cm="1">
        <f t="array" ref="BH472">$BC472 * SUMPRODUCT(INDEX($AL$77:$AN$82,,$AE472),INDEX($AO$77:$AU$82,,$AD472), N($AK$77:$AK$82&gt;$AI472)) / BG472 / 1000</f>
        <v>0</v>
      </c>
      <c r="BI472" s="250">
        <f t="shared" si="557"/>
        <v>30</v>
      </c>
      <c r="BJ472" s="237">
        <f t="shared" si="534"/>
        <v>46.033333333333331</v>
      </c>
      <c r="BK472" s="253">
        <f t="shared" si="535"/>
        <v>3.2297395388556791</v>
      </c>
      <c r="BL472" s="253" cm="1">
        <f t="array" ref="BL472">$BC472 * IF($AD472&lt;=2,
SUMPRODUCT(INDEX($AL$72:$AN$76,,$AE472), INDEX($AO$72:$AU$76,,$AD472), 1 / ($AV$72:$AV$76*BK472 + (1-$AV$72:$AV$76)*BG472), N($AK$72:$AK$76&gt;$AI472)),
SUMPRODUCT(INDEX($AL$67:$AN$76,,$AE472), INDEX($AO$67:$AU$76,,$AD472), 1 / ($AW$67:$AW$76*BK472 + (1-$AW$67:$AW$76)*BG472), N($AK$67:$AK$76&gt;$AI472))
) / 1000</f>
        <v>0</v>
      </c>
      <c r="BM472" s="250">
        <f t="shared" si="558"/>
        <v>25</v>
      </c>
      <c r="BN472" s="237">
        <f t="shared" si="536"/>
        <v>39.516666666666666</v>
      </c>
      <c r="BO472" s="253">
        <f t="shared" si="537"/>
        <v>3.877011788826243</v>
      </c>
      <c r="BP472" s="253" cm="1">
        <f t="array" ref="BP472">$BC472 * IF($AD472&lt;=2,
SUMPRODUCT(INDEX($AL$67:$AN$71,,$AE472), INDEX($AO$67:$AU$71,,$AD472), 1 / ($AV$67:$AV$71*BO472 + (1-$AV$67:$AV$71)*BK472), N($AK$67:$AK$71&gt;$AI472)),
SUMPRODUCT(INDEX($AL$57:$AN$66,,$AE472), INDEX($AO$57:$AU$66,,$AD472), 1 / ($AW$57:$AW$66*BO472 + (1-$AW$57:$AW$66)*BK472), N($AK$57:$AK$66&gt;$AI472))
) / 1000</f>
        <v>0</v>
      </c>
      <c r="BQ472" s="250">
        <f t="shared" si="559"/>
        <v>20</v>
      </c>
      <c r="BR472" s="237">
        <f t="shared" si="538"/>
        <v>33</v>
      </c>
      <c r="BS472" s="253">
        <f t="shared" si="539"/>
        <v>4.8487499999999999</v>
      </c>
      <c r="BT472" s="253" cm="1">
        <f t="array" ref="BT472">$BC472 * IF($AD472&lt;=2,
SUMPRODUCT(INDEX($AL$62:$AN$66,,$AE472), INDEX($AO$62:$AU$66,,$AD472), 1 / ($AV$62:$AV$66*BS472 + (1-$AV$62:$AV$66)*BO472), N($AK$62:$AK$66&gt;$AI472)),
SUMPRODUCT(INDEX($AL$47:$AN$56,,$AE472), INDEX($AO$47:$AU$56,,$AD472), 1 / ($AW$47:$AW$56*BS472 + (1-$AW$47:$AW$56)*BO472), N($AK$47:$AK$56&gt;$AI472))
) / 1000</f>
        <v>0</v>
      </c>
      <c r="BU472" s="253" cm="1">
        <f t="array" ref="BU472">$BC472 * IF($AD472&lt;=2,
SUMPRODUCT(INDEX($AL$23:$AN$61,,$AE472), INDEX($AO$23:$AU$61,,$AD472), 1 / ($AV$23:$AV$61*BS472), N($AK$23:$AK$61&gt;$AI472)),
SUMPRODUCT(INDEX($AL$23:$AN$46,,$AE472), INDEX($AO$23:$AU$46,,$AD472), 1 / ($AW$23:$AW$46*BS472), N($AK$23:$AK$46&gt;$AI472))
) / 1000</f>
        <v>0</v>
      </c>
      <c r="BV472" s="237">
        <f t="shared" si="540"/>
        <v>0</v>
      </c>
      <c r="BW472" s="210"/>
      <c r="BX472" s="237">
        <f t="shared" si="541"/>
        <v>0</v>
      </c>
      <c r="BY472" s="236">
        <v>35</v>
      </c>
      <c r="BZ472" s="237">
        <f t="shared" si="542"/>
        <v>48</v>
      </c>
      <c r="CA472" s="253">
        <f t="shared" si="543"/>
        <v>3.0748170731707316</v>
      </c>
      <c r="CB472" s="253" cm="1">
        <f t="array" ref="CB472">$BC472 * SUMPRODUCT(INDEX($AL$77:$AN$82,,$AE472),INDEX($AO$77:$AU$82,,$AD472), N($AK$77:$AK$82&gt;$AI472)) / CA472 / 1000</f>
        <v>0</v>
      </c>
      <c r="CC472" s="250">
        <f t="shared" si="560"/>
        <v>30</v>
      </c>
      <c r="CD472" s="237">
        <f t="shared" si="544"/>
        <v>43</v>
      </c>
      <c r="CE472" s="253">
        <f t="shared" si="545"/>
        <v>3.5018750000000001</v>
      </c>
      <c r="CF472" s="253" cm="1">
        <f t="array" ref="CF472">$BC472 * IF($AD472&lt;=2,
SUMPRODUCT(INDEX($AL$72:$AN$76,,$AE472), INDEX($AO$72:$AU$76,,$AD472), 1 / ($AV$72:$AV$76*CE472 + (1-$AV$72:$AV$76)*CA472), N($AK$72:$AK$76&gt;$AI472)),
SUMPRODUCT(INDEX($AL$67:$AN$76,,$AE472), INDEX($AO$67:$AU$76,,$AD472), 1 / ($AW$67:$AW$76*CE472 + (1-$AW$67:$AW$76)*CA472), N($AK$67:$AK$76&gt;$AI472))
) / 1000</f>
        <v>0</v>
      </c>
      <c r="CG472" s="250">
        <f t="shared" si="561"/>
        <v>25</v>
      </c>
      <c r="CH472" s="237">
        <f t="shared" si="546"/>
        <v>38</v>
      </c>
      <c r="CI472" s="253">
        <f t="shared" si="547"/>
        <v>4.0666935483870965</v>
      </c>
      <c r="CJ472" s="253" cm="1">
        <f t="array" ref="CJ472">$BC472 * IF($AD472&lt;=2,
SUMPRODUCT(INDEX($AL$67:$AN$71,,$AE472), INDEX($AO$67:$AU$71,,$AD472), 1 / ($AV$67:$AV$71*CI472 + (1-$AV$67:$AV$71)*CE472), N($AK$67:$AK$71&gt;$AI472)),
SUMPRODUCT(INDEX($AL$57:$AN$66,,$AE472), INDEX($AO$57:$AU$66,,$AD472), 1 / ($AW$57:$AW$66*CI472 + (1-$AW$57:$AW$66)*CE472), N($AK$57:$AK$66&gt;$AI472))
) / 1000</f>
        <v>0</v>
      </c>
      <c r="CK472" s="250">
        <f t="shared" si="562"/>
        <v>20</v>
      </c>
      <c r="CL472" s="237">
        <f t="shared" si="548"/>
        <v>33</v>
      </c>
      <c r="CM472" s="253">
        <f t="shared" si="549"/>
        <v>4.8487499999999999</v>
      </c>
      <c r="CN472" s="253" cm="1">
        <f t="array" ref="CN472">$BC472 * IF($AD472&lt;=2,
SUMPRODUCT(INDEX($AL$62:$AN$66,,$AE472), INDEX($AO$62:$AU$66,,$AD472), 1 / ($AV$62:$AV$66*CM472 + (1-$AV$62:$AV$66)*CI472), N($AK$62:$AK$66&gt;$AI472)),
SUMPRODUCT(INDEX($AL$47:$AN$56,,$AE472), INDEX($AO$47:$AU$56,,$AD472), 1 / ($AW$47:$AW$56*CM472 + (1-$AW$47:$AW$56)*CI472), N($AK$47:$AK$56&gt;$AI472))
) / 1000</f>
        <v>0</v>
      </c>
      <c r="CO472" s="253" cm="1">
        <f t="array" ref="CO472">$BC472 * IF($AD472&lt;=2,
SUMPRODUCT(INDEX($AL$23:$AN$61,,$AE472), INDEX($AO$23:$AU$61,,$AD472), 1 / ($AV$23:$AV$61*CM472), N($AK$23:$AK$61&gt;$AI472)),
SUMPRODUCT(INDEX($AL$23:$AN$46,,$AE472), INDEX($AO$23:$AU$46,,$AD472), 1 / ($AW$23:$AW$46*CM472), N($AK$23:$AK$46&gt;$AI472))
) / 1000</f>
        <v>0</v>
      </c>
      <c r="CP472" s="237">
        <f t="shared" si="550"/>
        <v>0</v>
      </c>
      <c r="CQ472" s="210"/>
    </row>
    <row r="473" spans="1:95" s="76" customFormat="1" ht="14.25" customHeight="1" x14ac:dyDescent="0.2">
      <c r="A473" s="238" t="b">
        <f t="shared" si="554"/>
        <v>0</v>
      </c>
      <c r="B473" s="239">
        <v>451</v>
      </c>
      <c r="C473" s="258"/>
      <c r="D473" s="258"/>
      <c r="E473" s="240"/>
      <c r="F473" s="241" t="str">
        <f>IF(ISBLANK(E473), "", VLOOKUP(E473, Z!$A$2:$C$4127, 3, FALSE))</f>
        <v/>
      </c>
      <c r="G473" s="242"/>
      <c r="H473" s="242"/>
      <c r="I473" s="243"/>
      <c r="J473" s="244"/>
      <c r="K473" s="259"/>
      <c r="L473" s="260"/>
      <c r="M473" s="247" t="str" cm="1">
        <f t="array" ref="M473">IF($K473&gt;0, INDEX(Clean,1+AG473,$C$1), "")</f>
        <v/>
      </c>
      <c r="N473" s="245"/>
      <c r="O473" s="245"/>
      <c r="P473" s="246"/>
      <c r="Q473" s="248">
        <f t="shared" si="527"/>
        <v>0</v>
      </c>
      <c r="R473" s="247" t="str" cm="1">
        <f t="array" ref="R473">IF($K473&gt;0, INDEX(Clean,1+AH473,$C$1), "")</f>
        <v/>
      </c>
      <c r="S473" s="245"/>
      <c r="T473" s="245"/>
      <c r="U473" s="246"/>
      <c r="V473" s="248">
        <f t="shared" si="528"/>
        <v>0</v>
      </c>
      <c r="W473" s="261"/>
      <c r="X473" s="258"/>
      <c r="Y473" s="240"/>
      <c r="Z473" s="241" t="str">
        <f>IF(ISBLANK(Y473), "", VLOOKUP(Y473, Z!$A$2:$C$4127, 3, FALSE))</f>
        <v/>
      </c>
      <c r="AA473" s="262"/>
      <c r="AB473" s="249">
        <f t="shared" si="563"/>
        <v>0</v>
      </c>
      <c r="AC473" s="210"/>
      <c r="AD473" s="236">
        <f t="shared" si="551"/>
        <v>1</v>
      </c>
      <c r="AE473" s="236">
        <f t="shared" si="552"/>
        <v>1</v>
      </c>
      <c r="AF473" s="236">
        <f t="shared" si="553"/>
        <v>0</v>
      </c>
      <c r="AG473" s="236">
        <v>1</v>
      </c>
      <c r="AH473" s="236">
        <v>0</v>
      </c>
      <c r="AI473" s="236">
        <f t="shared" si="529"/>
        <v>-100</v>
      </c>
      <c r="AJ473" s="210"/>
      <c r="AK473" s="254"/>
      <c r="AL473" s="254"/>
      <c r="AM473" s="255"/>
      <c r="AN473" s="255"/>
      <c r="AO473" s="255"/>
      <c r="AP473" s="255"/>
      <c r="AQ473" s="255"/>
      <c r="AR473" s="255"/>
      <c r="AS473" s="255"/>
      <c r="AT473" s="255"/>
      <c r="AU473" s="255"/>
      <c r="AV473" s="255"/>
      <c r="AW473" s="255"/>
      <c r="AX473" s="210"/>
      <c r="AY473" s="236" cm="1">
        <f t="array" ref="AY473">INDEX(Use, $AD473, 4)</f>
        <v>7</v>
      </c>
      <c r="AZ473" s="236">
        <f t="shared" si="530"/>
        <v>32</v>
      </c>
      <c r="BA473" s="236">
        <f t="shared" si="555"/>
        <v>13</v>
      </c>
      <c r="BB473" s="236">
        <f t="shared" si="556"/>
        <v>0</v>
      </c>
      <c r="BC473" s="252" cm="1">
        <f t="array" ref="BC473">K473/IF($L473&gt;0, INDEX($AO$23:$AU$77, $L473+20, $AD473), 1)</f>
        <v>0</v>
      </c>
      <c r="BD473" s="237">
        <f t="shared" si="531"/>
        <v>0</v>
      </c>
      <c r="BE473" s="236">
        <v>35</v>
      </c>
      <c r="BF473" s="237">
        <f t="shared" si="532"/>
        <v>52.55</v>
      </c>
      <c r="BG473" s="253">
        <f t="shared" si="533"/>
        <v>2.7676728869374316</v>
      </c>
      <c r="BH473" s="253" cm="1">
        <f t="array" ref="BH473">$BC473 * SUMPRODUCT(INDEX($AL$77:$AN$82,,$AE473),INDEX($AO$77:$AU$82,,$AD473), N($AK$77:$AK$82&gt;$AI473)) / BG473 / 1000</f>
        <v>0</v>
      </c>
      <c r="BI473" s="250">
        <f t="shared" si="557"/>
        <v>30</v>
      </c>
      <c r="BJ473" s="237">
        <f t="shared" si="534"/>
        <v>46.033333333333331</v>
      </c>
      <c r="BK473" s="253">
        <f t="shared" si="535"/>
        <v>3.2297395388556791</v>
      </c>
      <c r="BL473" s="253" cm="1">
        <f t="array" ref="BL473">$BC473 * IF($AD473&lt;=2,
SUMPRODUCT(INDEX($AL$72:$AN$76,,$AE473), INDEX($AO$72:$AU$76,,$AD473), 1 / ($AV$72:$AV$76*BK473 + (1-$AV$72:$AV$76)*BG473), N($AK$72:$AK$76&gt;$AI473)),
SUMPRODUCT(INDEX($AL$67:$AN$76,,$AE473), INDEX($AO$67:$AU$76,,$AD473), 1 / ($AW$67:$AW$76*BK473 + (1-$AW$67:$AW$76)*BG473), N($AK$67:$AK$76&gt;$AI473))
) / 1000</f>
        <v>0</v>
      </c>
      <c r="BM473" s="250">
        <f t="shared" si="558"/>
        <v>25</v>
      </c>
      <c r="BN473" s="237">
        <f t="shared" si="536"/>
        <v>39.516666666666666</v>
      </c>
      <c r="BO473" s="253">
        <f t="shared" si="537"/>
        <v>3.877011788826243</v>
      </c>
      <c r="BP473" s="253" cm="1">
        <f t="array" ref="BP473">$BC473 * IF($AD473&lt;=2,
SUMPRODUCT(INDEX($AL$67:$AN$71,,$AE473), INDEX($AO$67:$AU$71,,$AD473), 1 / ($AV$67:$AV$71*BO473 + (1-$AV$67:$AV$71)*BK473), N($AK$67:$AK$71&gt;$AI473)),
SUMPRODUCT(INDEX($AL$57:$AN$66,,$AE473), INDEX($AO$57:$AU$66,,$AD473), 1 / ($AW$57:$AW$66*BO473 + (1-$AW$57:$AW$66)*BK473), N($AK$57:$AK$66&gt;$AI473))
) / 1000</f>
        <v>0</v>
      </c>
      <c r="BQ473" s="250">
        <f t="shared" si="559"/>
        <v>20</v>
      </c>
      <c r="BR473" s="237">
        <f t="shared" si="538"/>
        <v>33</v>
      </c>
      <c r="BS473" s="253">
        <f t="shared" si="539"/>
        <v>4.8487499999999999</v>
      </c>
      <c r="BT473" s="253" cm="1">
        <f t="array" ref="BT473">$BC473 * IF($AD473&lt;=2,
SUMPRODUCT(INDEX($AL$62:$AN$66,,$AE473), INDEX($AO$62:$AU$66,,$AD473), 1 / ($AV$62:$AV$66*BS473 + (1-$AV$62:$AV$66)*BO473), N($AK$62:$AK$66&gt;$AI473)),
SUMPRODUCT(INDEX($AL$47:$AN$56,,$AE473), INDEX($AO$47:$AU$56,,$AD473), 1 / ($AW$47:$AW$56*BS473 + (1-$AW$47:$AW$56)*BO473), N($AK$47:$AK$56&gt;$AI473))
) / 1000</f>
        <v>0</v>
      </c>
      <c r="BU473" s="253" cm="1">
        <f t="array" ref="BU473">$BC473 * IF($AD473&lt;=2,
SUMPRODUCT(INDEX($AL$23:$AN$61,,$AE473), INDEX($AO$23:$AU$61,,$AD473), 1 / ($AV$23:$AV$61*BS473), N($AK$23:$AK$61&gt;$AI473)),
SUMPRODUCT(INDEX($AL$23:$AN$46,,$AE473), INDEX($AO$23:$AU$46,,$AD473), 1 / ($AW$23:$AW$46*BS473), N($AK$23:$AK$46&gt;$AI473))
) / 1000</f>
        <v>0</v>
      </c>
      <c r="BV473" s="237">
        <f t="shared" si="540"/>
        <v>0</v>
      </c>
      <c r="BW473" s="210"/>
      <c r="BX473" s="237">
        <f t="shared" si="541"/>
        <v>0</v>
      </c>
      <c r="BY473" s="236">
        <v>35</v>
      </c>
      <c r="BZ473" s="237">
        <f t="shared" si="542"/>
        <v>48</v>
      </c>
      <c r="CA473" s="253">
        <f t="shared" si="543"/>
        <v>3.0748170731707316</v>
      </c>
      <c r="CB473" s="253" cm="1">
        <f t="array" ref="CB473">$BC473 * SUMPRODUCT(INDEX($AL$77:$AN$82,,$AE473),INDEX($AO$77:$AU$82,,$AD473), N($AK$77:$AK$82&gt;$AI473)) / CA473 / 1000</f>
        <v>0</v>
      </c>
      <c r="CC473" s="250">
        <f t="shared" si="560"/>
        <v>30</v>
      </c>
      <c r="CD473" s="237">
        <f t="shared" si="544"/>
        <v>43</v>
      </c>
      <c r="CE473" s="253">
        <f t="shared" si="545"/>
        <v>3.5018750000000001</v>
      </c>
      <c r="CF473" s="253" cm="1">
        <f t="array" ref="CF473">$BC473 * IF($AD473&lt;=2,
SUMPRODUCT(INDEX($AL$72:$AN$76,,$AE473), INDEX($AO$72:$AU$76,,$AD473), 1 / ($AV$72:$AV$76*CE473 + (1-$AV$72:$AV$76)*CA473), N($AK$72:$AK$76&gt;$AI473)),
SUMPRODUCT(INDEX($AL$67:$AN$76,,$AE473), INDEX($AO$67:$AU$76,,$AD473), 1 / ($AW$67:$AW$76*CE473 + (1-$AW$67:$AW$76)*CA473), N($AK$67:$AK$76&gt;$AI473))
) / 1000</f>
        <v>0</v>
      </c>
      <c r="CG473" s="250">
        <f t="shared" si="561"/>
        <v>25</v>
      </c>
      <c r="CH473" s="237">
        <f t="shared" si="546"/>
        <v>38</v>
      </c>
      <c r="CI473" s="253">
        <f t="shared" si="547"/>
        <v>4.0666935483870965</v>
      </c>
      <c r="CJ473" s="253" cm="1">
        <f t="array" ref="CJ473">$BC473 * IF($AD473&lt;=2,
SUMPRODUCT(INDEX($AL$67:$AN$71,,$AE473), INDEX($AO$67:$AU$71,,$AD473), 1 / ($AV$67:$AV$71*CI473 + (1-$AV$67:$AV$71)*CE473), N($AK$67:$AK$71&gt;$AI473)),
SUMPRODUCT(INDEX($AL$57:$AN$66,,$AE473), INDEX($AO$57:$AU$66,,$AD473), 1 / ($AW$57:$AW$66*CI473 + (1-$AW$57:$AW$66)*CE473), N($AK$57:$AK$66&gt;$AI473))
) / 1000</f>
        <v>0</v>
      </c>
      <c r="CK473" s="250">
        <f t="shared" si="562"/>
        <v>20</v>
      </c>
      <c r="CL473" s="237">
        <f t="shared" si="548"/>
        <v>33</v>
      </c>
      <c r="CM473" s="253">
        <f t="shared" si="549"/>
        <v>4.8487499999999999</v>
      </c>
      <c r="CN473" s="253" cm="1">
        <f t="array" ref="CN473">$BC473 * IF($AD473&lt;=2,
SUMPRODUCT(INDEX($AL$62:$AN$66,,$AE473), INDEX($AO$62:$AU$66,,$AD473), 1 / ($AV$62:$AV$66*CM473 + (1-$AV$62:$AV$66)*CI473), N($AK$62:$AK$66&gt;$AI473)),
SUMPRODUCT(INDEX($AL$47:$AN$56,,$AE473), INDEX($AO$47:$AU$56,,$AD473), 1 / ($AW$47:$AW$56*CM473 + (1-$AW$47:$AW$56)*CI473), N($AK$47:$AK$56&gt;$AI473))
) / 1000</f>
        <v>0</v>
      </c>
      <c r="CO473" s="253" cm="1">
        <f t="array" ref="CO473">$BC473 * IF($AD473&lt;=2,
SUMPRODUCT(INDEX($AL$23:$AN$61,,$AE473), INDEX($AO$23:$AU$61,,$AD473), 1 / ($AV$23:$AV$61*CM473), N($AK$23:$AK$61&gt;$AI473)),
SUMPRODUCT(INDEX($AL$23:$AN$46,,$AE473), INDEX($AO$23:$AU$46,,$AD473), 1 / ($AW$23:$AW$46*CM473), N($AK$23:$AK$46&gt;$AI473))
) / 1000</f>
        <v>0</v>
      </c>
      <c r="CP473" s="237">
        <f t="shared" si="550"/>
        <v>0</v>
      </c>
      <c r="CQ473" s="210"/>
    </row>
    <row r="474" spans="1:95" s="76" customFormat="1" ht="14.25" customHeight="1" x14ac:dyDescent="0.2">
      <c r="A474" s="238" t="b">
        <f t="shared" si="554"/>
        <v>0</v>
      </c>
      <c r="B474" s="239">
        <v>452</v>
      </c>
      <c r="C474" s="258"/>
      <c r="D474" s="258"/>
      <c r="E474" s="240"/>
      <c r="F474" s="241" t="str">
        <f>IF(ISBLANK(E474), "", VLOOKUP(E474, Z!$A$2:$C$4127, 3, FALSE))</f>
        <v/>
      </c>
      <c r="G474" s="242"/>
      <c r="H474" s="242"/>
      <c r="I474" s="243"/>
      <c r="J474" s="244"/>
      <c r="K474" s="259"/>
      <c r="L474" s="260"/>
      <c r="M474" s="247" t="str" cm="1">
        <f t="array" ref="M474">IF($K474&gt;0, INDEX(Clean,1+AG474,$C$1), "")</f>
        <v/>
      </c>
      <c r="N474" s="245"/>
      <c r="O474" s="245"/>
      <c r="P474" s="246"/>
      <c r="Q474" s="248">
        <f t="shared" si="527"/>
        <v>0</v>
      </c>
      <c r="R474" s="247" t="str" cm="1">
        <f t="array" ref="R474">IF($K474&gt;0, INDEX(Clean,1+AH474,$C$1), "")</f>
        <v/>
      </c>
      <c r="S474" s="245"/>
      <c r="T474" s="245"/>
      <c r="U474" s="246"/>
      <c r="V474" s="248">
        <f t="shared" si="528"/>
        <v>0</v>
      </c>
      <c r="W474" s="261"/>
      <c r="X474" s="258"/>
      <c r="Y474" s="240"/>
      <c r="Z474" s="241" t="str">
        <f>IF(ISBLANK(Y474), "", VLOOKUP(Y474, Z!$A$2:$C$4127, 3, FALSE))</f>
        <v/>
      </c>
      <c r="AA474" s="262"/>
      <c r="AB474" s="249">
        <f t="shared" si="563"/>
        <v>0</v>
      </c>
      <c r="AC474" s="210"/>
      <c r="AD474" s="236">
        <f t="shared" si="551"/>
        <v>1</v>
      </c>
      <c r="AE474" s="236">
        <f t="shared" si="552"/>
        <v>1</v>
      </c>
      <c r="AF474" s="236">
        <f t="shared" si="553"/>
        <v>0</v>
      </c>
      <c r="AG474" s="236">
        <v>1</v>
      </c>
      <c r="AH474" s="236">
        <v>0</v>
      </c>
      <c r="AI474" s="236">
        <f t="shared" si="529"/>
        <v>-100</v>
      </c>
      <c r="AJ474" s="210"/>
      <c r="AK474" s="254"/>
      <c r="AL474" s="254"/>
      <c r="AM474" s="255"/>
      <c r="AN474" s="255"/>
      <c r="AO474" s="255"/>
      <c r="AP474" s="255"/>
      <c r="AQ474" s="255"/>
      <c r="AR474" s="255"/>
      <c r="AS474" s="255"/>
      <c r="AT474" s="255"/>
      <c r="AU474" s="255"/>
      <c r="AV474" s="255"/>
      <c r="AW474" s="255"/>
      <c r="AX474" s="210"/>
      <c r="AY474" s="236" cm="1">
        <f t="array" ref="AY474">INDEX(Use, $AD474, 4)</f>
        <v>7</v>
      </c>
      <c r="AZ474" s="236">
        <f t="shared" si="530"/>
        <v>32</v>
      </c>
      <c r="BA474" s="236">
        <f t="shared" si="555"/>
        <v>13</v>
      </c>
      <c r="BB474" s="236">
        <f t="shared" si="556"/>
        <v>0</v>
      </c>
      <c r="BC474" s="252" cm="1">
        <f t="array" ref="BC474">K474/IF($L474&gt;0, INDEX($AO$23:$AU$77, $L474+20, $AD474), 1)</f>
        <v>0</v>
      </c>
      <c r="BD474" s="237">
        <f t="shared" si="531"/>
        <v>0</v>
      </c>
      <c r="BE474" s="236">
        <v>35</v>
      </c>
      <c r="BF474" s="237">
        <f t="shared" si="532"/>
        <v>52.55</v>
      </c>
      <c r="BG474" s="253">
        <f t="shared" si="533"/>
        <v>2.7676728869374316</v>
      </c>
      <c r="BH474" s="253" cm="1">
        <f t="array" ref="BH474">$BC474 * SUMPRODUCT(INDEX($AL$77:$AN$82,,$AE474),INDEX($AO$77:$AU$82,,$AD474), N($AK$77:$AK$82&gt;$AI474)) / BG474 / 1000</f>
        <v>0</v>
      </c>
      <c r="BI474" s="250">
        <f t="shared" si="557"/>
        <v>30</v>
      </c>
      <c r="BJ474" s="237">
        <f t="shared" si="534"/>
        <v>46.033333333333331</v>
      </c>
      <c r="BK474" s="253">
        <f t="shared" si="535"/>
        <v>3.2297395388556791</v>
      </c>
      <c r="BL474" s="253" cm="1">
        <f t="array" ref="BL474">$BC474 * IF($AD474&lt;=2,
SUMPRODUCT(INDEX($AL$72:$AN$76,,$AE474), INDEX($AO$72:$AU$76,,$AD474), 1 / ($AV$72:$AV$76*BK474 + (1-$AV$72:$AV$76)*BG474), N($AK$72:$AK$76&gt;$AI474)),
SUMPRODUCT(INDEX($AL$67:$AN$76,,$AE474), INDEX($AO$67:$AU$76,,$AD474), 1 / ($AW$67:$AW$76*BK474 + (1-$AW$67:$AW$76)*BG474), N($AK$67:$AK$76&gt;$AI474))
) / 1000</f>
        <v>0</v>
      </c>
      <c r="BM474" s="250">
        <f t="shared" si="558"/>
        <v>25</v>
      </c>
      <c r="BN474" s="237">
        <f t="shared" si="536"/>
        <v>39.516666666666666</v>
      </c>
      <c r="BO474" s="253">
        <f t="shared" si="537"/>
        <v>3.877011788826243</v>
      </c>
      <c r="BP474" s="253" cm="1">
        <f t="array" ref="BP474">$BC474 * IF($AD474&lt;=2,
SUMPRODUCT(INDEX($AL$67:$AN$71,,$AE474), INDEX($AO$67:$AU$71,,$AD474), 1 / ($AV$67:$AV$71*BO474 + (1-$AV$67:$AV$71)*BK474), N($AK$67:$AK$71&gt;$AI474)),
SUMPRODUCT(INDEX($AL$57:$AN$66,,$AE474), INDEX($AO$57:$AU$66,,$AD474), 1 / ($AW$57:$AW$66*BO474 + (1-$AW$57:$AW$66)*BK474), N($AK$57:$AK$66&gt;$AI474))
) / 1000</f>
        <v>0</v>
      </c>
      <c r="BQ474" s="250">
        <f t="shared" si="559"/>
        <v>20</v>
      </c>
      <c r="BR474" s="237">
        <f t="shared" si="538"/>
        <v>33</v>
      </c>
      <c r="BS474" s="253">
        <f t="shared" si="539"/>
        <v>4.8487499999999999</v>
      </c>
      <c r="BT474" s="253" cm="1">
        <f t="array" ref="BT474">$BC474 * IF($AD474&lt;=2,
SUMPRODUCT(INDEX($AL$62:$AN$66,,$AE474), INDEX($AO$62:$AU$66,,$AD474), 1 / ($AV$62:$AV$66*BS474 + (1-$AV$62:$AV$66)*BO474), N($AK$62:$AK$66&gt;$AI474)),
SUMPRODUCT(INDEX($AL$47:$AN$56,,$AE474), INDEX($AO$47:$AU$56,,$AD474), 1 / ($AW$47:$AW$56*BS474 + (1-$AW$47:$AW$56)*BO474), N($AK$47:$AK$56&gt;$AI474))
) / 1000</f>
        <v>0</v>
      </c>
      <c r="BU474" s="253" cm="1">
        <f t="array" ref="BU474">$BC474 * IF($AD474&lt;=2,
SUMPRODUCT(INDEX($AL$23:$AN$61,,$AE474), INDEX($AO$23:$AU$61,,$AD474), 1 / ($AV$23:$AV$61*BS474), N($AK$23:$AK$61&gt;$AI474)),
SUMPRODUCT(INDEX($AL$23:$AN$46,,$AE474), INDEX($AO$23:$AU$46,,$AD474), 1 / ($AW$23:$AW$46*BS474), N($AK$23:$AK$46&gt;$AI474))
) / 1000</f>
        <v>0</v>
      </c>
      <c r="BV474" s="237">
        <f t="shared" si="540"/>
        <v>0</v>
      </c>
      <c r="BW474" s="210"/>
      <c r="BX474" s="237">
        <f t="shared" si="541"/>
        <v>0</v>
      </c>
      <c r="BY474" s="236">
        <v>35</v>
      </c>
      <c r="BZ474" s="237">
        <f t="shared" si="542"/>
        <v>48</v>
      </c>
      <c r="CA474" s="253">
        <f t="shared" si="543"/>
        <v>3.0748170731707316</v>
      </c>
      <c r="CB474" s="253" cm="1">
        <f t="array" ref="CB474">$BC474 * SUMPRODUCT(INDEX($AL$77:$AN$82,,$AE474),INDEX($AO$77:$AU$82,,$AD474), N($AK$77:$AK$82&gt;$AI474)) / CA474 / 1000</f>
        <v>0</v>
      </c>
      <c r="CC474" s="250">
        <f t="shared" si="560"/>
        <v>30</v>
      </c>
      <c r="CD474" s="237">
        <f t="shared" si="544"/>
        <v>43</v>
      </c>
      <c r="CE474" s="253">
        <f t="shared" si="545"/>
        <v>3.5018750000000001</v>
      </c>
      <c r="CF474" s="253" cm="1">
        <f t="array" ref="CF474">$BC474 * IF($AD474&lt;=2,
SUMPRODUCT(INDEX($AL$72:$AN$76,,$AE474), INDEX($AO$72:$AU$76,,$AD474), 1 / ($AV$72:$AV$76*CE474 + (1-$AV$72:$AV$76)*CA474), N($AK$72:$AK$76&gt;$AI474)),
SUMPRODUCT(INDEX($AL$67:$AN$76,,$AE474), INDEX($AO$67:$AU$76,,$AD474), 1 / ($AW$67:$AW$76*CE474 + (1-$AW$67:$AW$76)*CA474), N($AK$67:$AK$76&gt;$AI474))
) / 1000</f>
        <v>0</v>
      </c>
      <c r="CG474" s="250">
        <f t="shared" si="561"/>
        <v>25</v>
      </c>
      <c r="CH474" s="237">
        <f t="shared" si="546"/>
        <v>38</v>
      </c>
      <c r="CI474" s="253">
        <f t="shared" si="547"/>
        <v>4.0666935483870965</v>
      </c>
      <c r="CJ474" s="253" cm="1">
        <f t="array" ref="CJ474">$BC474 * IF($AD474&lt;=2,
SUMPRODUCT(INDEX($AL$67:$AN$71,,$AE474), INDEX($AO$67:$AU$71,,$AD474), 1 / ($AV$67:$AV$71*CI474 + (1-$AV$67:$AV$71)*CE474), N($AK$67:$AK$71&gt;$AI474)),
SUMPRODUCT(INDEX($AL$57:$AN$66,,$AE474), INDEX($AO$57:$AU$66,,$AD474), 1 / ($AW$57:$AW$66*CI474 + (1-$AW$57:$AW$66)*CE474), N($AK$57:$AK$66&gt;$AI474))
) / 1000</f>
        <v>0</v>
      </c>
      <c r="CK474" s="250">
        <f t="shared" si="562"/>
        <v>20</v>
      </c>
      <c r="CL474" s="237">
        <f t="shared" si="548"/>
        <v>33</v>
      </c>
      <c r="CM474" s="253">
        <f t="shared" si="549"/>
        <v>4.8487499999999999</v>
      </c>
      <c r="CN474" s="253" cm="1">
        <f t="array" ref="CN474">$BC474 * IF($AD474&lt;=2,
SUMPRODUCT(INDEX($AL$62:$AN$66,,$AE474), INDEX($AO$62:$AU$66,,$AD474), 1 / ($AV$62:$AV$66*CM474 + (1-$AV$62:$AV$66)*CI474), N($AK$62:$AK$66&gt;$AI474)),
SUMPRODUCT(INDEX($AL$47:$AN$56,,$AE474), INDEX($AO$47:$AU$56,,$AD474), 1 / ($AW$47:$AW$56*CM474 + (1-$AW$47:$AW$56)*CI474), N($AK$47:$AK$56&gt;$AI474))
) / 1000</f>
        <v>0</v>
      </c>
      <c r="CO474" s="253" cm="1">
        <f t="array" ref="CO474">$BC474 * IF($AD474&lt;=2,
SUMPRODUCT(INDEX($AL$23:$AN$61,,$AE474), INDEX($AO$23:$AU$61,,$AD474), 1 / ($AV$23:$AV$61*CM474), N($AK$23:$AK$61&gt;$AI474)),
SUMPRODUCT(INDEX($AL$23:$AN$46,,$AE474), INDEX($AO$23:$AU$46,,$AD474), 1 / ($AW$23:$AW$46*CM474), N($AK$23:$AK$46&gt;$AI474))
) / 1000</f>
        <v>0</v>
      </c>
      <c r="CP474" s="237">
        <f t="shared" si="550"/>
        <v>0</v>
      </c>
      <c r="CQ474" s="210"/>
    </row>
    <row r="475" spans="1:95" s="76" customFormat="1" ht="14.25" customHeight="1" x14ac:dyDescent="0.2">
      <c r="A475" s="238" t="b">
        <f t="shared" si="554"/>
        <v>0</v>
      </c>
      <c r="B475" s="239">
        <v>453</v>
      </c>
      <c r="C475" s="258"/>
      <c r="D475" s="258"/>
      <c r="E475" s="240"/>
      <c r="F475" s="241" t="str">
        <f>IF(ISBLANK(E475), "", VLOOKUP(E475, Z!$A$2:$C$4127, 3, FALSE))</f>
        <v/>
      </c>
      <c r="G475" s="242"/>
      <c r="H475" s="242"/>
      <c r="I475" s="243"/>
      <c r="J475" s="244"/>
      <c r="K475" s="259"/>
      <c r="L475" s="260"/>
      <c r="M475" s="247" t="str" cm="1">
        <f t="array" ref="M475">IF($K475&gt;0, INDEX(Clean,1+AG475,$C$1), "")</f>
        <v/>
      </c>
      <c r="N475" s="245"/>
      <c r="O475" s="245"/>
      <c r="P475" s="246"/>
      <c r="Q475" s="248">
        <f t="shared" si="527"/>
        <v>0</v>
      </c>
      <c r="R475" s="247" t="str" cm="1">
        <f t="array" ref="R475">IF($K475&gt;0, INDEX(Clean,1+AH475,$C$1), "")</f>
        <v/>
      </c>
      <c r="S475" s="245"/>
      <c r="T475" s="245"/>
      <c r="U475" s="246"/>
      <c r="V475" s="248">
        <f t="shared" si="528"/>
        <v>0</v>
      </c>
      <c r="W475" s="261"/>
      <c r="X475" s="258"/>
      <c r="Y475" s="240"/>
      <c r="Z475" s="241" t="str">
        <f>IF(ISBLANK(Y475), "", VLOOKUP(Y475, Z!$A$2:$C$4127, 3, FALSE))</f>
        <v/>
      </c>
      <c r="AA475" s="262"/>
      <c r="AB475" s="249">
        <f t="shared" si="563"/>
        <v>0</v>
      </c>
      <c r="AC475" s="210"/>
      <c r="AD475" s="236">
        <f t="shared" si="551"/>
        <v>1</v>
      </c>
      <c r="AE475" s="236">
        <f t="shared" si="552"/>
        <v>1</v>
      </c>
      <c r="AF475" s="236">
        <f t="shared" si="553"/>
        <v>0</v>
      </c>
      <c r="AG475" s="236">
        <v>1</v>
      </c>
      <c r="AH475" s="236">
        <v>0</v>
      </c>
      <c r="AI475" s="236">
        <f t="shared" si="529"/>
        <v>-100</v>
      </c>
      <c r="AJ475" s="210"/>
      <c r="AK475" s="254"/>
      <c r="AL475" s="254"/>
      <c r="AM475" s="255"/>
      <c r="AN475" s="255"/>
      <c r="AO475" s="255"/>
      <c r="AP475" s="255"/>
      <c r="AQ475" s="255"/>
      <c r="AR475" s="255"/>
      <c r="AS475" s="255"/>
      <c r="AT475" s="255"/>
      <c r="AU475" s="255"/>
      <c r="AV475" s="255"/>
      <c r="AW475" s="255"/>
      <c r="AX475" s="210"/>
      <c r="AY475" s="236" cm="1">
        <f t="array" ref="AY475">INDEX(Use, $AD475, 4)</f>
        <v>7</v>
      </c>
      <c r="AZ475" s="236">
        <f t="shared" si="530"/>
        <v>32</v>
      </c>
      <c r="BA475" s="236">
        <f t="shared" si="555"/>
        <v>13</v>
      </c>
      <c r="BB475" s="236">
        <f t="shared" si="556"/>
        <v>0</v>
      </c>
      <c r="BC475" s="252" cm="1">
        <f t="array" ref="BC475">K475/IF($L475&gt;0, INDEX($AO$23:$AU$77, $L475+20, $AD475), 1)</f>
        <v>0</v>
      </c>
      <c r="BD475" s="237">
        <f t="shared" si="531"/>
        <v>0</v>
      </c>
      <c r="BE475" s="236">
        <v>35</v>
      </c>
      <c r="BF475" s="237">
        <f t="shared" si="532"/>
        <v>52.55</v>
      </c>
      <c r="BG475" s="253">
        <f t="shared" si="533"/>
        <v>2.7676728869374316</v>
      </c>
      <c r="BH475" s="253" cm="1">
        <f t="array" ref="BH475">$BC475 * SUMPRODUCT(INDEX($AL$77:$AN$82,,$AE475),INDEX($AO$77:$AU$82,,$AD475), N($AK$77:$AK$82&gt;$AI475)) / BG475 / 1000</f>
        <v>0</v>
      </c>
      <c r="BI475" s="250">
        <f t="shared" si="557"/>
        <v>30</v>
      </c>
      <c r="BJ475" s="237">
        <f t="shared" si="534"/>
        <v>46.033333333333331</v>
      </c>
      <c r="BK475" s="253">
        <f t="shared" si="535"/>
        <v>3.2297395388556791</v>
      </c>
      <c r="BL475" s="253" cm="1">
        <f t="array" ref="BL475">$BC475 * IF($AD475&lt;=2,
SUMPRODUCT(INDEX($AL$72:$AN$76,,$AE475), INDEX($AO$72:$AU$76,,$AD475), 1 / ($AV$72:$AV$76*BK475 + (1-$AV$72:$AV$76)*BG475), N($AK$72:$AK$76&gt;$AI475)),
SUMPRODUCT(INDEX($AL$67:$AN$76,,$AE475), INDEX($AO$67:$AU$76,,$AD475), 1 / ($AW$67:$AW$76*BK475 + (1-$AW$67:$AW$76)*BG475), N($AK$67:$AK$76&gt;$AI475))
) / 1000</f>
        <v>0</v>
      </c>
      <c r="BM475" s="250">
        <f t="shared" si="558"/>
        <v>25</v>
      </c>
      <c r="BN475" s="237">
        <f t="shared" si="536"/>
        <v>39.516666666666666</v>
      </c>
      <c r="BO475" s="253">
        <f t="shared" si="537"/>
        <v>3.877011788826243</v>
      </c>
      <c r="BP475" s="253" cm="1">
        <f t="array" ref="BP475">$BC475 * IF($AD475&lt;=2,
SUMPRODUCT(INDEX($AL$67:$AN$71,,$AE475), INDEX($AO$67:$AU$71,,$AD475), 1 / ($AV$67:$AV$71*BO475 + (1-$AV$67:$AV$71)*BK475), N($AK$67:$AK$71&gt;$AI475)),
SUMPRODUCT(INDEX($AL$57:$AN$66,,$AE475), INDEX($AO$57:$AU$66,,$AD475), 1 / ($AW$57:$AW$66*BO475 + (1-$AW$57:$AW$66)*BK475), N($AK$57:$AK$66&gt;$AI475))
) / 1000</f>
        <v>0</v>
      </c>
      <c r="BQ475" s="250">
        <f t="shared" si="559"/>
        <v>20</v>
      </c>
      <c r="BR475" s="237">
        <f t="shared" si="538"/>
        <v>33</v>
      </c>
      <c r="BS475" s="253">
        <f t="shared" si="539"/>
        <v>4.8487499999999999</v>
      </c>
      <c r="BT475" s="253" cm="1">
        <f t="array" ref="BT475">$BC475 * IF($AD475&lt;=2,
SUMPRODUCT(INDEX($AL$62:$AN$66,,$AE475), INDEX($AO$62:$AU$66,,$AD475), 1 / ($AV$62:$AV$66*BS475 + (1-$AV$62:$AV$66)*BO475), N($AK$62:$AK$66&gt;$AI475)),
SUMPRODUCT(INDEX($AL$47:$AN$56,,$AE475), INDEX($AO$47:$AU$56,,$AD475), 1 / ($AW$47:$AW$56*BS475 + (1-$AW$47:$AW$56)*BO475), N($AK$47:$AK$56&gt;$AI475))
) / 1000</f>
        <v>0</v>
      </c>
      <c r="BU475" s="253" cm="1">
        <f t="array" ref="BU475">$BC475 * IF($AD475&lt;=2,
SUMPRODUCT(INDEX($AL$23:$AN$61,,$AE475), INDEX($AO$23:$AU$61,,$AD475), 1 / ($AV$23:$AV$61*BS475), N($AK$23:$AK$61&gt;$AI475)),
SUMPRODUCT(INDEX($AL$23:$AN$46,,$AE475), INDEX($AO$23:$AU$46,,$AD475), 1 / ($AW$23:$AW$46*BS475), N($AK$23:$AK$46&gt;$AI475))
) / 1000</f>
        <v>0</v>
      </c>
      <c r="BV475" s="237">
        <f t="shared" si="540"/>
        <v>0</v>
      </c>
      <c r="BW475" s="210"/>
      <c r="BX475" s="237">
        <f t="shared" si="541"/>
        <v>0</v>
      </c>
      <c r="BY475" s="236">
        <v>35</v>
      </c>
      <c r="BZ475" s="237">
        <f t="shared" si="542"/>
        <v>48</v>
      </c>
      <c r="CA475" s="253">
        <f t="shared" si="543"/>
        <v>3.0748170731707316</v>
      </c>
      <c r="CB475" s="253" cm="1">
        <f t="array" ref="CB475">$BC475 * SUMPRODUCT(INDEX($AL$77:$AN$82,,$AE475),INDEX($AO$77:$AU$82,,$AD475), N($AK$77:$AK$82&gt;$AI475)) / CA475 / 1000</f>
        <v>0</v>
      </c>
      <c r="CC475" s="250">
        <f t="shared" si="560"/>
        <v>30</v>
      </c>
      <c r="CD475" s="237">
        <f t="shared" si="544"/>
        <v>43</v>
      </c>
      <c r="CE475" s="253">
        <f t="shared" si="545"/>
        <v>3.5018750000000001</v>
      </c>
      <c r="CF475" s="253" cm="1">
        <f t="array" ref="CF475">$BC475 * IF($AD475&lt;=2,
SUMPRODUCT(INDEX($AL$72:$AN$76,,$AE475), INDEX($AO$72:$AU$76,,$AD475), 1 / ($AV$72:$AV$76*CE475 + (1-$AV$72:$AV$76)*CA475), N($AK$72:$AK$76&gt;$AI475)),
SUMPRODUCT(INDEX($AL$67:$AN$76,,$AE475), INDEX($AO$67:$AU$76,,$AD475), 1 / ($AW$67:$AW$76*CE475 + (1-$AW$67:$AW$76)*CA475), N($AK$67:$AK$76&gt;$AI475))
) / 1000</f>
        <v>0</v>
      </c>
      <c r="CG475" s="250">
        <f t="shared" si="561"/>
        <v>25</v>
      </c>
      <c r="CH475" s="237">
        <f t="shared" si="546"/>
        <v>38</v>
      </c>
      <c r="CI475" s="253">
        <f t="shared" si="547"/>
        <v>4.0666935483870965</v>
      </c>
      <c r="CJ475" s="253" cm="1">
        <f t="array" ref="CJ475">$BC475 * IF($AD475&lt;=2,
SUMPRODUCT(INDEX($AL$67:$AN$71,,$AE475), INDEX($AO$67:$AU$71,,$AD475), 1 / ($AV$67:$AV$71*CI475 + (1-$AV$67:$AV$71)*CE475), N($AK$67:$AK$71&gt;$AI475)),
SUMPRODUCT(INDEX($AL$57:$AN$66,,$AE475), INDEX($AO$57:$AU$66,,$AD475), 1 / ($AW$57:$AW$66*CI475 + (1-$AW$57:$AW$66)*CE475), N($AK$57:$AK$66&gt;$AI475))
) / 1000</f>
        <v>0</v>
      </c>
      <c r="CK475" s="250">
        <f t="shared" si="562"/>
        <v>20</v>
      </c>
      <c r="CL475" s="237">
        <f t="shared" si="548"/>
        <v>33</v>
      </c>
      <c r="CM475" s="253">
        <f t="shared" si="549"/>
        <v>4.8487499999999999</v>
      </c>
      <c r="CN475" s="253" cm="1">
        <f t="array" ref="CN475">$BC475 * IF($AD475&lt;=2,
SUMPRODUCT(INDEX($AL$62:$AN$66,,$AE475), INDEX($AO$62:$AU$66,,$AD475), 1 / ($AV$62:$AV$66*CM475 + (1-$AV$62:$AV$66)*CI475), N($AK$62:$AK$66&gt;$AI475)),
SUMPRODUCT(INDEX($AL$47:$AN$56,,$AE475), INDEX($AO$47:$AU$56,,$AD475), 1 / ($AW$47:$AW$56*CM475 + (1-$AW$47:$AW$56)*CI475), N($AK$47:$AK$56&gt;$AI475))
) / 1000</f>
        <v>0</v>
      </c>
      <c r="CO475" s="253" cm="1">
        <f t="array" ref="CO475">$BC475 * IF($AD475&lt;=2,
SUMPRODUCT(INDEX($AL$23:$AN$61,,$AE475), INDEX($AO$23:$AU$61,,$AD475), 1 / ($AV$23:$AV$61*CM475), N($AK$23:$AK$61&gt;$AI475)),
SUMPRODUCT(INDEX($AL$23:$AN$46,,$AE475), INDEX($AO$23:$AU$46,,$AD475), 1 / ($AW$23:$AW$46*CM475), N($AK$23:$AK$46&gt;$AI475))
) / 1000</f>
        <v>0</v>
      </c>
      <c r="CP475" s="237">
        <f t="shared" si="550"/>
        <v>0</v>
      </c>
      <c r="CQ475" s="210"/>
    </row>
    <row r="476" spans="1:95" s="76" customFormat="1" ht="14.25" customHeight="1" x14ac:dyDescent="0.2">
      <c r="A476" s="238" t="b">
        <f t="shared" si="554"/>
        <v>0</v>
      </c>
      <c r="B476" s="239">
        <v>454</v>
      </c>
      <c r="C476" s="258"/>
      <c r="D476" s="258"/>
      <c r="E476" s="240"/>
      <c r="F476" s="241" t="str">
        <f>IF(ISBLANK(E476), "", VLOOKUP(E476, Z!$A$2:$C$4127, 3, FALSE))</f>
        <v/>
      </c>
      <c r="G476" s="242"/>
      <c r="H476" s="242"/>
      <c r="I476" s="243"/>
      <c r="J476" s="244"/>
      <c r="K476" s="259"/>
      <c r="L476" s="260"/>
      <c r="M476" s="247" t="str" cm="1">
        <f t="array" ref="M476">IF($K476&gt;0, INDEX(Clean,1+AG476,$C$1), "")</f>
        <v/>
      </c>
      <c r="N476" s="245"/>
      <c r="O476" s="245"/>
      <c r="P476" s="246"/>
      <c r="Q476" s="248">
        <f t="shared" si="527"/>
        <v>0</v>
      </c>
      <c r="R476" s="247" t="str" cm="1">
        <f t="array" ref="R476">IF($K476&gt;0, INDEX(Clean,1+AH476,$C$1), "")</f>
        <v/>
      </c>
      <c r="S476" s="245"/>
      <c r="T476" s="245"/>
      <c r="U476" s="246"/>
      <c r="V476" s="248">
        <f t="shared" si="528"/>
        <v>0</v>
      </c>
      <c r="W476" s="261"/>
      <c r="X476" s="258"/>
      <c r="Y476" s="240"/>
      <c r="Z476" s="241" t="str">
        <f>IF(ISBLANK(Y476), "", VLOOKUP(Y476, Z!$A$2:$C$4127, 3, FALSE))</f>
        <v/>
      </c>
      <c r="AA476" s="262"/>
      <c r="AB476" s="249">
        <f t="shared" si="563"/>
        <v>0</v>
      </c>
      <c r="AC476" s="210"/>
      <c r="AD476" s="236">
        <f t="shared" si="551"/>
        <v>1</v>
      </c>
      <c r="AE476" s="236">
        <f t="shared" si="552"/>
        <v>1</v>
      </c>
      <c r="AF476" s="236">
        <f t="shared" si="553"/>
        <v>0</v>
      </c>
      <c r="AG476" s="236">
        <v>1</v>
      </c>
      <c r="AH476" s="236">
        <v>0</v>
      </c>
      <c r="AI476" s="236">
        <f t="shared" si="529"/>
        <v>-100</v>
      </c>
      <c r="AJ476" s="210"/>
      <c r="AK476" s="254"/>
      <c r="AL476" s="254"/>
      <c r="AM476" s="255"/>
      <c r="AN476" s="255"/>
      <c r="AO476" s="255"/>
      <c r="AP476" s="255"/>
      <c r="AQ476" s="255"/>
      <c r="AR476" s="255"/>
      <c r="AS476" s="255"/>
      <c r="AT476" s="255"/>
      <c r="AU476" s="255"/>
      <c r="AV476" s="255"/>
      <c r="AW476" s="255"/>
      <c r="AX476" s="210"/>
      <c r="AY476" s="236" cm="1">
        <f t="array" ref="AY476">INDEX(Use, $AD476, 4)</f>
        <v>7</v>
      </c>
      <c r="AZ476" s="236">
        <f t="shared" si="530"/>
        <v>32</v>
      </c>
      <c r="BA476" s="236">
        <f t="shared" si="555"/>
        <v>13</v>
      </c>
      <c r="BB476" s="236">
        <f t="shared" si="556"/>
        <v>0</v>
      </c>
      <c r="BC476" s="252" cm="1">
        <f t="array" ref="BC476">K476/IF($L476&gt;0, INDEX($AO$23:$AU$77, $L476+20, $AD476), 1)</f>
        <v>0</v>
      </c>
      <c r="BD476" s="237">
        <f t="shared" si="531"/>
        <v>0</v>
      </c>
      <c r="BE476" s="236">
        <v>35</v>
      </c>
      <c r="BF476" s="237">
        <f t="shared" si="532"/>
        <v>52.55</v>
      </c>
      <c r="BG476" s="253">
        <f t="shared" si="533"/>
        <v>2.7676728869374316</v>
      </c>
      <c r="BH476" s="253" cm="1">
        <f t="array" ref="BH476">$BC476 * SUMPRODUCT(INDEX($AL$77:$AN$82,,$AE476),INDEX($AO$77:$AU$82,,$AD476), N($AK$77:$AK$82&gt;$AI476)) / BG476 / 1000</f>
        <v>0</v>
      </c>
      <c r="BI476" s="250">
        <f t="shared" si="557"/>
        <v>30</v>
      </c>
      <c r="BJ476" s="237">
        <f t="shared" si="534"/>
        <v>46.033333333333331</v>
      </c>
      <c r="BK476" s="253">
        <f t="shared" si="535"/>
        <v>3.2297395388556791</v>
      </c>
      <c r="BL476" s="253" cm="1">
        <f t="array" ref="BL476">$BC476 * IF($AD476&lt;=2,
SUMPRODUCT(INDEX($AL$72:$AN$76,,$AE476), INDEX($AO$72:$AU$76,,$AD476), 1 / ($AV$72:$AV$76*BK476 + (1-$AV$72:$AV$76)*BG476), N($AK$72:$AK$76&gt;$AI476)),
SUMPRODUCT(INDEX($AL$67:$AN$76,,$AE476), INDEX($AO$67:$AU$76,,$AD476), 1 / ($AW$67:$AW$76*BK476 + (1-$AW$67:$AW$76)*BG476), N($AK$67:$AK$76&gt;$AI476))
) / 1000</f>
        <v>0</v>
      </c>
      <c r="BM476" s="250">
        <f t="shared" si="558"/>
        <v>25</v>
      </c>
      <c r="BN476" s="237">
        <f t="shared" si="536"/>
        <v>39.516666666666666</v>
      </c>
      <c r="BO476" s="253">
        <f t="shared" si="537"/>
        <v>3.877011788826243</v>
      </c>
      <c r="BP476" s="253" cm="1">
        <f t="array" ref="BP476">$BC476 * IF($AD476&lt;=2,
SUMPRODUCT(INDEX($AL$67:$AN$71,,$AE476), INDEX($AO$67:$AU$71,,$AD476), 1 / ($AV$67:$AV$71*BO476 + (1-$AV$67:$AV$71)*BK476), N($AK$67:$AK$71&gt;$AI476)),
SUMPRODUCT(INDEX($AL$57:$AN$66,,$AE476), INDEX($AO$57:$AU$66,,$AD476), 1 / ($AW$57:$AW$66*BO476 + (1-$AW$57:$AW$66)*BK476), N($AK$57:$AK$66&gt;$AI476))
) / 1000</f>
        <v>0</v>
      </c>
      <c r="BQ476" s="250">
        <f t="shared" si="559"/>
        <v>20</v>
      </c>
      <c r="BR476" s="237">
        <f t="shared" si="538"/>
        <v>33</v>
      </c>
      <c r="BS476" s="253">
        <f t="shared" si="539"/>
        <v>4.8487499999999999</v>
      </c>
      <c r="BT476" s="253" cm="1">
        <f t="array" ref="BT476">$BC476 * IF($AD476&lt;=2,
SUMPRODUCT(INDEX($AL$62:$AN$66,,$AE476), INDEX($AO$62:$AU$66,,$AD476), 1 / ($AV$62:$AV$66*BS476 + (1-$AV$62:$AV$66)*BO476), N($AK$62:$AK$66&gt;$AI476)),
SUMPRODUCT(INDEX($AL$47:$AN$56,,$AE476), INDEX($AO$47:$AU$56,,$AD476), 1 / ($AW$47:$AW$56*BS476 + (1-$AW$47:$AW$56)*BO476), N($AK$47:$AK$56&gt;$AI476))
) / 1000</f>
        <v>0</v>
      </c>
      <c r="BU476" s="253" cm="1">
        <f t="array" ref="BU476">$BC476 * IF($AD476&lt;=2,
SUMPRODUCT(INDEX($AL$23:$AN$61,,$AE476), INDEX($AO$23:$AU$61,,$AD476), 1 / ($AV$23:$AV$61*BS476), N($AK$23:$AK$61&gt;$AI476)),
SUMPRODUCT(INDEX($AL$23:$AN$46,,$AE476), INDEX($AO$23:$AU$46,,$AD476), 1 / ($AW$23:$AW$46*BS476), N($AK$23:$AK$46&gt;$AI476))
) / 1000</f>
        <v>0</v>
      </c>
      <c r="BV476" s="237">
        <f t="shared" si="540"/>
        <v>0</v>
      </c>
      <c r="BW476" s="210"/>
      <c r="BX476" s="237">
        <f t="shared" si="541"/>
        <v>0</v>
      </c>
      <c r="BY476" s="236">
        <v>35</v>
      </c>
      <c r="BZ476" s="237">
        <f t="shared" si="542"/>
        <v>48</v>
      </c>
      <c r="CA476" s="253">
        <f t="shared" si="543"/>
        <v>3.0748170731707316</v>
      </c>
      <c r="CB476" s="253" cm="1">
        <f t="array" ref="CB476">$BC476 * SUMPRODUCT(INDEX($AL$77:$AN$82,,$AE476),INDEX($AO$77:$AU$82,,$AD476), N($AK$77:$AK$82&gt;$AI476)) / CA476 / 1000</f>
        <v>0</v>
      </c>
      <c r="CC476" s="250">
        <f t="shared" si="560"/>
        <v>30</v>
      </c>
      <c r="CD476" s="237">
        <f t="shared" si="544"/>
        <v>43</v>
      </c>
      <c r="CE476" s="253">
        <f t="shared" si="545"/>
        <v>3.5018750000000001</v>
      </c>
      <c r="CF476" s="253" cm="1">
        <f t="array" ref="CF476">$BC476 * IF($AD476&lt;=2,
SUMPRODUCT(INDEX($AL$72:$AN$76,,$AE476), INDEX($AO$72:$AU$76,,$AD476), 1 / ($AV$72:$AV$76*CE476 + (1-$AV$72:$AV$76)*CA476), N($AK$72:$AK$76&gt;$AI476)),
SUMPRODUCT(INDEX($AL$67:$AN$76,,$AE476), INDEX($AO$67:$AU$76,,$AD476), 1 / ($AW$67:$AW$76*CE476 + (1-$AW$67:$AW$76)*CA476), N($AK$67:$AK$76&gt;$AI476))
) / 1000</f>
        <v>0</v>
      </c>
      <c r="CG476" s="250">
        <f t="shared" si="561"/>
        <v>25</v>
      </c>
      <c r="CH476" s="237">
        <f t="shared" si="546"/>
        <v>38</v>
      </c>
      <c r="CI476" s="253">
        <f t="shared" si="547"/>
        <v>4.0666935483870965</v>
      </c>
      <c r="CJ476" s="253" cm="1">
        <f t="array" ref="CJ476">$BC476 * IF($AD476&lt;=2,
SUMPRODUCT(INDEX($AL$67:$AN$71,,$AE476), INDEX($AO$67:$AU$71,,$AD476), 1 / ($AV$67:$AV$71*CI476 + (1-$AV$67:$AV$71)*CE476), N($AK$67:$AK$71&gt;$AI476)),
SUMPRODUCT(INDEX($AL$57:$AN$66,,$AE476), INDEX($AO$57:$AU$66,,$AD476), 1 / ($AW$57:$AW$66*CI476 + (1-$AW$57:$AW$66)*CE476), N($AK$57:$AK$66&gt;$AI476))
) / 1000</f>
        <v>0</v>
      </c>
      <c r="CK476" s="250">
        <f t="shared" si="562"/>
        <v>20</v>
      </c>
      <c r="CL476" s="237">
        <f t="shared" si="548"/>
        <v>33</v>
      </c>
      <c r="CM476" s="253">
        <f t="shared" si="549"/>
        <v>4.8487499999999999</v>
      </c>
      <c r="CN476" s="253" cm="1">
        <f t="array" ref="CN476">$BC476 * IF($AD476&lt;=2,
SUMPRODUCT(INDEX($AL$62:$AN$66,,$AE476), INDEX($AO$62:$AU$66,,$AD476), 1 / ($AV$62:$AV$66*CM476 + (1-$AV$62:$AV$66)*CI476), N($AK$62:$AK$66&gt;$AI476)),
SUMPRODUCT(INDEX($AL$47:$AN$56,,$AE476), INDEX($AO$47:$AU$56,,$AD476), 1 / ($AW$47:$AW$56*CM476 + (1-$AW$47:$AW$56)*CI476), N($AK$47:$AK$56&gt;$AI476))
) / 1000</f>
        <v>0</v>
      </c>
      <c r="CO476" s="253" cm="1">
        <f t="array" ref="CO476">$BC476 * IF($AD476&lt;=2,
SUMPRODUCT(INDEX($AL$23:$AN$61,,$AE476), INDEX($AO$23:$AU$61,,$AD476), 1 / ($AV$23:$AV$61*CM476), N($AK$23:$AK$61&gt;$AI476)),
SUMPRODUCT(INDEX($AL$23:$AN$46,,$AE476), INDEX($AO$23:$AU$46,,$AD476), 1 / ($AW$23:$AW$46*CM476), N($AK$23:$AK$46&gt;$AI476))
) / 1000</f>
        <v>0</v>
      </c>
      <c r="CP476" s="237">
        <f t="shared" si="550"/>
        <v>0</v>
      </c>
      <c r="CQ476" s="210"/>
    </row>
    <row r="477" spans="1:95" s="76" customFormat="1" ht="14.25" customHeight="1" x14ac:dyDescent="0.2">
      <c r="A477" s="238" t="b">
        <f t="shared" si="554"/>
        <v>0</v>
      </c>
      <c r="B477" s="239">
        <v>455</v>
      </c>
      <c r="C477" s="258"/>
      <c r="D477" s="258"/>
      <c r="E477" s="240"/>
      <c r="F477" s="241" t="str">
        <f>IF(ISBLANK(E477), "", VLOOKUP(E477, Z!$A$2:$C$4127, 3, FALSE))</f>
        <v/>
      </c>
      <c r="G477" s="242"/>
      <c r="H477" s="242"/>
      <c r="I477" s="243"/>
      <c r="J477" s="244"/>
      <c r="K477" s="259"/>
      <c r="L477" s="260"/>
      <c r="M477" s="247" t="str" cm="1">
        <f t="array" ref="M477">IF($K477&gt;0, INDEX(Clean,1+AG477,$C$1), "")</f>
        <v/>
      </c>
      <c r="N477" s="245"/>
      <c r="O477" s="245"/>
      <c r="P477" s="246"/>
      <c r="Q477" s="248">
        <f t="shared" si="527"/>
        <v>0</v>
      </c>
      <c r="R477" s="247" t="str" cm="1">
        <f t="array" ref="R477">IF($K477&gt;0, INDEX(Clean,1+AH477,$C$1), "")</f>
        <v/>
      </c>
      <c r="S477" s="245"/>
      <c r="T477" s="245"/>
      <c r="U477" s="246"/>
      <c r="V477" s="248">
        <f t="shared" si="528"/>
        <v>0</v>
      </c>
      <c r="W477" s="261"/>
      <c r="X477" s="258"/>
      <c r="Y477" s="240"/>
      <c r="Z477" s="241" t="str">
        <f>IF(ISBLANK(Y477), "", VLOOKUP(Y477, Z!$A$2:$C$4127, 3, FALSE))</f>
        <v/>
      </c>
      <c r="AA477" s="262"/>
      <c r="AB477" s="249">
        <f t="shared" si="563"/>
        <v>0</v>
      </c>
      <c r="AC477" s="210"/>
      <c r="AD477" s="236">
        <f t="shared" si="551"/>
        <v>1</v>
      </c>
      <c r="AE477" s="236">
        <f t="shared" si="552"/>
        <v>1</v>
      </c>
      <c r="AF477" s="236">
        <f t="shared" si="553"/>
        <v>0</v>
      </c>
      <c r="AG477" s="236">
        <v>1</v>
      </c>
      <c r="AH477" s="236">
        <v>0</v>
      </c>
      <c r="AI477" s="236">
        <f t="shared" si="529"/>
        <v>-100</v>
      </c>
      <c r="AJ477" s="210"/>
      <c r="AK477" s="254"/>
      <c r="AL477" s="254"/>
      <c r="AM477" s="255"/>
      <c r="AN477" s="255"/>
      <c r="AO477" s="255"/>
      <c r="AP477" s="255"/>
      <c r="AQ477" s="255"/>
      <c r="AR477" s="255"/>
      <c r="AS477" s="255"/>
      <c r="AT477" s="255"/>
      <c r="AU477" s="255"/>
      <c r="AV477" s="255"/>
      <c r="AW477" s="255"/>
      <c r="AX477" s="210"/>
      <c r="AY477" s="236" cm="1">
        <f t="array" ref="AY477">INDEX(Use, $AD477, 4)</f>
        <v>7</v>
      </c>
      <c r="AZ477" s="236">
        <f t="shared" si="530"/>
        <v>32</v>
      </c>
      <c r="BA477" s="236">
        <f t="shared" si="555"/>
        <v>13</v>
      </c>
      <c r="BB477" s="236">
        <f t="shared" si="556"/>
        <v>0</v>
      </c>
      <c r="BC477" s="252" cm="1">
        <f t="array" ref="BC477">K477/IF($L477&gt;0, INDEX($AO$23:$AU$77, $L477+20, $AD477), 1)</f>
        <v>0</v>
      </c>
      <c r="BD477" s="237">
        <f t="shared" si="531"/>
        <v>0</v>
      </c>
      <c r="BE477" s="236">
        <v>35</v>
      </c>
      <c r="BF477" s="237">
        <f t="shared" si="532"/>
        <v>52.55</v>
      </c>
      <c r="BG477" s="253">
        <f t="shared" si="533"/>
        <v>2.7676728869374316</v>
      </c>
      <c r="BH477" s="253" cm="1">
        <f t="array" ref="BH477">$BC477 * SUMPRODUCT(INDEX($AL$77:$AN$82,,$AE477),INDEX($AO$77:$AU$82,,$AD477), N($AK$77:$AK$82&gt;$AI477)) / BG477 / 1000</f>
        <v>0</v>
      </c>
      <c r="BI477" s="250">
        <f t="shared" si="557"/>
        <v>30</v>
      </c>
      <c r="BJ477" s="237">
        <f t="shared" si="534"/>
        <v>46.033333333333331</v>
      </c>
      <c r="BK477" s="253">
        <f t="shared" si="535"/>
        <v>3.2297395388556791</v>
      </c>
      <c r="BL477" s="253" cm="1">
        <f t="array" ref="BL477">$BC477 * IF($AD477&lt;=2,
SUMPRODUCT(INDEX($AL$72:$AN$76,,$AE477), INDEX($AO$72:$AU$76,,$AD477), 1 / ($AV$72:$AV$76*BK477 + (1-$AV$72:$AV$76)*BG477), N($AK$72:$AK$76&gt;$AI477)),
SUMPRODUCT(INDEX($AL$67:$AN$76,,$AE477), INDEX($AO$67:$AU$76,,$AD477), 1 / ($AW$67:$AW$76*BK477 + (1-$AW$67:$AW$76)*BG477), N($AK$67:$AK$76&gt;$AI477))
) / 1000</f>
        <v>0</v>
      </c>
      <c r="BM477" s="250">
        <f t="shared" si="558"/>
        <v>25</v>
      </c>
      <c r="BN477" s="237">
        <f t="shared" si="536"/>
        <v>39.516666666666666</v>
      </c>
      <c r="BO477" s="253">
        <f t="shared" si="537"/>
        <v>3.877011788826243</v>
      </c>
      <c r="BP477" s="253" cm="1">
        <f t="array" ref="BP477">$BC477 * IF($AD477&lt;=2,
SUMPRODUCT(INDEX($AL$67:$AN$71,,$AE477), INDEX($AO$67:$AU$71,,$AD477), 1 / ($AV$67:$AV$71*BO477 + (1-$AV$67:$AV$71)*BK477), N($AK$67:$AK$71&gt;$AI477)),
SUMPRODUCT(INDEX($AL$57:$AN$66,,$AE477), INDEX($AO$57:$AU$66,,$AD477), 1 / ($AW$57:$AW$66*BO477 + (1-$AW$57:$AW$66)*BK477), N($AK$57:$AK$66&gt;$AI477))
) / 1000</f>
        <v>0</v>
      </c>
      <c r="BQ477" s="250">
        <f t="shared" si="559"/>
        <v>20</v>
      </c>
      <c r="BR477" s="237">
        <f t="shared" si="538"/>
        <v>33</v>
      </c>
      <c r="BS477" s="253">
        <f t="shared" si="539"/>
        <v>4.8487499999999999</v>
      </c>
      <c r="BT477" s="253" cm="1">
        <f t="array" ref="BT477">$BC477 * IF($AD477&lt;=2,
SUMPRODUCT(INDEX($AL$62:$AN$66,,$AE477), INDEX($AO$62:$AU$66,,$AD477), 1 / ($AV$62:$AV$66*BS477 + (1-$AV$62:$AV$66)*BO477), N($AK$62:$AK$66&gt;$AI477)),
SUMPRODUCT(INDEX($AL$47:$AN$56,,$AE477), INDEX($AO$47:$AU$56,,$AD477), 1 / ($AW$47:$AW$56*BS477 + (1-$AW$47:$AW$56)*BO477), N($AK$47:$AK$56&gt;$AI477))
) / 1000</f>
        <v>0</v>
      </c>
      <c r="BU477" s="253" cm="1">
        <f t="array" ref="BU477">$BC477 * IF($AD477&lt;=2,
SUMPRODUCT(INDEX($AL$23:$AN$61,,$AE477), INDEX($AO$23:$AU$61,,$AD477), 1 / ($AV$23:$AV$61*BS477), N($AK$23:$AK$61&gt;$AI477)),
SUMPRODUCT(INDEX($AL$23:$AN$46,,$AE477), INDEX($AO$23:$AU$46,,$AD477), 1 / ($AW$23:$AW$46*BS477), N($AK$23:$AK$46&gt;$AI477))
) / 1000</f>
        <v>0</v>
      </c>
      <c r="BV477" s="237">
        <f t="shared" si="540"/>
        <v>0</v>
      </c>
      <c r="BW477" s="210"/>
      <c r="BX477" s="237">
        <f t="shared" si="541"/>
        <v>0</v>
      </c>
      <c r="BY477" s="236">
        <v>35</v>
      </c>
      <c r="BZ477" s="237">
        <f t="shared" si="542"/>
        <v>48</v>
      </c>
      <c r="CA477" s="253">
        <f t="shared" si="543"/>
        <v>3.0748170731707316</v>
      </c>
      <c r="CB477" s="253" cm="1">
        <f t="array" ref="CB477">$BC477 * SUMPRODUCT(INDEX($AL$77:$AN$82,,$AE477),INDEX($AO$77:$AU$82,,$AD477), N($AK$77:$AK$82&gt;$AI477)) / CA477 / 1000</f>
        <v>0</v>
      </c>
      <c r="CC477" s="250">
        <f t="shared" si="560"/>
        <v>30</v>
      </c>
      <c r="CD477" s="237">
        <f t="shared" si="544"/>
        <v>43</v>
      </c>
      <c r="CE477" s="253">
        <f t="shared" si="545"/>
        <v>3.5018750000000001</v>
      </c>
      <c r="CF477" s="253" cm="1">
        <f t="array" ref="CF477">$BC477 * IF($AD477&lt;=2,
SUMPRODUCT(INDEX($AL$72:$AN$76,,$AE477), INDEX($AO$72:$AU$76,,$AD477), 1 / ($AV$72:$AV$76*CE477 + (1-$AV$72:$AV$76)*CA477), N($AK$72:$AK$76&gt;$AI477)),
SUMPRODUCT(INDEX($AL$67:$AN$76,,$AE477), INDEX($AO$67:$AU$76,,$AD477), 1 / ($AW$67:$AW$76*CE477 + (1-$AW$67:$AW$76)*CA477), N($AK$67:$AK$76&gt;$AI477))
) / 1000</f>
        <v>0</v>
      </c>
      <c r="CG477" s="250">
        <f t="shared" si="561"/>
        <v>25</v>
      </c>
      <c r="CH477" s="237">
        <f t="shared" si="546"/>
        <v>38</v>
      </c>
      <c r="CI477" s="253">
        <f t="shared" si="547"/>
        <v>4.0666935483870965</v>
      </c>
      <c r="CJ477" s="253" cm="1">
        <f t="array" ref="CJ477">$BC477 * IF($AD477&lt;=2,
SUMPRODUCT(INDEX($AL$67:$AN$71,,$AE477), INDEX($AO$67:$AU$71,,$AD477), 1 / ($AV$67:$AV$71*CI477 + (1-$AV$67:$AV$71)*CE477), N($AK$67:$AK$71&gt;$AI477)),
SUMPRODUCT(INDEX($AL$57:$AN$66,,$AE477), INDEX($AO$57:$AU$66,,$AD477), 1 / ($AW$57:$AW$66*CI477 + (1-$AW$57:$AW$66)*CE477), N($AK$57:$AK$66&gt;$AI477))
) / 1000</f>
        <v>0</v>
      </c>
      <c r="CK477" s="250">
        <f t="shared" si="562"/>
        <v>20</v>
      </c>
      <c r="CL477" s="237">
        <f t="shared" si="548"/>
        <v>33</v>
      </c>
      <c r="CM477" s="253">
        <f t="shared" si="549"/>
        <v>4.8487499999999999</v>
      </c>
      <c r="CN477" s="253" cm="1">
        <f t="array" ref="CN477">$BC477 * IF($AD477&lt;=2,
SUMPRODUCT(INDEX($AL$62:$AN$66,,$AE477), INDEX($AO$62:$AU$66,,$AD477), 1 / ($AV$62:$AV$66*CM477 + (1-$AV$62:$AV$66)*CI477), N($AK$62:$AK$66&gt;$AI477)),
SUMPRODUCT(INDEX($AL$47:$AN$56,,$AE477), INDEX($AO$47:$AU$56,,$AD477), 1 / ($AW$47:$AW$56*CM477 + (1-$AW$47:$AW$56)*CI477), N($AK$47:$AK$56&gt;$AI477))
) / 1000</f>
        <v>0</v>
      </c>
      <c r="CO477" s="253" cm="1">
        <f t="array" ref="CO477">$BC477 * IF($AD477&lt;=2,
SUMPRODUCT(INDEX($AL$23:$AN$61,,$AE477), INDEX($AO$23:$AU$61,,$AD477), 1 / ($AV$23:$AV$61*CM477), N($AK$23:$AK$61&gt;$AI477)),
SUMPRODUCT(INDEX($AL$23:$AN$46,,$AE477), INDEX($AO$23:$AU$46,,$AD477), 1 / ($AW$23:$AW$46*CM477), N($AK$23:$AK$46&gt;$AI477))
) / 1000</f>
        <v>0</v>
      </c>
      <c r="CP477" s="237">
        <f t="shared" si="550"/>
        <v>0</v>
      </c>
      <c r="CQ477" s="210"/>
    </row>
    <row r="478" spans="1:95" s="76" customFormat="1" ht="14.25" customHeight="1" x14ac:dyDescent="0.2">
      <c r="A478" s="238" t="b">
        <f t="shared" si="554"/>
        <v>0</v>
      </c>
      <c r="B478" s="239">
        <v>456</v>
      </c>
      <c r="C478" s="258"/>
      <c r="D478" s="258"/>
      <c r="E478" s="240"/>
      <c r="F478" s="241" t="str">
        <f>IF(ISBLANK(E478), "", VLOOKUP(E478, Z!$A$2:$C$4127, 3, FALSE))</f>
        <v/>
      </c>
      <c r="G478" s="242"/>
      <c r="H478" s="242"/>
      <c r="I478" s="243"/>
      <c r="J478" s="244"/>
      <c r="K478" s="259"/>
      <c r="L478" s="260"/>
      <c r="M478" s="247" t="str" cm="1">
        <f t="array" ref="M478">IF($K478&gt;0, INDEX(Clean,1+AG478,$C$1), "")</f>
        <v/>
      </c>
      <c r="N478" s="245"/>
      <c r="O478" s="245"/>
      <c r="P478" s="246"/>
      <c r="Q478" s="248">
        <f t="shared" si="527"/>
        <v>0</v>
      </c>
      <c r="R478" s="247" t="str" cm="1">
        <f t="array" ref="R478">IF($K478&gt;0, INDEX(Clean,1+AH478,$C$1), "")</f>
        <v/>
      </c>
      <c r="S478" s="245"/>
      <c r="T478" s="245"/>
      <c r="U478" s="246"/>
      <c r="V478" s="248">
        <f t="shared" si="528"/>
        <v>0</v>
      </c>
      <c r="W478" s="261"/>
      <c r="X478" s="258"/>
      <c r="Y478" s="240"/>
      <c r="Z478" s="241" t="str">
        <f>IF(ISBLANK(Y478), "", VLOOKUP(Y478, Z!$A$2:$C$4127, 3, FALSE))</f>
        <v/>
      </c>
      <c r="AA478" s="262"/>
      <c r="AB478" s="249">
        <f t="shared" si="563"/>
        <v>0</v>
      </c>
      <c r="AC478" s="210"/>
      <c r="AD478" s="236">
        <f t="shared" si="551"/>
        <v>1</v>
      </c>
      <c r="AE478" s="236">
        <f t="shared" si="552"/>
        <v>1</v>
      </c>
      <c r="AF478" s="236">
        <f t="shared" si="553"/>
        <v>0</v>
      </c>
      <c r="AG478" s="236">
        <v>1</v>
      </c>
      <c r="AH478" s="236">
        <v>0</v>
      </c>
      <c r="AI478" s="236">
        <f t="shared" si="529"/>
        <v>-100</v>
      </c>
      <c r="AJ478" s="210"/>
      <c r="AK478" s="254"/>
      <c r="AL478" s="254"/>
      <c r="AM478" s="255"/>
      <c r="AN478" s="255"/>
      <c r="AO478" s="255"/>
      <c r="AP478" s="255"/>
      <c r="AQ478" s="255"/>
      <c r="AR478" s="255"/>
      <c r="AS478" s="255"/>
      <c r="AT478" s="255"/>
      <c r="AU478" s="255"/>
      <c r="AV478" s="255"/>
      <c r="AW478" s="255"/>
      <c r="AX478" s="210"/>
      <c r="AY478" s="236" cm="1">
        <f t="array" ref="AY478">INDEX(Use, $AD478, 4)</f>
        <v>7</v>
      </c>
      <c r="AZ478" s="236">
        <f t="shared" si="530"/>
        <v>32</v>
      </c>
      <c r="BA478" s="236">
        <f t="shared" si="555"/>
        <v>13</v>
      </c>
      <c r="BB478" s="236">
        <f t="shared" si="556"/>
        <v>0</v>
      </c>
      <c r="BC478" s="252" cm="1">
        <f t="array" ref="BC478">K478/IF($L478&gt;0, INDEX($AO$23:$AU$77, $L478+20, $AD478), 1)</f>
        <v>0</v>
      </c>
      <c r="BD478" s="237">
        <f t="shared" si="531"/>
        <v>0</v>
      </c>
      <c r="BE478" s="236">
        <v>35</v>
      </c>
      <c r="BF478" s="237">
        <f t="shared" si="532"/>
        <v>52.55</v>
      </c>
      <c r="BG478" s="253">
        <f t="shared" si="533"/>
        <v>2.7676728869374316</v>
      </c>
      <c r="BH478" s="253" cm="1">
        <f t="array" ref="BH478">$BC478 * SUMPRODUCT(INDEX($AL$77:$AN$82,,$AE478),INDEX($AO$77:$AU$82,,$AD478), N($AK$77:$AK$82&gt;$AI478)) / BG478 / 1000</f>
        <v>0</v>
      </c>
      <c r="BI478" s="250">
        <f t="shared" si="557"/>
        <v>30</v>
      </c>
      <c r="BJ478" s="237">
        <f t="shared" si="534"/>
        <v>46.033333333333331</v>
      </c>
      <c r="BK478" s="253">
        <f t="shared" si="535"/>
        <v>3.2297395388556791</v>
      </c>
      <c r="BL478" s="253" cm="1">
        <f t="array" ref="BL478">$BC478 * IF($AD478&lt;=2,
SUMPRODUCT(INDEX($AL$72:$AN$76,,$AE478), INDEX($AO$72:$AU$76,,$AD478), 1 / ($AV$72:$AV$76*BK478 + (1-$AV$72:$AV$76)*BG478), N($AK$72:$AK$76&gt;$AI478)),
SUMPRODUCT(INDEX($AL$67:$AN$76,,$AE478), INDEX($AO$67:$AU$76,,$AD478), 1 / ($AW$67:$AW$76*BK478 + (1-$AW$67:$AW$76)*BG478), N($AK$67:$AK$76&gt;$AI478))
) / 1000</f>
        <v>0</v>
      </c>
      <c r="BM478" s="250">
        <f t="shared" si="558"/>
        <v>25</v>
      </c>
      <c r="BN478" s="237">
        <f t="shared" si="536"/>
        <v>39.516666666666666</v>
      </c>
      <c r="BO478" s="253">
        <f t="shared" si="537"/>
        <v>3.877011788826243</v>
      </c>
      <c r="BP478" s="253" cm="1">
        <f t="array" ref="BP478">$BC478 * IF($AD478&lt;=2,
SUMPRODUCT(INDEX($AL$67:$AN$71,,$AE478), INDEX($AO$67:$AU$71,,$AD478), 1 / ($AV$67:$AV$71*BO478 + (1-$AV$67:$AV$71)*BK478), N($AK$67:$AK$71&gt;$AI478)),
SUMPRODUCT(INDEX($AL$57:$AN$66,,$AE478), INDEX($AO$57:$AU$66,,$AD478), 1 / ($AW$57:$AW$66*BO478 + (1-$AW$57:$AW$66)*BK478), N($AK$57:$AK$66&gt;$AI478))
) / 1000</f>
        <v>0</v>
      </c>
      <c r="BQ478" s="250">
        <f t="shared" si="559"/>
        <v>20</v>
      </c>
      <c r="BR478" s="237">
        <f t="shared" si="538"/>
        <v>33</v>
      </c>
      <c r="BS478" s="253">
        <f t="shared" si="539"/>
        <v>4.8487499999999999</v>
      </c>
      <c r="BT478" s="253" cm="1">
        <f t="array" ref="BT478">$BC478 * IF($AD478&lt;=2,
SUMPRODUCT(INDEX($AL$62:$AN$66,,$AE478), INDEX($AO$62:$AU$66,,$AD478), 1 / ($AV$62:$AV$66*BS478 + (1-$AV$62:$AV$66)*BO478), N($AK$62:$AK$66&gt;$AI478)),
SUMPRODUCT(INDEX($AL$47:$AN$56,,$AE478), INDEX($AO$47:$AU$56,,$AD478), 1 / ($AW$47:$AW$56*BS478 + (1-$AW$47:$AW$56)*BO478), N($AK$47:$AK$56&gt;$AI478))
) / 1000</f>
        <v>0</v>
      </c>
      <c r="BU478" s="253" cm="1">
        <f t="array" ref="BU478">$BC478 * IF($AD478&lt;=2,
SUMPRODUCT(INDEX($AL$23:$AN$61,,$AE478), INDEX($AO$23:$AU$61,,$AD478), 1 / ($AV$23:$AV$61*BS478), N($AK$23:$AK$61&gt;$AI478)),
SUMPRODUCT(INDEX($AL$23:$AN$46,,$AE478), INDEX($AO$23:$AU$46,,$AD478), 1 / ($AW$23:$AW$46*BS478), N($AK$23:$AK$46&gt;$AI478))
) / 1000</f>
        <v>0</v>
      </c>
      <c r="BV478" s="237">
        <f t="shared" si="540"/>
        <v>0</v>
      </c>
      <c r="BW478" s="210"/>
      <c r="BX478" s="237">
        <f t="shared" si="541"/>
        <v>0</v>
      </c>
      <c r="BY478" s="236">
        <v>35</v>
      </c>
      <c r="BZ478" s="237">
        <f t="shared" si="542"/>
        <v>48</v>
      </c>
      <c r="CA478" s="253">
        <f t="shared" si="543"/>
        <v>3.0748170731707316</v>
      </c>
      <c r="CB478" s="253" cm="1">
        <f t="array" ref="CB478">$BC478 * SUMPRODUCT(INDEX($AL$77:$AN$82,,$AE478),INDEX($AO$77:$AU$82,,$AD478), N($AK$77:$AK$82&gt;$AI478)) / CA478 / 1000</f>
        <v>0</v>
      </c>
      <c r="CC478" s="250">
        <f t="shared" si="560"/>
        <v>30</v>
      </c>
      <c r="CD478" s="237">
        <f t="shared" si="544"/>
        <v>43</v>
      </c>
      <c r="CE478" s="253">
        <f t="shared" si="545"/>
        <v>3.5018750000000001</v>
      </c>
      <c r="CF478" s="253" cm="1">
        <f t="array" ref="CF478">$BC478 * IF($AD478&lt;=2,
SUMPRODUCT(INDEX($AL$72:$AN$76,,$AE478), INDEX($AO$72:$AU$76,,$AD478), 1 / ($AV$72:$AV$76*CE478 + (1-$AV$72:$AV$76)*CA478), N($AK$72:$AK$76&gt;$AI478)),
SUMPRODUCT(INDEX($AL$67:$AN$76,,$AE478), INDEX($AO$67:$AU$76,,$AD478), 1 / ($AW$67:$AW$76*CE478 + (1-$AW$67:$AW$76)*CA478), N($AK$67:$AK$76&gt;$AI478))
) / 1000</f>
        <v>0</v>
      </c>
      <c r="CG478" s="250">
        <f t="shared" si="561"/>
        <v>25</v>
      </c>
      <c r="CH478" s="237">
        <f t="shared" si="546"/>
        <v>38</v>
      </c>
      <c r="CI478" s="253">
        <f t="shared" si="547"/>
        <v>4.0666935483870965</v>
      </c>
      <c r="CJ478" s="253" cm="1">
        <f t="array" ref="CJ478">$BC478 * IF($AD478&lt;=2,
SUMPRODUCT(INDEX($AL$67:$AN$71,,$AE478), INDEX($AO$67:$AU$71,,$AD478), 1 / ($AV$67:$AV$71*CI478 + (1-$AV$67:$AV$71)*CE478), N($AK$67:$AK$71&gt;$AI478)),
SUMPRODUCT(INDEX($AL$57:$AN$66,,$AE478), INDEX($AO$57:$AU$66,,$AD478), 1 / ($AW$57:$AW$66*CI478 + (1-$AW$57:$AW$66)*CE478), N($AK$57:$AK$66&gt;$AI478))
) / 1000</f>
        <v>0</v>
      </c>
      <c r="CK478" s="250">
        <f t="shared" si="562"/>
        <v>20</v>
      </c>
      <c r="CL478" s="237">
        <f t="shared" si="548"/>
        <v>33</v>
      </c>
      <c r="CM478" s="253">
        <f t="shared" si="549"/>
        <v>4.8487499999999999</v>
      </c>
      <c r="CN478" s="253" cm="1">
        <f t="array" ref="CN478">$BC478 * IF($AD478&lt;=2,
SUMPRODUCT(INDEX($AL$62:$AN$66,,$AE478), INDEX($AO$62:$AU$66,,$AD478), 1 / ($AV$62:$AV$66*CM478 + (1-$AV$62:$AV$66)*CI478), N($AK$62:$AK$66&gt;$AI478)),
SUMPRODUCT(INDEX($AL$47:$AN$56,,$AE478), INDEX($AO$47:$AU$56,,$AD478), 1 / ($AW$47:$AW$56*CM478 + (1-$AW$47:$AW$56)*CI478), N($AK$47:$AK$56&gt;$AI478))
) / 1000</f>
        <v>0</v>
      </c>
      <c r="CO478" s="253" cm="1">
        <f t="array" ref="CO478">$BC478 * IF($AD478&lt;=2,
SUMPRODUCT(INDEX($AL$23:$AN$61,,$AE478), INDEX($AO$23:$AU$61,,$AD478), 1 / ($AV$23:$AV$61*CM478), N($AK$23:$AK$61&gt;$AI478)),
SUMPRODUCT(INDEX($AL$23:$AN$46,,$AE478), INDEX($AO$23:$AU$46,,$AD478), 1 / ($AW$23:$AW$46*CM478), N($AK$23:$AK$46&gt;$AI478))
) / 1000</f>
        <v>0</v>
      </c>
      <c r="CP478" s="237">
        <f t="shared" si="550"/>
        <v>0</v>
      </c>
      <c r="CQ478" s="210"/>
    </row>
    <row r="479" spans="1:95" s="76" customFormat="1" ht="14.25" customHeight="1" x14ac:dyDescent="0.2">
      <c r="A479" s="238" t="b">
        <f t="shared" si="554"/>
        <v>0</v>
      </c>
      <c r="B479" s="239">
        <v>457</v>
      </c>
      <c r="C479" s="258"/>
      <c r="D479" s="258"/>
      <c r="E479" s="240"/>
      <c r="F479" s="241" t="str">
        <f>IF(ISBLANK(E479), "", VLOOKUP(E479, Z!$A$2:$C$4127, 3, FALSE))</f>
        <v/>
      </c>
      <c r="G479" s="242"/>
      <c r="H479" s="242"/>
      <c r="I479" s="243"/>
      <c r="J479" s="244"/>
      <c r="K479" s="259"/>
      <c r="L479" s="260"/>
      <c r="M479" s="247" t="str" cm="1">
        <f t="array" ref="M479">IF($K479&gt;0, INDEX(Clean,1+AG479,$C$1), "")</f>
        <v/>
      </c>
      <c r="N479" s="245"/>
      <c r="O479" s="245"/>
      <c r="P479" s="246"/>
      <c r="Q479" s="248">
        <f t="shared" si="527"/>
        <v>0</v>
      </c>
      <c r="R479" s="247" t="str" cm="1">
        <f t="array" ref="R479">IF($K479&gt;0, INDEX(Clean,1+AH479,$C$1), "")</f>
        <v/>
      </c>
      <c r="S479" s="245"/>
      <c r="T479" s="245"/>
      <c r="U479" s="246"/>
      <c r="V479" s="248">
        <f t="shared" si="528"/>
        <v>0</v>
      </c>
      <c r="W479" s="261"/>
      <c r="X479" s="258"/>
      <c r="Y479" s="240"/>
      <c r="Z479" s="241" t="str">
        <f>IF(ISBLANK(Y479), "", VLOOKUP(Y479, Z!$A$2:$C$4127, 3, FALSE))</f>
        <v/>
      </c>
      <c r="AA479" s="262"/>
      <c r="AB479" s="249">
        <f t="shared" si="563"/>
        <v>0</v>
      </c>
      <c r="AC479" s="210"/>
      <c r="AD479" s="236">
        <f t="shared" si="551"/>
        <v>1</v>
      </c>
      <c r="AE479" s="236">
        <f t="shared" si="552"/>
        <v>1</v>
      </c>
      <c r="AF479" s="236">
        <f t="shared" si="553"/>
        <v>0</v>
      </c>
      <c r="AG479" s="236">
        <v>1</v>
      </c>
      <c r="AH479" s="236">
        <v>0</v>
      </c>
      <c r="AI479" s="236">
        <f t="shared" si="529"/>
        <v>-100</v>
      </c>
      <c r="AJ479" s="210"/>
      <c r="AK479" s="254"/>
      <c r="AL479" s="254"/>
      <c r="AM479" s="255"/>
      <c r="AN479" s="255"/>
      <c r="AO479" s="255"/>
      <c r="AP479" s="255"/>
      <c r="AQ479" s="255"/>
      <c r="AR479" s="255"/>
      <c r="AS479" s="255"/>
      <c r="AT479" s="255"/>
      <c r="AU479" s="255"/>
      <c r="AV479" s="255"/>
      <c r="AW479" s="255"/>
      <c r="AX479" s="210"/>
      <c r="AY479" s="236" cm="1">
        <f t="array" ref="AY479">INDEX(Use, $AD479, 4)</f>
        <v>7</v>
      </c>
      <c r="AZ479" s="236">
        <f t="shared" si="530"/>
        <v>32</v>
      </c>
      <c r="BA479" s="236">
        <f t="shared" si="555"/>
        <v>13</v>
      </c>
      <c r="BB479" s="236">
        <f t="shared" si="556"/>
        <v>0</v>
      </c>
      <c r="BC479" s="252" cm="1">
        <f t="array" ref="BC479">K479/IF($L479&gt;0, INDEX($AO$23:$AU$77, $L479+20, $AD479), 1)</f>
        <v>0</v>
      </c>
      <c r="BD479" s="237">
        <f t="shared" si="531"/>
        <v>0</v>
      </c>
      <c r="BE479" s="236">
        <v>35</v>
      </c>
      <c r="BF479" s="237">
        <f t="shared" si="532"/>
        <v>52.55</v>
      </c>
      <c r="BG479" s="253">
        <f t="shared" si="533"/>
        <v>2.7676728869374316</v>
      </c>
      <c r="BH479" s="253" cm="1">
        <f t="array" ref="BH479">$BC479 * SUMPRODUCT(INDEX($AL$77:$AN$82,,$AE479),INDEX($AO$77:$AU$82,,$AD479), N($AK$77:$AK$82&gt;$AI479)) / BG479 / 1000</f>
        <v>0</v>
      </c>
      <c r="BI479" s="250">
        <f t="shared" si="557"/>
        <v>30</v>
      </c>
      <c r="BJ479" s="237">
        <f t="shared" si="534"/>
        <v>46.033333333333331</v>
      </c>
      <c r="BK479" s="253">
        <f t="shared" si="535"/>
        <v>3.2297395388556791</v>
      </c>
      <c r="BL479" s="253" cm="1">
        <f t="array" ref="BL479">$BC479 * IF($AD479&lt;=2,
SUMPRODUCT(INDEX($AL$72:$AN$76,,$AE479), INDEX($AO$72:$AU$76,,$AD479), 1 / ($AV$72:$AV$76*BK479 + (1-$AV$72:$AV$76)*BG479), N($AK$72:$AK$76&gt;$AI479)),
SUMPRODUCT(INDEX($AL$67:$AN$76,,$AE479), INDEX($AO$67:$AU$76,,$AD479), 1 / ($AW$67:$AW$76*BK479 + (1-$AW$67:$AW$76)*BG479), N($AK$67:$AK$76&gt;$AI479))
) / 1000</f>
        <v>0</v>
      </c>
      <c r="BM479" s="250">
        <f t="shared" si="558"/>
        <v>25</v>
      </c>
      <c r="BN479" s="237">
        <f t="shared" si="536"/>
        <v>39.516666666666666</v>
      </c>
      <c r="BO479" s="253">
        <f t="shared" si="537"/>
        <v>3.877011788826243</v>
      </c>
      <c r="BP479" s="253" cm="1">
        <f t="array" ref="BP479">$BC479 * IF($AD479&lt;=2,
SUMPRODUCT(INDEX($AL$67:$AN$71,,$AE479), INDEX($AO$67:$AU$71,,$AD479), 1 / ($AV$67:$AV$71*BO479 + (1-$AV$67:$AV$71)*BK479), N($AK$67:$AK$71&gt;$AI479)),
SUMPRODUCT(INDEX($AL$57:$AN$66,,$AE479), INDEX($AO$57:$AU$66,,$AD479), 1 / ($AW$57:$AW$66*BO479 + (1-$AW$57:$AW$66)*BK479), N($AK$57:$AK$66&gt;$AI479))
) / 1000</f>
        <v>0</v>
      </c>
      <c r="BQ479" s="250">
        <f t="shared" si="559"/>
        <v>20</v>
      </c>
      <c r="BR479" s="237">
        <f t="shared" si="538"/>
        <v>33</v>
      </c>
      <c r="BS479" s="253">
        <f t="shared" si="539"/>
        <v>4.8487499999999999</v>
      </c>
      <c r="BT479" s="253" cm="1">
        <f t="array" ref="BT479">$BC479 * IF($AD479&lt;=2,
SUMPRODUCT(INDEX($AL$62:$AN$66,,$AE479), INDEX($AO$62:$AU$66,,$AD479), 1 / ($AV$62:$AV$66*BS479 + (1-$AV$62:$AV$66)*BO479), N($AK$62:$AK$66&gt;$AI479)),
SUMPRODUCT(INDEX($AL$47:$AN$56,,$AE479), INDEX($AO$47:$AU$56,,$AD479), 1 / ($AW$47:$AW$56*BS479 + (1-$AW$47:$AW$56)*BO479), N($AK$47:$AK$56&gt;$AI479))
) / 1000</f>
        <v>0</v>
      </c>
      <c r="BU479" s="253" cm="1">
        <f t="array" ref="BU479">$BC479 * IF($AD479&lt;=2,
SUMPRODUCT(INDEX($AL$23:$AN$61,,$AE479), INDEX($AO$23:$AU$61,,$AD479), 1 / ($AV$23:$AV$61*BS479), N($AK$23:$AK$61&gt;$AI479)),
SUMPRODUCT(INDEX($AL$23:$AN$46,,$AE479), INDEX($AO$23:$AU$46,,$AD479), 1 / ($AW$23:$AW$46*BS479), N($AK$23:$AK$46&gt;$AI479))
) / 1000</f>
        <v>0</v>
      </c>
      <c r="BV479" s="237">
        <f t="shared" si="540"/>
        <v>0</v>
      </c>
      <c r="BW479" s="210"/>
      <c r="BX479" s="237">
        <f t="shared" si="541"/>
        <v>0</v>
      </c>
      <c r="BY479" s="236">
        <v>35</v>
      </c>
      <c r="BZ479" s="237">
        <f t="shared" si="542"/>
        <v>48</v>
      </c>
      <c r="CA479" s="253">
        <f t="shared" si="543"/>
        <v>3.0748170731707316</v>
      </c>
      <c r="CB479" s="253" cm="1">
        <f t="array" ref="CB479">$BC479 * SUMPRODUCT(INDEX($AL$77:$AN$82,,$AE479),INDEX($AO$77:$AU$82,,$AD479), N($AK$77:$AK$82&gt;$AI479)) / CA479 / 1000</f>
        <v>0</v>
      </c>
      <c r="CC479" s="250">
        <f t="shared" si="560"/>
        <v>30</v>
      </c>
      <c r="CD479" s="237">
        <f t="shared" si="544"/>
        <v>43</v>
      </c>
      <c r="CE479" s="253">
        <f t="shared" si="545"/>
        <v>3.5018750000000001</v>
      </c>
      <c r="CF479" s="253" cm="1">
        <f t="array" ref="CF479">$BC479 * IF($AD479&lt;=2,
SUMPRODUCT(INDEX($AL$72:$AN$76,,$AE479), INDEX($AO$72:$AU$76,,$AD479), 1 / ($AV$72:$AV$76*CE479 + (1-$AV$72:$AV$76)*CA479), N($AK$72:$AK$76&gt;$AI479)),
SUMPRODUCT(INDEX($AL$67:$AN$76,,$AE479), INDEX($AO$67:$AU$76,,$AD479), 1 / ($AW$67:$AW$76*CE479 + (1-$AW$67:$AW$76)*CA479), N($AK$67:$AK$76&gt;$AI479))
) / 1000</f>
        <v>0</v>
      </c>
      <c r="CG479" s="250">
        <f t="shared" si="561"/>
        <v>25</v>
      </c>
      <c r="CH479" s="237">
        <f t="shared" si="546"/>
        <v>38</v>
      </c>
      <c r="CI479" s="253">
        <f t="shared" si="547"/>
        <v>4.0666935483870965</v>
      </c>
      <c r="CJ479" s="253" cm="1">
        <f t="array" ref="CJ479">$BC479 * IF($AD479&lt;=2,
SUMPRODUCT(INDEX($AL$67:$AN$71,,$AE479), INDEX($AO$67:$AU$71,,$AD479), 1 / ($AV$67:$AV$71*CI479 + (1-$AV$67:$AV$71)*CE479), N($AK$67:$AK$71&gt;$AI479)),
SUMPRODUCT(INDEX($AL$57:$AN$66,,$AE479), INDEX($AO$57:$AU$66,,$AD479), 1 / ($AW$57:$AW$66*CI479 + (1-$AW$57:$AW$66)*CE479), N($AK$57:$AK$66&gt;$AI479))
) / 1000</f>
        <v>0</v>
      </c>
      <c r="CK479" s="250">
        <f t="shared" si="562"/>
        <v>20</v>
      </c>
      <c r="CL479" s="237">
        <f t="shared" si="548"/>
        <v>33</v>
      </c>
      <c r="CM479" s="253">
        <f t="shared" si="549"/>
        <v>4.8487499999999999</v>
      </c>
      <c r="CN479" s="253" cm="1">
        <f t="array" ref="CN479">$BC479 * IF($AD479&lt;=2,
SUMPRODUCT(INDEX($AL$62:$AN$66,,$AE479), INDEX($AO$62:$AU$66,,$AD479), 1 / ($AV$62:$AV$66*CM479 + (1-$AV$62:$AV$66)*CI479), N($AK$62:$AK$66&gt;$AI479)),
SUMPRODUCT(INDEX($AL$47:$AN$56,,$AE479), INDEX($AO$47:$AU$56,,$AD479), 1 / ($AW$47:$AW$56*CM479 + (1-$AW$47:$AW$56)*CI479), N($AK$47:$AK$56&gt;$AI479))
) / 1000</f>
        <v>0</v>
      </c>
      <c r="CO479" s="253" cm="1">
        <f t="array" ref="CO479">$BC479 * IF($AD479&lt;=2,
SUMPRODUCT(INDEX($AL$23:$AN$61,,$AE479), INDEX($AO$23:$AU$61,,$AD479), 1 / ($AV$23:$AV$61*CM479), N($AK$23:$AK$61&gt;$AI479)),
SUMPRODUCT(INDEX($AL$23:$AN$46,,$AE479), INDEX($AO$23:$AU$46,,$AD479), 1 / ($AW$23:$AW$46*CM479), N($AK$23:$AK$46&gt;$AI479))
) / 1000</f>
        <v>0</v>
      </c>
      <c r="CP479" s="237">
        <f t="shared" si="550"/>
        <v>0</v>
      </c>
      <c r="CQ479" s="210"/>
    </row>
    <row r="480" spans="1:95" s="76" customFormat="1" ht="14.25" customHeight="1" x14ac:dyDescent="0.2">
      <c r="A480" s="238" t="b">
        <f t="shared" si="554"/>
        <v>0</v>
      </c>
      <c r="B480" s="239">
        <v>458</v>
      </c>
      <c r="C480" s="258"/>
      <c r="D480" s="258"/>
      <c r="E480" s="240"/>
      <c r="F480" s="241" t="str">
        <f>IF(ISBLANK(E480), "", VLOOKUP(E480, Z!$A$2:$C$4127, 3, FALSE))</f>
        <v/>
      </c>
      <c r="G480" s="242"/>
      <c r="H480" s="242"/>
      <c r="I480" s="243"/>
      <c r="J480" s="244"/>
      <c r="K480" s="259"/>
      <c r="L480" s="260"/>
      <c r="M480" s="247" t="str" cm="1">
        <f t="array" ref="M480">IF($K480&gt;0, INDEX(Clean,1+AG480,$C$1), "")</f>
        <v/>
      </c>
      <c r="N480" s="245"/>
      <c r="O480" s="245"/>
      <c r="P480" s="246"/>
      <c r="Q480" s="248">
        <f t="shared" si="527"/>
        <v>0</v>
      </c>
      <c r="R480" s="247" t="str" cm="1">
        <f t="array" ref="R480">IF($K480&gt;0, INDEX(Clean,1+AH480,$C$1), "")</f>
        <v/>
      </c>
      <c r="S480" s="245"/>
      <c r="T480" s="245"/>
      <c r="U480" s="246"/>
      <c r="V480" s="248">
        <f t="shared" si="528"/>
        <v>0</v>
      </c>
      <c r="W480" s="261"/>
      <c r="X480" s="258"/>
      <c r="Y480" s="240"/>
      <c r="Z480" s="241" t="str">
        <f>IF(ISBLANK(Y480), "", VLOOKUP(Y480, Z!$A$2:$C$4127, 3, FALSE))</f>
        <v/>
      </c>
      <c r="AA480" s="262"/>
      <c r="AB480" s="249">
        <f t="shared" si="563"/>
        <v>0</v>
      </c>
      <c r="AC480" s="210"/>
      <c r="AD480" s="236">
        <f t="shared" si="551"/>
        <v>1</v>
      </c>
      <c r="AE480" s="236">
        <f t="shared" si="552"/>
        <v>1</v>
      </c>
      <c r="AF480" s="236">
        <f t="shared" si="553"/>
        <v>0</v>
      </c>
      <c r="AG480" s="236">
        <v>1</v>
      </c>
      <c r="AH480" s="236">
        <v>0</v>
      </c>
      <c r="AI480" s="236">
        <f t="shared" si="529"/>
        <v>-100</v>
      </c>
      <c r="AJ480" s="210"/>
      <c r="AK480" s="254"/>
      <c r="AL480" s="254"/>
      <c r="AM480" s="255"/>
      <c r="AN480" s="255"/>
      <c r="AO480" s="255"/>
      <c r="AP480" s="255"/>
      <c r="AQ480" s="255"/>
      <c r="AR480" s="255"/>
      <c r="AS480" s="255"/>
      <c r="AT480" s="255"/>
      <c r="AU480" s="255"/>
      <c r="AV480" s="255"/>
      <c r="AW480" s="255"/>
      <c r="AX480" s="210"/>
      <c r="AY480" s="236" cm="1">
        <f t="array" ref="AY480">INDEX(Use, $AD480, 4)</f>
        <v>7</v>
      </c>
      <c r="AZ480" s="236">
        <f t="shared" si="530"/>
        <v>32</v>
      </c>
      <c r="BA480" s="236">
        <f t="shared" si="555"/>
        <v>13</v>
      </c>
      <c r="BB480" s="236">
        <f t="shared" si="556"/>
        <v>0</v>
      </c>
      <c r="BC480" s="252" cm="1">
        <f t="array" ref="BC480">K480/IF($L480&gt;0, INDEX($AO$23:$AU$77, $L480+20, $AD480), 1)</f>
        <v>0</v>
      </c>
      <c r="BD480" s="237">
        <f t="shared" si="531"/>
        <v>0</v>
      </c>
      <c r="BE480" s="236">
        <v>35</v>
      </c>
      <c r="BF480" s="237">
        <f t="shared" si="532"/>
        <v>52.55</v>
      </c>
      <c r="BG480" s="253">
        <f t="shared" si="533"/>
        <v>2.7676728869374316</v>
      </c>
      <c r="BH480" s="253" cm="1">
        <f t="array" ref="BH480">$BC480 * SUMPRODUCT(INDEX($AL$77:$AN$82,,$AE480),INDEX($AO$77:$AU$82,,$AD480), N($AK$77:$AK$82&gt;$AI480)) / BG480 / 1000</f>
        <v>0</v>
      </c>
      <c r="BI480" s="250">
        <f t="shared" si="557"/>
        <v>30</v>
      </c>
      <c r="BJ480" s="237">
        <f t="shared" si="534"/>
        <v>46.033333333333331</v>
      </c>
      <c r="BK480" s="253">
        <f t="shared" si="535"/>
        <v>3.2297395388556791</v>
      </c>
      <c r="BL480" s="253" cm="1">
        <f t="array" ref="BL480">$BC480 * IF($AD480&lt;=2,
SUMPRODUCT(INDEX($AL$72:$AN$76,,$AE480), INDEX($AO$72:$AU$76,,$AD480), 1 / ($AV$72:$AV$76*BK480 + (1-$AV$72:$AV$76)*BG480), N($AK$72:$AK$76&gt;$AI480)),
SUMPRODUCT(INDEX($AL$67:$AN$76,,$AE480), INDEX($AO$67:$AU$76,,$AD480), 1 / ($AW$67:$AW$76*BK480 + (1-$AW$67:$AW$76)*BG480), N($AK$67:$AK$76&gt;$AI480))
) / 1000</f>
        <v>0</v>
      </c>
      <c r="BM480" s="250">
        <f t="shared" si="558"/>
        <v>25</v>
      </c>
      <c r="BN480" s="237">
        <f t="shared" si="536"/>
        <v>39.516666666666666</v>
      </c>
      <c r="BO480" s="253">
        <f t="shared" si="537"/>
        <v>3.877011788826243</v>
      </c>
      <c r="BP480" s="253" cm="1">
        <f t="array" ref="BP480">$BC480 * IF($AD480&lt;=2,
SUMPRODUCT(INDEX($AL$67:$AN$71,,$AE480), INDEX($AO$67:$AU$71,,$AD480), 1 / ($AV$67:$AV$71*BO480 + (1-$AV$67:$AV$71)*BK480), N($AK$67:$AK$71&gt;$AI480)),
SUMPRODUCT(INDEX($AL$57:$AN$66,,$AE480), INDEX($AO$57:$AU$66,,$AD480), 1 / ($AW$57:$AW$66*BO480 + (1-$AW$57:$AW$66)*BK480), N($AK$57:$AK$66&gt;$AI480))
) / 1000</f>
        <v>0</v>
      </c>
      <c r="BQ480" s="250">
        <f t="shared" si="559"/>
        <v>20</v>
      </c>
      <c r="BR480" s="237">
        <f t="shared" si="538"/>
        <v>33</v>
      </c>
      <c r="BS480" s="253">
        <f t="shared" si="539"/>
        <v>4.8487499999999999</v>
      </c>
      <c r="BT480" s="253" cm="1">
        <f t="array" ref="BT480">$BC480 * IF($AD480&lt;=2,
SUMPRODUCT(INDEX($AL$62:$AN$66,,$AE480), INDEX($AO$62:$AU$66,,$AD480), 1 / ($AV$62:$AV$66*BS480 + (1-$AV$62:$AV$66)*BO480), N($AK$62:$AK$66&gt;$AI480)),
SUMPRODUCT(INDEX($AL$47:$AN$56,,$AE480), INDEX($AO$47:$AU$56,,$AD480), 1 / ($AW$47:$AW$56*BS480 + (1-$AW$47:$AW$56)*BO480), N($AK$47:$AK$56&gt;$AI480))
) / 1000</f>
        <v>0</v>
      </c>
      <c r="BU480" s="253" cm="1">
        <f t="array" ref="BU480">$BC480 * IF($AD480&lt;=2,
SUMPRODUCT(INDEX($AL$23:$AN$61,,$AE480), INDEX($AO$23:$AU$61,,$AD480), 1 / ($AV$23:$AV$61*BS480), N($AK$23:$AK$61&gt;$AI480)),
SUMPRODUCT(INDEX($AL$23:$AN$46,,$AE480), INDEX($AO$23:$AU$46,,$AD480), 1 / ($AW$23:$AW$46*BS480), N($AK$23:$AK$46&gt;$AI480))
) / 1000</f>
        <v>0</v>
      </c>
      <c r="BV480" s="237">
        <f t="shared" si="540"/>
        <v>0</v>
      </c>
      <c r="BW480" s="210"/>
      <c r="BX480" s="237">
        <f t="shared" si="541"/>
        <v>0</v>
      </c>
      <c r="BY480" s="236">
        <v>35</v>
      </c>
      <c r="BZ480" s="237">
        <f t="shared" si="542"/>
        <v>48</v>
      </c>
      <c r="CA480" s="253">
        <f t="shared" si="543"/>
        <v>3.0748170731707316</v>
      </c>
      <c r="CB480" s="253" cm="1">
        <f t="array" ref="CB480">$BC480 * SUMPRODUCT(INDEX($AL$77:$AN$82,,$AE480),INDEX($AO$77:$AU$82,,$AD480), N($AK$77:$AK$82&gt;$AI480)) / CA480 / 1000</f>
        <v>0</v>
      </c>
      <c r="CC480" s="250">
        <f t="shared" si="560"/>
        <v>30</v>
      </c>
      <c r="CD480" s="237">
        <f t="shared" si="544"/>
        <v>43</v>
      </c>
      <c r="CE480" s="253">
        <f t="shared" si="545"/>
        <v>3.5018750000000001</v>
      </c>
      <c r="CF480" s="253" cm="1">
        <f t="array" ref="CF480">$BC480 * IF($AD480&lt;=2,
SUMPRODUCT(INDEX($AL$72:$AN$76,,$AE480), INDEX($AO$72:$AU$76,,$AD480), 1 / ($AV$72:$AV$76*CE480 + (1-$AV$72:$AV$76)*CA480), N($AK$72:$AK$76&gt;$AI480)),
SUMPRODUCT(INDEX($AL$67:$AN$76,,$AE480), INDEX($AO$67:$AU$76,,$AD480), 1 / ($AW$67:$AW$76*CE480 + (1-$AW$67:$AW$76)*CA480), N($AK$67:$AK$76&gt;$AI480))
) / 1000</f>
        <v>0</v>
      </c>
      <c r="CG480" s="250">
        <f t="shared" si="561"/>
        <v>25</v>
      </c>
      <c r="CH480" s="237">
        <f t="shared" si="546"/>
        <v>38</v>
      </c>
      <c r="CI480" s="253">
        <f t="shared" si="547"/>
        <v>4.0666935483870965</v>
      </c>
      <c r="CJ480" s="253" cm="1">
        <f t="array" ref="CJ480">$BC480 * IF($AD480&lt;=2,
SUMPRODUCT(INDEX($AL$67:$AN$71,,$AE480), INDEX($AO$67:$AU$71,,$AD480), 1 / ($AV$67:$AV$71*CI480 + (1-$AV$67:$AV$71)*CE480), N($AK$67:$AK$71&gt;$AI480)),
SUMPRODUCT(INDEX($AL$57:$AN$66,,$AE480), INDEX($AO$57:$AU$66,,$AD480), 1 / ($AW$57:$AW$66*CI480 + (1-$AW$57:$AW$66)*CE480), N($AK$57:$AK$66&gt;$AI480))
) / 1000</f>
        <v>0</v>
      </c>
      <c r="CK480" s="250">
        <f t="shared" si="562"/>
        <v>20</v>
      </c>
      <c r="CL480" s="237">
        <f t="shared" si="548"/>
        <v>33</v>
      </c>
      <c r="CM480" s="253">
        <f t="shared" si="549"/>
        <v>4.8487499999999999</v>
      </c>
      <c r="CN480" s="253" cm="1">
        <f t="array" ref="CN480">$BC480 * IF($AD480&lt;=2,
SUMPRODUCT(INDEX($AL$62:$AN$66,,$AE480), INDEX($AO$62:$AU$66,,$AD480), 1 / ($AV$62:$AV$66*CM480 + (1-$AV$62:$AV$66)*CI480), N($AK$62:$AK$66&gt;$AI480)),
SUMPRODUCT(INDEX($AL$47:$AN$56,,$AE480), INDEX($AO$47:$AU$56,,$AD480), 1 / ($AW$47:$AW$56*CM480 + (1-$AW$47:$AW$56)*CI480), N($AK$47:$AK$56&gt;$AI480))
) / 1000</f>
        <v>0</v>
      </c>
      <c r="CO480" s="253" cm="1">
        <f t="array" ref="CO480">$BC480 * IF($AD480&lt;=2,
SUMPRODUCT(INDEX($AL$23:$AN$61,,$AE480), INDEX($AO$23:$AU$61,,$AD480), 1 / ($AV$23:$AV$61*CM480), N($AK$23:$AK$61&gt;$AI480)),
SUMPRODUCT(INDEX($AL$23:$AN$46,,$AE480), INDEX($AO$23:$AU$46,,$AD480), 1 / ($AW$23:$AW$46*CM480), N($AK$23:$AK$46&gt;$AI480))
) / 1000</f>
        <v>0</v>
      </c>
      <c r="CP480" s="237">
        <f t="shared" si="550"/>
        <v>0</v>
      </c>
      <c r="CQ480" s="210"/>
    </row>
    <row r="481" spans="1:95" s="76" customFormat="1" ht="14.25" customHeight="1" x14ac:dyDescent="0.2">
      <c r="A481" s="238" t="b">
        <f t="shared" si="554"/>
        <v>0</v>
      </c>
      <c r="B481" s="239">
        <v>459</v>
      </c>
      <c r="C481" s="258"/>
      <c r="D481" s="258"/>
      <c r="E481" s="240"/>
      <c r="F481" s="241" t="str">
        <f>IF(ISBLANK(E481), "", VLOOKUP(E481, Z!$A$2:$C$4127, 3, FALSE))</f>
        <v/>
      </c>
      <c r="G481" s="242"/>
      <c r="H481" s="242"/>
      <c r="I481" s="243"/>
      <c r="J481" s="244"/>
      <c r="K481" s="259"/>
      <c r="L481" s="260"/>
      <c r="M481" s="247" t="str" cm="1">
        <f t="array" ref="M481">IF($K481&gt;0, INDEX(Clean,1+AG481,$C$1), "")</f>
        <v/>
      </c>
      <c r="N481" s="245"/>
      <c r="O481" s="245"/>
      <c r="P481" s="246"/>
      <c r="Q481" s="248">
        <f t="shared" si="527"/>
        <v>0</v>
      </c>
      <c r="R481" s="247" t="str" cm="1">
        <f t="array" ref="R481">IF($K481&gt;0, INDEX(Clean,1+AH481,$C$1), "")</f>
        <v/>
      </c>
      <c r="S481" s="245"/>
      <c r="T481" s="245"/>
      <c r="U481" s="246"/>
      <c r="V481" s="248">
        <f t="shared" si="528"/>
        <v>0</v>
      </c>
      <c r="W481" s="261"/>
      <c r="X481" s="258"/>
      <c r="Y481" s="240"/>
      <c r="Z481" s="241" t="str">
        <f>IF(ISBLANK(Y481), "", VLOOKUP(Y481, Z!$A$2:$C$4127, 3, FALSE))</f>
        <v/>
      </c>
      <c r="AA481" s="262"/>
      <c r="AB481" s="249">
        <f t="shared" si="563"/>
        <v>0</v>
      </c>
      <c r="AC481" s="210"/>
      <c r="AD481" s="236">
        <f t="shared" si="551"/>
        <v>1</v>
      </c>
      <c r="AE481" s="236">
        <f t="shared" si="552"/>
        <v>1</v>
      </c>
      <c r="AF481" s="236">
        <f t="shared" si="553"/>
        <v>0</v>
      </c>
      <c r="AG481" s="236">
        <v>1</v>
      </c>
      <c r="AH481" s="236">
        <v>0</v>
      </c>
      <c r="AI481" s="236">
        <f t="shared" si="529"/>
        <v>-100</v>
      </c>
      <c r="AJ481" s="210"/>
      <c r="AK481" s="254"/>
      <c r="AL481" s="254"/>
      <c r="AM481" s="255"/>
      <c r="AN481" s="255"/>
      <c r="AO481" s="255"/>
      <c r="AP481" s="255"/>
      <c r="AQ481" s="255"/>
      <c r="AR481" s="255"/>
      <c r="AS481" s="255"/>
      <c r="AT481" s="255"/>
      <c r="AU481" s="255"/>
      <c r="AV481" s="255"/>
      <c r="AW481" s="255"/>
      <c r="AX481" s="210"/>
      <c r="AY481" s="236" cm="1">
        <f t="array" ref="AY481">INDEX(Use, $AD481, 4)</f>
        <v>7</v>
      </c>
      <c r="AZ481" s="236">
        <f t="shared" si="530"/>
        <v>32</v>
      </c>
      <c r="BA481" s="236">
        <f t="shared" si="555"/>
        <v>13</v>
      </c>
      <c r="BB481" s="236">
        <f t="shared" si="556"/>
        <v>0</v>
      </c>
      <c r="BC481" s="252" cm="1">
        <f t="array" ref="BC481">K481/IF($L481&gt;0, INDEX($AO$23:$AU$77, $L481+20, $AD481), 1)</f>
        <v>0</v>
      </c>
      <c r="BD481" s="237">
        <f t="shared" si="531"/>
        <v>0</v>
      </c>
      <c r="BE481" s="236">
        <v>35</v>
      </c>
      <c r="BF481" s="237">
        <f t="shared" si="532"/>
        <v>52.55</v>
      </c>
      <c r="BG481" s="253">
        <f t="shared" si="533"/>
        <v>2.7676728869374316</v>
      </c>
      <c r="BH481" s="253" cm="1">
        <f t="array" ref="BH481">$BC481 * SUMPRODUCT(INDEX($AL$77:$AN$82,,$AE481),INDEX($AO$77:$AU$82,,$AD481), N($AK$77:$AK$82&gt;$AI481)) / BG481 / 1000</f>
        <v>0</v>
      </c>
      <c r="BI481" s="250">
        <f t="shared" si="557"/>
        <v>30</v>
      </c>
      <c r="BJ481" s="237">
        <f t="shared" si="534"/>
        <v>46.033333333333331</v>
      </c>
      <c r="BK481" s="253">
        <f t="shared" si="535"/>
        <v>3.2297395388556791</v>
      </c>
      <c r="BL481" s="253" cm="1">
        <f t="array" ref="BL481">$BC481 * IF($AD481&lt;=2,
SUMPRODUCT(INDEX($AL$72:$AN$76,,$AE481), INDEX($AO$72:$AU$76,,$AD481), 1 / ($AV$72:$AV$76*BK481 + (1-$AV$72:$AV$76)*BG481), N($AK$72:$AK$76&gt;$AI481)),
SUMPRODUCT(INDEX($AL$67:$AN$76,,$AE481), INDEX($AO$67:$AU$76,,$AD481), 1 / ($AW$67:$AW$76*BK481 + (1-$AW$67:$AW$76)*BG481), N($AK$67:$AK$76&gt;$AI481))
) / 1000</f>
        <v>0</v>
      </c>
      <c r="BM481" s="250">
        <f t="shared" si="558"/>
        <v>25</v>
      </c>
      <c r="BN481" s="237">
        <f t="shared" si="536"/>
        <v>39.516666666666666</v>
      </c>
      <c r="BO481" s="253">
        <f t="shared" si="537"/>
        <v>3.877011788826243</v>
      </c>
      <c r="BP481" s="253" cm="1">
        <f t="array" ref="BP481">$BC481 * IF($AD481&lt;=2,
SUMPRODUCT(INDEX($AL$67:$AN$71,,$AE481), INDEX($AO$67:$AU$71,,$AD481), 1 / ($AV$67:$AV$71*BO481 + (1-$AV$67:$AV$71)*BK481), N($AK$67:$AK$71&gt;$AI481)),
SUMPRODUCT(INDEX($AL$57:$AN$66,,$AE481), INDEX($AO$57:$AU$66,,$AD481), 1 / ($AW$57:$AW$66*BO481 + (1-$AW$57:$AW$66)*BK481), N($AK$57:$AK$66&gt;$AI481))
) / 1000</f>
        <v>0</v>
      </c>
      <c r="BQ481" s="250">
        <f t="shared" si="559"/>
        <v>20</v>
      </c>
      <c r="BR481" s="237">
        <f t="shared" si="538"/>
        <v>33</v>
      </c>
      <c r="BS481" s="253">
        <f t="shared" si="539"/>
        <v>4.8487499999999999</v>
      </c>
      <c r="BT481" s="253" cm="1">
        <f t="array" ref="BT481">$BC481 * IF($AD481&lt;=2,
SUMPRODUCT(INDEX($AL$62:$AN$66,,$AE481), INDEX($AO$62:$AU$66,,$AD481), 1 / ($AV$62:$AV$66*BS481 + (1-$AV$62:$AV$66)*BO481), N($AK$62:$AK$66&gt;$AI481)),
SUMPRODUCT(INDEX($AL$47:$AN$56,,$AE481), INDEX($AO$47:$AU$56,,$AD481), 1 / ($AW$47:$AW$56*BS481 + (1-$AW$47:$AW$56)*BO481), N($AK$47:$AK$56&gt;$AI481))
) / 1000</f>
        <v>0</v>
      </c>
      <c r="BU481" s="253" cm="1">
        <f t="array" ref="BU481">$BC481 * IF($AD481&lt;=2,
SUMPRODUCT(INDEX($AL$23:$AN$61,,$AE481), INDEX($AO$23:$AU$61,,$AD481), 1 / ($AV$23:$AV$61*BS481), N($AK$23:$AK$61&gt;$AI481)),
SUMPRODUCT(INDEX($AL$23:$AN$46,,$AE481), INDEX($AO$23:$AU$46,,$AD481), 1 / ($AW$23:$AW$46*BS481), N($AK$23:$AK$46&gt;$AI481))
) / 1000</f>
        <v>0</v>
      </c>
      <c r="BV481" s="237">
        <f t="shared" si="540"/>
        <v>0</v>
      </c>
      <c r="BW481" s="210"/>
      <c r="BX481" s="237">
        <f t="shared" si="541"/>
        <v>0</v>
      </c>
      <c r="BY481" s="236">
        <v>35</v>
      </c>
      <c r="BZ481" s="237">
        <f t="shared" si="542"/>
        <v>48</v>
      </c>
      <c r="CA481" s="253">
        <f t="shared" si="543"/>
        <v>3.0748170731707316</v>
      </c>
      <c r="CB481" s="253" cm="1">
        <f t="array" ref="CB481">$BC481 * SUMPRODUCT(INDEX($AL$77:$AN$82,,$AE481),INDEX($AO$77:$AU$82,,$AD481), N($AK$77:$AK$82&gt;$AI481)) / CA481 / 1000</f>
        <v>0</v>
      </c>
      <c r="CC481" s="250">
        <f t="shared" si="560"/>
        <v>30</v>
      </c>
      <c r="CD481" s="237">
        <f t="shared" si="544"/>
        <v>43</v>
      </c>
      <c r="CE481" s="253">
        <f t="shared" si="545"/>
        <v>3.5018750000000001</v>
      </c>
      <c r="CF481" s="253" cm="1">
        <f t="array" ref="CF481">$BC481 * IF($AD481&lt;=2,
SUMPRODUCT(INDEX($AL$72:$AN$76,,$AE481), INDEX($AO$72:$AU$76,,$AD481), 1 / ($AV$72:$AV$76*CE481 + (1-$AV$72:$AV$76)*CA481), N($AK$72:$AK$76&gt;$AI481)),
SUMPRODUCT(INDEX($AL$67:$AN$76,,$AE481), INDEX($AO$67:$AU$76,,$AD481), 1 / ($AW$67:$AW$76*CE481 + (1-$AW$67:$AW$76)*CA481), N($AK$67:$AK$76&gt;$AI481))
) / 1000</f>
        <v>0</v>
      </c>
      <c r="CG481" s="250">
        <f t="shared" si="561"/>
        <v>25</v>
      </c>
      <c r="CH481" s="237">
        <f t="shared" si="546"/>
        <v>38</v>
      </c>
      <c r="CI481" s="253">
        <f t="shared" si="547"/>
        <v>4.0666935483870965</v>
      </c>
      <c r="CJ481" s="253" cm="1">
        <f t="array" ref="CJ481">$BC481 * IF($AD481&lt;=2,
SUMPRODUCT(INDEX($AL$67:$AN$71,,$AE481), INDEX($AO$67:$AU$71,,$AD481), 1 / ($AV$67:$AV$71*CI481 + (1-$AV$67:$AV$71)*CE481), N($AK$67:$AK$71&gt;$AI481)),
SUMPRODUCT(INDEX($AL$57:$AN$66,,$AE481), INDEX($AO$57:$AU$66,,$AD481), 1 / ($AW$57:$AW$66*CI481 + (1-$AW$57:$AW$66)*CE481), N($AK$57:$AK$66&gt;$AI481))
) / 1000</f>
        <v>0</v>
      </c>
      <c r="CK481" s="250">
        <f t="shared" si="562"/>
        <v>20</v>
      </c>
      <c r="CL481" s="237">
        <f t="shared" si="548"/>
        <v>33</v>
      </c>
      <c r="CM481" s="253">
        <f t="shared" si="549"/>
        <v>4.8487499999999999</v>
      </c>
      <c r="CN481" s="253" cm="1">
        <f t="array" ref="CN481">$BC481 * IF($AD481&lt;=2,
SUMPRODUCT(INDEX($AL$62:$AN$66,,$AE481), INDEX($AO$62:$AU$66,,$AD481), 1 / ($AV$62:$AV$66*CM481 + (1-$AV$62:$AV$66)*CI481), N($AK$62:$AK$66&gt;$AI481)),
SUMPRODUCT(INDEX($AL$47:$AN$56,,$AE481), INDEX($AO$47:$AU$56,,$AD481), 1 / ($AW$47:$AW$56*CM481 + (1-$AW$47:$AW$56)*CI481), N($AK$47:$AK$56&gt;$AI481))
) / 1000</f>
        <v>0</v>
      </c>
      <c r="CO481" s="253" cm="1">
        <f t="array" ref="CO481">$BC481 * IF($AD481&lt;=2,
SUMPRODUCT(INDEX($AL$23:$AN$61,,$AE481), INDEX($AO$23:$AU$61,,$AD481), 1 / ($AV$23:$AV$61*CM481), N($AK$23:$AK$61&gt;$AI481)),
SUMPRODUCT(INDEX($AL$23:$AN$46,,$AE481), INDEX($AO$23:$AU$46,,$AD481), 1 / ($AW$23:$AW$46*CM481), N($AK$23:$AK$46&gt;$AI481))
) / 1000</f>
        <v>0</v>
      </c>
      <c r="CP481" s="237">
        <f t="shared" si="550"/>
        <v>0</v>
      </c>
      <c r="CQ481" s="210"/>
    </row>
    <row r="482" spans="1:95" s="76" customFormat="1" ht="14.25" customHeight="1" x14ac:dyDescent="0.2">
      <c r="A482" s="238" t="b">
        <f t="shared" si="554"/>
        <v>0</v>
      </c>
      <c r="B482" s="239">
        <v>460</v>
      </c>
      <c r="C482" s="258"/>
      <c r="D482" s="258"/>
      <c r="E482" s="240"/>
      <c r="F482" s="241" t="str">
        <f>IF(ISBLANK(E482), "", VLOOKUP(E482, Z!$A$2:$C$4127, 3, FALSE))</f>
        <v/>
      </c>
      <c r="G482" s="242"/>
      <c r="H482" s="242"/>
      <c r="I482" s="243"/>
      <c r="J482" s="244"/>
      <c r="K482" s="259"/>
      <c r="L482" s="260"/>
      <c r="M482" s="247" t="str" cm="1">
        <f t="array" ref="M482">IF($K482&gt;0, INDEX(Clean,1+AG482,$C$1), "")</f>
        <v/>
      </c>
      <c r="N482" s="245"/>
      <c r="O482" s="245"/>
      <c r="P482" s="246"/>
      <c r="Q482" s="248">
        <f t="shared" si="527"/>
        <v>0</v>
      </c>
      <c r="R482" s="247" t="str" cm="1">
        <f t="array" ref="R482">IF($K482&gt;0, INDEX(Clean,1+AH482,$C$1), "")</f>
        <v/>
      </c>
      <c r="S482" s="245"/>
      <c r="T482" s="245"/>
      <c r="U482" s="246"/>
      <c r="V482" s="248">
        <f t="shared" si="528"/>
        <v>0</v>
      </c>
      <c r="W482" s="261"/>
      <c r="X482" s="258"/>
      <c r="Y482" s="240"/>
      <c r="Z482" s="241" t="str">
        <f>IF(ISBLANK(Y482), "", VLOOKUP(Y482, Z!$A$2:$C$4127, 3, FALSE))</f>
        <v/>
      </c>
      <c r="AA482" s="262"/>
      <c r="AB482" s="249">
        <f t="shared" si="563"/>
        <v>0</v>
      </c>
      <c r="AC482" s="210"/>
      <c r="AD482" s="236">
        <f t="shared" si="551"/>
        <v>1</v>
      </c>
      <c r="AE482" s="236">
        <f t="shared" si="552"/>
        <v>1</v>
      </c>
      <c r="AF482" s="236">
        <f t="shared" si="553"/>
        <v>0</v>
      </c>
      <c r="AG482" s="236">
        <v>1</v>
      </c>
      <c r="AH482" s="236">
        <v>0</v>
      </c>
      <c r="AI482" s="236">
        <f t="shared" si="529"/>
        <v>-100</v>
      </c>
      <c r="AJ482" s="210"/>
      <c r="AK482" s="254"/>
      <c r="AL482" s="254"/>
      <c r="AM482" s="255"/>
      <c r="AN482" s="255"/>
      <c r="AO482" s="255"/>
      <c r="AP482" s="255"/>
      <c r="AQ482" s="255"/>
      <c r="AR482" s="255"/>
      <c r="AS482" s="255"/>
      <c r="AT482" s="255"/>
      <c r="AU482" s="255"/>
      <c r="AV482" s="255"/>
      <c r="AW482" s="255"/>
      <c r="AX482" s="210"/>
      <c r="AY482" s="236" cm="1">
        <f t="array" ref="AY482">INDEX(Use, $AD482, 4)</f>
        <v>7</v>
      </c>
      <c r="AZ482" s="236">
        <f t="shared" si="530"/>
        <v>32</v>
      </c>
      <c r="BA482" s="236">
        <f t="shared" si="555"/>
        <v>13</v>
      </c>
      <c r="BB482" s="236">
        <f t="shared" si="556"/>
        <v>0</v>
      </c>
      <c r="BC482" s="252" cm="1">
        <f t="array" ref="BC482">K482/IF($L482&gt;0, INDEX($AO$23:$AU$77, $L482+20, $AD482), 1)</f>
        <v>0</v>
      </c>
      <c r="BD482" s="237">
        <f t="shared" si="531"/>
        <v>0</v>
      </c>
      <c r="BE482" s="236">
        <v>35</v>
      </c>
      <c r="BF482" s="237">
        <f t="shared" si="532"/>
        <v>52.55</v>
      </c>
      <c r="BG482" s="253">
        <f t="shared" si="533"/>
        <v>2.7676728869374316</v>
      </c>
      <c r="BH482" s="253" cm="1">
        <f t="array" ref="BH482">$BC482 * SUMPRODUCT(INDEX($AL$77:$AN$82,,$AE482),INDEX($AO$77:$AU$82,,$AD482), N($AK$77:$AK$82&gt;$AI482)) / BG482 / 1000</f>
        <v>0</v>
      </c>
      <c r="BI482" s="250">
        <f t="shared" si="557"/>
        <v>30</v>
      </c>
      <c r="BJ482" s="237">
        <f t="shared" si="534"/>
        <v>46.033333333333331</v>
      </c>
      <c r="BK482" s="253">
        <f t="shared" si="535"/>
        <v>3.2297395388556791</v>
      </c>
      <c r="BL482" s="253" cm="1">
        <f t="array" ref="BL482">$BC482 * IF($AD482&lt;=2,
SUMPRODUCT(INDEX($AL$72:$AN$76,,$AE482), INDEX($AO$72:$AU$76,,$AD482), 1 / ($AV$72:$AV$76*BK482 + (1-$AV$72:$AV$76)*BG482), N($AK$72:$AK$76&gt;$AI482)),
SUMPRODUCT(INDEX($AL$67:$AN$76,,$AE482), INDEX($AO$67:$AU$76,,$AD482), 1 / ($AW$67:$AW$76*BK482 + (1-$AW$67:$AW$76)*BG482), N($AK$67:$AK$76&gt;$AI482))
) / 1000</f>
        <v>0</v>
      </c>
      <c r="BM482" s="250">
        <f t="shared" si="558"/>
        <v>25</v>
      </c>
      <c r="BN482" s="237">
        <f t="shared" si="536"/>
        <v>39.516666666666666</v>
      </c>
      <c r="BO482" s="253">
        <f t="shared" si="537"/>
        <v>3.877011788826243</v>
      </c>
      <c r="BP482" s="253" cm="1">
        <f t="array" ref="BP482">$BC482 * IF($AD482&lt;=2,
SUMPRODUCT(INDEX($AL$67:$AN$71,,$AE482), INDEX($AO$67:$AU$71,,$AD482), 1 / ($AV$67:$AV$71*BO482 + (1-$AV$67:$AV$71)*BK482), N($AK$67:$AK$71&gt;$AI482)),
SUMPRODUCT(INDEX($AL$57:$AN$66,,$AE482), INDEX($AO$57:$AU$66,,$AD482), 1 / ($AW$57:$AW$66*BO482 + (1-$AW$57:$AW$66)*BK482), N($AK$57:$AK$66&gt;$AI482))
) / 1000</f>
        <v>0</v>
      </c>
      <c r="BQ482" s="250">
        <f t="shared" si="559"/>
        <v>20</v>
      </c>
      <c r="BR482" s="237">
        <f t="shared" si="538"/>
        <v>33</v>
      </c>
      <c r="BS482" s="253">
        <f t="shared" si="539"/>
        <v>4.8487499999999999</v>
      </c>
      <c r="BT482" s="253" cm="1">
        <f t="array" ref="BT482">$BC482 * IF($AD482&lt;=2,
SUMPRODUCT(INDEX($AL$62:$AN$66,,$AE482), INDEX($AO$62:$AU$66,,$AD482), 1 / ($AV$62:$AV$66*BS482 + (1-$AV$62:$AV$66)*BO482), N($AK$62:$AK$66&gt;$AI482)),
SUMPRODUCT(INDEX($AL$47:$AN$56,,$AE482), INDEX($AO$47:$AU$56,,$AD482), 1 / ($AW$47:$AW$56*BS482 + (1-$AW$47:$AW$56)*BO482), N($AK$47:$AK$56&gt;$AI482))
) / 1000</f>
        <v>0</v>
      </c>
      <c r="BU482" s="253" cm="1">
        <f t="array" ref="BU482">$BC482 * IF($AD482&lt;=2,
SUMPRODUCT(INDEX($AL$23:$AN$61,,$AE482), INDEX($AO$23:$AU$61,,$AD482), 1 / ($AV$23:$AV$61*BS482), N($AK$23:$AK$61&gt;$AI482)),
SUMPRODUCT(INDEX($AL$23:$AN$46,,$AE482), INDEX($AO$23:$AU$46,,$AD482), 1 / ($AW$23:$AW$46*BS482), N($AK$23:$AK$46&gt;$AI482))
) / 1000</f>
        <v>0</v>
      </c>
      <c r="BV482" s="237">
        <f t="shared" si="540"/>
        <v>0</v>
      </c>
      <c r="BW482" s="210"/>
      <c r="BX482" s="237">
        <f t="shared" si="541"/>
        <v>0</v>
      </c>
      <c r="BY482" s="236">
        <v>35</v>
      </c>
      <c r="BZ482" s="237">
        <f t="shared" si="542"/>
        <v>48</v>
      </c>
      <c r="CA482" s="253">
        <f t="shared" si="543"/>
        <v>3.0748170731707316</v>
      </c>
      <c r="CB482" s="253" cm="1">
        <f t="array" ref="CB482">$BC482 * SUMPRODUCT(INDEX($AL$77:$AN$82,,$AE482),INDEX($AO$77:$AU$82,,$AD482), N($AK$77:$AK$82&gt;$AI482)) / CA482 / 1000</f>
        <v>0</v>
      </c>
      <c r="CC482" s="250">
        <f t="shared" si="560"/>
        <v>30</v>
      </c>
      <c r="CD482" s="237">
        <f t="shared" si="544"/>
        <v>43</v>
      </c>
      <c r="CE482" s="253">
        <f t="shared" si="545"/>
        <v>3.5018750000000001</v>
      </c>
      <c r="CF482" s="253" cm="1">
        <f t="array" ref="CF482">$BC482 * IF($AD482&lt;=2,
SUMPRODUCT(INDEX($AL$72:$AN$76,,$AE482), INDEX($AO$72:$AU$76,,$AD482), 1 / ($AV$72:$AV$76*CE482 + (1-$AV$72:$AV$76)*CA482), N($AK$72:$AK$76&gt;$AI482)),
SUMPRODUCT(INDEX($AL$67:$AN$76,,$AE482), INDEX($AO$67:$AU$76,,$AD482), 1 / ($AW$67:$AW$76*CE482 + (1-$AW$67:$AW$76)*CA482), N($AK$67:$AK$76&gt;$AI482))
) / 1000</f>
        <v>0</v>
      </c>
      <c r="CG482" s="250">
        <f t="shared" si="561"/>
        <v>25</v>
      </c>
      <c r="CH482" s="237">
        <f t="shared" si="546"/>
        <v>38</v>
      </c>
      <c r="CI482" s="253">
        <f t="shared" si="547"/>
        <v>4.0666935483870965</v>
      </c>
      <c r="CJ482" s="253" cm="1">
        <f t="array" ref="CJ482">$BC482 * IF($AD482&lt;=2,
SUMPRODUCT(INDEX($AL$67:$AN$71,,$AE482), INDEX($AO$67:$AU$71,,$AD482), 1 / ($AV$67:$AV$71*CI482 + (1-$AV$67:$AV$71)*CE482), N($AK$67:$AK$71&gt;$AI482)),
SUMPRODUCT(INDEX($AL$57:$AN$66,,$AE482), INDEX($AO$57:$AU$66,,$AD482), 1 / ($AW$57:$AW$66*CI482 + (1-$AW$57:$AW$66)*CE482), N($AK$57:$AK$66&gt;$AI482))
) / 1000</f>
        <v>0</v>
      </c>
      <c r="CK482" s="250">
        <f t="shared" si="562"/>
        <v>20</v>
      </c>
      <c r="CL482" s="237">
        <f t="shared" si="548"/>
        <v>33</v>
      </c>
      <c r="CM482" s="253">
        <f t="shared" si="549"/>
        <v>4.8487499999999999</v>
      </c>
      <c r="CN482" s="253" cm="1">
        <f t="array" ref="CN482">$BC482 * IF($AD482&lt;=2,
SUMPRODUCT(INDEX($AL$62:$AN$66,,$AE482), INDEX($AO$62:$AU$66,,$AD482), 1 / ($AV$62:$AV$66*CM482 + (1-$AV$62:$AV$66)*CI482), N($AK$62:$AK$66&gt;$AI482)),
SUMPRODUCT(INDEX($AL$47:$AN$56,,$AE482), INDEX($AO$47:$AU$56,,$AD482), 1 / ($AW$47:$AW$56*CM482 + (1-$AW$47:$AW$56)*CI482), N($AK$47:$AK$56&gt;$AI482))
) / 1000</f>
        <v>0</v>
      </c>
      <c r="CO482" s="253" cm="1">
        <f t="array" ref="CO482">$BC482 * IF($AD482&lt;=2,
SUMPRODUCT(INDEX($AL$23:$AN$61,,$AE482), INDEX($AO$23:$AU$61,,$AD482), 1 / ($AV$23:$AV$61*CM482), N($AK$23:$AK$61&gt;$AI482)),
SUMPRODUCT(INDEX($AL$23:$AN$46,,$AE482), INDEX($AO$23:$AU$46,,$AD482), 1 / ($AW$23:$AW$46*CM482), N($AK$23:$AK$46&gt;$AI482))
) / 1000</f>
        <v>0</v>
      </c>
      <c r="CP482" s="237">
        <f t="shared" si="550"/>
        <v>0</v>
      </c>
      <c r="CQ482" s="210"/>
    </row>
    <row r="483" spans="1:95" s="76" customFormat="1" ht="14.25" customHeight="1" x14ac:dyDescent="0.2">
      <c r="A483" s="238" t="b">
        <f t="shared" si="554"/>
        <v>0</v>
      </c>
      <c r="B483" s="239">
        <v>461</v>
      </c>
      <c r="C483" s="258"/>
      <c r="D483" s="258"/>
      <c r="E483" s="240"/>
      <c r="F483" s="241" t="str">
        <f>IF(ISBLANK(E483), "", VLOOKUP(E483, Z!$A$2:$C$4127, 3, FALSE))</f>
        <v/>
      </c>
      <c r="G483" s="242"/>
      <c r="H483" s="242"/>
      <c r="I483" s="243"/>
      <c r="J483" s="244"/>
      <c r="K483" s="259"/>
      <c r="L483" s="260"/>
      <c r="M483" s="247" t="str" cm="1">
        <f t="array" ref="M483">IF($K483&gt;0, INDEX(Clean,1+AG483,$C$1), "")</f>
        <v/>
      </c>
      <c r="N483" s="245"/>
      <c r="O483" s="245"/>
      <c r="P483" s="246"/>
      <c r="Q483" s="248">
        <f t="shared" si="527"/>
        <v>0</v>
      </c>
      <c r="R483" s="247" t="str" cm="1">
        <f t="array" ref="R483">IF($K483&gt;0, INDEX(Clean,1+AH483,$C$1), "")</f>
        <v/>
      </c>
      <c r="S483" s="245"/>
      <c r="T483" s="245"/>
      <c r="U483" s="246"/>
      <c r="V483" s="248">
        <f t="shared" si="528"/>
        <v>0</v>
      </c>
      <c r="W483" s="261"/>
      <c r="X483" s="258"/>
      <c r="Y483" s="240"/>
      <c r="Z483" s="241" t="str">
        <f>IF(ISBLANK(Y483), "", VLOOKUP(Y483, Z!$A$2:$C$4127, 3, FALSE))</f>
        <v/>
      </c>
      <c r="AA483" s="262"/>
      <c r="AB483" s="249">
        <f t="shared" si="563"/>
        <v>0</v>
      </c>
      <c r="AC483" s="210"/>
      <c r="AD483" s="236">
        <f t="shared" si="551"/>
        <v>1</v>
      </c>
      <c r="AE483" s="236">
        <f t="shared" si="552"/>
        <v>1</v>
      </c>
      <c r="AF483" s="236">
        <f t="shared" si="553"/>
        <v>0</v>
      </c>
      <c r="AG483" s="236">
        <v>1</v>
      </c>
      <c r="AH483" s="236">
        <v>0</v>
      </c>
      <c r="AI483" s="236">
        <f t="shared" si="529"/>
        <v>-100</v>
      </c>
      <c r="AJ483" s="210"/>
      <c r="AK483" s="254"/>
      <c r="AL483" s="254"/>
      <c r="AM483" s="255"/>
      <c r="AN483" s="255"/>
      <c r="AO483" s="255"/>
      <c r="AP483" s="255"/>
      <c r="AQ483" s="255"/>
      <c r="AR483" s="255"/>
      <c r="AS483" s="255"/>
      <c r="AT483" s="255"/>
      <c r="AU483" s="255"/>
      <c r="AV483" s="255"/>
      <c r="AW483" s="255"/>
      <c r="AX483" s="210"/>
      <c r="AY483" s="236" cm="1">
        <f t="array" ref="AY483">INDEX(Use, $AD483, 4)</f>
        <v>7</v>
      </c>
      <c r="AZ483" s="236">
        <f t="shared" si="530"/>
        <v>32</v>
      </c>
      <c r="BA483" s="236">
        <f t="shared" si="555"/>
        <v>13</v>
      </c>
      <c r="BB483" s="236">
        <f t="shared" si="556"/>
        <v>0</v>
      </c>
      <c r="BC483" s="252" cm="1">
        <f t="array" ref="BC483">K483/IF($L483&gt;0, INDEX($AO$23:$AU$77, $L483+20, $AD483), 1)</f>
        <v>0</v>
      </c>
      <c r="BD483" s="237">
        <f t="shared" si="531"/>
        <v>0</v>
      </c>
      <c r="BE483" s="236">
        <v>35</v>
      </c>
      <c r="BF483" s="237">
        <f t="shared" si="532"/>
        <v>52.55</v>
      </c>
      <c r="BG483" s="253">
        <f t="shared" si="533"/>
        <v>2.7676728869374316</v>
      </c>
      <c r="BH483" s="253" cm="1">
        <f t="array" ref="BH483">$BC483 * SUMPRODUCT(INDEX($AL$77:$AN$82,,$AE483),INDEX($AO$77:$AU$82,,$AD483), N($AK$77:$AK$82&gt;$AI483)) / BG483 / 1000</f>
        <v>0</v>
      </c>
      <c r="BI483" s="250">
        <f t="shared" si="557"/>
        <v>30</v>
      </c>
      <c r="BJ483" s="237">
        <f t="shared" si="534"/>
        <v>46.033333333333331</v>
      </c>
      <c r="BK483" s="253">
        <f t="shared" si="535"/>
        <v>3.2297395388556791</v>
      </c>
      <c r="BL483" s="253" cm="1">
        <f t="array" ref="BL483">$BC483 * IF($AD483&lt;=2,
SUMPRODUCT(INDEX($AL$72:$AN$76,,$AE483), INDEX($AO$72:$AU$76,,$AD483), 1 / ($AV$72:$AV$76*BK483 + (1-$AV$72:$AV$76)*BG483), N($AK$72:$AK$76&gt;$AI483)),
SUMPRODUCT(INDEX($AL$67:$AN$76,,$AE483), INDEX($AO$67:$AU$76,,$AD483), 1 / ($AW$67:$AW$76*BK483 + (1-$AW$67:$AW$76)*BG483), N($AK$67:$AK$76&gt;$AI483))
) / 1000</f>
        <v>0</v>
      </c>
      <c r="BM483" s="250">
        <f t="shared" si="558"/>
        <v>25</v>
      </c>
      <c r="BN483" s="237">
        <f t="shared" si="536"/>
        <v>39.516666666666666</v>
      </c>
      <c r="BO483" s="253">
        <f t="shared" si="537"/>
        <v>3.877011788826243</v>
      </c>
      <c r="BP483" s="253" cm="1">
        <f t="array" ref="BP483">$BC483 * IF($AD483&lt;=2,
SUMPRODUCT(INDEX($AL$67:$AN$71,,$AE483), INDEX($AO$67:$AU$71,,$AD483), 1 / ($AV$67:$AV$71*BO483 + (1-$AV$67:$AV$71)*BK483), N($AK$67:$AK$71&gt;$AI483)),
SUMPRODUCT(INDEX($AL$57:$AN$66,,$AE483), INDEX($AO$57:$AU$66,,$AD483), 1 / ($AW$57:$AW$66*BO483 + (1-$AW$57:$AW$66)*BK483), N($AK$57:$AK$66&gt;$AI483))
) / 1000</f>
        <v>0</v>
      </c>
      <c r="BQ483" s="250">
        <f t="shared" si="559"/>
        <v>20</v>
      </c>
      <c r="BR483" s="237">
        <f t="shared" si="538"/>
        <v>33</v>
      </c>
      <c r="BS483" s="253">
        <f t="shared" si="539"/>
        <v>4.8487499999999999</v>
      </c>
      <c r="BT483" s="253" cm="1">
        <f t="array" ref="BT483">$BC483 * IF($AD483&lt;=2,
SUMPRODUCT(INDEX($AL$62:$AN$66,,$AE483), INDEX($AO$62:$AU$66,,$AD483), 1 / ($AV$62:$AV$66*BS483 + (1-$AV$62:$AV$66)*BO483), N($AK$62:$AK$66&gt;$AI483)),
SUMPRODUCT(INDEX($AL$47:$AN$56,,$AE483), INDEX($AO$47:$AU$56,,$AD483), 1 / ($AW$47:$AW$56*BS483 + (1-$AW$47:$AW$56)*BO483), N($AK$47:$AK$56&gt;$AI483))
) / 1000</f>
        <v>0</v>
      </c>
      <c r="BU483" s="253" cm="1">
        <f t="array" ref="BU483">$BC483 * IF($AD483&lt;=2,
SUMPRODUCT(INDEX($AL$23:$AN$61,,$AE483), INDEX($AO$23:$AU$61,,$AD483), 1 / ($AV$23:$AV$61*BS483), N($AK$23:$AK$61&gt;$AI483)),
SUMPRODUCT(INDEX($AL$23:$AN$46,,$AE483), INDEX($AO$23:$AU$46,,$AD483), 1 / ($AW$23:$AW$46*BS483), N($AK$23:$AK$46&gt;$AI483))
) / 1000</f>
        <v>0</v>
      </c>
      <c r="BV483" s="237">
        <f t="shared" si="540"/>
        <v>0</v>
      </c>
      <c r="BW483" s="210"/>
      <c r="BX483" s="237">
        <f t="shared" si="541"/>
        <v>0</v>
      </c>
      <c r="BY483" s="236">
        <v>35</v>
      </c>
      <c r="BZ483" s="237">
        <f t="shared" si="542"/>
        <v>48</v>
      </c>
      <c r="CA483" s="253">
        <f t="shared" si="543"/>
        <v>3.0748170731707316</v>
      </c>
      <c r="CB483" s="253" cm="1">
        <f t="array" ref="CB483">$BC483 * SUMPRODUCT(INDEX($AL$77:$AN$82,,$AE483),INDEX($AO$77:$AU$82,,$AD483), N($AK$77:$AK$82&gt;$AI483)) / CA483 / 1000</f>
        <v>0</v>
      </c>
      <c r="CC483" s="250">
        <f t="shared" si="560"/>
        <v>30</v>
      </c>
      <c r="CD483" s="237">
        <f t="shared" si="544"/>
        <v>43</v>
      </c>
      <c r="CE483" s="253">
        <f t="shared" si="545"/>
        <v>3.5018750000000001</v>
      </c>
      <c r="CF483" s="253" cm="1">
        <f t="array" ref="CF483">$BC483 * IF($AD483&lt;=2,
SUMPRODUCT(INDEX($AL$72:$AN$76,,$AE483), INDEX($AO$72:$AU$76,,$AD483), 1 / ($AV$72:$AV$76*CE483 + (1-$AV$72:$AV$76)*CA483), N($AK$72:$AK$76&gt;$AI483)),
SUMPRODUCT(INDEX($AL$67:$AN$76,,$AE483), INDEX($AO$67:$AU$76,,$AD483), 1 / ($AW$67:$AW$76*CE483 + (1-$AW$67:$AW$76)*CA483), N($AK$67:$AK$76&gt;$AI483))
) / 1000</f>
        <v>0</v>
      </c>
      <c r="CG483" s="250">
        <f t="shared" si="561"/>
        <v>25</v>
      </c>
      <c r="CH483" s="237">
        <f t="shared" si="546"/>
        <v>38</v>
      </c>
      <c r="CI483" s="253">
        <f t="shared" si="547"/>
        <v>4.0666935483870965</v>
      </c>
      <c r="CJ483" s="253" cm="1">
        <f t="array" ref="CJ483">$BC483 * IF($AD483&lt;=2,
SUMPRODUCT(INDEX($AL$67:$AN$71,,$AE483), INDEX($AO$67:$AU$71,,$AD483), 1 / ($AV$67:$AV$71*CI483 + (1-$AV$67:$AV$71)*CE483), N($AK$67:$AK$71&gt;$AI483)),
SUMPRODUCT(INDEX($AL$57:$AN$66,,$AE483), INDEX($AO$57:$AU$66,,$AD483), 1 / ($AW$57:$AW$66*CI483 + (1-$AW$57:$AW$66)*CE483), N($AK$57:$AK$66&gt;$AI483))
) / 1000</f>
        <v>0</v>
      </c>
      <c r="CK483" s="250">
        <f t="shared" si="562"/>
        <v>20</v>
      </c>
      <c r="CL483" s="237">
        <f t="shared" si="548"/>
        <v>33</v>
      </c>
      <c r="CM483" s="253">
        <f t="shared" si="549"/>
        <v>4.8487499999999999</v>
      </c>
      <c r="CN483" s="253" cm="1">
        <f t="array" ref="CN483">$BC483 * IF($AD483&lt;=2,
SUMPRODUCT(INDEX($AL$62:$AN$66,,$AE483), INDEX($AO$62:$AU$66,,$AD483), 1 / ($AV$62:$AV$66*CM483 + (1-$AV$62:$AV$66)*CI483), N($AK$62:$AK$66&gt;$AI483)),
SUMPRODUCT(INDEX($AL$47:$AN$56,,$AE483), INDEX($AO$47:$AU$56,,$AD483), 1 / ($AW$47:$AW$56*CM483 + (1-$AW$47:$AW$56)*CI483), N($AK$47:$AK$56&gt;$AI483))
) / 1000</f>
        <v>0</v>
      </c>
      <c r="CO483" s="253" cm="1">
        <f t="array" ref="CO483">$BC483 * IF($AD483&lt;=2,
SUMPRODUCT(INDEX($AL$23:$AN$61,,$AE483), INDEX($AO$23:$AU$61,,$AD483), 1 / ($AV$23:$AV$61*CM483), N($AK$23:$AK$61&gt;$AI483)),
SUMPRODUCT(INDEX($AL$23:$AN$46,,$AE483), INDEX($AO$23:$AU$46,,$AD483), 1 / ($AW$23:$AW$46*CM483), N($AK$23:$AK$46&gt;$AI483))
) / 1000</f>
        <v>0</v>
      </c>
      <c r="CP483" s="237">
        <f t="shared" si="550"/>
        <v>0</v>
      </c>
      <c r="CQ483" s="210"/>
    </row>
    <row r="484" spans="1:95" s="76" customFormat="1" ht="14.25" customHeight="1" x14ac:dyDescent="0.2">
      <c r="A484" s="238" t="b">
        <f t="shared" si="554"/>
        <v>0</v>
      </c>
      <c r="B484" s="239">
        <v>462</v>
      </c>
      <c r="C484" s="258"/>
      <c r="D484" s="258"/>
      <c r="E484" s="240"/>
      <c r="F484" s="241" t="str">
        <f>IF(ISBLANK(E484), "", VLOOKUP(E484, Z!$A$2:$C$4127, 3, FALSE))</f>
        <v/>
      </c>
      <c r="G484" s="242"/>
      <c r="H484" s="242"/>
      <c r="I484" s="243"/>
      <c r="J484" s="244"/>
      <c r="K484" s="259"/>
      <c r="L484" s="260"/>
      <c r="M484" s="247" t="str" cm="1">
        <f t="array" ref="M484">IF($K484&gt;0, INDEX(Clean,1+AG484,$C$1), "")</f>
        <v/>
      </c>
      <c r="N484" s="245"/>
      <c r="O484" s="245"/>
      <c r="P484" s="246"/>
      <c r="Q484" s="248">
        <f t="shared" si="527"/>
        <v>0</v>
      </c>
      <c r="R484" s="247" t="str" cm="1">
        <f t="array" ref="R484">IF($K484&gt;0, INDEX(Clean,1+AH484,$C$1), "")</f>
        <v/>
      </c>
      <c r="S484" s="245"/>
      <c r="T484" s="245"/>
      <c r="U484" s="246"/>
      <c r="V484" s="248">
        <f t="shared" si="528"/>
        <v>0</v>
      </c>
      <c r="W484" s="261"/>
      <c r="X484" s="258"/>
      <c r="Y484" s="240"/>
      <c r="Z484" s="241" t="str">
        <f>IF(ISBLANK(Y484), "", VLOOKUP(Y484, Z!$A$2:$C$4127, 3, FALSE))</f>
        <v/>
      </c>
      <c r="AA484" s="262"/>
      <c r="AB484" s="249">
        <f t="shared" si="563"/>
        <v>0</v>
      </c>
      <c r="AC484" s="210"/>
      <c r="AD484" s="236">
        <f t="shared" si="551"/>
        <v>1</v>
      </c>
      <c r="AE484" s="236">
        <f t="shared" si="552"/>
        <v>1</v>
      </c>
      <c r="AF484" s="236">
        <f t="shared" si="553"/>
        <v>0</v>
      </c>
      <c r="AG484" s="236">
        <v>1</v>
      </c>
      <c r="AH484" s="236">
        <v>0</v>
      </c>
      <c r="AI484" s="236">
        <f t="shared" si="529"/>
        <v>-100</v>
      </c>
      <c r="AJ484" s="210"/>
      <c r="AK484" s="254"/>
      <c r="AL484" s="254"/>
      <c r="AM484" s="255"/>
      <c r="AN484" s="255"/>
      <c r="AO484" s="255"/>
      <c r="AP484" s="255"/>
      <c r="AQ484" s="255"/>
      <c r="AR484" s="255"/>
      <c r="AS484" s="255"/>
      <c r="AT484" s="255"/>
      <c r="AU484" s="255"/>
      <c r="AV484" s="255"/>
      <c r="AW484" s="255"/>
      <c r="AX484" s="210"/>
      <c r="AY484" s="236" cm="1">
        <f t="array" ref="AY484">INDEX(Use, $AD484, 4)</f>
        <v>7</v>
      </c>
      <c r="AZ484" s="236">
        <f t="shared" si="530"/>
        <v>32</v>
      </c>
      <c r="BA484" s="236">
        <f t="shared" si="555"/>
        <v>13</v>
      </c>
      <c r="BB484" s="236">
        <f t="shared" si="556"/>
        <v>0</v>
      </c>
      <c r="BC484" s="252" cm="1">
        <f t="array" ref="BC484">K484/IF($L484&gt;0, INDEX($AO$23:$AU$77, $L484+20, $AD484), 1)</f>
        <v>0</v>
      </c>
      <c r="BD484" s="237">
        <f t="shared" si="531"/>
        <v>0</v>
      </c>
      <c r="BE484" s="236">
        <v>35</v>
      </c>
      <c r="BF484" s="237">
        <f t="shared" si="532"/>
        <v>52.55</v>
      </c>
      <c r="BG484" s="253">
        <f t="shared" si="533"/>
        <v>2.7676728869374316</v>
      </c>
      <c r="BH484" s="253" cm="1">
        <f t="array" ref="BH484">$BC484 * SUMPRODUCT(INDEX($AL$77:$AN$82,,$AE484),INDEX($AO$77:$AU$82,,$AD484), N($AK$77:$AK$82&gt;$AI484)) / BG484 / 1000</f>
        <v>0</v>
      </c>
      <c r="BI484" s="250">
        <f t="shared" si="557"/>
        <v>30</v>
      </c>
      <c r="BJ484" s="237">
        <f t="shared" si="534"/>
        <v>46.033333333333331</v>
      </c>
      <c r="BK484" s="253">
        <f t="shared" si="535"/>
        <v>3.2297395388556791</v>
      </c>
      <c r="BL484" s="253" cm="1">
        <f t="array" ref="BL484">$BC484 * IF($AD484&lt;=2,
SUMPRODUCT(INDEX($AL$72:$AN$76,,$AE484), INDEX($AO$72:$AU$76,,$AD484), 1 / ($AV$72:$AV$76*BK484 + (1-$AV$72:$AV$76)*BG484), N($AK$72:$AK$76&gt;$AI484)),
SUMPRODUCT(INDEX($AL$67:$AN$76,,$AE484), INDEX($AO$67:$AU$76,,$AD484), 1 / ($AW$67:$AW$76*BK484 + (1-$AW$67:$AW$76)*BG484), N($AK$67:$AK$76&gt;$AI484))
) / 1000</f>
        <v>0</v>
      </c>
      <c r="BM484" s="250">
        <f t="shared" si="558"/>
        <v>25</v>
      </c>
      <c r="BN484" s="237">
        <f t="shared" si="536"/>
        <v>39.516666666666666</v>
      </c>
      <c r="BO484" s="253">
        <f t="shared" si="537"/>
        <v>3.877011788826243</v>
      </c>
      <c r="BP484" s="253" cm="1">
        <f t="array" ref="BP484">$BC484 * IF($AD484&lt;=2,
SUMPRODUCT(INDEX($AL$67:$AN$71,,$AE484), INDEX($AO$67:$AU$71,,$AD484), 1 / ($AV$67:$AV$71*BO484 + (1-$AV$67:$AV$71)*BK484), N($AK$67:$AK$71&gt;$AI484)),
SUMPRODUCT(INDEX($AL$57:$AN$66,,$AE484), INDEX($AO$57:$AU$66,,$AD484), 1 / ($AW$57:$AW$66*BO484 + (1-$AW$57:$AW$66)*BK484), N($AK$57:$AK$66&gt;$AI484))
) / 1000</f>
        <v>0</v>
      </c>
      <c r="BQ484" s="250">
        <f t="shared" si="559"/>
        <v>20</v>
      </c>
      <c r="BR484" s="237">
        <f t="shared" si="538"/>
        <v>33</v>
      </c>
      <c r="BS484" s="253">
        <f t="shared" si="539"/>
        <v>4.8487499999999999</v>
      </c>
      <c r="BT484" s="253" cm="1">
        <f t="array" ref="BT484">$BC484 * IF($AD484&lt;=2,
SUMPRODUCT(INDEX($AL$62:$AN$66,,$AE484), INDEX($AO$62:$AU$66,,$AD484), 1 / ($AV$62:$AV$66*BS484 + (1-$AV$62:$AV$66)*BO484), N($AK$62:$AK$66&gt;$AI484)),
SUMPRODUCT(INDEX($AL$47:$AN$56,,$AE484), INDEX($AO$47:$AU$56,,$AD484), 1 / ($AW$47:$AW$56*BS484 + (1-$AW$47:$AW$56)*BO484), N($AK$47:$AK$56&gt;$AI484))
) / 1000</f>
        <v>0</v>
      </c>
      <c r="BU484" s="253" cm="1">
        <f t="array" ref="BU484">$BC484 * IF($AD484&lt;=2,
SUMPRODUCT(INDEX($AL$23:$AN$61,,$AE484), INDEX($AO$23:$AU$61,,$AD484), 1 / ($AV$23:$AV$61*BS484), N($AK$23:$AK$61&gt;$AI484)),
SUMPRODUCT(INDEX($AL$23:$AN$46,,$AE484), INDEX($AO$23:$AU$46,,$AD484), 1 / ($AW$23:$AW$46*BS484), N($AK$23:$AK$46&gt;$AI484))
) / 1000</f>
        <v>0</v>
      </c>
      <c r="BV484" s="237">
        <f t="shared" si="540"/>
        <v>0</v>
      </c>
      <c r="BW484" s="210"/>
      <c r="BX484" s="237">
        <f t="shared" si="541"/>
        <v>0</v>
      </c>
      <c r="BY484" s="236">
        <v>35</v>
      </c>
      <c r="BZ484" s="237">
        <f t="shared" si="542"/>
        <v>48</v>
      </c>
      <c r="CA484" s="253">
        <f t="shared" si="543"/>
        <v>3.0748170731707316</v>
      </c>
      <c r="CB484" s="253" cm="1">
        <f t="array" ref="CB484">$BC484 * SUMPRODUCT(INDEX($AL$77:$AN$82,,$AE484),INDEX($AO$77:$AU$82,,$AD484), N($AK$77:$AK$82&gt;$AI484)) / CA484 / 1000</f>
        <v>0</v>
      </c>
      <c r="CC484" s="250">
        <f t="shared" si="560"/>
        <v>30</v>
      </c>
      <c r="CD484" s="237">
        <f t="shared" si="544"/>
        <v>43</v>
      </c>
      <c r="CE484" s="253">
        <f t="shared" si="545"/>
        <v>3.5018750000000001</v>
      </c>
      <c r="CF484" s="253" cm="1">
        <f t="array" ref="CF484">$BC484 * IF($AD484&lt;=2,
SUMPRODUCT(INDEX($AL$72:$AN$76,,$AE484), INDEX($AO$72:$AU$76,,$AD484), 1 / ($AV$72:$AV$76*CE484 + (1-$AV$72:$AV$76)*CA484), N($AK$72:$AK$76&gt;$AI484)),
SUMPRODUCT(INDEX($AL$67:$AN$76,,$AE484), INDEX($AO$67:$AU$76,,$AD484), 1 / ($AW$67:$AW$76*CE484 + (1-$AW$67:$AW$76)*CA484), N($AK$67:$AK$76&gt;$AI484))
) / 1000</f>
        <v>0</v>
      </c>
      <c r="CG484" s="250">
        <f t="shared" si="561"/>
        <v>25</v>
      </c>
      <c r="CH484" s="237">
        <f t="shared" si="546"/>
        <v>38</v>
      </c>
      <c r="CI484" s="253">
        <f t="shared" si="547"/>
        <v>4.0666935483870965</v>
      </c>
      <c r="CJ484" s="253" cm="1">
        <f t="array" ref="CJ484">$BC484 * IF($AD484&lt;=2,
SUMPRODUCT(INDEX($AL$67:$AN$71,,$AE484), INDEX($AO$67:$AU$71,,$AD484), 1 / ($AV$67:$AV$71*CI484 + (1-$AV$67:$AV$71)*CE484), N($AK$67:$AK$71&gt;$AI484)),
SUMPRODUCT(INDEX($AL$57:$AN$66,,$AE484), INDEX($AO$57:$AU$66,,$AD484), 1 / ($AW$57:$AW$66*CI484 + (1-$AW$57:$AW$66)*CE484), N($AK$57:$AK$66&gt;$AI484))
) / 1000</f>
        <v>0</v>
      </c>
      <c r="CK484" s="250">
        <f t="shared" si="562"/>
        <v>20</v>
      </c>
      <c r="CL484" s="237">
        <f t="shared" si="548"/>
        <v>33</v>
      </c>
      <c r="CM484" s="253">
        <f t="shared" si="549"/>
        <v>4.8487499999999999</v>
      </c>
      <c r="CN484" s="253" cm="1">
        <f t="array" ref="CN484">$BC484 * IF($AD484&lt;=2,
SUMPRODUCT(INDEX($AL$62:$AN$66,,$AE484), INDEX($AO$62:$AU$66,,$AD484), 1 / ($AV$62:$AV$66*CM484 + (1-$AV$62:$AV$66)*CI484), N($AK$62:$AK$66&gt;$AI484)),
SUMPRODUCT(INDEX($AL$47:$AN$56,,$AE484), INDEX($AO$47:$AU$56,,$AD484), 1 / ($AW$47:$AW$56*CM484 + (1-$AW$47:$AW$56)*CI484), N($AK$47:$AK$56&gt;$AI484))
) / 1000</f>
        <v>0</v>
      </c>
      <c r="CO484" s="253" cm="1">
        <f t="array" ref="CO484">$BC484 * IF($AD484&lt;=2,
SUMPRODUCT(INDEX($AL$23:$AN$61,,$AE484), INDEX($AO$23:$AU$61,,$AD484), 1 / ($AV$23:$AV$61*CM484), N($AK$23:$AK$61&gt;$AI484)),
SUMPRODUCT(INDEX($AL$23:$AN$46,,$AE484), INDEX($AO$23:$AU$46,,$AD484), 1 / ($AW$23:$AW$46*CM484), N($AK$23:$AK$46&gt;$AI484))
) / 1000</f>
        <v>0</v>
      </c>
      <c r="CP484" s="237">
        <f t="shared" si="550"/>
        <v>0</v>
      </c>
      <c r="CQ484" s="210"/>
    </row>
    <row r="485" spans="1:95" s="76" customFormat="1" ht="14.25" customHeight="1" x14ac:dyDescent="0.2">
      <c r="A485" s="238" t="b">
        <f t="shared" si="554"/>
        <v>0</v>
      </c>
      <c r="B485" s="239">
        <v>463</v>
      </c>
      <c r="C485" s="258"/>
      <c r="D485" s="258"/>
      <c r="E485" s="240"/>
      <c r="F485" s="241" t="str">
        <f>IF(ISBLANK(E485), "", VLOOKUP(E485, Z!$A$2:$C$4127, 3, FALSE))</f>
        <v/>
      </c>
      <c r="G485" s="242"/>
      <c r="H485" s="242"/>
      <c r="I485" s="243"/>
      <c r="J485" s="244"/>
      <c r="K485" s="259"/>
      <c r="L485" s="260"/>
      <c r="M485" s="247" t="str" cm="1">
        <f t="array" ref="M485">IF($K485&gt;0, INDEX(Clean,1+AG485,$C$1), "")</f>
        <v/>
      </c>
      <c r="N485" s="245"/>
      <c r="O485" s="245"/>
      <c r="P485" s="246"/>
      <c r="Q485" s="248">
        <f t="shared" si="527"/>
        <v>0</v>
      </c>
      <c r="R485" s="247" t="str" cm="1">
        <f t="array" ref="R485">IF($K485&gt;0, INDEX(Clean,1+AH485,$C$1), "")</f>
        <v/>
      </c>
      <c r="S485" s="245"/>
      <c r="T485" s="245"/>
      <c r="U485" s="246"/>
      <c r="V485" s="248">
        <f t="shared" si="528"/>
        <v>0</v>
      </c>
      <c r="W485" s="261"/>
      <c r="X485" s="258"/>
      <c r="Y485" s="240"/>
      <c r="Z485" s="241" t="str">
        <f>IF(ISBLANK(Y485), "", VLOOKUP(Y485, Z!$A$2:$C$4127, 3, FALSE))</f>
        <v/>
      </c>
      <c r="AA485" s="262"/>
      <c r="AB485" s="249">
        <f t="shared" si="563"/>
        <v>0</v>
      </c>
      <c r="AC485" s="210"/>
      <c r="AD485" s="236">
        <f t="shared" si="551"/>
        <v>1</v>
      </c>
      <c r="AE485" s="236">
        <f t="shared" si="552"/>
        <v>1</v>
      </c>
      <c r="AF485" s="236">
        <f t="shared" si="553"/>
        <v>0</v>
      </c>
      <c r="AG485" s="236">
        <v>1</v>
      </c>
      <c r="AH485" s="236">
        <v>0</v>
      </c>
      <c r="AI485" s="236">
        <f t="shared" si="529"/>
        <v>-100</v>
      </c>
      <c r="AJ485" s="210"/>
      <c r="AK485" s="254"/>
      <c r="AL485" s="254"/>
      <c r="AM485" s="255"/>
      <c r="AN485" s="255"/>
      <c r="AO485" s="255"/>
      <c r="AP485" s="255"/>
      <c r="AQ485" s="255"/>
      <c r="AR485" s="255"/>
      <c r="AS485" s="255"/>
      <c r="AT485" s="255"/>
      <c r="AU485" s="255"/>
      <c r="AV485" s="255"/>
      <c r="AW485" s="255"/>
      <c r="AX485" s="210"/>
      <c r="AY485" s="236" cm="1">
        <f t="array" ref="AY485">INDEX(Use, $AD485, 4)</f>
        <v>7</v>
      </c>
      <c r="AZ485" s="236">
        <f t="shared" si="530"/>
        <v>32</v>
      </c>
      <c r="BA485" s="236">
        <f t="shared" si="555"/>
        <v>13</v>
      </c>
      <c r="BB485" s="236">
        <f t="shared" si="556"/>
        <v>0</v>
      </c>
      <c r="BC485" s="252" cm="1">
        <f t="array" ref="BC485">K485/IF($L485&gt;0, INDEX($AO$23:$AU$77, $L485+20, $AD485), 1)</f>
        <v>0</v>
      </c>
      <c r="BD485" s="237">
        <f t="shared" si="531"/>
        <v>0</v>
      </c>
      <c r="BE485" s="236">
        <v>35</v>
      </c>
      <c r="BF485" s="237">
        <f t="shared" si="532"/>
        <v>52.55</v>
      </c>
      <c r="BG485" s="253">
        <f t="shared" si="533"/>
        <v>2.7676728869374316</v>
      </c>
      <c r="BH485" s="253" cm="1">
        <f t="array" ref="BH485">$BC485 * SUMPRODUCT(INDEX($AL$77:$AN$82,,$AE485),INDEX($AO$77:$AU$82,,$AD485), N($AK$77:$AK$82&gt;$AI485)) / BG485 / 1000</f>
        <v>0</v>
      </c>
      <c r="BI485" s="250">
        <f t="shared" si="557"/>
        <v>30</v>
      </c>
      <c r="BJ485" s="237">
        <f t="shared" si="534"/>
        <v>46.033333333333331</v>
      </c>
      <c r="BK485" s="253">
        <f t="shared" si="535"/>
        <v>3.2297395388556791</v>
      </c>
      <c r="BL485" s="253" cm="1">
        <f t="array" ref="BL485">$BC485 * IF($AD485&lt;=2,
SUMPRODUCT(INDEX($AL$72:$AN$76,,$AE485), INDEX($AO$72:$AU$76,,$AD485), 1 / ($AV$72:$AV$76*BK485 + (1-$AV$72:$AV$76)*BG485), N($AK$72:$AK$76&gt;$AI485)),
SUMPRODUCT(INDEX($AL$67:$AN$76,,$AE485), INDEX($AO$67:$AU$76,,$AD485), 1 / ($AW$67:$AW$76*BK485 + (1-$AW$67:$AW$76)*BG485), N($AK$67:$AK$76&gt;$AI485))
) / 1000</f>
        <v>0</v>
      </c>
      <c r="BM485" s="250">
        <f t="shared" si="558"/>
        <v>25</v>
      </c>
      <c r="BN485" s="237">
        <f t="shared" si="536"/>
        <v>39.516666666666666</v>
      </c>
      <c r="BO485" s="253">
        <f t="shared" si="537"/>
        <v>3.877011788826243</v>
      </c>
      <c r="BP485" s="253" cm="1">
        <f t="array" ref="BP485">$BC485 * IF($AD485&lt;=2,
SUMPRODUCT(INDEX($AL$67:$AN$71,,$AE485), INDEX($AO$67:$AU$71,,$AD485), 1 / ($AV$67:$AV$71*BO485 + (1-$AV$67:$AV$71)*BK485), N($AK$67:$AK$71&gt;$AI485)),
SUMPRODUCT(INDEX($AL$57:$AN$66,,$AE485), INDEX($AO$57:$AU$66,,$AD485), 1 / ($AW$57:$AW$66*BO485 + (1-$AW$57:$AW$66)*BK485), N($AK$57:$AK$66&gt;$AI485))
) / 1000</f>
        <v>0</v>
      </c>
      <c r="BQ485" s="250">
        <f t="shared" si="559"/>
        <v>20</v>
      </c>
      <c r="BR485" s="237">
        <f t="shared" si="538"/>
        <v>33</v>
      </c>
      <c r="BS485" s="253">
        <f t="shared" si="539"/>
        <v>4.8487499999999999</v>
      </c>
      <c r="BT485" s="253" cm="1">
        <f t="array" ref="BT485">$BC485 * IF($AD485&lt;=2,
SUMPRODUCT(INDEX($AL$62:$AN$66,,$AE485), INDEX($AO$62:$AU$66,,$AD485), 1 / ($AV$62:$AV$66*BS485 + (1-$AV$62:$AV$66)*BO485), N($AK$62:$AK$66&gt;$AI485)),
SUMPRODUCT(INDEX($AL$47:$AN$56,,$AE485), INDEX($AO$47:$AU$56,,$AD485), 1 / ($AW$47:$AW$56*BS485 + (1-$AW$47:$AW$56)*BO485), N($AK$47:$AK$56&gt;$AI485))
) / 1000</f>
        <v>0</v>
      </c>
      <c r="BU485" s="253" cm="1">
        <f t="array" ref="BU485">$BC485 * IF($AD485&lt;=2,
SUMPRODUCT(INDEX($AL$23:$AN$61,,$AE485), INDEX($AO$23:$AU$61,,$AD485), 1 / ($AV$23:$AV$61*BS485), N($AK$23:$AK$61&gt;$AI485)),
SUMPRODUCT(INDEX($AL$23:$AN$46,,$AE485), INDEX($AO$23:$AU$46,,$AD485), 1 / ($AW$23:$AW$46*BS485), N($AK$23:$AK$46&gt;$AI485))
) / 1000</f>
        <v>0</v>
      </c>
      <c r="BV485" s="237">
        <f t="shared" si="540"/>
        <v>0</v>
      </c>
      <c r="BW485" s="210"/>
      <c r="BX485" s="237">
        <f t="shared" si="541"/>
        <v>0</v>
      </c>
      <c r="BY485" s="236">
        <v>35</v>
      </c>
      <c r="BZ485" s="237">
        <f t="shared" si="542"/>
        <v>48</v>
      </c>
      <c r="CA485" s="253">
        <f t="shared" si="543"/>
        <v>3.0748170731707316</v>
      </c>
      <c r="CB485" s="253" cm="1">
        <f t="array" ref="CB485">$BC485 * SUMPRODUCT(INDEX($AL$77:$AN$82,,$AE485),INDEX($AO$77:$AU$82,,$AD485), N($AK$77:$AK$82&gt;$AI485)) / CA485 / 1000</f>
        <v>0</v>
      </c>
      <c r="CC485" s="250">
        <f t="shared" si="560"/>
        <v>30</v>
      </c>
      <c r="CD485" s="237">
        <f t="shared" si="544"/>
        <v>43</v>
      </c>
      <c r="CE485" s="253">
        <f t="shared" si="545"/>
        <v>3.5018750000000001</v>
      </c>
      <c r="CF485" s="253" cm="1">
        <f t="array" ref="CF485">$BC485 * IF($AD485&lt;=2,
SUMPRODUCT(INDEX($AL$72:$AN$76,,$AE485), INDEX($AO$72:$AU$76,,$AD485), 1 / ($AV$72:$AV$76*CE485 + (1-$AV$72:$AV$76)*CA485), N($AK$72:$AK$76&gt;$AI485)),
SUMPRODUCT(INDEX($AL$67:$AN$76,,$AE485), INDEX($AO$67:$AU$76,,$AD485), 1 / ($AW$67:$AW$76*CE485 + (1-$AW$67:$AW$76)*CA485), N($AK$67:$AK$76&gt;$AI485))
) / 1000</f>
        <v>0</v>
      </c>
      <c r="CG485" s="250">
        <f t="shared" si="561"/>
        <v>25</v>
      </c>
      <c r="CH485" s="237">
        <f t="shared" si="546"/>
        <v>38</v>
      </c>
      <c r="CI485" s="253">
        <f t="shared" si="547"/>
        <v>4.0666935483870965</v>
      </c>
      <c r="CJ485" s="253" cm="1">
        <f t="array" ref="CJ485">$BC485 * IF($AD485&lt;=2,
SUMPRODUCT(INDEX($AL$67:$AN$71,,$AE485), INDEX($AO$67:$AU$71,,$AD485), 1 / ($AV$67:$AV$71*CI485 + (1-$AV$67:$AV$71)*CE485), N($AK$67:$AK$71&gt;$AI485)),
SUMPRODUCT(INDEX($AL$57:$AN$66,,$AE485), INDEX($AO$57:$AU$66,,$AD485), 1 / ($AW$57:$AW$66*CI485 + (1-$AW$57:$AW$66)*CE485), N($AK$57:$AK$66&gt;$AI485))
) / 1000</f>
        <v>0</v>
      </c>
      <c r="CK485" s="250">
        <f t="shared" si="562"/>
        <v>20</v>
      </c>
      <c r="CL485" s="237">
        <f t="shared" si="548"/>
        <v>33</v>
      </c>
      <c r="CM485" s="253">
        <f t="shared" si="549"/>
        <v>4.8487499999999999</v>
      </c>
      <c r="CN485" s="253" cm="1">
        <f t="array" ref="CN485">$BC485 * IF($AD485&lt;=2,
SUMPRODUCT(INDEX($AL$62:$AN$66,,$AE485), INDEX($AO$62:$AU$66,,$AD485), 1 / ($AV$62:$AV$66*CM485 + (1-$AV$62:$AV$66)*CI485), N($AK$62:$AK$66&gt;$AI485)),
SUMPRODUCT(INDEX($AL$47:$AN$56,,$AE485), INDEX($AO$47:$AU$56,,$AD485), 1 / ($AW$47:$AW$56*CM485 + (1-$AW$47:$AW$56)*CI485), N($AK$47:$AK$56&gt;$AI485))
) / 1000</f>
        <v>0</v>
      </c>
      <c r="CO485" s="253" cm="1">
        <f t="array" ref="CO485">$BC485 * IF($AD485&lt;=2,
SUMPRODUCT(INDEX($AL$23:$AN$61,,$AE485), INDEX($AO$23:$AU$61,,$AD485), 1 / ($AV$23:$AV$61*CM485), N($AK$23:$AK$61&gt;$AI485)),
SUMPRODUCT(INDEX($AL$23:$AN$46,,$AE485), INDEX($AO$23:$AU$46,,$AD485), 1 / ($AW$23:$AW$46*CM485), N($AK$23:$AK$46&gt;$AI485))
) / 1000</f>
        <v>0</v>
      </c>
      <c r="CP485" s="237">
        <f t="shared" si="550"/>
        <v>0</v>
      </c>
      <c r="CQ485" s="210"/>
    </row>
    <row r="486" spans="1:95" s="76" customFormat="1" ht="14.25" customHeight="1" x14ac:dyDescent="0.2">
      <c r="A486" s="238" t="b">
        <f t="shared" si="554"/>
        <v>0</v>
      </c>
      <c r="B486" s="239">
        <v>464</v>
      </c>
      <c r="C486" s="258"/>
      <c r="D486" s="258"/>
      <c r="E486" s="240"/>
      <c r="F486" s="241" t="str">
        <f>IF(ISBLANK(E486), "", VLOOKUP(E486, Z!$A$2:$C$4127, 3, FALSE))</f>
        <v/>
      </c>
      <c r="G486" s="242"/>
      <c r="H486" s="242"/>
      <c r="I486" s="243"/>
      <c r="J486" s="244"/>
      <c r="K486" s="259"/>
      <c r="L486" s="260"/>
      <c r="M486" s="247" t="str" cm="1">
        <f t="array" ref="M486">IF($K486&gt;0, INDEX(Clean,1+AG486,$C$1), "")</f>
        <v/>
      </c>
      <c r="N486" s="245"/>
      <c r="O486" s="245"/>
      <c r="P486" s="246"/>
      <c r="Q486" s="248">
        <f t="shared" si="527"/>
        <v>0</v>
      </c>
      <c r="R486" s="247" t="str" cm="1">
        <f t="array" ref="R486">IF($K486&gt;0, INDEX(Clean,1+AH486,$C$1), "")</f>
        <v/>
      </c>
      <c r="S486" s="245"/>
      <c r="T486" s="245"/>
      <c r="U486" s="246"/>
      <c r="V486" s="248">
        <f t="shared" si="528"/>
        <v>0</v>
      </c>
      <c r="W486" s="261"/>
      <c r="X486" s="258"/>
      <c r="Y486" s="240"/>
      <c r="Z486" s="241" t="str">
        <f>IF(ISBLANK(Y486), "", VLOOKUP(Y486, Z!$A$2:$C$4127, 3, FALSE))</f>
        <v/>
      </c>
      <c r="AA486" s="262"/>
      <c r="AB486" s="249">
        <f t="shared" si="563"/>
        <v>0</v>
      </c>
      <c r="AC486" s="210"/>
      <c r="AD486" s="236">
        <f t="shared" si="551"/>
        <v>1</v>
      </c>
      <c r="AE486" s="236">
        <f t="shared" si="552"/>
        <v>1</v>
      </c>
      <c r="AF486" s="236">
        <f t="shared" si="553"/>
        <v>0</v>
      </c>
      <c r="AG486" s="236">
        <v>1</v>
      </c>
      <c r="AH486" s="236">
        <v>0</v>
      </c>
      <c r="AI486" s="236">
        <f t="shared" si="529"/>
        <v>-100</v>
      </c>
      <c r="AJ486" s="210"/>
      <c r="AK486" s="254"/>
      <c r="AL486" s="254"/>
      <c r="AM486" s="255"/>
      <c r="AN486" s="255"/>
      <c r="AO486" s="255"/>
      <c r="AP486" s="255"/>
      <c r="AQ486" s="255"/>
      <c r="AR486" s="255"/>
      <c r="AS486" s="255"/>
      <c r="AT486" s="255"/>
      <c r="AU486" s="255"/>
      <c r="AV486" s="255"/>
      <c r="AW486" s="255"/>
      <c r="AX486" s="210"/>
      <c r="AY486" s="236" cm="1">
        <f t="array" ref="AY486">INDEX(Use, $AD486, 4)</f>
        <v>7</v>
      </c>
      <c r="AZ486" s="236">
        <f t="shared" si="530"/>
        <v>32</v>
      </c>
      <c r="BA486" s="236">
        <f t="shared" si="555"/>
        <v>13</v>
      </c>
      <c r="BB486" s="236">
        <f t="shared" si="556"/>
        <v>0</v>
      </c>
      <c r="BC486" s="252" cm="1">
        <f t="array" ref="BC486">K486/IF($L486&gt;0, INDEX($AO$23:$AU$77, $L486+20, $AD486), 1)</f>
        <v>0</v>
      </c>
      <c r="BD486" s="237">
        <f t="shared" si="531"/>
        <v>0</v>
      </c>
      <c r="BE486" s="236">
        <v>35</v>
      </c>
      <c r="BF486" s="237">
        <f t="shared" si="532"/>
        <v>52.55</v>
      </c>
      <c r="BG486" s="253">
        <f t="shared" si="533"/>
        <v>2.7676728869374316</v>
      </c>
      <c r="BH486" s="253" cm="1">
        <f t="array" ref="BH486">$BC486 * SUMPRODUCT(INDEX($AL$77:$AN$82,,$AE486),INDEX($AO$77:$AU$82,,$AD486), N($AK$77:$AK$82&gt;$AI486)) / BG486 / 1000</f>
        <v>0</v>
      </c>
      <c r="BI486" s="250">
        <f t="shared" si="557"/>
        <v>30</v>
      </c>
      <c r="BJ486" s="237">
        <f t="shared" si="534"/>
        <v>46.033333333333331</v>
      </c>
      <c r="BK486" s="253">
        <f t="shared" si="535"/>
        <v>3.2297395388556791</v>
      </c>
      <c r="BL486" s="253" cm="1">
        <f t="array" ref="BL486">$BC486 * IF($AD486&lt;=2,
SUMPRODUCT(INDEX($AL$72:$AN$76,,$AE486), INDEX($AO$72:$AU$76,,$AD486), 1 / ($AV$72:$AV$76*BK486 + (1-$AV$72:$AV$76)*BG486), N($AK$72:$AK$76&gt;$AI486)),
SUMPRODUCT(INDEX($AL$67:$AN$76,,$AE486), INDEX($AO$67:$AU$76,,$AD486), 1 / ($AW$67:$AW$76*BK486 + (1-$AW$67:$AW$76)*BG486), N($AK$67:$AK$76&gt;$AI486))
) / 1000</f>
        <v>0</v>
      </c>
      <c r="BM486" s="250">
        <f t="shared" si="558"/>
        <v>25</v>
      </c>
      <c r="BN486" s="237">
        <f t="shared" si="536"/>
        <v>39.516666666666666</v>
      </c>
      <c r="BO486" s="253">
        <f t="shared" si="537"/>
        <v>3.877011788826243</v>
      </c>
      <c r="BP486" s="253" cm="1">
        <f t="array" ref="BP486">$BC486 * IF($AD486&lt;=2,
SUMPRODUCT(INDEX($AL$67:$AN$71,,$AE486), INDEX($AO$67:$AU$71,,$AD486), 1 / ($AV$67:$AV$71*BO486 + (1-$AV$67:$AV$71)*BK486), N($AK$67:$AK$71&gt;$AI486)),
SUMPRODUCT(INDEX($AL$57:$AN$66,,$AE486), INDEX($AO$57:$AU$66,,$AD486), 1 / ($AW$57:$AW$66*BO486 + (1-$AW$57:$AW$66)*BK486), N($AK$57:$AK$66&gt;$AI486))
) / 1000</f>
        <v>0</v>
      </c>
      <c r="BQ486" s="250">
        <f t="shared" si="559"/>
        <v>20</v>
      </c>
      <c r="BR486" s="237">
        <f t="shared" si="538"/>
        <v>33</v>
      </c>
      <c r="BS486" s="253">
        <f t="shared" si="539"/>
        <v>4.8487499999999999</v>
      </c>
      <c r="BT486" s="253" cm="1">
        <f t="array" ref="BT486">$BC486 * IF($AD486&lt;=2,
SUMPRODUCT(INDEX($AL$62:$AN$66,,$AE486), INDEX($AO$62:$AU$66,,$AD486), 1 / ($AV$62:$AV$66*BS486 + (1-$AV$62:$AV$66)*BO486), N($AK$62:$AK$66&gt;$AI486)),
SUMPRODUCT(INDEX($AL$47:$AN$56,,$AE486), INDEX($AO$47:$AU$56,,$AD486), 1 / ($AW$47:$AW$56*BS486 + (1-$AW$47:$AW$56)*BO486), N($AK$47:$AK$56&gt;$AI486))
) / 1000</f>
        <v>0</v>
      </c>
      <c r="BU486" s="253" cm="1">
        <f t="array" ref="BU486">$BC486 * IF($AD486&lt;=2,
SUMPRODUCT(INDEX($AL$23:$AN$61,,$AE486), INDEX($AO$23:$AU$61,,$AD486), 1 / ($AV$23:$AV$61*BS486), N($AK$23:$AK$61&gt;$AI486)),
SUMPRODUCT(INDEX($AL$23:$AN$46,,$AE486), INDEX($AO$23:$AU$46,,$AD486), 1 / ($AW$23:$AW$46*BS486), N($AK$23:$AK$46&gt;$AI486))
) / 1000</f>
        <v>0</v>
      </c>
      <c r="BV486" s="237">
        <f t="shared" si="540"/>
        <v>0</v>
      </c>
      <c r="BW486" s="210"/>
      <c r="BX486" s="237">
        <f t="shared" si="541"/>
        <v>0</v>
      </c>
      <c r="BY486" s="236">
        <v>35</v>
      </c>
      <c r="BZ486" s="237">
        <f t="shared" si="542"/>
        <v>48</v>
      </c>
      <c r="CA486" s="253">
        <f t="shared" si="543"/>
        <v>3.0748170731707316</v>
      </c>
      <c r="CB486" s="253" cm="1">
        <f t="array" ref="CB486">$BC486 * SUMPRODUCT(INDEX($AL$77:$AN$82,,$AE486),INDEX($AO$77:$AU$82,,$AD486), N($AK$77:$AK$82&gt;$AI486)) / CA486 / 1000</f>
        <v>0</v>
      </c>
      <c r="CC486" s="250">
        <f t="shared" si="560"/>
        <v>30</v>
      </c>
      <c r="CD486" s="237">
        <f t="shared" si="544"/>
        <v>43</v>
      </c>
      <c r="CE486" s="253">
        <f t="shared" si="545"/>
        <v>3.5018750000000001</v>
      </c>
      <c r="CF486" s="253" cm="1">
        <f t="array" ref="CF486">$BC486 * IF($AD486&lt;=2,
SUMPRODUCT(INDEX($AL$72:$AN$76,,$AE486), INDEX($AO$72:$AU$76,,$AD486), 1 / ($AV$72:$AV$76*CE486 + (1-$AV$72:$AV$76)*CA486), N($AK$72:$AK$76&gt;$AI486)),
SUMPRODUCT(INDEX($AL$67:$AN$76,,$AE486), INDEX($AO$67:$AU$76,,$AD486), 1 / ($AW$67:$AW$76*CE486 + (1-$AW$67:$AW$76)*CA486), N($AK$67:$AK$76&gt;$AI486))
) / 1000</f>
        <v>0</v>
      </c>
      <c r="CG486" s="250">
        <f t="shared" si="561"/>
        <v>25</v>
      </c>
      <c r="CH486" s="237">
        <f t="shared" si="546"/>
        <v>38</v>
      </c>
      <c r="CI486" s="253">
        <f t="shared" si="547"/>
        <v>4.0666935483870965</v>
      </c>
      <c r="CJ486" s="253" cm="1">
        <f t="array" ref="CJ486">$BC486 * IF($AD486&lt;=2,
SUMPRODUCT(INDEX($AL$67:$AN$71,,$AE486), INDEX($AO$67:$AU$71,,$AD486), 1 / ($AV$67:$AV$71*CI486 + (1-$AV$67:$AV$71)*CE486), N($AK$67:$AK$71&gt;$AI486)),
SUMPRODUCT(INDEX($AL$57:$AN$66,,$AE486), INDEX($AO$57:$AU$66,,$AD486), 1 / ($AW$57:$AW$66*CI486 + (1-$AW$57:$AW$66)*CE486), N($AK$57:$AK$66&gt;$AI486))
) / 1000</f>
        <v>0</v>
      </c>
      <c r="CK486" s="250">
        <f t="shared" si="562"/>
        <v>20</v>
      </c>
      <c r="CL486" s="237">
        <f t="shared" si="548"/>
        <v>33</v>
      </c>
      <c r="CM486" s="253">
        <f t="shared" si="549"/>
        <v>4.8487499999999999</v>
      </c>
      <c r="CN486" s="253" cm="1">
        <f t="array" ref="CN486">$BC486 * IF($AD486&lt;=2,
SUMPRODUCT(INDEX($AL$62:$AN$66,,$AE486), INDEX($AO$62:$AU$66,,$AD486), 1 / ($AV$62:$AV$66*CM486 + (1-$AV$62:$AV$66)*CI486), N($AK$62:$AK$66&gt;$AI486)),
SUMPRODUCT(INDEX($AL$47:$AN$56,,$AE486), INDEX($AO$47:$AU$56,,$AD486), 1 / ($AW$47:$AW$56*CM486 + (1-$AW$47:$AW$56)*CI486), N($AK$47:$AK$56&gt;$AI486))
) / 1000</f>
        <v>0</v>
      </c>
      <c r="CO486" s="253" cm="1">
        <f t="array" ref="CO486">$BC486 * IF($AD486&lt;=2,
SUMPRODUCT(INDEX($AL$23:$AN$61,,$AE486), INDEX($AO$23:$AU$61,,$AD486), 1 / ($AV$23:$AV$61*CM486), N($AK$23:$AK$61&gt;$AI486)),
SUMPRODUCT(INDEX($AL$23:$AN$46,,$AE486), INDEX($AO$23:$AU$46,,$AD486), 1 / ($AW$23:$AW$46*CM486), N($AK$23:$AK$46&gt;$AI486))
) / 1000</f>
        <v>0</v>
      </c>
      <c r="CP486" s="237">
        <f t="shared" si="550"/>
        <v>0</v>
      </c>
      <c r="CQ486" s="210"/>
    </row>
    <row r="487" spans="1:95" s="76" customFormat="1" ht="14.25" customHeight="1" x14ac:dyDescent="0.2">
      <c r="A487" s="238" t="b">
        <f t="shared" si="554"/>
        <v>0</v>
      </c>
      <c r="B487" s="239">
        <v>465</v>
      </c>
      <c r="C487" s="258"/>
      <c r="D487" s="258"/>
      <c r="E487" s="240"/>
      <c r="F487" s="241" t="str">
        <f>IF(ISBLANK(E487), "", VLOOKUP(E487, Z!$A$2:$C$4127, 3, FALSE))</f>
        <v/>
      </c>
      <c r="G487" s="242"/>
      <c r="H487" s="242"/>
      <c r="I487" s="243"/>
      <c r="J487" s="244"/>
      <c r="K487" s="259"/>
      <c r="L487" s="260"/>
      <c r="M487" s="247" t="str" cm="1">
        <f t="array" ref="M487">IF($K487&gt;0, INDEX(Clean,1+AG487,$C$1), "")</f>
        <v/>
      </c>
      <c r="N487" s="245"/>
      <c r="O487" s="245"/>
      <c r="P487" s="246"/>
      <c r="Q487" s="248">
        <f t="shared" si="527"/>
        <v>0</v>
      </c>
      <c r="R487" s="247" t="str" cm="1">
        <f t="array" ref="R487">IF($K487&gt;0, INDEX(Clean,1+AH487,$C$1), "")</f>
        <v/>
      </c>
      <c r="S487" s="245"/>
      <c r="T487" s="245"/>
      <c r="U487" s="246"/>
      <c r="V487" s="248">
        <f t="shared" si="528"/>
        <v>0</v>
      </c>
      <c r="W487" s="261"/>
      <c r="X487" s="258"/>
      <c r="Y487" s="240"/>
      <c r="Z487" s="241" t="str">
        <f>IF(ISBLANK(Y487), "", VLOOKUP(Y487, Z!$A$2:$C$4127, 3, FALSE))</f>
        <v/>
      </c>
      <c r="AA487" s="262"/>
      <c r="AB487" s="249">
        <f t="shared" si="563"/>
        <v>0</v>
      </c>
      <c r="AC487" s="210"/>
      <c r="AD487" s="236">
        <f t="shared" si="551"/>
        <v>1</v>
      </c>
      <c r="AE487" s="236">
        <f t="shared" si="552"/>
        <v>1</v>
      </c>
      <c r="AF487" s="236">
        <f t="shared" si="553"/>
        <v>0</v>
      </c>
      <c r="AG487" s="236">
        <v>1</v>
      </c>
      <c r="AH487" s="236">
        <v>0</v>
      </c>
      <c r="AI487" s="236">
        <f t="shared" si="529"/>
        <v>-100</v>
      </c>
      <c r="AJ487" s="210"/>
      <c r="AK487" s="254"/>
      <c r="AL487" s="254"/>
      <c r="AM487" s="255"/>
      <c r="AN487" s="255"/>
      <c r="AO487" s="255"/>
      <c r="AP487" s="255"/>
      <c r="AQ487" s="255"/>
      <c r="AR487" s="255"/>
      <c r="AS487" s="255"/>
      <c r="AT487" s="255"/>
      <c r="AU487" s="255"/>
      <c r="AV487" s="255"/>
      <c r="AW487" s="255"/>
      <c r="AX487" s="210"/>
      <c r="AY487" s="236" cm="1">
        <f t="array" ref="AY487">INDEX(Use, $AD487, 4)</f>
        <v>7</v>
      </c>
      <c r="AZ487" s="236">
        <f t="shared" si="530"/>
        <v>32</v>
      </c>
      <c r="BA487" s="236">
        <f t="shared" si="555"/>
        <v>13</v>
      </c>
      <c r="BB487" s="236">
        <f t="shared" si="556"/>
        <v>0</v>
      </c>
      <c r="BC487" s="252" cm="1">
        <f t="array" ref="BC487">K487/IF($L487&gt;0, INDEX($AO$23:$AU$77, $L487+20, $AD487), 1)</f>
        <v>0</v>
      </c>
      <c r="BD487" s="237">
        <f t="shared" si="531"/>
        <v>0</v>
      </c>
      <c r="BE487" s="236">
        <v>35</v>
      </c>
      <c r="BF487" s="237">
        <f t="shared" si="532"/>
        <v>52.55</v>
      </c>
      <c r="BG487" s="253">
        <f t="shared" si="533"/>
        <v>2.7676728869374316</v>
      </c>
      <c r="BH487" s="253" cm="1">
        <f t="array" ref="BH487">$BC487 * SUMPRODUCT(INDEX($AL$77:$AN$82,,$AE487),INDEX($AO$77:$AU$82,,$AD487), N($AK$77:$AK$82&gt;$AI487)) / BG487 / 1000</f>
        <v>0</v>
      </c>
      <c r="BI487" s="250">
        <f t="shared" si="557"/>
        <v>30</v>
      </c>
      <c r="BJ487" s="237">
        <f t="shared" si="534"/>
        <v>46.033333333333331</v>
      </c>
      <c r="BK487" s="253">
        <f t="shared" si="535"/>
        <v>3.2297395388556791</v>
      </c>
      <c r="BL487" s="253" cm="1">
        <f t="array" ref="BL487">$BC487 * IF($AD487&lt;=2,
SUMPRODUCT(INDEX($AL$72:$AN$76,,$AE487), INDEX($AO$72:$AU$76,,$AD487), 1 / ($AV$72:$AV$76*BK487 + (1-$AV$72:$AV$76)*BG487), N($AK$72:$AK$76&gt;$AI487)),
SUMPRODUCT(INDEX($AL$67:$AN$76,,$AE487), INDEX($AO$67:$AU$76,,$AD487), 1 / ($AW$67:$AW$76*BK487 + (1-$AW$67:$AW$76)*BG487), N($AK$67:$AK$76&gt;$AI487))
) / 1000</f>
        <v>0</v>
      </c>
      <c r="BM487" s="250">
        <f t="shared" si="558"/>
        <v>25</v>
      </c>
      <c r="BN487" s="237">
        <f t="shared" si="536"/>
        <v>39.516666666666666</v>
      </c>
      <c r="BO487" s="253">
        <f t="shared" si="537"/>
        <v>3.877011788826243</v>
      </c>
      <c r="BP487" s="253" cm="1">
        <f t="array" ref="BP487">$BC487 * IF($AD487&lt;=2,
SUMPRODUCT(INDEX($AL$67:$AN$71,,$AE487), INDEX($AO$67:$AU$71,,$AD487), 1 / ($AV$67:$AV$71*BO487 + (1-$AV$67:$AV$71)*BK487), N($AK$67:$AK$71&gt;$AI487)),
SUMPRODUCT(INDEX($AL$57:$AN$66,,$AE487), INDEX($AO$57:$AU$66,,$AD487), 1 / ($AW$57:$AW$66*BO487 + (1-$AW$57:$AW$66)*BK487), N($AK$57:$AK$66&gt;$AI487))
) / 1000</f>
        <v>0</v>
      </c>
      <c r="BQ487" s="250">
        <f t="shared" si="559"/>
        <v>20</v>
      </c>
      <c r="BR487" s="237">
        <f t="shared" si="538"/>
        <v>33</v>
      </c>
      <c r="BS487" s="253">
        <f t="shared" si="539"/>
        <v>4.8487499999999999</v>
      </c>
      <c r="BT487" s="253" cm="1">
        <f t="array" ref="BT487">$BC487 * IF($AD487&lt;=2,
SUMPRODUCT(INDEX($AL$62:$AN$66,,$AE487), INDEX($AO$62:$AU$66,,$AD487), 1 / ($AV$62:$AV$66*BS487 + (1-$AV$62:$AV$66)*BO487), N($AK$62:$AK$66&gt;$AI487)),
SUMPRODUCT(INDEX($AL$47:$AN$56,,$AE487), INDEX($AO$47:$AU$56,,$AD487), 1 / ($AW$47:$AW$56*BS487 + (1-$AW$47:$AW$56)*BO487), N($AK$47:$AK$56&gt;$AI487))
) / 1000</f>
        <v>0</v>
      </c>
      <c r="BU487" s="253" cm="1">
        <f t="array" ref="BU487">$BC487 * IF($AD487&lt;=2,
SUMPRODUCT(INDEX($AL$23:$AN$61,,$AE487), INDEX($AO$23:$AU$61,,$AD487), 1 / ($AV$23:$AV$61*BS487), N($AK$23:$AK$61&gt;$AI487)),
SUMPRODUCT(INDEX($AL$23:$AN$46,,$AE487), INDEX($AO$23:$AU$46,,$AD487), 1 / ($AW$23:$AW$46*BS487), N($AK$23:$AK$46&gt;$AI487))
) / 1000</f>
        <v>0</v>
      </c>
      <c r="BV487" s="237">
        <f t="shared" si="540"/>
        <v>0</v>
      </c>
      <c r="BW487" s="210"/>
      <c r="BX487" s="237">
        <f t="shared" si="541"/>
        <v>0</v>
      </c>
      <c r="BY487" s="236">
        <v>35</v>
      </c>
      <c r="BZ487" s="237">
        <f t="shared" si="542"/>
        <v>48</v>
      </c>
      <c r="CA487" s="253">
        <f t="shared" si="543"/>
        <v>3.0748170731707316</v>
      </c>
      <c r="CB487" s="253" cm="1">
        <f t="array" ref="CB487">$BC487 * SUMPRODUCT(INDEX($AL$77:$AN$82,,$AE487),INDEX($AO$77:$AU$82,,$AD487), N($AK$77:$AK$82&gt;$AI487)) / CA487 / 1000</f>
        <v>0</v>
      </c>
      <c r="CC487" s="250">
        <f t="shared" si="560"/>
        <v>30</v>
      </c>
      <c r="CD487" s="237">
        <f t="shared" si="544"/>
        <v>43</v>
      </c>
      <c r="CE487" s="253">
        <f t="shared" si="545"/>
        <v>3.5018750000000001</v>
      </c>
      <c r="CF487" s="253" cm="1">
        <f t="array" ref="CF487">$BC487 * IF($AD487&lt;=2,
SUMPRODUCT(INDEX($AL$72:$AN$76,,$AE487), INDEX($AO$72:$AU$76,,$AD487), 1 / ($AV$72:$AV$76*CE487 + (1-$AV$72:$AV$76)*CA487), N($AK$72:$AK$76&gt;$AI487)),
SUMPRODUCT(INDEX($AL$67:$AN$76,,$AE487), INDEX($AO$67:$AU$76,,$AD487), 1 / ($AW$67:$AW$76*CE487 + (1-$AW$67:$AW$76)*CA487), N($AK$67:$AK$76&gt;$AI487))
) / 1000</f>
        <v>0</v>
      </c>
      <c r="CG487" s="250">
        <f t="shared" si="561"/>
        <v>25</v>
      </c>
      <c r="CH487" s="237">
        <f t="shared" si="546"/>
        <v>38</v>
      </c>
      <c r="CI487" s="253">
        <f t="shared" si="547"/>
        <v>4.0666935483870965</v>
      </c>
      <c r="CJ487" s="253" cm="1">
        <f t="array" ref="CJ487">$BC487 * IF($AD487&lt;=2,
SUMPRODUCT(INDEX($AL$67:$AN$71,,$AE487), INDEX($AO$67:$AU$71,,$AD487), 1 / ($AV$67:$AV$71*CI487 + (1-$AV$67:$AV$71)*CE487), N($AK$67:$AK$71&gt;$AI487)),
SUMPRODUCT(INDEX($AL$57:$AN$66,,$AE487), INDEX($AO$57:$AU$66,,$AD487), 1 / ($AW$57:$AW$66*CI487 + (1-$AW$57:$AW$66)*CE487), N($AK$57:$AK$66&gt;$AI487))
) / 1000</f>
        <v>0</v>
      </c>
      <c r="CK487" s="250">
        <f t="shared" si="562"/>
        <v>20</v>
      </c>
      <c r="CL487" s="237">
        <f t="shared" si="548"/>
        <v>33</v>
      </c>
      <c r="CM487" s="253">
        <f t="shared" si="549"/>
        <v>4.8487499999999999</v>
      </c>
      <c r="CN487" s="253" cm="1">
        <f t="array" ref="CN487">$BC487 * IF($AD487&lt;=2,
SUMPRODUCT(INDEX($AL$62:$AN$66,,$AE487), INDEX($AO$62:$AU$66,,$AD487), 1 / ($AV$62:$AV$66*CM487 + (1-$AV$62:$AV$66)*CI487), N($AK$62:$AK$66&gt;$AI487)),
SUMPRODUCT(INDEX($AL$47:$AN$56,,$AE487), INDEX($AO$47:$AU$56,,$AD487), 1 / ($AW$47:$AW$56*CM487 + (1-$AW$47:$AW$56)*CI487), N($AK$47:$AK$56&gt;$AI487))
) / 1000</f>
        <v>0</v>
      </c>
      <c r="CO487" s="253" cm="1">
        <f t="array" ref="CO487">$BC487 * IF($AD487&lt;=2,
SUMPRODUCT(INDEX($AL$23:$AN$61,,$AE487), INDEX($AO$23:$AU$61,,$AD487), 1 / ($AV$23:$AV$61*CM487), N($AK$23:$AK$61&gt;$AI487)),
SUMPRODUCT(INDEX($AL$23:$AN$46,,$AE487), INDEX($AO$23:$AU$46,,$AD487), 1 / ($AW$23:$AW$46*CM487), N($AK$23:$AK$46&gt;$AI487))
) / 1000</f>
        <v>0</v>
      </c>
      <c r="CP487" s="237">
        <f t="shared" si="550"/>
        <v>0</v>
      </c>
      <c r="CQ487" s="210"/>
    </row>
    <row r="488" spans="1:95" s="76" customFormat="1" ht="14.25" customHeight="1" x14ac:dyDescent="0.2">
      <c r="A488" s="238" t="b">
        <f t="shared" si="554"/>
        <v>0</v>
      </c>
      <c r="B488" s="239">
        <v>466</v>
      </c>
      <c r="C488" s="258"/>
      <c r="D488" s="258"/>
      <c r="E488" s="240"/>
      <c r="F488" s="241" t="str">
        <f>IF(ISBLANK(E488), "", VLOOKUP(E488, Z!$A$2:$C$4127, 3, FALSE))</f>
        <v/>
      </c>
      <c r="G488" s="242"/>
      <c r="H488" s="242"/>
      <c r="I488" s="243"/>
      <c r="J488" s="244"/>
      <c r="K488" s="259"/>
      <c r="L488" s="260"/>
      <c r="M488" s="247" t="str" cm="1">
        <f t="array" ref="M488">IF($K488&gt;0, INDEX(Clean,1+AG488,$C$1), "")</f>
        <v/>
      </c>
      <c r="N488" s="245"/>
      <c r="O488" s="245"/>
      <c r="P488" s="246"/>
      <c r="Q488" s="248">
        <f t="shared" si="527"/>
        <v>0</v>
      </c>
      <c r="R488" s="247" t="str" cm="1">
        <f t="array" ref="R488">IF($K488&gt;0, INDEX(Clean,1+AH488,$C$1), "")</f>
        <v/>
      </c>
      <c r="S488" s="245"/>
      <c r="T488" s="245"/>
      <c r="U488" s="246"/>
      <c r="V488" s="248">
        <f t="shared" si="528"/>
        <v>0</v>
      </c>
      <c r="W488" s="261"/>
      <c r="X488" s="258"/>
      <c r="Y488" s="240"/>
      <c r="Z488" s="241" t="str">
        <f>IF(ISBLANK(Y488), "", VLOOKUP(Y488, Z!$A$2:$C$4127, 3, FALSE))</f>
        <v/>
      </c>
      <c r="AA488" s="262"/>
      <c r="AB488" s="249">
        <f t="shared" si="563"/>
        <v>0</v>
      </c>
      <c r="AC488" s="210"/>
      <c r="AD488" s="236">
        <f t="shared" si="551"/>
        <v>1</v>
      </c>
      <c r="AE488" s="236">
        <f t="shared" si="552"/>
        <v>1</v>
      </c>
      <c r="AF488" s="236">
        <f t="shared" si="553"/>
        <v>0</v>
      </c>
      <c r="AG488" s="236">
        <v>1</v>
      </c>
      <c r="AH488" s="236">
        <v>0</v>
      </c>
      <c r="AI488" s="236">
        <f t="shared" si="529"/>
        <v>-100</v>
      </c>
      <c r="AJ488" s="210"/>
      <c r="AK488" s="254"/>
      <c r="AL488" s="254"/>
      <c r="AM488" s="255"/>
      <c r="AN488" s="255"/>
      <c r="AO488" s="255"/>
      <c r="AP488" s="255"/>
      <c r="AQ488" s="255"/>
      <c r="AR488" s="255"/>
      <c r="AS488" s="255"/>
      <c r="AT488" s="255"/>
      <c r="AU488" s="255"/>
      <c r="AV488" s="255"/>
      <c r="AW488" s="255"/>
      <c r="AX488" s="210"/>
      <c r="AY488" s="236" cm="1">
        <f t="array" ref="AY488">INDEX(Use, $AD488, 4)</f>
        <v>7</v>
      </c>
      <c r="AZ488" s="236">
        <f t="shared" si="530"/>
        <v>32</v>
      </c>
      <c r="BA488" s="236">
        <f t="shared" si="555"/>
        <v>13</v>
      </c>
      <c r="BB488" s="236">
        <f t="shared" si="556"/>
        <v>0</v>
      </c>
      <c r="BC488" s="252" cm="1">
        <f t="array" ref="BC488">K488/IF($L488&gt;0, INDEX($AO$23:$AU$77, $L488+20, $AD488), 1)</f>
        <v>0</v>
      </c>
      <c r="BD488" s="237">
        <f t="shared" si="531"/>
        <v>0</v>
      </c>
      <c r="BE488" s="236">
        <v>35</v>
      </c>
      <c r="BF488" s="237">
        <f t="shared" si="532"/>
        <v>52.55</v>
      </c>
      <c r="BG488" s="253">
        <f t="shared" si="533"/>
        <v>2.7676728869374316</v>
      </c>
      <c r="BH488" s="253" cm="1">
        <f t="array" ref="BH488">$BC488 * SUMPRODUCT(INDEX($AL$77:$AN$82,,$AE488),INDEX($AO$77:$AU$82,,$AD488), N($AK$77:$AK$82&gt;$AI488)) / BG488 / 1000</f>
        <v>0</v>
      </c>
      <c r="BI488" s="250">
        <f t="shared" si="557"/>
        <v>30</v>
      </c>
      <c r="BJ488" s="237">
        <f t="shared" si="534"/>
        <v>46.033333333333331</v>
      </c>
      <c r="BK488" s="253">
        <f t="shared" si="535"/>
        <v>3.2297395388556791</v>
      </c>
      <c r="BL488" s="253" cm="1">
        <f t="array" ref="BL488">$BC488 * IF($AD488&lt;=2,
SUMPRODUCT(INDEX($AL$72:$AN$76,,$AE488), INDEX($AO$72:$AU$76,,$AD488), 1 / ($AV$72:$AV$76*BK488 + (1-$AV$72:$AV$76)*BG488), N($AK$72:$AK$76&gt;$AI488)),
SUMPRODUCT(INDEX($AL$67:$AN$76,,$AE488), INDEX($AO$67:$AU$76,,$AD488), 1 / ($AW$67:$AW$76*BK488 + (1-$AW$67:$AW$76)*BG488), N($AK$67:$AK$76&gt;$AI488))
) / 1000</f>
        <v>0</v>
      </c>
      <c r="BM488" s="250">
        <f t="shared" si="558"/>
        <v>25</v>
      </c>
      <c r="BN488" s="237">
        <f t="shared" si="536"/>
        <v>39.516666666666666</v>
      </c>
      <c r="BO488" s="253">
        <f t="shared" si="537"/>
        <v>3.877011788826243</v>
      </c>
      <c r="BP488" s="253" cm="1">
        <f t="array" ref="BP488">$BC488 * IF($AD488&lt;=2,
SUMPRODUCT(INDEX($AL$67:$AN$71,,$AE488), INDEX($AO$67:$AU$71,,$AD488), 1 / ($AV$67:$AV$71*BO488 + (1-$AV$67:$AV$71)*BK488), N($AK$67:$AK$71&gt;$AI488)),
SUMPRODUCT(INDEX($AL$57:$AN$66,,$AE488), INDEX($AO$57:$AU$66,,$AD488), 1 / ($AW$57:$AW$66*BO488 + (1-$AW$57:$AW$66)*BK488), N($AK$57:$AK$66&gt;$AI488))
) / 1000</f>
        <v>0</v>
      </c>
      <c r="BQ488" s="250">
        <f t="shared" si="559"/>
        <v>20</v>
      </c>
      <c r="BR488" s="237">
        <f t="shared" si="538"/>
        <v>33</v>
      </c>
      <c r="BS488" s="253">
        <f t="shared" si="539"/>
        <v>4.8487499999999999</v>
      </c>
      <c r="BT488" s="253" cm="1">
        <f t="array" ref="BT488">$BC488 * IF($AD488&lt;=2,
SUMPRODUCT(INDEX($AL$62:$AN$66,,$AE488), INDEX($AO$62:$AU$66,,$AD488), 1 / ($AV$62:$AV$66*BS488 + (1-$AV$62:$AV$66)*BO488), N($AK$62:$AK$66&gt;$AI488)),
SUMPRODUCT(INDEX($AL$47:$AN$56,,$AE488), INDEX($AO$47:$AU$56,,$AD488), 1 / ($AW$47:$AW$56*BS488 + (1-$AW$47:$AW$56)*BO488), N($AK$47:$AK$56&gt;$AI488))
) / 1000</f>
        <v>0</v>
      </c>
      <c r="BU488" s="253" cm="1">
        <f t="array" ref="BU488">$BC488 * IF($AD488&lt;=2,
SUMPRODUCT(INDEX($AL$23:$AN$61,,$AE488), INDEX($AO$23:$AU$61,,$AD488), 1 / ($AV$23:$AV$61*BS488), N($AK$23:$AK$61&gt;$AI488)),
SUMPRODUCT(INDEX($AL$23:$AN$46,,$AE488), INDEX($AO$23:$AU$46,,$AD488), 1 / ($AW$23:$AW$46*BS488), N($AK$23:$AK$46&gt;$AI488))
) / 1000</f>
        <v>0</v>
      </c>
      <c r="BV488" s="237">
        <f t="shared" si="540"/>
        <v>0</v>
      </c>
      <c r="BW488" s="210"/>
      <c r="BX488" s="237">
        <f t="shared" si="541"/>
        <v>0</v>
      </c>
      <c r="BY488" s="236">
        <v>35</v>
      </c>
      <c r="BZ488" s="237">
        <f t="shared" si="542"/>
        <v>48</v>
      </c>
      <c r="CA488" s="253">
        <f t="shared" si="543"/>
        <v>3.0748170731707316</v>
      </c>
      <c r="CB488" s="253" cm="1">
        <f t="array" ref="CB488">$BC488 * SUMPRODUCT(INDEX($AL$77:$AN$82,,$AE488),INDEX($AO$77:$AU$82,,$AD488), N($AK$77:$AK$82&gt;$AI488)) / CA488 / 1000</f>
        <v>0</v>
      </c>
      <c r="CC488" s="250">
        <f t="shared" si="560"/>
        <v>30</v>
      </c>
      <c r="CD488" s="237">
        <f t="shared" si="544"/>
        <v>43</v>
      </c>
      <c r="CE488" s="253">
        <f t="shared" si="545"/>
        <v>3.5018750000000001</v>
      </c>
      <c r="CF488" s="253" cm="1">
        <f t="array" ref="CF488">$BC488 * IF($AD488&lt;=2,
SUMPRODUCT(INDEX($AL$72:$AN$76,,$AE488), INDEX($AO$72:$AU$76,,$AD488), 1 / ($AV$72:$AV$76*CE488 + (1-$AV$72:$AV$76)*CA488), N($AK$72:$AK$76&gt;$AI488)),
SUMPRODUCT(INDEX($AL$67:$AN$76,,$AE488), INDEX($AO$67:$AU$76,,$AD488), 1 / ($AW$67:$AW$76*CE488 + (1-$AW$67:$AW$76)*CA488), N($AK$67:$AK$76&gt;$AI488))
) / 1000</f>
        <v>0</v>
      </c>
      <c r="CG488" s="250">
        <f t="shared" si="561"/>
        <v>25</v>
      </c>
      <c r="CH488" s="237">
        <f t="shared" si="546"/>
        <v>38</v>
      </c>
      <c r="CI488" s="253">
        <f t="shared" si="547"/>
        <v>4.0666935483870965</v>
      </c>
      <c r="CJ488" s="253" cm="1">
        <f t="array" ref="CJ488">$BC488 * IF($AD488&lt;=2,
SUMPRODUCT(INDEX($AL$67:$AN$71,,$AE488), INDEX($AO$67:$AU$71,,$AD488), 1 / ($AV$67:$AV$71*CI488 + (1-$AV$67:$AV$71)*CE488), N($AK$67:$AK$71&gt;$AI488)),
SUMPRODUCT(INDEX($AL$57:$AN$66,,$AE488), INDEX($AO$57:$AU$66,,$AD488), 1 / ($AW$57:$AW$66*CI488 + (1-$AW$57:$AW$66)*CE488), N($AK$57:$AK$66&gt;$AI488))
) / 1000</f>
        <v>0</v>
      </c>
      <c r="CK488" s="250">
        <f t="shared" si="562"/>
        <v>20</v>
      </c>
      <c r="CL488" s="237">
        <f t="shared" si="548"/>
        <v>33</v>
      </c>
      <c r="CM488" s="253">
        <f t="shared" si="549"/>
        <v>4.8487499999999999</v>
      </c>
      <c r="CN488" s="253" cm="1">
        <f t="array" ref="CN488">$BC488 * IF($AD488&lt;=2,
SUMPRODUCT(INDEX($AL$62:$AN$66,,$AE488), INDEX($AO$62:$AU$66,,$AD488), 1 / ($AV$62:$AV$66*CM488 + (1-$AV$62:$AV$66)*CI488), N($AK$62:$AK$66&gt;$AI488)),
SUMPRODUCT(INDEX($AL$47:$AN$56,,$AE488), INDEX($AO$47:$AU$56,,$AD488), 1 / ($AW$47:$AW$56*CM488 + (1-$AW$47:$AW$56)*CI488), N($AK$47:$AK$56&gt;$AI488))
) / 1000</f>
        <v>0</v>
      </c>
      <c r="CO488" s="253" cm="1">
        <f t="array" ref="CO488">$BC488 * IF($AD488&lt;=2,
SUMPRODUCT(INDEX($AL$23:$AN$61,,$AE488), INDEX($AO$23:$AU$61,,$AD488), 1 / ($AV$23:$AV$61*CM488), N($AK$23:$AK$61&gt;$AI488)),
SUMPRODUCT(INDEX($AL$23:$AN$46,,$AE488), INDEX($AO$23:$AU$46,,$AD488), 1 / ($AW$23:$AW$46*CM488), N($AK$23:$AK$46&gt;$AI488))
) / 1000</f>
        <v>0</v>
      </c>
      <c r="CP488" s="237">
        <f t="shared" si="550"/>
        <v>0</v>
      </c>
      <c r="CQ488" s="210"/>
    </row>
    <row r="489" spans="1:95" s="76" customFormat="1" ht="14.25" customHeight="1" x14ac:dyDescent="0.2">
      <c r="A489" s="238" t="b">
        <f t="shared" si="554"/>
        <v>0</v>
      </c>
      <c r="B489" s="239">
        <v>467</v>
      </c>
      <c r="C489" s="258"/>
      <c r="D489" s="258"/>
      <c r="E489" s="240"/>
      <c r="F489" s="241" t="str">
        <f>IF(ISBLANK(E489), "", VLOOKUP(E489, Z!$A$2:$C$4127, 3, FALSE))</f>
        <v/>
      </c>
      <c r="G489" s="242"/>
      <c r="H489" s="242"/>
      <c r="I489" s="243"/>
      <c r="J489" s="244"/>
      <c r="K489" s="259"/>
      <c r="L489" s="260"/>
      <c r="M489" s="247" t="str" cm="1">
        <f t="array" ref="M489">IF($K489&gt;0, INDEX(Clean,1+AG489,$C$1), "")</f>
        <v/>
      </c>
      <c r="N489" s="245"/>
      <c r="O489" s="245"/>
      <c r="P489" s="246"/>
      <c r="Q489" s="248">
        <f t="shared" si="527"/>
        <v>0</v>
      </c>
      <c r="R489" s="247" t="str" cm="1">
        <f t="array" ref="R489">IF($K489&gt;0, INDEX(Clean,1+AH489,$C$1), "")</f>
        <v/>
      </c>
      <c r="S489" s="245"/>
      <c r="T489" s="245"/>
      <c r="U489" s="246"/>
      <c r="V489" s="248">
        <f t="shared" si="528"/>
        <v>0</v>
      </c>
      <c r="W489" s="261"/>
      <c r="X489" s="258"/>
      <c r="Y489" s="240"/>
      <c r="Z489" s="241" t="str">
        <f>IF(ISBLANK(Y489), "", VLOOKUP(Y489, Z!$A$2:$C$4127, 3, FALSE))</f>
        <v/>
      </c>
      <c r="AA489" s="262"/>
      <c r="AB489" s="249">
        <f t="shared" si="563"/>
        <v>0</v>
      </c>
      <c r="AC489" s="210"/>
      <c r="AD489" s="236">
        <f t="shared" si="551"/>
        <v>1</v>
      </c>
      <c r="AE489" s="236">
        <f t="shared" si="552"/>
        <v>1</v>
      </c>
      <c r="AF489" s="236">
        <f t="shared" si="553"/>
        <v>0</v>
      </c>
      <c r="AG489" s="236">
        <v>1</v>
      </c>
      <c r="AH489" s="236">
        <v>0</v>
      </c>
      <c r="AI489" s="236">
        <f t="shared" si="529"/>
        <v>-100</v>
      </c>
      <c r="AJ489" s="210"/>
      <c r="AK489" s="254"/>
      <c r="AL489" s="254"/>
      <c r="AM489" s="255"/>
      <c r="AN489" s="255"/>
      <c r="AO489" s="255"/>
      <c r="AP489" s="255"/>
      <c r="AQ489" s="255"/>
      <c r="AR489" s="255"/>
      <c r="AS489" s="255"/>
      <c r="AT489" s="255"/>
      <c r="AU489" s="255"/>
      <c r="AV489" s="255"/>
      <c r="AW489" s="255"/>
      <c r="AX489" s="210"/>
      <c r="AY489" s="236" cm="1">
        <f t="array" ref="AY489">INDEX(Use, $AD489, 4)</f>
        <v>7</v>
      </c>
      <c r="AZ489" s="236">
        <f t="shared" si="530"/>
        <v>32</v>
      </c>
      <c r="BA489" s="236">
        <f t="shared" si="555"/>
        <v>13</v>
      </c>
      <c r="BB489" s="236">
        <f t="shared" si="556"/>
        <v>0</v>
      </c>
      <c r="BC489" s="252" cm="1">
        <f t="array" ref="BC489">K489/IF($L489&gt;0, INDEX($AO$23:$AU$77, $L489+20, $AD489), 1)</f>
        <v>0</v>
      </c>
      <c r="BD489" s="237">
        <f t="shared" si="531"/>
        <v>0</v>
      </c>
      <c r="BE489" s="236">
        <v>35</v>
      </c>
      <c r="BF489" s="237">
        <f t="shared" si="532"/>
        <v>52.55</v>
      </c>
      <c r="BG489" s="253">
        <f t="shared" si="533"/>
        <v>2.7676728869374316</v>
      </c>
      <c r="BH489" s="253" cm="1">
        <f t="array" ref="BH489">$BC489 * SUMPRODUCT(INDEX($AL$77:$AN$82,,$AE489),INDEX($AO$77:$AU$82,,$AD489), N($AK$77:$AK$82&gt;$AI489)) / BG489 / 1000</f>
        <v>0</v>
      </c>
      <c r="BI489" s="250">
        <f t="shared" si="557"/>
        <v>30</v>
      </c>
      <c r="BJ489" s="237">
        <f t="shared" si="534"/>
        <v>46.033333333333331</v>
      </c>
      <c r="BK489" s="253">
        <f t="shared" si="535"/>
        <v>3.2297395388556791</v>
      </c>
      <c r="BL489" s="253" cm="1">
        <f t="array" ref="BL489">$BC489 * IF($AD489&lt;=2,
SUMPRODUCT(INDEX($AL$72:$AN$76,,$AE489), INDEX($AO$72:$AU$76,,$AD489), 1 / ($AV$72:$AV$76*BK489 + (1-$AV$72:$AV$76)*BG489), N($AK$72:$AK$76&gt;$AI489)),
SUMPRODUCT(INDEX($AL$67:$AN$76,,$AE489), INDEX($AO$67:$AU$76,,$AD489), 1 / ($AW$67:$AW$76*BK489 + (1-$AW$67:$AW$76)*BG489), N($AK$67:$AK$76&gt;$AI489))
) / 1000</f>
        <v>0</v>
      </c>
      <c r="BM489" s="250">
        <f t="shared" si="558"/>
        <v>25</v>
      </c>
      <c r="BN489" s="237">
        <f t="shared" si="536"/>
        <v>39.516666666666666</v>
      </c>
      <c r="BO489" s="253">
        <f t="shared" si="537"/>
        <v>3.877011788826243</v>
      </c>
      <c r="BP489" s="253" cm="1">
        <f t="array" ref="BP489">$BC489 * IF($AD489&lt;=2,
SUMPRODUCT(INDEX($AL$67:$AN$71,,$AE489), INDEX($AO$67:$AU$71,,$AD489), 1 / ($AV$67:$AV$71*BO489 + (1-$AV$67:$AV$71)*BK489), N($AK$67:$AK$71&gt;$AI489)),
SUMPRODUCT(INDEX($AL$57:$AN$66,,$AE489), INDEX($AO$57:$AU$66,,$AD489), 1 / ($AW$57:$AW$66*BO489 + (1-$AW$57:$AW$66)*BK489), N($AK$57:$AK$66&gt;$AI489))
) / 1000</f>
        <v>0</v>
      </c>
      <c r="BQ489" s="250">
        <f t="shared" si="559"/>
        <v>20</v>
      </c>
      <c r="BR489" s="237">
        <f t="shared" si="538"/>
        <v>33</v>
      </c>
      <c r="BS489" s="253">
        <f t="shared" si="539"/>
        <v>4.8487499999999999</v>
      </c>
      <c r="BT489" s="253" cm="1">
        <f t="array" ref="BT489">$BC489 * IF($AD489&lt;=2,
SUMPRODUCT(INDEX($AL$62:$AN$66,,$AE489), INDEX($AO$62:$AU$66,,$AD489), 1 / ($AV$62:$AV$66*BS489 + (1-$AV$62:$AV$66)*BO489), N($AK$62:$AK$66&gt;$AI489)),
SUMPRODUCT(INDEX($AL$47:$AN$56,,$AE489), INDEX($AO$47:$AU$56,,$AD489), 1 / ($AW$47:$AW$56*BS489 + (1-$AW$47:$AW$56)*BO489), N($AK$47:$AK$56&gt;$AI489))
) / 1000</f>
        <v>0</v>
      </c>
      <c r="BU489" s="253" cm="1">
        <f t="array" ref="BU489">$BC489 * IF($AD489&lt;=2,
SUMPRODUCT(INDEX($AL$23:$AN$61,,$AE489), INDEX($AO$23:$AU$61,,$AD489), 1 / ($AV$23:$AV$61*BS489), N($AK$23:$AK$61&gt;$AI489)),
SUMPRODUCT(INDEX($AL$23:$AN$46,,$AE489), INDEX($AO$23:$AU$46,,$AD489), 1 / ($AW$23:$AW$46*BS489), N($AK$23:$AK$46&gt;$AI489))
) / 1000</f>
        <v>0</v>
      </c>
      <c r="BV489" s="237">
        <f t="shared" si="540"/>
        <v>0</v>
      </c>
      <c r="BW489" s="210"/>
      <c r="BX489" s="237">
        <f t="shared" si="541"/>
        <v>0</v>
      </c>
      <c r="BY489" s="236">
        <v>35</v>
      </c>
      <c r="BZ489" s="237">
        <f t="shared" si="542"/>
        <v>48</v>
      </c>
      <c r="CA489" s="253">
        <f t="shared" si="543"/>
        <v>3.0748170731707316</v>
      </c>
      <c r="CB489" s="253" cm="1">
        <f t="array" ref="CB489">$BC489 * SUMPRODUCT(INDEX($AL$77:$AN$82,,$AE489),INDEX($AO$77:$AU$82,,$AD489), N($AK$77:$AK$82&gt;$AI489)) / CA489 / 1000</f>
        <v>0</v>
      </c>
      <c r="CC489" s="250">
        <f t="shared" si="560"/>
        <v>30</v>
      </c>
      <c r="CD489" s="237">
        <f t="shared" si="544"/>
        <v>43</v>
      </c>
      <c r="CE489" s="253">
        <f t="shared" si="545"/>
        <v>3.5018750000000001</v>
      </c>
      <c r="CF489" s="253" cm="1">
        <f t="array" ref="CF489">$BC489 * IF($AD489&lt;=2,
SUMPRODUCT(INDEX($AL$72:$AN$76,,$AE489), INDEX($AO$72:$AU$76,,$AD489), 1 / ($AV$72:$AV$76*CE489 + (1-$AV$72:$AV$76)*CA489), N($AK$72:$AK$76&gt;$AI489)),
SUMPRODUCT(INDEX($AL$67:$AN$76,,$AE489), INDEX($AO$67:$AU$76,,$AD489), 1 / ($AW$67:$AW$76*CE489 + (1-$AW$67:$AW$76)*CA489), N($AK$67:$AK$76&gt;$AI489))
) / 1000</f>
        <v>0</v>
      </c>
      <c r="CG489" s="250">
        <f t="shared" si="561"/>
        <v>25</v>
      </c>
      <c r="CH489" s="237">
        <f t="shared" si="546"/>
        <v>38</v>
      </c>
      <c r="CI489" s="253">
        <f t="shared" si="547"/>
        <v>4.0666935483870965</v>
      </c>
      <c r="CJ489" s="253" cm="1">
        <f t="array" ref="CJ489">$BC489 * IF($AD489&lt;=2,
SUMPRODUCT(INDEX($AL$67:$AN$71,,$AE489), INDEX($AO$67:$AU$71,,$AD489), 1 / ($AV$67:$AV$71*CI489 + (1-$AV$67:$AV$71)*CE489), N($AK$67:$AK$71&gt;$AI489)),
SUMPRODUCT(INDEX($AL$57:$AN$66,,$AE489), INDEX($AO$57:$AU$66,,$AD489), 1 / ($AW$57:$AW$66*CI489 + (1-$AW$57:$AW$66)*CE489), N($AK$57:$AK$66&gt;$AI489))
) / 1000</f>
        <v>0</v>
      </c>
      <c r="CK489" s="250">
        <f t="shared" si="562"/>
        <v>20</v>
      </c>
      <c r="CL489" s="237">
        <f t="shared" si="548"/>
        <v>33</v>
      </c>
      <c r="CM489" s="253">
        <f t="shared" si="549"/>
        <v>4.8487499999999999</v>
      </c>
      <c r="CN489" s="253" cm="1">
        <f t="array" ref="CN489">$BC489 * IF($AD489&lt;=2,
SUMPRODUCT(INDEX($AL$62:$AN$66,,$AE489), INDEX($AO$62:$AU$66,,$AD489), 1 / ($AV$62:$AV$66*CM489 + (1-$AV$62:$AV$66)*CI489), N($AK$62:$AK$66&gt;$AI489)),
SUMPRODUCT(INDEX($AL$47:$AN$56,,$AE489), INDEX($AO$47:$AU$56,,$AD489), 1 / ($AW$47:$AW$56*CM489 + (1-$AW$47:$AW$56)*CI489), N($AK$47:$AK$56&gt;$AI489))
) / 1000</f>
        <v>0</v>
      </c>
      <c r="CO489" s="253" cm="1">
        <f t="array" ref="CO489">$BC489 * IF($AD489&lt;=2,
SUMPRODUCT(INDEX($AL$23:$AN$61,,$AE489), INDEX($AO$23:$AU$61,,$AD489), 1 / ($AV$23:$AV$61*CM489), N($AK$23:$AK$61&gt;$AI489)),
SUMPRODUCT(INDEX($AL$23:$AN$46,,$AE489), INDEX($AO$23:$AU$46,,$AD489), 1 / ($AW$23:$AW$46*CM489), N($AK$23:$AK$46&gt;$AI489))
) / 1000</f>
        <v>0</v>
      </c>
      <c r="CP489" s="237">
        <f t="shared" si="550"/>
        <v>0</v>
      </c>
      <c r="CQ489" s="210"/>
    </row>
    <row r="490" spans="1:95" s="76" customFormat="1" ht="14.25" customHeight="1" x14ac:dyDescent="0.2">
      <c r="A490" s="238" t="b">
        <f t="shared" si="554"/>
        <v>0</v>
      </c>
      <c r="B490" s="239">
        <v>468</v>
      </c>
      <c r="C490" s="258"/>
      <c r="D490" s="258"/>
      <c r="E490" s="240"/>
      <c r="F490" s="241" t="str">
        <f>IF(ISBLANK(E490), "", VLOOKUP(E490, Z!$A$2:$C$4127, 3, FALSE))</f>
        <v/>
      </c>
      <c r="G490" s="242"/>
      <c r="H490" s="242"/>
      <c r="I490" s="243"/>
      <c r="J490" s="244"/>
      <c r="K490" s="259"/>
      <c r="L490" s="260"/>
      <c r="M490" s="247" t="str" cm="1">
        <f t="array" ref="M490">IF($K490&gt;0, INDEX(Clean,1+AG490,$C$1), "")</f>
        <v/>
      </c>
      <c r="N490" s="245"/>
      <c r="O490" s="245"/>
      <c r="P490" s="246"/>
      <c r="Q490" s="248">
        <f t="shared" si="527"/>
        <v>0</v>
      </c>
      <c r="R490" s="247" t="str" cm="1">
        <f t="array" ref="R490">IF($K490&gt;0, INDEX(Clean,1+AH490,$C$1), "")</f>
        <v/>
      </c>
      <c r="S490" s="245"/>
      <c r="T490" s="245"/>
      <c r="U490" s="246"/>
      <c r="V490" s="248">
        <f t="shared" si="528"/>
        <v>0</v>
      </c>
      <c r="W490" s="261"/>
      <c r="X490" s="258"/>
      <c r="Y490" s="240"/>
      <c r="Z490" s="241" t="str">
        <f>IF(ISBLANK(Y490), "", VLOOKUP(Y490, Z!$A$2:$C$4127, 3, FALSE))</f>
        <v/>
      </c>
      <c r="AA490" s="262"/>
      <c r="AB490" s="249">
        <f t="shared" si="563"/>
        <v>0</v>
      </c>
      <c r="AC490" s="210"/>
      <c r="AD490" s="236">
        <f t="shared" si="551"/>
        <v>1</v>
      </c>
      <c r="AE490" s="236">
        <f t="shared" si="552"/>
        <v>1</v>
      </c>
      <c r="AF490" s="236">
        <f t="shared" si="553"/>
        <v>0</v>
      </c>
      <c r="AG490" s="236">
        <v>1</v>
      </c>
      <c r="AH490" s="236">
        <v>0</v>
      </c>
      <c r="AI490" s="236">
        <f t="shared" si="529"/>
        <v>-100</v>
      </c>
      <c r="AJ490" s="210"/>
      <c r="AK490" s="254"/>
      <c r="AL490" s="254"/>
      <c r="AM490" s="255"/>
      <c r="AN490" s="255"/>
      <c r="AO490" s="255"/>
      <c r="AP490" s="255"/>
      <c r="AQ490" s="255"/>
      <c r="AR490" s="255"/>
      <c r="AS490" s="255"/>
      <c r="AT490" s="255"/>
      <c r="AU490" s="255"/>
      <c r="AV490" s="255"/>
      <c r="AW490" s="255"/>
      <c r="AX490" s="210"/>
      <c r="AY490" s="236" cm="1">
        <f t="array" ref="AY490">INDEX(Use, $AD490, 4)</f>
        <v>7</v>
      </c>
      <c r="AZ490" s="236">
        <f t="shared" si="530"/>
        <v>32</v>
      </c>
      <c r="BA490" s="236">
        <f t="shared" si="555"/>
        <v>13</v>
      </c>
      <c r="BB490" s="236">
        <f t="shared" si="556"/>
        <v>0</v>
      </c>
      <c r="BC490" s="252" cm="1">
        <f t="array" ref="BC490">K490/IF($L490&gt;0, INDEX($AO$23:$AU$77, $L490+20, $AD490), 1)</f>
        <v>0</v>
      </c>
      <c r="BD490" s="237">
        <f t="shared" si="531"/>
        <v>0</v>
      </c>
      <c r="BE490" s="236">
        <v>35</v>
      </c>
      <c r="BF490" s="237">
        <f t="shared" si="532"/>
        <v>52.55</v>
      </c>
      <c r="BG490" s="253">
        <f t="shared" si="533"/>
        <v>2.7676728869374316</v>
      </c>
      <c r="BH490" s="253" cm="1">
        <f t="array" ref="BH490">$BC490 * SUMPRODUCT(INDEX($AL$77:$AN$82,,$AE490),INDEX($AO$77:$AU$82,,$AD490), N($AK$77:$AK$82&gt;$AI490)) / BG490 / 1000</f>
        <v>0</v>
      </c>
      <c r="BI490" s="250">
        <f t="shared" si="557"/>
        <v>30</v>
      </c>
      <c r="BJ490" s="237">
        <f t="shared" si="534"/>
        <v>46.033333333333331</v>
      </c>
      <c r="BK490" s="253">
        <f t="shared" si="535"/>
        <v>3.2297395388556791</v>
      </c>
      <c r="BL490" s="253" cm="1">
        <f t="array" ref="BL490">$BC490 * IF($AD490&lt;=2,
SUMPRODUCT(INDEX($AL$72:$AN$76,,$AE490), INDEX($AO$72:$AU$76,,$AD490), 1 / ($AV$72:$AV$76*BK490 + (1-$AV$72:$AV$76)*BG490), N($AK$72:$AK$76&gt;$AI490)),
SUMPRODUCT(INDEX($AL$67:$AN$76,,$AE490), INDEX($AO$67:$AU$76,,$AD490), 1 / ($AW$67:$AW$76*BK490 + (1-$AW$67:$AW$76)*BG490), N($AK$67:$AK$76&gt;$AI490))
) / 1000</f>
        <v>0</v>
      </c>
      <c r="BM490" s="250">
        <f t="shared" si="558"/>
        <v>25</v>
      </c>
      <c r="BN490" s="237">
        <f t="shared" si="536"/>
        <v>39.516666666666666</v>
      </c>
      <c r="BO490" s="253">
        <f t="shared" si="537"/>
        <v>3.877011788826243</v>
      </c>
      <c r="BP490" s="253" cm="1">
        <f t="array" ref="BP490">$BC490 * IF($AD490&lt;=2,
SUMPRODUCT(INDEX($AL$67:$AN$71,,$AE490), INDEX($AO$67:$AU$71,,$AD490), 1 / ($AV$67:$AV$71*BO490 + (1-$AV$67:$AV$71)*BK490), N($AK$67:$AK$71&gt;$AI490)),
SUMPRODUCT(INDEX($AL$57:$AN$66,,$AE490), INDEX($AO$57:$AU$66,,$AD490), 1 / ($AW$57:$AW$66*BO490 + (1-$AW$57:$AW$66)*BK490), N($AK$57:$AK$66&gt;$AI490))
) / 1000</f>
        <v>0</v>
      </c>
      <c r="BQ490" s="250">
        <f t="shared" si="559"/>
        <v>20</v>
      </c>
      <c r="BR490" s="237">
        <f t="shared" si="538"/>
        <v>33</v>
      </c>
      <c r="BS490" s="253">
        <f t="shared" si="539"/>
        <v>4.8487499999999999</v>
      </c>
      <c r="BT490" s="253" cm="1">
        <f t="array" ref="BT490">$BC490 * IF($AD490&lt;=2,
SUMPRODUCT(INDEX($AL$62:$AN$66,,$AE490), INDEX($AO$62:$AU$66,,$AD490), 1 / ($AV$62:$AV$66*BS490 + (1-$AV$62:$AV$66)*BO490), N($AK$62:$AK$66&gt;$AI490)),
SUMPRODUCT(INDEX($AL$47:$AN$56,,$AE490), INDEX($AO$47:$AU$56,,$AD490), 1 / ($AW$47:$AW$56*BS490 + (1-$AW$47:$AW$56)*BO490), N($AK$47:$AK$56&gt;$AI490))
) / 1000</f>
        <v>0</v>
      </c>
      <c r="BU490" s="253" cm="1">
        <f t="array" ref="BU490">$BC490 * IF($AD490&lt;=2,
SUMPRODUCT(INDEX($AL$23:$AN$61,,$AE490), INDEX($AO$23:$AU$61,,$AD490), 1 / ($AV$23:$AV$61*BS490), N($AK$23:$AK$61&gt;$AI490)),
SUMPRODUCT(INDEX($AL$23:$AN$46,,$AE490), INDEX($AO$23:$AU$46,,$AD490), 1 / ($AW$23:$AW$46*BS490), N($AK$23:$AK$46&gt;$AI490))
) / 1000</f>
        <v>0</v>
      </c>
      <c r="BV490" s="237">
        <f t="shared" si="540"/>
        <v>0</v>
      </c>
      <c r="BW490" s="210"/>
      <c r="BX490" s="237">
        <f t="shared" si="541"/>
        <v>0</v>
      </c>
      <c r="BY490" s="236">
        <v>35</v>
      </c>
      <c r="BZ490" s="237">
        <f t="shared" si="542"/>
        <v>48</v>
      </c>
      <c r="CA490" s="253">
        <f t="shared" si="543"/>
        <v>3.0748170731707316</v>
      </c>
      <c r="CB490" s="253" cm="1">
        <f t="array" ref="CB490">$BC490 * SUMPRODUCT(INDEX($AL$77:$AN$82,,$AE490),INDEX($AO$77:$AU$82,,$AD490), N($AK$77:$AK$82&gt;$AI490)) / CA490 / 1000</f>
        <v>0</v>
      </c>
      <c r="CC490" s="250">
        <f t="shared" si="560"/>
        <v>30</v>
      </c>
      <c r="CD490" s="237">
        <f t="shared" si="544"/>
        <v>43</v>
      </c>
      <c r="CE490" s="253">
        <f t="shared" si="545"/>
        <v>3.5018750000000001</v>
      </c>
      <c r="CF490" s="253" cm="1">
        <f t="array" ref="CF490">$BC490 * IF($AD490&lt;=2,
SUMPRODUCT(INDEX($AL$72:$AN$76,,$AE490), INDEX($AO$72:$AU$76,,$AD490), 1 / ($AV$72:$AV$76*CE490 + (1-$AV$72:$AV$76)*CA490), N($AK$72:$AK$76&gt;$AI490)),
SUMPRODUCT(INDEX($AL$67:$AN$76,,$AE490), INDEX($AO$67:$AU$76,,$AD490), 1 / ($AW$67:$AW$76*CE490 + (1-$AW$67:$AW$76)*CA490), N($AK$67:$AK$76&gt;$AI490))
) / 1000</f>
        <v>0</v>
      </c>
      <c r="CG490" s="250">
        <f t="shared" si="561"/>
        <v>25</v>
      </c>
      <c r="CH490" s="237">
        <f t="shared" si="546"/>
        <v>38</v>
      </c>
      <c r="CI490" s="253">
        <f t="shared" si="547"/>
        <v>4.0666935483870965</v>
      </c>
      <c r="CJ490" s="253" cm="1">
        <f t="array" ref="CJ490">$BC490 * IF($AD490&lt;=2,
SUMPRODUCT(INDEX($AL$67:$AN$71,,$AE490), INDEX($AO$67:$AU$71,,$AD490), 1 / ($AV$67:$AV$71*CI490 + (1-$AV$67:$AV$71)*CE490), N($AK$67:$AK$71&gt;$AI490)),
SUMPRODUCT(INDEX($AL$57:$AN$66,,$AE490), INDEX($AO$57:$AU$66,,$AD490), 1 / ($AW$57:$AW$66*CI490 + (1-$AW$57:$AW$66)*CE490), N($AK$57:$AK$66&gt;$AI490))
) / 1000</f>
        <v>0</v>
      </c>
      <c r="CK490" s="250">
        <f t="shared" si="562"/>
        <v>20</v>
      </c>
      <c r="CL490" s="237">
        <f t="shared" si="548"/>
        <v>33</v>
      </c>
      <c r="CM490" s="253">
        <f t="shared" si="549"/>
        <v>4.8487499999999999</v>
      </c>
      <c r="CN490" s="253" cm="1">
        <f t="array" ref="CN490">$BC490 * IF($AD490&lt;=2,
SUMPRODUCT(INDEX($AL$62:$AN$66,,$AE490), INDEX($AO$62:$AU$66,,$AD490), 1 / ($AV$62:$AV$66*CM490 + (1-$AV$62:$AV$66)*CI490), N($AK$62:$AK$66&gt;$AI490)),
SUMPRODUCT(INDEX($AL$47:$AN$56,,$AE490), INDEX($AO$47:$AU$56,,$AD490), 1 / ($AW$47:$AW$56*CM490 + (1-$AW$47:$AW$56)*CI490), N($AK$47:$AK$56&gt;$AI490))
) / 1000</f>
        <v>0</v>
      </c>
      <c r="CO490" s="253" cm="1">
        <f t="array" ref="CO490">$BC490 * IF($AD490&lt;=2,
SUMPRODUCT(INDEX($AL$23:$AN$61,,$AE490), INDEX($AO$23:$AU$61,,$AD490), 1 / ($AV$23:$AV$61*CM490), N($AK$23:$AK$61&gt;$AI490)),
SUMPRODUCT(INDEX($AL$23:$AN$46,,$AE490), INDEX($AO$23:$AU$46,,$AD490), 1 / ($AW$23:$AW$46*CM490), N($AK$23:$AK$46&gt;$AI490))
) / 1000</f>
        <v>0</v>
      </c>
      <c r="CP490" s="237">
        <f t="shared" si="550"/>
        <v>0</v>
      </c>
      <c r="CQ490" s="210"/>
    </row>
    <row r="491" spans="1:95" s="76" customFormat="1" ht="14.25" customHeight="1" x14ac:dyDescent="0.2">
      <c r="A491" s="238" t="b">
        <f t="shared" si="554"/>
        <v>0</v>
      </c>
      <c r="B491" s="239">
        <v>469</v>
      </c>
      <c r="C491" s="258"/>
      <c r="D491" s="258"/>
      <c r="E491" s="240"/>
      <c r="F491" s="241" t="str">
        <f>IF(ISBLANK(E491), "", VLOOKUP(E491, Z!$A$2:$C$4127, 3, FALSE))</f>
        <v/>
      </c>
      <c r="G491" s="242"/>
      <c r="H491" s="242"/>
      <c r="I491" s="243"/>
      <c r="J491" s="244"/>
      <c r="K491" s="259"/>
      <c r="L491" s="260"/>
      <c r="M491" s="247" t="str" cm="1">
        <f t="array" ref="M491">IF($K491&gt;0, INDEX(Clean,1+AG491,$C$1), "")</f>
        <v/>
      </c>
      <c r="N491" s="245"/>
      <c r="O491" s="245"/>
      <c r="P491" s="246"/>
      <c r="Q491" s="248">
        <f t="shared" si="527"/>
        <v>0</v>
      </c>
      <c r="R491" s="247" t="str" cm="1">
        <f t="array" ref="R491">IF($K491&gt;0, INDEX(Clean,1+AH491,$C$1), "")</f>
        <v/>
      </c>
      <c r="S491" s="245"/>
      <c r="T491" s="245"/>
      <c r="U491" s="246"/>
      <c r="V491" s="248">
        <f t="shared" si="528"/>
        <v>0</v>
      </c>
      <c r="W491" s="261"/>
      <c r="X491" s="258"/>
      <c r="Y491" s="240"/>
      <c r="Z491" s="241" t="str">
        <f>IF(ISBLANK(Y491), "", VLOOKUP(Y491, Z!$A$2:$C$4127, 3, FALSE))</f>
        <v/>
      </c>
      <c r="AA491" s="262"/>
      <c r="AB491" s="249">
        <f t="shared" si="563"/>
        <v>0</v>
      </c>
      <c r="AC491" s="210"/>
      <c r="AD491" s="236">
        <f t="shared" si="551"/>
        <v>1</v>
      </c>
      <c r="AE491" s="236">
        <f t="shared" si="552"/>
        <v>1</v>
      </c>
      <c r="AF491" s="236">
        <f t="shared" si="553"/>
        <v>0</v>
      </c>
      <c r="AG491" s="236">
        <v>1</v>
      </c>
      <c r="AH491" s="236">
        <v>0</v>
      </c>
      <c r="AI491" s="236">
        <f t="shared" si="529"/>
        <v>-100</v>
      </c>
      <c r="AJ491" s="210"/>
      <c r="AK491" s="254"/>
      <c r="AL491" s="254"/>
      <c r="AM491" s="255"/>
      <c r="AN491" s="255"/>
      <c r="AO491" s="255"/>
      <c r="AP491" s="255"/>
      <c r="AQ491" s="255"/>
      <c r="AR491" s="255"/>
      <c r="AS491" s="255"/>
      <c r="AT491" s="255"/>
      <c r="AU491" s="255"/>
      <c r="AV491" s="255"/>
      <c r="AW491" s="255"/>
      <c r="AX491" s="210"/>
      <c r="AY491" s="236" cm="1">
        <f t="array" ref="AY491">INDEX(Use, $AD491, 4)</f>
        <v>7</v>
      </c>
      <c r="AZ491" s="236">
        <f t="shared" si="530"/>
        <v>32</v>
      </c>
      <c r="BA491" s="236">
        <f t="shared" si="555"/>
        <v>13</v>
      </c>
      <c r="BB491" s="236">
        <f t="shared" si="556"/>
        <v>0</v>
      </c>
      <c r="BC491" s="252" cm="1">
        <f t="array" ref="BC491">K491/IF($L491&gt;0, INDEX($AO$23:$AU$77, $L491+20, $AD491), 1)</f>
        <v>0</v>
      </c>
      <c r="BD491" s="237">
        <f t="shared" si="531"/>
        <v>0</v>
      </c>
      <c r="BE491" s="236">
        <v>35</v>
      </c>
      <c r="BF491" s="237">
        <f t="shared" si="532"/>
        <v>52.55</v>
      </c>
      <c r="BG491" s="253">
        <f t="shared" si="533"/>
        <v>2.7676728869374316</v>
      </c>
      <c r="BH491" s="253" cm="1">
        <f t="array" ref="BH491">$BC491 * SUMPRODUCT(INDEX($AL$77:$AN$82,,$AE491),INDEX($AO$77:$AU$82,,$AD491), N($AK$77:$AK$82&gt;$AI491)) / BG491 / 1000</f>
        <v>0</v>
      </c>
      <c r="BI491" s="250">
        <f t="shared" si="557"/>
        <v>30</v>
      </c>
      <c r="BJ491" s="237">
        <f t="shared" si="534"/>
        <v>46.033333333333331</v>
      </c>
      <c r="BK491" s="253">
        <f t="shared" si="535"/>
        <v>3.2297395388556791</v>
      </c>
      <c r="BL491" s="253" cm="1">
        <f t="array" ref="BL491">$BC491 * IF($AD491&lt;=2,
SUMPRODUCT(INDEX($AL$72:$AN$76,,$AE491), INDEX($AO$72:$AU$76,,$AD491), 1 / ($AV$72:$AV$76*BK491 + (1-$AV$72:$AV$76)*BG491), N($AK$72:$AK$76&gt;$AI491)),
SUMPRODUCT(INDEX($AL$67:$AN$76,,$AE491), INDEX($AO$67:$AU$76,,$AD491), 1 / ($AW$67:$AW$76*BK491 + (1-$AW$67:$AW$76)*BG491), N($AK$67:$AK$76&gt;$AI491))
) / 1000</f>
        <v>0</v>
      </c>
      <c r="BM491" s="250">
        <f t="shared" si="558"/>
        <v>25</v>
      </c>
      <c r="BN491" s="237">
        <f t="shared" si="536"/>
        <v>39.516666666666666</v>
      </c>
      <c r="BO491" s="253">
        <f t="shared" si="537"/>
        <v>3.877011788826243</v>
      </c>
      <c r="BP491" s="253" cm="1">
        <f t="array" ref="BP491">$BC491 * IF($AD491&lt;=2,
SUMPRODUCT(INDEX($AL$67:$AN$71,,$AE491), INDEX($AO$67:$AU$71,,$AD491), 1 / ($AV$67:$AV$71*BO491 + (1-$AV$67:$AV$71)*BK491), N($AK$67:$AK$71&gt;$AI491)),
SUMPRODUCT(INDEX($AL$57:$AN$66,,$AE491), INDEX($AO$57:$AU$66,,$AD491), 1 / ($AW$57:$AW$66*BO491 + (1-$AW$57:$AW$66)*BK491), N($AK$57:$AK$66&gt;$AI491))
) / 1000</f>
        <v>0</v>
      </c>
      <c r="BQ491" s="250">
        <f t="shared" si="559"/>
        <v>20</v>
      </c>
      <c r="BR491" s="237">
        <f t="shared" si="538"/>
        <v>33</v>
      </c>
      <c r="BS491" s="253">
        <f t="shared" si="539"/>
        <v>4.8487499999999999</v>
      </c>
      <c r="BT491" s="253" cm="1">
        <f t="array" ref="BT491">$BC491 * IF($AD491&lt;=2,
SUMPRODUCT(INDEX($AL$62:$AN$66,,$AE491), INDEX($AO$62:$AU$66,,$AD491), 1 / ($AV$62:$AV$66*BS491 + (1-$AV$62:$AV$66)*BO491), N($AK$62:$AK$66&gt;$AI491)),
SUMPRODUCT(INDEX($AL$47:$AN$56,,$AE491), INDEX($AO$47:$AU$56,,$AD491), 1 / ($AW$47:$AW$56*BS491 + (1-$AW$47:$AW$56)*BO491), N($AK$47:$AK$56&gt;$AI491))
) / 1000</f>
        <v>0</v>
      </c>
      <c r="BU491" s="253" cm="1">
        <f t="array" ref="BU491">$BC491 * IF($AD491&lt;=2,
SUMPRODUCT(INDEX($AL$23:$AN$61,,$AE491), INDEX($AO$23:$AU$61,,$AD491), 1 / ($AV$23:$AV$61*BS491), N($AK$23:$AK$61&gt;$AI491)),
SUMPRODUCT(INDEX($AL$23:$AN$46,,$AE491), INDEX($AO$23:$AU$46,,$AD491), 1 / ($AW$23:$AW$46*BS491), N($AK$23:$AK$46&gt;$AI491))
) / 1000</f>
        <v>0</v>
      </c>
      <c r="BV491" s="237">
        <f t="shared" si="540"/>
        <v>0</v>
      </c>
      <c r="BW491" s="210"/>
      <c r="BX491" s="237">
        <f t="shared" si="541"/>
        <v>0</v>
      </c>
      <c r="BY491" s="236">
        <v>35</v>
      </c>
      <c r="BZ491" s="237">
        <f t="shared" si="542"/>
        <v>48</v>
      </c>
      <c r="CA491" s="253">
        <f t="shared" si="543"/>
        <v>3.0748170731707316</v>
      </c>
      <c r="CB491" s="253" cm="1">
        <f t="array" ref="CB491">$BC491 * SUMPRODUCT(INDEX($AL$77:$AN$82,,$AE491),INDEX($AO$77:$AU$82,,$AD491), N($AK$77:$AK$82&gt;$AI491)) / CA491 / 1000</f>
        <v>0</v>
      </c>
      <c r="CC491" s="250">
        <f t="shared" si="560"/>
        <v>30</v>
      </c>
      <c r="CD491" s="237">
        <f t="shared" si="544"/>
        <v>43</v>
      </c>
      <c r="CE491" s="253">
        <f t="shared" si="545"/>
        <v>3.5018750000000001</v>
      </c>
      <c r="CF491" s="253" cm="1">
        <f t="array" ref="CF491">$BC491 * IF($AD491&lt;=2,
SUMPRODUCT(INDEX($AL$72:$AN$76,,$AE491), INDEX($AO$72:$AU$76,,$AD491), 1 / ($AV$72:$AV$76*CE491 + (1-$AV$72:$AV$76)*CA491), N($AK$72:$AK$76&gt;$AI491)),
SUMPRODUCT(INDEX($AL$67:$AN$76,,$AE491), INDEX($AO$67:$AU$76,,$AD491), 1 / ($AW$67:$AW$76*CE491 + (1-$AW$67:$AW$76)*CA491), N($AK$67:$AK$76&gt;$AI491))
) / 1000</f>
        <v>0</v>
      </c>
      <c r="CG491" s="250">
        <f t="shared" si="561"/>
        <v>25</v>
      </c>
      <c r="CH491" s="237">
        <f t="shared" si="546"/>
        <v>38</v>
      </c>
      <c r="CI491" s="253">
        <f t="shared" si="547"/>
        <v>4.0666935483870965</v>
      </c>
      <c r="CJ491" s="253" cm="1">
        <f t="array" ref="CJ491">$BC491 * IF($AD491&lt;=2,
SUMPRODUCT(INDEX($AL$67:$AN$71,,$AE491), INDEX($AO$67:$AU$71,,$AD491), 1 / ($AV$67:$AV$71*CI491 + (1-$AV$67:$AV$71)*CE491), N($AK$67:$AK$71&gt;$AI491)),
SUMPRODUCT(INDEX($AL$57:$AN$66,,$AE491), INDEX($AO$57:$AU$66,,$AD491), 1 / ($AW$57:$AW$66*CI491 + (1-$AW$57:$AW$66)*CE491), N($AK$57:$AK$66&gt;$AI491))
) / 1000</f>
        <v>0</v>
      </c>
      <c r="CK491" s="250">
        <f t="shared" si="562"/>
        <v>20</v>
      </c>
      <c r="CL491" s="237">
        <f t="shared" si="548"/>
        <v>33</v>
      </c>
      <c r="CM491" s="253">
        <f t="shared" si="549"/>
        <v>4.8487499999999999</v>
      </c>
      <c r="CN491" s="253" cm="1">
        <f t="array" ref="CN491">$BC491 * IF($AD491&lt;=2,
SUMPRODUCT(INDEX($AL$62:$AN$66,,$AE491), INDEX($AO$62:$AU$66,,$AD491), 1 / ($AV$62:$AV$66*CM491 + (1-$AV$62:$AV$66)*CI491), N($AK$62:$AK$66&gt;$AI491)),
SUMPRODUCT(INDEX($AL$47:$AN$56,,$AE491), INDEX($AO$47:$AU$56,,$AD491), 1 / ($AW$47:$AW$56*CM491 + (1-$AW$47:$AW$56)*CI491), N($AK$47:$AK$56&gt;$AI491))
) / 1000</f>
        <v>0</v>
      </c>
      <c r="CO491" s="253" cm="1">
        <f t="array" ref="CO491">$BC491 * IF($AD491&lt;=2,
SUMPRODUCT(INDEX($AL$23:$AN$61,,$AE491), INDEX($AO$23:$AU$61,,$AD491), 1 / ($AV$23:$AV$61*CM491), N($AK$23:$AK$61&gt;$AI491)),
SUMPRODUCT(INDEX($AL$23:$AN$46,,$AE491), INDEX($AO$23:$AU$46,,$AD491), 1 / ($AW$23:$AW$46*CM491), N($AK$23:$AK$46&gt;$AI491))
) / 1000</f>
        <v>0</v>
      </c>
      <c r="CP491" s="237">
        <f t="shared" si="550"/>
        <v>0</v>
      </c>
      <c r="CQ491" s="210"/>
    </row>
    <row r="492" spans="1:95" s="76" customFormat="1" ht="14.25" customHeight="1" x14ac:dyDescent="0.2">
      <c r="A492" s="238" t="b">
        <f t="shared" si="554"/>
        <v>0</v>
      </c>
      <c r="B492" s="239">
        <v>470</v>
      </c>
      <c r="C492" s="258"/>
      <c r="D492" s="258"/>
      <c r="E492" s="240"/>
      <c r="F492" s="241" t="str">
        <f>IF(ISBLANK(E492), "", VLOOKUP(E492, Z!$A$2:$C$4127, 3, FALSE))</f>
        <v/>
      </c>
      <c r="G492" s="242"/>
      <c r="H492" s="242"/>
      <c r="I492" s="243"/>
      <c r="J492" s="244"/>
      <c r="K492" s="259"/>
      <c r="L492" s="260"/>
      <c r="M492" s="247" t="str" cm="1">
        <f t="array" ref="M492">IF($K492&gt;0, INDEX(Clean,1+AG492,$C$1), "")</f>
        <v/>
      </c>
      <c r="N492" s="245"/>
      <c r="O492" s="245"/>
      <c r="P492" s="246"/>
      <c r="Q492" s="248">
        <f t="shared" si="527"/>
        <v>0</v>
      </c>
      <c r="R492" s="247" t="str" cm="1">
        <f t="array" ref="R492">IF($K492&gt;0, INDEX(Clean,1+AH492,$C$1), "")</f>
        <v/>
      </c>
      <c r="S492" s="245"/>
      <c r="T492" s="245"/>
      <c r="U492" s="246"/>
      <c r="V492" s="248">
        <f t="shared" si="528"/>
        <v>0</v>
      </c>
      <c r="W492" s="261"/>
      <c r="X492" s="258"/>
      <c r="Y492" s="240"/>
      <c r="Z492" s="241" t="str">
        <f>IF(ISBLANK(Y492), "", VLOOKUP(Y492, Z!$A$2:$C$4127, 3, FALSE))</f>
        <v/>
      </c>
      <c r="AA492" s="262"/>
      <c r="AB492" s="249">
        <f t="shared" si="563"/>
        <v>0</v>
      </c>
      <c r="AC492" s="210"/>
      <c r="AD492" s="236">
        <f t="shared" si="551"/>
        <v>1</v>
      </c>
      <c r="AE492" s="236">
        <f t="shared" si="552"/>
        <v>1</v>
      </c>
      <c r="AF492" s="236">
        <f t="shared" si="553"/>
        <v>0</v>
      </c>
      <c r="AG492" s="236">
        <v>1</v>
      </c>
      <c r="AH492" s="236">
        <v>0</v>
      </c>
      <c r="AI492" s="236">
        <f t="shared" si="529"/>
        <v>-100</v>
      </c>
      <c r="AJ492" s="210"/>
      <c r="AK492" s="254"/>
      <c r="AL492" s="254"/>
      <c r="AM492" s="255"/>
      <c r="AN492" s="255"/>
      <c r="AO492" s="255"/>
      <c r="AP492" s="255"/>
      <c r="AQ492" s="255"/>
      <c r="AR492" s="255"/>
      <c r="AS492" s="255"/>
      <c r="AT492" s="255"/>
      <c r="AU492" s="255"/>
      <c r="AV492" s="255"/>
      <c r="AW492" s="255"/>
      <c r="AX492" s="210"/>
      <c r="AY492" s="236" cm="1">
        <f t="array" ref="AY492">INDEX(Use, $AD492, 4)</f>
        <v>7</v>
      </c>
      <c r="AZ492" s="236">
        <f t="shared" si="530"/>
        <v>32</v>
      </c>
      <c r="BA492" s="236">
        <f t="shared" si="555"/>
        <v>13</v>
      </c>
      <c r="BB492" s="236">
        <f t="shared" si="556"/>
        <v>0</v>
      </c>
      <c r="BC492" s="252" cm="1">
        <f t="array" ref="BC492">K492/IF($L492&gt;0, INDEX($AO$23:$AU$77, $L492+20, $AD492), 1)</f>
        <v>0</v>
      </c>
      <c r="BD492" s="237">
        <f t="shared" si="531"/>
        <v>0</v>
      </c>
      <c r="BE492" s="236">
        <v>35</v>
      </c>
      <c r="BF492" s="237">
        <f t="shared" si="532"/>
        <v>52.55</v>
      </c>
      <c r="BG492" s="253">
        <f t="shared" si="533"/>
        <v>2.7676728869374316</v>
      </c>
      <c r="BH492" s="253" cm="1">
        <f t="array" ref="BH492">$BC492 * SUMPRODUCT(INDEX($AL$77:$AN$82,,$AE492),INDEX($AO$77:$AU$82,,$AD492), N($AK$77:$AK$82&gt;$AI492)) / BG492 / 1000</f>
        <v>0</v>
      </c>
      <c r="BI492" s="250">
        <f t="shared" si="557"/>
        <v>30</v>
      </c>
      <c r="BJ492" s="237">
        <f t="shared" si="534"/>
        <v>46.033333333333331</v>
      </c>
      <c r="BK492" s="253">
        <f t="shared" si="535"/>
        <v>3.2297395388556791</v>
      </c>
      <c r="BL492" s="253" cm="1">
        <f t="array" ref="BL492">$BC492 * IF($AD492&lt;=2,
SUMPRODUCT(INDEX($AL$72:$AN$76,,$AE492), INDEX($AO$72:$AU$76,,$AD492), 1 / ($AV$72:$AV$76*BK492 + (1-$AV$72:$AV$76)*BG492), N($AK$72:$AK$76&gt;$AI492)),
SUMPRODUCT(INDEX($AL$67:$AN$76,,$AE492), INDEX($AO$67:$AU$76,,$AD492), 1 / ($AW$67:$AW$76*BK492 + (1-$AW$67:$AW$76)*BG492), N($AK$67:$AK$76&gt;$AI492))
) / 1000</f>
        <v>0</v>
      </c>
      <c r="BM492" s="250">
        <f t="shared" si="558"/>
        <v>25</v>
      </c>
      <c r="BN492" s="237">
        <f t="shared" si="536"/>
        <v>39.516666666666666</v>
      </c>
      <c r="BO492" s="253">
        <f t="shared" si="537"/>
        <v>3.877011788826243</v>
      </c>
      <c r="BP492" s="253" cm="1">
        <f t="array" ref="BP492">$BC492 * IF($AD492&lt;=2,
SUMPRODUCT(INDEX($AL$67:$AN$71,,$AE492), INDEX($AO$67:$AU$71,,$AD492), 1 / ($AV$67:$AV$71*BO492 + (1-$AV$67:$AV$71)*BK492), N($AK$67:$AK$71&gt;$AI492)),
SUMPRODUCT(INDEX($AL$57:$AN$66,,$AE492), INDEX($AO$57:$AU$66,,$AD492), 1 / ($AW$57:$AW$66*BO492 + (1-$AW$57:$AW$66)*BK492), N($AK$57:$AK$66&gt;$AI492))
) / 1000</f>
        <v>0</v>
      </c>
      <c r="BQ492" s="250">
        <f t="shared" si="559"/>
        <v>20</v>
      </c>
      <c r="BR492" s="237">
        <f t="shared" si="538"/>
        <v>33</v>
      </c>
      <c r="BS492" s="253">
        <f t="shared" si="539"/>
        <v>4.8487499999999999</v>
      </c>
      <c r="BT492" s="253" cm="1">
        <f t="array" ref="BT492">$BC492 * IF($AD492&lt;=2,
SUMPRODUCT(INDEX($AL$62:$AN$66,,$AE492), INDEX($AO$62:$AU$66,,$AD492), 1 / ($AV$62:$AV$66*BS492 + (1-$AV$62:$AV$66)*BO492), N($AK$62:$AK$66&gt;$AI492)),
SUMPRODUCT(INDEX($AL$47:$AN$56,,$AE492), INDEX($AO$47:$AU$56,,$AD492), 1 / ($AW$47:$AW$56*BS492 + (1-$AW$47:$AW$56)*BO492), N($AK$47:$AK$56&gt;$AI492))
) / 1000</f>
        <v>0</v>
      </c>
      <c r="BU492" s="253" cm="1">
        <f t="array" ref="BU492">$BC492 * IF($AD492&lt;=2,
SUMPRODUCT(INDEX($AL$23:$AN$61,,$AE492), INDEX($AO$23:$AU$61,,$AD492), 1 / ($AV$23:$AV$61*BS492), N($AK$23:$AK$61&gt;$AI492)),
SUMPRODUCT(INDEX($AL$23:$AN$46,,$AE492), INDEX($AO$23:$AU$46,,$AD492), 1 / ($AW$23:$AW$46*BS492), N($AK$23:$AK$46&gt;$AI492))
) / 1000</f>
        <v>0</v>
      </c>
      <c r="BV492" s="237">
        <f t="shared" si="540"/>
        <v>0</v>
      </c>
      <c r="BW492" s="210"/>
      <c r="BX492" s="237">
        <f t="shared" si="541"/>
        <v>0</v>
      </c>
      <c r="BY492" s="236">
        <v>35</v>
      </c>
      <c r="BZ492" s="237">
        <f t="shared" si="542"/>
        <v>48</v>
      </c>
      <c r="CA492" s="253">
        <f t="shared" si="543"/>
        <v>3.0748170731707316</v>
      </c>
      <c r="CB492" s="253" cm="1">
        <f t="array" ref="CB492">$BC492 * SUMPRODUCT(INDEX($AL$77:$AN$82,,$AE492),INDEX($AO$77:$AU$82,,$AD492), N($AK$77:$AK$82&gt;$AI492)) / CA492 / 1000</f>
        <v>0</v>
      </c>
      <c r="CC492" s="250">
        <f t="shared" si="560"/>
        <v>30</v>
      </c>
      <c r="CD492" s="237">
        <f t="shared" si="544"/>
        <v>43</v>
      </c>
      <c r="CE492" s="253">
        <f t="shared" si="545"/>
        <v>3.5018750000000001</v>
      </c>
      <c r="CF492" s="253" cm="1">
        <f t="array" ref="CF492">$BC492 * IF($AD492&lt;=2,
SUMPRODUCT(INDEX($AL$72:$AN$76,,$AE492), INDEX($AO$72:$AU$76,,$AD492), 1 / ($AV$72:$AV$76*CE492 + (1-$AV$72:$AV$76)*CA492), N($AK$72:$AK$76&gt;$AI492)),
SUMPRODUCT(INDEX($AL$67:$AN$76,,$AE492), INDEX($AO$67:$AU$76,,$AD492), 1 / ($AW$67:$AW$76*CE492 + (1-$AW$67:$AW$76)*CA492), N($AK$67:$AK$76&gt;$AI492))
) / 1000</f>
        <v>0</v>
      </c>
      <c r="CG492" s="250">
        <f t="shared" si="561"/>
        <v>25</v>
      </c>
      <c r="CH492" s="237">
        <f t="shared" si="546"/>
        <v>38</v>
      </c>
      <c r="CI492" s="253">
        <f t="shared" si="547"/>
        <v>4.0666935483870965</v>
      </c>
      <c r="CJ492" s="253" cm="1">
        <f t="array" ref="CJ492">$BC492 * IF($AD492&lt;=2,
SUMPRODUCT(INDEX($AL$67:$AN$71,,$AE492), INDEX($AO$67:$AU$71,,$AD492), 1 / ($AV$67:$AV$71*CI492 + (1-$AV$67:$AV$71)*CE492), N($AK$67:$AK$71&gt;$AI492)),
SUMPRODUCT(INDEX($AL$57:$AN$66,,$AE492), INDEX($AO$57:$AU$66,,$AD492), 1 / ($AW$57:$AW$66*CI492 + (1-$AW$57:$AW$66)*CE492), N($AK$57:$AK$66&gt;$AI492))
) / 1000</f>
        <v>0</v>
      </c>
      <c r="CK492" s="250">
        <f t="shared" si="562"/>
        <v>20</v>
      </c>
      <c r="CL492" s="237">
        <f t="shared" si="548"/>
        <v>33</v>
      </c>
      <c r="CM492" s="253">
        <f t="shared" si="549"/>
        <v>4.8487499999999999</v>
      </c>
      <c r="CN492" s="253" cm="1">
        <f t="array" ref="CN492">$BC492 * IF($AD492&lt;=2,
SUMPRODUCT(INDEX($AL$62:$AN$66,,$AE492), INDEX($AO$62:$AU$66,,$AD492), 1 / ($AV$62:$AV$66*CM492 + (1-$AV$62:$AV$66)*CI492), N($AK$62:$AK$66&gt;$AI492)),
SUMPRODUCT(INDEX($AL$47:$AN$56,,$AE492), INDEX($AO$47:$AU$56,,$AD492), 1 / ($AW$47:$AW$56*CM492 + (1-$AW$47:$AW$56)*CI492), N($AK$47:$AK$56&gt;$AI492))
) / 1000</f>
        <v>0</v>
      </c>
      <c r="CO492" s="253" cm="1">
        <f t="array" ref="CO492">$BC492 * IF($AD492&lt;=2,
SUMPRODUCT(INDEX($AL$23:$AN$61,,$AE492), INDEX($AO$23:$AU$61,,$AD492), 1 / ($AV$23:$AV$61*CM492), N($AK$23:$AK$61&gt;$AI492)),
SUMPRODUCT(INDEX($AL$23:$AN$46,,$AE492), INDEX($AO$23:$AU$46,,$AD492), 1 / ($AW$23:$AW$46*CM492), N($AK$23:$AK$46&gt;$AI492))
) / 1000</f>
        <v>0</v>
      </c>
      <c r="CP492" s="237">
        <f t="shared" si="550"/>
        <v>0</v>
      </c>
      <c r="CQ492" s="210"/>
    </row>
    <row r="493" spans="1:95" s="76" customFormat="1" ht="14.25" customHeight="1" x14ac:dyDescent="0.2">
      <c r="A493" s="238" t="b">
        <f t="shared" si="554"/>
        <v>0</v>
      </c>
      <c r="B493" s="239">
        <v>471</v>
      </c>
      <c r="C493" s="258"/>
      <c r="D493" s="258"/>
      <c r="E493" s="240"/>
      <c r="F493" s="241" t="str">
        <f>IF(ISBLANK(E493), "", VLOOKUP(E493, Z!$A$2:$C$4127, 3, FALSE))</f>
        <v/>
      </c>
      <c r="G493" s="242"/>
      <c r="H493" s="242"/>
      <c r="I493" s="243"/>
      <c r="J493" s="244"/>
      <c r="K493" s="259"/>
      <c r="L493" s="260"/>
      <c r="M493" s="247" t="str" cm="1">
        <f t="array" ref="M493">IF($K493&gt;0, INDEX(Clean,1+AG493,$C$1), "")</f>
        <v/>
      </c>
      <c r="N493" s="245"/>
      <c r="O493" s="245"/>
      <c r="P493" s="246"/>
      <c r="Q493" s="248">
        <f t="shared" si="527"/>
        <v>0</v>
      </c>
      <c r="R493" s="247" t="str" cm="1">
        <f t="array" ref="R493">IF($K493&gt;0, INDEX(Clean,1+AH493,$C$1), "")</f>
        <v/>
      </c>
      <c r="S493" s="245"/>
      <c r="T493" s="245"/>
      <c r="U493" s="246"/>
      <c r="V493" s="248">
        <f t="shared" si="528"/>
        <v>0</v>
      </c>
      <c r="W493" s="261"/>
      <c r="X493" s="258"/>
      <c r="Y493" s="240"/>
      <c r="Z493" s="241" t="str">
        <f>IF(ISBLANK(Y493), "", VLOOKUP(Y493, Z!$A$2:$C$4127, 3, FALSE))</f>
        <v/>
      </c>
      <c r="AA493" s="262"/>
      <c r="AB493" s="249">
        <f t="shared" si="563"/>
        <v>0</v>
      </c>
      <c r="AC493" s="210"/>
      <c r="AD493" s="236">
        <f t="shared" si="551"/>
        <v>1</v>
      </c>
      <c r="AE493" s="236">
        <f t="shared" si="552"/>
        <v>1</v>
      </c>
      <c r="AF493" s="236">
        <f t="shared" si="553"/>
        <v>0</v>
      </c>
      <c r="AG493" s="236">
        <v>1</v>
      </c>
      <c r="AH493" s="236">
        <v>0</v>
      </c>
      <c r="AI493" s="236">
        <f t="shared" si="529"/>
        <v>-100</v>
      </c>
      <c r="AJ493" s="210"/>
      <c r="AK493" s="254"/>
      <c r="AL493" s="254"/>
      <c r="AM493" s="255"/>
      <c r="AN493" s="255"/>
      <c r="AO493" s="255"/>
      <c r="AP493" s="255"/>
      <c r="AQ493" s="255"/>
      <c r="AR493" s="255"/>
      <c r="AS493" s="255"/>
      <c r="AT493" s="255"/>
      <c r="AU493" s="255"/>
      <c r="AV493" s="255"/>
      <c r="AW493" s="255"/>
      <c r="AX493" s="210"/>
      <c r="AY493" s="236" cm="1">
        <f t="array" ref="AY493">INDEX(Use, $AD493, 4)</f>
        <v>7</v>
      </c>
      <c r="AZ493" s="236">
        <f t="shared" si="530"/>
        <v>32</v>
      </c>
      <c r="BA493" s="236">
        <f t="shared" si="555"/>
        <v>13</v>
      </c>
      <c r="BB493" s="236">
        <f t="shared" si="556"/>
        <v>0</v>
      </c>
      <c r="BC493" s="252" cm="1">
        <f t="array" ref="BC493">K493/IF($L493&gt;0, INDEX($AO$23:$AU$77, $L493+20, $AD493), 1)</f>
        <v>0</v>
      </c>
      <c r="BD493" s="237">
        <f t="shared" si="531"/>
        <v>0</v>
      </c>
      <c r="BE493" s="236">
        <v>35</v>
      </c>
      <c r="BF493" s="237">
        <f t="shared" si="532"/>
        <v>52.55</v>
      </c>
      <c r="BG493" s="253">
        <f t="shared" si="533"/>
        <v>2.7676728869374316</v>
      </c>
      <c r="BH493" s="253" cm="1">
        <f t="array" ref="BH493">$BC493 * SUMPRODUCT(INDEX($AL$77:$AN$82,,$AE493),INDEX($AO$77:$AU$82,,$AD493), N($AK$77:$AK$82&gt;$AI493)) / BG493 / 1000</f>
        <v>0</v>
      </c>
      <c r="BI493" s="250">
        <f t="shared" si="557"/>
        <v>30</v>
      </c>
      <c r="BJ493" s="237">
        <f t="shared" si="534"/>
        <v>46.033333333333331</v>
      </c>
      <c r="BK493" s="253">
        <f t="shared" si="535"/>
        <v>3.2297395388556791</v>
      </c>
      <c r="BL493" s="253" cm="1">
        <f t="array" ref="BL493">$BC493 * IF($AD493&lt;=2,
SUMPRODUCT(INDEX($AL$72:$AN$76,,$AE493), INDEX($AO$72:$AU$76,,$AD493), 1 / ($AV$72:$AV$76*BK493 + (1-$AV$72:$AV$76)*BG493), N($AK$72:$AK$76&gt;$AI493)),
SUMPRODUCT(INDEX($AL$67:$AN$76,,$AE493), INDEX($AO$67:$AU$76,,$AD493), 1 / ($AW$67:$AW$76*BK493 + (1-$AW$67:$AW$76)*BG493), N($AK$67:$AK$76&gt;$AI493))
) / 1000</f>
        <v>0</v>
      </c>
      <c r="BM493" s="250">
        <f t="shared" si="558"/>
        <v>25</v>
      </c>
      <c r="BN493" s="237">
        <f t="shared" si="536"/>
        <v>39.516666666666666</v>
      </c>
      <c r="BO493" s="253">
        <f t="shared" si="537"/>
        <v>3.877011788826243</v>
      </c>
      <c r="BP493" s="253" cm="1">
        <f t="array" ref="BP493">$BC493 * IF($AD493&lt;=2,
SUMPRODUCT(INDEX($AL$67:$AN$71,,$AE493), INDEX($AO$67:$AU$71,,$AD493), 1 / ($AV$67:$AV$71*BO493 + (1-$AV$67:$AV$71)*BK493), N($AK$67:$AK$71&gt;$AI493)),
SUMPRODUCT(INDEX($AL$57:$AN$66,,$AE493), INDEX($AO$57:$AU$66,,$AD493), 1 / ($AW$57:$AW$66*BO493 + (1-$AW$57:$AW$66)*BK493), N($AK$57:$AK$66&gt;$AI493))
) / 1000</f>
        <v>0</v>
      </c>
      <c r="BQ493" s="250">
        <f t="shared" si="559"/>
        <v>20</v>
      </c>
      <c r="BR493" s="237">
        <f t="shared" si="538"/>
        <v>33</v>
      </c>
      <c r="BS493" s="253">
        <f t="shared" si="539"/>
        <v>4.8487499999999999</v>
      </c>
      <c r="BT493" s="253" cm="1">
        <f t="array" ref="BT493">$BC493 * IF($AD493&lt;=2,
SUMPRODUCT(INDEX($AL$62:$AN$66,,$AE493), INDEX($AO$62:$AU$66,,$AD493), 1 / ($AV$62:$AV$66*BS493 + (1-$AV$62:$AV$66)*BO493), N($AK$62:$AK$66&gt;$AI493)),
SUMPRODUCT(INDEX($AL$47:$AN$56,,$AE493), INDEX($AO$47:$AU$56,,$AD493), 1 / ($AW$47:$AW$56*BS493 + (1-$AW$47:$AW$56)*BO493), N($AK$47:$AK$56&gt;$AI493))
) / 1000</f>
        <v>0</v>
      </c>
      <c r="BU493" s="253" cm="1">
        <f t="array" ref="BU493">$BC493 * IF($AD493&lt;=2,
SUMPRODUCT(INDEX($AL$23:$AN$61,,$AE493), INDEX($AO$23:$AU$61,,$AD493), 1 / ($AV$23:$AV$61*BS493), N($AK$23:$AK$61&gt;$AI493)),
SUMPRODUCT(INDEX($AL$23:$AN$46,,$AE493), INDEX($AO$23:$AU$46,,$AD493), 1 / ($AW$23:$AW$46*BS493), N($AK$23:$AK$46&gt;$AI493))
) / 1000</f>
        <v>0</v>
      </c>
      <c r="BV493" s="237">
        <f t="shared" si="540"/>
        <v>0</v>
      </c>
      <c r="BW493" s="210"/>
      <c r="BX493" s="237">
        <f t="shared" si="541"/>
        <v>0</v>
      </c>
      <c r="BY493" s="236">
        <v>35</v>
      </c>
      <c r="BZ493" s="237">
        <f t="shared" si="542"/>
        <v>48</v>
      </c>
      <c r="CA493" s="253">
        <f t="shared" si="543"/>
        <v>3.0748170731707316</v>
      </c>
      <c r="CB493" s="253" cm="1">
        <f t="array" ref="CB493">$BC493 * SUMPRODUCT(INDEX($AL$77:$AN$82,,$AE493),INDEX($AO$77:$AU$82,,$AD493), N($AK$77:$AK$82&gt;$AI493)) / CA493 / 1000</f>
        <v>0</v>
      </c>
      <c r="CC493" s="250">
        <f t="shared" si="560"/>
        <v>30</v>
      </c>
      <c r="CD493" s="237">
        <f t="shared" si="544"/>
        <v>43</v>
      </c>
      <c r="CE493" s="253">
        <f t="shared" si="545"/>
        <v>3.5018750000000001</v>
      </c>
      <c r="CF493" s="253" cm="1">
        <f t="array" ref="CF493">$BC493 * IF($AD493&lt;=2,
SUMPRODUCT(INDEX($AL$72:$AN$76,,$AE493), INDEX($AO$72:$AU$76,,$AD493), 1 / ($AV$72:$AV$76*CE493 + (1-$AV$72:$AV$76)*CA493), N($AK$72:$AK$76&gt;$AI493)),
SUMPRODUCT(INDEX($AL$67:$AN$76,,$AE493), INDEX($AO$67:$AU$76,,$AD493), 1 / ($AW$67:$AW$76*CE493 + (1-$AW$67:$AW$76)*CA493), N($AK$67:$AK$76&gt;$AI493))
) / 1000</f>
        <v>0</v>
      </c>
      <c r="CG493" s="250">
        <f t="shared" si="561"/>
        <v>25</v>
      </c>
      <c r="CH493" s="237">
        <f t="shared" si="546"/>
        <v>38</v>
      </c>
      <c r="CI493" s="253">
        <f t="shared" si="547"/>
        <v>4.0666935483870965</v>
      </c>
      <c r="CJ493" s="253" cm="1">
        <f t="array" ref="CJ493">$BC493 * IF($AD493&lt;=2,
SUMPRODUCT(INDEX($AL$67:$AN$71,,$AE493), INDEX($AO$67:$AU$71,,$AD493), 1 / ($AV$67:$AV$71*CI493 + (1-$AV$67:$AV$71)*CE493), N($AK$67:$AK$71&gt;$AI493)),
SUMPRODUCT(INDEX($AL$57:$AN$66,,$AE493), INDEX($AO$57:$AU$66,,$AD493), 1 / ($AW$57:$AW$66*CI493 + (1-$AW$57:$AW$66)*CE493), N($AK$57:$AK$66&gt;$AI493))
) / 1000</f>
        <v>0</v>
      </c>
      <c r="CK493" s="250">
        <f t="shared" si="562"/>
        <v>20</v>
      </c>
      <c r="CL493" s="237">
        <f t="shared" si="548"/>
        <v>33</v>
      </c>
      <c r="CM493" s="253">
        <f t="shared" si="549"/>
        <v>4.8487499999999999</v>
      </c>
      <c r="CN493" s="253" cm="1">
        <f t="array" ref="CN493">$BC493 * IF($AD493&lt;=2,
SUMPRODUCT(INDEX($AL$62:$AN$66,,$AE493), INDEX($AO$62:$AU$66,,$AD493), 1 / ($AV$62:$AV$66*CM493 + (1-$AV$62:$AV$66)*CI493), N($AK$62:$AK$66&gt;$AI493)),
SUMPRODUCT(INDEX($AL$47:$AN$56,,$AE493), INDEX($AO$47:$AU$56,,$AD493), 1 / ($AW$47:$AW$56*CM493 + (1-$AW$47:$AW$56)*CI493), N($AK$47:$AK$56&gt;$AI493))
) / 1000</f>
        <v>0</v>
      </c>
      <c r="CO493" s="253" cm="1">
        <f t="array" ref="CO493">$BC493 * IF($AD493&lt;=2,
SUMPRODUCT(INDEX($AL$23:$AN$61,,$AE493), INDEX($AO$23:$AU$61,,$AD493), 1 / ($AV$23:$AV$61*CM493), N($AK$23:$AK$61&gt;$AI493)),
SUMPRODUCT(INDEX($AL$23:$AN$46,,$AE493), INDEX($AO$23:$AU$46,,$AD493), 1 / ($AW$23:$AW$46*CM493), N($AK$23:$AK$46&gt;$AI493))
) / 1000</f>
        <v>0</v>
      </c>
      <c r="CP493" s="237">
        <f t="shared" si="550"/>
        <v>0</v>
      </c>
      <c r="CQ493" s="210"/>
    </row>
    <row r="494" spans="1:95" s="76" customFormat="1" ht="14.25" customHeight="1" x14ac:dyDescent="0.2">
      <c r="A494" s="238" t="b">
        <f t="shared" si="554"/>
        <v>0</v>
      </c>
      <c r="B494" s="239">
        <v>472</v>
      </c>
      <c r="C494" s="258"/>
      <c r="D494" s="258"/>
      <c r="E494" s="240"/>
      <c r="F494" s="241" t="str">
        <f>IF(ISBLANK(E494), "", VLOOKUP(E494, Z!$A$2:$C$4127, 3, FALSE))</f>
        <v/>
      </c>
      <c r="G494" s="242"/>
      <c r="H494" s="242"/>
      <c r="I494" s="243"/>
      <c r="J494" s="244"/>
      <c r="K494" s="259"/>
      <c r="L494" s="260"/>
      <c r="M494" s="247" t="str" cm="1">
        <f t="array" ref="M494">IF($K494&gt;0, INDEX(Clean,1+AG494,$C$1), "")</f>
        <v/>
      </c>
      <c r="N494" s="245"/>
      <c r="O494" s="245"/>
      <c r="P494" s="246"/>
      <c r="Q494" s="248">
        <f t="shared" si="527"/>
        <v>0</v>
      </c>
      <c r="R494" s="247" t="str" cm="1">
        <f t="array" ref="R494">IF($K494&gt;0, INDEX(Clean,1+AH494,$C$1), "")</f>
        <v/>
      </c>
      <c r="S494" s="245"/>
      <c r="T494" s="245"/>
      <c r="U494" s="246"/>
      <c r="V494" s="248">
        <f t="shared" si="528"/>
        <v>0</v>
      </c>
      <c r="W494" s="261"/>
      <c r="X494" s="258"/>
      <c r="Y494" s="240"/>
      <c r="Z494" s="241" t="str">
        <f>IF(ISBLANK(Y494), "", VLOOKUP(Y494, Z!$A$2:$C$4127, 3, FALSE))</f>
        <v/>
      </c>
      <c r="AA494" s="262"/>
      <c r="AB494" s="249">
        <f t="shared" si="563"/>
        <v>0</v>
      </c>
      <c r="AC494" s="210"/>
      <c r="AD494" s="236">
        <f t="shared" si="551"/>
        <v>1</v>
      </c>
      <c r="AE494" s="236">
        <f t="shared" si="552"/>
        <v>1</v>
      </c>
      <c r="AF494" s="236">
        <f t="shared" si="553"/>
        <v>0</v>
      </c>
      <c r="AG494" s="236">
        <v>1</v>
      </c>
      <c r="AH494" s="236">
        <v>0</v>
      </c>
      <c r="AI494" s="236">
        <f t="shared" si="529"/>
        <v>-100</v>
      </c>
      <c r="AJ494" s="210"/>
      <c r="AK494" s="254"/>
      <c r="AL494" s="254"/>
      <c r="AM494" s="255"/>
      <c r="AN494" s="255"/>
      <c r="AO494" s="255"/>
      <c r="AP494" s="255"/>
      <c r="AQ494" s="255"/>
      <c r="AR494" s="255"/>
      <c r="AS494" s="255"/>
      <c r="AT494" s="255"/>
      <c r="AU494" s="255"/>
      <c r="AV494" s="255"/>
      <c r="AW494" s="255"/>
      <c r="AX494" s="210"/>
      <c r="AY494" s="236" cm="1">
        <f t="array" ref="AY494">INDEX(Use, $AD494, 4)</f>
        <v>7</v>
      </c>
      <c r="AZ494" s="236">
        <f t="shared" si="530"/>
        <v>32</v>
      </c>
      <c r="BA494" s="236">
        <f t="shared" si="555"/>
        <v>13</v>
      </c>
      <c r="BB494" s="236">
        <f t="shared" si="556"/>
        <v>0</v>
      </c>
      <c r="BC494" s="252" cm="1">
        <f t="array" ref="BC494">K494/IF($L494&gt;0, INDEX($AO$23:$AU$77, $L494+20, $AD494), 1)</f>
        <v>0</v>
      </c>
      <c r="BD494" s="237">
        <f t="shared" si="531"/>
        <v>0</v>
      </c>
      <c r="BE494" s="236">
        <v>35</v>
      </c>
      <c r="BF494" s="237">
        <f t="shared" si="532"/>
        <v>52.55</v>
      </c>
      <c r="BG494" s="253">
        <f t="shared" si="533"/>
        <v>2.7676728869374316</v>
      </c>
      <c r="BH494" s="253" cm="1">
        <f t="array" ref="BH494">$BC494 * SUMPRODUCT(INDEX($AL$77:$AN$82,,$AE494),INDEX($AO$77:$AU$82,,$AD494), N($AK$77:$AK$82&gt;$AI494)) / BG494 / 1000</f>
        <v>0</v>
      </c>
      <c r="BI494" s="250">
        <f t="shared" si="557"/>
        <v>30</v>
      </c>
      <c r="BJ494" s="237">
        <f t="shared" si="534"/>
        <v>46.033333333333331</v>
      </c>
      <c r="BK494" s="253">
        <f t="shared" si="535"/>
        <v>3.2297395388556791</v>
      </c>
      <c r="BL494" s="253" cm="1">
        <f t="array" ref="BL494">$BC494 * IF($AD494&lt;=2,
SUMPRODUCT(INDEX($AL$72:$AN$76,,$AE494), INDEX($AO$72:$AU$76,,$AD494), 1 / ($AV$72:$AV$76*BK494 + (1-$AV$72:$AV$76)*BG494), N($AK$72:$AK$76&gt;$AI494)),
SUMPRODUCT(INDEX($AL$67:$AN$76,,$AE494), INDEX($AO$67:$AU$76,,$AD494), 1 / ($AW$67:$AW$76*BK494 + (1-$AW$67:$AW$76)*BG494), N($AK$67:$AK$76&gt;$AI494))
) / 1000</f>
        <v>0</v>
      </c>
      <c r="BM494" s="250">
        <f t="shared" si="558"/>
        <v>25</v>
      </c>
      <c r="BN494" s="237">
        <f t="shared" si="536"/>
        <v>39.516666666666666</v>
      </c>
      <c r="BO494" s="253">
        <f t="shared" si="537"/>
        <v>3.877011788826243</v>
      </c>
      <c r="BP494" s="253" cm="1">
        <f t="array" ref="BP494">$BC494 * IF($AD494&lt;=2,
SUMPRODUCT(INDEX($AL$67:$AN$71,,$AE494), INDEX($AO$67:$AU$71,,$AD494), 1 / ($AV$67:$AV$71*BO494 + (1-$AV$67:$AV$71)*BK494), N($AK$67:$AK$71&gt;$AI494)),
SUMPRODUCT(INDEX($AL$57:$AN$66,,$AE494), INDEX($AO$57:$AU$66,,$AD494), 1 / ($AW$57:$AW$66*BO494 + (1-$AW$57:$AW$66)*BK494), N($AK$57:$AK$66&gt;$AI494))
) / 1000</f>
        <v>0</v>
      </c>
      <c r="BQ494" s="250">
        <f t="shared" si="559"/>
        <v>20</v>
      </c>
      <c r="BR494" s="237">
        <f t="shared" si="538"/>
        <v>33</v>
      </c>
      <c r="BS494" s="253">
        <f t="shared" si="539"/>
        <v>4.8487499999999999</v>
      </c>
      <c r="BT494" s="253" cm="1">
        <f t="array" ref="BT494">$BC494 * IF($AD494&lt;=2,
SUMPRODUCT(INDEX($AL$62:$AN$66,,$AE494), INDEX($AO$62:$AU$66,,$AD494), 1 / ($AV$62:$AV$66*BS494 + (1-$AV$62:$AV$66)*BO494), N($AK$62:$AK$66&gt;$AI494)),
SUMPRODUCT(INDEX($AL$47:$AN$56,,$AE494), INDEX($AO$47:$AU$56,,$AD494), 1 / ($AW$47:$AW$56*BS494 + (1-$AW$47:$AW$56)*BO494), N($AK$47:$AK$56&gt;$AI494))
) / 1000</f>
        <v>0</v>
      </c>
      <c r="BU494" s="253" cm="1">
        <f t="array" ref="BU494">$BC494 * IF($AD494&lt;=2,
SUMPRODUCT(INDEX($AL$23:$AN$61,,$AE494), INDEX($AO$23:$AU$61,,$AD494), 1 / ($AV$23:$AV$61*BS494), N($AK$23:$AK$61&gt;$AI494)),
SUMPRODUCT(INDEX($AL$23:$AN$46,,$AE494), INDEX($AO$23:$AU$46,,$AD494), 1 / ($AW$23:$AW$46*BS494), N($AK$23:$AK$46&gt;$AI494))
) / 1000</f>
        <v>0</v>
      </c>
      <c r="BV494" s="237">
        <f t="shared" si="540"/>
        <v>0</v>
      </c>
      <c r="BW494" s="210"/>
      <c r="BX494" s="237">
        <f t="shared" si="541"/>
        <v>0</v>
      </c>
      <c r="BY494" s="236">
        <v>35</v>
      </c>
      <c r="BZ494" s="237">
        <f t="shared" si="542"/>
        <v>48</v>
      </c>
      <c r="CA494" s="253">
        <f t="shared" si="543"/>
        <v>3.0748170731707316</v>
      </c>
      <c r="CB494" s="253" cm="1">
        <f t="array" ref="CB494">$BC494 * SUMPRODUCT(INDEX($AL$77:$AN$82,,$AE494),INDEX($AO$77:$AU$82,,$AD494), N($AK$77:$AK$82&gt;$AI494)) / CA494 / 1000</f>
        <v>0</v>
      </c>
      <c r="CC494" s="250">
        <f t="shared" si="560"/>
        <v>30</v>
      </c>
      <c r="CD494" s="237">
        <f t="shared" si="544"/>
        <v>43</v>
      </c>
      <c r="CE494" s="253">
        <f t="shared" si="545"/>
        <v>3.5018750000000001</v>
      </c>
      <c r="CF494" s="253" cm="1">
        <f t="array" ref="CF494">$BC494 * IF($AD494&lt;=2,
SUMPRODUCT(INDEX($AL$72:$AN$76,,$AE494), INDEX($AO$72:$AU$76,,$AD494), 1 / ($AV$72:$AV$76*CE494 + (1-$AV$72:$AV$76)*CA494), N($AK$72:$AK$76&gt;$AI494)),
SUMPRODUCT(INDEX($AL$67:$AN$76,,$AE494), INDEX($AO$67:$AU$76,,$AD494), 1 / ($AW$67:$AW$76*CE494 + (1-$AW$67:$AW$76)*CA494), N($AK$67:$AK$76&gt;$AI494))
) / 1000</f>
        <v>0</v>
      </c>
      <c r="CG494" s="250">
        <f t="shared" si="561"/>
        <v>25</v>
      </c>
      <c r="CH494" s="237">
        <f t="shared" si="546"/>
        <v>38</v>
      </c>
      <c r="CI494" s="253">
        <f t="shared" si="547"/>
        <v>4.0666935483870965</v>
      </c>
      <c r="CJ494" s="253" cm="1">
        <f t="array" ref="CJ494">$BC494 * IF($AD494&lt;=2,
SUMPRODUCT(INDEX($AL$67:$AN$71,,$AE494), INDEX($AO$67:$AU$71,,$AD494), 1 / ($AV$67:$AV$71*CI494 + (1-$AV$67:$AV$71)*CE494), N($AK$67:$AK$71&gt;$AI494)),
SUMPRODUCT(INDEX($AL$57:$AN$66,,$AE494), INDEX($AO$57:$AU$66,,$AD494), 1 / ($AW$57:$AW$66*CI494 + (1-$AW$57:$AW$66)*CE494), N($AK$57:$AK$66&gt;$AI494))
) / 1000</f>
        <v>0</v>
      </c>
      <c r="CK494" s="250">
        <f t="shared" si="562"/>
        <v>20</v>
      </c>
      <c r="CL494" s="237">
        <f t="shared" si="548"/>
        <v>33</v>
      </c>
      <c r="CM494" s="253">
        <f t="shared" si="549"/>
        <v>4.8487499999999999</v>
      </c>
      <c r="CN494" s="253" cm="1">
        <f t="array" ref="CN494">$BC494 * IF($AD494&lt;=2,
SUMPRODUCT(INDEX($AL$62:$AN$66,,$AE494), INDEX($AO$62:$AU$66,,$AD494), 1 / ($AV$62:$AV$66*CM494 + (1-$AV$62:$AV$66)*CI494), N($AK$62:$AK$66&gt;$AI494)),
SUMPRODUCT(INDEX($AL$47:$AN$56,,$AE494), INDEX($AO$47:$AU$56,,$AD494), 1 / ($AW$47:$AW$56*CM494 + (1-$AW$47:$AW$56)*CI494), N($AK$47:$AK$56&gt;$AI494))
) / 1000</f>
        <v>0</v>
      </c>
      <c r="CO494" s="253" cm="1">
        <f t="array" ref="CO494">$BC494 * IF($AD494&lt;=2,
SUMPRODUCT(INDEX($AL$23:$AN$61,,$AE494), INDEX($AO$23:$AU$61,,$AD494), 1 / ($AV$23:$AV$61*CM494), N($AK$23:$AK$61&gt;$AI494)),
SUMPRODUCT(INDEX($AL$23:$AN$46,,$AE494), INDEX($AO$23:$AU$46,,$AD494), 1 / ($AW$23:$AW$46*CM494), N($AK$23:$AK$46&gt;$AI494))
) / 1000</f>
        <v>0</v>
      </c>
      <c r="CP494" s="237">
        <f t="shared" si="550"/>
        <v>0</v>
      </c>
      <c r="CQ494" s="210"/>
    </row>
    <row r="495" spans="1:95" s="76" customFormat="1" ht="14.25" customHeight="1" x14ac:dyDescent="0.2">
      <c r="A495" s="238" t="b">
        <f t="shared" si="554"/>
        <v>0</v>
      </c>
      <c r="B495" s="239">
        <v>473</v>
      </c>
      <c r="C495" s="258"/>
      <c r="D495" s="258"/>
      <c r="E495" s="240"/>
      <c r="F495" s="241" t="str">
        <f>IF(ISBLANK(E495), "", VLOOKUP(E495, Z!$A$2:$C$4127, 3, FALSE))</f>
        <v/>
      </c>
      <c r="G495" s="242"/>
      <c r="H495" s="242"/>
      <c r="I495" s="243"/>
      <c r="J495" s="244"/>
      <c r="K495" s="259"/>
      <c r="L495" s="260"/>
      <c r="M495" s="247" t="str" cm="1">
        <f t="array" ref="M495">IF($K495&gt;0, INDEX(Clean,1+AG495,$C$1), "")</f>
        <v/>
      </c>
      <c r="N495" s="245"/>
      <c r="O495" s="245"/>
      <c r="P495" s="246"/>
      <c r="Q495" s="248">
        <f t="shared" si="527"/>
        <v>0</v>
      </c>
      <c r="R495" s="247" t="str" cm="1">
        <f t="array" ref="R495">IF($K495&gt;0, INDEX(Clean,1+AH495,$C$1), "")</f>
        <v/>
      </c>
      <c r="S495" s="245"/>
      <c r="T495" s="245"/>
      <c r="U495" s="246"/>
      <c r="V495" s="248">
        <f t="shared" si="528"/>
        <v>0</v>
      </c>
      <c r="W495" s="261"/>
      <c r="X495" s="258"/>
      <c r="Y495" s="240"/>
      <c r="Z495" s="241" t="str">
        <f>IF(ISBLANK(Y495), "", VLOOKUP(Y495, Z!$A$2:$C$4127, 3, FALSE))</f>
        <v/>
      </c>
      <c r="AA495" s="262"/>
      <c r="AB495" s="249">
        <f t="shared" si="563"/>
        <v>0</v>
      </c>
      <c r="AC495" s="210"/>
      <c r="AD495" s="236">
        <f t="shared" si="551"/>
        <v>1</v>
      </c>
      <c r="AE495" s="236">
        <f t="shared" si="552"/>
        <v>1</v>
      </c>
      <c r="AF495" s="236">
        <f t="shared" si="553"/>
        <v>0</v>
      </c>
      <c r="AG495" s="236">
        <v>1</v>
      </c>
      <c r="AH495" s="236">
        <v>0</v>
      </c>
      <c r="AI495" s="236">
        <f t="shared" si="529"/>
        <v>-100</v>
      </c>
      <c r="AJ495" s="210"/>
      <c r="AK495" s="254"/>
      <c r="AL495" s="254"/>
      <c r="AM495" s="255"/>
      <c r="AN495" s="255"/>
      <c r="AO495" s="255"/>
      <c r="AP495" s="255"/>
      <c r="AQ495" s="255"/>
      <c r="AR495" s="255"/>
      <c r="AS495" s="255"/>
      <c r="AT495" s="255"/>
      <c r="AU495" s="255"/>
      <c r="AV495" s="255"/>
      <c r="AW495" s="255"/>
      <c r="AX495" s="210"/>
      <c r="AY495" s="236" cm="1">
        <f t="array" ref="AY495">INDEX(Use, $AD495, 4)</f>
        <v>7</v>
      </c>
      <c r="AZ495" s="236">
        <f t="shared" si="530"/>
        <v>32</v>
      </c>
      <c r="BA495" s="236">
        <f t="shared" si="555"/>
        <v>13</v>
      </c>
      <c r="BB495" s="236">
        <f t="shared" si="556"/>
        <v>0</v>
      </c>
      <c r="BC495" s="252" cm="1">
        <f t="array" ref="BC495">K495/IF($L495&gt;0, INDEX($AO$23:$AU$77, $L495+20, $AD495), 1)</f>
        <v>0</v>
      </c>
      <c r="BD495" s="237">
        <f t="shared" si="531"/>
        <v>0</v>
      </c>
      <c r="BE495" s="236">
        <v>35</v>
      </c>
      <c r="BF495" s="237">
        <f t="shared" si="532"/>
        <v>52.55</v>
      </c>
      <c r="BG495" s="253">
        <f t="shared" si="533"/>
        <v>2.7676728869374316</v>
      </c>
      <c r="BH495" s="253" cm="1">
        <f t="array" ref="BH495">$BC495 * SUMPRODUCT(INDEX($AL$77:$AN$82,,$AE495),INDEX($AO$77:$AU$82,,$AD495), N($AK$77:$AK$82&gt;$AI495)) / BG495 / 1000</f>
        <v>0</v>
      </c>
      <c r="BI495" s="250">
        <f t="shared" si="557"/>
        <v>30</v>
      </c>
      <c r="BJ495" s="237">
        <f t="shared" si="534"/>
        <v>46.033333333333331</v>
      </c>
      <c r="BK495" s="253">
        <f t="shared" si="535"/>
        <v>3.2297395388556791</v>
      </c>
      <c r="BL495" s="253" cm="1">
        <f t="array" ref="BL495">$BC495 * IF($AD495&lt;=2,
SUMPRODUCT(INDEX($AL$72:$AN$76,,$AE495), INDEX($AO$72:$AU$76,,$AD495), 1 / ($AV$72:$AV$76*BK495 + (1-$AV$72:$AV$76)*BG495), N($AK$72:$AK$76&gt;$AI495)),
SUMPRODUCT(INDEX($AL$67:$AN$76,,$AE495), INDEX($AO$67:$AU$76,,$AD495), 1 / ($AW$67:$AW$76*BK495 + (1-$AW$67:$AW$76)*BG495), N($AK$67:$AK$76&gt;$AI495))
) / 1000</f>
        <v>0</v>
      </c>
      <c r="BM495" s="250">
        <f t="shared" si="558"/>
        <v>25</v>
      </c>
      <c r="BN495" s="237">
        <f t="shared" si="536"/>
        <v>39.516666666666666</v>
      </c>
      <c r="BO495" s="253">
        <f t="shared" si="537"/>
        <v>3.877011788826243</v>
      </c>
      <c r="BP495" s="253" cm="1">
        <f t="array" ref="BP495">$BC495 * IF($AD495&lt;=2,
SUMPRODUCT(INDEX($AL$67:$AN$71,,$AE495), INDEX($AO$67:$AU$71,,$AD495), 1 / ($AV$67:$AV$71*BO495 + (1-$AV$67:$AV$71)*BK495), N($AK$67:$AK$71&gt;$AI495)),
SUMPRODUCT(INDEX($AL$57:$AN$66,,$AE495), INDEX($AO$57:$AU$66,,$AD495), 1 / ($AW$57:$AW$66*BO495 + (1-$AW$57:$AW$66)*BK495), N($AK$57:$AK$66&gt;$AI495))
) / 1000</f>
        <v>0</v>
      </c>
      <c r="BQ495" s="250">
        <f t="shared" si="559"/>
        <v>20</v>
      </c>
      <c r="BR495" s="237">
        <f t="shared" si="538"/>
        <v>33</v>
      </c>
      <c r="BS495" s="253">
        <f t="shared" si="539"/>
        <v>4.8487499999999999</v>
      </c>
      <c r="BT495" s="253" cm="1">
        <f t="array" ref="BT495">$BC495 * IF($AD495&lt;=2,
SUMPRODUCT(INDEX($AL$62:$AN$66,,$AE495), INDEX($AO$62:$AU$66,,$AD495), 1 / ($AV$62:$AV$66*BS495 + (1-$AV$62:$AV$66)*BO495), N($AK$62:$AK$66&gt;$AI495)),
SUMPRODUCT(INDEX($AL$47:$AN$56,,$AE495), INDEX($AO$47:$AU$56,,$AD495), 1 / ($AW$47:$AW$56*BS495 + (1-$AW$47:$AW$56)*BO495), N($AK$47:$AK$56&gt;$AI495))
) / 1000</f>
        <v>0</v>
      </c>
      <c r="BU495" s="253" cm="1">
        <f t="array" ref="BU495">$BC495 * IF($AD495&lt;=2,
SUMPRODUCT(INDEX($AL$23:$AN$61,,$AE495), INDEX($AO$23:$AU$61,,$AD495), 1 / ($AV$23:$AV$61*BS495), N($AK$23:$AK$61&gt;$AI495)),
SUMPRODUCT(INDEX($AL$23:$AN$46,,$AE495), INDEX($AO$23:$AU$46,,$AD495), 1 / ($AW$23:$AW$46*BS495), N($AK$23:$AK$46&gt;$AI495))
) / 1000</f>
        <v>0</v>
      </c>
      <c r="BV495" s="237">
        <f t="shared" si="540"/>
        <v>0</v>
      </c>
      <c r="BW495" s="210"/>
      <c r="BX495" s="237">
        <f t="shared" si="541"/>
        <v>0</v>
      </c>
      <c r="BY495" s="236">
        <v>35</v>
      </c>
      <c r="BZ495" s="237">
        <f t="shared" si="542"/>
        <v>48</v>
      </c>
      <c r="CA495" s="253">
        <f t="shared" si="543"/>
        <v>3.0748170731707316</v>
      </c>
      <c r="CB495" s="253" cm="1">
        <f t="array" ref="CB495">$BC495 * SUMPRODUCT(INDEX($AL$77:$AN$82,,$AE495),INDEX($AO$77:$AU$82,,$AD495), N($AK$77:$AK$82&gt;$AI495)) / CA495 / 1000</f>
        <v>0</v>
      </c>
      <c r="CC495" s="250">
        <f t="shared" si="560"/>
        <v>30</v>
      </c>
      <c r="CD495" s="237">
        <f t="shared" si="544"/>
        <v>43</v>
      </c>
      <c r="CE495" s="253">
        <f t="shared" si="545"/>
        <v>3.5018750000000001</v>
      </c>
      <c r="CF495" s="253" cm="1">
        <f t="array" ref="CF495">$BC495 * IF($AD495&lt;=2,
SUMPRODUCT(INDEX($AL$72:$AN$76,,$AE495), INDEX($AO$72:$AU$76,,$AD495), 1 / ($AV$72:$AV$76*CE495 + (1-$AV$72:$AV$76)*CA495), N($AK$72:$AK$76&gt;$AI495)),
SUMPRODUCT(INDEX($AL$67:$AN$76,,$AE495), INDEX($AO$67:$AU$76,,$AD495), 1 / ($AW$67:$AW$76*CE495 + (1-$AW$67:$AW$76)*CA495), N($AK$67:$AK$76&gt;$AI495))
) / 1000</f>
        <v>0</v>
      </c>
      <c r="CG495" s="250">
        <f t="shared" si="561"/>
        <v>25</v>
      </c>
      <c r="CH495" s="237">
        <f t="shared" si="546"/>
        <v>38</v>
      </c>
      <c r="CI495" s="253">
        <f t="shared" si="547"/>
        <v>4.0666935483870965</v>
      </c>
      <c r="CJ495" s="253" cm="1">
        <f t="array" ref="CJ495">$BC495 * IF($AD495&lt;=2,
SUMPRODUCT(INDEX($AL$67:$AN$71,,$AE495), INDEX($AO$67:$AU$71,,$AD495), 1 / ($AV$67:$AV$71*CI495 + (1-$AV$67:$AV$71)*CE495), N($AK$67:$AK$71&gt;$AI495)),
SUMPRODUCT(INDEX($AL$57:$AN$66,,$AE495), INDEX($AO$57:$AU$66,,$AD495), 1 / ($AW$57:$AW$66*CI495 + (1-$AW$57:$AW$66)*CE495), N($AK$57:$AK$66&gt;$AI495))
) / 1000</f>
        <v>0</v>
      </c>
      <c r="CK495" s="250">
        <f t="shared" si="562"/>
        <v>20</v>
      </c>
      <c r="CL495" s="237">
        <f t="shared" si="548"/>
        <v>33</v>
      </c>
      <c r="CM495" s="253">
        <f t="shared" si="549"/>
        <v>4.8487499999999999</v>
      </c>
      <c r="CN495" s="253" cm="1">
        <f t="array" ref="CN495">$BC495 * IF($AD495&lt;=2,
SUMPRODUCT(INDEX($AL$62:$AN$66,,$AE495), INDEX($AO$62:$AU$66,,$AD495), 1 / ($AV$62:$AV$66*CM495 + (1-$AV$62:$AV$66)*CI495), N($AK$62:$AK$66&gt;$AI495)),
SUMPRODUCT(INDEX($AL$47:$AN$56,,$AE495), INDEX($AO$47:$AU$56,,$AD495), 1 / ($AW$47:$AW$56*CM495 + (1-$AW$47:$AW$56)*CI495), N($AK$47:$AK$56&gt;$AI495))
) / 1000</f>
        <v>0</v>
      </c>
      <c r="CO495" s="253" cm="1">
        <f t="array" ref="CO495">$BC495 * IF($AD495&lt;=2,
SUMPRODUCT(INDEX($AL$23:$AN$61,,$AE495), INDEX($AO$23:$AU$61,,$AD495), 1 / ($AV$23:$AV$61*CM495), N($AK$23:$AK$61&gt;$AI495)),
SUMPRODUCT(INDEX($AL$23:$AN$46,,$AE495), INDEX($AO$23:$AU$46,,$AD495), 1 / ($AW$23:$AW$46*CM495), N($AK$23:$AK$46&gt;$AI495))
) / 1000</f>
        <v>0</v>
      </c>
      <c r="CP495" s="237">
        <f t="shared" si="550"/>
        <v>0</v>
      </c>
      <c r="CQ495" s="210"/>
    </row>
    <row r="496" spans="1:95" s="76" customFormat="1" ht="14.25" customHeight="1" x14ac:dyDescent="0.2">
      <c r="A496" s="238" t="b">
        <f t="shared" si="554"/>
        <v>0</v>
      </c>
      <c r="B496" s="239">
        <v>474</v>
      </c>
      <c r="C496" s="258"/>
      <c r="D496" s="258"/>
      <c r="E496" s="240"/>
      <c r="F496" s="241" t="str">
        <f>IF(ISBLANK(E496), "", VLOOKUP(E496, Z!$A$2:$C$4127, 3, FALSE))</f>
        <v/>
      </c>
      <c r="G496" s="242"/>
      <c r="H496" s="242"/>
      <c r="I496" s="243"/>
      <c r="J496" s="244"/>
      <c r="K496" s="259"/>
      <c r="L496" s="260"/>
      <c r="M496" s="247" t="str" cm="1">
        <f t="array" ref="M496">IF($K496&gt;0, INDEX(Clean,1+AG496,$C$1), "")</f>
        <v/>
      </c>
      <c r="N496" s="245"/>
      <c r="O496" s="245"/>
      <c r="P496" s="246"/>
      <c r="Q496" s="248">
        <f t="shared" si="527"/>
        <v>0</v>
      </c>
      <c r="R496" s="247" t="str" cm="1">
        <f t="array" ref="R496">IF($K496&gt;0, INDEX(Clean,1+AH496,$C$1), "")</f>
        <v/>
      </c>
      <c r="S496" s="245"/>
      <c r="T496" s="245"/>
      <c r="U496" s="246"/>
      <c r="V496" s="248">
        <f t="shared" si="528"/>
        <v>0</v>
      </c>
      <c r="W496" s="261"/>
      <c r="X496" s="258"/>
      <c r="Y496" s="240"/>
      <c r="Z496" s="241" t="str">
        <f>IF(ISBLANK(Y496), "", VLOOKUP(Y496, Z!$A$2:$C$4127, 3, FALSE))</f>
        <v/>
      </c>
      <c r="AA496" s="262"/>
      <c r="AB496" s="249">
        <f t="shared" si="563"/>
        <v>0</v>
      </c>
      <c r="AC496" s="210"/>
      <c r="AD496" s="236">
        <f t="shared" si="551"/>
        <v>1</v>
      </c>
      <c r="AE496" s="236">
        <f t="shared" si="552"/>
        <v>1</v>
      </c>
      <c r="AF496" s="236">
        <f t="shared" si="553"/>
        <v>0</v>
      </c>
      <c r="AG496" s="236">
        <v>1</v>
      </c>
      <c r="AH496" s="236">
        <v>0</v>
      </c>
      <c r="AI496" s="236">
        <f t="shared" si="529"/>
        <v>-100</v>
      </c>
      <c r="AJ496" s="210"/>
      <c r="AK496" s="254"/>
      <c r="AL496" s="254"/>
      <c r="AM496" s="255"/>
      <c r="AN496" s="255"/>
      <c r="AO496" s="255"/>
      <c r="AP496" s="255"/>
      <c r="AQ496" s="255"/>
      <c r="AR496" s="255"/>
      <c r="AS496" s="255"/>
      <c r="AT496" s="255"/>
      <c r="AU496" s="255"/>
      <c r="AV496" s="255"/>
      <c r="AW496" s="255"/>
      <c r="AX496" s="210"/>
      <c r="AY496" s="236" cm="1">
        <f t="array" ref="AY496">INDEX(Use, $AD496, 4)</f>
        <v>7</v>
      </c>
      <c r="AZ496" s="236">
        <f t="shared" si="530"/>
        <v>32</v>
      </c>
      <c r="BA496" s="236">
        <f t="shared" si="555"/>
        <v>13</v>
      </c>
      <c r="BB496" s="236">
        <f t="shared" si="556"/>
        <v>0</v>
      </c>
      <c r="BC496" s="252" cm="1">
        <f t="array" ref="BC496">K496/IF($L496&gt;0, INDEX($AO$23:$AU$77, $L496+20, $AD496), 1)</f>
        <v>0</v>
      </c>
      <c r="BD496" s="237">
        <f t="shared" si="531"/>
        <v>0</v>
      </c>
      <c r="BE496" s="236">
        <v>35</v>
      </c>
      <c r="BF496" s="237">
        <f t="shared" si="532"/>
        <v>52.55</v>
      </c>
      <c r="BG496" s="253">
        <f t="shared" si="533"/>
        <v>2.7676728869374316</v>
      </c>
      <c r="BH496" s="253" cm="1">
        <f t="array" ref="BH496">$BC496 * SUMPRODUCT(INDEX($AL$77:$AN$82,,$AE496),INDEX($AO$77:$AU$82,,$AD496), N($AK$77:$AK$82&gt;$AI496)) / BG496 / 1000</f>
        <v>0</v>
      </c>
      <c r="BI496" s="250">
        <f t="shared" si="557"/>
        <v>30</v>
      </c>
      <c r="BJ496" s="237">
        <f t="shared" si="534"/>
        <v>46.033333333333331</v>
      </c>
      <c r="BK496" s="253">
        <f t="shared" si="535"/>
        <v>3.2297395388556791</v>
      </c>
      <c r="BL496" s="253" cm="1">
        <f t="array" ref="BL496">$BC496 * IF($AD496&lt;=2,
SUMPRODUCT(INDEX($AL$72:$AN$76,,$AE496), INDEX($AO$72:$AU$76,,$AD496), 1 / ($AV$72:$AV$76*BK496 + (1-$AV$72:$AV$76)*BG496), N($AK$72:$AK$76&gt;$AI496)),
SUMPRODUCT(INDEX($AL$67:$AN$76,,$AE496), INDEX($AO$67:$AU$76,,$AD496), 1 / ($AW$67:$AW$76*BK496 + (1-$AW$67:$AW$76)*BG496), N($AK$67:$AK$76&gt;$AI496))
) / 1000</f>
        <v>0</v>
      </c>
      <c r="BM496" s="250">
        <f t="shared" si="558"/>
        <v>25</v>
      </c>
      <c r="BN496" s="237">
        <f t="shared" si="536"/>
        <v>39.516666666666666</v>
      </c>
      <c r="BO496" s="253">
        <f t="shared" si="537"/>
        <v>3.877011788826243</v>
      </c>
      <c r="BP496" s="253" cm="1">
        <f t="array" ref="BP496">$BC496 * IF($AD496&lt;=2,
SUMPRODUCT(INDEX($AL$67:$AN$71,,$AE496), INDEX($AO$67:$AU$71,,$AD496), 1 / ($AV$67:$AV$71*BO496 + (1-$AV$67:$AV$71)*BK496), N($AK$67:$AK$71&gt;$AI496)),
SUMPRODUCT(INDEX($AL$57:$AN$66,,$AE496), INDEX($AO$57:$AU$66,,$AD496), 1 / ($AW$57:$AW$66*BO496 + (1-$AW$57:$AW$66)*BK496), N($AK$57:$AK$66&gt;$AI496))
) / 1000</f>
        <v>0</v>
      </c>
      <c r="BQ496" s="250">
        <f t="shared" si="559"/>
        <v>20</v>
      </c>
      <c r="BR496" s="237">
        <f t="shared" si="538"/>
        <v>33</v>
      </c>
      <c r="BS496" s="253">
        <f t="shared" si="539"/>
        <v>4.8487499999999999</v>
      </c>
      <c r="BT496" s="253" cm="1">
        <f t="array" ref="BT496">$BC496 * IF($AD496&lt;=2,
SUMPRODUCT(INDEX($AL$62:$AN$66,,$AE496), INDEX($AO$62:$AU$66,,$AD496), 1 / ($AV$62:$AV$66*BS496 + (1-$AV$62:$AV$66)*BO496), N($AK$62:$AK$66&gt;$AI496)),
SUMPRODUCT(INDEX($AL$47:$AN$56,,$AE496), INDEX($AO$47:$AU$56,,$AD496), 1 / ($AW$47:$AW$56*BS496 + (1-$AW$47:$AW$56)*BO496), N($AK$47:$AK$56&gt;$AI496))
) / 1000</f>
        <v>0</v>
      </c>
      <c r="BU496" s="253" cm="1">
        <f t="array" ref="BU496">$BC496 * IF($AD496&lt;=2,
SUMPRODUCT(INDEX($AL$23:$AN$61,,$AE496), INDEX($AO$23:$AU$61,,$AD496), 1 / ($AV$23:$AV$61*BS496), N($AK$23:$AK$61&gt;$AI496)),
SUMPRODUCT(INDEX($AL$23:$AN$46,,$AE496), INDEX($AO$23:$AU$46,,$AD496), 1 / ($AW$23:$AW$46*BS496), N($AK$23:$AK$46&gt;$AI496))
) / 1000</f>
        <v>0</v>
      </c>
      <c r="BV496" s="237">
        <f t="shared" si="540"/>
        <v>0</v>
      </c>
      <c r="BW496" s="210"/>
      <c r="BX496" s="237">
        <f t="shared" si="541"/>
        <v>0</v>
      </c>
      <c r="BY496" s="236">
        <v>35</v>
      </c>
      <c r="BZ496" s="237">
        <f t="shared" si="542"/>
        <v>48</v>
      </c>
      <c r="CA496" s="253">
        <f t="shared" si="543"/>
        <v>3.0748170731707316</v>
      </c>
      <c r="CB496" s="253" cm="1">
        <f t="array" ref="CB496">$BC496 * SUMPRODUCT(INDEX($AL$77:$AN$82,,$AE496),INDEX($AO$77:$AU$82,,$AD496), N($AK$77:$AK$82&gt;$AI496)) / CA496 / 1000</f>
        <v>0</v>
      </c>
      <c r="CC496" s="250">
        <f t="shared" si="560"/>
        <v>30</v>
      </c>
      <c r="CD496" s="237">
        <f t="shared" si="544"/>
        <v>43</v>
      </c>
      <c r="CE496" s="253">
        <f t="shared" si="545"/>
        <v>3.5018750000000001</v>
      </c>
      <c r="CF496" s="253" cm="1">
        <f t="array" ref="CF496">$BC496 * IF($AD496&lt;=2,
SUMPRODUCT(INDEX($AL$72:$AN$76,,$AE496), INDEX($AO$72:$AU$76,,$AD496), 1 / ($AV$72:$AV$76*CE496 + (1-$AV$72:$AV$76)*CA496), N($AK$72:$AK$76&gt;$AI496)),
SUMPRODUCT(INDEX($AL$67:$AN$76,,$AE496), INDEX($AO$67:$AU$76,,$AD496), 1 / ($AW$67:$AW$76*CE496 + (1-$AW$67:$AW$76)*CA496), N($AK$67:$AK$76&gt;$AI496))
) / 1000</f>
        <v>0</v>
      </c>
      <c r="CG496" s="250">
        <f t="shared" si="561"/>
        <v>25</v>
      </c>
      <c r="CH496" s="237">
        <f t="shared" si="546"/>
        <v>38</v>
      </c>
      <c r="CI496" s="253">
        <f t="shared" si="547"/>
        <v>4.0666935483870965</v>
      </c>
      <c r="CJ496" s="253" cm="1">
        <f t="array" ref="CJ496">$BC496 * IF($AD496&lt;=2,
SUMPRODUCT(INDEX($AL$67:$AN$71,,$AE496), INDEX($AO$67:$AU$71,,$AD496), 1 / ($AV$67:$AV$71*CI496 + (1-$AV$67:$AV$71)*CE496), N($AK$67:$AK$71&gt;$AI496)),
SUMPRODUCT(INDEX($AL$57:$AN$66,,$AE496), INDEX($AO$57:$AU$66,,$AD496), 1 / ($AW$57:$AW$66*CI496 + (1-$AW$57:$AW$66)*CE496), N($AK$57:$AK$66&gt;$AI496))
) / 1000</f>
        <v>0</v>
      </c>
      <c r="CK496" s="250">
        <f t="shared" si="562"/>
        <v>20</v>
      </c>
      <c r="CL496" s="237">
        <f t="shared" si="548"/>
        <v>33</v>
      </c>
      <c r="CM496" s="253">
        <f t="shared" si="549"/>
        <v>4.8487499999999999</v>
      </c>
      <c r="CN496" s="253" cm="1">
        <f t="array" ref="CN496">$BC496 * IF($AD496&lt;=2,
SUMPRODUCT(INDEX($AL$62:$AN$66,,$AE496), INDEX($AO$62:$AU$66,,$AD496), 1 / ($AV$62:$AV$66*CM496 + (1-$AV$62:$AV$66)*CI496), N($AK$62:$AK$66&gt;$AI496)),
SUMPRODUCT(INDEX($AL$47:$AN$56,,$AE496), INDEX($AO$47:$AU$56,,$AD496), 1 / ($AW$47:$AW$56*CM496 + (1-$AW$47:$AW$56)*CI496), N($AK$47:$AK$56&gt;$AI496))
) / 1000</f>
        <v>0</v>
      </c>
      <c r="CO496" s="253" cm="1">
        <f t="array" ref="CO496">$BC496 * IF($AD496&lt;=2,
SUMPRODUCT(INDEX($AL$23:$AN$61,,$AE496), INDEX($AO$23:$AU$61,,$AD496), 1 / ($AV$23:$AV$61*CM496), N($AK$23:$AK$61&gt;$AI496)),
SUMPRODUCT(INDEX($AL$23:$AN$46,,$AE496), INDEX($AO$23:$AU$46,,$AD496), 1 / ($AW$23:$AW$46*CM496), N($AK$23:$AK$46&gt;$AI496))
) / 1000</f>
        <v>0</v>
      </c>
      <c r="CP496" s="237">
        <f t="shared" si="550"/>
        <v>0</v>
      </c>
      <c r="CQ496" s="210"/>
    </row>
    <row r="497" spans="1:95" s="76" customFormat="1" ht="14.25" customHeight="1" x14ac:dyDescent="0.2">
      <c r="A497" s="238" t="b">
        <f t="shared" si="554"/>
        <v>0</v>
      </c>
      <c r="B497" s="239">
        <v>475</v>
      </c>
      <c r="C497" s="258"/>
      <c r="D497" s="258"/>
      <c r="E497" s="240"/>
      <c r="F497" s="241" t="str">
        <f>IF(ISBLANK(E497), "", VLOOKUP(E497, Z!$A$2:$C$4127, 3, FALSE))</f>
        <v/>
      </c>
      <c r="G497" s="242"/>
      <c r="H497" s="242"/>
      <c r="I497" s="243"/>
      <c r="J497" s="244"/>
      <c r="K497" s="259"/>
      <c r="L497" s="260"/>
      <c r="M497" s="247" t="str" cm="1">
        <f t="array" ref="M497">IF($K497&gt;0, INDEX(Clean,1+AG497,$C$1), "")</f>
        <v/>
      </c>
      <c r="N497" s="245"/>
      <c r="O497" s="245"/>
      <c r="P497" s="246"/>
      <c r="Q497" s="248">
        <f t="shared" si="527"/>
        <v>0</v>
      </c>
      <c r="R497" s="247" t="str" cm="1">
        <f t="array" ref="R497">IF($K497&gt;0, INDEX(Clean,1+AH497,$C$1), "")</f>
        <v/>
      </c>
      <c r="S497" s="245"/>
      <c r="T497" s="245"/>
      <c r="U497" s="246"/>
      <c r="V497" s="248">
        <f t="shared" si="528"/>
        <v>0</v>
      </c>
      <c r="W497" s="261"/>
      <c r="X497" s="258"/>
      <c r="Y497" s="240"/>
      <c r="Z497" s="241" t="str">
        <f>IF(ISBLANK(Y497), "", VLOOKUP(Y497, Z!$A$2:$C$4127, 3, FALSE))</f>
        <v/>
      </c>
      <c r="AA497" s="262"/>
      <c r="AB497" s="249">
        <f t="shared" si="563"/>
        <v>0</v>
      </c>
      <c r="AC497" s="210"/>
      <c r="AD497" s="236">
        <f t="shared" si="551"/>
        <v>1</v>
      </c>
      <c r="AE497" s="236">
        <f t="shared" si="552"/>
        <v>1</v>
      </c>
      <c r="AF497" s="236">
        <f t="shared" si="553"/>
        <v>0</v>
      </c>
      <c r="AG497" s="236">
        <v>1</v>
      </c>
      <c r="AH497" s="236">
        <v>0</v>
      </c>
      <c r="AI497" s="236">
        <f t="shared" si="529"/>
        <v>-100</v>
      </c>
      <c r="AJ497" s="210"/>
      <c r="AK497" s="254"/>
      <c r="AL497" s="254"/>
      <c r="AM497" s="255"/>
      <c r="AN497" s="255"/>
      <c r="AO497" s="255"/>
      <c r="AP497" s="255"/>
      <c r="AQ497" s="255"/>
      <c r="AR497" s="255"/>
      <c r="AS497" s="255"/>
      <c r="AT497" s="255"/>
      <c r="AU497" s="255"/>
      <c r="AV497" s="255"/>
      <c r="AW497" s="255"/>
      <c r="AX497" s="210"/>
      <c r="AY497" s="236" cm="1">
        <f t="array" ref="AY497">INDEX(Use, $AD497, 4)</f>
        <v>7</v>
      </c>
      <c r="AZ497" s="236">
        <f t="shared" si="530"/>
        <v>32</v>
      </c>
      <c r="BA497" s="236">
        <f t="shared" si="555"/>
        <v>13</v>
      </c>
      <c r="BB497" s="236">
        <f t="shared" si="556"/>
        <v>0</v>
      </c>
      <c r="BC497" s="252" cm="1">
        <f t="array" ref="BC497">K497/IF($L497&gt;0, INDEX($AO$23:$AU$77, $L497+20, $AD497), 1)</f>
        <v>0</v>
      </c>
      <c r="BD497" s="237">
        <f t="shared" si="531"/>
        <v>0</v>
      </c>
      <c r="BE497" s="236">
        <v>35</v>
      </c>
      <c r="BF497" s="237">
        <f t="shared" si="532"/>
        <v>52.55</v>
      </c>
      <c r="BG497" s="253">
        <f t="shared" si="533"/>
        <v>2.7676728869374316</v>
      </c>
      <c r="BH497" s="253" cm="1">
        <f t="array" ref="BH497">$BC497 * SUMPRODUCT(INDEX($AL$77:$AN$82,,$AE497),INDEX($AO$77:$AU$82,,$AD497), N($AK$77:$AK$82&gt;$AI497)) / BG497 / 1000</f>
        <v>0</v>
      </c>
      <c r="BI497" s="250">
        <f t="shared" si="557"/>
        <v>30</v>
      </c>
      <c r="BJ497" s="237">
        <f t="shared" si="534"/>
        <v>46.033333333333331</v>
      </c>
      <c r="BK497" s="253">
        <f t="shared" si="535"/>
        <v>3.2297395388556791</v>
      </c>
      <c r="BL497" s="253" cm="1">
        <f t="array" ref="BL497">$BC497 * IF($AD497&lt;=2,
SUMPRODUCT(INDEX($AL$72:$AN$76,,$AE497), INDEX($AO$72:$AU$76,,$AD497), 1 / ($AV$72:$AV$76*BK497 + (1-$AV$72:$AV$76)*BG497), N($AK$72:$AK$76&gt;$AI497)),
SUMPRODUCT(INDEX($AL$67:$AN$76,,$AE497), INDEX($AO$67:$AU$76,,$AD497), 1 / ($AW$67:$AW$76*BK497 + (1-$AW$67:$AW$76)*BG497), N($AK$67:$AK$76&gt;$AI497))
) / 1000</f>
        <v>0</v>
      </c>
      <c r="BM497" s="250">
        <f t="shared" si="558"/>
        <v>25</v>
      </c>
      <c r="BN497" s="237">
        <f t="shared" si="536"/>
        <v>39.516666666666666</v>
      </c>
      <c r="BO497" s="253">
        <f t="shared" si="537"/>
        <v>3.877011788826243</v>
      </c>
      <c r="BP497" s="253" cm="1">
        <f t="array" ref="BP497">$BC497 * IF($AD497&lt;=2,
SUMPRODUCT(INDEX($AL$67:$AN$71,,$AE497), INDEX($AO$67:$AU$71,,$AD497), 1 / ($AV$67:$AV$71*BO497 + (1-$AV$67:$AV$71)*BK497), N($AK$67:$AK$71&gt;$AI497)),
SUMPRODUCT(INDEX($AL$57:$AN$66,,$AE497), INDEX($AO$57:$AU$66,,$AD497), 1 / ($AW$57:$AW$66*BO497 + (1-$AW$57:$AW$66)*BK497), N($AK$57:$AK$66&gt;$AI497))
) / 1000</f>
        <v>0</v>
      </c>
      <c r="BQ497" s="250">
        <f t="shared" si="559"/>
        <v>20</v>
      </c>
      <c r="BR497" s="237">
        <f t="shared" si="538"/>
        <v>33</v>
      </c>
      <c r="BS497" s="253">
        <f t="shared" si="539"/>
        <v>4.8487499999999999</v>
      </c>
      <c r="BT497" s="253" cm="1">
        <f t="array" ref="BT497">$BC497 * IF($AD497&lt;=2,
SUMPRODUCT(INDEX($AL$62:$AN$66,,$AE497), INDEX($AO$62:$AU$66,,$AD497), 1 / ($AV$62:$AV$66*BS497 + (1-$AV$62:$AV$66)*BO497), N($AK$62:$AK$66&gt;$AI497)),
SUMPRODUCT(INDEX($AL$47:$AN$56,,$AE497), INDEX($AO$47:$AU$56,,$AD497), 1 / ($AW$47:$AW$56*BS497 + (1-$AW$47:$AW$56)*BO497), N($AK$47:$AK$56&gt;$AI497))
) / 1000</f>
        <v>0</v>
      </c>
      <c r="BU497" s="253" cm="1">
        <f t="array" ref="BU497">$BC497 * IF($AD497&lt;=2,
SUMPRODUCT(INDEX($AL$23:$AN$61,,$AE497), INDEX($AO$23:$AU$61,,$AD497), 1 / ($AV$23:$AV$61*BS497), N($AK$23:$AK$61&gt;$AI497)),
SUMPRODUCT(INDEX($AL$23:$AN$46,,$AE497), INDEX($AO$23:$AU$46,,$AD497), 1 / ($AW$23:$AW$46*BS497), N($AK$23:$AK$46&gt;$AI497))
) / 1000</f>
        <v>0</v>
      </c>
      <c r="BV497" s="237">
        <f t="shared" si="540"/>
        <v>0</v>
      </c>
      <c r="BW497" s="210"/>
      <c r="BX497" s="237">
        <f t="shared" si="541"/>
        <v>0</v>
      </c>
      <c r="BY497" s="236">
        <v>35</v>
      </c>
      <c r="BZ497" s="237">
        <f t="shared" si="542"/>
        <v>48</v>
      </c>
      <c r="CA497" s="253">
        <f t="shared" si="543"/>
        <v>3.0748170731707316</v>
      </c>
      <c r="CB497" s="253" cm="1">
        <f t="array" ref="CB497">$BC497 * SUMPRODUCT(INDEX($AL$77:$AN$82,,$AE497),INDEX($AO$77:$AU$82,,$AD497), N($AK$77:$AK$82&gt;$AI497)) / CA497 / 1000</f>
        <v>0</v>
      </c>
      <c r="CC497" s="250">
        <f t="shared" si="560"/>
        <v>30</v>
      </c>
      <c r="CD497" s="237">
        <f t="shared" si="544"/>
        <v>43</v>
      </c>
      <c r="CE497" s="253">
        <f t="shared" si="545"/>
        <v>3.5018750000000001</v>
      </c>
      <c r="CF497" s="253" cm="1">
        <f t="array" ref="CF497">$BC497 * IF($AD497&lt;=2,
SUMPRODUCT(INDEX($AL$72:$AN$76,,$AE497), INDEX($AO$72:$AU$76,,$AD497), 1 / ($AV$72:$AV$76*CE497 + (1-$AV$72:$AV$76)*CA497), N($AK$72:$AK$76&gt;$AI497)),
SUMPRODUCT(INDEX($AL$67:$AN$76,,$AE497), INDEX($AO$67:$AU$76,,$AD497), 1 / ($AW$67:$AW$76*CE497 + (1-$AW$67:$AW$76)*CA497), N($AK$67:$AK$76&gt;$AI497))
) / 1000</f>
        <v>0</v>
      </c>
      <c r="CG497" s="250">
        <f t="shared" si="561"/>
        <v>25</v>
      </c>
      <c r="CH497" s="237">
        <f t="shared" si="546"/>
        <v>38</v>
      </c>
      <c r="CI497" s="253">
        <f t="shared" si="547"/>
        <v>4.0666935483870965</v>
      </c>
      <c r="CJ497" s="253" cm="1">
        <f t="array" ref="CJ497">$BC497 * IF($AD497&lt;=2,
SUMPRODUCT(INDEX($AL$67:$AN$71,,$AE497), INDEX($AO$67:$AU$71,,$AD497), 1 / ($AV$67:$AV$71*CI497 + (1-$AV$67:$AV$71)*CE497), N($AK$67:$AK$71&gt;$AI497)),
SUMPRODUCT(INDEX($AL$57:$AN$66,,$AE497), INDEX($AO$57:$AU$66,,$AD497), 1 / ($AW$57:$AW$66*CI497 + (1-$AW$57:$AW$66)*CE497), N($AK$57:$AK$66&gt;$AI497))
) / 1000</f>
        <v>0</v>
      </c>
      <c r="CK497" s="250">
        <f t="shared" si="562"/>
        <v>20</v>
      </c>
      <c r="CL497" s="237">
        <f t="shared" si="548"/>
        <v>33</v>
      </c>
      <c r="CM497" s="253">
        <f t="shared" si="549"/>
        <v>4.8487499999999999</v>
      </c>
      <c r="CN497" s="253" cm="1">
        <f t="array" ref="CN497">$BC497 * IF($AD497&lt;=2,
SUMPRODUCT(INDEX($AL$62:$AN$66,,$AE497), INDEX($AO$62:$AU$66,,$AD497), 1 / ($AV$62:$AV$66*CM497 + (1-$AV$62:$AV$66)*CI497), N($AK$62:$AK$66&gt;$AI497)),
SUMPRODUCT(INDEX($AL$47:$AN$56,,$AE497), INDEX($AO$47:$AU$56,,$AD497), 1 / ($AW$47:$AW$56*CM497 + (1-$AW$47:$AW$56)*CI497), N($AK$47:$AK$56&gt;$AI497))
) / 1000</f>
        <v>0</v>
      </c>
      <c r="CO497" s="253" cm="1">
        <f t="array" ref="CO497">$BC497 * IF($AD497&lt;=2,
SUMPRODUCT(INDEX($AL$23:$AN$61,,$AE497), INDEX($AO$23:$AU$61,,$AD497), 1 / ($AV$23:$AV$61*CM497), N($AK$23:$AK$61&gt;$AI497)),
SUMPRODUCT(INDEX($AL$23:$AN$46,,$AE497), INDEX($AO$23:$AU$46,,$AD497), 1 / ($AW$23:$AW$46*CM497), N($AK$23:$AK$46&gt;$AI497))
) / 1000</f>
        <v>0</v>
      </c>
      <c r="CP497" s="237">
        <f t="shared" si="550"/>
        <v>0</v>
      </c>
      <c r="CQ497" s="210"/>
    </row>
    <row r="498" spans="1:95" s="76" customFormat="1" ht="14.25" customHeight="1" x14ac:dyDescent="0.2">
      <c r="A498" s="238" t="b">
        <f t="shared" si="554"/>
        <v>0</v>
      </c>
      <c r="B498" s="239">
        <v>476</v>
      </c>
      <c r="C498" s="258"/>
      <c r="D498" s="258"/>
      <c r="E498" s="240"/>
      <c r="F498" s="241" t="str">
        <f>IF(ISBLANK(E498), "", VLOOKUP(E498, Z!$A$2:$C$4127, 3, FALSE))</f>
        <v/>
      </c>
      <c r="G498" s="242"/>
      <c r="H498" s="242"/>
      <c r="I498" s="243"/>
      <c r="J498" s="244"/>
      <c r="K498" s="259"/>
      <c r="L498" s="260"/>
      <c r="M498" s="247" t="str" cm="1">
        <f t="array" ref="M498">IF($K498&gt;0, INDEX(Clean,1+AG498,$C$1), "")</f>
        <v/>
      </c>
      <c r="N498" s="245"/>
      <c r="O498" s="245"/>
      <c r="P498" s="246"/>
      <c r="Q498" s="248">
        <f t="shared" si="527"/>
        <v>0</v>
      </c>
      <c r="R498" s="247" t="str" cm="1">
        <f t="array" ref="R498">IF($K498&gt;0, INDEX(Clean,1+AH498,$C$1), "")</f>
        <v/>
      </c>
      <c r="S498" s="245"/>
      <c r="T498" s="245"/>
      <c r="U498" s="246"/>
      <c r="V498" s="248">
        <f t="shared" si="528"/>
        <v>0</v>
      </c>
      <c r="W498" s="261"/>
      <c r="X498" s="258"/>
      <c r="Y498" s="240"/>
      <c r="Z498" s="241" t="str">
        <f>IF(ISBLANK(Y498), "", VLOOKUP(Y498, Z!$A$2:$C$4127, 3, FALSE))</f>
        <v/>
      </c>
      <c r="AA498" s="262"/>
      <c r="AB498" s="249">
        <f t="shared" si="563"/>
        <v>0</v>
      </c>
      <c r="AC498" s="210"/>
      <c r="AD498" s="236">
        <f t="shared" si="551"/>
        <v>1</v>
      </c>
      <c r="AE498" s="236">
        <f t="shared" si="552"/>
        <v>1</v>
      </c>
      <c r="AF498" s="236">
        <f t="shared" si="553"/>
        <v>0</v>
      </c>
      <c r="AG498" s="236">
        <v>1</v>
      </c>
      <c r="AH498" s="236">
        <v>0</v>
      </c>
      <c r="AI498" s="236">
        <f t="shared" si="529"/>
        <v>-100</v>
      </c>
      <c r="AJ498" s="210"/>
      <c r="AK498" s="254"/>
      <c r="AL498" s="254"/>
      <c r="AM498" s="255"/>
      <c r="AN498" s="255"/>
      <c r="AO498" s="255"/>
      <c r="AP498" s="255"/>
      <c r="AQ498" s="255"/>
      <c r="AR498" s="255"/>
      <c r="AS498" s="255"/>
      <c r="AT498" s="255"/>
      <c r="AU498" s="255"/>
      <c r="AV498" s="255"/>
      <c r="AW498" s="255"/>
      <c r="AX498" s="210"/>
      <c r="AY498" s="236" cm="1">
        <f t="array" ref="AY498">INDEX(Use, $AD498, 4)</f>
        <v>7</v>
      </c>
      <c r="AZ498" s="236">
        <f t="shared" si="530"/>
        <v>32</v>
      </c>
      <c r="BA498" s="236">
        <f t="shared" si="555"/>
        <v>13</v>
      </c>
      <c r="BB498" s="236">
        <f t="shared" si="556"/>
        <v>0</v>
      </c>
      <c r="BC498" s="252" cm="1">
        <f t="array" ref="BC498">K498/IF($L498&gt;0, INDEX($AO$23:$AU$77, $L498+20, $AD498), 1)</f>
        <v>0</v>
      </c>
      <c r="BD498" s="237">
        <f t="shared" si="531"/>
        <v>0</v>
      </c>
      <c r="BE498" s="236">
        <v>35</v>
      </c>
      <c r="BF498" s="237">
        <f t="shared" si="532"/>
        <v>52.55</v>
      </c>
      <c r="BG498" s="253">
        <f t="shared" si="533"/>
        <v>2.7676728869374316</v>
      </c>
      <c r="BH498" s="253" cm="1">
        <f t="array" ref="BH498">$BC498 * SUMPRODUCT(INDEX($AL$77:$AN$82,,$AE498),INDEX($AO$77:$AU$82,,$AD498), N($AK$77:$AK$82&gt;$AI498)) / BG498 / 1000</f>
        <v>0</v>
      </c>
      <c r="BI498" s="250">
        <f t="shared" si="557"/>
        <v>30</v>
      </c>
      <c r="BJ498" s="237">
        <f t="shared" si="534"/>
        <v>46.033333333333331</v>
      </c>
      <c r="BK498" s="253">
        <f t="shared" si="535"/>
        <v>3.2297395388556791</v>
      </c>
      <c r="BL498" s="253" cm="1">
        <f t="array" ref="BL498">$BC498 * IF($AD498&lt;=2,
SUMPRODUCT(INDEX($AL$72:$AN$76,,$AE498), INDEX($AO$72:$AU$76,,$AD498), 1 / ($AV$72:$AV$76*BK498 + (1-$AV$72:$AV$76)*BG498), N($AK$72:$AK$76&gt;$AI498)),
SUMPRODUCT(INDEX($AL$67:$AN$76,,$AE498), INDEX($AO$67:$AU$76,,$AD498), 1 / ($AW$67:$AW$76*BK498 + (1-$AW$67:$AW$76)*BG498), N($AK$67:$AK$76&gt;$AI498))
) / 1000</f>
        <v>0</v>
      </c>
      <c r="BM498" s="250">
        <f t="shared" si="558"/>
        <v>25</v>
      </c>
      <c r="BN498" s="237">
        <f t="shared" si="536"/>
        <v>39.516666666666666</v>
      </c>
      <c r="BO498" s="253">
        <f t="shared" si="537"/>
        <v>3.877011788826243</v>
      </c>
      <c r="BP498" s="253" cm="1">
        <f t="array" ref="BP498">$BC498 * IF($AD498&lt;=2,
SUMPRODUCT(INDEX($AL$67:$AN$71,,$AE498), INDEX($AO$67:$AU$71,,$AD498), 1 / ($AV$67:$AV$71*BO498 + (1-$AV$67:$AV$71)*BK498), N($AK$67:$AK$71&gt;$AI498)),
SUMPRODUCT(INDEX($AL$57:$AN$66,,$AE498), INDEX($AO$57:$AU$66,,$AD498), 1 / ($AW$57:$AW$66*BO498 + (1-$AW$57:$AW$66)*BK498), N($AK$57:$AK$66&gt;$AI498))
) / 1000</f>
        <v>0</v>
      </c>
      <c r="BQ498" s="250">
        <f t="shared" si="559"/>
        <v>20</v>
      </c>
      <c r="BR498" s="237">
        <f t="shared" si="538"/>
        <v>33</v>
      </c>
      <c r="BS498" s="253">
        <f t="shared" si="539"/>
        <v>4.8487499999999999</v>
      </c>
      <c r="BT498" s="253" cm="1">
        <f t="array" ref="BT498">$BC498 * IF($AD498&lt;=2,
SUMPRODUCT(INDEX($AL$62:$AN$66,,$AE498), INDEX($AO$62:$AU$66,,$AD498), 1 / ($AV$62:$AV$66*BS498 + (1-$AV$62:$AV$66)*BO498), N($AK$62:$AK$66&gt;$AI498)),
SUMPRODUCT(INDEX($AL$47:$AN$56,,$AE498), INDEX($AO$47:$AU$56,,$AD498), 1 / ($AW$47:$AW$56*BS498 + (1-$AW$47:$AW$56)*BO498), N($AK$47:$AK$56&gt;$AI498))
) / 1000</f>
        <v>0</v>
      </c>
      <c r="BU498" s="253" cm="1">
        <f t="array" ref="BU498">$BC498 * IF($AD498&lt;=2,
SUMPRODUCT(INDEX($AL$23:$AN$61,,$AE498), INDEX($AO$23:$AU$61,,$AD498), 1 / ($AV$23:$AV$61*BS498), N($AK$23:$AK$61&gt;$AI498)),
SUMPRODUCT(INDEX($AL$23:$AN$46,,$AE498), INDEX($AO$23:$AU$46,,$AD498), 1 / ($AW$23:$AW$46*BS498), N($AK$23:$AK$46&gt;$AI498))
) / 1000</f>
        <v>0</v>
      </c>
      <c r="BV498" s="237">
        <f t="shared" si="540"/>
        <v>0</v>
      </c>
      <c r="BW498" s="210"/>
      <c r="BX498" s="237">
        <f t="shared" si="541"/>
        <v>0</v>
      </c>
      <c r="BY498" s="236">
        <v>35</v>
      </c>
      <c r="BZ498" s="237">
        <f t="shared" si="542"/>
        <v>48</v>
      </c>
      <c r="CA498" s="253">
        <f t="shared" si="543"/>
        <v>3.0748170731707316</v>
      </c>
      <c r="CB498" s="253" cm="1">
        <f t="array" ref="CB498">$BC498 * SUMPRODUCT(INDEX($AL$77:$AN$82,,$AE498),INDEX($AO$77:$AU$82,,$AD498), N($AK$77:$AK$82&gt;$AI498)) / CA498 / 1000</f>
        <v>0</v>
      </c>
      <c r="CC498" s="250">
        <f t="shared" si="560"/>
        <v>30</v>
      </c>
      <c r="CD498" s="237">
        <f t="shared" si="544"/>
        <v>43</v>
      </c>
      <c r="CE498" s="253">
        <f t="shared" si="545"/>
        <v>3.5018750000000001</v>
      </c>
      <c r="CF498" s="253" cm="1">
        <f t="array" ref="CF498">$BC498 * IF($AD498&lt;=2,
SUMPRODUCT(INDEX($AL$72:$AN$76,,$AE498), INDEX($AO$72:$AU$76,,$AD498), 1 / ($AV$72:$AV$76*CE498 + (1-$AV$72:$AV$76)*CA498), N($AK$72:$AK$76&gt;$AI498)),
SUMPRODUCT(INDEX($AL$67:$AN$76,,$AE498), INDEX($AO$67:$AU$76,,$AD498), 1 / ($AW$67:$AW$76*CE498 + (1-$AW$67:$AW$76)*CA498), N($AK$67:$AK$76&gt;$AI498))
) / 1000</f>
        <v>0</v>
      </c>
      <c r="CG498" s="250">
        <f t="shared" si="561"/>
        <v>25</v>
      </c>
      <c r="CH498" s="237">
        <f t="shared" si="546"/>
        <v>38</v>
      </c>
      <c r="CI498" s="253">
        <f t="shared" si="547"/>
        <v>4.0666935483870965</v>
      </c>
      <c r="CJ498" s="253" cm="1">
        <f t="array" ref="CJ498">$BC498 * IF($AD498&lt;=2,
SUMPRODUCT(INDEX($AL$67:$AN$71,,$AE498), INDEX($AO$67:$AU$71,,$AD498), 1 / ($AV$67:$AV$71*CI498 + (1-$AV$67:$AV$71)*CE498), N($AK$67:$AK$71&gt;$AI498)),
SUMPRODUCT(INDEX($AL$57:$AN$66,,$AE498), INDEX($AO$57:$AU$66,,$AD498), 1 / ($AW$57:$AW$66*CI498 + (1-$AW$57:$AW$66)*CE498), N($AK$57:$AK$66&gt;$AI498))
) / 1000</f>
        <v>0</v>
      </c>
      <c r="CK498" s="250">
        <f t="shared" si="562"/>
        <v>20</v>
      </c>
      <c r="CL498" s="237">
        <f t="shared" si="548"/>
        <v>33</v>
      </c>
      <c r="CM498" s="253">
        <f t="shared" si="549"/>
        <v>4.8487499999999999</v>
      </c>
      <c r="CN498" s="253" cm="1">
        <f t="array" ref="CN498">$BC498 * IF($AD498&lt;=2,
SUMPRODUCT(INDEX($AL$62:$AN$66,,$AE498), INDEX($AO$62:$AU$66,,$AD498), 1 / ($AV$62:$AV$66*CM498 + (1-$AV$62:$AV$66)*CI498), N($AK$62:$AK$66&gt;$AI498)),
SUMPRODUCT(INDEX($AL$47:$AN$56,,$AE498), INDEX($AO$47:$AU$56,,$AD498), 1 / ($AW$47:$AW$56*CM498 + (1-$AW$47:$AW$56)*CI498), N($AK$47:$AK$56&gt;$AI498))
) / 1000</f>
        <v>0</v>
      </c>
      <c r="CO498" s="253" cm="1">
        <f t="array" ref="CO498">$BC498 * IF($AD498&lt;=2,
SUMPRODUCT(INDEX($AL$23:$AN$61,,$AE498), INDEX($AO$23:$AU$61,,$AD498), 1 / ($AV$23:$AV$61*CM498), N($AK$23:$AK$61&gt;$AI498)),
SUMPRODUCT(INDEX($AL$23:$AN$46,,$AE498), INDEX($AO$23:$AU$46,,$AD498), 1 / ($AW$23:$AW$46*CM498), N($AK$23:$AK$46&gt;$AI498))
) / 1000</f>
        <v>0</v>
      </c>
      <c r="CP498" s="237">
        <f t="shared" si="550"/>
        <v>0</v>
      </c>
      <c r="CQ498" s="210"/>
    </row>
    <row r="499" spans="1:95" s="76" customFormat="1" ht="14.25" customHeight="1" x14ac:dyDescent="0.2">
      <c r="A499" s="238" t="b">
        <f t="shared" si="554"/>
        <v>0</v>
      </c>
      <c r="B499" s="239">
        <v>477</v>
      </c>
      <c r="C499" s="258"/>
      <c r="D499" s="258"/>
      <c r="E499" s="240"/>
      <c r="F499" s="241" t="str">
        <f>IF(ISBLANK(E499), "", VLOOKUP(E499, Z!$A$2:$C$4127, 3, FALSE))</f>
        <v/>
      </c>
      <c r="G499" s="242"/>
      <c r="H499" s="242"/>
      <c r="I499" s="243"/>
      <c r="J499" s="244"/>
      <c r="K499" s="259"/>
      <c r="L499" s="260"/>
      <c r="M499" s="247" t="str" cm="1">
        <f t="array" ref="M499">IF($K499&gt;0, INDEX(Clean,1+AG499,$C$1), "")</f>
        <v/>
      </c>
      <c r="N499" s="245"/>
      <c r="O499" s="245"/>
      <c r="P499" s="246"/>
      <c r="Q499" s="248">
        <f t="shared" si="527"/>
        <v>0</v>
      </c>
      <c r="R499" s="247" t="str" cm="1">
        <f t="array" ref="R499">IF($K499&gt;0, INDEX(Clean,1+AH499,$C$1), "")</f>
        <v/>
      </c>
      <c r="S499" s="245"/>
      <c r="T499" s="245"/>
      <c r="U499" s="246"/>
      <c r="V499" s="248">
        <f t="shared" si="528"/>
        <v>0</v>
      </c>
      <c r="W499" s="261"/>
      <c r="X499" s="258"/>
      <c r="Y499" s="240"/>
      <c r="Z499" s="241" t="str">
        <f>IF(ISBLANK(Y499), "", VLOOKUP(Y499, Z!$A$2:$C$4127, 3, FALSE))</f>
        <v/>
      </c>
      <c r="AA499" s="262"/>
      <c r="AB499" s="249">
        <f t="shared" si="563"/>
        <v>0</v>
      </c>
      <c r="AC499" s="210"/>
      <c r="AD499" s="236">
        <f t="shared" si="551"/>
        <v>1</v>
      </c>
      <c r="AE499" s="236">
        <f t="shared" si="552"/>
        <v>1</v>
      </c>
      <c r="AF499" s="236">
        <f t="shared" si="553"/>
        <v>0</v>
      </c>
      <c r="AG499" s="236">
        <v>1</v>
      </c>
      <c r="AH499" s="236">
        <v>0</v>
      </c>
      <c r="AI499" s="236">
        <f t="shared" si="529"/>
        <v>-100</v>
      </c>
      <c r="AJ499" s="210"/>
      <c r="AK499" s="254"/>
      <c r="AL499" s="254"/>
      <c r="AM499" s="255"/>
      <c r="AN499" s="255"/>
      <c r="AO499" s="255"/>
      <c r="AP499" s="255"/>
      <c r="AQ499" s="255"/>
      <c r="AR499" s="255"/>
      <c r="AS499" s="255"/>
      <c r="AT499" s="255"/>
      <c r="AU499" s="255"/>
      <c r="AV499" s="255"/>
      <c r="AW499" s="255"/>
      <c r="AX499" s="210"/>
      <c r="AY499" s="236" cm="1">
        <f t="array" ref="AY499">INDEX(Use, $AD499, 4)</f>
        <v>7</v>
      </c>
      <c r="AZ499" s="236">
        <f t="shared" si="530"/>
        <v>32</v>
      </c>
      <c r="BA499" s="236">
        <f t="shared" si="555"/>
        <v>13</v>
      </c>
      <c r="BB499" s="236">
        <f t="shared" si="556"/>
        <v>0</v>
      </c>
      <c r="BC499" s="252" cm="1">
        <f t="array" ref="BC499">K499/IF($L499&gt;0, INDEX($AO$23:$AU$77, $L499+20, $AD499), 1)</f>
        <v>0</v>
      </c>
      <c r="BD499" s="237">
        <f t="shared" si="531"/>
        <v>0</v>
      </c>
      <c r="BE499" s="236">
        <v>35</v>
      </c>
      <c r="BF499" s="237">
        <f t="shared" si="532"/>
        <v>52.55</v>
      </c>
      <c r="BG499" s="253">
        <f t="shared" si="533"/>
        <v>2.7676728869374316</v>
      </c>
      <c r="BH499" s="253" cm="1">
        <f t="array" ref="BH499">$BC499 * SUMPRODUCT(INDEX($AL$77:$AN$82,,$AE499),INDEX($AO$77:$AU$82,,$AD499), N($AK$77:$AK$82&gt;$AI499)) / BG499 / 1000</f>
        <v>0</v>
      </c>
      <c r="BI499" s="250">
        <f t="shared" si="557"/>
        <v>30</v>
      </c>
      <c r="BJ499" s="237">
        <f t="shared" si="534"/>
        <v>46.033333333333331</v>
      </c>
      <c r="BK499" s="253">
        <f t="shared" si="535"/>
        <v>3.2297395388556791</v>
      </c>
      <c r="BL499" s="253" cm="1">
        <f t="array" ref="BL499">$BC499 * IF($AD499&lt;=2,
SUMPRODUCT(INDEX($AL$72:$AN$76,,$AE499), INDEX($AO$72:$AU$76,,$AD499), 1 / ($AV$72:$AV$76*BK499 + (1-$AV$72:$AV$76)*BG499), N($AK$72:$AK$76&gt;$AI499)),
SUMPRODUCT(INDEX($AL$67:$AN$76,,$AE499), INDEX($AO$67:$AU$76,,$AD499), 1 / ($AW$67:$AW$76*BK499 + (1-$AW$67:$AW$76)*BG499), N($AK$67:$AK$76&gt;$AI499))
) / 1000</f>
        <v>0</v>
      </c>
      <c r="BM499" s="250">
        <f t="shared" si="558"/>
        <v>25</v>
      </c>
      <c r="BN499" s="237">
        <f t="shared" si="536"/>
        <v>39.516666666666666</v>
      </c>
      <c r="BO499" s="253">
        <f t="shared" si="537"/>
        <v>3.877011788826243</v>
      </c>
      <c r="BP499" s="253" cm="1">
        <f t="array" ref="BP499">$BC499 * IF($AD499&lt;=2,
SUMPRODUCT(INDEX($AL$67:$AN$71,,$AE499), INDEX($AO$67:$AU$71,,$AD499), 1 / ($AV$67:$AV$71*BO499 + (1-$AV$67:$AV$71)*BK499), N($AK$67:$AK$71&gt;$AI499)),
SUMPRODUCT(INDEX($AL$57:$AN$66,,$AE499), INDEX($AO$57:$AU$66,,$AD499), 1 / ($AW$57:$AW$66*BO499 + (1-$AW$57:$AW$66)*BK499), N($AK$57:$AK$66&gt;$AI499))
) / 1000</f>
        <v>0</v>
      </c>
      <c r="BQ499" s="250">
        <f t="shared" si="559"/>
        <v>20</v>
      </c>
      <c r="BR499" s="237">
        <f t="shared" si="538"/>
        <v>33</v>
      </c>
      <c r="BS499" s="253">
        <f t="shared" si="539"/>
        <v>4.8487499999999999</v>
      </c>
      <c r="BT499" s="253" cm="1">
        <f t="array" ref="BT499">$BC499 * IF($AD499&lt;=2,
SUMPRODUCT(INDEX($AL$62:$AN$66,,$AE499), INDEX($AO$62:$AU$66,,$AD499), 1 / ($AV$62:$AV$66*BS499 + (1-$AV$62:$AV$66)*BO499), N($AK$62:$AK$66&gt;$AI499)),
SUMPRODUCT(INDEX($AL$47:$AN$56,,$AE499), INDEX($AO$47:$AU$56,,$AD499), 1 / ($AW$47:$AW$56*BS499 + (1-$AW$47:$AW$56)*BO499), N($AK$47:$AK$56&gt;$AI499))
) / 1000</f>
        <v>0</v>
      </c>
      <c r="BU499" s="253" cm="1">
        <f t="array" ref="BU499">$BC499 * IF($AD499&lt;=2,
SUMPRODUCT(INDEX($AL$23:$AN$61,,$AE499), INDEX($AO$23:$AU$61,,$AD499), 1 / ($AV$23:$AV$61*BS499), N($AK$23:$AK$61&gt;$AI499)),
SUMPRODUCT(INDEX($AL$23:$AN$46,,$AE499), INDEX($AO$23:$AU$46,,$AD499), 1 / ($AW$23:$AW$46*BS499), N($AK$23:$AK$46&gt;$AI499))
) / 1000</f>
        <v>0</v>
      </c>
      <c r="BV499" s="237">
        <f t="shared" si="540"/>
        <v>0</v>
      </c>
      <c r="BW499" s="210"/>
      <c r="BX499" s="237">
        <f t="shared" si="541"/>
        <v>0</v>
      </c>
      <c r="BY499" s="236">
        <v>35</v>
      </c>
      <c r="BZ499" s="237">
        <f t="shared" si="542"/>
        <v>48</v>
      </c>
      <c r="CA499" s="253">
        <f t="shared" si="543"/>
        <v>3.0748170731707316</v>
      </c>
      <c r="CB499" s="253" cm="1">
        <f t="array" ref="CB499">$BC499 * SUMPRODUCT(INDEX($AL$77:$AN$82,,$AE499),INDEX($AO$77:$AU$82,,$AD499), N($AK$77:$AK$82&gt;$AI499)) / CA499 / 1000</f>
        <v>0</v>
      </c>
      <c r="CC499" s="250">
        <f t="shared" si="560"/>
        <v>30</v>
      </c>
      <c r="CD499" s="237">
        <f t="shared" si="544"/>
        <v>43</v>
      </c>
      <c r="CE499" s="253">
        <f t="shared" si="545"/>
        <v>3.5018750000000001</v>
      </c>
      <c r="CF499" s="253" cm="1">
        <f t="array" ref="CF499">$BC499 * IF($AD499&lt;=2,
SUMPRODUCT(INDEX($AL$72:$AN$76,,$AE499), INDEX($AO$72:$AU$76,,$AD499), 1 / ($AV$72:$AV$76*CE499 + (1-$AV$72:$AV$76)*CA499), N($AK$72:$AK$76&gt;$AI499)),
SUMPRODUCT(INDEX($AL$67:$AN$76,,$AE499), INDEX($AO$67:$AU$76,,$AD499), 1 / ($AW$67:$AW$76*CE499 + (1-$AW$67:$AW$76)*CA499), N($AK$67:$AK$76&gt;$AI499))
) / 1000</f>
        <v>0</v>
      </c>
      <c r="CG499" s="250">
        <f t="shared" si="561"/>
        <v>25</v>
      </c>
      <c r="CH499" s="237">
        <f t="shared" si="546"/>
        <v>38</v>
      </c>
      <c r="CI499" s="253">
        <f t="shared" si="547"/>
        <v>4.0666935483870965</v>
      </c>
      <c r="CJ499" s="253" cm="1">
        <f t="array" ref="CJ499">$BC499 * IF($AD499&lt;=2,
SUMPRODUCT(INDEX($AL$67:$AN$71,,$AE499), INDEX($AO$67:$AU$71,,$AD499), 1 / ($AV$67:$AV$71*CI499 + (1-$AV$67:$AV$71)*CE499), N($AK$67:$AK$71&gt;$AI499)),
SUMPRODUCT(INDEX($AL$57:$AN$66,,$AE499), INDEX($AO$57:$AU$66,,$AD499), 1 / ($AW$57:$AW$66*CI499 + (1-$AW$57:$AW$66)*CE499), N($AK$57:$AK$66&gt;$AI499))
) / 1000</f>
        <v>0</v>
      </c>
      <c r="CK499" s="250">
        <f t="shared" si="562"/>
        <v>20</v>
      </c>
      <c r="CL499" s="237">
        <f t="shared" si="548"/>
        <v>33</v>
      </c>
      <c r="CM499" s="253">
        <f t="shared" si="549"/>
        <v>4.8487499999999999</v>
      </c>
      <c r="CN499" s="253" cm="1">
        <f t="array" ref="CN499">$BC499 * IF($AD499&lt;=2,
SUMPRODUCT(INDEX($AL$62:$AN$66,,$AE499), INDEX($AO$62:$AU$66,,$AD499), 1 / ($AV$62:$AV$66*CM499 + (1-$AV$62:$AV$66)*CI499), N($AK$62:$AK$66&gt;$AI499)),
SUMPRODUCT(INDEX($AL$47:$AN$56,,$AE499), INDEX($AO$47:$AU$56,,$AD499), 1 / ($AW$47:$AW$56*CM499 + (1-$AW$47:$AW$56)*CI499), N($AK$47:$AK$56&gt;$AI499))
) / 1000</f>
        <v>0</v>
      </c>
      <c r="CO499" s="253" cm="1">
        <f t="array" ref="CO499">$BC499 * IF($AD499&lt;=2,
SUMPRODUCT(INDEX($AL$23:$AN$61,,$AE499), INDEX($AO$23:$AU$61,,$AD499), 1 / ($AV$23:$AV$61*CM499), N($AK$23:$AK$61&gt;$AI499)),
SUMPRODUCT(INDEX($AL$23:$AN$46,,$AE499), INDEX($AO$23:$AU$46,,$AD499), 1 / ($AW$23:$AW$46*CM499), N($AK$23:$AK$46&gt;$AI499))
) / 1000</f>
        <v>0</v>
      </c>
      <c r="CP499" s="237">
        <f t="shared" si="550"/>
        <v>0</v>
      </c>
      <c r="CQ499" s="210"/>
    </row>
    <row r="500" spans="1:95" s="76" customFormat="1" ht="14.25" customHeight="1" x14ac:dyDescent="0.2">
      <c r="A500" s="238" t="b">
        <f t="shared" si="554"/>
        <v>0</v>
      </c>
      <c r="B500" s="239">
        <v>478</v>
      </c>
      <c r="C500" s="258"/>
      <c r="D500" s="258"/>
      <c r="E500" s="240"/>
      <c r="F500" s="241" t="str">
        <f>IF(ISBLANK(E500), "", VLOOKUP(E500, Z!$A$2:$C$4127, 3, FALSE))</f>
        <v/>
      </c>
      <c r="G500" s="242"/>
      <c r="H500" s="242"/>
      <c r="I500" s="243"/>
      <c r="J500" s="244"/>
      <c r="K500" s="259"/>
      <c r="L500" s="260"/>
      <c r="M500" s="247" t="str" cm="1">
        <f t="array" ref="M500">IF($K500&gt;0, INDEX(Clean,1+AG500,$C$1), "")</f>
        <v/>
      </c>
      <c r="N500" s="245"/>
      <c r="O500" s="245"/>
      <c r="P500" s="246"/>
      <c r="Q500" s="248">
        <f t="shared" si="527"/>
        <v>0</v>
      </c>
      <c r="R500" s="247" t="str" cm="1">
        <f t="array" ref="R500">IF($K500&gt;0, INDEX(Clean,1+AH500,$C$1), "")</f>
        <v/>
      </c>
      <c r="S500" s="245"/>
      <c r="T500" s="245"/>
      <c r="U500" s="246"/>
      <c r="V500" s="248">
        <f t="shared" si="528"/>
        <v>0</v>
      </c>
      <c r="W500" s="261"/>
      <c r="X500" s="258"/>
      <c r="Y500" s="240"/>
      <c r="Z500" s="241" t="str">
        <f>IF(ISBLANK(Y500), "", VLOOKUP(Y500, Z!$A$2:$C$4127, 3, FALSE))</f>
        <v/>
      </c>
      <c r="AA500" s="262"/>
      <c r="AB500" s="249">
        <f t="shared" si="563"/>
        <v>0</v>
      </c>
      <c r="AC500" s="210"/>
      <c r="AD500" s="236">
        <f t="shared" si="551"/>
        <v>1</v>
      </c>
      <c r="AE500" s="236">
        <f t="shared" si="552"/>
        <v>1</v>
      </c>
      <c r="AF500" s="236">
        <f t="shared" si="553"/>
        <v>0</v>
      </c>
      <c r="AG500" s="236">
        <v>1</v>
      </c>
      <c r="AH500" s="236">
        <v>0</v>
      </c>
      <c r="AI500" s="236">
        <f t="shared" si="529"/>
        <v>-100</v>
      </c>
      <c r="AJ500" s="210"/>
      <c r="AK500" s="254"/>
      <c r="AL500" s="254"/>
      <c r="AM500" s="255"/>
      <c r="AN500" s="255"/>
      <c r="AO500" s="255"/>
      <c r="AP500" s="255"/>
      <c r="AQ500" s="255"/>
      <c r="AR500" s="255"/>
      <c r="AS500" s="255"/>
      <c r="AT500" s="255"/>
      <c r="AU500" s="255"/>
      <c r="AV500" s="255"/>
      <c r="AW500" s="255"/>
      <c r="AX500" s="210"/>
      <c r="AY500" s="236" cm="1">
        <f t="array" ref="AY500">INDEX(Use, $AD500, 4)</f>
        <v>7</v>
      </c>
      <c r="AZ500" s="236">
        <f t="shared" si="530"/>
        <v>32</v>
      </c>
      <c r="BA500" s="236">
        <f t="shared" si="555"/>
        <v>13</v>
      </c>
      <c r="BB500" s="236">
        <f t="shared" si="556"/>
        <v>0</v>
      </c>
      <c r="BC500" s="252" cm="1">
        <f t="array" ref="BC500">K500/IF($L500&gt;0, INDEX($AO$23:$AU$77, $L500+20, $AD500), 1)</f>
        <v>0</v>
      </c>
      <c r="BD500" s="237">
        <f t="shared" si="531"/>
        <v>0</v>
      </c>
      <c r="BE500" s="236">
        <v>35</v>
      </c>
      <c r="BF500" s="237">
        <f t="shared" si="532"/>
        <v>52.55</v>
      </c>
      <c r="BG500" s="253">
        <f t="shared" si="533"/>
        <v>2.7676728869374316</v>
      </c>
      <c r="BH500" s="253" cm="1">
        <f t="array" ref="BH500">$BC500 * SUMPRODUCT(INDEX($AL$77:$AN$82,,$AE500),INDEX($AO$77:$AU$82,,$AD500), N($AK$77:$AK$82&gt;$AI500)) / BG500 / 1000</f>
        <v>0</v>
      </c>
      <c r="BI500" s="250">
        <f t="shared" si="557"/>
        <v>30</v>
      </c>
      <c r="BJ500" s="237">
        <f t="shared" si="534"/>
        <v>46.033333333333331</v>
      </c>
      <c r="BK500" s="253">
        <f t="shared" si="535"/>
        <v>3.2297395388556791</v>
      </c>
      <c r="BL500" s="253" cm="1">
        <f t="array" ref="BL500">$BC500 * IF($AD500&lt;=2,
SUMPRODUCT(INDEX($AL$72:$AN$76,,$AE500), INDEX($AO$72:$AU$76,,$AD500), 1 / ($AV$72:$AV$76*BK500 + (1-$AV$72:$AV$76)*BG500), N($AK$72:$AK$76&gt;$AI500)),
SUMPRODUCT(INDEX($AL$67:$AN$76,,$AE500), INDEX($AO$67:$AU$76,,$AD500), 1 / ($AW$67:$AW$76*BK500 + (1-$AW$67:$AW$76)*BG500), N($AK$67:$AK$76&gt;$AI500))
) / 1000</f>
        <v>0</v>
      </c>
      <c r="BM500" s="250">
        <f t="shared" si="558"/>
        <v>25</v>
      </c>
      <c r="BN500" s="237">
        <f t="shared" si="536"/>
        <v>39.516666666666666</v>
      </c>
      <c r="BO500" s="253">
        <f t="shared" si="537"/>
        <v>3.877011788826243</v>
      </c>
      <c r="BP500" s="253" cm="1">
        <f t="array" ref="BP500">$BC500 * IF($AD500&lt;=2,
SUMPRODUCT(INDEX($AL$67:$AN$71,,$AE500), INDEX($AO$67:$AU$71,,$AD500), 1 / ($AV$67:$AV$71*BO500 + (1-$AV$67:$AV$71)*BK500), N($AK$67:$AK$71&gt;$AI500)),
SUMPRODUCT(INDEX($AL$57:$AN$66,,$AE500), INDEX($AO$57:$AU$66,,$AD500), 1 / ($AW$57:$AW$66*BO500 + (1-$AW$57:$AW$66)*BK500), N($AK$57:$AK$66&gt;$AI500))
) / 1000</f>
        <v>0</v>
      </c>
      <c r="BQ500" s="250">
        <f t="shared" si="559"/>
        <v>20</v>
      </c>
      <c r="BR500" s="237">
        <f t="shared" si="538"/>
        <v>33</v>
      </c>
      <c r="BS500" s="253">
        <f t="shared" si="539"/>
        <v>4.8487499999999999</v>
      </c>
      <c r="BT500" s="253" cm="1">
        <f t="array" ref="BT500">$BC500 * IF($AD500&lt;=2,
SUMPRODUCT(INDEX($AL$62:$AN$66,,$AE500), INDEX($AO$62:$AU$66,,$AD500), 1 / ($AV$62:$AV$66*BS500 + (1-$AV$62:$AV$66)*BO500), N($AK$62:$AK$66&gt;$AI500)),
SUMPRODUCT(INDEX($AL$47:$AN$56,,$AE500), INDEX($AO$47:$AU$56,,$AD500), 1 / ($AW$47:$AW$56*BS500 + (1-$AW$47:$AW$56)*BO500), N($AK$47:$AK$56&gt;$AI500))
) / 1000</f>
        <v>0</v>
      </c>
      <c r="BU500" s="253" cm="1">
        <f t="array" ref="BU500">$BC500 * IF($AD500&lt;=2,
SUMPRODUCT(INDEX($AL$23:$AN$61,,$AE500), INDEX($AO$23:$AU$61,,$AD500), 1 / ($AV$23:$AV$61*BS500), N($AK$23:$AK$61&gt;$AI500)),
SUMPRODUCT(INDEX($AL$23:$AN$46,,$AE500), INDEX($AO$23:$AU$46,,$AD500), 1 / ($AW$23:$AW$46*BS500), N($AK$23:$AK$46&gt;$AI500))
) / 1000</f>
        <v>0</v>
      </c>
      <c r="BV500" s="237">
        <f t="shared" si="540"/>
        <v>0</v>
      </c>
      <c r="BW500" s="210"/>
      <c r="BX500" s="237">
        <f t="shared" si="541"/>
        <v>0</v>
      </c>
      <c r="BY500" s="236">
        <v>35</v>
      </c>
      <c r="BZ500" s="237">
        <f t="shared" si="542"/>
        <v>48</v>
      </c>
      <c r="CA500" s="253">
        <f t="shared" si="543"/>
        <v>3.0748170731707316</v>
      </c>
      <c r="CB500" s="253" cm="1">
        <f t="array" ref="CB500">$BC500 * SUMPRODUCT(INDEX($AL$77:$AN$82,,$AE500),INDEX($AO$77:$AU$82,,$AD500), N($AK$77:$AK$82&gt;$AI500)) / CA500 / 1000</f>
        <v>0</v>
      </c>
      <c r="CC500" s="250">
        <f t="shared" si="560"/>
        <v>30</v>
      </c>
      <c r="CD500" s="237">
        <f t="shared" si="544"/>
        <v>43</v>
      </c>
      <c r="CE500" s="253">
        <f t="shared" si="545"/>
        <v>3.5018750000000001</v>
      </c>
      <c r="CF500" s="253" cm="1">
        <f t="array" ref="CF500">$BC500 * IF($AD500&lt;=2,
SUMPRODUCT(INDEX($AL$72:$AN$76,,$AE500), INDEX($AO$72:$AU$76,,$AD500), 1 / ($AV$72:$AV$76*CE500 + (1-$AV$72:$AV$76)*CA500), N($AK$72:$AK$76&gt;$AI500)),
SUMPRODUCT(INDEX($AL$67:$AN$76,,$AE500), INDEX($AO$67:$AU$76,,$AD500), 1 / ($AW$67:$AW$76*CE500 + (1-$AW$67:$AW$76)*CA500), N($AK$67:$AK$76&gt;$AI500))
) / 1000</f>
        <v>0</v>
      </c>
      <c r="CG500" s="250">
        <f t="shared" si="561"/>
        <v>25</v>
      </c>
      <c r="CH500" s="237">
        <f t="shared" si="546"/>
        <v>38</v>
      </c>
      <c r="CI500" s="253">
        <f t="shared" si="547"/>
        <v>4.0666935483870965</v>
      </c>
      <c r="CJ500" s="253" cm="1">
        <f t="array" ref="CJ500">$BC500 * IF($AD500&lt;=2,
SUMPRODUCT(INDEX($AL$67:$AN$71,,$AE500), INDEX($AO$67:$AU$71,,$AD500), 1 / ($AV$67:$AV$71*CI500 + (1-$AV$67:$AV$71)*CE500), N($AK$67:$AK$71&gt;$AI500)),
SUMPRODUCT(INDEX($AL$57:$AN$66,,$AE500), INDEX($AO$57:$AU$66,,$AD500), 1 / ($AW$57:$AW$66*CI500 + (1-$AW$57:$AW$66)*CE500), N($AK$57:$AK$66&gt;$AI500))
) / 1000</f>
        <v>0</v>
      </c>
      <c r="CK500" s="250">
        <f t="shared" si="562"/>
        <v>20</v>
      </c>
      <c r="CL500" s="237">
        <f t="shared" si="548"/>
        <v>33</v>
      </c>
      <c r="CM500" s="253">
        <f t="shared" si="549"/>
        <v>4.8487499999999999</v>
      </c>
      <c r="CN500" s="253" cm="1">
        <f t="array" ref="CN500">$BC500 * IF($AD500&lt;=2,
SUMPRODUCT(INDEX($AL$62:$AN$66,,$AE500), INDEX($AO$62:$AU$66,,$AD500), 1 / ($AV$62:$AV$66*CM500 + (1-$AV$62:$AV$66)*CI500), N($AK$62:$AK$66&gt;$AI500)),
SUMPRODUCT(INDEX($AL$47:$AN$56,,$AE500), INDEX($AO$47:$AU$56,,$AD500), 1 / ($AW$47:$AW$56*CM500 + (1-$AW$47:$AW$56)*CI500), N($AK$47:$AK$56&gt;$AI500))
) / 1000</f>
        <v>0</v>
      </c>
      <c r="CO500" s="253" cm="1">
        <f t="array" ref="CO500">$BC500 * IF($AD500&lt;=2,
SUMPRODUCT(INDEX($AL$23:$AN$61,,$AE500), INDEX($AO$23:$AU$61,,$AD500), 1 / ($AV$23:$AV$61*CM500), N($AK$23:$AK$61&gt;$AI500)),
SUMPRODUCT(INDEX($AL$23:$AN$46,,$AE500), INDEX($AO$23:$AU$46,,$AD500), 1 / ($AW$23:$AW$46*CM500), N($AK$23:$AK$46&gt;$AI500))
) / 1000</f>
        <v>0</v>
      </c>
      <c r="CP500" s="237">
        <f t="shared" si="550"/>
        <v>0</v>
      </c>
      <c r="CQ500" s="210"/>
    </row>
    <row r="501" spans="1:95" s="76" customFormat="1" ht="14.25" customHeight="1" x14ac:dyDescent="0.2">
      <c r="A501" s="238" t="b">
        <f t="shared" si="554"/>
        <v>0</v>
      </c>
      <c r="B501" s="239">
        <v>479</v>
      </c>
      <c r="C501" s="258"/>
      <c r="D501" s="258"/>
      <c r="E501" s="240"/>
      <c r="F501" s="241" t="str">
        <f>IF(ISBLANK(E501), "", VLOOKUP(E501, Z!$A$2:$C$4127, 3, FALSE))</f>
        <v/>
      </c>
      <c r="G501" s="242"/>
      <c r="H501" s="242"/>
      <c r="I501" s="243"/>
      <c r="J501" s="244"/>
      <c r="K501" s="259"/>
      <c r="L501" s="260"/>
      <c r="M501" s="247" t="str" cm="1">
        <f t="array" ref="M501">IF($K501&gt;0, INDEX(Clean,1+AG501,$C$1), "")</f>
        <v/>
      </c>
      <c r="N501" s="245"/>
      <c r="O501" s="245"/>
      <c r="P501" s="246"/>
      <c r="Q501" s="248">
        <f t="shared" si="527"/>
        <v>0</v>
      </c>
      <c r="R501" s="247" t="str" cm="1">
        <f t="array" ref="R501">IF($K501&gt;0, INDEX(Clean,1+AH501,$C$1), "")</f>
        <v/>
      </c>
      <c r="S501" s="245"/>
      <c r="T501" s="245"/>
      <c r="U501" s="246"/>
      <c r="V501" s="248">
        <f t="shared" si="528"/>
        <v>0</v>
      </c>
      <c r="W501" s="261"/>
      <c r="X501" s="258"/>
      <c r="Y501" s="240"/>
      <c r="Z501" s="241" t="str">
        <f>IF(ISBLANK(Y501), "", VLOOKUP(Y501, Z!$A$2:$C$4127, 3, FALSE))</f>
        <v/>
      </c>
      <c r="AA501" s="262"/>
      <c r="AB501" s="249">
        <f t="shared" si="563"/>
        <v>0</v>
      </c>
      <c r="AC501" s="210"/>
      <c r="AD501" s="236">
        <f t="shared" si="551"/>
        <v>1</v>
      </c>
      <c r="AE501" s="236">
        <f t="shared" si="552"/>
        <v>1</v>
      </c>
      <c r="AF501" s="236">
        <f t="shared" si="553"/>
        <v>0</v>
      </c>
      <c r="AG501" s="236">
        <v>1</v>
      </c>
      <c r="AH501" s="236">
        <v>0</v>
      </c>
      <c r="AI501" s="236">
        <f t="shared" si="529"/>
        <v>-100</v>
      </c>
      <c r="AJ501" s="210"/>
      <c r="AK501" s="254"/>
      <c r="AL501" s="254"/>
      <c r="AM501" s="255"/>
      <c r="AN501" s="255"/>
      <c r="AO501" s="255"/>
      <c r="AP501" s="255"/>
      <c r="AQ501" s="255"/>
      <c r="AR501" s="255"/>
      <c r="AS501" s="255"/>
      <c r="AT501" s="255"/>
      <c r="AU501" s="255"/>
      <c r="AV501" s="255"/>
      <c r="AW501" s="255"/>
      <c r="AX501" s="210"/>
      <c r="AY501" s="236" cm="1">
        <f t="array" ref="AY501">INDEX(Use, $AD501, 4)</f>
        <v>7</v>
      </c>
      <c r="AZ501" s="236">
        <f t="shared" si="530"/>
        <v>32</v>
      </c>
      <c r="BA501" s="236">
        <f t="shared" si="555"/>
        <v>13</v>
      </c>
      <c r="BB501" s="236">
        <f t="shared" si="556"/>
        <v>0</v>
      </c>
      <c r="BC501" s="252" cm="1">
        <f t="array" ref="BC501">K501/IF($L501&gt;0, INDEX($AO$23:$AU$77, $L501+20, $AD501), 1)</f>
        <v>0</v>
      </c>
      <c r="BD501" s="237">
        <f t="shared" si="531"/>
        <v>0</v>
      </c>
      <c r="BE501" s="236">
        <v>35</v>
      </c>
      <c r="BF501" s="237">
        <f t="shared" si="532"/>
        <v>52.55</v>
      </c>
      <c r="BG501" s="253">
        <f t="shared" si="533"/>
        <v>2.7676728869374316</v>
      </c>
      <c r="BH501" s="253" cm="1">
        <f t="array" ref="BH501">$BC501 * SUMPRODUCT(INDEX($AL$77:$AN$82,,$AE501),INDEX($AO$77:$AU$82,,$AD501), N($AK$77:$AK$82&gt;$AI501)) / BG501 / 1000</f>
        <v>0</v>
      </c>
      <c r="BI501" s="250">
        <f t="shared" si="557"/>
        <v>30</v>
      </c>
      <c r="BJ501" s="237">
        <f t="shared" si="534"/>
        <v>46.033333333333331</v>
      </c>
      <c r="BK501" s="253">
        <f t="shared" si="535"/>
        <v>3.2297395388556791</v>
      </c>
      <c r="BL501" s="253" cm="1">
        <f t="array" ref="BL501">$BC501 * IF($AD501&lt;=2,
SUMPRODUCT(INDEX($AL$72:$AN$76,,$AE501), INDEX($AO$72:$AU$76,,$AD501), 1 / ($AV$72:$AV$76*BK501 + (1-$AV$72:$AV$76)*BG501), N($AK$72:$AK$76&gt;$AI501)),
SUMPRODUCT(INDEX($AL$67:$AN$76,,$AE501), INDEX($AO$67:$AU$76,,$AD501), 1 / ($AW$67:$AW$76*BK501 + (1-$AW$67:$AW$76)*BG501), N($AK$67:$AK$76&gt;$AI501))
) / 1000</f>
        <v>0</v>
      </c>
      <c r="BM501" s="250">
        <f t="shared" si="558"/>
        <v>25</v>
      </c>
      <c r="BN501" s="237">
        <f t="shared" si="536"/>
        <v>39.516666666666666</v>
      </c>
      <c r="BO501" s="253">
        <f t="shared" si="537"/>
        <v>3.877011788826243</v>
      </c>
      <c r="BP501" s="253" cm="1">
        <f t="array" ref="BP501">$BC501 * IF($AD501&lt;=2,
SUMPRODUCT(INDEX($AL$67:$AN$71,,$AE501), INDEX($AO$67:$AU$71,,$AD501), 1 / ($AV$67:$AV$71*BO501 + (1-$AV$67:$AV$71)*BK501), N($AK$67:$AK$71&gt;$AI501)),
SUMPRODUCT(INDEX($AL$57:$AN$66,,$AE501), INDEX($AO$57:$AU$66,,$AD501), 1 / ($AW$57:$AW$66*BO501 + (1-$AW$57:$AW$66)*BK501), N($AK$57:$AK$66&gt;$AI501))
) / 1000</f>
        <v>0</v>
      </c>
      <c r="BQ501" s="250">
        <f t="shared" si="559"/>
        <v>20</v>
      </c>
      <c r="BR501" s="237">
        <f t="shared" si="538"/>
        <v>33</v>
      </c>
      <c r="BS501" s="253">
        <f t="shared" si="539"/>
        <v>4.8487499999999999</v>
      </c>
      <c r="BT501" s="253" cm="1">
        <f t="array" ref="BT501">$BC501 * IF($AD501&lt;=2,
SUMPRODUCT(INDEX($AL$62:$AN$66,,$AE501), INDEX($AO$62:$AU$66,,$AD501), 1 / ($AV$62:$AV$66*BS501 + (1-$AV$62:$AV$66)*BO501), N($AK$62:$AK$66&gt;$AI501)),
SUMPRODUCT(INDEX($AL$47:$AN$56,,$AE501), INDEX($AO$47:$AU$56,,$AD501), 1 / ($AW$47:$AW$56*BS501 + (1-$AW$47:$AW$56)*BO501), N($AK$47:$AK$56&gt;$AI501))
) / 1000</f>
        <v>0</v>
      </c>
      <c r="BU501" s="253" cm="1">
        <f t="array" ref="BU501">$BC501 * IF($AD501&lt;=2,
SUMPRODUCT(INDEX($AL$23:$AN$61,,$AE501), INDEX($AO$23:$AU$61,,$AD501), 1 / ($AV$23:$AV$61*BS501), N($AK$23:$AK$61&gt;$AI501)),
SUMPRODUCT(INDEX($AL$23:$AN$46,,$AE501), INDEX($AO$23:$AU$46,,$AD501), 1 / ($AW$23:$AW$46*BS501), N($AK$23:$AK$46&gt;$AI501))
) / 1000</f>
        <v>0</v>
      </c>
      <c r="BV501" s="237">
        <f t="shared" si="540"/>
        <v>0</v>
      </c>
      <c r="BW501" s="210"/>
      <c r="BX501" s="237">
        <f t="shared" si="541"/>
        <v>0</v>
      </c>
      <c r="BY501" s="236">
        <v>35</v>
      </c>
      <c r="BZ501" s="237">
        <f t="shared" si="542"/>
        <v>48</v>
      </c>
      <c r="CA501" s="253">
        <f t="shared" si="543"/>
        <v>3.0748170731707316</v>
      </c>
      <c r="CB501" s="253" cm="1">
        <f t="array" ref="CB501">$BC501 * SUMPRODUCT(INDEX($AL$77:$AN$82,,$AE501),INDEX($AO$77:$AU$82,,$AD501), N($AK$77:$AK$82&gt;$AI501)) / CA501 / 1000</f>
        <v>0</v>
      </c>
      <c r="CC501" s="250">
        <f t="shared" si="560"/>
        <v>30</v>
      </c>
      <c r="CD501" s="237">
        <f t="shared" si="544"/>
        <v>43</v>
      </c>
      <c r="CE501" s="253">
        <f t="shared" si="545"/>
        <v>3.5018750000000001</v>
      </c>
      <c r="CF501" s="253" cm="1">
        <f t="array" ref="CF501">$BC501 * IF($AD501&lt;=2,
SUMPRODUCT(INDEX($AL$72:$AN$76,,$AE501), INDEX($AO$72:$AU$76,,$AD501), 1 / ($AV$72:$AV$76*CE501 + (1-$AV$72:$AV$76)*CA501), N($AK$72:$AK$76&gt;$AI501)),
SUMPRODUCT(INDEX($AL$67:$AN$76,,$AE501), INDEX($AO$67:$AU$76,,$AD501), 1 / ($AW$67:$AW$76*CE501 + (1-$AW$67:$AW$76)*CA501), N($AK$67:$AK$76&gt;$AI501))
) / 1000</f>
        <v>0</v>
      </c>
      <c r="CG501" s="250">
        <f t="shared" si="561"/>
        <v>25</v>
      </c>
      <c r="CH501" s="237">
        <f t="shared" si="546"/>
        <v>38</v>
      </c>
      <c r="CI501" s="253">
        <f t="shared" si="547"/>
        <v>4.0666935483870965</v>
      </c>
      <c r="CJ501" s="253" cm="1">
        <f t="array" ref="CJ501">$BC501 * IF($AD501&lt;=2,
SUMPRODUCT(INDEX($AL$67:$AN$71,,$AE501), INDEX($AO$67:$AU$71,,$AD501), 1 / ($AV$67:$AV$71*CI501 + (1-$AV$67:$AV$71)*CE501), N($AK$67:$AK$71&gt;$AI501)),
SUMPRODUCT(INDEX($AL$57:$AN$66,,$AE501), INDEX($AO$57:$AU$66,,$AD501), 1 / ($AW$57:$AW$66*CI501 + (1-$AW$57:$AW$66)*CE501), N($AK$57:$AK$66&gt;$AI501))
) / 1000</f>
        <v>0</v>
      </c>
      <c r="CK501" s="250">
        <f t="shared" si="562"/>
        <v>20</v>
      </c>
      <c r="CL501" s="237">
        <f t="shared" si="548"/>
        <v>33</v>
      </c>
      <c r="CM501" s="253">
        <f t="shared" si="549"/>
        <v>4.8487499999999999</v>
      </c>
      <c r="CN501" s="253" cm="1">
        <f t="array" ref="CN501">$BC501 * IF($AD501&lt;=2,
SUMPRODUCT(INDEX($AL$62:$AN$66,,$AE501), INDEX($AO$62:$AU$66,,$AD501), 1 / ($AV$62:$AV$66*CM501 + (1-$AV$62:$AV$66)*CI501), N($AK$62:$AK$66&gt;$AI501)),
SUMPRODUCT(INDEX($AL$47:$AN$56,,$AE501), INDEX($AO$47:$AU$56,,$AD501), 1 / ($AW$47:$AW$56*CM501 + (1-$AW$47:$AW$56)*CI501), N($AK$47:$AK$56&gt;$AI501))
) / 1000</f>
        <v>0</v>
      </c>
      <c r="CO501" s="253" cm="1">
        <f t="array" ref="CO501">$BC501 * IF($AD501&lt;=2,
SUMPRODUCT(INDEX($AL$23:$AN$61,,$AE501), INDEX($AO$23:$AU$61,,$AD501), 1 / ($AV$23:$AV$61*CM501), N($AK$23:$AK$61&gt;$AI501)),
SUMPRODUCT(INDEX($AL$23:$AN$46,,$AE501), INDEX($AO$23:$AU$46,,$AD501), 1 / ($AW$23:$AW$46*CM501), N($AK$23:$AK$46&gt;$AI501))
) / 1000</f>
        <v>0</v>
      </c>
      <c r="CP501" s="237">
        <f t="shared" si="550"/>
        <v>0</v>
      </c>
      <c r="CQ501" s="210"/>
    </row>
    <row r="502" spans="1:95" s="76" customFormat="1" ht="14.25" customHeight="1" x14ac:dyDescent="0.2">
      <c r="A502" s="238" t="b">
        <f t="shared" si="554"/>
        <v>0</v>
      </c>
      <c r="B502" s="239">
        <v>480</v>
      </c>
      <c r="C502" s="258"/>
      <c r="D502" s="258"/>
      <c r="E502" s="240"/>
      <c r="F502" s="241" t="str">
        <f>IF(ISBLANK(E502), "", VLOOKUP(E502, Z!$A$2:$C$4127, 3, FALSE))</f>
        <v/>
      </c>
      <c r="G502" s="242"/>
      <c r="H502" s="242"/>
      <c r="I502" s="243"/>
      <c r="J502" s="244"/>
      <c r="K502" s="259"/>
      <c r="L502" s="260"/>
      <c r="M502" s="247" t="str" cm="1">
        <f t="array" ref="M502">IF($K502&gt;0, INDEX(Clean,1+AG502,$C$1), "")</f>
        <v/>
      </c>
      <c r="N502" s="245"/>
      <c r="O502" s="245"/>
      <c r="P502" s="246"/>
      <c r="Q502" s="248">
        <f t="shared" si="527"/>
        <v>0</v>
      </c>
      <c r="R502" s="247" t="str" cm="1">
        <f t="array" ref="R502">IF($K502&gt;0, INDEX(Clean,1+AH502,$C$1), "")</f>
        <v/>
      </c>
      <c r="S502" s="245"/>
      <c r="T502" s="245"/>
      <c r="U502" s="246"/>
      <c r="V502" s="248">
        <f t="shared" si="528"/>
        <v>0</v>
      </c>
      <c r="W502" s="261"/>
      <c r="X502" s="258"/>
      <c r="Y502" s="240"/>
      <c r="Z502" s="241" t="str">
        <f>IF(ISBLANK(Y502), "", VLOOKUP(Y502, Z!$A$2:$C$4127, 3, FALSE))</f>
        <v/>
      </c>
      <c r="AA502" s="262"/>
      <c r="AB502" s="249">
        <f t="shared" si="563"/>
        <v>0</v>
      </c>
      <c r="AC502" s="210"/>
      <c r="AD502" s="236">
        <f t="shared" si="551"/>
        <v>1</v>
      </c>
      <c r="AE502" s="236">
        <f t="shared" si="552"/>
        <v>1</v>
      </c>
      <c r="AF502" s="236">
        <f t="shared" si="553"/>
        <v>0</v>
      </c>
      <c r="AG502" s="236">
        <v>1</v>
      </c>
      <c r="AH502" s="236">
        <v>0</v>
      </c>
      <c r="AI502" s="236">
        <f t="shared" si="529"/>
        <v>-100</v>
      </c>
      <c r="AJ502" s="210"/>
      <c r="AK502" s="254"/>
      <c r="AL502" s="254"/>
      <c r="AM502" s="255"/>
      <c r="AN502" s="255"/>
      <c r="AO502" s="255"/>
      <c r="AP502" s="255"/>
      <c r="AQ502" s="255"/>
      <c r="AR502" s="255"/>
      <c r="AS502" s="255"/>
      <c r="AT502" s="255"/>
      <c r="AU502" s="255"/>
      <c r="AV502" s="255"/>
      <c r="AW502" s="255"/>
      <c r="AX502" s="210"/>
      <c r="AY502" s="236" cm="1">
        <f t="array" ref="AY502">INDEX(Use, $AD502, 4)</f>
        <v>7</v>
      </c>
      <c r="AZ502" s="236">
        <f t="shared" si="530"/>
        <v>32</v>
      </c>
      <c r="BA502" s="236">
        <f t="shared" si="555"/>
        <v>13</v>
      </c>
      <c r="BB502" s="236">
        <f t="shared" si="556"/>
        <v>0</v>
      </c>
      <c r="BC502" s="252" cm="1">
        <f t="array" ref="BC502">K502/IF($L502&gt;0, INDEX($AO$23:$AU$77, $L502+20, $AD502), 1)</f>
        <v>0</v>
      </c>
      <c r="BD502" s="237">
        <f t="shared" si="531"/>
        <v>0</v>
      </c>
      <c r="BE502" s="236">
        <v>35</v>
      </c>
      <c r="BF502" s="237">
        <f t="shared" si="532"/>
        <v>52.55</v>
      </c>
      <c r="BG502" s="253">
        <f t="shared" si="533"/>
        <v>2.7676728869374316</v>
      </c>
      <c r="BH502" s="253" cm="1">
        <f t="array" ref="BH502">$BC502 * SUMPRODUCT(INDEX($AL$77:$AN$82,,$AE502),INDEX($AO$77:$AU$82,,$AD502), N($AK$77:$AK$82&gt;$AI502)) / BG502 / 1000</f>
        <v>0</v>
      </c>
      <c r="BI502" s="250">
        <f t="shared" si="557"/>
        <v>30</v>
      </c>
      <c r="BJ502" s="237">
        <f t="shared" si="534"/>
        <v>46.033333333333331</v>
      </c>
      <c r="BK502" s="253">
        <f t="shared" si="535"/>
        <v>3.2297395388556791</v>
      </c>
      <c r="BL502" s="253" cm="1">
        <f t="array" ref="BL502">$BC502 * IF($AD502&lt;=2,
SUMPRODUCT(INDEX($AL$72:$AN$76,,$AE502), INDEX($AO$72:$AU$76,,$AD502), 1 / ($AV$72:$AV$76*BK502 + (1-$AV$72:$AV$76)*BG502), N($AK$72:$AK$76&gt;$AI502)),
SUMPRODUCT(INDEX($AL$67:$AN$76,,$AE502), INDEX($AO$67:$AU$76,,$AD502), 1 / ($AW$67:$AW$76*BK502 + (1-$AW$67:$AW$76)*BG502), N($AK$67:$AK$76&gt;$AI502))
) / 1000</f>
        <v>0</v>
      </c>
      <c r="BM502" s="250">
        <f t="shared" si="558"/>
        <v>25</v>
      </c>
      <c r="BN502" s="237">
        <f t="shared" si="536"/>
        <v>39.516666666666666</v>
      </c>
      <c r="BO502" s="253">
        <f t="shared" si="537"/>
        <v>3.877011788826243</v>
      </c>
      <c r="BP502" s="253" cm="1">
        <f t="array" ref="BP502">$BC502 * IF($AD502&lt;=2,
SUMPRODUCT(INDEX($AL$67:$AN$71,,$AE502), INDEX($AO$67:$AU$71,,$AD502), 1 / ($AV$67:$AV$71*BO502 + (1-$AV$67:$AV$71)*BK502), N($AK$67:$AK$71&gt;$AI502)),
SUMPRODUCT(INDEX($AL$57:$AN$66,,$AE502), INDEX($AO$57:$AU$66,,$AD502), 1 / ($AW$57:$AW$66*BO502 + (1-$AW$57:$AW$66)*BK502), N($AK$57:$AK$66&gt;$AI502))
) / 1000</f>
        <v>0</v>
      </c>
      <c r="BQ502" s="250">
        <f t="shared" si="559"/>
        <v>20</v>
      </c>
      <c r="BR502" s="237">
        <f t="shared" si="538"/>
        <v>33</v>
      </c>
      <c r="BS502" s="253">
        <f t="shared" si="539"/>
        <v>4.8487499999999999</v>
      </c>
      <c r="BT502" s="253" cm="1">
        <f t="array" ref="BT502">$BC502 * IF($AD502&lt;=2,
SUMPRODUCT(INDEX($AL$62:$AN$66,,$AE502), INDEX($AO$62:$AU$66,,$AD502), 1 / ($AV$62:$AV$66*BS502 + (1-$AV$62:$AV$66)*BO502), N($AK$62:$AK$66&gt;$AI502)),
SUMPRODUCT(INDEX($AL$47:$AN$56,,$AE502), INDEX($AO$47:$AU$56,,$AD502), 1 / ($AW$47:$AW$56*BS502 + (1-$AW$47:$AW$56)*BO502), N($AK$47:$AK$56&gt;$AI502))
) / 1000</f>
        <v>0</v>
      </c>
      <c r="BU502" s="253" cm="1">
        <f t="array" ref="BU502">$BC502 * IF($AD502&lt;=2,
SUMPRODUCT(INDEX($AL$23:$AN$61,,$AE502), INDEX($AO$23:$AU$61,,$AD502), 1 / ($AV$23:$AV$61*BS502), N($AK$23:$AK$61&gt;$AI502)),
SUMPRODUCT(INDEX($AL$23:$AN$46,,$AE502), INDEX($AO$23:$AU$46,,$AD502), 1 / ($AW$23:$AW$46*BS502), N($AK$23:$AK$46&gt;$AI502))
) / 1000</f>
        <v>0</v>
      </c>
      <c r="BV502" s="237">
        <f t="shared" si="540"/>
        <v>0</v>
      </c>
      <c r="BW502" s="210"/>
      <c r="BX502" s="237">
        <f t="shared" si="541"/>
        <v>0</v>
      </c>
      <c r="BY502" s="236">
        <v>35</v>
      </c>
      <c r="BZ502" s="237">
        <f t="shared" si="542"/>
        <v>48</v>
      </c>
      <c r="CA502" s="253">
        <f t="shared" si="543"/>
        <v>3.0748170731707316</v>
      </c>
      <c r="CB502" s="253" cm="1">
        <f t="array" ref="CB502">$BC502 * SUMPRODUCT(INDEX($AL$77:$AN$82,,$AE502),INDEX($AO$77:$AU$82,,$AD502), N($AK$77:$AK$82&gt;$AI502)) / CA502 / 1000</f>
        <v>0</v>
      </c>
      <c r="CC502" s="250">
        <f t="shared" si="560"/>
        <v>30</v>
      </c>
      <c r="CD502" s="237">
        <f t="shared" si="544"/>
        <v>43</v>
      </c>
      <c r="CE502" s="253">
        <f t="shared" si="545"/>
        <v>3.5018750000000001</v>
      </c>
      <c r="CF502" s="253" cm="1">
        <f t="array" ref="CF502">$BC502 * IF($AD502&lt;=2,
SUMPRODUCT(INDEX($AL$72:$AN$76,,$AE502), INDEX($AO$72:$AU$76,,$AD502), 1 / ($AV$72:$AV$76*CE502 + (1-$AV$72:$AV$76)*CA502), N($AK$72:$AK$76&gt;$AI502)),
SUMPRODUCT(INDEX($AL$67:$AN$76,,$AE502), INDEX($AO$67:$AU$76,,$AD502), 1 / ($AW$67:$AW$76*CE502 + (1-$AW$67:$AW$76)*CA502), N($AK$67:$AK$76&gt;$AI502))
) / 1000</f>
        <v>0</v>
      </c>
      <c r="CG502" s="250">
        <f t="shared" si="561"/>
        <v>25</v>
      </c>
      <c r="CH502" s="237">
        <f t="shared" si="546"/>
        <v>38</v>
      </c>
      <c r="CI502" s="253">
        <f t="shared" si="547"/>
        <v>4.0666935483870965</v>
      </c>
      <c r="CJ502" s="253" cm="1">
        <f t="array" ref="CJ502">$BC502 * IF($AD502&lt;=2,
SUMPRODUCT(INDEX($AL$67:$AN$71,,$AE502), INDEX($AO$67:$AU$71,,$AD502), 1 / ($AV$67:$AV$71*CI502 + (1-$AV$67:$AV$71)*CE502), N($AK$67:$AK$71&gt;$AI502)),
SUMPRODUCT(INDEX($AL$57:$AN$66,,$AE502), INDEX($AO$57:$AU$66,,$AD502), 1 / ($AW$57:$AW$66*CI502 + (1-$AW$57:$AW$66)*CE502), N($AK$57:$AK$66&gt;$AI502))
) / 1000</f>
        <v>0</v>
      </c>
      <c r="CK502" s="250">
        <f t="shared" si="562"/>
        <v>20</v>
      </c>
      <c r="CL502" s="237">
        <f t="shared" si="548"/>
        <v>33</v>
      </c>
      <c r="CM502" s="253">
        <f t="shared" si="549"/>
        <v>4.8487499999999999</v>
      </c>
      <c r="CN502" s="253" cm="1">
        <f t="array" ref="CN502">$BC502 * IF($AD502&lt;=2,
SUMPRODUCT(INDEX($AL$62:$AN$66,,$AE502), INDEX($AO$62:$AU$66,,$AD502), 1 / ($AV$62:$AV$66*CM502 + (1-$AV$62:$AV$66)*CI502), N($AK$62:$AK$66&gt;$AI502)),
SUMPRODUCT(INDEX($AL$47:$AN$56,,$AE502), INDEX($AO$47:$AU$56,,$AD502), 1 / ($AW$47:$AW$56*CM502 + (1-$AW$47:$AW$56)*CI502), N($AK$47:$AK$56&gt;$AI502))
) / 1000</f>
        <v>0</v>
      </c>
      <c r="CO502" s="253" cm="1">
        <f t="array" ref="CO502">$BC502 * IF($AD502&lt;=2,
SUMPRODUCT(INDEX($AL$23:$AN$61,,$AE502), INDEX($AO$23:$AU$61,,$AD502), 1 / ($AV$23:$AV$61*CM502), N($AK$23:$AK$61&gt;$AI502)),
SUMPRODUCT(INDEX($AL$23:$AN$46,,$AE502), INDEX($AO$23:$AU$46,,$AD502), 1 / ($AW$23:$AW$46*CM502), N($AK$23:$AK$46&gt;$AI502))
) / 1000</f>
        <v>0</v>
      </c>
      <c r="CP502" s="237">
        <f t="shared" si="550"/>
        <v>0</v>
      </c>
      <c r="CQ502" s="210"/>
    </row>
    <row r="503" spans="1:95" s="76" customFormat="1" ht="14.25" customHeight="1" x14ac:dyDescent="0.2">
      <c r="A503" s="238" t="b">
        <f t="shared" si="554"/>
        <v>0</v>
      </c>
      <c r="B503" s="239">
        <v>481</v>
      </c>
      <c r="C503" s="258"/>
      <c r="D503" s="258"/>
      <c r="E503" s="240"/>
      <c r="F503" s="241" t="str">
        <f>IF(ISBLANK(E503), "", VLOOKUP(E503, Z!$A$2:$C$4127, 3, FALSE))</f>
        <v/>
      </c>
      <c r="G503" s="242"/>
      <c r="H503" s="242"/>
      <c r="I503" s="243"/>
      <c r="J503" s="244"/>
      <c r="K503" s="259"/>
      <c r="L503" s="260"/>
      <c r="M503" s="247" t="str" cm="1">
        <f t="array" ref="M503">IF($K503&gt;0, INDEX(Clean,1+AG503,$C$1), "")</f>
        <v/>
      </c>
      <c r="N503" s="245"/>
      <c r="O503" s="245"/>
      <c r="P503" s="246"/>
      <c r="Q503" s="248">
        <f t="shared" si="527"/>
        <v>0</v>
      </c>
      <c r="R503" s="247" t="str" cm="1">
        <f t="array" ref="R503">IF($K503&gt;0, INDEX(Clean,1+AH503,$C$1), "")</f>
        <v/>
      </c>
      <c r="S503" s="245"/>
      <c r="T503" s="245"/>
      <c r="U503" s="246"/>
      <c r="V503" s="248">
        <f t="shared" si="528"/>
        <v>0</v>
      </c>
      <c r="W503" s="261"/>
      <c r="X503" s="258"/>
      <c r="Y503" s="240"/>
      <c r="Z503" s="241" t="str">
        <f>IF(ISBLANK(Y503), "", VLOOKUP(Y503, Z!$A$2:$C$4127, 3, FALSE))</f>
        <v/>
      </c>
      <c r="AA503" s="262"/>
      <c r="AB503" s="249">
        <f t="shared" si="563"/>
        <v>0</v>
      </c>
      <c r="AC503" s="210"/>
      <c r="AD503" s="236">
        <f t="shared" si="551"/>
        <v>1</v>
      </c>
      <c r="AE503" s="236">
        <f t="shared" si="552"/>
        <v>1</v>
      </c>
      <c r="AF503" s="236">
        <f t="shared" si="553"/>
        <v>0</v>
      </c>
      <c r="AG503" s="236">
        <v>1</v>
      </c>
      <c r="AH503" s="236">
        <v>0</v>
      </c>
      <c r="AI503" s="236">
        <f t="shared" si="529"/>
        <v>-100</v>
      </c>
      <c r="AJ503" s="210"/>
      <c r="AK503" s="254"/>
      <c r="AL503" s="254"/>
      <c r="AM503" s="255"/>
      <c r="AN503" s="255"/>
      <c r="AO503" s="255"/>
      <c r="AP503" s="255"/>
      <c r="AQ503" s="255"/>
      <c r="AR503" s="255"/>
      <c r="AS503" s="255"/>
      <c r="AT503" s="255"/>
      <c r="AU503" s="255"/>
      <c r="AV503" s="255"/>
      <c r="AW503" s="255"/>
      <c r="AX503" s="210"/>
      <c r="AY503" s="236" cm="1">
        <f t="array" ref="AY503">INDEX(Use, $AD503, 4)</f>
        <v>7</v>
      </c>
      <c r="AZ503" s="236">
        <f t="shared" si="530"/>
        <v>32</v>
      </c>
      <c r="BA503" s="236">
        <f t="shared" si="555"/>
        <v>13</v>
      </c>
      <c r="BB503" s="236">
        <f t="shared" si="556"/>
        <v>0</v>
      </c>
      <c r="BC503" s="252" cm="1">
        <f t="array" ref="BC503">K503/IF($L503&gt;0, INDEX($AO$23:$AU$77, $L503+20, $AD503), 1)</f>
        <v>0</v>
      </c>
      <c r="BD503" s="237">
        <f t="shared" si="531"/>
        <v>0</v>
      </c>
      <c r="BE503" s="236">
        <v>35</v>
      </c>
      <c r="BF503" s="237">
        <f t="shared" si="532"/>
        <v>52.55</v>
      </c>
      <c r="BG503" s="253">
        <f t="shared" si="533"/>
        <v>2.7676728869374316</v>
      </c>
      <c r="BH503" s="253" cm="1">
        <f t="array" ref="BH503">$BC503 * SUMPRODUCT(INDEX($AL$77:$AN$82,,$AE503),INDEX($AO$77:$AU$82,,$AD503), N($AK$77:$AK$82&gt;$AI503)) / BG503 / 1000</f>
        <v>0</v>
      </c>
      <c r="BI503" s="250">
        <f t="shared" si="557"/>
        <v>30</v>
      </c>
      <c r="BJ503" s="237">
        <f t="shared" si="534"/>
        <v>46.033333333333331</v>
      </c>
      <c r="BK503" s="253">
        <f t="shared" si="535"/>
        <v>3.2297395388556791</v>
      </c>
      <c r="BL503" s="253" cm="1">
        <f t="array" ref="BL503">$BC503 * IF($AD503&lt;=2,
SUMPRODUCT(INDEX($AL$72:$AN$76,,$AE503), INDEX($AO$72:$AU$76,,$AD503), 1 / ($AV$72:$AV$76*BK503 + (1-$AV$72:$AV$76)*BG503), N($AK$72:$AK$76&gt;$AI503)),
SUMPRODUCT(INDEX($AL$67:$AN$76,,$AE503), INDEX($AO$67:$AU$76,,$AD503), 1 / ($AW$67:$AW$76*BK503 + (1-$AW$67:$AW$76)*BG503), N($AK$67:$AK$76&gt;$AI503))
) / 1000</f>
        <v>0</v>
      </c>
      <c r="BM503" s="250">
        <f t="shared" si="558"/>
        <v>25</v>
      </c>
      <c r="BN503" s="237">
        <f t="shared" si="536"/>
        <v>39.516666666666666</v>
      </c>
      <c r="BO503" s="253">
        <f t="shared" si="537"/>
        <v>3.877011788826243</v>
      </c>
      <c r="BP503" s="253" cm="1">
        <f t="array" ref="BP503">$BC503 * IF($AD503&lt;=2,
SUMPRODUCT(INDEX($AL$67:$AN$71,,$AE503), INDEX($AO$67:$AU$71,,$AD503), 1 / ($AV$67:$AV$71*BO503 + (1-$AV$67:$AV$71)*BK503), N($AK$67:$AK$71&gt;$AI503)),
SUMPRODUCT(INDEX($AL$57:$AN$66,,$AE503), INDEX($AO$57:$AU$66,,$AD503), 1 / ($AW$57:$AW$66*BO503 + (1-$AW$57:$AW$66)*BK503), N($AK$57:$AK$66&gt;$AI503))
) / 1000</f>
        <v>0</v>
      </c>
      <c r="BQ503" s="250">
        <f t="shared" si="559"/>
        <v>20</v>
      </c>
      <c r="BR503" s="237">
        <f t="shared" si="538"/>
        <v>33</v>
      </c>
      <c r="BS503" s="253">
        <f t="shared" si="539"/>
        <v>4.8487499999999999</v>
      </c>
      <c r="BT503" s="253" cm="1">
        <f t="array" ref="BT503">$BC503 * IF($AD503&lt;=2,
SUMPRODUCT(INDEX($AL$62:$AN$66,,$AE503), INDEX($AO$62:$AU$66,,$AD503), 1 / ($AV$62:$AV$66*BS503 + (1-$AV$62:$AV$66)*BO503), N($AK$62:$AK$66&gt;$AI503)),
SUMPRODUCT(INDEX($AL$47:$AN$56,,$AE503), INDEX($AO$47:$AU$56,,$AD503), 1 / ($AW$47:$AW$56*BS503 + (1-$AW$47:$AW$56)*BO503), N($AK$47:$AK$56&gt;$AI503))
) / 1000</f>
        <v>0</v>
      </c>
      <c r="BU503" s="253" cm="1">
        <f t="array" ref="BU503">$BC503 * IF($AD503&lt;=2,
SUMPRODUCT(INDEX($AL$23:$AN$61,,$AE503), INDEX($AO$23:$AU$61,,$AD503), 1 / ($AV$23:$AV$61*BS503), N($AK$23:$AK$61&gt;$AI503)),
SUMPRODUCT(INDEX($AL$23:$AN$46,,$AE503), INDEX($AO$23:$AU$46,,$AD503), 1 / ($AW$23:$AW$46*BS503), N($AK$23:$AK$46&gt;$AI503))
) / 1000</f>
        <v>0</v>
      </c>
      <c r="BV503" s="237">
        <f t="shared" si="540"/>
        <v>0</v>
      </c>
      <c r="BW503" s="210"/>
      <c r="BX503" s="237">
        <f t="shared" si="541"/>
        <v>0</v>
      </c>
      <c r="BY503" s="236">
        <v>35</v>
      </c>
      <c r="BZ503" s="237">
        <f t="shared" si="542"/>
        <v>48</v>
      </c>
      <c r="CA503" s="253">
        <f t="shared" si="543"/>
        <v>3.0748170731707316</v>
      </c>
      <c r="CB503" s="253" cm="1">
        <f t="array" ref="CB503">$BC503 * SUMPRODUCT(INDEX($AL$77:$AN$82,,$AE503),INDEX($AO$77:$AU$82,,$AD503), N($AK$77:$AK$82&gt;$AI503)) / CA503 / 1000</f>
        <v>0</v>
      </c>
      <c r="CC503" s="250">
        <f t="shared" si="560"/>
        <v>30</v>
      </c>
      <c r="CD503" s="237">
        <f t="shared" si="544"/>
        <v>43</v>
      </c>
      <c r="CE503" s="253">
        <f t="shared" si="545"/>
        <v>3.5018750000000001</v>
      </c>
      <c r="CF503" s="253" cm="1">
        <f t="array" ref="CF503">$BC503 * IF($AD503&lt;=2,
SUMPRODUCT(INDEX($AL$72:$AN$76,,$AE503), INDEX($AO$72:$AU$76,,$AD503), 1 / ($AV$72:$AV$76*CE503 + (1-$AV$72:$AV$76)*CA503), N($AK$72:$AK$76&gt;$AI503)),
SUMPRODUCT(INDEX($AL$67:$AN$76,,$AE503), INDEX($AO$67:$AU$76,,$AD503), 1 / ($AW$67:$AW$76*CE503 + (1-$AW$67:$AW$76)*CA503), N($AK$67:$AK$76&gt;$AI503))
) / 1000</f>
        <v>0</v>
      </c>
      <c r="CG503" s="250">
        <f t="shared" si="561"/>
        <v>25</v>
      </c>
      <c r="CH503" s="237">
        <f t="shared" si="546"/>
        <v>38</v>
      </c>
      <c r="CI503" s="253">
        <f t="shared" si="547"/>
        <v>4.0666935483870965</v>
      </c>
      <c r="CJ503" s="253" cm="1">
        <f t="array" ref="CJ503">$BC503 * IF($AD503&lt;=2,
SUMPRODUCT(INDEX($AL$67:$AN$71,,$AE503), INDEX($AO$67:$AU$71,,$AD503), 1 / ($AV$67:$AV$71*CI503 + (1-$AV$67:$AV$71)*CE503), N($AK$67:$AK$71&gt;$AI503)),
SUMPRODUCT(INDEX($AL$57:$AN$66,,$AE503), INDEX($AO$57:$AU$66,,$AD503), 1 / ($AW$57:$AW$66*CI503 + (1-$AW$57:$AW$66)*CE503), N($AK$57:$AK$66&gt;$AI503))
) / 1000</f>
        <v>0</v>
      </c>
      <c r="CK503" s="250">
        <f t="shared" si="562"/>
        <v>20</v>
      </c>
      <c r="CL503" s="237">
        <f t="shared" si="548"/>
        <v>33</v>
      </c>
      <c r="CM503" s="253">
        <f t="shared" si="549"/>
        <v>4.8487499999999999</v>
      </c>
      <c r="CN503" s="253" cm="1">
        <f t="array" ref="CN503">$BC503 * IF($AD503&lt;=2,
SUMPRODUCT(INDEX($AL$62:$AN$66,,$AE503), INDEX($AO$62:$AU$66,,$AD503), 1 / ($AV$62:$AV$66*CM503 + (1-$AV$62:$AV$66)*CI503), N($AK$62:$AK$66&gt;$AI503)),
SUMPRODUCT(INDEX($AL$47:$AN$56,,$AE503), INDEX($AO$47:$AU$56,,$AD503), 1 / ($AW$47:$AW$56*CM503 + (1-$AW$47:$AW$56)*CI503), N($AK$47:$AK$56&gt;$AI503))
) / 1000</f>
        <v>0</v>
      </c>
      <c r="CO503" s="253" cm="1">
        <f t="array" ref="CO503">$BC503 * IF($AD503&lt;=2,
SUMPRODUCT(INDEX($AL$23:$AN$61,,$AE503), INDEX($AO$23:$AU$61,,$AD503), 1 / ($AV$23:$AV$61*CM503), N($AK$23:$AK$61&gt;$AI503)),
SUMPRODUCT(INDEX($AL$23:$AN$46,,$AE503), INDEX($AO$23:$AU$46,,$AD503), 1 / ($AW$23:$AW$46*CM503), N($AK$23:$AK$46&gt;$AI503))
) / 1000</f>
        <v>0</v>
      </c>
      <c r="CP503" s="237">
        <f t="shared" si="550"/>
        <v>0</v>
      </c>
      <c r="CQ503" s="210"/>
    </row>
    <row r="504" spans="1:95" s="76" customFormat="1" ht="14.25" customHeight="1" x14ac:dyDescent="0.2">
      <c r="A504" s="238" t="b">
        <f t="shared" si="554"/>
        <v>0</v>
      </c>
      <c r="B504" s="239">
        <v>482</v>
      </c>
      <c r="C504" s="258"/>
      <c r="D504" s="258"/>
      <c r="E504" s="240"/>
      <c r="F504" s="241" t="str">
        <f>IF(ISBLANK(E504), "", VLOOKUP(E504, Z!$A$2:$C$4127, 3, FALSE))</f>
        <v/>
      </c>
      <c r="G504" s="242"/>
      <c r="H504" s="242"/>
      <c r="I504" s="243"/>
      <c r="J504" s="244"/>
      <c r="K504" s="259"/>
      <c r="L504" s="260"/>
      <c r="M504" s="247" t="str" cm="1">
        <f t="array" ref="M504">IF($K504&gt;0, INDEX(Clean,1+AG504,$C$1), "")</f>
        <v/>
      </c>
      <c r="N504" s="245"/>
      <c r="O504" s="245"/>
      <c r="P504" s="246"/>
      <c r="Q504" s="248">
        <f t="shared" si="527"/>
        <v>0</v>
      </c>
      <c r="R504" s="247" t="str" cm="1">
        <f t="array" ref="R504">IF($K504&gt;0, INDEX(Clean,1+AH504,$C$1), "")</f>
        <v/>
      </c>
      <c r="S504" s="245"/>
      <c r="T504" s="245"/>
      <c r="U504" s="246"/>
      <c r="V504" s="248">
        <f t="shared" si="528"/>
        <v>0</v>
      </c>
      <c r="W504" s="261"/>
      <c r="X504" s="258"/>
      <c r="Y504" s="240"/>
      <c r="Z504" s="241" t="str">
        <f>IF(ISBLANK(Y504), "", VLOOKUP(Y504, Z!$A$2:$C$4127, 3, FALSE))</f>
        <v/>
      </c>
      <c r="AA504" s="262"/>
      <c r="AB504" s="249">
        <f t="shared" si="563"/>
        <v>0</v>
      </c>
      <c r="AC504" s="210"/>
      <c r="AD504" s="236">
        <f t="shared" si="551"/>
        <v>1</v>
      </c>
      <c r="AE504" s="236">
        <f t="shared" si="552"/>
        <v>1</v>
      </c>
      <c r="AF504" s="236">
        <f t="shared" si="553"/>
        <v>0</v>
      </c>
      <c r="AG504" s="236">
        <v>1</v>
      </c>
      <c r="AH504" s="236">
        <v>0</v>
      </c>
      <c r="AI504" s="236">
        <f t="shared" si="529"/>
        <v>-100</v>
      </c>
      <c r="AJ504" s="210"/>
      <c r="AK504" s="254"/>
      <c r="AL504" s="254"/>
      <c r="AM504" s="255"/>
      <c r="AN504" s="255"/>
      <c r="AO504" s="255"/>
      <c r="AP504" s="255"/>
      <c r="AQ504" s="255"/>
      <c r="AR504" s="255"/>
      <c r="AS504" s="255"/>
      <c r="AT504" s="255"/>
      <c r="AU504" s="255"/>
      <c r="AV504" s="255"/>
      <c r="AW504" s="255"/>
      <c r="AX504" s="210"/>
      <c r="AY504" s="236" cm="1">
        <f t="array" ref="AY504">INDEX(Use, $AD504, 4)</f>
        <v>7</v>
      </c>
      <c r="AZ504" s="236">
        <f t="shared" si="530"/>
        <v>32</v>
      </c>
      <c r="BA504" s="236">
        <f t="shared" si="555"/>
        <v>13</v>
      </c>
      <c r="BB504" s="236">
        <f t="shared" si="556"/>
        <v>0</v>
      </c>
      <c r="BC504" s="252" cm="1">
        <f t="array" ref="BC504">K504/IF($L504&gt;0, INDEX($AO$23:$AU$77, $L504+20, $AD504), 1)</f>
        <v>0</v>
      </c>
      <c r="BD504" s="237">
        <f t="shared" si="531"/>
        <v>0</v>
      </c>
      <c r="BE504" s="236">
        <v>35</v>
      </c>
      <c r="BF504" s="237">
        <f t="shared" si="532"/>
        <v>52.55</v>
      </c>
      <c r="BG504" s="253">
        <f t="shared" si="533"/>
        <v>2.7676728869374316</v>
      </c>
      <c r="BH504" s="253" cm="1">
        <f t="array" ref="BH504">$BC504 * SUMPRODUCT(INDEX($AL$77:$AN$82,,$AE504),INDEX($AO$77:$AU$82,,$AD504), N($AK$77:$AK$82&gt;$AI504)) / BG504 / 1000</f>
        <v>0</v>
      </c>
      <c r="BI504" s="250">
        <f t="shared" si="557"/>
        <v>30</v>
      </c>
      <c r="BJ504" s="237">
        <f t="shared" si="534"/>
        <v>46.033333333333331</v>
      </c>
      <c r="BK504" s="253">
        <f t="shared" si="535"/>
        <v>3.2297395388556791</v>
      </c>
      <c r="BL504" s="253" cm="1">
        <f t="array" ref="BL504">$BC504 * IF($AD504&lt;=2,
SUMPRODUCT(INDEX($AL$72:$AN$76,,$AE504), INDEX($AO$72:$AU$76,,$AD504), 1 / ($AV$72:$AV$76*BK504 + (1-$AV$72:$AV$76)*BG504), N($AK$72:$AK$76&gt;$AI504)),
SUMPRODUCT(INDEX($AL$67:$AN$76,,$AE504), INDEX($AO$67:$AU$76,,$AD504), 1 / ($AW$67:$AW$76*BK504 + (1-$AW$67:$AW$76)*BG504), N($AK$67:$AK$76&gt;$AI504))
) / 1000</f>
        <v>0</v>
      </c>
      <c r="BM504" s="250">
        <f t="shared" si="558"/>
        <v>25</v>
      </c>
      <c r="BN504" s="237">
        <f t="shared" si="536"/>
        <v>39.516666666666666</v>
      </c>
      <c r="BO504" s="253">
        <f t="shared" si="537"/>
        <v>3.877011788826243</v>
      </c>
      <c r="BP504" s="253" cm="1">
        <f t="array" ref="BP504">$BC504 * IF($AD504&lt;=2,
SUMPRODUCT(INDEX($AL$67:$AN$71,,$AE504), INDEX($AO$67:$AU$71,,$AD504), 1 / ($AV$67:$AV$71*BO504 + (1-$AV$67:$AV$71)*BK504), N($AK$67:$AK$71&gt;$AI504)),
SUMPRODUCT(INDEX($AL$57:$AN$66,,$AE504), INDEX($AO$57:$AU$66,,$AD504), 1 / ($AW$57:$AW$66*BO504 + (1-$AW$57:$AW$66)*BK504), N($AK$57:$AK$66&gt;$AI504))
) / 1000</f>
        <v>0</v>
      </c>
      <c r="BQ504" s="250">
        <f t="shared" si="559"/>
        <v>20</v>
      </c>
      <c r="BR504" s="237">
        <f t="shared" si="538"/>
        <v>33</v>
      </c>
      <c r="BS504" s="253">
        <f t="shared" si="539"/>
        <v>4.8487499999999999</v>
      </c>
      <c r="BT504" s="253" cm="1">
        <f t="array" ref="BT504">$BC504 * IF($AD504&lt;=2,
SUMPRODUCT(INDEX($AL$62:$AN$66,,$AE504), INDEX($AO$62:$AU$66,,$AD504), 1 / ($AV$62:$AV$66*BS504 + (1-$AV$62:$AV$66)*BO504), N($AK$62:$AK$66&gt;$AI504)),
SUMPRODUCT(INDEX($AL$47:$AN$56,,$AE504), INDEX($AO$47:$AU$56,,$AD504), 1 / ($AW$47:$AW$56*BS504 + (1-$AW$47:$AW$56)*BO504), N($AK$47:$AK$56&gt;$AI504))
) / 1000</f>
        <v>0</v>
      </c>
      <c r="BU504" s="253" cm="1">
        <f t="array" ref="BU504">$BC504 * IF($AD504&lt;=2,
SUMPRODUCT(INDEX($AL$23:$AN$61,,$AE504), INDEX($AO$23:$AU$61,,$AD504), 1 / ($AV$23:$AV$61*BS504), N($AK$23:$AK$61&gt;$AI504)),
SUMPRODUCT(INDEX($AL$23:$AN$46,,$AE504), INDEX($AO$23:$AU$46,,$AD504), 1 / ($AW$23:$AW$46*BS504), N($AK$23:$AK$46&gt;$AI504))
) / 1000</f>
        <v>0</v>
      </c>
      <c r="BV504" s="237">
        <f t="shared" si="540"/>
        <v>0</v>
      </c>
      <c r="BW504" s="210"/>
      <c r="BX504" s="237">
        <f t="shared" si="541"/>
        <v>0</v>
      </c>
      <c r="BY504" s="236">
        <v>35</v>
      </c>
      <c r="BZ504" s="237">
        <f t="shared" si="542"/>
        <v>48</v>
      </c>
      <c r="CA504" s="253">
        <f t="shared" si="543"/>
        <v>3.0748170731707316</v>
      </c>
      <c r="CB504" s="253" cm="1">
        <f t="array" ref="CB504">$BC504 * SUMPRODUCT(INDEX($AL$77:$AN$82,,$AE504),INDEX($AO$77:$AU$82,,$AD504), N($AK$77:$AK$82&gt;$AI504)) / CA504 / 1000</f>
        <v>0</v>
      </c>
      <c r="CC504" s="250">
        <f t="shared" si="560"/>
        <v>30</v>
      </c>
      <c r="CD504" s="237">
        <f t="shared" si="544"/>
        <v>43</v>
      </c>
      <c r="CE504" s="253">
        <f t="shared" si="545"/>
        <v>3.5018750000000001</v>
      </c>
      <c r="CF504" s="253" cm="1">
        <f t="array" ref="CF504">$BC504 * IF($AD504&lt;=2,
SUMPRODUCT(INDEX($AL$72:$AN$76,,$AE504), INDEX($AO$72:$AU$76,,$AD504), 1 / ($AV$72:$AV$76*CE504 + (1-$AV$72:$AV$76)*CA504), N($AK$72:$AK$76&gt;$AI504)),
SUMPRODUCT(INDEX($AL$67:$AN$76,,$AE504), INDEX($AO$67:$AU$76,,$AD504), 1 / ($AW$67:$AW$76*CE504 + (1-$AW$67:$AW$76)*CA504), N($AK$67:$AK$76&gt;$AI504))
) / 1000</f>
        <v>0</v>
      </c>
      <c r="CG504" s="250">
        <f t="shared" si="561"/>
        <v>25</v>
      </c>
      <c r="CH504" s="237">
        <f t="shared" si="546"/>
        <v>38</v>
      </c>
      <c r="CI504" s="253">
        <f t="shared" si="547"/>
        <v>4.0666935483870965</v>
      </c>
      <c r="CJ504" s="253" cm="1">
        <f t="array" ref="CJ504">$BC504 * IF($AD504&lt;=2,
SUMPRODUCT(INDEX($AL$67:$AN$71,,$AE504), INDEX($AO$67:$AU$71,,$AD504), 1 / ($AV$67:$AV$71*CI504 + (1-$AV$67:$AV$71)*CE504), N($AK$67:$AK$71&gt;$AI504)),
SUMPRODUCT(INDEX($AL$57:$AN$66,,$AE504), INDEX($AO$57:$AU$66,,$AD504), 1 / ($AW$57:$AW$66*CI504 + (1-$AW$57:$AW$66)*CE504), N($AK$57:$AK$66&gt;$AI504))
) / 1000</f>
        <v>0</v>
      </c>
      <c r="CK504" s="250">
        <f t="shared" si="562"/>
        <v>20</v>
      </c>
      <c r="CL504" s="237">
        <f t="shared" si="548"/>
        <v>33</v>
      </c>
      <c r="CM504" s="253">
        <f t="shared" si="549"/>
        <v>4.8487499999999999</v>
      </c>
      <c r="CN504" s="253" cm="1">
        <f t="array" ref="CN504">$BC504 * IF($AD504&lt;=2,
SUMPRODUCT(INDEX($AL$62:$AN$66,,$AE504), INDEX($AO$62:$AU$66,,$AD504), 1 / ($AV$62:$AV$66*CM504 + (1-$AV$62:$AV$66)*CI504), N($AK$62:$AK$66&gt;$AI504)),
SUMPRODUCT(INDEX($AL$47:$AN$56,,$AE504), INDEX($AO$47:$AU$56,,$AD504), 1 / ($AW$47:$AW$56*CM504 + (1-$AW$47:$AW$56)*CI504), N($AK$47:$AK$56&gt;$AI504))
) / 1000</f>
        <v>0</v>
      </c>
      <c r="CO504" s="253" cm="1">
        <f t="array" ref="CO504">$BC504 * IF($AD504&lt;=2,
SUMPRODUCT(INDEX($AL$23:$AN$61,,$AE504), INDEX($AO$23:$AU$61,,$AD504), 1 / ($AV$23:$AV$61*CM504), N($AK$23:$AK$61&gt;$AI504)),
SUMPRODUCT(INDEX($AL$23:$AN$46,,$AE504), INDEX($AO$23:$AU$46,,$AD504), 1 / ($AW$23:$AW$46*CM504), N($AK$23:$AK$46&gt;$AI504))
) / 1000</f>
        <v>0</v>
      </c>
      <c r="CP504" s="237">
        <f t="shared" si="550"/>
        <v>0</v>
      </c>
      <c r="CQ504" s="210"/>
    </row>
    <row r="505" spans="1:95" s="76" customFormat="1" ht="14.25" customHeight="1" x14ac:dyDescent="0.2">
      <c r="A505" s="238" t="b">
        <f t="shared" si="554"/>
        <v>0</v>
      </c>
      <c r="B505" s="239">
        <v>483</v>
      </c>
      <c r="C505" s="258"/>
      <c r="D505" s="258"/>
      <c r="E505" s="240"/>
      <c r="F505" s="241" t="str">
        <f>IF(ISBLANK(E505), "", VLOOKUP(E505, Z!$A$2:$C$4127, 3, FALSE))</f>
        <v/>
      </c>
      <c r="G505" s="242"/>
      <c r="H505" s="242"/>
      <c r="I505" s="243"/>
      <c r="J505" s="244"/>
      <c r="K505" s="259"/>
      <c r="L505" s="260"/>
      <c r="M505" s="247" t="str" cm="1">
        <f t="array" ref="M505">IF($K505&gt;0, INDEX(Clean,1+AG505,$C$1), "")</f>
        <v/>
      </c>
      <c r="N505" s="245"/>
      <c r="O505" s="245"/>
      <c r="P505" s="246"/>
      <c r="Q505" s="248">
        <f t="shared" si="527"/>
        <v>0</v>
      </c>
      <c r="R505" s="247" t="str" cm="1">
        <f t="array" ref="R505">IF($K505&gt;0, INDEX(Clean,1+AH505,$C$1), "")</f>
        <v/>
      </c>
      <c r="S505" s="245"/>
      <c r="T505" s="245"/>
      <c r="U505" s="246"/>
      <c r="V505" s="248">
        <f t="shared" si="528"/>
        <v>0</v>
      </c>
      <c r="W505" s="261"/>
      <c r="X505" s="258"/>
      <c r="Y505" s="240"/>
      <c r="Z505" s="241" t="str">
        <f>IF(ISBLANK(Y505), "", VLOOKUP(Y505, Z!$A$2:$C$4127, 3, FALSE))</f>
        <v/>
      </c>
      <c r="AA505" s="262"/>
      <c r="AB505" s="249">
        <f t="shared" si="563"/>
        <v>0</v>
      </c>
      <c r="AC505" s="210"/>
      <c r="AD505" s="236">
        <f t="shared" si="551"/>
        <v>1</v>
      </c>
      <c r="AE505" s="236">
        <f t="shared" si="552"/>
        <v>1</v>
      </c>
      <c r="AF505" s="236">
        <f t="shared" si="553"/>
        <v>0</v>
      </c>
      <c r="AG505" s="236">
        <v>1</v>
      </c>
      <c r="AH505" s="236">
        <v>0</v>
      </c>
      <c r="AI505" s="236">
        <f t="shared" si="529"/>
        <v>-100</v>
      </c>
      <c r="AJ505" s="210"/>
      <c r="AK505" s="254"/>
      <c r="AL505" s="254"/>
      <c r="AM505" s="255"/>
      <c r="AN505" s="255"/>
      <c r="AO505" s="255"/>
      <c r="AP505" s="255"/>
      <c r="AQ505" s="255"/>
      <c r="AR505" s="255"/>
      <c r="AS505" s="255"/>
      <c r="AT505" s="255"/>
      <c r="AU505" s="255"/>
      <c r="AV505" s="255"/>
      <c r="AW505" s="255"/>
      <c r="AX505" s="210"/>
      <c r="AY505" s="236" cm="1">
        <f t="array" ref="AY505">INDEX(Use, $AD505, 4)</f>
        <v>7</v>
      </c>
      <c r="AZ505" s="236">
        <f t="shared" si="530"/>
        <v>32</v>
      </c>
      <c r="BA505" s="236">
        <f t="shared" si="555"/>
        <v>13</v>
      </c>
      <c r="BB505" s="236">
        <f t="shared" si="556"/>
        <v>0</v>
      </c>
      <c r="BC505" s="252" cm="1">
        <f t="array" ref="BC505">K505/IF($L505&gt;0, INDEX($AO$23:$AU$77, $L505+20, $AD505), 1)</f>
        <v>0</v>
      </c>
      <c r="BD505" s="237">
        <f t="shared" si="531"/>
        <v>0</v>
      </c>
      <c r="BE505" s="236">
        <v>35</v>
      </c>
      <c r="BF505" s="237">
        <f t="shared" si="532"/>
        <v>52.55</v>
      </c>
      <c r="BG505" s="253">
        <f t="shared" si="533"/>
        <v>2.7676728869374316</v>
      </c>
      <c r="BH505" s="253" cm="1">
        <f t="array" ref="BH505">$BC505 * SUMPRODUCT(INDEX($AL$77:$AN$82,,$AE505),INDEX($AO$77:$AU$82,,$AD505), N($AK$77:$AK$82&gt;$AI505)) / BG505 / 1000</f>
        <v>0</v>
      </c>
      <c r="BI505" s="250">
        <f t="shared" si="557"/>
        <v>30</v>
      </c>
      <c r="BJ505" s="237">
        <f t="shared" si="534"/>
        <v>46.033333333333331</v>
      </c>
      <c r="BK505" s="253">
        <f t="shared" si="535"/>
        <v>3.2297395388556791</v>
      </c>
      <c r="BL505" s="253" cm="1">
        <f t="array" ref="BL505">$BC505 * IF($AD505&lt;=2,
SUMPRODUCT(INDEX($AL$72:$AN$76,,$AE505), INDEX($AO$72:$AU$76,,$AD505), 1 / ($AV$72:$AV$76*BK505 + (1-$AV$72:$AV$76)*BG505), N($AK$72:$AK$76&gt;$AI505)),
SUMPRODUCT(INDEX($AL$67:$AN$76,,$AE505), INDEX($AO$67:$AU$76,,$AD505), 1 / ($AW$67:$AW$76*BK505 + (1-$AW$67:$AW$76)*BG505), N($AK$67:$AK$76&gt;$AI505))
) / 1000</f>
        <v>0</v>
      </c>
      <c r="BM505" s="250">
        <f t="shared" si="558"/>
        <v>25</v>
      </c>
      <c r="BN505" s="237">
        <f t="shared" si="536"/>
        <v>39.516666666666666</v>
      </c>
      <c r="BO505" s="253">
        <f t="shared" si="537"/>
        <v>3.877011788826243</v>
      </c>
      <c r="BP505" s="253" cm="1">
        <f t="array" ref="BP505">$BC505 * IF($AD505&lt;=2,
SUMPRODUCT(INDEX($AL$67:$AN$71,,$AE505), INDEX($AO$67:$AU$71,,$AD505), 1 / ($AV$67:$AV$71*BO505 + (1-$AV$67:$AV$71)*BK505), N($AK$67:$AK$71&gt;$AI505)),
SUMPRODUCT(INDEX($AL$57:$AN$66,,$AE505), INDEX($AO$57:$AU$66,,$AD505), 1 / ($AW$57:$AW$66*BO505 + (1-$AW$57:$AW$66)*BK505), N($AK$57:$AK$66&gt;$AI505))
) / 1000</f>
        <v>0</v>
      </c>
      <c r="BQ505" s="250">
        <f t="shared" si="559"/>
        <v>20</v>
      </c>
      <c r="BR505" s="237">
        <f t="shared" si="538"/>
        <v>33</v>
      </c>
      <c r="BS505" s="253">
        <f t="shared" si="539"/>
        <v>4.8487499999999999</v>
      </c>
      <c r="BT505" s="253" cm="1">
        <f t="array" ref="BT505">$BC505 * IF($AD505&lt;=2,
SUMPRODUCT(INDEX($AL$62:$AN$66,,$AE505), INDEX($AO$62:$AU$66,,$AD505), 1 / ($AV$62:$AV$66*BS505 + (1-$AV$62:$AV$66)*BO505), N($AK$62:$AK$66&gt;$AI505)),
SUMPRODUCT(INDEX($AL$47:$AN$56,,$AE505), INDEX($AO$47:$AU$56,,$AD505), 1 / ($AW$47:$AW$56*BS505 + (1-$AW$47:$AW$56)*BO505), N($AK$47:$AK$56&gt;$AI505))
) / 1000</f>
        <v>0</v>
      </c>
      <c r="BU505" s="253" cm="1">
        <f t="array" ref="BU505">$BC505 * IF($AD505&lt;=2,
SUMPRODUCT(INDEX($AL$23:$AN$61,,$AE505), INDEX($AO$23:$AU$61,,$AD505), 1 / ($AV$23:$AV$61*BS505), N($AK$23:$AK$61&gt;$AI505)),
SUMPRODUCT(INDEX($AL$23:$AN$46,,$AE505), INDEX($AO$23:$AU$46,,$AD505), 1 / ($AW$23:$AW$46*BS505), N($AK$23:$AK$46&gt;$AI505))
) / 1000</f>
        <v>0</v>
      </c>
      <c r="BV505" s="237">
        <f t="shared" si="540"/>
        <v>0</v>
      </c>
      <c r="BW505" s="210"/>
      <c r="BX505" s="237">
        <f t="shared" si="541"/>
        <v>0</v>
      </c>
      <c r="BY505" s="236">
        <v>35</v>
      </c>
      <c r="BZ505" s="237">
        <f t="shared" si="542"/>
        <v>48</v>
      </c>
      <c r="CA505" s="253">
        <f t="shared" si="543"/>
        <v>3.0748170731707316</v>
      </c>
      <c r="CB505" s="253" cm="1">
        <f t="array" ref="CB505">$BC505 * SUMPRODUCT(INDEX($AL$77:$AN$82,,$AE505),INDEX($AO$77:$AU$82,,$AD505), N($AK$77:$AK$82&gt;$AI505)) / CA505 / 1000</f>
        <v>0</v>
      </c>
      <c r="CC505" s="250">
        <f t="shared" si="560"/>
        <v>30</v>
      </c>
      <c r="CD505" s="237">
        <f t="shared" si="544"/>
        <v>43</v>
      </c>
      <c r="CE505" s="253">
        <f t="shared" si="545"/>
        <v>3.5018750000000001</v>
      </c>
      <c r="CF505" s="253" cm="1">
        <f t="array" ref="CF505">$BC505 * IF($AD505&lt;=2,
SUMPRODUCT(INDEX($AL$72:$AN$76,,$AE505), INDEX($AO$72:$AU$76,,$AD505), 1 / ($AV$72:$AV$76*CE505 + (1-$AV$72:$AV$76)*CA505), N($AK$72:$AK$76&gt;$AI505)),
SUMPRODUCT(INDEX($AL$67:$AN$76,,$AE505), INDEX($AO$67:$AU$76,,$AD505), 1 / ($AW$67:$AW$76*CE505 + (1-$AW$67:$AW$76)*CA505), N($AK$67:$AK$76&gt;$AI505))
) / 1000</f>
        <v>0</v>
      </c>
      <c r="CG505" s="250">
        <f t="shared" si="561"/>
        <v>25</v>
      </c>
      <c r="CH505" s="237">
        <f t="shared" si="546"/>
        <v>38</v>
      </c>
      <c r="CI505" s="253">
        <f t="shared" si="547"/>
        <v>4.0666935483870965</v>
      </c>
      <c r="CJ505" s="253" cm="1">
        <f t="array" ref="CJ505">$BC505 * IF($AD505&lt;=2,
SUMPRODUCT(INDEX($AL$67:$AN$71,,$AE505), INDEX($AO$67:$AU$71,,$AD505), 1 / ($AV$67:$AV$71*CI505 + (1-$AV$67:$AV$71)*CE505), N($AK$67:$AK$71&gt;$AI505)),
SUMPRODUCT(INDEX($AL$57:$AN$66,,$AE505), INDEX($AO$57:$AU$66,,$AD505), 1 / ($AW$57:$AW$66*CI505 + (1-$AW$57:$AW$66)*CE505), N($AK$57:$AK$66&gt;$AI505))
) / 1000</f>
        <v>0</v>
      </c>
      <c r="CK505" s="250">
        <f t="shared" si="562"/>
        <v>20</v>
      </c>
      <c r="CL505" s="237">
        <f t="shared" si="548"/>
        <v>33</v>
      </c>
      <c r="CM505" s="253">
        <f t="shared" si="549"/>
        <v>4.8487499999999999</v>
      </c>
      <c r="CN505" s="253" cm="1">
        <f t="array" ref="CN505">$BC505 * IF($AD505&lt;=2,
SUMPRODUCT(INDEX($AL$62:$AN$66,,$AE505), INDEX($AO$62:$AU$66,,$AD505), 1 / ($AV$62:$AV$66*CM505 + (1-$AV$62:$AV$66)*CI505), N($AK$62:$AK$66&gt;$AI505)),
SUMPRODUCT(INDEX($AL$47:$AN$56,,$AE505), INDEX($AO$47:$AU$56,,$AD505), 1 / ($AW$47:$AW$56*CM505 + (1-$AW$47:$AW$56)*CI505), N($AK$47:$AK$56&gt;$AI505))
) / 1000</f>
        <v>0</v>
      </c>
      <c r="CO505" s="253" cm="1">
        <f t="array" ref="CO505">$BC505 * IF($AD505&lt;=2,
SUMPRODUCT(INDEX($AL$23:$AN$61,,$AE505), INDEX($AO$23:$AU$61,,$AD505), 1 / ($AV$23:$AV$61*CM505), N($AK$23:$AK$61&gt;$AI505)),
SUMPRODUCT(INDEX($AL$23:$AN$46,,$AE505), INDEX($AO$23:$AU$46,,$AD505), 1 / ($AW$23:$AW$46*CM505), N($AK$23:$AK$46&gt;$AI505))
) / 1000</f>
        <v>0</v>
      </c>
      <c r="CP505" s="237">
        <f t="shared" si="550"/>
        <v>0</v>
      </c>
      <c r="CQ505" s="210"/>
    </row>
    <row r="506" spans="1:95" s="76" customFormat="1" ht="14.25" customHeight="1" x14ac:dyDescent="0.2">
      <c r="A506" s="238" t="b">
        <f t="shared" si="554"/>
        <v>0</v>
      </c>
      <c r="B506" s="239">
        <v>484</v>
      </c>
      <c r="C506" s="258"/>
      <c r="D506" s="258"/>
      <c r="E506" s="240"/>
      <c r="F506" s="241" t="str">
        <f>IF(ISBLANK(E506), "", VLOOKUP(E506, Z!$A$2:$C$4127, 3, FALSE))</f>
        <v/>
      </c>
      <c r="G506" s="242"/>
      <c r="H506" s="242"/>
      <c r="I506" s="243"/>
      <c r="J506" s="244"/>
      <c r="K506" s="259"/>
      <c r="L506" s="260"/>
      <c r="M506" s="247" t="str" cm="1">
        <f t="array" ref="M506">IF($K506&gt;0, INDEX(Clean,1+AG506,$C$1), "")</f>
        <v/>
      </c>
      <c r="N506" s="245"/>
      <c r="O506" s="245"/>
      <c r="P506" s="246"/>
      <c r="Q506" s="248">
        <f t="shared" si="527"/>
        <v>0</v>
      </c>
      <c r="R506" s="247" t="str" cm="1">
        <f t="array" ref="R506">IF($K506&gt;0, INDEX(Clean,1+AH506,$C$1), "")</f>
        <v/>
      </c>
      <c r="S506" s="245"/>
      <c r="T506" s="245"/>
      <c r="U506" s="246"/>
      <c r="V506" s="248">
        <f t="shared" si="528"/>
        <v>0</v>
      </c>
      <c r="W506" s="261"/>
      <c r="X506" s="258"/>
      <c r="Y506" s="240"/>
      <c r="Z506" s="241" t="str">
        <f>IF(ISBLANK(Y506), "", VLOOKUP(Y506, Z!$A$2:$C$4127, 3, FALSE))</f>
        <v/>
      </c>
      <c r="AA506" s="262"/>
      <c r="AB506" s="249">
        <f t="shared" si="563"/>
        <v>0</v>
      </c>
      <c r="AC506" s="210"/>
      <c r="AD506" s="236">
        <f t="shared" si="551"/>
        <v>1</v>
      </c>
      <c r="AE506" s="236">
        <f t="shared" si="552"/>
        <v>1</v>
      </c>
      <c r="AF506" s="236">
        <f t="shared" si="553"/>
        <v>0</v>
      </c>
      <c r="AG506" s="236">
        <v>1</v>
      </c>
      <c r="AH506" s="236">
        <v>0</v>
      </c>
      <c r="AI506" s="236">
        <f t="shared" si="529"/>
        <v>-100</v>
      </c>
      <c r="AJ506" s="210"/>
      <c r="AK506" s="254"/>
      <c r="AL506" s="254"/>
      <c r="AM506" s="255"/>
      <c r="AN506" s="255"/>
      <c r="AO506" s="255"/>
      <c r="AP506" s="255"/>
      <c r="AQ506" s="255"/>
      <c r="AR506" s="255"/>
      <c r="AS506" s="255"/>
      <c r="AT506" s="255"/>
      <c r="AU506" s="255"/>
      <c r="AV506" s="255"/>
      <c r="AW506" s="255"/>
      <c r="AX506" s="210"/>
      <c r="AY506" s="236" cm="1">
        <f t="array" ref="AY506">INDEX(Use, $AD506, 4)</f>
        <v>7</v>
      </c>
      <c r="AZ506" s="236">
        <f t="shared" si="530"/>
        <v>32</v>
      </c>
      <c r="BA506" s="236">
        <f t="shared" si="555"/>
        <v>13</v>
      </c>
      <c r="BB506" s="236">
        <f t="shared" si="556"/>
        <v>0</v>
      </c>
      <c r="BC506" s="252" cm="1">
        <f t="array" ref="BC506">K506/IF($L506&gt;0, INDEX($AO$23:$AU$77, $L506+20, $AD506), 1)</f>
        <v>0</v>
      </c>
      <c r="BD506" s="237">
        <f t="shared" si="531"/>
        <v>0</v>
      </c>
      <c r="BE506" s="236">
        <v>35</v>
      </c>
      <c r="BF506" s="237">
        <f t="shared" si="532"/>
        <v>52.55</v>
      </c>
      <c r="BG506" s="253">
        <f t="shared" si="533"/>
        <v>2.7676728869374316</v>
      </c>
      <c r="BH506" s="253" cm="1">
        <f t="array" ref="BH506">$BC506 * SUMPRODUCT(INDEX($AL$77:$AN$82,,$AE506),INDEX($AO$77:$AU$82,,$AD506), N($AK$77:$AK$82&gt;$AI506)) / BG506 / 1000</f>
        <v>0</v>
      </c>
      <c r="BI506" s="250">
        <f t="shared" si="557"/>
        <v>30</v>
      </c>
      <c r="BJ506" s="237">
        <f t="shared" si="534"/>
        <v>46.033333333333331</v>
      </c>
      <c r="BK506" s="253">
        <f t="shared" si="535"/>
        <v>3.2297395388556791</v>
      </c>
      <c r="BL506" s="253" cm="1">
        <f t="array" ref="BL506">$BC506 * IF($AD506&lt;=2,
SUMPRODUCT(INDEX($AL$72:$AN$76,,$AE506), INDEX($AO$72:$AU$76,,$AD506), 1 / ($AV$72:$AV$76*BK506 + (1-$AV$72:$AV$76)*BG506), N($AK$72:$AK$76&gt;$AI506)),
SUMPRODUCT(INDEX($AL$67:$AN$76,,$AE506), INDEX($AO$67:$AU$76,,$AD506), 1 / ($AW$67:$AW$76*BK506 + (1-$AW$67:$AW$76)*BG506), N($AK$67:$AK$76&gt;$AI506))
) / 1000</f>
        <v>0</v>
      </c>
      <c r="BM506" s="250">
        <f t="shared" si="558"/>
        <v>25</v>
      </c>
      <c r="BN506" s="237">
        <f t="shared" si="536"/>
        <v>39.516666666666666</v>
      </c>
      <c r="BO506" s="253">
        <f t="shared" si="537"/>
        <v>3.877011788826243</v>
      </c>
      <c r="BP506" s="253" cm="1">
        <f t="array" ref="BP506">$BC506 * IF($AD506&lt;=2,
SUMPRODUCT(INDEX($AL$67:$AN$71,,$AE506), INDEX($AO$67:$AU$71,,$AD506), 1 / ($AV$67:$AV$71*BO506 + (1-$AV$67:$AV$71)*BK506), N($AK$67:$AK$71&gt;$AI506)),
SUMPRODUCT(INDEX($AL$57:$AN$66,,$AE506), INDEX($AO$57:$AU$66,,$AD506), 1 / ($AW$57:$AW$66*BO506 + (1-$AW$57:$AW$66)*BK506), N($AK$57:$AK$66&gt;$AI506))
) / 1000</f>
        <v>0</v>
      </c>
      <c r="BQ506" s="250">
        <f t="shared" si="559"/>
        <v>20</v>
      </c>
      <c r="BR506" s="237">
        <f t="shared" si="538"/>
        <v>33</v>
      </c>
      <c r="BS506" s="253">
        <f t="shared" si="539"/>
        <v>4.8487499999999999</v>
      </c>
      <c r="BT506" s="253" cm="1">
        <f t="array" ref="BT506">$BC506 * IF($AD506&lt;=2,
SUMPRODUCT(INDEX($AL$62:$AN$66,,$AE506), INDEX($AO$62:$AU$66,,$AD506), 1 / ($AV$62:$AV$66*BS506 + (1-$AV$62:$AV$66)*BO506), N($AK$62:$AK$66&gt;$AI506)),
SUMPRODUCT(INDEX($AL$47:$AN$56,,$AE506), INDEX($AO$47:$AU$56,,$AD506), 1 / ($AW$47:$AW$56*BS506 + (1-$AW$47:$AW$56)*BO506), N($AK$47:$AK$56&gt;$AI506))
) / 1000</f>
        <v>0</v>
      </c>
      <c r="BU506" s="253" cm="1">
        <f t="array" ref="BU506">$BC506 * IF($AD506&lt;=2,
SUMPRODUCT(INDEX($AL$23:$AN$61,,$AE506), INDEX($AO$23:$AU$61,,$AD506), 1 / ($AV$23:$AV$61*BS506), N($AK$23:$AK$61&gt;$AI506)),
SUMPRODUCT(INDEX($AL$23:$AN$46,,$AE506), INDEX($AO$23:$AU$46,,$AD506), 1 / ($AW$23:$AW$46*BS506), N($AK$23:$AK$46&gt;$AI506))
) / 1000</f>
        <v>0</v>
      </c>
      <c r="BV506" s="237">
        <f t="shared" si="540"/>
        <v>0</v>
      </c>
      <c r="BW506" s="210"/>
      <c r="BX506" s="237">
        <f t="shared" si="541"/>
        <v>0</v>
      </c>
      <c r="BY506" s="236">
        <v>35</v>
      </c>
      <c r="BZ506" s="237">
        <f t="shared" si="542"/>
        <v>48</v>
      </c>
      <c r="CA506" s="253">
        <f t="shared" si="543"/>
        <v>3.0748170731707316</v>
      </c>
      <c r="CB506" s="253" cm="1">
        <f t="array" ref="CB506">$BC506 * SUMPRODUCT(INDEX($AL$77:$AN$82,,$AE506),INDEX($AO$77:$AU$82,,$AD506), N($AK$77:$AK$82&gt;$AI506)) / CA506 / 1000</f>
        <v>0</v>
      </c>
      <c r="CC506" s="250">
        <f t="shared" si="560"/>
        <v>30</v>
      </c>
      <c r="CD506" s="237">
        <f t="shared" si="544"/>
        <v>43</v>
      </c>
      <c r="CE506" s="253">
        <f t="shared" si="545"/>
        <v>3.5018750000000001</v>
      </c>
      <c r="CF506" s="253" cm="1">
        <f t="array" ref="CF506">$BC506 * IF($AD506&lt;=2,
SUMPRODUCT(INDEX($AL$72:$AN$76,,$AE506), INDEX($AO$72:$AU$76,,$AD506), 1 / ($AV$72:$AV$76*CE506 + (1-$AV$72:$AV$76)*CA506), N($AK$72:$AK$76&gt;$AI506)),
SUMPRODUCT(INDEX($AL$67:$AN$76,,$AE506), INDEX($AO$67:$AU$76,,$AD506), 1 / ($AW$67:$AW$76*CE506 + (1-$AW$67:$AW$76)*CA506), N($AK$67:$AK$76&gt;$AI506))
) / 1000</f>
        <v>0</v>
      </c>
      <c r="CG506" s="250">
        <f t="shared" si="561"/>
        <v>25</v>
      </c>
      <c r="CH506" s="237">
        <f t="shared" si="546"/>
        <v>38</v>
      </c>
      <c r="CI506" s="253">
        <f t="shared" si="547"/>
        <v>4.0666935483870965</v>
      </c>
      <c r="CJ506" s="253" cm="1">
        <f t="array" ref="CJ506">$BC506 * IF($AD506&lt;=2,
SUMPRODUCT(INDEX($AL$67:$AN$71,,$AE506), INDEX($AO$67:$AU$71,,$AD506), 1 / ($AV$67:$AV$71*CI506 + (1-$AV$67:$AV$71)*CE506), N($AK$67:$AK$71&gt;$AI506)),
SUMPRODUCT(INDEX($AL$57:$AN$66,,$AE506), INDEX($AO$57:$AU$66,,$AD506), 1 / ($AW$57:$AW$66*CI506 + (1-$AW$57:$AW$66)*CE506), N($AK$57:$AK$66&gt;$AI506))
) / 1000</f>
        <v>0</v>
      </c>
      <c r="CK506" s="250">
        <f t="shared" si="562"/>
        <v>20</v>
      </c>
      <c r="CL506" s="237">
        <f t="shared" si="548"/>
        <v>33</v>
      </c>
      <c r="CM506" s="253">
        <f t="shared" si="549"/>
        <v>4.8487499999999999</v>
      </c>
      <c r="CN506" s="253" cm="1">
        <f t="array" ref="CN506">$BC506 * IF($AD506&lt;=2,
SUMPRODUCT(INDEX($AL$62:$AN$66,,$AE506), INDEX($AO$62:$AU$66,,$AD506), 1 / ($AV$62:$AV$66*CM506 + (1-$AV$62:$AV$66)*CI506), N($AK$62:$AK$66&gt;$AI506)),
SUMPRODUCT(INDEX($AL$47:$AN$56,,$AE506), INDEX($AO$47:$AU$56,,$AD506), 1 / ($AW$47:$AW$56*CM506 + (1-$AW$47:$AW$56)*CI506), N($AK$47:$AK$56&gt;$AI506))
) / 1000</f>
        <v>0</v>
      </c>
      <c r="CO506" s="253" cm="1">
        <f t="array" ref="CO506">$BC506 * IF($AD506&lt;=2,
SUMPRODUCT(INDEX($AL$23:$AN$61,,$AE506), INDEX($AO$23:$AU$61,,$AD506), 1 / ($AV$23:$AV$61*CM506), N($AK$23:$AK$61&gt;$AI506)),
SUMPRODUCT(INDEX($AL$23:$AN$46,,$AE506), INDEX($AO$23:$AU$46,,$AD506), 1 / ($AW$23:$AW$46*CM506), N($AK$23:$AK$46&gt;$AI506))
) / 1000</f>
        <v>0</v>
      </c>
      <c r="CP506" s="237">
        <f t="shared" si="550"/>
        <v>0</v>
      </c>
      <c r="CQ506" s="210"/>
    </row>
    <row r="507" spans="1:95" s="76" customFormat="1" ht="14.25" customHeight="1" x14ac:dyDescent="0.2">
      <c r="A507" s="238" t="b">
        <f t="shared" si="554"/>
        <v>0</v>
      </c>
      <c r="B507" s="239">
        <v>485</v>
      </c>
      <c r="C507" s="258"/>
      <c r="D507" s="258"/>
      <c r="E507" s="240"/>
      <c r="F507" s="241" t="str">
        <f>IF(ISBLANK(E507), "", VLOOKUP(E507, Z!$A$2:$C$4127, 3, FALSE))</f>
        <v/>
      </c>
      <c r="G507" s="242"/>
      <c r="H507" s="242"/>
      <c r="I507" s="243"/>
      <c r="J507" s="244"/>
      <c r="K507" s="259"/>
      <c r="L507" s="260"/>
      <c r="M507" s="247" t="str" cm="1">
        <f t="array" ref="M507">IF($K507&gt;0, INDEX(Clean,1+AG507,$C$1), "")</f>
        <v/>
      </c>
      <c r="N507" s="245"/>
      <c r="O507" s="245"/>
      <c r="P507" s="246"/>
      <c r="Q507" s="248">
        <f t="shared" ref="Q507:Q570" si="564">BV507*1000</f>
        <v>0</v>
      </c>
      <c r="R507" s="247" t="str" cm="1">
        <f t="array" ref="R507">IF($K507&gt;0, INDEX(Clean,1+AH507,$C$1), "")</f>
        <v/>
      </c>
      <c r="S507" s="245"/>
      <c r="T507" s="245"/>
      <c r="U507" s="246"/>
      <c r="V507" s="248">
        <f t="shared" ref="V507:V570" si="565">CP507*1000</f>
        <v>0</v>
      </c>
      <c r="W507" s="261"/>
      <c r="X507" s="258"/>
      <c r="Y507" s="240"/>
      <c r="Z507" s="241" t="str">
        <f>IF(ISBLANK(Y507), "", VLOOKUP(Y507, Z!$A$2:$C$4127, 3, FALSE))</f>
        <v/>
      </c>
      <c r="AA507" s="262"/>
      <c r="AB507" s="249">
        <f t="shared" si="563"/>
        <v>0</v>
      </c>
      <c r="AC507" s="210"/>
      <c r="AD507" s="236">
        <f t="shared" si="551"/>
        <v>1</v>
      </c>
      <c r="AE507" s="236">
        <f t="shared" si="552"/>
        <v>1</v>
      </c>
      <c r="AF507" s="236">
        <f t="shared" si="553"/>
        <v>0</v>
      </c>
      <c r="AG507" s="236">
        <v>1</v>
      </c>
      <c r="AH507" s="236">
        <v>0</v>
      </c>
      <c r="AI507" s="236">
        <f t="shared" ref="AI507:AI570" si="566">IF(AND(J507="x", AD507=5), 11, IF(AND(J507="x", AD507=6), 19, -100))</f>
        <v>-100</v>
      </c>
      <c r="AJ507" s="210"/>
      <c r="AK507" s="254"/>
      <c r="AL507" s="254"/>
      <c r="AM507" s="255"/>
      <c r="AN507" s="255"/>
      <c r="AO507" s="255"/>
      <c r="AP507" s="255"/>
      <c r="AQ507" s="255"/>
      <c r="AR507" s="255"/>
      <c r="AS507" s="255"/>
      <c r="AT507" s="255"/>
      <c r="AU507" s="255"/>
      <c r="AV507" s="255"/>
      <c r="AW507" s="255"/>
      <c r="AX507" s="210"/>
      <c r="AY507" s="236" cm="1">
        <f t="array" ref="AY507">INDEX(Use, $AD507, 4)</f>
        <v>7</v>
      </c>
      <c r="AZ507" s="236">
        <f t="shared" ref="AZ507:AZ570" si="567">MAX(25, AY507+25)</f>
        <v>32</v>
      </c>
      <c r="BA507" s="236">
        <f t="shared" si="555"/>
        <v>13</v>
      </c>
      <c r="BB507" s="236">
        <f t="shared" si="556"/>
        <v>0</v>
      </c>
      <c r="BC507" s="252" cm="1">
        <f t="array" ref="BC507">K507/IF($L507&gt;0, INDEX($AO$23:$AU$77, $L507+20, $AD507), 1)</f>
        <v>0</v>
      </c>
      <c r="BD507" s="237">
        <f t="shared" ref="BD507:BD570" si="568">P507 /  IF(AD507&lt;=2, 0.7 + 0.3 * (O507-20)/(35-20), 0.4 + 0.6 * (O507-5)/(35-5))</f>
        <v>0</v>
      </c>
      <c r="BE507" s="236">
        <v>35</v>
      </c>
      <c r="BF507" s="237">
        <f t="shared" ref="BF507:BF570" si="569">MAX($N507, MAX($AZ507, $BE507 + $BA507 + $BB507 + 0.35*$AG507*$BA507 + BD507))</f>
        <v>52.55</v>
      </c>
      <c r="BG507" s="253">
        <f t="shared" ref="BG507:BG570" si="570">0.45*($AY507+273.15)/(BF507-$AY507)</f>
        <v>2.7676728869374316</v>
      </c>
      <c r="BH507" s="253" cm="1">
        <f t="array" ref="BH507">$BC507 * SUMPRODUCT(INDEX($AL$77:$AN$82,,$AE507),INDEX($AO$77:$AU$82,,$AD507), N($AK$77:$AK$82&gt;$AI507)) / BG507 / 1000</f>
        <v>0</v>
      </c>
      <c r="BI507" s="250">
        <f t="shared" si="557"/>
        <v>30</v>
      </c>
      <c r="BJ507" s="237">
        <f t="shared" ref="BJ507:BJ570" si="571">MAX($N507, MAX($AZ507, BI507 + $BA507 + $BB507 + IF($AD507&lt;=2, (BI507-20)/(35-20), 0.6+0.4*(BI507-5)/(35-5))*0.35*$AG507*$BA507) + IF($AD507&lt;=2,0.9,0.8)*$BD507)</f>
        <v>46.033333333333331</v>
      </c>
      <c r="BK507" s="253">
        <f t="shared" ref="BK507:BK570" si="572">0.45*($AY507+273.15)/(BJ507-$AY507)</f>
        <v>3.2297395388556791</v>
      </c>
      <c r="BL507" s="253" cm="1">
        <f t="array" ref="BL507">$BC507 * IF($AD507&lt;=2,
SUMPRODUCT(INDEX($AL$72:$AN$76,,$AE507), INDEX($AO$72:$AU$76,,$AD507), 1 / ($AV$72:$AV$76*BK507 + (1-$AV$72:$AV$76)*BG507), N($AK$72:$AK$76&gt;$AI507)),
SUMPRODUCT(INDEX($AL$67:$AN$76,,$AE507), INDEX($AO$67:$AU$76,,$AD507), 1 / ($AW$67:$AW$76*BK507 + (1-$AW$67:$AW$76)*BG507), N($AK$67:$AK$76&gt;$AI507))
) / 1000</f>
        <v>0</v>
      </c>
      <c r="BM507" s="250">
        <f t="shared" si="558"/>
        <v>25</v>
      </c>
      <c r="BN507" s="237">
        <f t="shared" ref="BN507:BN570" si="573">MAX($N507, MAX($AZ507, BM507 + $BA507 + $BB507 + IF($AD507&lt;=2, (BM507-20)/(35-20), 0.6+0.4*(BM507-5)/(35-5))*0.35*$AG507*$BA507) + IF($AD507&lt;=2,0.8,0.6)*$BD507)</f>
        <v>39.516666666666666</v>
      </c>
      <c r="BO507" s="253">
        <f t="shared" ref="BO507:BO570" si="574">0.45*($AY507+273.15)/(BN507-$AY507)</f>
        <v>3.877011788826243</v>
      </c>
      <c r="BP507" s="253" cm="1">
        <f t="array" ref="BP507">$BC507 * IF($AD507&lt;=2,
SUMPRODUCT(INDEX($AL$67:$AN$71,,$AE507), INDEX($AO$67:$AU$71,,$AD507), 1 / ($AV$67:$AV$71*BO507 + (1-$AV$67:$AV$71)*BK507), N($AK$67:$AK$71&gt;$AI507)),
SUMPRODUCT(INDEX($AL$57:$AN$66,,$AE507), INDEX($AO$57:$AU$66,,$AD507), 1 / ($AW$57:$AW$66*BO507 + (1-$AW$57:$AW$66)*BK507), N($AK$57:$AK$66&gt;$AI507))
) / 1000</f>
        <v>0</v>
      </c>
      <c r="BQ507" s="250">
        <f t="shared" si="559"/>
        <v>20</v>
      </c>
      <c r="BR507" s="237">
        <f t="shared" ref="BR507:BR570" si="575">MAX($N507, MAX($AZ507, BQ507 + $BA507 + $BB507 + IF($AD507&lt;=2, (BQ507-20)/(35-20), 0.6+0.4*(BQ507-5)/(35-5))*0.35*$AG507*$BA507) + IF($AD507&lt;=2,0.7,0.4)*$BD507)</f>
        <v>33</v>
      </c>
      <c r="BS507" s="253">
        <f t="shared" ref="BS507:BS570" si="576">0.45*($AY507+273.15)/(BR507-$AY507)</f>
        <v>4.8487499999999999</v>
      </c>
      <c r="BT507" s="253" cm="1">
        <f t="array" ref="BT507">$BC507 * IF($AD507&lt;=2,
SUMPRODUCT(INDEX($AL$62:$AN$66,,$AE507), INDEX($AO$62:$AU$66,,$AD507), 1 / ($AV$62:$AV$66*BS507 + (1-$AV$62:$AV$66)*BO507), N($AK$62:$AK$66&gt;$AI507)),
SUMPRODUCT(INDEX($AL$47:$AN$56,,$AE507), INDEX($AO$47:$AU$56,,$AD507), 1 / ($AW$47:$AW$56*BS507 + (1-$AW$47:$AW$56)*BO507), N($AK$47:$AK$56&gt;$AI507))
) / 1000</f>
        <v>0</v>
      </c>
      <c r="BU507" s="253" cm="1">
        <f t="array" ref="BU507">$BC507 * IF($AD507&lt;=2,
SUMPRODUCT(INDEX($AL$23:$AN$61,,$AE507), INDEX($AO$23:$AU$61,,$AD507), 1 / ($AV$23:$AV$61*BS507), N($AK$23:$AK$61&gt;$AI507)),
SUMPRODUCT(INDEX($AL$23:$AN$46,,$AE507), INDEX($AO$23:$AU$46,,$AD507), 1 / ($AW$23:$AW$46*BS507), N($AK$23:$AK$46&gt;$AI507))
) / 1000</f>
        <v>0</v>
      </c>
      <c r="BV507" s="237">
        <f t="shared" ref="BV507:BV570" si="577">BH507+BL507+BP507+BT507+BU507</f>
        <v>0</v>
      </c>
      <c r="BW507" s="210"/>
      <c r="BX507" s="237">
        <f t="shared" ref="BX507:BX570" si="578">U507 /  IF(AD507&lt;=2, 0.7 + 0.3 * (T507-20)/(35-20), 0.4 + 0.6 * (T507-5)/(35-5))</f>
        <v>0</v>
      </c>
      <c r="BY507" s="236">
        <v>35</v>
      </c>
      <c r="BZ507" s="237">
        <f t="shared" ref="BZ507:BZ570" si="579">MAX($S507, MAX($AZ507, $BE507 + $BA507 + $BB507 + 0.35*$AH507*$BA507 + BX507))</f>
        <v>48</v>
      </c>
      <c r="CA507" s="253">
        <f t="shared" ref="CA507:CA570" si="580">0.45*($AY507+273.15)/(BZ507-$AY507)</f>
        <v>3.0748170731707316</v>
      </c>
      <c r="CB507" s="253" cm="1">
        <f t="array" ref="CB507">$BC507 * SUMPRODUCT(INDEX($AL$77:$AN$82,,$AE507),INDEX($AO$77:$AU$82,,$AD507), N($AK$77:$AK$82&gt;$AI507)) / CA507 / 1000</f>
        <v>0</v>
      </c>
      <c r="CC507" s="250">
        <f t="shared" si="560"/>
        <v>30</v>
      </c>
      <c r="CD507" s="237">
        <f t="shared" ref="CD507:CD570" si="581">MAX($S507, MAX($AZ507, CC507 + $BA507 + $BB507 + IF($AD507&lt;=2, (CC507-20)/(35-20), 0.6+0.4*(CC507-5)/(35-5))*0.35*$AH507*$BA507) + IF($AD507&lt;=2,0.9,0.8)*$BX507)</f>
        <v>43</v>
      </c>
      <c r="CE507" s="253">
        <f t="shared" ref="CE507:CE570" si="582">0.45*($AY507+273.15)/(CD507-$AY507)</f>
        <v>3.5018750000000001</v>
      </c>
      <c r="CF507" s="253" cm="1">
        <f t="array" ref="CF507">$BC507 * IF($AD507&lt;=2,
SUMPRODUCT(INDEX($AL$72:$AN$76,,$AE507), INDEX($AO$72:$AU$76,,$AD507), 1 / ($AV$72:$AV$76*CE507 + (1-$AV$72:$AV$76)*CA507), N($AK$72:$AK$76&gt;$AI507)),
SUMPRODUCT(INDEX($AL$67:$AN$76,,$AE507), INDEX($AO$67:$AU$76,,$AD507), 1 / ($AW$67:$AW$76*CE507 + (1-$AW$67:$AW$76)*CA507), N($AK$67:$AK$76&gt;$AI507))
) / 1000</f>
        <v>0</v>
      </c>
      <c r="CG507" s="250">
        <f t="shared" si="561"/>
        <v>25</v>
      </c>
      <c r="CH507" s="237">
        <f t="shared" ref="CH507:CH570" si="583">MAX($S507, MAX($AZ507, CG507 + $BA507 + $BB507 + IF($AD507&lt;=2, (CG507-20)/(35-20), 0.6+0.4*(CG507-5)/(35-5))*0.35*$AH507*$BA507) + IF($AD507&lt;=2,0.8,0.6)*$BX507)</f>
        <v>38</v>
      </c>
      <c r="CI507" s="253">
        <f t="shared" ref="CI507:CI570" si="584">0.45*($AY507+273.15)/(CH507-$AY507)</f>
        <v>4.0666935483870965</v>
      </c>
      <c r="CJ507" s="253" cm="1">
        <f t="array" ref="CJ507">$BC507 * IF($AD507&lt;=2,
SUMPRODUCT(INDEX($AL$67:$AN$71,,$AE507), INDEX($AO$67:$AU$71,,$AD507), 1 / ($AV$67:$AV$71*CI507 + (1-$AV$67:$AV$71)*CE507), N($AK$67:$AK$71&gt;$AI507)),
SUMPRODUCT(INDEX($AL$57:$AN$66,,$AE507), INDEX($AO$57:$AU$66,,$AD507), 1 / ($AW$57:$AW$66*CI507 + (1-$AW$57:$AW$66)*CE507), N($AK$57:$AK$66&gt;$AI507))
) / 1000</f>
        <v>0</v>
      </c>
      <c r="CK507" s="250">
        <f t="shared" si="562"/>
        <v>20</v>
      </c>
      <c r="CL507" s="237">
        <f t="shared" ref="CL507:CL570" si="585">MAX($S507, MAX($AZ507, CK507 + $BA507 + $BB507 + IF($AD507&lt;=2, (CK507-20)/(35-20), 0.6+0.4*(CK507-5)/(35-5))*0.35*$AH507*$BA507) + IF($AD507&lt;=2,0.7,0.4)*$BX507)</f>
        <v>33</v>
      </c>
      <c r="CM507" s="253">
        <f t="shared" ref="CM507:CM570" si="586">0.45*($AY507+273.15)/(CL507-$AY507)</f>
        <v>4.8487499999999999</v>
      </c>
      <c r="CN507" s="253" cm="1">
        <f t="array" ref="CN507">$BC507 * IF($AD507&lt;=2,
SUMPRODUCT(INDEX($AL$62:$AN$66,,$AE507), INDEX($AO$62:$AU$66,,$AD507), 1 / ($AV$62:$AV$66*CM507 + (1-$AV$62:$AV$66)*CI507), N($AK$62:$AK$66&gt;$AI507)),
SUMPRODUCT(INDEX($AL$47:$AN$56,,$AE507), INDEX($AO$47:$AU$56,,$AD507), 1 / ($AW$47:$AW$56*CM507 + (1-$AW$47:$AW$56)*CI507), N($AK$47:$AK$56&gt;$AI507))
) / 1000</f>
        <v>0</v>
      </c>
      <c r="CO507" s="253" cm="1">
        <f t="array" ref="CO507">$BC507 * IF($AD507&lt;=2,
SUMPRODUCT(INDEX($AL$23:$AN$61,,$AE507), INDEX($AO$23:$AU$61,,$AD507), 1 / ($AV$23:$AV$61*CM507), N($AK$23:$AK$61&gt;$AI507)),
SUMPRODUCT(INDEX($AL$23:$AN$46,,$AE507), INDEX($AO$23:$AU$46,,$AD507), 1 / ($AW$23:$AW$46*CM507), N($AK$23:$AK$46&gt;$AI507))
) / 1000</f>
        <v>0</v>
      </c>
      <c r="CP507" s="237">
        <f t="shared" ref="CP507:CP570" si="587">CB507+CF507+CJ507+CN507+CO507</f>
        <v>0</v>
      </c>
      <c r="CQ507" s="210"/>
    </row>
    <row r="508" spans="1:95" s="76" customFormat="1" ht="14.25" customHeight="1" x14ac:dyDescent="0.2">
      <c r="A508" s="238" t="b">
        <f t="shared" si="554"/>
        <v>0</v>
      </c>
      <c r="B508" s="239">
        <v>486</v>
      </c>
      <c r="C508" s="258"/>
      <c r="D508" s="258"/>
      <c r="E508" s="240"/>
      <c r="F508" s="241" t="str">
        <f>IF(ISBLANK(E508), "", VLOOKUP(E508, Z!$A$2:$C$4127, 3, FALSE))</f>
        <v/>
      </c>
      <c r="G508" s="242"/>
      <c r="H508" s="242"/>
      <c r="I508" s="243"/>
      <c r="J508" s="244"/>
      <c r="K508" s="259"/>
      <c r="L508" s="260"/>
      <c r="M508" s="247" t="str" cm="1">
        <f t="array" ref="M508">IF($K508&gt;0, INDEX(Clean,1+AG508,$C$1), "")</f>
        <v/>
      </c>
      <c r="N508" s="245"/>
      <c r="O508" s="245"/>
      <c r="P508" s="246"/>
      <c r="Q508" s="248">
        <f t="shared" si="564"/>
        <v>0</v>
      </c>
      <c r="R508" s="247" t="str" cm="1">
        <f t="array" ref="R508">IF($K508&gt;0, INDEX(Clean,1+AH508,$C$1), "")</f>
        <v/>
      </c>
      <c r="S508" s="245"/>
      <c r="T508" s="245"/>
      <c r="U508" s="246"/>
      <c r="V508" s="248">
        <f t="shared" si="565"/>
        <v>0</v>
      </c>
      <c r="W508" s="261"/>
      <c r="X508" s="258"/>
      <c r="Y508" s="240"/>
      <c r="Z508" s="241" t="str">
        <f>IF(ISBLANK(Y508), "", VLOOKUP(Y508, Z!$A$2:$C$4127, 3, FALSE))</f>
        <v/>
      </c>
      <c r="AA508" s="262"/>
      <c r="AB508" s="249">
        <f t="shared" si="563"/>
        <v>0</v>
      </c>
      <c r="AC508" s="210"/>
      <c r="AD508" s="236">
        <f t="shared" ref="AD508:AD571" si="588">IF(ISBLANK(H508), 1, IFERROR(MATCH(H508, INDEX(Use,,1), 0), IFERROR(MATCH(H508, INDEX(Use,,2), 0), MATCH(H508, INDEX(Use,,3), 0))))</f>
        <v>1</v>
      </c>
      <c r="AE508" s="236">
        <f t="shared" ref="AE508:AE571" si="589">IF(ISBLANK(G508), 1, IFERROR(MATCH(G508, INDEX(Loc,,1), 0), IFERROR(MATCH(G508, INDEX(Loc,,2), 0), MATCH(G508, INDEX(Loc,,3), 0))))</f>
        <v>1</v>
      </c>
      <c r="AF508" s="236">
        <f t="shared" ref="AF508:AF571" si="590">_xlfn.IFNA(IF(IFERROR(MATCH(I508, INDEX(Medium,,1), 0), IFERROR(MATCH(I508, INDEX(Medium,,2), 0), MATCH(I508, INDEX(Medium,,3), 0))) = 2, 1, 0), 0)</f>
        <v>0</v>
      </c>
      <c r="AG508" s="236">
        <v>1</v>
      </c>
      <c r="AH508" s="236">
        <v>0</v>
      </c>
      <c r="AI508" s="236">
        <f t="shared" si="566"/>
        <v>-100</v>
      </c>
      <c r="AJ508" s="210"/>
      <c r="AK508" s="254"/>
      <c r="AL508" s="254"/>
      <c r="AM508" s="255"/>
      <c r="AN508" s="255"/>
      <c r="AO508" s="255"/>
      <c r="AP508" s="255"/>
      <c r="AQ508" s="255"/>
      <c r="AR508" s="255"/>
      <c r="AS508" s="255"/>
      <c r="AT508" s="255"/>
      <c r="AU508" s="255"/>
      <c r="AV508" s="255"/>
      <c r="AW508" s="255"/>
      <c r="AX508" s="210"/>
      <c r="AY508" s="236" cm="1">
        <f t="array" ref="AY508">INDEX(Use, $AD508, 4)</f>
        <v>7</v>
      </c>
      <c r="AZ508" s="236">
        <f t="shared" si="567"/>
        <v>32</v>
      </c>
      <c r="BA508" s="236">
        <f t="shared" si="555"/>
        <v>13</v>
      </c>
      <c r="BB508" s="236">
        <f t="shared" si="556"/>
        <v>0</v>
      </c>
      <c r="BC508" s="252" cm="1">
        <f t="array" ref="BC508">K508/IF($L508&gt;0, INDEX($AO$23:$AU$77, $L508+20, $AD508), 1)</f>
        <v>0</v>
      </c>
      <c r="BD508" s="237">
        <f t="shared" si="568"/>
        <v>0</v>
      </c>
      <c r="BE508" s="236">
        <v>35</v>
      </c>
      <c r="BF508" s="237">
        <f t="shared" si="569"/>
        <v>52.55</v>
      </c>
      <c r="BG508" s="253">
        <f t="shared" si="570"/>
        <v>2.7676728869374316</v>
      </c>
      <c r="BH508" s="253" cm="1">
        <f t="array" ref="BH508">$BC508 * SUMPRODUCT(INDEX($AL$77:$AN$82,,$AE508),INDEX($AO$77:$AU$82,,$AD508), N($AK$77:$AK$82&gt;$AI508)) / BG508 / 1000</f>
        <v>0</v>
      </c>
      <c r="BI508" s="250">
        <f t="shared" si="557"/>
        <v>30</v>
      </c>
      <c r="BJ508" s="237">
        <f t="shared" si="571"/>
        <v>46.033333333333331</v>
      </c>
      <c r="BK508" s="253">
        <f t="shared" si="572"/>
        <v>3.2297395388556791</v>
      </c>
      <c r="BL508" s="253" cm="1">
        <f t="array" ref="BL508">$BC508 * IF($AD508&lt;=2,
SUMPRODUCT(INDEX($AL$72:$AN$76,,$AE508), INDEX($AO$72:$AU$76,,$AD508), 1 / ($AV$72:$AV$76*BK508 + (1-$AV$72:$AV$76)*BG508), N($AK$72:$AK$76&gt;$AI508)),
SUMPRODUCT(INDEX($AL$67:$AN$76,,$AE508), INDEX($AO$67:$AU$76,,$AD508), 1 / ($AW$67:$AW$76*BK508 + (1-$AW$67:$AW$76)*BG508), N($AK$67:$AK$76&gt;$AI508))
) / 1000</f>
        <v>0</v>
      </c>
      <c r="BM508" s="250">
        <f t="shared" si="558"/>
        <v>25</v>
      </c>
      <c r="BN508" s="237">
        <f t="shared" si="573"/>
        <v>39.516666666666666</v>
      </c>
      <c r="BO508" s="253">
        <f t="shared" si="574"/>
        <v>3.877011788826243</v>
      </c>
      <c r="BP508" s="253" cm="1">
        <f t="array" ref="BP508">$BC508 * IF($AD508&lt;=2,
SUMPRODUCT(INDEX($AL$67:$AN$71,,$AE508), INDEX($AO$67:$AU$71,,$AD508), 1 / ($AV$67:$AV$71*BO508 + (1-$AV$67:$AV$71)*BK508), N($AK$67:$AK$71&gt;$AI508)),
SUMPRODUCT(INDEX($AL$57:$AN$66,,$AE508), INDEX($AO$57:$AU$66,,$AD508), 1 / ($AW$57:$AW$66*BO508 + (1-$AW$57:$AW$66)*BK508), N($AK$57:$AK$66&gt;$AI508))
) / 1000</f>
        <v>0</v>
      </c>
      <c r="BQ508" s="250">
        <f t="shared" si="559"/>
        <v>20</v>
      </c>
      <c r="BR508" s="237">
        <f t="shared" si="575"/>
        <v>33</v>
      </c>
      <c r="BS508" s="253">
        <f t="shared" si="576"/>
        <v>4.8487499999999999</v>
      </c>
      <c r="BT508" s="253" cm="1">
        <f t="array" ref="BT508">$BC508 * IF($AD508&lt;=2,
SUMPRODUCT(INDEX($AL$62:$AN$66,,$AE508), INDEX($AO$62:$AU$66,,$AD508), 1 / ($AV$62:$AV$66*BS508 + (1-$AV$62:$AV$66)*BO508), N($AK$62:$AK$66&gt;$AI508)),
SUMPRODUCT(INDEX($AL$47:$AN$56,,$AE508), INDEX($AO$47:$AU$56,,$AD508), 1 / ($AW$47:$AW$56*BS508 + (1-$AW$47:$AW$56)*BO508), N($AK$47:$AK$56&gt;$AI508))
) / 1000</f>
        <v>0</v>
      </c>
      <c r="BU508" s="253" cm="1">
        <f t="array" ref="BU508">$BC508 * IF($AD508&lt;=2,
SUMPRODUCT(INDEX($AL$23:$AN$61,,$AE508), INDEX($AO$23:$AU$61,,$AD508), 1 / ($AV$23:$AV$61*BS508), N($AK$23:$AK$61&gt;$AI508)),
SUMPRODUCT(INDEX($AL$23:$AN$46,,$AE508), INDEX($AO$23:$AU$46,,$AD508), 1 / ($AW$23:$AW$46*BS508), N($AK$23:$AK$46&gt;$AI508))
) / 1000</f>
        <v>0</v>
      </c>
      <c r="BV508" s="237">
        <f t="shared" si="577"/>
        <v>0</v>
      </c>
      <c r="BW508" s="210"/>
      <c r="BX508" s="237">
        <f t="shared" si="578"/>
        <v>0</v>
      </c>
      <c r="BY508" s="236">
        <v>35</v>
      </c>
      <c r="BZ508" s="237">
        <f t="shared" si="579"/>
        <v>48</v>
      </c>
      <c r="CA508" s="253">
        <f t="shared" si="580"/>
        <v>3.0748170731707316</v>
      </c>
      <c r="CB508" s="253" cm="1">
        <f t="array" ref="CB508">$BC508 * SUMPRODUCT(INDEX($AL$77:$AN$82,,$AE508),INDEX($AO$77:$AU$82,,$AD508), N($AK$77:$AK$82&gt;$AI508)) / CA508 / 1000</f>
        <v>0</v>
      </c>
      <c r="CC508" s="250">
        <f t="shared" si="560"/>
        <v>30</v>
      </c>
      <c r="CD508" s="237">
        <f t="shared" si="581"/>
        <v>43</v>
      </c>
      <c r="CE508" s="253">
        <f t="shared" si="582"/>
        <v>3.5018750000000001</v>
      </c>
      <c r="CF508" s="253" cm="1">
        <f t="array" ref="CF508">$BC508 * IF($AD508&lt;=2,
SUMPRODUCT(INDEX($AL$72:$AN$76,,$AE508), INDEX($AO$72:$AU$76,,$AD508), 1 / ($AV$72:$AV$76*CE508 + (1-$AV$72:$AV$76)*CA508), N($AK$72:$AK$76&gt;$AI508)),
SUMPRODUCT(INDEX($AL$67:$AN$76,,$AE508), INDEX($AO$67:$AU$76,,$AD508), 1 / ($AW$67:$AW$76*CE508 + (1-$AW$67:$AW$76)*CA508), N($AK$67:$AK$76&gt;$AI508))
) / 1000</f>
        <v>0</v>
      </c>
      <c r="CG508" s="250">
        <f t="shared" si="561"/>
        <v>25</v>
      </c>
      <c r="CH508" s="237">
        <f t="shared" si="583"/>
        <v>38</v>
      </c>
      <c r="CI508" s="253">
        <f t="shared" si="584"/>
        <v>4.0666935483870965</v>
      </c>
      <c r="CJ508" s="253" cm="1">
        <f t="array" ref="CJ508">$BC508 * IF($AD508&lt;=2,
SUMPRODUCT(INDEX($AL$67:$AN$71,,$AE508), INDEX($AO$67:$AU$71,,$AD508), 1 / ($AV$67:$AV$71*CI508 + (1-$AV$67:$AV$71)*CE508), N($AK$67:$AK$71&gt;$AI508)),
SUMPRODUCT(INDEX($AL$57:$AN$66,,$AE508), INDEX($AO$57:$AU$66,,$AD508), 1 / ($AW$57:$AW$66*CI508 + (1-$AW$57:$AW$66)*CE508), N($AK$57:$AK$66&gt;$AI508))
) / 1000</f>
        <v>0</v>
      </c>
      <c r="CK508" s="250">
        <f t="shared" si="562"/>
        <v>20</v>
      </c>
      <c r="CL508" s="237">
        <f t="shared" si="585"/>
        <v>33</v>
      </c>
      <c r="CM508" s="253">
        <f t="shared" si="586"/>
        <v>4.8487499999999999</v>
      </c>
      <c r="CN508" s="253" cm="1">
        <f t="array" ref="CN508">$BC508 * IF($AD508&lt;=2,
SUMPRODUCT(INDEX($AL$62:$AN$66,,$AE508), INDEX($AO$62:$AU$66,,$AD508), 1 / ($AV$62:$AV$66*CM508 + (1-$AV$62:$AV$66)*CI508), N($AK$62:$AK$66&gt;$AI508)),
SUMPRODUCT(INDEX($AL$47:$AN$56,,$AE508), INDEX($AO$47:$AU$56,,$AD508), 1 / ($AW$47:$AW$56*CM508 + (1-$AW$47:$AW$56)*CI508), N($AK$47:$AK$56&gt;$AI508))
) / 1000</f>
        <v>0</v>
      </c>
      <c r="CO508" s="253" cm="1">
        <f t="array" ref="CO508">$BC508 * IF($AD508&lt;=2,
SUMPRODUCT(INDEX($AL$23:$AN$61,,$AE508), INDEX($AO$23:$AU$61,,$AD508), 1 / ($AV$23:$AV$61*CM508), N($AK$23:$AK$61&gt;$AI508)),
SUMPRODUCT(INDEX($AL$23:$AN$46,,$AE508), INDEX($AO$23:$AU$46,,$AD508), 1 / ($AW$23:$AW$46*CM508), N($AK$23:$AK$46&gt;$AI508))
) / 1000</f>
        <v>0</v>
      </c>
      <c r="CP508" s="237">
        <f t="shared" si="587"/>
        <v>0</v>
      </c>
      <c r="CQ508" s="210"/>
    </row>
    <row r="509" spans="1:95" s="76" customFormat="1" ht="14.25" customHeight="1" x14ac:dyDescent="0.2">
      <c r="A509" s="238" t="b">
        <f t="shared" si="554"/>
        <v>0</v>
      </c>
      <c r="B509" s="239">
        <v>487</v>
      </c>
      <c r="C509" s="258"/>
      <c r="D509" s="258"/>
      <c r="E509" s="240"/>
      <c r="F509" s="241" t="str">
        <f>IF(ISBLANK(E509), "", VLOOKUP(E509, Z!$A$2:$C$4127, 3, FALSE))</f>
        <v/>
      </c>
      <c r="G509" s="242"/>
      <c r="H509" s="242"/>
      <c r="I509" s="243"/>
      <c r="J509" s="244"/>
      <c r="K509" s="259"/>
      <c r="L509" s="260"/>
      <c r="M509" s="247" t="str" cm="1">
        <f t="array" ref="M509">IF($K509&gt;0, INDEX(Clean,1+AG509,$C$1), "")</f>
        <v/>
      </c>
      <c r="N509" s="245"/>
      <c r="O509" s="245"/>
      <c r="P509" s="246"/>
      <c r="Q509" s="248">
        <f t="shared" si="564"/>
        <v>0</v>
      </c>
      <c r="R509" s="247" t="str" cm="1">
        <f t="array" ref="R509">IF($K509&gt;0, INDEX(Clean,1+AH509,$C$1), "")</f>
        <v/>
      </c>
      <c r="S509" s="245"/>
      <c r="T509" s="245"/>
      <c r="U509" s="246"/>
      <c r="V509" s="248">
        <f t="shared" si="565"/>
        <v>0</v>
      </c>
      <c r="W509" s="261"/>
      <c r="X509" s="258"/>
      <c r="Y509" s="240"/>
      <c r="Z509" s="241" t="str">
        <f>IF(ISBLANK(Y509), "", VLOOKUP(Y509, Z!$A$2:$C$4127, 3, FALSE))</f>
        <v/>
      </c>
      <c r="AA509" s="262"/>
      <c r="AB509" s="249">
        <f t="shared" si="563"/>
        <v>0</v>
      </c>
      <c r="AC509" s="210"/>
      <c r="AD509" s="236">
        <f t="shared" si="588"/>
        <v>1</v>
      </c>
      <c r="AE509" s="236">
        <f t="shared" si="589"/>
        <v>1</v>
      </c>
      <c r="AF509" s="236">
        <f t="shared" si="590"/>
        <v>0</v>
      </c>
      <c r="AG509" s="236">
        <v>1</v>
      </c>
      <c r="AH509" s="236">
        <v>0</v>
      </c>
      <c r="AI509" s="236">
        <f t="shared" si="566"/>
        <v>-100</v>
      </c>
      <c r="AJ509" s="210"/>
      <c r="AK509" s="254"/>
      <c r="AL509" s="254"/>
      <c r="AM509" s="255"/>
      <c r="AN509" s="255"/>
      <c r="AO509" s="255"/>
      <c r="AP509" s="255"/>
      <c r="AQ509" s="255"/>
      <c r="AR509" s="255"/>
      <c r="AS509" s="255"/>
      <c r="AT509" s="255"/>
      <c r="AU509" s="255"/>
      <c r="AV509" s="255"/>
      <c r="AW509" s="255"/>
      <c r="AX509" s="210"/>
      <c r="AY509" s="236" cm="1">
        <f t="array" ref="AY509">INDEX(Use, $AD509, 4)</f>
        <v>7</v>
      </c>
      <c r="AZ509" s="236">
        <f t="shared" si="567"/>
        <v>32</v>
      </c>
      <c r="BA509" s="236">
        <f t="shared" si="555"/>
        <v>13</v>
      </c>
      <c r="BB509" s="236">
        <f t="shared" si="556"/>
        <v>0</v>
      </c>
      <c r="BC509" s="252" cm="1">
        <f t="array" ref="BC509">K509/IF($L509&gt;0, INDEX($AO$23:$AU$77, $L509+20, $AD509), 1)</f>
        <v>0</v>
      </c>
      <c r="BD509" s="237">
        <f t="shared" si="568"/>
        <v>0</v>
      </c>
      <c r="BE509" s="236">
        <v>35</v>
      </c>
      <c r="BF509" s="237">
        <f t="shared" si="569"/>
        <v>52.55</v>
      </c>
      <c r="BG509" s="253">
        <f t="shared" si="570"/>
        <v>2.7676728869374316</v>
      </c>
      <c r="BH509" s="253" cm="1">
        <f t="array" ref="BH509">$BC509 * SUMPRODUCT(INDEX($AL$77:$AN$82,,$AE509),INDEX($AO$77:$AU$82,,$AD509), N($AK$77:$AK$82&gt;$AI509)) / BG509 / 1000</f>
        <v>0</v>
      </c>
      <c r="BI509" s="250">
        <f t="shared" si="557"/>
        <v>30</v>
      </c>
      <c r="BJ509" s="237">
        <f t="shared" si="571"/>
        <v>46.033333333333331</v>
      </c>
      <c r="BK509" s="253">
        <f t="shared" si="572"/>
        <v>3.2297395388556791</v>
      </c>
      <c r="BL509" s="253" cm="1">
        <f t="array" ref="BL509">$BC509 * IF($AD509&lt;=2,
SUMPRODUCT(INDEX($AL$72:$AN$76,,$AE509), INDEX($AO$72:$AU$76,,$AD509), 1 / ($AV$72:$AV$76*BK509 + (1-$AV$72:$AV$76)*BG509), N($AK$72:$AK$76&gt;$AI509)),
SUMPRODUCT(INDEX($AL$67:$AN$76,,$AE509), INDEX($AO$67:$AU$76,,$AD509), 1 / ($AW$67:$AW$76*BK509 + (1-$AW$67:$AW$76)*BG509), N($AK$67:$AK$76&gt;$AI509))
) / 1000</f>
        <v>0</v>
      </c>
      <c r="BM509" s="250">
        <f t="shared" si="558"/>
        <v>25</v>
      </c>
      <c r="BN509" s="237">
        <f t="shared" si="573"/>
        <v>39.516666666666666</v>
      </c>
      <c r="BO509" s="253">
        <f t="shared" si="574"/>
        <v>3.877011788826243</v>
      </c>
      <c r="BP509" s="253" cm="1">
        <f t="array" ref="BP509">$BC509 * IF($AD509&lt;=2,
SUMPRODUCT(INDEX($AL$67:$AN$71,,$AE509), INDEX($AO$67:$AU$71,,$AD509), 1 / ($AV$67:$AV$71*BO509 + (1-$AV$67:$AV$71)*BK509), N($AK$67:$AK$71&gt;$AI509)),
SUMPRODUCT(INDEX($AL$57:$AN$66,,$AE509), INDEX($AO$57:$AU$66,,$AD509), 1 / ($AW$57:$AW$66*BO509 + (1-$AW$57:$AW$66)*BK509), N($AK$57:$AK$66&gt;$AI509))
) / 1000</f>
        <v>0</v>
      </c>
      <c r="BQ509" s="250">
        <f t="shared" si="559"/>
        <v>20</v>
      </c>
      <c r="BR509" s="237">
        <f t="shared" si="575"/>
        <v>33</v>
      </c>
      <c r="BS509" s="253">
        <f t="shared" si="576"/>
        <v>4.8487499999999999</v>
      </c>
      <c r="BT509" s="253" cm="1">
        <f t="array" ref="BT509">$BC509 * IF($AD509&lt;=2,
SUMPRODUCT(INDEX($AL$62:$AN$66,,$AE509), INDEX($AO$62:$AU$66,,$AD509), 1 / ($AV$62:$AV$66*BS509 + (1-$AV$62:$AV$66)*BO509), N($AK$62:$AK$66&gt;$AI509)),
SUMPRODUCT(INDEX($AL$47:$AN$56,,$AE509), INDEX($AO$47:$AU$56,,$AD509), 1 / ($AW$47:$AW$56*BS509 + (1-$AW$47:$AW$56)*BO509), N($AK$47:$AK$56&gt;$AI509))
) / 1000</f>
        <v>0</v>
      </c>
      <c r="BU509" s="253" cm="1">
        <f t="array" ref="BU509">$BC509 * IF($AD509&lt;=2,
SUMPRODUCT(INDEX($AL$23:$AN$61,,$AE509), INDEX($AO$23:$AU$61,,$AD509), 1 / ($AV$23:$AV$61*BS509), N($AK$23:$AK$61&gt;$AI509)),
SUMPRODUCT(INDEX($AL$23:$AN$46,,$AE509), INDEX($AO$23:$AU$46,,$AD509), 1 / ($AW$23:$AW$46*BS509), N($AK$23:$AK$46&gt;$AI509))
) / 1000</f>
        <v>0</v>
      </c>
      <c r="BV509" s="237">
        <f t="shared" si="577"/>
        <v>0</v>
      </c>
      <c r="BW509" s="210"/>
      <c r="BX509" s="237">
        <f t="shared" si="578"/>
        <v>0</v>
      </c>
      <c r="BY509" s="236">
        <v>35</v>
      </c>
      <c r="BZ509" s="237">
        <f t="shared" si="579"/>
        <v>48</v>
      </c>
      <c r="CA509" s="253">
        <f t="shared" si="580"/>
        <v>3.0748170731707316</v>
      </c>
      <c r="CB509" s="253" cm="1">
        <f t="array" ref="CB509">$BC509 * SUMPRODUCT(INDEX($AL$77:$AN$82,,$AE509),INDEX($AO$77:$AU$82,,$AD509), N($AK$77:$AK$82&gt;$AI509)) / CA509 / 1000</f>
        <v>0</v>
      </c>
      <c r="CC509" s="250">
        <f t="shared" si="560"/>
        <v>30</v>
      </c>
      <c r="CD509" s="237">
        <f t="shared" si="581"/>
        <v>43</v>
      </c>
      <c r="CE509" s="253">
        <f t="shared" si="582"/>
        <v>3.5018750000000001</v>
      </c>
      <c r="CF509" s="253" cm="1">
        <f t="array" ref="CF509">$BC509 * IF($AD509&lt;=2,
SUMPRODUCT(INDEX($AL$72:$AN$76,,$AE509), INDEX($AO$72:$AU$76,,$AD509), 1 / ($AV$72:$AV$76*CE509 + (1-$AV$72:$AV$76)*CA509), N($AK$72:$AK$76&gt;$AI509)),
SUMPRODUCT(INDEX($AL$67:$AN$76,,$AE509), INDEX($AO$67:$AU$76,,$AD509), 1 / ($AW$67:$AW$76*CE509 + (1-$AW$67:$AW$76)*CA509), N($AK$67:$AK$76&gt;$AI509))
) / 1000</f>
        <v>0</v>
      </c>
      <c r="CG509" s="250">
        <f t="shared" si="561"/>
        <v>25</v>
      </c>
      <c r="CH509" s="237">
        <f t="shared" si="583"/>
        <v>38</v>
      </c>
      <c r="CI509" s="253">
        <f t="shared" si="584"/>
        <v>4.0666935483870965</v>
      </c>
      <c r="CJ509" s="253" cm="1">
        <f t="array" ref="CJ509">$BC509 * IF($AD509&lt;=2,
SUMPRODUCT(INDEX($AL$67:$AN$71,,$AE509), INDEX($AO$67:$AU$71,,$AD509), 1 / ($AV$67:$AV$71*CI509 + (1-$AV$67:$AV$71)*CE509), N($AK$67:$AK$71&gt;$AI509)),
SUMPRODUCT(INDEX($AL$57:$AN$66,,$AE509), INDEX($AO$57:$AU$66,,$AD509), 1 / ($AW$57:$AW$66*CI509 + (1-$AW$57:$AW$66)*CE509), N($AK$57:$AK$66&gt;$AI509))
) / 1000</f>
        <v>0</v>
      </c>
      <c r="CK509" s="250">
        <f t="shared" si="562"/>
        <v>20</v>
      </c>
      <c r="CL509" s="237">
        <f t="shared" si="585"/>
        <v>33</v>
      </c>
      <c r="CM509" s="253">
        <f t="shared" si="586"/>
        <v>4.8487499999999999</v>
      </c>
      <c r="CN509" s="253" cm="1">
        <f t="array" ref="CN509">$BC509 * IF($AD509&lt;=2,
SUMPRODUCT(INDEX($AL$62:$AN$66,,$AE509), INDEX($AO$62:$AU$66,,$AD509), 1 / ($AV$62:$AV$66*CM509 + (1-$AV$62:$AV$66)*CI509), N($AK$62:$AK$66&gt;$AI509)),
SUMPRODUCT(INDEX($AL$47:$AN$56,,$AE509), INDEX($AO$47:$AU$56,,$AD509), 1 / ($AW$47:$AW$56*CM509 + (1-$AW$47:$AW$56)*CI509), N($AK$47:$AK$56&gt;$AI509))
) / 1000</f>
        <v>0</v>
      </c>
      <c r="CO509" s="253" cm="1">
        <f t="array" ref="CO509">$BC509 * IF($AD509&lt;=2,
SUMPRODUCT(INDEX($AL$23:$AN$61,,$AE509), INDEX($AO$23:$AU$61,,$AD509), 1 / ($AV$23:$AV$61*CM509), N($AK$23:$AK$61&gt;$AI509)),
SUMPRODUCT(INDEX($AL$23:$AN$46,,$AE509), INDEX($AO$23:$AU$46,,$AD509), 1 / ($AW$23:$AW$46*CM509), N($AK$23:$AK$46&gt;$AI509))
) / 1000</f>
        <v>0</v>
      </c>
      <c r="CP509" s="237">
        <f t="shared" si="587"/>
        <v>0</v>
      </c>
      <c r="CQ509" s="210"/>
    </row>
    <row r="510" spans="1:95" s="76" customFormat="1" ht="14.25" customHeight="1" x14ac:dyDescent="0.2">
      <c r="A510" s="238" t="b">
        <f t="shared" si="554"/>
        <v>0</v>
      </c>
      <c r="B510" s="239">
        <v>488</v>
      </c>
      <c r="C510" s="258"/>
      <c r="D510" s="258"/>
      <c r="E510" s="240"/>
      <c r="F510" s="241" t="str">
        <f>IF(ISBLANK(E510), "", VLOOKUP(E510, Z!$A$2:$C$4127, 3, FALSE))</f>
        <v/>
      </c>
      <c r="G510" s="242"/>
      <c r="H510" s="242"/>
      <c r="I510" s="243"/>
      <c r="J510" s="244"/>
      <c r="K510" s="259"/>
      <c r="L510" s="260"/>
      <c r="M510" s="247" t="str" cm="1">
        <f t="array" ref="M510">IF($K510&gt;0, INDEX(Clean,1+AG510,$C$1), "")</f>
        <v/>
      </c>
      <c r="N510" s="245"/>
      <c r="O510" s="245"/>
      <c r="P510" s="246"/>
      <c r="Q510" s="248">
        <f t="shared" si="564"/>
        <v>0</v>
      </c>
      <c r="R510" s="247" t="str" cm="1">
        <f t="array" ref="R510">IF($K510&gt;0, INDEX(Clean,1+AH510,$C$1), "")</f>
        <v/>
      </c>
      <c r="S510" s="245"/>
      <c r="T510" s="245"/>
      <c r="U510" s="246"/>
      <c r="V510" s="248">
        <f t="shared" si="565"/>
        <v>0</v>
      </c>
      <c r="W510" s="261"/>
      <c r="X510" s="258"/>
      <c r="Y510" s="240"/>
      <c r="Z510" s="241" t="str">
        <f>IF(ISBLANK(Y510), "", VLOOKUP(Y510, Z!$A$2:$C$4127, 3, FALSE))</f>
        <v/>
      </c>
      <c r="AA510" s="262"/>
      <c r="AB510" s="249">
        <f t="shared" si="563"/>
        <v>0</v>
      </c>
      <c r="AC510" s="210"/>
      <c r="AD510" s="236">
        <f t="shared" si="588"/>
        <v>1</v>
      </c>
      <c r="AE510" s="236">
        <f t="shared" si="589"/>
        <v>1</v>
      </c>
      <c r="AF510" s="236">
        <f t="shared" si="590"/>
        <v>0</v>
      </c>
      <c r="AG510" s="236">
        <v>1</v>
      </c>
      <c r="AH510" s="236">
        <v>0</v>
      </c>
      <c r="AI510" s="236">
        <f t="shared" si="566"/>
        <v>-100</v>
      </c>
      <c r="AJ510" s="210"/>
      <c r="AK510" s="254"/>
      <c r="AL510" s="254"/>
      <c r="AM510" s="255"/>
      <c r="AN510" s="255"/>
      <c r="AO510" s="255"/>
      <c r="AP510" s="255"/>
      <c r="AQ510" s="255"/>
      <c r="AR510" s="255"/>
      <c r="AS510" s="255"/>
      <c r="AT510" s="255"/>
      <c r="AU510" s="255"/>
      <c r="AV510" s="255"/>
      <c r="AW510" s="255"/>
      <c r="AX510" s="210"/>
      <c r="AY510" s="236" cm="1">
        <f t="array" ref="AY510">INDEX(Use, $AD510, 4)</f>
        <v>7</v>
      </c>
      <c r="AZ510" s="236">
        <f t="shared" si="567"/>
        <v>32</v>
      </c>
      <c r="BA510" s="236">
        <f t="shared" si="555"/>
        <v>13</v>
      </c>
      <c r="BB510" s="236">
        <f t="shared" si="556"/>
        <v>0</v>
      </c>
      <c r="BC510" s="252" cm="1">
        <f t="array" ref="BC510">K510/IF($L510&gt;0, INDEX($AO$23:$AU$77, $L510+20, $AD510), 1)</f>
        <v>0</v>
      </c>
      <c r="BD510" s="237">
        <f t="shared" si="568"/>
        <v>0</v>
      </c>
      <c r="BE510" s="236">
        <v>35</v>
      </c>
      <c r="BF510" s="237">
        <f t="shared" si="569"/>
        <v>52.55</v>
      </c>
      <c r="BG510" s="253">
        <f t="shared" si="570"/>
        <v>2.7676728869374316</v>
      </c>
      <c r="BH510" s="253" cm="1">
        <f t="array" ref="BH510">$BC510 * SUMPRODUCT(INDEX($AL$77:$AN$82,,$AE510),INDEX($AO$77:$AU$82,,$AD510), N($AK$77:$AK$82&gt;$AI510)) / BG510 / 1000</f>
        <v>0</v>
      </c>
      <c r="BI510" s="250">
        <f t="shared" si="557"/>
        <v>30</v>
      </c>
      <c r="BJ510" s="237">
        <f t="shared" si="571"/>
        <v>46.033333333333331</v>
      </c>
      <c r="BK510" s="253">
        <f t="shared" si="572"/>
        <v>3.2297395388556791</v>
      </c>
      <c r="BL510" s="253" cm="1">
        <f t="array" ref="BL510">$BC510 * IF($AD510&lt;=2,
SUMPRODUCT(INDEX($AL$72:$AN$76,,$AE510), INDEX($AO$72:$AU$76,,$AD510), 1 / ($AV$72:$AV$76*BK510 + (1-$AV$72:$AV$76)*BG510), N($AK$72:$AK$76&gt;$AI510)),
SUMPRODUCT(INDEX($AL$67:$AN$76,,$AE510), INDEX($AO$67:$AU$76,,$AD510), 1 / ($AW$67:$AW$76*BK510 + (1-$AW$67:$AW$76)*BG510), N($AK$67:$AK$76&gt;$AI510))
) / 1000</f>
        <v>0</v>
      </c>
      <c r="BM510" s="250">
        <f t="shared" si="558"/>
        <v>25</v>
      </c>
      <c r="BN510" s="237">
        <f t="shared" si="573"/>
        <v>39.516666666666666</v>
      </c>
      <c r="BO510" s="253">
        <f t="shared" si="574"/>
        <v>3.877011788826243</v>
      </c>
      <c r="BP510" s="253" cm="1">
        <f t="array" ref="BP510">$BC510 * IF($AD510&lt;=2,
SUMPRODUCT(INDEX($AL$67:$AN$71,,$AE510), INDEX($AO$67:$AU$71,,$AD510), 1 / ($AV$67:$AV$71*BO510 + (1-$AV$67:$AV$71)*BK510), N($AK$67:$AK$71&gt;$AI510)),
SUMPRODUCT(INDEX($AL$57:$AN$66,,$AE510), INDEX($AO$57:$AU$66,,$AD510), 1 / ($AW$57:$AW$66*BO510 + (1-$AW$57:$AW$66)*BK510), N($AK$57:$AK$66&gt;$AI510))
) / 1000</f>
        <v>0</v>
      </c>
      <c r="BQ510" s="250">
        <f t="shared" si="559"/>
        <v>20</v>
      </c>
      <c r="BR510" s="237">
        <f t="shared" si="575"/>
        <v>33</v>
      </c>
      <c r="BS510" s="253">
        <f t="shared" si="576"/>
        <v>4.8487499999999999</v>
      </c>
      <c r="BT510" s="253" cm="1">
        <f t="array" ref="BT510">$BC510 * IF($AD510&lt;=2,
SUMPRODUCT(INDEX($AL$62:$AN$66,,$AE510), INDEX($AO$62:$AU$66,,$AD510), 1 / ($AV$62:$AV$66*BS510 + (1-$AV$62:$AV$66)*BO510), N($AK$62:$AK$66&gt;$AI510)),
SUMPRODUCT(INDEX($AL$47:$AN$56,,$AE510), INDEX($AO$47:$AU$56,,$AD510), 1 / ($AW$47:$AW$56*BS510 + (1-$AW$47:$AW$56)*BO510), N($AK$47:$AK$56&gt;$AI510))
) / 1000</f>
        <v>0</v>
      </c>
      <c r="BU510" s="253" cm="1">
        <f t="array" ref="BU510">$BC510 * IF($AD510&lt;=2,
SUMPRODUCT(INDEX($AL$23:$AN$61,,$AE510), INDEX($AO$23:$AU$61,,$AD510), 1 / ($AV$23:$AV$61*BS510), N($AK$23:$AK$61&gt;$AI510)),
SUMPRODUCT(INDEX($AL$23:$AN$46,,$AE510), INDEX($AO$23:$AU$46,,$AD510), 1 / ($AW$23:$AW$46*BS510), N($AK$23:$AK$46&gt;$AI510))
) / 1000</f>
        <v>0</v>
      </c>
      <c r="BV510" s="237">
        <f t="shared" si="577"/>
        <v>0</v>
      </c>
      <c r="BW510" s="210"/>
      <c r="BX510" s="237">
        <f t="shared" si="578"/>
        <v>0</v>
      </c>
      <c r="BY510" s="236">
        <v>35</v>
      </c>
      <c r="BZ510" s="237">
        <f t="shared" si="579"/>
        <v>48</v>
      </c>
      <c r="CA510" s="253">
        <f t="shared" si="580"/>
        <v>3.0748170731707316</v>
      </c>
      <c r="CB510" s="253" cm="1">
        <f t="array" ref="CB510">$BC510 * SUMPRODUCT(INDEX($AL$77:$AN$82,,$AE510),INDEX($AO$77:$AU$82,,$AD510), N($AK$77:$AK$82&gt;$AI510)) / CA510 / 1000</f>
        <v>0</v>
      </c>
      <c r="CC510" s="250">
        <f t="shared" si="560"/>
        <v>30</v>
      </c>
      <c r="CD510" s="237">
        <f t="shared" si="581"/>
        <v>43</v>
      </c>
      <c r="CE510" s="253">
        <f t="shared" si="582"/>
        <v>3.5018750000000001</v>
      </c>
      <c r="CF510" s="253" cm="1">
        <f t="array" ref="CF510">$BC510 * IF($AD510&lt;=2,
SUMPRODUCT(INDEX($AL$72:$AN$76,,$AE510), INDEX($AO$72:$AU$76,,$AD510), 1 / ($AV$72:$AV$76*CE510 + (1-$AV$72:$AV$76)*CA510), N($AK$72:$AK$76&gt;$AI510)),
SUMPRODUCT(INDEX($AL$67:$AN$76,,$AE510), INDEX($AO$67:$AU$76,,$AD510), 1 / ($AW$67:$AW$76*CE510 + (1-$AW$67:$AW$76)*CA510), N($AK$67:$AK$76&gt;$AI510))
) / 1000</f>
        <v>0</v>
      </c>
      <c r="CG510" s="250">
        <f t="shared" si="561"/>
        <v>25</v>
      </c>
      <c r="CH510" s="237">
        <f t="shared" si="583"/>
        <v>38</v>
      </c>
      <c r="CI510" s="253">
        <f t="shared" si="584"/>
        <v>4.0666935483870965</v>
      </c>
      <c r="CJ510" s="253" cm="1">
        <f t="array" ref="CJ510">$BC510 * IF($AD510&lt;=2,
SUMPRODUCT(INDEX($AL$67:$AN$71,,$AE510), INDEX($AO$67:$AU$71,,$AD510), 1 / ($AV$67:$AV$71*CI510 + (1-$AV$67:$AV$71)*CE510), N($AK$67:$AK$71&gt;$AI510)),
SUMPRODUCT(INDEX($AL$57:$AN$66,,$AE510), INDEX($AO$57:$AU$66,,$AD510), 1 / ($AW$57:$AW$66*CI510 + (1-$AW$57:$AW$66)*CE510), N($AK$57:$AK$66&gt;$AI510))
) / 1000</f>
        <v>0</v>
      </c>
      <c r="CK510" s="250">
        <f t="shared" si="562"/>
        <v>20</v>
      </c>
      <c r="CL510" s="237">
        <f t="shared" si="585"/>
        <v>33</v>
      </c>
      <c r="CM510" s="253">
        <f t="shared" si="586"/>
        <v>4.8487499999999999</v>
      </c>
      <c r="CN510" s="253" cm="1">
        <f t="array" ref="CN510">$BC510 * IF($AD510&lt;=2,
SUMPRODUCT(INDEX($AL$62:$AN$66,,$AE510), INDEX($AO$62:$AU$66,,$AD510), 1 / ($AV$62:$AV$66*CM510 + (1-$AV$62:$AV$66)*CI510), N($AK$62:$AK$66&gt;$AI510)),
SUMPRODUCT(INDEX($AL$47:$AN$56,,$AE510), INDEX($AO$47:$AU$56,,$AD510), 1 / ($AW$47:$AW$56*CM510 + (1-$AW$47:$AW$56)*CI510), N($AK$47:$AK$56&gt;$AI510))
) / 1000</f>
        <v>0</v>
      </c>
      <c r="CO510" s="253" cm="1">
        <f t="array" ref="CO510">$BC510 * IF($AD510&lt;=2,
SUMPRODUCT(INDEX($AL$23:$AN$61,,$AE510), INDEX($AO$23:$AU$61,,$AD510), 1 / ($AV$23:$AV$61*CM510), N($AK$23:$AK$61&gt;$AI510)),
SUMPRODUCT(INDEX($AL$23:$AN$46,,$AE510), INDEX($AO$23:$AU$46,,$AD510), 1 / ($AW$23:$AW$46*CM510), N($AK$23:$AK$46&gt;$AI510))
) / 1000</f>
        <v>0</v>
      </c>
      <c r="CP510" s="237">
        <f t="shared" si="587"/>
        <v>0</v>
      </c>
      <c r="CQ510" s="210"/>
    </row>
    <row r="511" spans="1:95" s="76" customFormat="1" ht="14.25" customHeight="1" x14ac:dyDescent="0.2">
      <c r="A511" s="238" t="b">
        <f t="shared" si="554"/>
        <v>0</v>
      </c>
      <c r="B511" s="239">
        <v>489</v>
      </c>
      <c r="C511" s="258"/>
      <c r="D511" s="258"/>
      <c r="E511" s="240"/>
      <c r="F511" s="241" t="str">
        <f>IF(ISBLANK(E511), "", VLOOKUP(E511, Z!$A$2:$C$4127, 3, FALSE))</f>
        <v/>
      </c>
      <c r="G511" s="242"/>
      <c r="H511" s="242"/>
      <c r="I511" s="243"/>
      <c r="J511" s="244"/>
      <c r="K511" s="259"/>
      <c r="L511" s="260"/>
      <c r="M511" s="247" t="str" cm="1">
        <f t="array" ref="M511">IF($K511&gt;0, INDEX(Clean,1+AG511,$C$1), "")</f>
        <v/>
      </c>
      <c r="N511" s="245"/>
      <c r="O511" s="245"/>
      <c r="P511" s="246"/>
      <c r="Q511" s="248">
        <f t="shared" si="564"/>
        <v>0</v>
      </c>
      <c r="R511" s="247" t="str" cm="1">
        <f t="array" ref="R511">IF($K511&gt;0, INDEX(Clean,1+AH511,$C$1), "")</f>
        <v/>
      </c>
      <c r="S511" s="245"/>
      <c r="T511" s="245"/>
      <c r="U511" s="246"/>
      <c r="V511" s="248">
        <f t="shared" si="565"/>
        <v>0</v>
      </c>
      <c r="W511" s="261"/>
      <c r="X511" s="258"/>
      <c r="Y511" s="240"/>
      <c r="Z511" s="241" t="str">
        <f>IF(ISBLANK(Y511), "", VLOOKUP(Y511, Z!$A$2:$C$4127, 3, FALSE))</f>
        <v/>
      </c>
      <c r="AA511" s="262"/>
      <c r="AB511" s="249">
        <f t="shared" si="563"/>
        <v>0</v>
      </c>
      <c r="AC511" s="210"/>
      <c r="AD511" s="236">
        <f t="shared" si="588"/>
        <v>1</v>
      </c>
      <c r="AE511" s="236">
        <f t="shared" si="589"/>
        <v>1</v>
      </c>
      <c r="AF511" s="236">
        <f t="shared" si="590"/>
        <v>0</v>
      </c>
      <c r="AG511" s="236">
        <v>1</v>
      </c>
      <c r="AH511" s="236">
        <v>0</v>
      </c>
      <c r="AI511" s="236">
        <f t="shared" si="566"/>
        <v>-100</v>
      </c>
      <c r="AJ511" s="210"/>
      <c r="AK511" s="254"/>
      <c r="AL511" s="254"/>
      <c r="AM511" s="255"/>
      <c r="AN511" s="255"/>
      <c r="AO511" s="255"/>
      <c r="AP511" s="255"/>
      <c r="AQ511" s="255"/>
      <c r="AR511" s="255"/>
      <c r="AS511" s="255"/>
      <c r="AT511" s="255"/>
      <c r="AU511" s="255"/>
      <c r="AV511" s="255"/>
      <c r="AW511" s="255"/>
      <c r="AX511" s="210"/>
      <c r="AY511" s="236" cm="1">
        <f t="array" ref="AY511">INDEX(Use, $AD511, 4)</f>
        <v>7</v>
      </c>
      <c r="AZ511" s="236">
        <f t="shared" si="567"/>
        <v>32</v>
      </c>
      <c r="BA511" s="236">
        <f t="shared" si="555"/>
        <v>13</v>
      </c>
      <c r="BB511" s="236">
        <f t="shared" si="556"/>
        <v>0</v>
      </c>
      <c r="BC511" s="252" cm="1">
        <f t="array" ref="BC511">K511/IF($L511&gt;0, INDEX($AO$23:$AU$77, $L511+20, $AD511), 1)</f>
        <v>0</v>
      </c>
      <c r="BD511" s="237">
        <f t="shared" si="568"/>
        <v>0</v>
      </c>
      <c r="BE511" s="236">
        <v>35</v>
      </c>
      <c r="BF511" s="237">
        <f t="shared" si="569"/>
        <v>52.55</v>
      </c>
      <c r="BG511" s="253">
        <f t="shared" si="570"/>
        <v>2.7676728869374316</v>
      </c>
      <c r="BH511" s="253" cm="1">
        <f t="array" ref="BH511">$BC511 * SUMPRODUCT(INDEX($AL$77:$AN$82,,$AE511),INDEX($AO$77:$AU$82,,$AD511), N($AK$77:$AK$82&gt;$AI511)) / BG511 / 1000</f>
        <v>0</v>
      </c>
      <c r="BI511" s="250">
        <f t="shared" si="557"/>
        <v>30</v>
      </c>
      <c r="BJ511" s="237">
        <f t="shared" si="571"/>
        <v>46.033333333333331</v>
      </c>
      <c r="BK511" s="253">
        <f t="shared" si="572"/>
        <v>3.2297395388556791</v>
      </c>
      <c r="BL511" s="253" cm="1">
        <f t="array" ref="BL511">$BC511 * IF($AD511&lt;=2,
SUMPRODUCT(INDEX($AL$72:$AN$76,,$AE511), INDEX($AO$72:$AU$76,,$AD511), 1 / ($AV$72:$AV$76*BK511 + (1-$AV$72:$AV$76)*BG511), N($AK$72:$AK$76&gt;$AI511)),
SUMPRODUCT(INDEX($AL$67:$AN$76,,$AE511), INDEX($AO$67:$AU$76,,$AD511), 1 / ($AW$67:$AW$76*BK511 + (1-$AW$67:$AW$76)*BG511), N($AK$67:$AK$76&gt;$AI511))
) / 1000</f>
        <v>0</v>
      </c>
      <c r="BM511" s="250">
        <f t="shared" si="558"/>
        <v>25</v>
      </c>
      <c r="BN511" s="237">
        <f t="shared" si="573"/>
        <v>39.516666666666666</v>
      </c>
      <c r="BO511" s="253">
        <f t="shared" si="574"/>
        <v>3.877011788826243</v>
      </c>
      <c r="BP511" s="253" cm="1">
        <f t="array" ref="BP511">$BC511 * IF($AD511&lt;=2,
SUMPRODUCT(INDEX($AL$67:$AN$71,,$AE511), INDEX($AO$67:$AU$71,,$AD511), 1 / ($AV$67:$AV$71*BO511 + (1-$AV$67:$AV$71)*BK511), N($AK$67:$AK$71&gt;$AI511)),
SUMPRODUCT(INDEX($AL$57:$AN$66,,$AE511), INDEX($AO$57:$AU$66,,$AD511), 1 / ($AW$57:$AW$66*BO511 + (1-$AW$57:$AW$66)*BK511), N($AK$57:$AK$66&gt;$AI511))
) / 1000</f>
        <v>0</v>
      </c>
      <c r="BQ511" s="250">
        <f t="shared" si="559"/>
        <v>20</v>
      </c>
      <c r="BR511" s="237">
        <f t="shared" si="575"/>
        <v>33</v>
      </c>
      <c r="BS511" s="253">
        <f t="shared" si="576"/>
        <v>4.8487499999999999</v>
      </c>
      <c r="BT511" s="253" cm="1">
        <f t="array" ref="BT511">$BC511 * IF($AD511&lt;=2,
SUMPRODUCT(INDEX($AL$62:$AN$66,,$AE511), INDEX($AO$62:$AU$66,,$AD511), 1 / ($AV$62:$AV$66*BS511 + (1-$AV$62:$AV$66)*BO511), N($AK$62:$AK$66&gt;$AI511)),
SUMPRODUCT(INDEX($AL$47:$AN$56,,$AE511), INDEX($AO$47:$AU$56,,$AD511), 1 / ($AW$47:$AW$56*BS511 + (1-$AW$47:$AW$56)*BO511), N($AK$47:$AK$56&gt;$AI511))
) / 1000</f>
        <v>0</v>
      </c>
      <c r="BU511" s="253" cm="1">
        <f t="array" ref="BU511">$BC511 * IF($AD511&lt;=2,
SUMPRODUCT(INDEX($AL$23:$AN$61,,$AE511), INDEX($AO$23:$AU$61,,$AD511), 1 / ($AV$23:$AV$61*BS511), N($AK$23:$AK$61&gt;$AI511)),
SUMPRODUCT(INDEX($AL$23:$AN$46,,$AE511), INDEX($AO$23:$AU$46,,$AD511), 1 / ($AW$23:$AW$46*BS511), N($AK$23:$AK$46&gt;$AI511))
) / 1000</f>
        <v>0</v>
      </c>
      <c r="BV511" s="237">
        <f t="shared" si="577"/>
        <v>0</v>
      </c>
      <c r="BW511" s="210"/>
      <c r="BX511" s="237">
        <f t="shared" si="578"/>
        <v>0</v>
      </c>
      <c r="BY511" s="236">
        <v>35</v>
      </c>
      <c r="BZ511" s="237">
        <f t="shared" si="579"/>
        <v>48</v>
      </c>
      <c r="CA511" s="253">
        <f t="shared" si="580"/>
        <v>3.0748170731707316</v>
      </c>
      <c r="CB511" s="253" cm="1">
        <f t="array" ref="CB511">$BC511 * SUMPRODUCT(INDEX($AL$77:$AN$82,,$AE511),INDEX($AO$77:$AU$82,,$AD511), N($AK$77:$AK$82&gt;$AI511)) / CA511 / 1000</f>
        <v>0</v>
      </c>
      <c r="CC511" s="250">
        <f t="shared" si="560"/>
        <v>30</v>
      </c>
      <c r="CD511" s="237">
        <f t="shared" si="581"/>
        <v>43</v>
      </c>
      <c r="CE511" s="253">
        <f t="shared" si="582"/>
        <v>3.5018750000000001</v>
      </c>
      <c r="CF511" s="253" cm="1">
        <f t="array" ref="CF511">$BC511 * IF($AD511&lt;=2,
SUMPRODUCT(INDEX($AL$72:$AN$76,,$AE511), INDEX($AO$72:$AU$76,,$AD511), 1 / ($AV$72:$AV$76*CE511 + (1-$AV$72:$AV$76)*CA511), N($AK$72:$AK$76&gt;$AI511)),
SUMPRODUCT(INDEX($AL$67:$AN$76,,$AE511), INDEX($AO$67:$AU$76,,$AD511), 1 / ($AW$67:$AW$76*CE511 + (1-$AW$67:$AW$76)*CA511), N($AK$67:$AK$76&gt;$AI511))
) / 1000</f>
        <v>0</v>
      </c>
      <c r="CG511" s="250">
        <f t="shared" si="561"/>
        <v>25</v>
      </c>
      <c r="CH511" s="237">
        <f t="shared" si="583"/>
        <v>38</v>
      </c>
      <c r="CI511" s="253">
        <f t="shared" si="584"/>
        <v>4.0666935483870965</v>
      </c>
      <c r="CJ511" s="253" cm="1">
        <f t="array" ref="CJ511">$BC511 * IF($AD511&lt;=2,
SUMPRODUCT(INDEX($AL$67:$AN$71,,$AE511), INDEX($AO$67:$AU$71,,$AD511), 1 / ($AV$67:$AV$71*CI511 + (1-$AV$67:$AV$71)*CE511), N($AK$67:$AK$71&gt;$AI511)),
SUMPRODUCT(INDEX($AL$57:$AN$66,,$AE511), INDEX($AO$57:$AU$66,,$AD511), 1 / ($AW$57:$AW$66*CI511 + (1-$AW$57:$AW$66)*CE511), N($AK$57:$AK$66&gt;$AI511))
) / 1000</f>
        <v>0</v>
      </c>
      <c r="CK511" s="250">
        <f t="shared" si="562"/>
        <v>20</v>
      </c>
      <c r="CL511" s="237">
        <f t="shared" si="585"/>
        <v>33</v>
      </c>
      <c r="CM511" s="253">
        <f t="shared" si="586"/>
        <v>4.8487499999999999</v>
      </c>
      <c r="CN511" s="253" cm="1">
        <f t="array" ref="CN511">$BC511 * IF($AD511&lt;=2,
SUMPRODUCT(INDEX($AL$62:$AN$66,,$AE511), INDEX($AO$62:$AU$66,,$AD511), 1 / ($AV$62:$AV$66*CM511 + (1-$AV$62:$AV$66)*CI511), N($AK$62:$AK$66&gt;$AI511)),
SUMPRODUCT(INDEX($AL$47:$AN$56,,$AE511), INDEX($AO$47:$AU$56,,$AD511), 1 / ($AW$47:$AW$56*CM511 + (1-$AW$47:$AW$56)*CI511), N($AK$47:$AK$56&gt;$AI511))
) / 1000</f>
        <v>0</v>
      </c>
      <c r="CO511" s="253" cm="1">
        <f t="array" ref="CO511">$BC511 * IF($AD511&lt;=2,
SUMPRODUCT(INDEX($AL$23:$AN$61,,$AE511), INDEX($AO$23:$AU$61,,$AD511), 1 / ($AV$23:$AV$61*CM511), N($AK$23:$AK$61&gt;$AI511)),
SUMPRODUCT(INDEX($AL$23:$AN$46,,$AE511), INDEX($AO$23:$AU$46,,$AD511), 1 / ($AW$23:$AW$46*CM511), N($AK$23:$AK$46&gt;$AI511))
) / 1000</f>
        <v>0</v>
      </c>
      <c r="CP511" s="237">
        <f t="shared" si="587"/>
        <v>0</v>
      </c>
      <c r="CQ511" s="210"/>
    </row>
    <row r="512" spans="1:95" s="76" customFormat="1" ht="14.25" customHeight="1" x14ac:dyDescent="0.2">
      <c r="A512" s="238" t="b">
        <f t="shared" si="554"/>
        <v>0</v>
      </c>
      <c r="B512" s="239">
        <v>490</v>
      </c>
      <c r="C512" s="258"/>
      <c r="D512" s="258"/>
      <c r="E512" s="240"/>
      <c r="F512" s="241" t="str">
        <f>IF(ISBLANK(E512), "", VLOOKUP(E512, Z!$A$2:$C$4127, 3, FALSE))</f>
        <v/>
      </c>
      <c r="G512" s="242"/>
      <c r="H512" s="242"/>
      <c r="I512" s="243"/>
      <c r="J512" s="244"/>
      <c r="K512" s="259"/>
      <c r="L512" s="260"/>
      <c r="M512" s="247" t="str" cm="1">
        <f t="array" ref="M512">IF($K512&gt;0, INDEX(Clean,1+AG512,$C$1), "")</f>
        <v/>
      </c>
      <c r="N512" s="245"/>
      <c r="O512" s="245"/>
      <c r="P512" s="246"/>
      <c r="Q512" s="248">
        <f t="shared" si="564"/>
        <v>0</v>
      </c>
      <c r="R512" s="247" t="str" cm="1">
        <f t="array" ref="R512">IF($K512&gt;0, INDEX(Clean,1+AH512,$C$1), "")</f>
        <v/>
      </c>
      <c r="S512" s="245"/>
      <c r="T512" s="245"/>
      <c r="U512" s="246"/>
      <c r="V512" s="248">
        <f t="shared" si="565"/>
        <v>0</v>
      </c>
      <c r="W512" s="261"/>
      <c r="X512" s="258"/>
      <c r="Y512" s="240"/>
      <c r="Z512" s="241" t="str">
        <f>IF(ISBLANK(Y512), "", VLOOKUP(Y512, Z!$A$2:$C$4127, 3, FALSE))</f>
        <v/>
      </c>
      <c r="AA512" s="262"/>
      <c r="AB512" s="249">
        <f t="shared" si="563"/>
        <v>0</v>
      </c>
      <c r="AC512" s="210"/>
      <c r="AD512" s="236">
        <f t="shared" si="588"/>
        <v>1</v>
      </c>
      <c r="AE512" s="236">
        <f t="shared" si="589"/>
        <v>1</v>
      </c>
      <c r="AF512" s="236">
        <f t="shared" si="590"/>
        <v>0</v>
      </c>
      <c r="AG512" s="236">
        <v>1</v>
      </c>
      <c r="AH512" s="236">
        <v>0</v>
      </c>
      <c r="AI512" s="236">
        <f t="shared" si="566"/>
        <v>-100</v>
      </c>
      <c r="AJ512" s="210"/>
      <c r="AK512" s="254"/>
      <c r="AL512" s="254"/>
      <c r="AM512" s="255"/>
      <c r="AN512" s="255"/>
      <c r="AO512" s="255"/>
      <c r="AP512" s="255"/>
      <c r="AQ512" s="255"/>
      <c r="AR512" s="255"/>
      <c r="AS512" s="255"/>
      <c r="AT512" s="255"/>
      <c r="AU512" s="255"/>
      <c r="AV512" s="255"/>
      <c r="AW512" s="255"/>
      <c r="AX512" s="210"/>
      <c r="AY512" s="236" cm="1">
        <f t="array" ref="AY512">INDEX(Use, $AD512, 4)</f>
        <v>7</v>
      </c>
      <c r="AZ512" s="236">
        <f t="shared" si="567"/>
        <v>32</v>
      </c>
      <c r="BA512" s="236">
        <f t="shared" si="555"/>
        <v>13</v>
      </c>
      <c r="BB512" s="236">
        <f t="shared" si="556"/>
        <v>0</v>
      </c>
      <c r="BC512" s="252" cm="1">
        <f t="array" ref="BC512">K512/IF($L512&gt;0, INDEX($AO$23:$AU$77, $L512+20, $AD512), 1)</f>
        <v>0</v>
      </c>
      <c r="BD512" s="237">
        <f t="shared" si="568"/>
        <v>0</v>
      </c>
      <c r="BE512" s="236">
        <v>35</v>
      </c>
      <c r="BF512" s="237">
        <f t="shared" si="569"/>
        <v>52.55</v>
      </c>
      <c r="BG512" s="253">
        <f t="shared" si="570"/>
        <v>2.7676728869374316</v>
      </c>
      <c r="BH512" s="253" cm="1">
        <f t="array" ref="BH512">$BC512 * SUMPRODUCT(INDEX($AL$77:$AN$82,,$AE512),INDEX($AO$77:$AU$82,,$AD512), N($AK$77:$AK$82&gt;$AI512)) / BG512 / 1000</f>
        <v>0</v>
      </c>
      <c r="BI512" s="250">
        <f t="shared" si="557"/>
        <v>30</v>
      </c>
      <c r="BJ512" s="237">
        <f t="shared" si="571"/>
        <v>46.033333333333331</v>
      </c>
      <c r="BK512" s="253">
        <f t="shared" si="572"/>
        <v>3.2297395388556791</v>
      </c>
      <c r="BL512" s="253" cm="1">
        <f t="array" ref="BL512">$BC512 * IF($AD512&lt;=2,
SUMPRODUCT(INDEX($AL$72:$AN$76,,$AE512), INDEX($AO$72:$AU$76,,$AD512), 1 / ($AV$72:$AV$76*BK512 + (1-$AV$72:$AV$76)*BG512), N($AK$72:$AK$76&gt;$AI512)),
SUMPRODUCT(INDEX($AL$67:$AN$76,,$AE512), INDEX($AO$67:$AU$76,,$AD512), 1 / ($AW$67:$AW$76*BK512 + (1-$AW$67:$AW$76)*BG512), N($AK$67:$AK$76&gt;$AI512))
) / 1000</f>
        <v>0</v>
      </c>
      <c r="BM512" s="250">
        <f t="shared" si="558"/>
        <v>25</v>
      </c>
      <c r="BN512" s="237">
        <f t="shared" si="573"/>
        <v>39.516666666666666</v>
      </c>
      <c r="BO512" s="253">
        <f t="shared" si="574"/>
        <v>3.877011788826243</v>
      </c>
      <c r="BP512" s="253" cm="1">
        <f t="array" ref="BP512">$BC512 * IF($AD512&lt;=2,
SUMPRODUCT(INDEX($AL$67:$AN$71,,$AE512), INDEX($AO$67:$AU$71,,$AD512), 1 / ($AV$67:$AV$71*BO512 + (1-$AV$67:$AV$71)*BK512), N($AK$67:$AK$71&gt;$AI512)),
SUMPRODUCT(INDEX($AL$57:$AN$66,,$AE512), INDEX($AO$57:$AU$66,,$AD512), 1 / ($AW$57:$AW$66*BO512 + (1-$AW$57:$AW$66)*BK512), N($AK$57:$AK$66&gt;$AI512))
) / 1000</f>
        <v>0</v>
      </c>
      <c r="BQ512" s="250">
        <f t="shared" si="559"/>
        <v>20</v>
      </c>
      <c r="BR512" s="237">
        <f t="shared" si="575"/>
        <v>33</v>
      </c>
      <c r="BS512" s="253">
        <f t="shared" si="576"/>
        <v>4.8487499999999999</v>
      </c>
      <c r="BT512" s="253" cm="1">
        <f t="array" ref="BT512">$BC512 * IF($AD512&lt;=2,
SUMPRODUCT(INDEX($AL$62:$AN$66,,$AE512), INDEX($AO$62:$AU$66,,$AD512), 1 / ($AV$62:$AV$66*BS512 + (1-$AV$62:$AV$66)*BO512), N($AK$62:$AK$66&gt;$AI512)),
SUMPRODUCT(INDEX($AL$47:$AN$56,,$AE512), INDEX($AO$47:$AU$56,,$AD512), 1 / ($AW$47:$AW$56*BS512 + (1-$AW$47:$AW$56)*BO512), N($AK$47:$AK$56&gt;$AI512))
) / 1000</f>
        <v>0</v>
      </c>
      <c r="BU512" s="253" cm="1">
        <f t="array" ref="BU512">$BC512 * IF($AD512&lt;=2,
SUMPRODUCT(INDEX($AL$23:$AN$61,,$AE512), INDEX($AO$23:$AU$61,,$AD512), 1 / ($AV$23:$AV$61*BS512), N($AK$23:$AK$61&gt;$AI512)),
SUMPRODUCT(INDEX($AL$23:$AN$46,,$AE512), INDEX($AO$23:$AU$46,,$AD512), 1 / ($AW$23:$AW$46*BS512), N($AK$23:$AK$46&gt;$AI512))
) / 1000</f>
        <v>0</v>
      </c>
      <c r="BV512" s="237">
        <f t="shared" si="577"/>
        <v>0</v>
      </c>
      <c r="BW512" s="210"/>
      <c r="BX512" s="237">
        <f t="shared" si="578"/>
        <v>0</v>
      </c>
      <c r="BY512" s="236">
        <v>35</v>
      </c>
      <c r="BZ512" s="237">
        <f t="shared" si="579"/>
        <v>48</v>
      </c>
      <c r="CA512" s="253">
        <f t="shared" si="580"/>
        <v>3.0748170731707316</v>
      </c>
      <c r="CB512" s="253" cm="1">
        <f t="array" ref="CB512">$BC512 * SUMPRODUCT(INDEX($AL$77:$AN$82,,$AE512),INDEX($AO$77:$AU$82,,$AD512), N($AK$77:$AK$82&gt;$AI512)) / CA512 / 1000</f>
        <v>0</v>
      </c>
      <c r="CC512" s="250">
        <f t="shared" si="560"/>
        <v>30</v>
      </c>
      <c r="CD512" s="237">
        <f t="shared" si="581"/>
        <v>43</v>
      </c>
      <c r="CE512" s="253">
        <f t="shared" si="582"/>
        <v>3.5018750000000001</v>
      </c>
      <c r="CF512" s="253" cm="1">
        <f t="array" ref="CF512">$BC512 * IF($AD512&lt;=2,
SUMPRODUCT(INDEX($AL$72:$AN$76,,$AE512), INDEX($AO$72:$AU$76,,$AD512), 1 / ($AV$72:$AV$76*CE512 + (1-$AV$72:$AV$76)*CA512), N($AK$72:$AK$76&gt;$AI512)),
SUMPRODUCT(INDEX($AL$67:$AN$76,,$AE512), INDEX($AO$67:$AU$76,,$AD512), 1 / ($AW$67:$AW$76*CE512 + (1-$AW$67:$AW$76)*CA512), N($AK$67:$AK$76&gt;$AI512))
) / 1000</f>
        <v>0</v>
      </c>
      <c r="CG512" s="250">
        <f t="shared" si="561"/>
        <v>25</v>
      </c>
      <c r="CH512" s="237">
        <f t="shared" si="583"/>
        <v>38</v>
      </c>
      <c r="CI512" s="253">
        <f t="shared" si="584"/>
        <v>4.0666935483870965</v>
      </c>
      <c r="CJ512" s="253" cm="1">
        <f t="array" ref="CJ512">$BC512 * IF($AD512&lt;=2,
SUMPRODUCT(INDEX($AL$67:$AN$71,,$AE512), INDEX($AO$67:$AU$71,,$AD512), 1 / ($AV$67:$AV$71*CI512 + (1-$AV$67:$AV$71)*CE512), N($AK$67:$AK$71&gt;$AI512)),
SUMPRODUCT(INDEX($AL$57:$AN$66,,$AE512), INDEX($AO$57:$AU$66,,$AD512), 1 / ($AW$57:$AW$66*CI512 + (1-$AW$57:$AW$66)*CE512), N($AK$57:$AK$66&gt;$AI512))
) / 1000</f>
        <v>0</v>
      </c>
      <c r="CK512" s="250">
        <f t="shared" si="562"/>
        <v>20</v>
      </c>
      <c r="CL512" s="237">
        <f t="shared" si="585"/>
        <v>33</v>
      </c>
      <c r="CM512" s="253">
        <f t="shared" si="586"/>
        <v>4.8487499999999999</v>
      </c>
      <c r="CN512" s="253" cm="1">
        <f t="array" ref="CN512">$BC512 * IF($AD512&lt;=2,
SUMPRODUCT(INDEX($AL$62:$AN$66,,$AE512), INDEX($AO$62:$AU$66,,$AD512), 1 / ($AV$62:$AV$66*CM512 + (1-$AV$62:$AV$66)*CI512), N($AK$62:$AK$66&gt;$AI512)),
SUMPRODUCT(INDEX($AL$47:$AN$56,,$AE512), INDEX($AO$47:$AU$56,,$AD512), 1 / ($AW$47:$AW$56*CM512 + (1-$AW$47:$AW$56)*CI512), N($AK$47:$AK$56&gt;$AI512))
) / 1000</f>
        <v>0</v>
      </c>
      <c r="CO512" s="253" cm="1">
        <f t="array" ref="CO512">$BC512 * IF($AD512&lt;=2,
SUMPRODUCT(INDEX($AL$23:$AN$61,,$AE512), INDEX($AO$23:$AU$61,,$AD512), 1 / ($AV$23:$AV$61*CM512), N($AK$23:$AK$61&gt;$AI512)),
SUMPRODUCT(INDEX($AL$23:$AN$46,,$AE512), INDEX($AO$23:$AU$46,,$AD512), 1 / ($AW$23:$AW$46*CM512), N($AK$23:$AK$46&gt;$AI512))
) / 1000</f>
        <v>0</v>
      </c>
      <c r="CP512" s="237">
        <f t="shared" si="587"/>
        <v>0</v>
      </c>
      <c r="CQ512" s="210"/>
    </row>
    <row r="513" spans="1:95" s="76" customFormat="1" ht="14.25" customHeight="1" x14ac:dyDescent="0.2">
      <c r="A513" s="238" t="b">
        <f t="shared" si="554"/>
        <v>0</v>
      </c>
      <c r="B513" s="239">
        <v>491</v>
      </c>
      <c r="C513" s="258"/>
      <c r="D513" s="258"/>
      <c r="E513" s="240"/>
      <c r="F513" s="241" t="str">
        <f>IF(ISBLANK(E513), "", VLOOKUP(E513, Z!$A$2:$C$4127, 3, FALSE))</f>
        <v/>
      </c>
      <c r="G513" s="242"/>
      <c r="H513" s="242"/>
      <c r="I513" s="243"/>
      <c r="J513" s="244"/>
      <c r="K513" s="259"/>
      <c r="L513" s="260"/>
      <c r="M513" s="247" t="str" cm="1">
        <f t="array" ref="M513">IF($K513&gt;0, INDEX(Clean,1+AG513,$C$1), "")</f>
        <v/>
      </c>
      <c r="N513" s="245"/>
      <c r="O513" s="245"/>
      <c r="P513" s="246"/>
      <c r="Q513" s="248">
        <f t="shared" si="564"/>
        <v>0</v>
      </c>
      <c r="R513" s="247" t="str" cm="1">
        <f t="array" ref="R513">IF($K513&gt;0, INDEX(Clean,1+AH513,$C$1), "")</f>
        <v/>
      </c>
      <c r="S513" s="245"/>
      <c r="T513" s="245"/>
      <c r="U513" s="246"/>
      <c r="V513" s="248">
        <f t="shared" si="565"/>
        <v>0</v>
      </c>
      <c r="W513" s="261"/>
      <c r="X513" s="258"/>
      <c r="Y513" s="240"/>
      <c r="Z513" s="241" t="str">
        <f>IF(ISBLANK(Y513), "", VLOOKUP(Y513, Z!$A$2:$C$4127, 3, FALSE))</f>
        <v/>
      </c>
      <c r="AA513" s="262"/>
      <c r="AB513" s="249">
        <f t="shared" si="563"/>
        <v>0</v>
      </c>
      <c r="AC513" s="210"/>
      <c r="AD513" s="236">
        <f t="shared" si="588"/>
        <v>1</v>
      </c>
      <c r="AE513" s="236">
        <f t="shared" si="589"/>
        <v>1</v>
      </c>
      <c r="AF513" s="236">
        <f t="shared" si="590"/>
        <v>0</v>
      </c>
      <c r="AG513" s="236">
        <v>1</v>
      </c>
      <c r="AH513" s="236">
        <v>0</v>
      </c>
      <c r="AI513" s="236">
        <f t="shared" si="566"/>
        <v>-100</v>
      </c>
      <c r="AJ513" s="210"/>
      <c r="AK513" s="254"/>
      <c r="AL513" s="254"/>
      <c r="AM513" s="255"/>
      <c r="AN513" s="255"/>
      <c r="AO513" s="255"/>
      <c r="AP513" s="255"/>
      <c r="AQ513" s="255"/>
      <c r="AR513" s="255"/>
      <c r="AS513" s="255"/>
      <c r="AT513" s="255"/>
      <c r="AU513" s="255"/>
      <c r="AV513" s="255"/>
      <c r="AW513" s="255"/>
      <c r="AX513" s="210"/>
      <c r="AY513" s="236" cm="1">
        <f t="array" ref="AY513">INDEX(Use, $AD513, 4)</f>
        <v>7</v>
      </c>
      <c r="AZ513" s="236">
        <f t="shared" si="567"/>
        <v>32</v>
      </c>
      <c r="BA513" s="236">
        <f t="shared" si="555"/>
        <v>13</v>
      </c>
      <c r="BB513" s="236">
        <f t="shared" si="556"/>
        <v>0</v>
      </c>
      <c r="BC513" s="252" cm="1">
        <f t="array" ref="BC513">K513/IF($L513&gt;0, INDEX($AO$23:$AU$77, $L513+20, $AD513), 1)</f>
        <v>0</v>
      </c>
      <c r="BD513" s="237">
        <f t="shared" si="568"/>
        <v>0</v>
      </c>
      <c r="BE513" s="236">
        <v>35</v>
      </c>
      <c r="BF513" s="237">
        <f t="shared" si="569"/>
        <v>52.55</v>
      </c>
      <c r="BG513" s="253">
        <f t="shared" si="570"/>
        <v>2.7676728869374316</v>
      </c>
      <c r="BH513" s="253" cm="1">
        <f t="array" ref="BH513">$BC513 * SUMPRODUCT(INDEX($AL$77:$AN$82,,$AE513),INDEX($AO$77:$AU$82,,$AD513), N($AK$77:$AK$82&gt;$AI513)) / BG513 / 1000</f>
        <v>0</v>
      </c>
      <c r="BI513" s="250">
        <f t="shared" si="557"/>
        <v>30</v>
      </c>
      <c r="BJ513" s="237">
        <f t="shared" si="571"/>
        <v>46.033333333333331</v>
      </c>
      <c r="BK513" s="253">
        <f t="shared" si="572"/>
        <v>3.2297395388556791</v>
      </c>
      <c r="BL513" s="253" cm="1">
        <f t="array" ref="BL513">$BC513 * IF($AD513&lt;=2,
SUMPRODUCT(INDEX($AL$72:$AN$76,,$AE513), INDEX($AO$72:$AU$76,,$AD513), 1 / ($AV$72:$AV$76*BK513 + (1-$AV$72:$AV$76)*BG513), N($AK$72:$AK$76&gt;$AI513)),
SUMPRODUCT(INDEX($AL$67:$AN$76,,$AE513), INDEX($AO$67:$AU$76,,$AD513), 1 / ($AW$67:$AW$76*BK513 + (1-$AW$67:$AW$76)*BG513), N($AK$67:$AK$76&gt;$AI513))
) / 1000</f>
        <v>0</v>
      </c>
      <c r="BM513" s="250">
        <f t="shared" si="558"/>
        <v>25</v>
      </c>
      <c r="BN513" s="237">
        <f t="shared" si="573"/>
        <v>39.516666666666666</v>
      </c>
      <c r="BO513" s="253">
        <f t="shared" si="574"/>
        <v>3.877011788826243</v>
      </c>
      <c r="BP513" s="253" cm="1">
        <f t="array" ref="BP513">$BC513 * IF($AD513&lt;=2,
SUMPRODUCT(INDEX($AL$67:$AN$71,,$AE513), INDEX($AO$67:$AU$71,,$AD513), 1 / ($AV$67:$AV$71*BO513 + (1-$AV$67:$AV$71)*BK513), N($AK$67:$AK$71&gt;$AI513)),
SUMPRODUCT(INDEX($AL$57:$AN$66,,$AE513), INDEX($AO$57:$AU$66,,$AD513), 1 / ($AW$57:$AW$66*BO513 + (1-$AW$57:$AW$66)*BK513), N($AK$57:$AK$66&gt;$AI513))
) / 1000</f>
        <v>0</v>
      </c>
      <c r="BQ513" s="250">
        <f t="shared" si="559"/>
        <v>20</v>
      </c>
      <c r="BR513" s="237">
        <f t="shared" si="575"/>
        <v>33</v>
      </c>
      <c r="BS513" s="253">
        <f t="shared" si="576"/>
        <v>4.8487499999999999</v>
      </c>
      <c r="BT513" s="253" cm="1">
        <f t="array" ref="BT513">$BC513 * IF($AD513&lt;=2,
SUMPRODUCT(INDEX($AL$62:$AN$66,,$AE513), INDEX($AO$62:$AU$66,,$AD513), 1 / ($AV$62:$AV$66*BS513 + (1-$AV$62:$AV$66)*BO513), N($AK$62:$AK$66&gt;$AI513)),
SUMPRODUCT(INDEX($AL$47:$AN$56,,$AE513), INDEX($AO$47:$AU$56,,$AD513), 1 / ($AW$47:$AW$56*BS513 + (1-$AW$47:$AW$56)*BO513), N($AK$47:$AK$56&gt;$AI513))
) / 1000</f>
        <v>0</v>
      </c>
      <c r="BU513" s="253" cm="1">
        <f t="array" ref="BU513">$BC513 * IF($AD513&lt;=2,
SUMPRODUCT(INDEX($AL$23:$AN$61,,$AE513), INDEX($AO$23:$AU$61,,$AD513), 1 / ($AV$23:$AV$61*BS513), N($AK$23:$AK$61&gt;$AI513)),
SUMPRODUCT(INDEX($AL$23:$AN$46,,$AE513), INDEX($AO$23:$AU$46,,$AD513), 1 / ($AW$23:$AW$46*BS513), N($AK$23:$AK$46&gt;$AI513))
) / 1000</f>
        <v>0</v>
      </c>
      <c r="BV513" s="237">
        <f t="shared" si="577"/>
        <v>0</v>
      </c>
      <c r="BW513" s="210"/>
      <c r="BX513" s="237">
        <f t="shared" si="578"/>
        <v>0</v>
      </c>
      <c r="BY513" s="236">
        <v>35</v>
      </c>
      <c r="BZ513" s="237">
        <f t="shared" si="579"/>
        <v>48</v>
      </c>
      <c r="CA513" s="253">
        <f t="shared" si="580"/>
        <v>3.0748170731707316</v>
      </c>
      <c r="CB513" s="253" cm="1">
        <f t="array" ref="CB513">$BC513 * SUMPRODUCT(INDEX($AL$77:$AN$82,,$AE513),INDEX($AO$77:$AU$82,,$AD513), N($AK$77:$AK$82&gt;$AI513)) / CA513 / 1000</f>
        <v>0</v>
      </c>
      <c r="CC513" s="250">
        <f t="shared" si="560"/>
        <v>30</v>
      </c>
      <c r="CD513" s="237">
        <f t="shared" si="581"/>
        <v>43</v>
      </c>
      <c r="CE513" s="253">
        <f t="shared" si="582"/>
        <v>3.5018750000000001</v>
      </c>
      <c r="CF513" s="253" cm="1">
        <f t="array" ref="CF513">$BC513 * IF($AD513&lt;=2,
SUMPRODUCT(INDEX($AL$72:$AN$76,,$AE513), INDEX($AO$72:$AU$76,,$AD513), 1 / ($AV$72:$AV$76*CE513 + (1-$AV$72:$AV$76)*CA513), N($AK$72:$AK$76&gt;$AI513)),
SUMPRODUCT(INDEX($AL$67:$AN$76,,$AE513), INDEX($AO$67:$AU$76,,$AD513), 1 / ($AW$67:$AW$76*CE513 + (1-$AW$67:$AW$76)*CA513), N($AK$67:$AK$76&gt;$AI513))
) / 1000</f>
        <v>0</v>
      </c>
      <c r="CG513" s="250">
        <f t="shared" si="561"/>
        <v>25</v>
      </c>
      <c r="CH513" s="237">
        <f t="shared" si="583"/>
        <v>38</v>
      </c>
      <c r="CI513" s="253">
        <f t="shared" si="584"/>
        <v>4.0666935483870965</v>
      </c>
      <c r="CJ513" s="253" cm="1">
        <f t="array" ref="CJ513">$BC513 * IF($AD513&lt;=2,
SUMPRODUCT(INDEX($AL$67:$AN$71,,$AE513), INDEX($AO$67:$AU$71,,$AD513), 1 / ($AV$67:$AV$71*CI513 + (1-$AV$67:$AV$71)*CE513), N($AK$67:$AK$71&gt;$AI513)),
SUMPRODUCT(INDEX($AL$57:$AN$66,,$AE513), INDEX($AO$57:$AU$66,,$AD513), 1 / ($AW$57:$AW$66*CI513 + (1-$AW$57:$AW$66)*CE513), N($AK$57:$AK$66&gt;$AI513))
) / 1000</f>
        <v>0</v>
      </c>
      <c r="CK513" s="250">
        <f t="shared" si="562"/>
        <v>20</v>
      </c>
      <c r="CL513" s="237">
        <f t="shared" si="585"/>
        <v>33</v>
      </c>
      <c r="CM513" s="253">
        <f t="shared" si="586"/>
        <v>4.8487499999999999</v>
      </c>
      <c r="CN513" s="253" cm="1">
        <f t="array" ref="CN513">$BC513 * IF($AD513&lt;=2,
SUMPRODUCT(INDEX($AL$62:$AN$66,,$AE513), INDEX($AO$62:$AU$66,,$AD513), 1 / ($AV$62:$AV$66*CM513 + (1-$AV$62:$AV$66)*CI513), N($AK$62:$AK$66&gt;$AI513)),
SUMPRODUCT(INDEX($AL$47:$AN$56,,$AE513), INDEX($AO$47:$AU$56,,$AD513), 1 / ($AW$47:$AW$56*CM513 + (1-$AW$47:$AW$56)*CI513), N($AK$47:$AK$56&gt;$AI513))
) / 1000</f>
        <v>0</v>
      </c>
      <c r="CO513" s="253" cm="1">
        <f t="array" ref="CO513">$BC513 * IF($AD513&lt;=2,
SUMPRODUCT(INDEX($AL$23:$AN$61,,$AE513), INDEX($AO$23:$AU$61,,$AD513), 1 / ($AV$23:$AV$61*CM513), N($AK$23:$AK$61&gt;$AI513)),
SUMPRODUCT(INDEX($AL$23:$AN$46,,$AE513), INDEX($AO$23:$AU$46,,$AD513), 1 / ($AW$23:$AW$46*CM513), N($AK$23:$AK$46&gt;$AI513))
) / 1000</f>
        <v>0</v>
      </c>
      <c r="CP513" s="237">
        <f t="shared" si="587"/>
        <v>0</v>
      </c>
      <c r="CQ513" s="210"/>
    </row>
    <row r="514" spans="1:95" s="76" customFormat="1" ht="14.25" customHeight="1" x14ac:dyDescent="0.2">
      <c r="A514" s="238" t="b">
        <f t="shared" si="554"/>
        <v>0</v>
      </c>
      <c r="B514" s="239">
        <v>492</v>
      </c>
      <c r="C514" s="258"/>
      <c r="D514" s="258"/>
      <c r="E514" s="240"/>
      <c r="F514" s="241" t="str">
        <f>IF(ISBLANK(E514), "", VLOOKUP(E514, Z!$A$2:$C$4127, 3, FALSE))</f>
        <v/>
      </c>
      <c r="G514" s="242"/>
      <c r="H514" s="242"/>
      <c r="I514" s="243"/>
      <c r="J514" s="244"/>
      <c r="K514" s="259"/>
      <c r="L514" s="260"/>
      <c r="M514" s="247" t="str" cm="1">
        <f t="array" ref="M514">IF($K514&gt;0, INDEX(Clean,1+AG514,$C$1), "")</f>
        <v/>
      </c>
      <c r="N514" s="245"/>
      <c r="O514" s="245"/>
      <c r="P514" s="246"/>
      <c r="Q514" s="248">
        <f t="shared" si="564"/>
        <v>0</v>
      </c>
      <c r="R514" s="247" t="str" cm="1">
        <f t="array" ref="R514">IF($K514&gt;0, INDEX(Clean,1+AH514,$C$1), "")</f>
        <v/>
      </c>
      <c r="S514" s="245"/>
      <c r="T514" s="245"/>
      <c r="U514" s="246"/>
      <c r="V514" s="248">
        <f t="shared" si="565"/>
        <v>0</v>
      </c>
      <c r="W514" s="261"/>
      <c r="X514" s="258"/>
      <c r="Y514" s="240"/>
      <c r="Z514" s="241" t="str">
        <f>IF(ISBLANK(Y514), "", VLOOKUP(Y514, Z!$A$2:$C$4127, 3, FALSE))</f>
        <v/>
      </c>
      <c r="AA514" s="262"/>
      <c r="AB514" s="249">
        <f t="shared" si="563"/>
        <v>0</v>
      </c>
      <c r="AC514" s="210"/>
      <c r="AD514" s="236">
        <f t="shared" si="588"/>
        <v>1</v>
      </c>
      <c r="AE514" s="236">
        <f t="shared" si="589"/>
        <v>1</v>
      </c>
      <c r="AF514" s="236">
        <f t="shared" si="590"/>
        <v>0</v>
      </c>
      <c r="AG514" s="236">
        <v>1</v>
      </c>
      <c r="AH514" s="236">
        <v>0</v>
      </c>
      <c r="AI514" s="236">
        <f t="shared" si="566"/>
        <v>-100</v>
      </c>
      <c r="AJ514" s="210"/>
      <c r="AK514" s="254"/>
      <c r="AL514" s="254"/>
      <c r="AM514" s="255"/>
      <c r="AN514" s="255"/>
      <c r="AO514" s="255"/>
      <c r="AP514" s="255"/>
      <c r="AQ514" s="255"/>
      <c r="AR514" s="255"/>
      <c r="AS514" s="255"/>
      <c r="AT514" s="255"/>
      <c r="AU514" s="255"/>
      <c r="AV514" s="255"/>
      <c r="AW514" s="255"/>
      <c r="AX514" s="210"/>
      <c r="AY514" s="236" cm="1">
        <f t="array" ref="AY514">INDEX(Use, $AD514, 4)</f>
        <v>7</v>
      </c>
      <c r="AZ514" s="236">
        <f t="shared" si="567"/>
        <v>32</v>
      </c>
      <c r="BA514" s="236">
        <f t="shared" si="555"/>
        <v>13</v>
      </c>
      <c r="BB514" s="236">
        <f t="shared" si="556"/>
        <v>0</v>
      </c>
      <c r="BC514" s="252" cm="1">
        <f t="array" ref="BC514">K514/IF($L514&gt;0, INDEX($AO$23:$AU$77, $L514+20, $AD514), 1)</f>
        <v>0</v>
      </c>
      <c r="BD514" s="237">
        <f t="shared" si="568"/>
        <v>0</v>
      </c>
      <c r="BE514" s="236">
        <v>35</v>
      </c>
      <c r="BF514" s="237">
        <f t="shared" si="569"/>
        <v>52.55</v>
      </c>
      <c r="BG514" s="253">
        <f t="shared" si="570"/>
        <v>2.7676728869374316</v>
      </c>
      <c r="BH514" s="253" cm="1">
        <f t="array" ref="BH514">$BC514 * SUMPRODUCT(INDEX($AL$77:$AN$82,,$AE514),INDEX($AO$77:$AU$82,,$AD514), N($AK$77:$AK$82&gt;$AI514)) / BG514 / 1000</f>
        <v>0</v>
      </c>
      <c r="BI514" s="250">
        <f t="shared" si="557"/>
        <v>30</v>
      </c>
      <c r="BJ514" s="237">
        <f t="shared" si="571"/>
        <v>46.033333333333331</v>
      </c>
      <c r="BK514" s="253">
        <f t="shared" si="572"/>
        <v>3.2297395388556791</v>
      </c>
      <c r="BL514" s="253" cm="1">
        <f t="array" ref="BL514">$BC514 * IF($AD514&lt;=2,
SUMPRODUCT(INDEX($AL$72:$AN$76,,$AE514), INDEX($AO$72:$AU$76,,$AD514), 1 / ($AV$72:$AV$76*BK514 + (1-$AV$72:$AV$76)*BG514), N($AK$72:$AK$76&gt;$AI514)),
SUMPRODUCT(INDEX($AL$67:$AN$76,,$AE514), INDEX($AO$67:$AU$76,,$AD514), 1 / ($AW$67:$AW$76*BK514 + (1-$AW$67:$AW$76)*BG514), N($AK$67:$AK$76&gt;$AI514))
) / 1000</f>
        <v>0</v>
      </c>
      <c r="BM514" s="250">
        <f t="shared" si="558"/>
        <v>25</v>
      </c>
      <c r="BN514" s="237">
        <f t="shared" si="573"/>
        <v>39.516666666666666</v>
      </c>
      <c r="BO514" s="253">
        <f t="shared" si="574"/>
        <v>3.877011788826243</v>
      </c>
      <c r="BP514" s="253" cm="1">
        <f t="array" ref="BP514">$BC514 * IF($AD514&lt;=2,
SUMPRODUCT(INDEX($AL$67:$AN$71,,$AE514), INDEX($AO$67:$AU$71,,$AD514), 1 / ($AV$67:$AV$71*BO514 + (1-$AV$67:$AV$71)*BK514), N($AK$67:$AK$71&gt;$AI514)),
SUMPRODUCT(INDEX($AL$57:$AN$66,,$AE514), INDEX($AO$57:$AU$66,,$AD514), 1 / ($AW$57:$AW$66*BO514 + (1-$AW$57:$AW$66)*BK514), N($AK$57:$AK$66&gt;$AI514))
) / 1000</f>
        <v>0</v>
      </c>
      <c r="BQ514" s="250">
        <f t="shared" si="559"/>
        <v>20</v>
      </c>
      <c r="BR514" s="237">
        <f t="shared" si="575"/>
        <v>33</v>
      </c>
      <c r="BS514" s="253">
        <f t="shared" si="576"/>
        <v>4.8487499999999999</v>
      </c>
      <c r="BT514" s="253" cm="1">
        <f t="array" ref="BT514">$BC514 * IF($AD514&lt;=2,
SUMPRODUCT(INDEX($AL$62:$AN$66,,$AE514), INDEX($AO$62:$AU$66,,$AD514), 1 / ($AV$62:$AV$66*BS514 + (1-$AV$62:$AV$66)*BO514), N($AK$62:$AK$66&gt;$AI514)),
SUMPRODUCT(INDEX($AL$47:$AN$56,,$AE514), INDEX($AO$47:$AU$56,,$AD514), 1 / ($AW$47:$AW$56*BS514 + (1-$AW$47:$AW$56)*BO514), N($AK$47:$AK$56&gt;$AI514))
) / 1000</f>
        <v>0</v>
      </c>
      <c r="BU514" s="253" cm="1">
        <f t="array" ref="BU514">$BC514 * IF($AD514&lt;=2,
SUMPRODUCT(INDEX($AL$23:$AN$61,,$AE514), INDEX($AO$23:$AU$61,,$AD514), 1 / ($AV$23:$AV$61*BS514), N($AK$23:$AK$61&gt;$AI514)),
SUMPRODUCT(INDEX($AL$23:$AN$46,,$AE514), INDEX($AO$23:$AU$46,,$AD514), 1 / ($AW$23:$AW$46*BS514), N($AK$23:$AK$46&gt;$AI514))
) / 1000</f>
        <v>0</v>
      </c>
      <c r="BV514" s="237">
        <f t="shared" si="577"/>
        <v>0</v>
      </c>
      <c r="BW514" s="210"/>
      <c r="BX514" s="237">
        <f t="shared" si="578"/>
        <v>0</v>
      </c>
      <c r="BY514" s="236">
        <v>35</v>
      </c>
      <c r="BZ514" s="237">
        <f t="shared" si="579"/>
        <v>48</v>
      </c>
      <c r="CA514" s="253">
        <f t="shared" si="580"/>
        <v>3.0748170731707316</v>
      </c>
      <c r="CB514" s="253" cm="1">
        <f t="array" ref="CB514">$BC514 * SUMPRODUCT(INDEX($AL$77:$AN$82,,$AE514),INDEX($AO$77:$AU$82,,$AD514), N($AK$77:$AK$82&gt;$AI514)) / CA514 / 1000</f>
        <v>0</v>
      </c>
      <c r="CC514" s="250">
        <f t="shared" si="560"/>
        <v>30</v>
      </c>
      <c r="CD514" s="237">
        <f t="shared" si="581"/>
        <v>43</v>
      </c>
      <c r="CE514" s="253">
        <f t="shared" si="582"/>
        <v>3.5018750000000001</v>
      </c>
      <c r="CF514" s="253" cm="1">
        <f t="array" ref="CF514">$BC514 * IF($AD514&lt;=2,
SUMPRODUCT(INDEX($AL$72:$AN$76,,$AE514), INDEX($AO$72:$AU$76,,$AD514), 1 / ($AV$72:$AV$76*CE514 + (1-$AV$72:$AV$76)*CA514), N($AK$72:$AK$76&gt;$AI514)),
SUMPRODUCT(INDEX($AL$67:$AN$76,,$AE514), INDEX($AO$67:$AU$76,,$AD514), 1 / ($AW$67:$AW$76*CE514 + (1-$AW$67:$AW$76)*CA514), N($AK$67:$AK$76&gt;$AI514))
) / 1000</f>
        <v>0</v>
      </c>
      <c r="CG514" s="250">
        <f t="shared" si="561"/>
        <v>25</v>
      </c>
      <c r="CH514" s="237">
        <f t="shared" si="583"/>
        <v>38</v>
      </c>
      <c r="CI514" s="253">
        <f t="shared" si="584"/>
        <v>4.0666935483870965</v>
      </c>
      <c r="CJ514" s="253" cm="1">
        <f t="array" ref="CJ514">$BC514 * IF($AD514&lt;=2,
SUMPRODUCT(INDEX($AL$67:$AN$71,,$AE514), INDEX($AO$67:$AU$71,,$AD514), 1 / ($AV$67:$AV$71*CI514 + (1-$AV$67:$AV$71)*CE514), N($AK$67:$AK$71&gt;$AI514)),
SUMPRODUCT(INDEX($AL$57:$AN$66,,$AE514), INDEX($AO$57:$AU$66,,$AD514), 1 / ($AW$57:$AW$66*CI514 + (1-$AW$57:$AW$66)*CE514), N($AK$57:$AK$66&gt;$AI514))
) / 1000</f>
        <v>0</v>
      </c>
      <c r="CK514" s="250">
        <f t="shared" si="562"/>
        <v>20</v>
      </c>
      <c r="CL514" s="237">
        <f t="shared" si="585"/>
        <v>33</v>
      </c>
      <c r="CM514" s="253">
        <f t="shared" si="586"/>
        <v>4.8487499999999999</v>
      </c>
      <c r="CN514" s="253" cm="1">
        <f t="array" ref="CN514">$BC514 * IF($AD514&lt;=2,
SUMPRODUCT(INDEX($AL$62:$AN$66,,$AE514), INDEX($AO$62:$AU$66,,$AD514), 1 / ($AV$62:$AV$66*CM514 + (1-$AV$62:$AV$66)*CI514), N($AK$62:$AK$66&gt;$AI514)),
SUMPRODUCT(INDEX($AL$47:$AN$56,,$AE514), INDEX($AO$47:$AU$56,,$AD514), 1 / ($AW$47:$AW$56*CM514 + (1-$AW$47:$AW$56)*CI514), N($AK$47:$AK$56&gt;$AI514))
) / 1000</f>
        <v>0</v>
      </c>
      <c r="CO514" s="253" cm="1">
        <f t="array" ref="CO514">$BC514 * IF($AD514&lt;=2,
SUMPRODUCT(INDEX($AL$23:$AN$61,,$AE514), INDEX($AO$23:$AU$61,,$AD514), 1 / ($AV$23:$AV$61*CM514), N($AK$23:$AK$61&gt;$AI514)),
SUMPRODUCT(INDEX($AL$23:$AN$46,,$AE514), INDEX($AO$23:$AU$46,,$AD514), 1 / ($AW$23:$AW$46*CM514), N($AK$23:$AK$46&gt;$AI514))
) / 1000</f>
        <v>0</v>
      </c>
      <c r="CP514" s="237">
        <f t="shared" si="587"/>
        <v>0</v>
      </c>
      <c r="CQ514" s="210"/>
    </row>
    <row r="515" spans="1:95" s="76" customFormat="1" ht="14.25" customHeight="1" x14ac:dyDescent="0.2">
      <c r="A515" s="238" t="b">
        <f t="shared" si="554"/>
        <v>0</v>
      </c>
      <c r="B515" s="239">
        <v>493</v>
      </c>
      <c r="C515" s="258"/>
      <c r="D515" s="258"/>
      <c r="E515" s="240"/>
      <c r="F515" s="241" t="str">
        <f>IF(ISBLANK(E515), "", VLOOKUP(E515, Z!$A$2:$C$4127, 3, FALSE))</f>
        <v/>
      </c>
      <c r="G515" s="242"/>
      <c r="H515" s="242"/>
      <c r="I515" s="243"/>
      <c r="J515" s="244"/>
      <c r="K515" s="259"/>
      <c r="L515" s="260"/>
      <c r="M515" s="247" t="str" cm="1">
        <f t="array" ref="M515">IF($K515&gt;0, INDEX(Clean,1+AG515,$C$1), "")</f>
        <v/>
      </c>
      <c r="N515" s="245"/>
      <c r="O515" s="245"/>
      <c r="P515" s="246"/>
      <c r="Q515" s="248">
        <f t="shared" si="564"/>
        <v>0</v>
      </c>
      <c r="R515" s="247" t="str" cm="1">
        <f t="array" ref="R515">IF($K515&gt;0, INDEX(Clean,1+AH515,$C$1), "")</f>
        <v/>
      </c>
      <c r="S515" s="245"/>
      <c r="T515" s="245"/>
      <c r="U515" s="246"/>
      <c r="V515" s="248">
        <f t="shared" si="565"/>
        <v>0</v>
      </c>
      <c r="W515" s="261"/>
      <c r="X515" s="258"/>
      <c r="Y515" s="240"/>
      <c r="Z515" s="241" t="str">
        <f>IF(ISBLANK(Y515), "", VLOOKUP(Y515, Z!$A$2:$C$4127, 3, FALSE))</f>
        <v/>
      </c>
      <c r="AA515" s="262"/>
      <c r="AB515" s="249">
        <f t="shared" si="563"/>
        <v>0</v>
      </c>
      <c r="AC515" s="210"/>
      <c r="AD515" s="236">
        <f t="shared" si="588"/>
        <v>1</v>
      </c>
      <c r="AE515" s="236">
        <f t="shared" si="589"/>
        <v>1</v>
      </c>
      <c r="AF515" s="236">
        <f t="shared" si="590"/>
        <v>0</v>
      </c>
      <c r="AG515" s="236">
        <v>1</v>
      </c>
      <c r="AH515" s="236">
        <v>0</v>
      </c>
      <c r="AI515" s="236">
        <f t="shared" si="566"/>
        <v>-100</v>
      </c>
      <c r="AJ515" s="210"/>
      <c r="AK515" s="254"/>
      <c r="AL515" s="254"/>
      <c r="AM515" s="255"/>
      <c r="AN515" s="255"/>
      <c r="AO515" s="255"/>
      <c r="AP515" s="255"/>
      <c r="AQ515" s="255"/>
      <c r="AR515" s="255"/>
      <c r="AS515" s="255"/>
      <c r="AT515" s="255"/>
      <c r="AU515" s="255"/>
      <c r="AV515" s="255"/>
      <c r="AW515" s="255"/>
      <c r="AX515" s="210"/>
      <c r="AY515" s="236" cm="1">
        <f t="array" ref="AY515">INDEX(Use, $AD515, 4)</f>
        <v>7</v>
      </c>
      <c r="AZ515" s="236">
        <f t="shared" si="567"/>
        <v>32</v>
      </c>
      <c r="BA515" s="236">
        <f t="shared" si="555"/>
        <v>13</v>
      </c>
      <c r="BB515" s="236">
        <f t="shared" si="556"/>
        <v>0</v>
      </c>
      <c r="BC515" s="252" cm="1">
        <f t="array" ref="BC515">K515/IF($L515&gt;0, INDEX($AO$23:$AU$77, $L515+20, $AD515), 1)</f>
        <v>0</v>
      </c>
      <c r="BD515" s="237">
        <f t="shared" si="568"/>
        <v>0</v>
      </c>
      <c r="BE515" s="236">
        <v>35</v>
      </c>
      <c r="BF515" s="237">
        <f t="shared" si="569"/>
        <v>52.55</v>
      </c>
      <c r="BG515" s="253">
        <f t="shared" si="570"/>
        <v>2.7676728869374316</v>
      </c>
      <c r="BH515" s="253" cm="1">
        <f t="array" ref="BH515">$BC515 * SUMPRODUCT(INDEX($AL$77:$AN$82,,$AE515),INDEX($AO$77:$AU$82,,$AD515), N($AK$77:$AK$82&gt;$AI515)) / BG515 / 1000</f>
        <v>0</v>
      </c>
      <c r="BI515" s="250">
        <f t="shared" si="557"/>
        <v>30</v>
      </c>
      <c r="BJ515" s="237">
        <f t="shared" si="571"/>
        <v>46.033333333333331</v>
      </c>
      <c r="BK515" s="253">
        <f t="shared" si="572"/>
        <v>3.2297395388556791</v>
      </c>
      <c r="BL515" s="253" cm="1">
        <f t="array" ref="BL515">$BC515 * IF($AD515&lt;=2,
SUMPRODUCT(INDEX($AL$72:$AN$76,,$AE515), INDEX($AO$72:$AU$76,,$AD515), 1 / ($AV$72:$AV$76*BK515 + (1-$AV$72:$AV$76)*BG515), N($AK$72:$AK$76&gt;$AI515)),
SUMPRODUCT(INDEX($AL$67:$AN$76,,$AE515), INDEX($AO$67:$AU$76,,$AD515), 1 / ($AW$67:$AW$76*BK515 + (1-$AW$67:$AW$76)*BG515), N($AK$67:$AK$76&gt;$AI515))
) / 1000</f>
        <v>0</v>
      </c>
      <c r="BM515" s="250">
        <f t="shared" si="558"/>
        <v>25</v>
      </c>
      <c r="BN515" s="237">
        <f t="shared" si="573"/>
        <v>39.516666666666666</v>
      </c>
      <c r="BO515" s="253">
        <f t="shared" si="574"/>
        <v>3.877011788826243</v>
      </c>
      <c r="BP515" s="253" cm="1">
        <f t="array" ref="BP515">$BC515 * IF($AD515&lt;=2,
SUMPRODUCT(INDEX($AL$67:$AN$71,,$AE515), INDEX($AO$67:$AU$71,,$AD515), 1 / ($AV$67:$AV$71*BO515 + (1-$AV$67:$AV$71)*BK515), N($AK$67:$AK$71&gt;$AI515)),
SUMPRODUCT(INDEX($AL$57:$AN$66,,$AE515), INDEX($AO$57:$AU$66,,$AD515), 1 / ($AW$57:$AW$66*BO515 + (1-$AW$57:$AW$66)*BK515), N($AK$57:$AK$66&gt;$AI515))
) / 1000</f>
        <v>0</v>
      </c>
      <c r="BQ515" s="250">
        <f t="shared" si="559"/>
        <v>20</v>
      </c>
      <c r="BR515" s="237">
        <f t="shared" si="575"/>
        <v>33</v>
      </c>
      <c r="BS515" s="253">
        <f t="shared" si="576"/>
        <v>4.8487499999999999</v>
      </c>
      <c r="BT515" s="253" cm="1">
        <f t="array" ref="BT515">$BC515 * IF($AD515&lt;=2,
SUMPRODUCT(INDEX($AL$62:$AN$66,,$AE515), INDEX($AO$62:$AU$66,,$AD515), 1 / ($AV$62:$AV$66*BS515 + (1-$AV$62:$AV$66)*BO515), N($AK$62:$AK$66&gt;$AI515)),
SUMPRODUCT(INDEX($AL$47:$AN$56,,$AE515), INDEX($AO$47:$AU$56,,$AD515), 1 / ($AW$47:$AW$56*BS515 + (1-$AW$47:$AW$56)*BO515), N($AK$47:$AK$56&gt;$AI515))
) / 1000</f>
        <v>0</v>
      </c>
      <c r="BU515" s="253" cm="1">
        <f t="array" ref="BU515">$BC515 * IF($AD515&lt;=2,
SUMPRODUCT(INDEX($AL$23:$AN$61,,$AE515), INDEX($AO$23:$AU$61,,$AD515), 1 / ($AV$23:$AV$61*BS515), N($AK$23:$AK$61&gt;$AI515)),
SUMPRODUCT(INDEX($AL$23:$AN$46,,$AE515), INDEX($AO$23:$AU$46,,$AD515), 1 / ($AW$23:$AW$46*BS515), N($AK$23:$AK$46&gt;$AI515))
) / 1000</f>
        <v>0</v>
      </c>
      <c r="BV515" s="237">
        <f t="shared" si="577"/>
        <v>0</v>
      </c>
      <c r="BW515" s="210"/>
      <c r="BX515" s="237">
        <f t="shared" si="578"/>
        <v>0</v>
      </c>
      <c r="BY515" s="236">
        <v>35</v>
      </c>
      <c r="BZ515" s="237">
        <f t="shared" si="579"/>
        <v>48</v>
      </c>
      <c r="CA515" s="253">
        <f t="shared" si="580"/>
        <v>3.0748170731707316</v>
      </c>
      <c r="CB515" s="253" cm="1">
        <f t="array" ref="CB515">$BC515 * SUMPRODUCT(INDEX($AL$77:$AN$82,,$AE515),INDEX($AO$77:$AU$82,,$AD515), N($AK$77:$AK$82&gt;$AI515)) / CA515 / 1000</f>
        <v>0</v>
      </c>
      <c r="CC515" s="250">
        <f t="shared" si="560"/>
        <v>30</v>
      </c>
      <c r="CD515" s="237">
        <f t="shared" si="581"/>
        <v>43</v>
      </c>
      <c r="CE515" s="253">
        <f t="shared" si="582"/>
        <v>3.5018750000000001</v>
      </c>
      <c r="CF515" s="253" cm="1">
        <f t="array" ref="CF515">$BC515 * IF($AD515&lt;=2,
SUMPRODUCT(INDEX($AL$72:$AN$76,,$AE515), INDEX($AO$72:$AU$76,,$AD515), 1 / ($AV$72:$AV$76*CE515 + (1-$AV$72:$AV$76)*CA515), N($AK$72:$AK$76&gt;$AI515)),
SUMPRODUCT(INDEX($AL$67:$AN$76,,$AE515), INDEX($AO$67:$AU$76,,$AD515), 1 / ($AW$67:$AW$76*CE515 + (1-$AW$67:$AW$76)*CA515), N($AK$67:$AK$76&gt;$AI515))
) / 1000</f>
        <v>0</v>
      </c>
      <c r="CG515" s="250">
        <f t="shared" si="561"/>
        <v>25</v>
      </c>
      <c r="CH515" s="237">
        <f t="shared" si="583"/>
        <v>38</v>
      </c>
      <c r="CI515" s="253">
        <f t="shared" si="584"/>
        <v>4.0666935483870965</v>
      </c>
      <c r="CJ515" s="253" cm="1">
        <f t="array" ref="CJ515">$BC515 * IF($AD515&lt;=2,
SUMPRODUCT(INDEX($AL$67:$AN$71,,$AE515), INDEX($AO$67:$AU$71,,$AD515), 1 / ($AV$67:$AV$71*CI515 + (1-$AV$67:$AV$71)*CE515), N($AK$67:$AK$71&gt;$AI515)),
SUMPRODUCT(INDEX($AL$57:$AN$66,,$AE515), INDEX($AO$57:$AU$66,,$AD515), 1 / ($AW$57:$AW$66*CI515 + (1-$AW$57:$AW$66)*CE515), N($AK$57:$AK$66&gt;$AI515))
) / 1000</f>
        <v>0</v>
      </c>
      <c r="CK515" s="250">
        <f t="shared" si="562"/>
        <v>20</v>
      </c>
      <c r="CL515" s="237">
        <f t="shared" si="585"/>
        <v>33</v>
      </c>
      <c r="CM515" s="253">
        <f t="shared" si="586"/>
        <v>4.8487499999999999</v>
      </c>
      <c r="CN515" s="253" cm="1">
        <f t="array" ref="CN515">$BC515 * IF($AD515&lt;=2,
SUMPRODUCT(INDEX($AL$62:$AN$66,,$AE515), INDEX($AO$62:$AU$66,,$AD515), 1 / ($AV$62:$AV$66*CM515 + (1-$AV$62:$AV$66)*CI515), N($AK$62:$AK$66&gt;$AI515)),
SUMPRODUCT(INDEX($AL$47:$AN$56,,$AE515), INDEX($AO$47:$AU$56,,$AD515), 1 / ($AW$47:$AW$56*CM515 + (1-$AW$47:$AW$56)*CI515), N($AK$47:$AK$56&gt;$AI515))
) / 1000</f>
        <v>0</v>
      </c>
      <c r="CO515" s="253" cm="1">
        <f t="array" ref="CO515">$BC515 * IF($AD515&lt;=2,
SUMPRODUCT(INDEX($AL$23:$AN$61,,$AE515), INDEX($AO$23:$AU$61,,$AD515), 1 / ($AV$23:$AV$61*CM515), N($AK$23:$AK$61&gt;$AI515)),
SUMPRODUCT(INDEX($AL$23:$AN$46,,$AE515), INDEX($AO$23:$AU$46,,$AD515), 1 / ($AW$23:$AW$46*CM515), N($AK$23:$AK$46&gt;$AI515))
) / 1000</f>
        <v>0</v>
      </c>
      <c r="CP515" s="237">
        <f t="shared" si="587"/>
        <v>0</v>
      </c>
      <c r="CQ515" s="210"/>
    </row>
    <row r="516" spans="1:95" s="76" customFormat="1" ht="14.25" customHeight="1" x14ac:dyDescent="0.2">
      <c r="A516" s="238" t="b">
        <f t="shared" si="554"/>
        <v>0</v>
      </c>
      <c r="B516" s="239">
        <v>494</v>
      </c>
      <c r="C516" s="258"/>
      <c r="D516" s="258"/>
      <c r="E516" s="240"/>
      <c r="F516" s="241" t="str">
        <f>IF(ISBLANK(E516), "", VLOOKUP(E516, Z!$A$2:$C$4127, 3, FALSE))</f>
        <v/>
      </c>
      <c r="G516" s="242"/>
      <c r="H516" s="242"/>
      <c r="I516" s="243"/>
      <c r="J516" s="244"/>
      <c r="K516" s="259"/>
      <c r="L516" s="260"/>
      <c r="M516" s="247" t="str" cm="1">
        <f t="array" ref="M516">IF($K516&gt;0, INDEX(Clean,1+AG516,$C$1), "")</f>
        <v/>
      </c>
      <c r="N516" s="245"/>
      <c r="O516" s="245"/>
      <c r="P516" s="246"/>
      <c r="Q516" s="248">
        <f t="shared" si="564"/>
        <v>0</v>
      </c>
      <c r="R516" s="247" t="str" cm="1">
        <f t="array" ref="R516">IF($K516&gt;0, INDEX(Clean,1+AH516,$C$1), "")</f>
        <v/>
      </c>
      <c r="S516" s="245"/>
      <c r="T516" s="245"/>
      <c r="U516" s="246"/>
      <c r="V516" s="248">
        <f t="shared" si="565"/>
        <v>0</v>
      </c>
      <c r="W516" s="261"/>
      <c r="X516" s="258"/>
      <c r="Y516" s="240"/>
      <c r="Z516" s="241" t="str">
        <f>IF(ISBLANK(Y516), "", VLOOKUP(Y516, Z!$A$2:$C$4127, 3, FALSE))</f>
        <v/>
      </c>
      <c r="AA516" s="262"/>
      <c r="AB516" s="249">
        <f t="shared" si="563"/>
        <v>0</v>
      </c>
      <c r="AC516" s="210"/>
      <c r="AD516" s="236">
        <f t="shared" si="588"/>
        <v>1</v>
      </c>
      <c r="AE516" s="236">
        <f t="shared" si="589"/>
        <v>1</v>
      </c>
      <c r="AF516" s="236">
        <f t="shared" si="590"/>
        <v>0</v>
      </c>
      <c r="AG516" s="236">
        <v>1</v>
      </c>
      <c r="AH516" s="236">
        <v>0</v>
      </c>
      <c r="AI516" s="236">
        <f t="shared" si="566"/>
        <v>-100</v>
      </c>
      <c r="AJ516" s="210"/>
      <c r="AK516" s="254"/>
      <c r="AL516" s="254"/>
      <c r="AM516" s="255"/>
      <c r="AN516" s="255"/>
      <c r="AO516" s="255"/>
      <c r="AP516" s="255"/>
      <c r="AQ516" s="255"/>
      <c r="AR516" s="255"/>
      <c r="AS516" s="255"/>
      <c r="AT516" s="255"/>
      <c r="AU516" s="255"/>
      <c r="AV516" s="255"/>
      <c r="AW516" s="255"/>
      <c r="AX516" s="210"/>
      <c r="AY516" s="236" cm="1">
        <f t="array" ref="AY516">INDEX(Use, $AD516, 4)</f>
        <v>7</v>
      </c>
      <c r="AZ516" s="236">
        <f t="shared" si="567"/>
        <v>32</v>
      </c>
      <c r="BA516" s="236">
        <f t="shared" si="555"/>
        <v>13</v>
      </c>
      <c r="BB516" s="236">
        <f t="shared" si="556"/>
        <v>0</v>
      </c>
      <c r="BC516" s="252" cm="1">
        <f t="array" ref="BC516">K516/IF($L516&gt;0, INDEX($AO$23:$AU$77, $L516+20, $AD516), 1)</f>
        <v>0</v>
      </c>
      <c r="BD516" s="237">
        <f t="shared" si="568"/>
        <v>0</v>
      </c>
      <c r="BE516" s="236">
        <v>35</v>
      </c>
      <c r="BF516" s="237">
        <f t="shared" si="569"/>
        <v>52.55</v>
      </c>
      <c r="BG516" s="253">
        <f t="shared" si="570"/>
        <v>2.7676728869374316</v>
      </c>
      <c r="BH516" s="253" cm="1">
        <f t="array" ref="BH516">$BC516 * SUMPRODUCT(INDEX($AL$77:$AN$82,,$AE516),INDEX($AO$77:$AU$82,,$AD516), N($AK$77:$AK$82&gt;$AI516)) / BG516 / 1000</f>
        <v>0</v>
      </c>
      <c r="BI516" s="250">
        <f t="shared" si="557"/>
        <v>30</v>
      </c>
      <c r="BJ516" s="237">
        <f t="shared" si="571"/>
        <v>46.033333333333331</v>
      </c>
      <c r="BK516" s="253">
        <f t="shared" si="572"/>
        <v>3.2297395388556791</v>
      </c>
      <c r="BL516" s="253" cm="1">
        <f t="array" ref="BL516">$BC516 * IF($AD516&lt;=2,
SUMPRODUCT(INDEX($AL$72:$AN$76,,$AE516), INDEX($AO$72:$AU$76,,$AD516), 1 / ($AV$72:$AV$76*BK516 + (1-$AV$72:$AV$76)*BG516), N($AK$72:$AK$76&gt;$AI516)),
SUMPRODUCT(INDEX($AL$67:$AN$76,,$AE516), INDEX($AO$67:$AU$76,,$AD516), 1 / ($AW$67:$AW$76*BK516 + (1-$AW$67:$AW$76)*BG516), N($AK$67:$AK$76&gt;$AI516))
) / 1000</f>
        <v>0</v>
      </c>
      <c r="BM516" s="250">
        <f t="shared" si="558"/>
        <v>25</v>
      </c>
      <c r="BN516" s="237">
        <f t="shared" si="573"/>
        <v>39.516666666666666</v>
      </c>
      <c r="BO516" s="253">
        <f t="shared" si="574"/>
        <v>3.877011788826243</v>
      </c>
      <c r="BP516" s="253" cm="1">
        <f t="array" ref="BP516">$BC516 * IF($AD516&lt;=2,
SUMPRODUCT(INDEX($AL$67:$AN$71,,$AE516), INDEX($AO$67:$AU$71,,$AD516), 1 / ($AV$67:$AV$71*BO516 + (1-$AV$67:$AV$71)*BK516), N($AK$67:$AK$71&gt;$AI516)),
SUMPRODUCT(INDEX($AL$57:$AN$66,,$AE516), INDEX($AO$57:$AU$66,,$AD516), 1 / ($AW$57:$AW$66*BO516 + (1-$AW$57:$AW$66)*BK516), N($AK$57:$AK$66&gt;$AI516))
) / 1000</f>
        <v>0</v>
      </c>
      <c r="BQ516" s="250">
        <f t="shared" si="559"/>
        <v>20</v>
      </c>
      <c r="BR516" s="237">
        <f t="shared" si="575"/>
        <v>33</v>
      </c>
      <c r="BS516" s="253">
        <f t="shared" si="576"/>
        <v>4.8487499999999999</v>
      </c>
      <c r="BT516" s="253" cm="1">
        <f t="array" ref="BT516">$BC516 * IF($AD516&lt;=2,
SUMPRODUCT(INDEX($AL$62:$AN$66,,$AE516), INDEX($AO$62:$AU$66,,$AD516), 1 / ($AV$62:$AV$66*BS516 + (1-$AV$62:$AV$66)*BO516), N($AK$62:$AK$66&gt;$AI516)),
SUMPRODUCT(INDEX($AL$47:$AN$56,,$AE516), INDEX($AO$47:$AU$56,,$AD516), 1 / ($AW$47:$AW$56*BS516 + (1-$AW$47:$AW$56)*BO516), N($AK$47:$AK$56&gt;$AI516))
) / 1000</f>
        <v>0</v>
      </c>
      <c r="BU516" s="253" cm="1">
        <f t="array" ref="BU516">$BC516 * IF($AD516&lt;=2,
SUMPRODUCT(INDEX($AL$23:$AN$61,,$AE516), INDEX($AO$23:$AU$61,,$AD516), 1 / ($AV$23:$AV$61*BS516), N($AK$23:$AK$61&gt;$AI516)),
SUMPRODUCT(INDEX($AL$23:$AN$46,,$AE516), INDEX($AO$23:$AU$46,,$AD516), 1 / ($AW$23:$AW$46*BS516), N($AK$23:$AK$46&gt;$AI516))
) / 1000</f>
        <v>0</v>
      </c>
      <c r="BV516" s="237">
        <f t="shared" si="577"/>
        <v>0</v>
      </c>
      <c r="BW516" s="210"/>
      <c r="BX516" s="237">
        <f t="shared" si="578"/>
        <v>0</v>
      </c>
      <c r="BY516" s="236">
        <v>35</v>
      </c>
      <c r="BZ516" s="237">
        <f t="shared" si="579"/>
        <v>48</v>
      </c>
      <c r="CA516" s="253">
        <f t="shared" si="580"/>
        <v>3.0748170731707316</v>
      </c>
      <c r="CB516" s="253" cm="1">
        <f t="array" ref="CB516">$BC516 * SUMPRODUCT(INDEX($AL$77:$AN$82,,$AE516),INDEX($AO$77:$AU$82,,$AD516), N($AK$77:$AK$82&gt;$AI516)) / CA516 / 1000</f>
        <v>0</v>
      </c>
      <c r="CC516" s="250">
        <f t="shared" si="560"/>
        <v>30</v>
      </c>
      <c r="CD516" s="237">
        <f t="shared" si="581"/>
        <v>43</v>
      </c>
      <c r="CE516" s="253">
        <f t="shared" si="582"/>
        <v>3.5018750000000001</v>
      </c>
      <c r="CF516" s="253" cm="1">
        <f t="array" ref="CF516">$BC516 * IF($AD516&lt;=2,
SUMPRODUCT(INDEX($AL$72:$AN$76,,$AE516), INDEX($AO$72:$AU$76,,$AD516), 1 / ($AV$72:$AV$76*CE516 + (1-$AV$72:$AV$76)*CA516), N($AK$72:$AK$76&gt;$AI516)),
SUMPRODUCT(INDEX($AL$67:$AN$76,,$AE516), INDEX($AO$67:$AU$76,,$AD516), 1 / ($AW$67:$AW$76*CE516 + (1-$AW$67:$AW$76)*CA516), N($AK$67:$AK$76&gt;$AI516))
) / 1000</f>
        <v>0</v>
      </c>
      <c r="CG516" s="250">
        <f t="shared" si="561"/>
        <v>25</v>
      </c>
      <c r="CH516" s="237">
        <f t="shared" si="583"/>
        <v>38</v>
      </c>
      <c r="CI516" s="253">
        <f t="shared" si="584"/>
        <v>4.0666935483870965</v>
      </c>
      <c r="CJ516" s="253" cm="1">
        <f t="array" ref="CJ516">$BC516 * IF($AD516&lt;=2,
SUMPRODUCT(INDEX($AL$67:$AN$71,,$AE516), INDEX($AO$67:$AU$71,,$AD516), 1 / ($AV$67:$AV$71*CI516 + (1-$AV$67:$AV$71)*CE516), N($AK$67:$AK$71&gt;$AI516)),
SUMPRODUCT(INDEX($AL$57:$AN$66,,$AE516), INDEX($AO$57:$AU$66,,$AD516), 1 / ($AW$57:$AW$66*CI516 + (1-$AW$57:$AW$66)*CE516), N($AK$57:$AK$66&gt;$AI516))
) / 1000</f>
        <v>0</v>
      </c>
      <c r="CK516" s="250">
        <f t="shared" si="562"/>
        <v>20</v>
      </c>
      <c r="CL516" s="237">
        <f t="shared" si="585"/>
        <v>33</v>
      </c>
      <c r="CM516" s="253">
        <f t="shared" si="586"/>
        <v>4.8487499999999999</v>
      </c>
      <c r="CN516" s="253" cm="1">
        <f t="array" ref="CN516">$BC516 * IF($AD516&lt;=2,
SUMPRODUCT(INDEX($AL$62:$AN$66,,$AE516), INDEX($AO$62:$AU$66,,$AD516), 1 / ($AV$62:$AV$66*CM516 + (1-$AV$62:$AV$66)*CI516), N($AK$62:$AK$66&gt;$AI516)),
SUMPRODUCT(INDEX($AL$47:$AN$56,,$AE516), INDEX($AO$47:$AU$56,,$AD516), 1 / ($AW$47:$AW$56*CM516 + (1-$AW$47:$AW$56)*CI516), N($AK$47:$AK$56&gt;$AI516))
) / 1000</f>
        <v>0</v>
      </c>
      <c r="CO516" s="253" cm="1">
        <f t="array" ref="CO516">$BC516 * IF($AD516&lt;=2,
SUMPRODUCT(INDEX($AL$23:$AN$61,,$AE516), INDEX($AO$23:$AU$61,,$AD516), 1 / ($AV$23:$AV$61*CM516), N($AK$23:$AK$61&gt;$AI516)),
SUMPRODUCT(INDEX($AL$23:$AN$46,,$AE516), INDEX($AO$23:$AU$46,,$AD516), 1 / ($AW$23:$AW$46*CM516), N($AK$23:$AK$46&gt;$AI516))
) / 1000</f>
        <v>0</v>
      </c>
      <c r="CP516" s="237">
        <f t="shared" si="587"/>
        <v>0</v>
      </c>
      <c r="CQ516" s="210"/>
    </row>
    <row r="517" spans="1:95" s="76" customFormat="1" ht="14.25" customHeight="1" x14ac:dyDescent="0.2">
      <c r="A517" s="238" t="b">
        <f t="shared" si="554"/>
        <v>0</v>
      </c>
      <c r="B517" s="239">
        <v>495</v>
      </c>
      <c r="C517" s="258"/>
      <c r="D517" s="258"/>
      <c r="E517" s="240"/>
      <c r="F517" s="241" t="str">
        <f>IF(ISBLANK(E517), "", VLOOKUP(E517, Z!$A$2:$C$4127, 3, FALSE))</f>
        <v/>
      </c>
      <c r="G517" s="242"/>
      <c r="H517" s="242"/>
      <c r="I517" s="243"/>
      <c r="J517" s="244"/>
      <c r="K517" s="259"/>
      <c r="L517" s="260"/>
      <c r="M517" s="247" t="str" cm="1">
        <f t="array" ref="M517">IF($K517&gt;0, INDEX(Clean,1+AG517,$C$1), "")</f>
        <v/>
      </c>
      <c r="N517" s="245"/>
      <c r="O517" s="245"/>
      <c r="P517" s="246"/>
      <c r="Q517" s="248">
        <f t="shared" si="564"/>
        <v>0</v>
      </c>
      <c r="R517" s="247" t="str" cm="1">
        <f t="array" ref="R517">IF($K517&gt;0, INDEX(Clean,1+AH517,$C$1), "")</f>
        <v/>
      </c>
      <c r="S517" s="245"/>
      <c r="T517" s="245"/>
      <c r="U517" s="246"/>
      <c r="V517" s="248">
        <f t="shared" si="565"/>
        <v>0</v>
      </c>
      <c r="W517" s="261"/>
      <c r="X517" s="258"/>
      <c r="Y517" s="240"/>
      <c r="Z517" s="241" t="str">
        <f>IF(ISBLANK(Y517), "", VLOOKUP(Y517, Z!$A$2:$C$4127, 3, FALSE))</f>
        <v/>
      </c>
      <c r="AA517" s="262"/>
      <c r="AB517" s="249">
        <f t="shared" si="563"/>
        <v>0</v>
      </c>
      <c r="AC517" s="210"/>
      <c r="AD517" s="236">
        <f t="shared" si="588"/>
        <v>1</v>
      </c>
      <c r="AE517" s="236">
        <f t="shared" si="589"/>
        <v>1</v>
      </c>
      <c r="AF517" s="236">
        <f t="shared" si="590"/>
        <v>0</v>
      </c>
      <c r="AG517" s="236">
        <v>1</v>
      </c>
      <c r="AH517" s="236">
        <v>0</v>
      </c>
      <c r="AI517" s="236">
        <f t="shared" si="566"/>
        <v>-100</v>
      </c>
      <c r="AJ517" s="210"/>
      <c r="AK517" s="254"/>
      <c r="AL517" s="254"/>
      <c r="AM517" s="255"/>
      <c r="AN517" s="255"/>
      <c r="AO517" s="255"/>
      <c r="AP517" s="255"/>
      <c r="AQ517" s="255"/>
      <c r="AR517" s="255"/>
      <c r="AS517" s="255"/>
      <c r="AT517" s="255"/>
      <c r="AU517" s="255"/>
      <c r="AV517" s="255"/>
      <c r="AW517" s="255"/>
      <c r="AX517" s="210"/>
      <c r="AY517" s="236" cm="1">
        <f t="array" ref="AY517">INDEX(Use, $AD517, 4)</f>
        <v>7</v>
      </c>
      <c r="AZ517" s="236">
        <f t="shared" si="567"/>
        <v>32</v>
      </c>
      <c r="BA517" s="236">
        <f t="shared" si="555"/>
        <v>13</v>
      </c>
      <c r="BB517" s="236">
        <f t="shared" si="556"/>
        <v>0</v>
      </c>
      <c r="BC517" s="252" cm="1">
        <f t="array" ref="BC517">K517/IF($L517&gt;0, INDEX($AO$23:$AU$77, $L517+20, $AD517), 1)</f>
        <v>0</v>
      </c>
      <c r="BD517" s="237">
        <f t="shared" si="568"/>
        <v>0</v>
      </c>
      <c r="BE517" s="236">
        <v>35</v>
      </c>
      <c r="BF517" s="237">
        <f t="shared" si="569"/>
        <v>52.55</v>
      </c>
      <c r="BG517" s="253">
        <f t="shared" si="570"/>
        <v>2.7676728869374316</v>
      </c>
      <c r="BH517" s="253" cm="1">
        <f t="array" ref="BH517">$BC517 * SUMPRODUCT(INDEX($AL$77:$AN$82,,$AE517),INDEX($AO$77:$AU$82,,$AD517), N($AK$77:$AK$82&gt;$AI517)) / BG517 / 1000</f>
        <v>0</v>
      </c>
      <c r="BI517" s="250">
        <f t="shared" si="557"/>
        <v>30</v>
      </c>
      <c r="BJ517" s="237">
        <f t="shared" si="571"/>
        <v>46.033333333333331</v>
      </c>
      <c r="BK517" s="253">
        <f t="shared" si="572"/>
        <v>3.2297395388556791</v>
      </c>
      <c r="BL517" s="253" cm="1">
        <f t="array" ref="BL517">$BC517 * IF($AD517&lt;=2,
SUMPRODUCT(INDEX($AL$72:$AN$76,,$AE517), INDEX($AO$72:$AU$76,,$AD517), 1 / ($AV$72:$AV$76*BK517 + (1-$AV$72:$AV$76)*BG517), N($AK$72:$AK$76&gt;$AI517)),
SUMPRODUCT(INDEX($AL$67:$AN$76,,$AE517), INDEX($AO$67:$AU$76,,$AD517), 1 / ($AW$67:$AW$76*BK517 + (1-$AW$67:$AW$76)*BG517), N($AK$67:$AK$76&gt;$AI517))
) / 1000</f>
        <v>0</v>
      </c>
      <c r="BM517" s="250">
        <f t="shared" si="558"/>
        <v>25</v>
      </c>
      <c r="BN517" s="237">
        <f t="shared" si="573"/>
        <v>39.516666666666666</v>
      </c>
      <c r="BO517" s="253">
        <f t="shared" si="574"/>
        <v>3.877011788826243</v>
      </c>
      <c r="BP517" s="253" cm="1">
        <f t="array" ref="BP517">$BC517 * IF($AD517&lt;=2,
SUMPRODUCT(INDEX($AL$67:$AN$71,,$AE517), INDEX($AO$67:$AU$71,,$AD517), 1 / ($AV$67:$AV$71*BO517 + (1-$AV$67:$AV$71)*BK517), N($AK$67:$AK$71&gt;$AI517)),
SUMPRODUCT(INDEX($AL$57:$AN$66,,$AE517), INDEX($AO$57:$AU$66,,$AD517), 1 / ($AW$57:$AW$66*BO517 + (1-$AW$57:$AW$66)*BK517), N($AK$57:$AK$66&gt;$AI517))
) / 1000</f>
        <v>0</v>
      </c>
      <c r="BQ517" s="250">
        <f t="shared" si="559"/>
        <v>20</v>
      </c>
      <c r="BR517" s="237">
        <f t="shared" si="575"/>
        <v>33</v>
      </c>
      <c r="BS517" s="253">
        <f t="shared" si="576"/>
        <v>4.8487499999999999</v>
      </c>
      <c r="BT517" s="253" cm="1">
        <f t="array" ref="BT517">$BC517 * IF($AD517&lt;=2,
SUMPRODUCT(INDEX($AL$62:$AN$66,,$AE517), INDEX($AO$62:$AU$66,,$AD517), 1 / ($AV$62:$AV$66*BS517 + (1-$AV$62:$AV$66)*BO517), N($AK$62:$AK$66&gt;$AI517)),
SUMPRODUCT(INDEX($AL$47:$AN$56,,$AE517), INDEX($AO$47:$AU$56,,$AD517), 1 / ($AW$47:$AW$56*BS517 + (1-$AW$47:$AW$56)*BO517), N($AK$47:$AK$56&gt;$AI517))
) / 1000</f>
        <v>0</v>
      </c>
      <c r="BU517" s="253" cm="1">
        <f t="array" ref="BU517">$BC517 * IF($AD517&lt;=2,
SUMPRODUCT(INDEX($AL$23:$AN$61,,$AE517), INDEX($AO$23:$AU$61,,$AD517), 1 / ($AV$23:$AV$61*BS517), N($AK$23:$AK$61&gt;$AI517)),
SUMPRODUCT(INDEX($AL$23:$AN$46,,$AE517), INDEX($AO$23:$AU$46,,$AD517), 1 / ($AW$23:$AW$46*BS517), N($AK$23:$AK$46&gt;$AI517))
) / 1000</f>
        <v>0</v>
      </c>
      <c r="BV517" s="237">
        <f t="shared" si="577"/>
        <v>0</v>
      </c>
      <c r="BW517" s="210"/>
      <c r="BX517" s="237">
        <f t="shared" si="578"/>
        <v>0</v>
      </c>
      <c r="BY517" s="236">
        <v>35</v>
      </c>
      <c r="BZ517" s="237">
        <f t="shared" si="579"/>
        <v>48</v>
      </c>
      <c r="CA517" s="253">
        <f t="shared" si="580"/>
        <v>3.0748170731707316</v>
      </c>
      <c r="CB517" s="253" cm="1">
        <f t="array" ref="CB517">$BC517 * SUMPRODUCT(INDEX($AL$77:$AN$82,,$AE517),INDEX($AO$77:$AU$82,,$AD517), N($AK$77:$AK$82&gt;$AI517)) / CA517 / 1000</f>
        <v>0</v>
      </c>
      <c r="CC517" s="250">
        <f t="shared" si="560"/>
        <v>30</v>
      </c>
      <c r="CD517" s="237">
        <f t="shared" si="581"/>
        <v>43</v>
      </c>
      <c r="CE517" s="253">
        <f t="shared" si="582"/>
        <v>3.5018750000000001</v>
      </c>
      <c r="CF517" s="253" cm="1">
        <f t="array" ref="CF517">$BC517 * IF($AD517&lt;=2,
SUMPRODUCT(INDEX($AL$72:$AN$76,,$AE517), INDEX($AO$72:$AU$76,,$AD517), 1 / ($AV$72:$AV$76*CE517 + (1-$AV$72:$AV$76)*CA517), N($AK$72:$AK$76&gt;$AI517)),
SUMPRODUCT(INDEX($AL$67:$AN$76,,$AE517), INDEX($AO$67:$AU$76,,$AD517), 1 / ($AW$67:$AW$76*CE517 + (1-$AW$67:$AW$76)*CA517), N($AK$67:$AK$76&gt;$AI517))
) / 1000</f>
        <v>0</v>
      </c>
      <c r="CG517" s="250">
        <f t="shared" si="561"/>
        <v>25</v>
      </c>
      <c r="CH517" s="237">
        <f t="shared" si="583"/>
        <v>38</v>
      </c>
      <c r="CI517" s="253">
        <f t="shared" si="584"/>
        <v>4.0666935483870965</v>
      </c>
      <c r="CJ517" s="253" cm="1">
        <f t="array" ref="CJ517">$BC517 * IF($AD517&lt;=2,
SUMPRODUCT(INDEX($AL$67:$AN$71,,$AE517), INDEX($AO$67:$AU$71,,$AD517), 1 / ($AV$67:$AV$71*CI517 + (1-$AV$67:$AV$71)*CE517), N($AK$67:$AK$71&gt;$AI517)),
SUMPRODUCT(INDEX($AL$57:$AN$66,,$AE517), INDEX($AO$57:$AU$66,,$AD517), 1 / ($AW$57:$AW$66*CI517 + (1-$AW$57:$AW$66)*CE517), N($AK$57:$AK$66&gt;$AI517))
) / 1000</f>
        <v>0</v>
      </c>
      <c r="CK517" s="250">
        <f t="shared" si="562"/>
        <v>20</v>
      </c>
      <c r="CL517" s="237">
        <f t="shared" si="585"/>
        <v>33</v>
      </c>
      <c r="CM517" s="253">
        <f t="shared" si="586"/>
        <v>4.8487499999999999</v>
      </c>
      <c r="CN517" s="253" cm="1">
        <f t="array" ref="CN517">$BC517 * IF($AD517&lt;=2,
SUMPRODUCT(INDEX($AL$62:$AN$66,,$AE517), INDEX($AO$62:$AU$66,,$AD517), 1 / ($AV$62:$AV$66*CM517 + (1-$AV$62:$AV$66)*CI517), N($AK$62:$AK$66&gt;$AI517)),
SUMPRODUCT(INDEX($AL$47:$AN$56,,$AE517), INDEX($AO$47:$AU$56,,$AD517), 1 / ($AW$47:$AW$56*CM517 + (1-$AW$47:$AW$56)*CI517), N($AK$47:$AK$56&gt;$AI517))
) / 1000</f>
        <v>0</v>
      </c>
      <c r="CO517" s="253" cm="1">
        <f t="array" ref="CO517">$BC517 * IF($AD517&lt;=2,
SUMPRODUCT(INDEX($AL$23:$AN$61,,$AE517), INDEX($AO$23:$AU$61,,$AD517), 1 / ($AV$23:$AV$61*CM517), N($AK$23:$AK$61&gt;$AI517)),
SUMPRODUCT(INDEX($AL$23:$AN$46,,$AE517), INDEX($AO$23:$AU$46,,$AD517), 1 / ($AW$23:$AW$46*CM517), N($AK$23:$AK$46&gt;$AI517))
) / 1000</f>
        <v>0</v>
      </c>
      <c r="CP517" s="237">
        <f t="shared" si="587"/>
        <v>0</v>
      </c>
      <c r="CQ517" s="210"/>
    </row>
    <row r="518" spans="1:95" s="76" customFormat="1" ht="14.25" customHeight="1" x14ac:dyDescent="0.2">
      <c r="A518" s="238" t="b">
        <f t="shared" si="554"/>
        <v>0</v>
      </c>
      <c r="B518" s="239">
        <v>496</v>
      </c>
      <c r="C518" s="258"/>
      <c r="D518" s="258"/>
      <c r="E518" s="240"/>
      <c r="F518" s="241" t="str">
        <f>IF(ISBLANK(E518), "", VLOOKUP(E518, Z!$A$2:$C$4127, 3, FALSE))</f>
        <v/>
      </c>
      <c r="G518" s="242"/>
      <c r="H518" s="242"/>
      <c r="I518" s="243"/>
      <c r="J518" s="244"/>
      <c r="K518" s="259"/>
      <c r="L518" s="260"/>
      <c r="M518" s="247" t="str" cm="1">
        <f t="array" ref="M518">IF($K518&gt;0, INDEX(Clean,1+AG518,$C$1), "")</f>
        <v/>
      </c>
      <c r="N518" s="245"/>
      <c r="O518" s="245"/>
      <c r="P518" s="246"/>
      <c r="Q518" s="248">
        <f t="shared" si="564"/>
        <v>0</v>
      </c>
      <c r="R518" s="247" t="str" cm="1">
        <f t="array" ref="R518">IF($K518&gt;0, INDEX(Clean,1+AH518,$C$1), "")</f>
        <v/>
      </c>
      <c r="S518" s="245"/>
      <c r="T518" s="245"/>
      <c r="U518" s="246"/>
      <c r="V518" s="248">
        <f t="shared" si="565"/>
        <v>0</v>
      </c>
      <c r="W518" s="261"/>
      <c r="X518" s="258"/>
      <c r="Y518" s="240"/>
      <c r="Z518" s="241" t="str">
        <f>IF(ISBLANK(Y518), "", VLOOKUP(Y518, Z!$A$2:$C$4127, 3, FALSE))</f>
        <v/>
      </c>
      <c r="AA518" s="262"/>
      <c r="AB518" s="249">
        <f t="shared" si="563"/>
        <v>0</v>
      </c>
      <c r="AC518" s="210"/>
      <c r="AD518" s="236">
        <f t="shared" si="588"/>
        <v>1</v>
      </c>
      <c r="AE518" s="236">
        <f t="shared" si="589"/>
        <v>1</v>
      </c>
      <c r="AF518" s="236">
        <f t="shared" si="590"/>
        <v>0</v>
      </c>
      <c r="AG518" s="236">
        <v>1</v>
      </c>
      <c r="AH518" s="236">
        <v>0</v>
      </c>
      <c r="AI518" s="236">
        <f t="shared" si="566"/>
        <v>-100</v>
      </c>
      <c r="AJ518" s="210"/>
      <c r="AK518" s="254"/>
      <c r="AL518" s="254"/>
      <c r="AM518" s="255"/>
      <c r="AN518" s="255"/>
      <c r="AO518" s="255"/>
      <c r="AP518" s="255"/>
      <c r="AQ518" s="255"/>
      <c r="AR518" s="255"/>
      <c r="AS518" s="255"/>
      <c r="AT518" s="255"/>
      <c r="AU518" s="255"/>
      <c r="AV518" s="255"/>
      <c r="AW518" s="255"/>
      <c r="AX518" s="210"/>
      <c r="AY518" s="236" cm="1">
        <f t="array" ref="AY518">INDEX(Use, $AD518, 4)</f>
        <v>7</v>
      </c>
      <c r="AZ518" s="236">
        <f t="shared" si="567"/>
        <v>32</v>
      </c>
      <c r="BA518" s="236">
        <f t="shared" si="555"/>
        <v>13</v>
      </c>
      <c r="BB518" s="236">
        <f t="shared" si="556"/>
        <v>0</v>
      </c>
      <c r="BC518" s="252" cm="1">
        <f t="array" ref="BC518">K518/IF($L518&gt;0, INDEX($AO$23:$AU$77, $L518+20, $AD518), 1)</f>
        <v>0</v>
      </c>
      <c r="BD518" s="237">
        <f t="shared" si="568"/>
        <v>0</v>
      </c>
      <c r="BE518" s="236">
        <v>35</v>
      </c>
      <c r="BF518" s="237">
        <f t="shared" si="569"/>
        <v>52.55</v>
      </c>
      <c r="BG518" s="253">
        <f t="shared" si="570"/>
        <v>2.7676728869374316</v>
      </c>
      <c r="BH518" s="253" cm="1">
        <f t="array" ref="BH518">$BC518 * SUMPRODUCT(INDEX($AL$77:$AN$82,,$AE518),INDEX($AO$77:$AU$82,,$AD518), N($AK$77:$AK$82&gt;$AI518)) / BG518 / 1000</f>
        <v>0</v>
      </c>
      <c r="BI518" s="250">
        <f t="shared" si="557"/>
        <v>30</v>
      </c>
      <c r="BJ518" s="237">
        <f t="shared" si="571"/>
        <v>46.033333333333331</v>
      </c>
      <c r="BK518" s="253">
        <f t="shared" si="572"/>
        <v>3.2297395388556791</v>
      </c>
      <c r="BL518" s="253" cm="1">
        <f t="array" ref="BL518">$BC518 * IF($AD518&lt;=2,
SUMPRODUCT(INDEX($AL$72:$AN$76,,$AE518), INDEX($AO$72:$AU$76,,$AD518), 1 / ($AV$72:$AV$76*BK518 + (1-$AV$72:$AV$76)*BG518), N($AK$72:$AK$76&gt;$AI518)),
SUMPRODUCT(INDEX($AL$67:$AN$76,,$AE518), INDEX($AO$67:$AU$76,,$AD518), 1 / ($AW$67:$AW$76*BK518 + (1-$AW$67:$AW$76)*BG518), N($AK$67:$AK$76&gt;$AI518))
) / 1000</f>
        <v>0</v>
      </c>
      <c r="BM518" s="250">
        <f t="shared" si="558"/>
        <v>25</v>
      </c>
      <c r="BN518" s="237">
        <f t="shared" si="573"/>
        <v>39.516666666666666</v>
      </c>
      <c r="BO518" s="253">
        <f t="shared" si="574"/>
        <v>3.877011788826243</v>
      </c>
      <c r="BP518" s="253" cm="1">
        <f t="array" ref="BP518">$BC518 * IF($AD518&lt;=2,
SUMPRODUCT(INDEX($AL$67:$AN$71,,$AE518), INDEX($AO$67:$AU$71,,$AD518), 1 / ($AV$67:$AV$71*BO518 + (1-$AV$67:$AV$71)*BK518), N($AK$67:$AK$71&gt;$AI518)),
SUMPRODUCT(INDEX($AL$57:$AN$66,,$AE518), INDEX($AO$57:$AU$66,,$AD518), 1 / ($AW$57:$AW$66*BO518 + (1-$AW$57:$AW$66)*BK518), N($AK$57:$AK$66&gt;$AI518))
) / 1000</f>
        <v>0</v>
      </c>
      <c r="BQ518" s="250">
        <f t="shared" si="559"/>
        <v>20</v>
      </c>
      <c r="BR518" s="237">
        <f t="shared" si="575"/>
        <v>33</v>
      </c>
      <c r="BS518" s="253">
        <f t="shared" si="576"/>
        <v>4.8487499999999999</v>
      </c>
      <c r="BT518" s="253" cm="1">
        <f t="array" ref="BT518">$BC518 * IF($AD518&lt;=2,
SUMPRODUCT(INDEX($AL$62:$AN$66,,$AE518), INDEX($AO$62:$AU$66,,$AD518), 1 / ($AV$62:$AV$66*BS518 + (1-$AV$62:$AV$66)*BO518), N($AK$62:$AK$66&gt;$AI518)),
SUMPRODUCT(INDEX($AL$47:$AN$56,,$AE518), INDEX($AO$47:$AU$56,,$AD518), 1 / ($AW$47:$AW$56*BS518 + (1-$AW$47:$AW$56)*BO518), N($AK$47:$AK$56&gt;$AI518))
) / 1000</f>
        <v>0</v>
      </c>
      <c r="BU518" s="253" cm="1">
        <f t="array" ref="BU518">$BC518 * IF($AD518&lt;=2,
SUMPRODUCT(INDEX($AL$23:$AN$61,,$AE518), INDEX($AO$23:$AU$61,,$AD518), 1 / ($AV$23:$AV$61*BS518), N($AK$23:$AK$61&gt;$AI518)),
SUMPRODUCT(INDEX($AL$23:$AN$46,,$AE518), INDEX($AO$23:$AU$46,,$AD518), 1 / ($AW$23:$AW$46*BS518), N($AK$23:$AK$46&gt;$AI518))
) / 1000</f>
        <v>0</v>
      </c>
      <c r="BV518" s="237">
        <f t="shared" si="577"/>
        <v>0</v>
      </c>
      <c r="BW518" s="210"/>
      <c r="BX518" s="237">
        <f t="shared" si="578"/>
        <v>0</v>
      </c>
      <c r="BY518" s="236">
        <v>35</v>
      </c>
      <c r="BZ518" s="237">
        <f t="shared" si="579"/>
        <v>48</v>
      </c>
      <c r="CA518" s="253">
        <f t="shared" si="580"/>
        <v>3.0748170731707316</v>
      </c>
      <c r="CB518" s="253" cm="1">
        <f t="array" ref="CB518">$BC518 * SUMPRODUCT(INDEX($AL$77:$AN$82,,$AE518),INDEX($AO$77:$AU$82,,$AD518), N($AK$77:$AK$82&gt;$AI518)) / CA518 / 1000</f>
        <v>0</v>
      </c>
      <c r="CC518" s="250">
        <f t="shared" si="560"/>
        <v>30</v>
      </c>
      <c r="CD518" s="237">
        <f t="shared" si="581"/>
        <v>43</v>
      </c>
      <c r="CE518" s="253">
        <f t="shared" si="582"/>
        <v>3.5018750000000001</v>
      </c>
      <c r="CF518" s="253" cm="1">
        <f t="array" ref="CF518">$BC518 * IF($AD518&lt;=2,
SUMPRODUCT(INDEX($AL$72:$AN$76,,$AE518), INDEX($AO$72:$AU$76,,$AD518), 1 / ($AV$72:$AV$76*CE518 + (1-$AV$72:$AV$76)*CA518), N($AK$72:$AK$76&gt;$AI518)),
SUMPRODUCT(INDEX($AL$67:$AN$76,,$AE518), INDEX($AO$67:$AU$76,,$AD518), 1 / ($AW$67:$AW$76*CE518 + (1-$AW$67:$AW$76)*CA518), N($AK$67:$AK$76&gt;$AI518))
) / 1000</f>
        <v>0</v>
      </c>
      <c r="CG518" s="250">
        <f t="shared" si="561"/>
        <v>25</v>
      </c>
      <c r="CH518" s="237">
        <f t="shared" si="583"/>
        <v>38</v>
      </c>
      <c r="CI518" s="253">
        <f t="shared" si="584"/>
        <v>4.0666935483870965</v>
      </c>
      <c r="CJ518" s="253" cm="1">
        <f t="array" ref="CJ518">$BC518 * IF($AD518&lt;=2,
SUMPRODUCT(INDEX($AL$67:$AN$71,,$AE518), INDEX($AO$67:$AU$71,,$AD518), 1 / ($AV$67:$AV$71*CI518 + (1-$AV$67:$AV$71)*CE518), N($AK$67:$AK$71&gt;$AI518)),
SUMPRODUCT(INDEX($AL$57:$AN$66,,$AE518), INDEX($AO$57:$AU$66,,$AD518), 1 / ($AW$57:$AW$66*CI518 + (1-$AW$57:$AW$66)*CE518), N($AK$57:$AK$66&gt;$AI518))
) / 1000</f>
        <v>0</v>
      </c>
      <c r="CK518" s="250">
        <f t="shared" si="562"/>
        <v>20</v>
      </c>
      <c r="CL518" s="237">
        <f t="shared" si="585"/>
        <v>33</v>
      </c>
      <c r="CM518" s="253">
        <f t="shared" si="586"/>
        <v>4.8487499999999999</v>
      </c>
      <c r="CN518" s="253" cm="1">
        <f t="array" ref="CN518">$BC518 * IF($AD518&lt;=2,
SUMPRODUCT(INDEX($AL$62:$AN$66,,$AE518), INDEX($AO$62:$AU$66,,$AD518), 1 / ($AV$62:$AV$66*CM518 + (1-$AV$62:$AV$66)*CI518), N($AK$62:$AK$66&gt;$AI518)),
SUMPRODUCT(INDEX($AL$47:$AN$56,,$AE518), INDEX($AO$47:$AU$56,,$AD518), 1 / ($AW$47:$AW$56*CM518 + (1-$AW$47:$AW$56)*CI518), N($AK$47:$AK$56&gt;$AI518))
) / 1000</f>
        <v>0</v>
      </c>
      <c r="CO518" s="253" cm="1">
        <f t="array" ref="CO518">$BC518 * IF($AD518&lt;=2,
SUMPRODUCT(INDEX($AL$23:$AN$61,,$AE518), INDEX($AO$23:$AU$61,,$AD518), 1 / ($AV$23:$AV$61*CM518), N($AK$23:$AK$61&gt;$AI518)),
SUMPRODUCT(INDEX($AL$23:$AN$46,,$AE518), INDEX($AO$23:$AU$46,,$AD518), 1 / ($AW$23:$AW$46*CM518), N($AK$23:$AK$46&gt;$AI518))
) / 1000</f>
        <v>0</v>
      </c>
      <c r="CP518" s="237">
        <f t="shared" si="587"/>
        <v>0</v>
      </c>
      <c r="CQ518" s="210"/>
    </row>
    <row r="519" spans="1:95" s="76" customFormat="1" ht="14.25" customHeight="1" x14ac:dyDescent="0.2">
      <c r="A519" s="238" t="b">
        <f t="shared" si="554"/>
        <v>0</v>
      </c>
      <c r="B519" s="239">
        <v>497</v>
      </c>
      <c r="C519" s="258"/>
      <c r="D519" s="258"/>
      <c r="E519" s="240"/>
      <c r="F519" s="241" t="str">
        <f>IF(ISBLANK(E519), "", VLOOKUP(E519, Z!$A$2:$C$4127, 3, FALSE))</f>
        <v/>
      </c>
      <c r="G519" s="242"/>
      <c r="H519" s="242"/>
      <c r="I519" s="243"/>
      <c r="J519" s="244"/>
      <c r="K519" s="259"/>
      <c r="L519" s="260"/>
      <c r="M519" s="247" t="str" cm="1">
        <f t="array" ref="M519">IF($K519&gt;0, INDEX(Clean,1+AG519,$C$1), "")</f>
        <v/>
      </c>
      <c r="N519" s="245"/>
      <c r="O519" s="245"/>
      <c r="P519" s="246"/>
      <c r="Q519" s="248">
        <f t="shared" si="564"/>
        <v>0</v>
      </c>
      <c r="R519" s="247" t="str" cm="1">
        <f t="array" ref="R519">IF($K519&gt;0, INDEX(Clean,1+AH519,$C$1), "")</f>
        <v/>
      </c>
      <c r="S519" s="245"/>
      <c r="T519" s="245"/>
      <c r="U519" s="246"/>
      <c r="V519" s="248">
        <f t="shared" si="565"/>
        <v>0</v>
      </c>
      <c r="W519" s="261"/>
      <c r="X519" s="258"/>
      <c r="Y519" s="240"/>
      <c r="Z519" s="241" t="str">
        <f>IF(ISBLANK(Y519), "", VLOOKUP(Y519, Z!$A$2:$C$4127, 3, FALSE))</f>
        <v/>
      </c>
      <c r="AA519" s="262"/>
      <c r="AB519" s="249">
        <f t="shared" si="563"/>
        <v>0</v>
      </c>
      <c r="AC519" s="210"/>
      <c r="AD519" s="236">
        <f t="shared" si="588"/>
        <v>1</v>
      </c>
      <c r="AE519" s="236">
        <f t="shared" si="589"/>
        <v>1</v>
      </c>
      <c r="AF519" s="236">
        <f t="shared" si="590"/>
        <v>0</v>
      </c>
      <c r="AG519" s="236">
        <v>1</v>
      </c>
      <c r="AH519" s="236">
        <v>0</v>
      </c>
      <c r="AI519" s="236">
        <f t="shared" si="566"/>
        <v>-100</v>
      </c>
      <c r="AJ519" s="210"/>
      <c r="AK519" s="254"/>
      <c r="AL519" s="254"/>
      <c r="AM519" s="255"/>
      <c r="AN519" s="255"/>
      <c r="AO519" s="255"/>
      <c r="AP519" s="255"/>
      <c r="AQ519" s="255"/>
      <c r="AR519" s="255"/>
      <c r="AS519" s="255"/>
      <c r="AT519" s="255"/>
      <c r="AU519" s="255"/>
      <c r="AV519" s="255"/>
      <c r="AW519" s="255"/>
      <c r="AX519" s="210"/>
      <c r="AY519" s="236" cm="1">
        <f t="array" ref="AY519">INDEX(Use, $AD519, 4)</f>
        <v>7</v>
      </c>
      <c r="AZ519" s="236">
        <f t="shared" si="567"/>
        <v>32</v>
      </c>
      <c r="BA519" s="236">
        <f t="shared" si="555"/>
        <v>13</v>
      </c>
      <c r="BB519" s="236">
        <f t="shared" si="556"/>
        <v>0</v>
      </c>
      <c r="BC519" s="252" cm="1">
        <f t="array" ref="BC519">K519/IF($L519&gt;0, INDEX($AO$23:$AU$77, $L519+20, $AD519), 1)</f>
        <v>0</v>
      </c>
      <c r="BD519" s="237">
        <f t="shared" si="568"/>
        <v>0</v>
      </c>
      <c r="BE519" s="236">
        <v>35</v>
      </c>
      <c r="BF519" s="237">
        <f t="shared" si="569"/>
        <v>52.55</v>
      </c>
      <c r="BG519" s="253">
        <f t="shared" si="570"/>
        <v>2.7676728869374316</v>
      </c>
      <c r="BH519" s="253" cm="1">
        <f t="array" ref="BH519">$BC519 * SUMPRODUCT(INDEX($AL$77:$AN$82,,$AE519),INDEX($AO$77:$AU$82,,$AD519), N($AK$77:$AK$82&gt;$AI519)) / BG519 / 1000</f>
        <v>0</v>
      </c>
      <c r="BI519" s="250">
        <f t="shared" si="557"/>
        <v>30</v>
      </c>
      <c r="BJ519" s="237">
        <f t="shared" si="571"/>
        <v>46.033333333333331</v>
      </c>
      <c r="BK519" s="253">
        <f t="shared" si="572"/>
        <v>3.2297395388556791</v>
      </c>
      <c r="BL519" s="253" cm="1">
        <f t="array" ref="BL519">$BC519 * IF($AD519&lt;=2,
SUMPRODUCT(INDEX($AL$72:$AN$76,,$AE519), INDEX($AO$72:$AU$76,,$AD519), 1 / ($AV$72:$AV$76*BK519 + (1-$AV$72:$AV$76)*BG519), N($AK$72:$AK$76&gt;$AI519)),
SUMPRODUCT(INDEX($AL$67:$AN$76,,$AE519), INDEX($AO$67:$AU$76,,$AD519), 1 / ($AW$67:$AW$76*BK519 + (1-$AW$67:$AW$76)*BG519), N($AK$67:$AK$76&gt;$AI519))
) / 1000</f>
        <v>0</v>
      </c>
      <c r="BM519" s="250">
        <f t="shared" si="558"/>
        <v>25</v>
      </c>
      <c r="BN519" s="237">
        <f t="shared" si="573"/>
        <v>39.516666666666666</v>
      </c>
      <c r="BO519" s="253">
        <f t="shared" si="574"/>
        <v>3.877011788826243</v>
      </c>
      <c r="BP519" s="253" cm="1">
        <f t="array" ref="BP519">$BC519 * IF($AD519&lt;=2,
SUMPRODUCT(INDEX($AL$67:$AN$71,,$AE519), INDEX($AO$67:$AU$71,,$AD519), 1 / ($AV$67:$AV$71*BO519 + (1-$AV$67:$AV$71)*BK519), N($AK$67:$AK$71&gt;$AI519)),
SUMPRODUCT(INDEX($AL$57:$AN$66,,$AE519), INDEX($AO$57:$AU$66,,$AD519), 1 / ($AW$57:$AW$66*BO519 + (1-$AW$57:$AW$66)*BK519), N($AK$57:$AK$66&gt;$AI519))
) / 1000</f>
        <v>0</v>
      </c>
      <c r="BQ519" s="250">
        <f t="shared" si="559"/>
        <v>20</v>
      </c>
      <c r="BR519" s="237">
        <f t="shared" si="575"/>
        <v>33</v>
      </c>
      <c r="BS519" s="253">
        <f t="shared" si="576"/>
        <v>4.8487499999999999</v>
      </c>
      <c r="BT519" s="253" cm="1">
        <f t="array" ref="BT519">$BC519 * IF($AD519&lt;=2,
SUMPRODUCT(INDEX($AL$62:$AN$66,,$AE519), INDEX($AO$62:$AU$66,,$AD519), 1 / ($AV$62:$AV$66*BS519 + (1-$AV$62:$AV$66)*BO519), N($AK$62:$AK$66&gt;$AI519)),
SUMPRODUCT(INDEX($AL$47:$AN$56,,$AE519), INDEX($AO$47:$AU$56,,$AD519), 1 / ($AW$47:$AW$56*BS519 + (1-$AW$47:$AW$56)*BO519), N($AK$47:$AK$56&gt;$AI519))
) / 1000</f>
        <v>0</v>
      </c>
      <c r="BU519" s="253" cm="1">
        <f t="array" ref="BU519">$BC519 * IF($AD519&lt;=2,
SUMPRODUCT(INDEX($AL$23:$AN$61,,$AE519), INDEX($AO$23:$AU$61,,$AD519), 1 / ($AV$23:$AV$61*BS519), N($AK$23:$AK$61&gt;$AI519)),
SUMPRODUCT(INDEX($AL$23:$AN$46,,$AE519), INDEX($AO$23:$AU$46,,$AD519), 1 / ($AW$23:$AW$46*BS519), N($AK$23:$AK$46&gt;$AI519))
) / 1000</f>
        <v>0</v>
      </c>
      <c r="BV519" s="237">
        <f t="shared" si="577"/>
        <v>0</v>
      </c>
      <c r="BW519" s="210"/>
      <c r="BX519" s="237">
        <f t="shared" si="578"/>
        <v>0</v>
      </c>
      <c r="BY519" s="236">
        <v>35</v>
      </c>
      <c r="BZ519" s="237">
        <f t="shared" si="579"/>
        <v>48</v>
      </c>
      <c r="CA519" s="253">
        <f t="shared" si="580"/>
        <v>3.0748170731707316</v>
      </c>
      <c r="CB519" s="253" cm="1">
        <f t="array" ref="CB519">$BC519 * SUMPRODUCT(INDEX($AL$77:$AN$82,,$AE519),INDEX($AO$77:$AU$82,,$AD519), N($AK$77:$AK$82&gt;$AI519)) / CA519 / 1000</f>
        <v>0</v>
      </c>
      <c r="CC519" s="250">
        <f t="shared" si="560"/>
        <v>30</v>
      </c>
      <c r="CD519" s="237">
        <f t="shared" si="581"/>
        <v>43</v>
      </c>
      <c r="CE519" s="253">
        <f t="shared" si="582"/>
        <v>3.5018750000000001</v>
      </c>
      <c r="CF519" s="253" cm="1">
        <f t="array" ref="CF519">$BC519 * IF($AD519&lt;=2,
SUMPRODUCT(INDEX($AL$72:$AN$76,,$AE519), INDEX($AO$72:$AU$76,,$AD519), 1 / ($AV$72:$AV$76*CE519 + (1-$AV$72:$AV$76)*CA519), N($AK$72:$AK$76&gt;$AI519)),
SUMPRODUCT(INDEX($AL$67:$AN$76,,$AE519), INDEX($AO$67:$AU$76,,$AD519), 1 / ($AW$67:$AW$76*CE519 + (1-$AW$67:$AW$76)*CA519), N($AK$67:$AK$76&gt;$AI519))
) / 1000</f>
        <v>0</v>
      </c>
      <c r="CG519" s="250">
        <f t="shared" si="561"/>
        <v>25</v>
      </c>
      <c r="CH519" s="237">
        <f t="shared" si="583"/>
        <v>38</v>
      </c>
      <c r="CI519" s="253">
        <f t="shared" si="584"/>
        <v>4.0666935483870965</v>
      </c>
      <c r="CJ519" s="253" cm="1">
        <f t="array" ref="CJ519">$BC519 * IF($AD519&lt;=2,
SUMPRODUCT(INDEX($AL$67:$AN$71,,$AE519), INDEX($AO$67:$AU$71,,$AD519), 1 / ($AV$67:$AV$71*CI519 + (1-$AV$67:$AV$71)*CE519), N($AK$67:$AK$71&gt;$AI519)),
SUMPRODUCT(INDEX($AL$57:$AN$66,,$AE519), INDEX($AO$57:$AU$66,,$AD519), 1 / ($AW$57:$AW$66*CI519 + (1-$AW$57:$AW$66)*CE519), N($AK$57:$AK$66&gt;$AI519))
) / 1000</f>
        <v>0</v>
      </c>
      <c r="CK519" s="250">
        <f t="shared" si="562"/>
        <v>20</v>
      </c>
      <c r="CL519" s="237">
        <f t="shared" si="585"/>
        <v>33</v>
      </c>
      <c r="CM519" s="253">
        <f t="shared" si="586"/>
        <v>4.8487499999999999</v>
      </c>
      <c r="CN519" s="253" cm="1">
        <f t="array" ref="CN519">$BC519 * IF($AD519&lt;=2,
SUMPRODUCT(INDEX($AL$62:$AN$66,,$AE519), INDEX($AO$62:$AU$66,,$AD519), 1 / ($AV$62:$AV$66*CM519 + (1-$AV$62:$AV$66)*CI519), N($AK$62:$AK$66&gt;$AI519)),
SUMPRODUCT(INDEX($AL$47:$AN$56,,$AE519), INDEX($AO$47:$AU$56,,$AD519), 1 / ($AW$47:$AW$56*CM519 + (1-$AW$47:$AW$56)*CI519), N($AK$47:$AK$56&gt;$AI519))
) / 1000</f>
        <v>0</v>
      </c>
      <c r="CO519" s="253" cm="1">
        <f t="array" ref="CO519">$BC519 * IF($AD519&lt;=2,
SUMPRODUCT(INDEX($AL$23:$AN$61,,$AE519), INDEX($AO$23:$AU$61,,$AD519), 1 / ($AV$23:$AV$61*CM519), N($AK$23:$AK$61&gt;$AI519)),
SUMPRODUCT(INDEX($AL$23:$AN$46,,$AE519), INDEX($AO$23:$AU$46,,$AD519), 1 / ($AW$23:$AW$46*CM519), N($AK$23:$AK$46&gt;$AI519))
) / 1000</f>
        <v>0</v>
      </c>
      <c r="CP519" s="237">
        <f t="shared" si="587"/>
        <v>0</v>
      </c>
      <c r="CQ519" s="210"/>
    </row>
    <row r="520" spans="1:95" s="76" customFormat="1" ht="14.25" customHeight="1" x14ac:dyDescent="0.2">
      <c r="A520" s="238" t="b">
        <f t="shared" si="554"/>
        <v>0</v>
      </c>
      <c r="B520" s="239">
        <v>498</v>
      </c>
      <c r="C520" s="258"/>
      <c r="D520" s="258"/>
      <c r="E520" s="240"/>
      <c r="F520" s="241" t="str">
        <f>IF(ISBLANK(E520), "", VLOOKUP(E520, Z!$A$2:$C$4127, 3, FALSE))</f>
        <v/>
      </c>
      <c r="G520" s="242"/>
      <c r="H520" s="242"/>
      <c r="I520" s="243"/>
      <c r="J520" s="244"/>
      <c r="K520" s="259"/>
      <c r="L520" s="260"/>
      <c r="M520" s="247" t="str" cm="1">
        <f t="array" ref="M520">IF($K520&gt;0, INDEX(Clean,1+AG520,$C$1), "")</f>
        <v/>
      </c>
      <c r="N520" s="245"/>
      <c r="O520" s="245"/>
      <c r="P520" s="246"/>
      <c r="Q520" s="248">
        <f t="shared" si="564"/>
        <v>0</v>
      </c>
      <c r="R520" s="247" t="str" cm="1">
        <f t="array" ref="R520">IF($K520&gt;0, INDEX(Clean,1+AH520,$C$1), "")</f>
        <v/>
      </c>
      <c r="S520" s="245"/>
      <c r="T520" s="245"/>
      <c r="U520" s="246"/>
      <c r="V520" s="248">
        <f t="shared" si="565"/>
        <v>0</v>
      </c>
      <c r="W520" s="261"/>
      <c r="X520" s="258"/>
      <c r="Y520" s="240"/>
      <c r="Z520" s="241" t="str">
        <f>IF(ISBLANK(Y520), "", VLOOKUP(Y520, Z!$A$2:$C$4127, 3, FALSE))</f>
        <v/>
      </c>
      <c r="AA520" s="262"/>
      <c r="AB520" s="249">
        <f t="shared" si="563"/>
        <v>0</v>
      </c>
      <c r="AC520" s="210"/>
      <c r="AD520" s="236">
        <f t="shared" si="588"/>
        <v>1</v>
      </c>
      <c r="AE520" s="236">
        <f t="shared" si="589"/>
        <v>1</v>
      </c>
      <c r="AF520" s="236">
        <f t="shared" si="590"/>
        <v>0</v>
      </c>
      <c r="AG520" s="236">
        <v>1</v>
      </c>
      <c r="AH520" s="236">
        <v>0</v>
      </c>
      <c r="AI520" s="236">
        <f t="shared" si="566"/>
        <v>-100</v>
      </c>
      <c r="AJ520" s="210"/>
      <c r="AK520" s="254"/>
      <c r="AL520" s="254"/>
      <c r="AM520" s="255"/>
      <c r="AN520" s="255"/>
      <c r="AO520" s="255"/>
      <c r="AP520" s="255"/>
      <c r="AQ520" s="255"/>
      <c r="AR520" s="255"/>
      <c r="AS520" s="255"/>
      <c r="AT520" s="255"/>
      <c r="AU520" s="255"/>
      <c r="AV520" s="255"/>
      <c r="AW520" s="255"/>
      <c r="AX520" s="210"/>
      <c r="AY520" s="236" cm="1">
        <f t="array" ref="AY520">INDEX(Use, $AD520, 4)</f>
        <v>7</v>
      </c>
      <c r="AZ520" s="236">
        <f t="shared" si="567"/>
        <v>32</v>
      </c>
      <c r="BA520" s="236">
        <f t="shared" si="555"/>
        <v>13</v>
      </c>
      <c r="BB520" s="236">
        <f t="shared" si="556"/>
        <v>0</v>
      </c>
      <c r="BC520" s="252" cm="1">
        <f t="array" ref="BC520">K520/IF($L520&gt;0, INDEX($AO$23:$AU$77, $L520+20, $AD520), 1)</f>
        <v>0</v>
      </c>
      <c r="BD520" s="237">
        <f t="shared" si="568"/>
        <v>0</v>
      </c>
      <c r="BE520" s="236">
        <v>35</v>
      </c>
      <c r="BF520" s="237">
        <f t="shared" si="569"/>
        <v>52.55</v>
      </c>
      <c r="BG520" s="253">
        <f t="shared" si="570"/>
        <v>2.7676728869374316</v>
      </c>
      <c r="BH520" s="253" cm="1">
        <f t="array" ref="BH520">$BC520 * SUMPRODUCT(INDEX($AL$77:$AN$82,,$AE520),INDEX($AO$77:$AU$82,,$AD520), N($AK$77:$AK$82&gt;$AI520)) / BG520 / 1000</f>
        <v>0</v>
      </c>
      <c r="BI520" s="250">
        <f t="shared" si="557"/>
        <v>30</v>
      </c>
      <c r="BJ520" s="237">
        <f t="shared" si="571"/>
        <v>46.033333333333331</v>
      </c>
      <c r="BK520" s="253">
        <f t="shared" si="572"/>
        <v>3.2297395388556791</v>
      </c>
      <c r="BL520" s="253" cm="1">
        <f t="array" ref="BL520">$BC520 * IF($AD520&lt;=2,
SUMPRODUCT(INDEX($AL$72:$AN$76,,$AE520), INDEX($AO$72:$AU$76,,$AD520), 1 / ($AV$72:$AV$76*BK520 + (1-$AV$72:$AV$76)*BG520), N($AK$72:$AK$76&gt;$AI520)),
SUMPRODUCT(INDEX($AL$67:$AN$76,,$AE520), INDEX($AO$67:$AU$76,,$AD520), 1 / ($AW$67:$AW$76*BK520 + (1-$AW$67:$AW$76)*BG520), N($AK$67:$AK$76&gt;$AI520))
) / 1000</f>
        <v>0</v>
      </c>
      <c r="BM520" s="250">
        <f t="shared" si="558"/>
        <v>25</v>
      </c>
      <c r="BN520" s="237">
        <f t="shared" si="573"/>
        <v>39.516666666666666</v>
      </c>
      <c r="BO520" s="253">
        <f t="shared" si="574"/>
        <v>3.877011788826243</v>
      </c>
      <c r="BP520" s="253" cm="1">
        <f t="array" ref="BP520">$BC520 * IF($AD520&lt;=2,
SUMPRODUCT(INDEX($AL$67:$AN$71,,$AE520), INDEX($AO$67:$AU$71,,$AD520), 1 / ($AV$67:$AV$71*BO520 + (1-$AV$67:$AV$71)*BK520), N($AK$67:$AK$71&gt;$AI520)),
SUMPRODUCT(INDEX($AL$57:$AN$66,,$AE520), INDEX($AO$57:$AU$66,,$AD520), 1 / ($AW$57:$AW$66*BO520 + (1-$AW$57:$AW$66)*BK520), N($AK$57:$AK$66&gt;$AI520))
) / 1000</f>
        <v>0</v>
      </c>
      <c r="BQ520" s="250">
        <f t="shared" si="559"/>
        <v>20</v>
      </c>
      <c r="BR520" s="237">
        <f t="shared" si="575"/>
        <v>33</v>
      </c>
      <c r="BS520" s="253">
        <f t="shared" si="576"/>
        <v>4.8487499999999999</v>
      </c>
      <c r="BT520" s="253" cm="1">
        <f t="array" ref="BT520">$BC520 * IF($AD520&lt;=2,
SUMPRODUCT(INDEX($AL$62:$AN$66,,$AE520), INDEX($AO$62:$AU$66,,$AD520), 1 / ($AV$62:$AV$66*BS520 + (1-$AV$62:$AV$66)*BO520), N($AK$62:$AK$66&gt;$AI520)),
SUMPRODUCT(INDEX($AL$47:$AN$56,,$AE520), INDEX($AO$47:$AU$56,,$AD520), 1 / ($AW$47:$AW$56*BS520 + (1-$AW$47:$AW$56)*BO520), N($AK$47:$AK$56&gt;$AI520))
) / 1000</f>
        <v>0</v>
      </c>
      <c r="BU520" s="253" cm="1">
        <f t="array" ref="BU520">$BC520 * IF($AD520&lt;=2,
SUMPRODUCT(INDEX($AL$23:$AN$61,,$AE520), INDEX($AO$23:$AU$61,,$AD520), 1 / ($AV$23:$AV$61*BS520), N($AK$23:$AK$61&gt;$AI520)),
SUMPRODUCT(INDEX($AL$23:$AN$46,,$AE520), INDEX($AO$23:$AU$46,,$AD520), 1 / ($AW$23:$AW$46*BS520), N($AK$23:$AK$46&gt;$AI520))
) / 1000</f>
        <v>0</v>
      </c>
      <c r="BV520" s="237">
        <f t="shared" si="577"/>
        <v>0</v>
      </c>
      <c r="BW520" s="210"/>
      <c r="BX520" s="237">
        <f t="shared" si="578"/>
        <v>0</v>
      </c>
      <c r="BY520" s="236">
        <v>35</v>
      </c>
      <c r="BZ520" s="237">
        <f t="shared" si="579"/>
        <v>48</v>
      </c>
      <c r="CA520" s="253">
        <f t="shared" si="580"/>
        <v>3.0748170731707316</v>
      </c>
      <c r="CB520" s="253" cm="1">
        <f t="array" ref="CB520">$BC520 * SUMPRODUCT(INDEX($AL$77:$AN$82,,$AE520),INDEX($AO$77:$AU$82,,$AD520), N($AK$77:$AK$82&gt;$AI520)) / CA520 / 1000</f>
        <v>0</v>
      </c>
      <c r="CC520" s="250">
        <f t="shared" si="560"/>
        <v>30</v>
      </c>
      <c r="CD520" s="237">
        <f t="shared" si="581"/>
        <v>43</v>
      </c>
      <c r="CE520" s="253">
        <f t="shared" si="582"/>
        <v>3.5018750000000001</v>
      </c>
      <c r="CF520" s="253" cm="1">
        <f t="array" ref="CF520">$BC520 * IF($AD520&lt;=2,
SUMPRODUCT(INDEX($AL$72:$AN$76,,$AE520), INDEX($AO$72:$AU$76,,$AD520), 1 / ($AV$72:$AV$76*CE520 + (1-$AV$72:$AV$76)*CA520), N($AK$72:$AK$76&gt;$AI520)),
SUMPRODUCT(INDEX($AL$67:$AN$76,,$AE520), INDEX($AO$67:$AU$76,,$AD520), 1 / ($AW$67:$AW$76*CE520 + (1-$AW$67:$AW$76)*CA520), N($AK$67:$AK$76&gt;$AI520))
) / 1000</f>
        <v>0</v>
      </c>
      <c r="CG520" s="250">
        <f t="shared" si="561"/>
        <v>25</v>
      </c>
      <c r="CH520" s="237">
        <f t="shared" si="583"/>
        <v>38</v>
      </c>
      <c r="CI520" s="253">
        <f t="shared" si="584"/>
        <v>4.0666935483870965</v>
      </c>
      <c r="CJ520" s="253" cm="1">
        <f t="array" ref="CJ520">$BC520 * IF($AD520&lt;=2,
SUMPRODUCT(INDEX($AL$67:$AN$71,,$AE520), INDEX($AO$67:$AU$71,,$AD520), 1 / ($AV$67:$AV$71*CI520 + (1-$AV$67:$AV$71)*CE520), N($AK$67:$AK$71&gt;$AI520)),
SUMPRODUCT(INDEX($AL$57:$AN$66,,$AE520), INDEX($AO$57:$AU$66,,$AD520), 1 / ($AW$57:$AW$66*CI520 + (1-$AW$57:$AW$66)*CE520), N($AK$57:$AK$66&gt;$AI520))
) / 1000</f>
        <v>0</v>
      </c>
      <c r="CK520" s="250">
        <f t="shared" si="562"/>
        <v>20</v>
      </c>
      <c r="CL520" s="237">
        <f t="shared" si="585"/>
        <v>33</v>
      </c>
      <c r="CM520" s="253">
        <f t="shared" si="586"/>
        <v>4.8487499999999999</v>
      </c>
      <c r="CN520" s="253" cm="1">
        <f t="array" ref="CN520">$BC520 * IF($AD520&lt;=2,
SUMPRODUCT(INDEX($AL$62:$AN$66,,$AE520), INDEX($AO$62:$AU$66,,$AD520), 1 / ($AV$62:$AV$66*CM520 + (1-$AV$62:$AV$66)*CI520), N($AK$62:$AK$66&gt;$AI520)),
SUMPRODUCT(INDEX($AL$47:$AN$56,,$AE520), INDEX($AO$47:$AU$56,,$AD520), 1 / ($AW$47:$AW$56*CM520 + (1-$AW$47:$AW$56)*CI520), N($AK$47:$AK$56&gt;$AI520))
) / 1000</f>
        <v>0</v>
      </c>
      <c r="CO520" s="253" cm="1">
        <f t="array" ref="CO520">$BC520 * IF($AD520&lt;=2,
SUMPRODUCT(INDEX($AL$23:$AN$61,,$AE520), INDEX($AO$23:$AU$61,,$AD520), 1 / ($AV$23:$AV$61*CM520), N($AK$23:$AK$61&gt;$AI520)),
SUMPRODUCT(INDEX($AL$23:$AN$46,,$AE520), INDEX($AO$23:$AU$46,,$AD520), 1 / ($AW$23:$AW$46*CM520), N($AK$23:$AK$46&gt;$AI520))
) / 1000</f>
        <v>0</v>
      </c>
      <c r="CP520" s="237">
        <f t="shared" si="587"/>
        <v>0</v>
      </c>
      <c r="CQ520" s="210"/>
    </row>
    <row r="521" spans="1:95" s="76" customFormat="1" ht="14.25" customHeight="1" x14ac:dyDescent="0.2">
      <c r="A521" s="238" t="b">
        <f t="shared" si="554"/>
        <v>0</v>
      </c>
      <c r="B521" s="239">
        <v>499</v>
      </c>
      <c r="C521" s="258"/>
      <c r="D521" s="258"/>
      <c r="E521" s="240"/>
      <c r="F521" s="241" t="str">
        <f>IF(ISBLANK(E521), "", VLOOKUP(E521, Z!$A$2:$C$4127, 3, FALSE))</f>
        <v/>
      </c>
      <c r="G521" s="242"/>
      <c r="H521" s="242"/>
      <c r="I521" s="243"/>
      <c r="J521" s="244"/>
      <c r="K521" s="259"/>
      <c r="L521" s="260"/>
      <c r="M521" s="247" t="str" cm="1">
        <f t="array" ref="M521">IF($K521&gt;0, INDEX(Clean,1+AG521,$C$1), "")</f>
        <v/>
      </c>
      <c r="N521" s="245"/>
      <c r="O521" s="245"/>
      <c r="P521" s="246"/>
      <c r="Q521" s="248">
        <f t="shared" si="564"/>
        <v>0</v>
      </c>
      <c r="R521" s="247" t="str" cm="1">
        <f t="array" ref="R521">IF($K521&gt;0, INDEX(Clean,1+AH521,$C$1), "")</f>
        <v/>
      </c>
      <c r="S521" s="245"/>
      <c r="T521" s="245"/>
      <c r="U521" s="246"/>
      <c r="V521" s="248">
        <f t="shared" si="565"/>
        <v>0</v>
      </c>
      <c r="W521" s="261"/>
      <c r="X521" s="258"/>
      <c r="Y521" s="240"/>
      <c r="Z521" s="241" t="str">
        <f>IF(ISBLANK(Y521), "", VLOOKUP(Y521, Z!$A$2:$C$4127, 3, FALSE))</f>
        <v/>
      </c>
      <c r="AA521" s="262"/>
      <c r="AB521" s="249">
        <f t="shared" si="563"/>
        <v>0</v>
      </c>
      <c r="AC521" s="210"/>
      <c r="AD521" s="236">
        <f t="shared" si="588"/>
        <v>1</v>
      </c>
      <c r="AE521" s="236">
        <f t="shared" si="589"/>
        <v>1</v>
      </c>
      <c r="AF521" s="236">
        <f t="shared" si="590"/>
        <v>0</v>
      </c>
      <c r="AG521" s="236">
        <v>1</v>
      </c>
      <c r="AH521" s="236">
        <v>0</v>
      </c>
      <c r="AI521" s="236">
        <f t="shared" si="566"/>
        <v>-100</v>
      </c>
      <c r="AJ521" s="210"/>
      <c r="AK521" s="254"/>
      <c r="AL521" s="254"/>
      <c r="AM521" s="255"/>
      <c r="AN521" s="255"/>
      <c r="AO521" s="255"/>
      <c r="AP521" s="255"/>
      <c r="AQ521" s="255"/>
      <c r="AR521" s="255"/>
      <c r="AS521" s="255"/>
      <c r="AT521" s="255"/>
      <c r="AU521" s="255"/>
      <c r="AV521" s="255"/>
      <c r="AW521" s="255"/>
      <c r="AX521" s="210"/>
      <c r="AY521" s="236" cm="1">
        <f t="array" ref="AY521">INDEX(Use, $AD521, 4)</f>
        <v>7</v>
      </c>
      <c r="AZ521" s="236">
        <f t="shared" si="567"/>
        <v>32</v>
      </c>
      <c r="BA521" s="236">
        <f t="shared" si="555"/>
        <v>13</v>
      </c>
      <c r="BB521" s="236">
        <f t="shared" si="556"/>
        <v>0</v>
      </c>
      <c r="BC521" s="252" cm="1">
        <f t="array" ref="BC521">K521/IF($L521&gt;0, INDEX($AO$23:$AU$77, $L521+20, $AD521), 1)</f>
        <v>0</v>
      </c>
      <c r="BD521" s="237">
        <f t="shared" si="568"/>
        <v>0</v>
      </c>
      <c r="BE521" s="236">
        <v>35</v>
      </c>
      <c r="BF521" s="237">
        <f t="shared" si="569"/>
        <v>52.55</v>
      </c>
      <c r="BG521" s="253">
        <f t="shared" si="570"/>
        <v>2.7676728869374316</v>
      </c>
      <c r="BH521" s="253" cm="1">
        <f t="array" ref="BH521">$BC521 * SUMPRODUCT(INDEX($AL$77:$AN$82,,$AE521),INDEX($AO$77:$AU$82,,$AD521), N($AK$77:$AK$82&gt;$AI521)) / BG521 / 1000</f>
        <v>0</v>
      </c>
      <c r="BI521" s="250">
        <f t="shared" si="557"/>
        <v>30</v>
      </c>
      <c r="BJ521" s="237">
        <f t="shared" si="571"/>
        <v>46.033333333333331</v>
      </c>
      <c r="BK521" s="253">
        <f t="shared" si="572"/>
        <v>3.2297395388556791</v>
      </c>
      <c r="BL521" s="253" cm="1">
        <f t="array" ref="BL521">$BC521 * IF($AD521&lt;=2,
SUMPRODUCT(INDEX($AL$72:$AN$76,,$AE521), INDEX($AO$72:$AU$76,,$AD521), 1 / ($AV$72:$AV$76*BK521 + (1-$AV$72:$AV$76)*BG521), N($AK$72:$AK$76&gt;$AI521)),
SUMPRODUCT(INDEX($AL$67:$AN$76,,$AE521), INDEX($AO$67:$AU$76,,$AD521), 1 / ($AW$67:$AW$76*BK521 + (1-$AW$67:$AW$76)*BG521), N($AK$67:$AK$76&gt;$AI521))
) / 1000</f>
        <v>0</v>
      </c>
      <c r="BM521" s="250">
        <f t="shared" si="558"/>
        <v>25</v>
      </c>
      <c r="BN521" s="237">
        <f t="shared" si="573"/>
        <v>39.516666666666666</v>
      </c>
      <c r="BO521" s="253">
        <f t="shared" si="574"/>
        <v>3.877011788826243</v>
      </c>
      <c r="BP521" s="253" cm="1">
        <f t="array" ref="BP521">$BC521 * IF($AD521&lt;=2,
SUMPRODUCT(INDEX($AL$67:$AN$71,,$AE521), INDEX($AO$67:$AU$71,,$AD521), 1 / ($AV$67:$AV$71*BO521 + (1-$AV$67:$AV$71)*BK521), N($AK$67:$AK$71&gt;$AI521)),
SUMPRODUCT(INDEX($AL$57:$AN$66,,$AE521), INDEX($AO$57:$AU$66,,$AD521), 1 / ($AW$57:$AW$66*BO521 + (1-$AW$57:$AW$66)*BK521), N($AK$57:$AK$66&gt;$AI521))
) / 1000</f>
        <v>0</v>
      </c>
      <c r="BQ521" s="250">
        <f t="shared" si="559"/>
        <v>20</v>
      </c>
      <c r="BR521" s="237">
        <f t="shared" si="575"/>
        <v>33</v>
      </c>
      <c r="BS521" s="253">
        <f t="shared" si="576"/>
        <v>4.8487499999999999</v>
      </c>
      <c r="BT521" s="253" cm="1">
        <f t="array" ref="BT521">$BC521 * IF($AD521&lt;=2,
SUMPRODUCT(INDEX($AL$62:$AN$66,,$AE521), INDEX($AO$62:$AU$66,,$AD521), 1 / ($AV$62:$AV$66*BS521 + (1-$AV$62:$AV$66)*BO521), N($AK$62:$AK$66&gt;$AI521)),
SUMPRODUCT(INDEX($AL$47:$AN$56,,$AE521), INDEX($AO$47:$AU$56,,$AD521), 1 / ($AW$47:$AW$56*BS521 + (1-$AW$47:$AW$56)*BO521), N($AK$47:$AK$56&gt;$AI521))
) / 1000</f>
        <v>0</v>
      </c>
      <c r="BU521" s="253" cm="1">
        <f t="array" ref="BU521">$BC521 * IF($AD521&lt;=2,
SUMPRODUCT(INDEX($AL$23:$AN$61,,$AE521), INDEX($AO$23:$AU$61,,$AD521), 1 / ($AV$23:$AV$61*BS521), N($AK$23:$AK$61&gt;$AI521)),
SUMPRODUCT(INDEX($AL$23:$AN$46,,$AE521), INDEX($AO$23:$AU$46,,$AD521), 1 / ($AW$23:$AW$46*BS521), N($AK$23:$AK$46&gt;$AI521))
) / 1000</f>
        <v>0</v>
      </c>
      <c r="BV521" s="237">
        <f t="shared" si="577"/>
        <v>0</v>
      </c>
      <c r="BW521" s="210"/>
      <c r="BX521" s="237">
        <f t="shared" si="578"/>
        <v>0</v>
      </c>
      <c r="BY521" s="236">
        <v>35</v>
      </c>
      <c r="BZ521" s="237">
        <f t="shared" si="579"/>
        <v>48</v>
      </c>
      <c r="CA521" s="253">
        <f t="shared" si="580"/>
        <v>3.0748170731707316</v>
      </c>
      <c r="CB521" s="253" cm="1">
        <f t="array" ref="CB521">$BC521 * SUMPRODUCT(INDEX($AL$77:$AN$82,,$AE521),INDEX($AO$77:$AU$82,,$AD521), N($AK$77:$AK$82&gt;$AI521)) / CA521 / 1000</f>
        <v>0</v>
      </c>
      <c r="CC521" s="250">
        <f t="shared" si="560"/>
        <v>30</v>
      </c>
      <c r="CD521" s="237">
        <f t="shared" si="581"/>
        <v>43</v>
      </c>
      <c r="CE521" s="253">
        <f t="shared" si="582"/>
        <v>3.5018750000000001</v>
      </c>
      <c r="CF521" s="253" cm="1">
        <f t="array" ref="CF521">$BC521 * IF($AD521&lt;=2,
SUMPRODUCT(INDEX($AL$72:$AN$76,,$AE521), INDEX($AO$72:$AU$76,,$AD521), 1 / ($AV$72:$AV$76*CE521 + (1-$AV$72:$AV$76)*CA521), N($AK$72:$AK$76&gt;$AI521)),
SUMPRODUCT(INDEX($AL$67:$AN$76,,$AE521), INDEX($AO$67:$AU$76,,$AD521), 1 / ($AW$67:$AW$76*CE521 + (1-$AW$67:$AW$76)*CA521), N($AK$67:$AK$76&gt;$AI521))
) / 1000</f>
        <v>0</v>
      </c>
      <c r="CG521" s="250">
        <f t="shared" si="561"/>
        <v>25</v>
      </c>
      <c r="CH521" s="237">
        <f t="shared" si="583"/>
        <v>38</v>
      </c>
      <c r="CI521" s="253">
        <f t="shared" si="584"/>
        <v>4.0666935483870965</v>
      </c>
      <c r="CJ521" s="253" cm="1">
        <f t="array" ref="CJ521">$BC521 * IF($AD521&lt;=2,
SUMPRODUCT(INDEX($AL$67:$AN$71,,$AE521), INDEX($AO$67:$AU$71,,$AD521), 1 / ($AV$67:$AV$71*CI521 + (1-$AV$67:$AV$71)*CE521), N($AK$67:$AK$71&gt;$AI521)),
SUMPRODUCT(INDEX($AL$57:$AN$66,,$AE521), INDEX($AO$57:$AU$66,,$AD521), 1 / ($AW$57:$AW$66*CI521 + (1-$AW$57:$AW$66)*CE521), N($AK$57:$AK$66&gt;$AI521))
) / 1000</f>
        <v>0</v>
      </c>
      <c r="CK521" s="250">
        <f t="shared" si="562"/>
        <v>20</v>
      </c>
      <c r="CL521" s="237">
        <f t="shared" si="585"/>
        <v>33</v>
      </c>
      <c r="CM521" s="253">
        <f t="shared" si="586"/>
        <v>4.8487499999999999</v>
      </c>
      <c r="CN521" s="253" cm="1">
        <f t="array" ref="CN521">$BC521 * IF($AD521&lt;=2,
SUMPRODUCT(INDEX($AL$62:$AN$66,,$AE521), INDEX($AO$62:$AU$66,,$AD521), 1 / ($AV$62:$AV$66*CM521 + (1-$AV$62:$AV$66)*CI521), N($AK$62:$AK$66&gt;$AI521)),
SUMPRODUCT(INDEX($AL$47:$AN$56,,$AE521), INDEX($AO$47:$AU$56,,$AD521), 1 / ($AW$47:$AW$56*CM521 + (1-$AW$47:$AW$56)*CI521), N($AK$47:$AK$56&gt;$AI521))
) / 1000</f>
        <v>0</v>
      </c>
      <c r="CO521" s="253" cm="1">
        <f t="array" ref="CO521">$BC521 * IF($AD521&lt;=2,
SUMPRODUCT(INDEX($AL$23:$AN$61,,$AE521), INDEX($AO$23:$AU$61,,$AD521), 1 / ($AV$23:$AV$61*CM521), N($AK$23:$AK$61&gt;$AI521)),
SUMPRODUCT(INDEX($AL$23:$AN$46,,$AE521), INDEX($AO$23:$AU$46,,$AD521), 1 / ($AW$23:$AW$46*CM521), N($AK$23:$AK$46&gt;$AI521))
) / 1000</f>
        <v>0</v>
      </c>
      <c r="CP521" s="237">
        <f t="shared" si="587"/>
        <v>0</v>
      </c>
      <c r="CQ521" s="210"/>
    </row>
    <row r="522" spans="1:95" s="76" customFormat="1" ht="14.25" customHeight="1" x14ac:dyDescent="0.2">
      <c r="A522" s="238" t="b">
        <f t="shared" si="554"/>
        <v>0</v>
      </c>
      <c r="B522" s="239">
        <v>500</v>
      </c>
      <c r="C522" s="258"/>
      <c r="D522" s="258"/>
      <c r="E522" s="240"/>
      <c r="F522" s="241" t="str">
        <f>IF(ISBLANK(E522), "", VLOOKUP(E522, Z!$A$2:$C$4127, 3, FALSE))</f>
        <v/>
      </c>
      <c r="G522" s="242"/>
      <c r="H522" s="242"/>
      <c r="I522" s="243"/>
      <c r="J522" s="244"/>
      <c r="K522" s="259"/>
      <c r="L522" s="260"/>
      <c r="M522" s="247" t="str" cm="1">
        <f t="array" ref="M522">IF($K522&gt;0, INDEX(Clean,1+AG522,$C$1), "")</f>
        <v/>
      </c>
      <c r="N522" s="245"/>
      <c r="O522" s="245"/>
      <c r="P522" s="246"/>
      <c r="Q522" s="248">
        <f t="shared" si="564"/>
        <v>0</v>
      </c>
      <c r="R522" s="247" t="str" cm="1">
        <f t="array" ref="R522">IF($K522&gt;0, INDEX(Clean,1+AH522,$C$1), "")</f>
        <v/>
      </c>
      <c r="S522" s="245"/>
      <c r="T522" s="245"/>
      <c r="U522" s="246"/>
      <c r="V522" s="248">
        <f t="shared" si="565"/>
        <v>0</v>
      </c>
      <c r="W522" s="261"/>
      <c r="X522" s="258"/>
      <c r="Y522" s="240"/>
      <c r="Z522" s="241" t="str">
        <f>IF(ISBLANK(Y522), "", VLOOKUP(Y522, Z!$A$2:$C$4127, 3, FALSE))</f>
        <v/>
      </c>
      <c r="AA522" s="262"/>
      <c r="AB522" s="249">
        <f t="shared" si="563"/>
        <v>0</v>
      </c>
      <c r="AC522" s="210"/>
      <c r="AD522" s="236">
        <f t="shared" si="588"/>
        <v>1</v>
      </c>
      <c r="AE522" s="236">
        <f t="shared" si="589"/>
        <v>1</v>
      </c>
      <c r="AF522" s="236">
        <f t="shared" si="590"/>
        <v>0</v>
      </c>
      <c r="AG522" s="236">
        <v>1</v>
      </c>
      <c r="AH522" s="236">
        <v>0</v>
      </c>
      <c r="AI522" s="236">
        <f t="shared" si="566"/>
        <v>-100</v>
      </c>
      <c r="AJ522" s="210"/>
      <c r="AK522" s="254"/>
      <c r="AL522" s="254"/>
      <c r="AM522" s="255"/>
      <c r="AN522" s="255"/>
      <c r="AO522" s="255"/>
      <c r="AP522" s="255"/>
      <c r="AQ522" s="255"/>
      <c r="AR522" s="255"/>
      <c r="AS522" s="255"/>
      <c r="AT522" s="255"/>
      <c r="AU522" s="255"/>
      <c r="AV522" s="255"/>
      <c r="AW522" s="255"/>
      <c r="AX522" s="210"/>
      <c r="AY522" s="236" cm="1">
        <f t="array" ref="AY522">INDEX(Use, $AD522, 4)</f>
        <v>7</v>
      </c>
      <c r="AZ522" s="236">
        <f t="shared" si="567"/>
        <v>32</v>
      </c>
      <c r="BA522" s="236">
        <f t="shared" si="555"/>
        <v>13</v>
      </c>
      <c r="BB522" s="236">
        <f t="shared" si="556"/>
        <v>0</v>
      </c>
      <c r="BC522" s="252" cm="1">
        <f t="array" ref="BC522">K522/IF($L522&gt;0, INDEX($AO$23:$AU$77, $L522+20, $AD522), 1)</f>
        <v>0</v>
      </c>
      <c r="BD522" s="237">
        <f t="shared" si="568"/>
        <v>0</v>
      </c>
      <c r="BE522" s="236">
        <v>35</v>
      </c>
      <c r="BF522" s="237">
        <f t="shared" si="569"/>
        <v>52.55</v>
      </c>
      <c r="BG522" s="253">
        <f t="shared" si="570"/>
        <v>2.7676728869374316</v>
      </c>
      <c r="BH522" s="253" cm="1">
        <f t="array" ref="BH522">$BC522 * SUMPRODUCT(INDEX($AL$77:$AN$82,,$AE522),INDEX($AO$77:$AU$82,,$AD522), N($AK$77:$AK$82&gt;$AI522)) / BG522 / 1000</f>
        <v>0</v>
      </c>
      <c r="BI522" s="250">
        <f t="shared" si="557"/>
        <v>30</v>
      </c>
      <c r="BJ522" s="237">
        <f t="shared" si="571"/>
        <v>46.033333333333331</v>
      </c>
      <c r="BK522" s="253">
        <f t="shared" si="572"/>
        <v>3.2297395388556791</v>
      </c>
      <c r="BL522" s="253" cm="1">
        <f t="array" ref="BL522">$BC522 * IF($AD522&lt;=2,
SUMPRODUCT(INDEX($AL$72:$AN$76,,$AE522), INDEX($AO$72:$AU$76,,$AD522), 1 / ($AV$72:$AV$76*BK522 + (1-$AV$72:$AV$76)*BG522), N($AK$72:$AK$76&gt;$AI522)),
SUMPRODUCT(INDEX($AL$67:$AN$76,,$AE522), INDEX($AO$67:$AU$76,,$AD522), 1 / ($AW$67:$AW$76*BK522 + (1-$AW$67:$AW$76)*BG522), N($AK$67:$AK$76&gt;$AI522))
) / 1000</f>
        <v>0</v>
      </c>
      <c r="BM522" s="250">
        <f t="shared" si="558"/>
        <v>25</v>
      </c>
      <c r="BN522" s="237">
        <f t="shared" si="573"/>
        <v>39.516666666666666</v>
      </c>
      <c r="BO522" s="253">
        <f t="shared" si="574"/>
        <v>3.877011788826243</v>
      </c>
      <c r="BP522" s="253" cm="1">
        <f t="array" ref="BP522">$BC522 * IF($AD522&lt;=2,
SUMPRODUCT(INDEX($AL$67:$AN$71,,$AE522), INDEX($AO$67:$AU$71,,$AD522), 1 / ($AV$67:$AV$71*BO522 + (1-$AV$67:$AV$71)*BK522), N($AK$67:$AK$71&gt;$AI522)),
SUMPRODUCT(INDEX($AL$57:$AN$66,,$AE522), INDEX($AO$57:$AU$66,,$AD522), 1 / ($AW$57:$AW$66*BO522 + (1-$AW$57:$AW$66)*BK522), N($AK$57:$AK$66&gt;$AI522))
) / 1000</f>
        <v>0</v>
      </c>
      <c r="BQ522" s="250">
        <f t="shared" si="559"/>
        <v>20</v>
      </c>
      <c r="BR522" s="237">
        <f t="shared" si="575"/>
        <v>33</v>
      </c>
      <c r="BS522" s="253">
        <f t="shared" si="576"/>
        <v>4.8487499999999999</v>
      </c>
      <c r="BT522" s="253" cm="1">
        <f t="array" ref="BT522">$BC522 * IF($AD522&lt;=2,
SUMPRODUCT(INDEX($AL$62:$AN$66,,$AE522), INDEX($AO$62:$AU$66,,$AD522), 1 / ($AV$62:$AV$66*BS522 + (1-$AV$62:$AV$66)*BO522), N($AK$62:$AK$66&gt;$AI522)),
SUMPRODUCT(INDEX($AL$47:$AN$56,,$AE522), INDEX($AO$47:$AU$56,,$AD522), 1 / ($AW$47:$AW$56*BS522 + (1-$AW$47:$AW$56)*BO522), N($AK$47:$AK$56&gt;$AI522))
) / 1000</f>
        <v>0</v>
      </c>
      <c r="BU522" s="253" cm="1">
        <f t="array" ref="BU522">$BC522 * IF($AD522&lt;=2,
SUMPRODUCT(INDEX($AL$23:$AN$61,,$AE522), INDEX($AO$23:$AU$61,,$AD522), 1 / ($AV$23:$AV$61*BS522), N($AK$23:$AK$61&gt;$AI522)),
SUMPRODUCT(INDEX($AL$23:$AN$46,,$AE522), INDEX($AO$23:$AU$46,,$AD522), 1 / ($AW$23:$AW$46*BS522), N($AK$23:$AK$46&gt;$AI522))
) / 1000</f>
        <v>0</v>
      </c>
      <c r="BV522" s="237">
        <f t="shared" si="577"/>
        <v>0</v>
      </c>
      <c r="BW522" s="210"/>
      <c r="BX522" s="237">
        <f t="shared" si="578"/>
        <v>0</v>
      </c>
      <c r="BY522" s="236">
        <v>35</v>
      </c>
      <c r="BZ522" s="237">
        <f t="shared" si="579"/>
        <v>48</v>
      </c>
      <c r="CA522" s="253">
        <f t="shared" si="580"/>
        <v>3.0748170731707316</v>
      </c>
      <c r="CB522" s="253" cm="1">
        <f t="array" ref="CB522">$BC522 * SUMPRODUCT(INDEX($AL$77:$AN$82,,$AE522),INDEX($AO$77:$AU$82,,$AD522), N($AK$77:$AK$82&gt;$AI522)) / CA522 / 1000</f>
        <v>0</v>
      </c>
      <c r="CC522" s="250">
        <f t="shared" si="560"/>
        <v>30</v>
      </c>
      <c r="CD522" s="237">
        <f t="shared" si="581"/>
        <v>43</v>
      </c>
      <c r="CE522" s="253">
        <f t="shared" si="582"/>
        <v>3.5018750000000001</v>
      </c>
      <c r="CF522" s="253" cm="1">
        <f t="array" ref="CF522">$BC522 * IF($AD522&lt;=2,
SUMPRODUCT(INDEX($AL$72:$AN$76,,$AE522), INDEX($AO$72:$AU$76,,$AD522), 1 / ($AV$72:$AV$76*CE522 + (1-$AV$72:$AV$76)*CA522), N($AK$72:$AK$76&gt;$AI522)),
SUMPRODUCT(INDEX($AL$67:$AN$76,,$AE522), INDEX($AO$67:$AU$76,,$AD522), 1 / ($AW$67:$AW$76*CE522 + (1-$AW$67:$AW$76)*CA522), N($AK$67:$AK$76&gt;$AI522))
) / 1000</f>
        <v>0</v>
      </c>
      <c r="CG522" s="250">
        <f t="shared" si="561"/>
        <v>25</v>
      </c>
      <c r="CH522" s="237">
        <f t="shared" si="583"/>
        <v>38</v>
      </c>
      <c r="CI522" s="253">
        <f t="shared" si="584"/>
        <v>4.0666935483870965</v>
      </c>
      <c r="CJ522" s="253" cm="1">
        <f t="array" ref="CJ522">$BC522 * IF($AD522&lt;=2,
SUMPRODUCT(INDEX($AL$67:$AN$71,,$AE522), INDEX($AO$67:$AU$71,,$AD522), 1 / ($AV$67:$AV$71*CI522 + (1-$AV$67:$AV$71)*CE522), N($AK$67:$AK$71&gt;$AI522)),
SUMPRODUCT(INDEX($AL$57:$AN$66,,$AE522), INDEX($AO$57:$AU$66,,$AD522), 1 / ($AW$57:$AW$66*CI522 + (1-$AW$57:$AW$66)*CE522), N($AK$57:$AK$66&gt;$AI522))
) / 1000</f>
        <v>0</v>
      </c>
      <c r="CK522" s="250">
        <f t="shared" si="562"/>
        <v>20</v>
      </c>
      <c r="CL522" s="237">
        <f t="shared" si="585"/>
        <v>33</v>
      </c>
      <c r="CM522" s="253">
        <f t="shared" si="586"/>
        <v>4.8487499999999999</v>
      </c>
      <c r="CN522" s="253" cm="1">
        <f t="array" ref="CN522">$BC522 * IF($AD522&lt;=2,
SUMPRODUCT(INDEX($AL$62:$AN$66,,$AE522), INDEX($AO$62:$AU$66,,$AD522), 1 / ($AV$62:$AV$66*CM522 + (1-$AV$62:$AV$66)*CI522), N($AK$62:$AK$66&gt;$AI522)),
SUMPRODUCT(INDEX($AL$47:$AN$56,,$AE522), INDEX($AO$47:$AU$56,,$AD522), 1 / ($AW$47:$AW$56*CM522 + (1-$AW$47:$AW$56)*CI522), N($AK$47:$AK$56&gt;$AI522))
) / 1000</f>
        <v>0</v>
      </c>
      <c r="CO522" s="253" cm="1">
        <f t="array" ref="CO522">$BC522 * IF($AD522&lt;=2,
SUMPRODUCT(INDEX($AL$23:$AN$61,,$AE522), INDEX($AO$23:$AU$61,,$AD522), 1 / ($AV$23:$AV$61*CM522), N($AK$23:$AK$61&gt;$AI522)),
SUMPRODUCT(INDEX($AL$23:$AN$46,,$AE522), INDEX($AO$23:$AU$46,,$AD522), 1 / ($AW$23:$AW$46*CM522), N($AK$23:$AK$46&gt;$AI522))
) / 1000</f>
        <v>0</v>
      </c>
      <c r="CP522" s="237">
        <f t="shared" si="587"/>
        <v>0</v>
      </c>
      <c r="CQ522" s="210"/>
    </row>
    <row r="523" spans="1:95" s="76" customFormat="1" ht="14.25" customHeight="1" x14ac:dyDescent="0.2">
      <c r="A523" s="238" t="b">
        <f t="shared" si="554"/>
        <v>0</v>
      </c>
      <c r="B523" s="239">
        <v>501</v>
      </c>
      <c r="C523" s="258"/>
      <c r="D523" s="258"/>
      <c r="E523" s="240"/>
      <c r="F523" s="241" t="str">
        <f>IF(ISBLANK(E523), "", VLOOKUP(E523, Z!$A$2:$C$4127, 3, FALSE))</f>
        <v/>
      </c>
      <c r="G523" s="242"/>
      <c r="H523" s="242"/>
      <c r="I523" s="243"/>
      <c r="J523" s="244"/>
      <c r="K523" s="259"/>
      <c r="L523" s="260"/>
      <c r="M523" s="247" t="str" cm="1">
        <f t="array" ref="M523">IF($K523&gt;0, INDEX(Clean,1+AG523,$C$1), "")</f>
        <v/>
      </c>
      <c r="N523" s="245"/>
      <c r="O523" s="245"/>
      <c r="P523" s="246"/>
      <c r="Q523" s="248">
        <f t="shared" si="564"/>
        <v>0</v>
      </c>
      <c r="R523" s="247" t="str" cm="1">
        <f t="array" ref="R523">IF($K523&gt;0, INDEX(Clean,1+AH523,$C$1), "")</f>
        <v/>
      </c>
      <c r="S523" s="245"/>
      <c r="T523" s="245"/>
      <c r="U523" s="246"/>
      <c r="V523" s="248">
        <f t="shared" si="565"/>
        <v>0</v>
      </c>
      <c r="W523" s="261"/>
      <c r="X523" s="258"/>
      <c r="Y523" s="240"/>
      <c r="Z523" s="241" t="str">
        <f>IF(ISBLANK(Y523), "", VLOOKUP(Y523, Z!$A$2:$C$4127, 3, FALSE))</f>
        <v/>
      </c>
      <c r="AA523" s="262"/>
      <c r="AB523" s="249">
        <f t="shared" si="563"/>
        <v>0</v>
      </c>
      <c r="AC523" s="210"/>
      <c r="AD523" s="236">
        <f t="shared" si="588"/>
        <v>1</v>
      </c>
      <c r="AE523" s="236">
        <f t="shared" si="589"/>
        <v>1</v>
      </c>
      <c r="AF523" s="236">
        <f t="shared" si="590"/>
        <v>0</v>
      </c>
      <c r="AG523" s="236">
        <v>1</v>
      </c>
      <c r="AH523" s="236">
        <v>0</v>
      </c>
      <c r="AI523" s="236">
        <f t="shared" si="566"/>
        <v>-100</v>
      </c>
      <c r="AJ523" s="210"/>
      <c r="AK523" s="254"/>
      <c r="AL523" s="254"/>
      <c r="AM523" s="255"/>
      <c r="AN523" s="255"/>
      <c r="AO523" s="255"/>
      <c r="AP523" s="255"/>
      <c r="AQ523" s="255"/>
      <c r="AR523" s="255"/>
      <c r="AS523" s="255"/>
      <c r="AT523" s="255"/>
      <c r="AU523" s="255"/>
      <c r="AV523" s="255"/>
      <c r="AW523" s="255"/>
      <c r="AX523" s="210"/>
      <c r="AY523" s="236" cm="1">
        <f t="array" ref="AY523">INDEX(Use, $AD523, 4)</f>
        <v>7</v>
      </c>
      <c r="AZ523" s="236">
        <f t="shared" si="567"/>
        <v>32</v>
      </c>
      <c r="BA523" s="236">
        <f t="shared" si="555"/>
        <v>13</v>
      </c>
      <c r="BB523" s="236">
        <f t="shared" si="556"/>
        <v>0</v>
      </c>
      <c r="BC523" s="252" cm="1">
        <f t="array" ref="BC523">K523/IF($L523&gt;0, INDEX($AO$23:$AU$77, $L523+20, $AD523), 1)</f>
        <v>0</v>
      </c>
      <c r="BD523" s="237">
        <f t="shared" si="568"/>
        <v>0</v>
      </c>
      <c r="BE523" s="236">
        <v>35</v>
      </c>
      <c r="BF523" s="237">
        <f t="shared" si="569"/>
        <v>52.55</v>
      </c>
      <c r="BG523" s="253">
        <f t="shared" si="570"/>
        <v>2.7676728869374316</v>
      </c>
      <c r="BH523" s="253" cm="1">
        <f t="array" ref="BH523">$BC523 * SUMPRODUCT(INDEX($AL$77:$AN$82,,$AE523),INDEX($AO$77:$AU$82,,$AD523), N($AK$77:$AK$82&gt;$AI523)) / BG523 / 1000</f>
        <v>0</v>
      </c>
      <c r="BI523" s="250">
        <f t="shared" si="557"/>
        <v>30</v>
      </c>
      <c r="BJ523" s="237">
        <f t="shared" si="571"/>
        <v>46.033333333333331</v>
      </c>
      <c r="BK523" s="253">
        <f t="shared" si="572"/>
        <v>3.2297395388556791</v>
      </c>
      <c r="BL523" s="253" cm="1">
        <f t="array" ref="BL523">$BC523 * IF($AD523&lt;=2,
SUMPRODUCT(INDEX($AL$72:$AN$76,,$AE523), INDEX($AO$72:$AU$76,,$AD523), 1 / ($AV$72:$AV$76*BK523 + (1-$AV$72:$AV$76)*BG523), N($AK$72:$AK$76&gt;$AI523)),
SUMPRODUCT(INDEX($AL$67:$AN$76,,$AE523), INDEX($AO$67:$AU$76,,$AD523), 1 / ($AW$67:$AW$76*BK523 + (1-$AW$67:$AW$76)*BG523), N($AK$67:$AK$76&gt;$AI523))
) / 1000</f>
        <v>0</v>
      </c>
      <c r="BM523" s="250">
        <f t="shared" si="558"/>
        <v>25</v>
      </c>
      <c r="BN523" s="237">
        <f t="shared" si="573"/>
        <v>39.516666666666666</v>
      </c>
      <c r="BO523" s="253">
        <f t="shared" si="574"/>
        <v>3.877011788826243</v>
      </c>
      <c r="BP523" s="253" cm="1">
        <f t="array" ref="BP523">$BC523 * IF($AD523&lt;=2,
SUMPRODUCT(INDEX($AL$67:$AN$71,,$AE523), INDEX($AO$67:$AU$71,,$AD523), 1 / ($AV$67:$AV$71*BO523 + (1-$AV$67:$AV$71)*BK523), N($AK$67:$AK$71&gt;$AI523)),
SUMPRODUCT(INDEX($AL$57:$AN$66,,$AE523), INDEX($AO$57:$AU$66,,$AD523), 1 / ($AW$57:$AW$66*BO523 + (1-$AW$57:$AW$66)*BK523), N($AK$57:$AK$66&gt;$AI523))
) / 1000</f>
        <v>0</v>
      </c>
      <c r="BQ523" s="250">
        <f t="shared" si="559"/>
        <v>20</v>
      </c>
      <c r="BR523" s="237">
        <f t="shared" si="575"/>
        <v>33</v>
      </c>
      <c r="BS523" s="253">
        <f t="shared" si="576"/>
        <v>4.8487499999999999</v>
      </c>
      <c r="BT523" s="253" cm="1">
        <f t="array" ref="BT523">$BC523 * IF($AD523&lt;=2,
SUMPRODUCT(INDEX($AL$62:$AN$66,,$AE523), INDEX($AO$62:$AU$66,,$AD523), 1 / ($AV$62:$AV$66*BS523 + (1-$AV$62:$AV$66)*BO523), N($AK$62:$AK$66&gt;$AI523)),
SUMPRODUCT(INDEX($AL$47:$AN$56,,$AE523), INDEX($AO$47:$AU$56,,$AD523), 1 / ($AW$47:$AW$56*BS523 + (1-$AW$47:$AW$56)*BO523), N($AK$47:$AK$56&gt;$AI523))
) / 1000</f>
        <v>0</v>
      </c>
      <c r="BU523" s="253" cm="1">
        <f t="array" ref="BU523">$BC523 * IF($AD523&lt;=2,
SUMPRODUCT(INDEX($AL$23:$AN$61,,$AE523), INDEX($AO$23:$AU$61,,$AD523), 1 / ($AV$23:$AV$61*BS523), N($AK$23:$AK$61&gt;$AI523)),
SUMPRODUCT(INDEX($AL$23:$AN$46,,$AE523), INDEX($AO$23:$AU$46,,$AD523), 1 / ($AW$23:$AW$46*BS523), N($AK$23:$AK$46&gt;$AI523))
) / 1000</f>
        <v>0</v>
      </c>
      <c r="BV523" s="237">
        <f t="shared" si="577"/>
        <v>0</v>
      </c>
      <c r="BW523" s="210"/>
      <c r="BX523" s="237">
        <f t="shared" si="578"/>
        <v>0</v>
      </c>
      <c r="BY523" s="236">
        <v>35</v>
      </c>
      <c r="BZ523" s="237">
        <f t="shared" si="579"/>
        <v>48</v>
      </c>
      <c r="CA523" s="253">
        <f t="shared" si="580"/>
        <v>3.0748170731707316</v>
      </c>
      <c r="CB523" s="253" cm="1">
        <f t="array" ref="CB523">$BC523 * SUMPRODUCT(INDEX($AL$77:$AN$82,,$AE523),INDEX($AO$77:$AU$82,,$AD523), N($AK$77:$AK$82&gt;$AI523)) / CA523 / 1000</f>
        <v>0</v>
      </c>
      <c r="CC523" s="250">
        <f t="shared" si="560"/>
        <v>30</v>
      </c>
      <c r="CD523" s="237">
        <f t="shared" si="581"/>
        <v>43</v>
      </c>
      <c r="CE523" s="253">
        <f t="shared" si="582"/>
        <v>3.5018750000000001</v>
      </c>
      <c r="CF523" s="253" cm="1">
        <f t="array" ref="CF523">$BC523 * IF($AD523&lt;=2,
SUMPRODUCT(INDEX($AL$72:$AN$76,,$AE523), INDEX($AO$72:$AU$76,,$AD523), 1 / ($AV$72:$AV$76*CE523 + (1-$AV$72:$AV$76)*CA523), N($AK$72:$AK$76&gt;$AI523)),
SUMPRODUCT(INDEX($AL$67:$AN$76,,$AE523), INDEX($AO$67:$AU$76,,$AD523), 1 / ($AW$67:$AW$76*CE523 + (1-$AW$67:$AW$76)*CA523), N($AK$67:$AK$76&gt;$AI523))
) / 1000</f>
        <v>0</v>
      </c>
      <c r="CG523" s="250">
        <f t="shared" si="561"/>
        <v>25</v>
      </c>
      <c r="CH523" s="237">
        <f t="shared" si="583"/>
        <v>38</v>
      </c>
      <c r="CI523" s="253">
        <f t="shared" si="584"/>
        <v>4.0666935483870965</v>
      </c>
      <c r="CJ523" s="253" cm="1">
        <f t="array" ref="CJ523">$BC523 * IF($AD523&lt;=2,
SUMPRODUCT(INDEX($AL$67:$AN$71,,$AE523), INDEX($AO$67:$AU$71,,$AD523), 1 / ($AV$67:$AV$71*CI523 + (1-$AV$67:$AV$71)*CE523), N($AK$67:$AK$71&gt;$AI523)),
SUMPRODUCT(INDEX($AL$57:$AN$66,,$AE523), INDEX($AO$57:$AU$66,,$AD523), 1 / ($AW$57:$AW$66*CI523 + (1-$AW$57:$AW$66)*CE523), N($AK$57:$AK$66&gt;$AI523))
) / 1000</f>
        <v>0</v>
      </c>
      <c r="CK523" s="250">
        <f t="shared" si="562"/>
        <v>20</v>
      </c>
      <c r="CL523" s="237">
        <f t="shared" si="585"/>
        <v>33</v>
      </c>
      <c r="CM523" s="253">
        <f t="shared" si="586"/>
        <v>4.8487499999999999</v>
      </c>
      <c r="CN523" s="253" cm="1">
        <f t="array" ref="CN523">$BC523 * IF($AD523&lt;=2,
SUMPRODUCT(INDEX($AL$62:$AN$66,,$AE523), INDEX($AO$62:$AU$66,,$AD523), 1 / ($AV$62:$AV$66*CM523 + (1-$AV$62:$AV$66)*CI523), N($AK$62:$AK$66&gt;$AI523)),
SUMPRODUCT(INDEX($AL$47:$AN$56,,$AE523), INDEX($AO$47:$AU$56,,$AD523), 1 / ($AW$47:$AW$56*CM523 + (1-$AW$47:$AW$56)*CI523), N($AK$47:$AK$56&gt;$AI523))
) / 1000</f>
        <v>0</v>
      </c>
      <c r="CO523" s="253" cm="1">
        <f t="array" ref="CO523">$BC523 * IF($AD523&lt;=2,
SUMPRODUCT(INDEX($AL$23:$AN$61,,$AE523), INDEX($AO$23:$AU$61,,$AD523), 1 / ($AV$23:$AV$61*CM523), N($AK$23:$AK$61&gt;$AI523)),
SUMPRODUCT(INDEX($AL$23:$AN$46,,$AE523), INDEX($AO$23:$AU$46,,$AD523), 1 / ($AW$23:$AW$46*CM523), N($AK$23:$AK$46&gt;$AI523))
) / 1000</f>
        <v>0</v>
      </c>
      <c r="CP523" s="237">
        <f t="shared" si="587"/>
        <v>0</v>
      </c>
      <c r="CQ523" s="210"/>
    </row>
    <row r="524" spans="1:95" s="76" customFormat="1" ht="14.25" customHeight="1" x14ac:dyDescent="0.2">
      <c r="A524" s="238" t="b">
        <f t="shared" si="554"/>
        <v>0</v>
      </c>
      <c r="B524" s="239">
        <v>502</v>
      </c>
      <c r="C524" s="258"/>
      <c r="D524" s="258"/>
      <c r="E524" s="240"/>
      <c r="F524" s="241" t="str">
        <f>IF(ISBLANK(E524), "", VLOOKUP(E524, Z!$A$2:$C$4127, 3, FALSE))</f>
        <v/>
      </c>
      <c r="G524" s="242"/>
      <c r="H524" s="242"/>
      <c r="I524" s="243"/>
      <c r="J524" s="244"/>
      <c r="K524" s="259"/>
      <c r="L524" s="260"/>
      <c r="M524" s="247" t="str" cm="1">
        <f t="array" ref="M524">IF($K524&gt;0, INDEX(Clean,1+AG524,$C$1), "")</f>
        <v/>
      </c>
      <c r="N524" s="245"/>
      <c r="O524" s="245"/>
      <c r="P524" s="246"/>
      <c r="Q524" s="248">
        <f t="shared" si="564"/>
        <v>0</v>
      </c>
      <c r="R524" s="247" t="str" cm="1">
        <f t="array" ref="R524">IF($K524&gt;0, INDEX(Clean,1+AH524,$C$1), "")</f>
        <v/>
      </c>
      <c r="S524" s="245"/>
      <c r="T524" s="245"/>
      <c r="U524" s="246"/>
      <c r="V524" s="248">
        <f t="shared" si="565"/>
        <v>0</v>
      </c>
      <c r="W524" s="261"/>
      <c r="X524" s="258"/>
      <c r="Y524" s="240"/>
      <c r="Z524" s="241" t="str">
        <f>IF(ISBLANK(Y524), "", VLOOKUP(Y524, Z!$A$2:$C$4127, 3, FALSE))</f>
        <v/>
      </c>
      <c r="AA524" s="262"/>
      <c r="AB524" s="249">
        <f t="shared" si="563"/>
        <v>0</v>
      </c>
      <c r="AC524" s="210"/>
      <c r="AD524" s="236">
        <f t="shared" si="588"/>
        <v>1</v>
      </c>
      <c r="AE524" s="236">
        <f t="shared" si="589"/>
        <v>1</v>
      </c>
      <c r="AF524" s="236">
        <f t="shared" si="590"/>
        <v>0</v>
      </c>
      <c r="AG524" s="236">
        <v>1</v>
      </c>
      <c r="AH524" s="236">
        <v>0</v>
      </c>
      <c r="AI524" s="236">
        <f t="shared" si="566"/>
        <v>-100</v>
      </c>
      <c r="AJ524" s="210"/>
      <c r="AK524" s="254"/>
      <c r="AL524" s="254"/>
      <c r="AM524" s="255"/>
      <c r="AN524" s="255"/>
      <c r="AO524" s="255"/>
      <c r="AP524" s="255"/>
      <c r="AQ524" s="255"/>
      <c r="AR524" s="255"/>
      <c r="AS524" s="255"/>
      <c r="AT524" s="255"/>
      <c r="AU524" s="255"/>
      <c r="AV524" s="255"/>
      <c r="AW524" s="255"/>
      <c r="AX524" s="210"/>
      <c r="AY524" s="236" cm="1">
        <f t="array" ref="AY524">INDEX(Use, $AD524, 4)</f>
        <v>7</v>
      </c>
      <c r="AZ524" s="236">
        <f t="shared" si="567"/>
        <v>32</v>
      </c>
      <c r="BA524" s="236">
        <f t="shared" si="555"/>
        <v>13</v>
      </c>
      <c r="BB524" s="236">
        <f t="shared" si="556"/>
        <v>0</v>
      </c>
      <c r="BC524" s="252" cm="1">
        <f t="array" ref="BC524">K524/IF($L524&gt;0, INDEX($AO$23:$AU$77, $L524+20, $AD524), 1)</f>
        <v>0</v>
      </c>
      <c r="BD524" s="237">
        <f t="shared" si="568"/>
        <v>0</v>
      </c>
      <c r="BE524" s="236">
        <v>35</v>
      </c>
      <c r="BF524" s="237">
        <f t="shared" si="569"/>
        <v>52.55</v>
      </c>
      <c r="BG524" s="253">
        <f t="shared" si="570"/>
        <v>2.7676728869374316</v>
      </c>
      <c r="BH524" s="253" cm="1">
        <f t="array" ref="BH524">$BC524 * SUMPRODUCT(INDEX($AL$77:$AN$82,,$AE524),INDEX($AO$77:$AU$82,,$AD524), N($AK$77:$AK$82&gt;$AI524)) / BG524 / 1000</f>
        <v>0</v>
      </c>
      <c r="BI524" s="250">
        <f t="shared" si="557"/>
        <v>30</v>
      </c>
      <c r="BJ524" s="237">
        <f t="shared" si="571"/>
        <v>46.033333333333331</v>
      </c>
      <c r="BK524" s="253">
        <f t="shared" si="572"/>
        <v>3.2297395388556791</v>
      </c>
      <c r="BL524" s="253" cm="1">
        <f t="array" ref="BL524">$BC524 * IF($AD524&lt;=2,
SUMPRODUCT(INDEX($AL$72:$AN$76,,$AE524), INDEX($AO$72:$AU$76,,$AD524), 1 / ($AV$72:$AV$76*BK524 + (1-$AV$72:$AV$76)*BG524), N($AK$72:$AK$76&gt;$AI524)),
SUMPRODUCT(INDEX($AL$67:$AN$76,,$AE524), INDEX($AO$67:$AU$76,,$AD524), 1 / ($AW$67:$AW$76*BK524 + (1-$AW$67:$AW$76)*BG524), N($AK$67:$AK$76&gt;$AI524))
) / 1000</f>
        <v>0</v>
      </c>
      <c r="BM524" s="250">
        <f t="shared" si="558"/>
        <v>25</v>
      </c>
      <c r="BN524" s="237">
        <f t="shared" si="573"/>
        <v>39.516666666666666</v>
      </c>
      <c r="BO524" s="253">
        <f t="shared" si="574"/>
        <v>3.877011788826243</v>
      </c>
      <c r="BP524" s="253" cm="1">
        <f t="array" ref="BP524">$BC524 * IF($AD524&lt;=2,
SUMPRODUCT(INDEX($AL$67:$AN$71,,$AE524), INDEX($AO$67:$AU$71,,$AD524), 1 / ($AV$67:$AV$71*BO524 + (1-$AV$67:$AV$71)*BK524), N($AK$67:$AK$71&gt;$AI524)),
SUMPRODUCT(INDEX($AL$57:$AN$66,,$AE524), INDEX($AO$57:$AU$66,,$AD524), 1 / ($AW$57:$AW$66*BO524 + (1-$AW$57:$AW$66)*BK524), N($AK$57:$AK$66&gt;$AI524))
) / 1000</f>
        <v>0</v>
      </c>
      <c r="BQ524" s="250">
        <f t="shared" si="559"/>
        <v>20</v>
      </c>
      <c r="BR524" s="237">
        <f t="shared" si="575"/>
        <v>33</v>
      </c>
      <c r="BS524" s="253">
        <f t="shared" si="576"/>
        <v>4.8487499999999999</v>
      </c>
      <c r="BT524" s="253" cm="1">
        <f t="array" ref="BT524">$BC524 * IF($AD524&lt;=2,
SUMPRODUCT(INDEX($AL$62:$AN$66,,$AE524), INDEX($AO$62:$AU$66,,$AD524), 1 / ($AV$62:$AV$66*BS524 + (1-$AV$62:$AV$66)*BO524), N($AK$62:$AK$66&gt;$AI524)),
SUMPRODUCT(INDEX($AL$47:$AN$56,,$AE524), INDEX($AO$47:$AU$56,,$AD524), 1 / ($AW$47:$AW$56*BS524 + (1-$AW$47:$AW$56)*BO524), N($AK$47:$AK$56&gt;$AI524))
) / 1000</f>
        <v>0</v>
      </c>
      <c r="BU524" s="253" cm="1">
        <f t="array" ref="BU524">$BC524 * IF($AD524&lt;=2,
SUMPRODUCT(INDEX($AL$23:$AN$61,,$AE524), INDEX($AO$23:$AU$61,,$AD524), 1 / ($AV$23:$AV$61*BS524), N($AK$23:$AK$61&gt;$AI524)),
SUMPRODUCT(INDEX($AL$23:$AN$46,,$AE524), INDEX($AO$23:$AU$46,,$AD524), 1 / ($AW$23:$AW$46*BS524), N($AK$23:$AK$46&gt;$AI524))
) / 1000</f>
        <v>0</v>
      </c>
      <c r="BV524" s="237">
        <f t="shared" si="577"/>
        <v>0</v>
      </c>
      <c r="BW524" s="210"/>
      <c r="BX524" s="237">
        <f t="shared" si="578"/>
        <v>0</v>
      </c>
      <c r="BY524" s="236">
        <v>35</v>
      </c>
      <c r="BZ524" s="237">
        <f t="shared" si="579"/>
        <v>48</v>
      </c>
      <c r="CA524" s="253">
        <f t="shared" si="580"/>
        <v>3.0748170731707316</v>
      </c>
      <c r="CB524" s="253" cm="1">
        <f t="array" ref="CB524">$BC524 * SUMPRODUCT(INDEX($AL$77:$AN$82,,$AE524),INDEX($AO$77:$AU$82,,$AD524), N($AK$77:$AK$82&gt;$AI524)) / CA524 / 1000</f>
        <v>0</v>
      </c>
      <c r="CC524" s="250">
        <f t="shared" si="560"/>
        <v>30</v>
      </c>
      <c r="CD524" s="237">
        <f t="shared" si="581"/>
        <v>43</v>
      </c>
      <c r="CE524" s="253">
        <f t="shared" si="582"/>
        <v>3.5018750000000001</v>
      </c>
      <c r="CF524" s="253" cm="1">
        <f t="array" ref="CF524">$BC524 * IF($AD524&lt;=2,
SUMPRODUCT(INDEX($AL$72:$AN$76,,$AE524), INDEX($AO$72:$AU$76,,$AD524), 1 / ($AV$72:$AV$76*CE524 + (1-$AV$72:$AV$76)*CA524), N($AK$72:$AK$76&gt;$AI524)),
SUMPRODUCT(INDEX($AL$67:$AN$76,,$AE524), INDEX($AO$67:$AU$76,,$AD524), 1 / ($AW$67:$AW$76*CE524 + (1-$AW$67:$AW$76)*CA524), N($AK$67:$AK$76&gt;$AI524))
) / 1000</f>
        <v>0</v>
      </c>
      <c r="CG524" s="250">
        <f t="shared" si="561"/>
        <v>25</v>
      </c>
      <c r="CH524" s="237">
        <f t="shared" si="583"/>
        <v>38</v>
      </c>
      <c r="CI524" s="253">
        <f t="shared" si="584"/>
        <v>4.0666935483870965</v>
      </c>
      <c r="CJ524" s="253" cm="1">
        <f t="array" ref="CJ524">$BC524 * IF($AD524&lt;=2,
SUMPRODUCT(INDEX($AL$67:$AN$71,,$AE524), INDEX($AO$67:$AU$71,,$AD524), 1 / ($AV$67:$AV$71*CI524 + (1-$AV$67:$AV$71)*CE524), N($AK$67:$AK$71&gt;$AI524)),
SUMPRODUCT(INDEX($AL$57:$AN$66,,$AE524), INDEX($AO$57:$AU$66,,$AD524), 1 / ($AW$57:$AW$66*CI524 + (1-$AW$57:$AW$66)*CE524), N($AK$57:$AK$66&gt;$AI524))
) / 1000</f>
        <v>0</v>
      </c>
      <c r="CK524" s="250">
        <f t="shared" si="562"/>
        <v>20</v>
      </c>
      <c r="CL524" s="237">
        <f t="shared" si="585"/>
        <v>33</v>
      </c>
      <c r="CM524" s="253">
        <f t="shared" si="586"/>
        <v>4.8487499999999999</v>
      </c>
      <c r="CN524" s="253" cm="1">
        <f t="array" ref="CN524">$BC524 * IF($AD524&lt;=2,
SUMPRODUCT(INDEX($AL$62:$AN$66,,$AE524), INDEX($AO$62:$AU$66,,$AD524), 1 / ($AV$62:$AV$66*CM524 + (1-$AV$62:$AV$66)*CI524), N($AK$62:$AK$66&gt;$AI524)),
SUMPRODUCT(INDEX($AL$47:$AN$56,,$AE524), INDEX($AO$47:$AU$56,,$AD524), 1 / ($AW$47:$AW$56*CM524 + (1-$AW$47:$AW$56)*CI524), N($AK$47:$AK$56&gt;$AI524))
) / 1000</f>
        <v>0</v>
      </c>
      <c r="CO524" s="253" cm="1">
        <f t="array" ref="CO524">$BC524 * IF($AD524&lt;=2,
SUMPRODUCT(INDEX($AL$23:$AN$61,,$AE524), INDEX($AO$23:$AU$61,,$AD524), 1 / ($AV$23:$AV$61*CM524), N($AK$23:$AK$61&gt;$AI524)),
SUMPRODUCT(INDEX($AL$23:$AN$46,,$AE524), INDEX($AO$23:$AU$46,,$AD524), 1 / ($AW$23:$AW$46*CM524), N($AK$23:$AK$46&gt;$AI524))
) / 1000</f>
        <v>0</v>
      </c>
      <c r="CP524" s="237">
        <f t="shared" si="587"/>
        <v>0</v>
      </c>
      <c r="CQ524" s="210"/>
    </row>
    <row r="525" spans="1:95" s="76" customFormat="1" ht="14.25" customHeight="1" x14ac:dyDescent="0.2">
      <c r="A525" s="238" t="b">
        <f t="shared" si="554"/>
        <v>0</v>
      </c>
      <c r="B525" s="239">
        <v>503</v>
      </c>
      <c r="C525" s="258"/>
      <c r="D525" s="258"/>
      <c r="E525" s="240"/>
      <c r="F525" s="241" t="str">
        <f>IF(ISBLANK(E525), "", VLOOKUP(E525, Z!$A$2:$C$4127, 3, FALSE))</f>
        <v/>
      </c>
      <c r="G525" s="242"/>
      <c r="H525" s="242"/>
      <c r="I525" s="243"/>
      <c r="J525" s="244"/>
      <c r="K525" s="259"/>
      <c r="L525" s="260"/>
      <c r="M525" s="247" t="str" cm="1">
        <f t="array" ref="M525">IF($K525&gt;0, INDEX(Clean,1+AG525,$C$1), "")</f>
        <v/>
      </c>
      <c r="N525" s="245"/>
      <c r="O525" s="245"/>
      <c r="P525" s="246"/>
      <c r="Q525" s="248">
        <f t="shared" si="564"/>
        <v>0</v>
      </c>
      <c r="R525" s="247" t="str" cm="1">
        <f t="array" ref="R525">IF($K525&gt;0, INDEX(Clean,1+AH525,$C$1), "")</f>
        <v/>
      </c>
      <c r="S525" s="245"/>
      <c r="T525" s="245"/>
      <c r="U525" s="246"/>
      <c r="V525" s="248">
        <f t="shared" si="565"/>
        <v>0</v>
      </c>
      <c r="W525" s="261"/>
      <c r="X525" s="258"/>
      <c r="Y525" s="240"/>
      <c r="Z525" s="241" t="str">
        <f>IF(ISBLANK(Y525), "", VLOOKUP(Y525, Z!$A$2:$C$4127, 3, FALSE))</f>
        <v/>
      </c>
      <c r="AA525" s="262"/>
      <c r="AB525" s="249">
        <f t="shared" si="563"/>
        <v>0</v>
      </c>
      <c r="AC525" s="210"/>
      <c r="AD525" s="236">
        <f t="shared" si="588"/>
        <v>1</v>
      </c>
      <c r="AE525" s="236">
        <f t="shared" si="589"/>
        <v>1</v>
      </c>
      <c r="AF525" s="236">
        <f t="shared" si="590"/>
        <v>0</v>
      </c>
      <c r="AG525" s="236">
        <v>1</v>
      </c>
      <c r="AH525" s="236">
        <v>0</v>
      </c>
      <c r="AI525" s="236">
        <f t="shared" si="566"/>
        <v>-100</v>
      </c>
      <c r="AJ525" s="210"/>
      <c r="AK525" s="254"/>
      <c r="AL525" s="254"/>
      <c r="AM525" s="255"/>
      <c r="AN525" s="255"/>
      <c r="AO525" s="255"/>
      <c r="AP525" s="255"/>
      <c r="AQ525" s="255"/>
      <c r="AR525" s="255"/>
      <c r="AS525" s="255"/>
      <c r="AT525" s="255"/>
      <c r="AU525" s="255"/>
      <c r="AV525" s="255"/>
      <c r="AW525" s="255"/>
      <c r="AX525" s="210"/>
      <c r="AY525" s="236" cm="1">
        <f t="array" ref="AY525">INDEX(Use, $AD525, 4)</f>
        <v>7</v>
      </c>
      <c r="AZ525" s="236">
        <f t="shared" si="567"/>
        <v>32</v>
      </c>
      <c r="BA525" s="236">
        <f t="shared" si="555"/>
        <v>13</v>
      </c>
      <c r="BB525" s="236">
        <f t="shared" si="556"/>
        <v>0</v>
      </c>
      <c r="BC525" s="252" cm="1">
        <f t="array" ref="BC525">K525/IF($L525&gt;0, INDEX($AO$23:$AU$77, $L525+20, $AD525), 1)</f>
        <v>0</v>
      </c>
      <c r="BD525" s="237">
        <f t="shared" si="568"/>
        <v>0</v>
      </c>
      <c r="BE525" s="236">
        <v>35</v>
      </c>
      <c r="BF525" s="237">
        <f t="shared" si="569"/>
        <v>52.55</v>
      </c>
      <c r="BG525" s="253">
        <f t="shared" si="570"/>
        <v>2.7676728869374316</v>
      </c>
      <c r="BH525" s="253" cm="1">
        <f t="array" ref="BH525">$BC525 * SUMPRODUCT(INDEX($AL$77:$AN$82,,$AE525),INDEX($AO$77:$AU$82,,$AD525), N($AK$77:$AK$82&gt;$AI525)) / BG525 / 1000</f>
        <v>0</v>
      </c>
      <c r="BI525" s="250">
        <f t="shared" si="557"/>
        <v>30</v>
      </c>
      <c r="BJ525" s="237">
        <f t="shared" si="571"/>
        <v>46.033333333333331</v>
      </c>
      <c r="BK525" s="253">
        <f t="shared" si="572"/>
        <v>3.2297395388556791</v>
      </c>
      <c r="BL525" s="253" cm="1">
        <f t="array" ref="BL525">$BC525 * IF($AD525&lt;=2,
SUMPRODUCT(INDEX($AL$72:$AN$76,,$AE525), INDEX($AO$72:$AU$76,,$AD525), 1 / ($AV$72:$AV$76*BK525 + (1-$AV$72:$AV$76)*BG525), N($AK$72:$AK$76&gt;$AI525)),
SUMPRODUCT(INDEX($AL$67:$AN$76,,$AE525), INDEX($AO$67:$AU$76,,$AD525), 1 / ($AW$67:$AW$76*BK525 + (1-$AW$67:$AW$76)*BG525), N($AK$67:$AK$76&gt;$AI525))
) / 1000</f>
        <v>0</v>
      </c>
      <c r="BM525" s="250">
        <f t="shared" si="558"/>
        <v>25</v>
      </c>
      <c r="BN525" s="237">
        <f t="shared" si="573"/>
        <v>39.516666666666666</v>
      </c>
      <c r="BO525" s="253">
        <f t="shared" si="574"/>
        <v>3.877011788826243</v>
      </c>
      <c r="BP525" s="253" cm="1">
        <f t="array" ref="BP525">$BC525 * IF($AD525&lt;=2,
SUMPRODUCT(INDEX($AL$67:$AN$71,,$AE525), INDEX($AO$67:$AU$71,,$AD525), 1 / ($AV$67:$AV$71*BO525 + (1-$AV$67:$AV$71)*BK525), N($AK$67:$AK$71&gt;$AI525)),
SUMPRODUCT(INDEX($AL$57:$AN$66,,$AE525), INDEX($AO$57:$AU$66,,$AD525), 1 / ($AW$57:$AW$66*BO525 + (1-$AW$57:$AW$66)*BK525), N($AK$57:$AK$66&gt;$AI525))
) / 1000</f>
        <v>0</v>
      </c>
      <c r="BQ525" s="250">
        <f t="shared" si="559"/>
        <v>20</v>
      </c>
      <c r="BR525" s="237">
        <f t="shared" si="575"/>
        <v>33</v>
      </c>
      <c r="BS525" s="253">
        <f t="shared" si="576"/>
        <v>4.8487499999999999</v>
      </c>
      <c r="BT525" s="253" cm="1">
        <f t="array" ref="BT525">$BC525 * IF($AD525&lt;=2,
SUMPRODUCT(INDEX($AL$62:$AN$66,,$AE525), INDEX($AO$62:$AU$66,,$AD525), 1 / ($AV$62:$AV$66*BS525 + (1-$AV$62:$AV$66)*BO525), N($AK$62:$AK$66&gt;$AI525)),
SUMPRODUCT(INDEX($AL$47:$AN$56,,$AE525), INDEX($AO$47:$AU$56,,$AD525), 1 / ($AW$47:$AW$56*BS525 + (1-$AW$47:$AW$56)*BO525), N($AK$47:$AK$56&gt;$AI525))
) / 1000</f>
        <v>0</v>
      </c>
      <c r="BU525" s="253" cm="1">
        <f t="array" ref="BU525">$BC525 * IF($AD525&lt;=2,
SUMPRODUCT(INDEX($AL$23:$AN$61,,$AE525), INDEX($AO$23:$AU$61,,$AD525), 1 / ($AV$23:$AV$61*BS525), N($AK$23:$AK$61&gt;$AI525)),
SUMPRODUCT(INDEX($AL$23:$AN$46,,$AE525), INDEX($AO$23:$AU$46,,$AD525), 1 / ($AW$23:$AW$46*BS525), N($AK$23:$AK$46&gt;$AI525))
) / 1000</f>
        <v>0</v>
      </c>
      <c r="BV525" s="237">
        <f t="shared" si="577"/>
        <v>0</v>
      </c>
      <c r="BW525" s="210"/>
      <c r="BX525" s="237">
        <f t="shared" si="578"/>
        <v>0</v>
      </c>
      <c r="BY525" s="236">
        <v>35</v>
      </c>
      <c r="BZ525" s="237">
        <f t="shared" si="579"/>
        <v>48</v>
      </c>
      <c r="CA525" s="253">
        <f t="shared" si="580"/>
        <v>3.0748170731707316</v>
      </c>
      <c r="CB525" s="253" cm="1">
        <f t="array" ref="CB525">$BC525 * SUMPRODUCT(INDEX($AL$77:$AN$82,,$AE525),INDEX($AO$77:$AU$82,,$AD525), N($AK$77:$AK$82&gt;$AI525)) / CA525 / 1000</f>
        <v>0</v>
      </c>
      <c r="CC525" s="250">
        <f t="shared" si="560"/>
        <v>30</v>
      </c>
      <c r="CD525" s="237">
        <f t="shared" si="581"/>
        <v>43</v>
      </c>
      <c r="CE525" s="253">
        <f t="shared" si="582"/>
        <v>3.5018750000000001</v>
      </c>
      <c r="CF525" s="253" cm="1">
        <f t="array" ref="CF525">$BC525 * IF($AD525&lt;=2,
SUMPRODUCT(INDEX($AL$72:$AN$76,,$AE525), INDEX($AO$72:$AU$76,,$AD525), 1 / ($AV$72:$AV$76*CE525 + (1-$AV$72:$AV$76)*CA525), N($AK$72:$AK$76&gt;$AI525)),
SUMPRODUCT(INDEX($AL$67:$AN$76,,$AE525), INDEX($AO$67:$AU$76,,$AD525), 1 / ($AW$67:$AW$76*CE525 + (1-$AW$67:$AW$76)*CA525), N($AK$67:$AK$76&gt;$AI525))
) / 1000</f>
        <v>0</v>
      </c>
      <c r="CG525" s="250">
        <f t="shared" si="561"/>
        <v>25</v>
      </c>
      <c r="CH525" s="237">
        <f t="shared" si="583"/>
        <v>38</v>
      </c>
      <c r="CI525" s="253">
        <f t="shared" si="584"/>
        <v>4.0666935483870965</v>
      </c>
      <c r="CJ525" s="253" cm="1">
        <f t="array" ref="CJ525">$BC525 * IF($AD525&lt;=2,
SUMPRODUCT(INDEX($AL$67:$AN$71,,$AE525), INDEX($AO$67:$AU$71,,$AD525), 1 / ($AV$67:$AV$71*CI525 + (1-$AV$67:$AV$71)*CE525), N($AK$67:$AK$71&gt;$AI525)),
SUMPRODUCT(INDEX($AL$57:$AN$66,,$AE525), INDEX($AO$57:$AU$66,,$AD525), 1 / ($AW$57:$AW$66*CI525 + (1-$AW$57:$AW$66)*CE525), N($AK$57:$AK$66&gt;$AI525))
) / 1000</f>
        <v>0</v>
      </c>
      <c r="CK525" s="250">
        <f t="shared" si="562"/>
        <v>20</v>
      </c>
      <c r="CL525" s="237">
        <f t="shared" si="585"/>
        <v>33</v>
      </c>
      <c r="CM525" s="253">
        <f t="shared" si="586"/>
        <v>4.8487499999999999</v>
      </c>
      <c r="CN525" s="253" cm="1">
        <f t="array" ref="CN525">$BC525 * IF($AD525&lt;=2,
SUMPRODUCT(INDEX($AL$62:$AN$66,,$AE525), INDEX($AO$62:$AU$66,,$AD525), 1 / ($AV$62:$AV$66*CM525 + (1-$AV$62:$AV$66)*CI525), N($AK$62:$AK$66&gt;$AI525)),
SUMPRODUCT(INDEX($AL$47:$AN$56,,$AE525), INDEX($AO$47:$AU$56,,$AD525), 1 / ($AW$47:$AW$56*CM525 + (1-$AW$47:$AW$56)*CI525), N($AK$47:$AK$56&gt;$AI525))
) / 1000</f>
        <v>0</v>
      </c>
      <c r="CO525" s="253" cm="1">
        <f t="array" ref="CO525">$BC525 * IF($AD525&lt;=2,
SUMPRODUCT(INDEX($AL$23:$AN$61,,$AE525), INDEX($AO$23:$AU$61,,$AD525), 1 / ($AV$23:$AV$61*CM525), N($AK$23:$AK$61&gt;$AI525)),
SUMPRODUCT(INDEX($AL$23:$AN$46,,$AE525), INDEX($AO$23:$AU$46,,$AD525), 1 / ($AW$23:$AW$46*CM525), N($AK$23:$AK$46&gt;$AI525))
) / 1000</f>
        <v>0</v>
      </c>
      <c r="CP525" s="237">
        <f t="shared" si="587"/>
        <v>0</v>
      </c>
      <c r="CQ525" s="210"/>
    </row>
    <row r="526" spans="1:95" s="76" customFormat="1" ht="14.25" customHeight="1" x14ac:dyDescent="0.2">
      <c r="A526" s="238" t="b">
        <f t="shared" si="554"/>
        <v>0</v>
      </c>
      <c r="B526" s="239">
        <v>504</v>
      </c>
      <c r="C526" s="258"/>
      <c r="D526" s="258"/>
      <c r="E526" s="240"/>
      <c r="F526" s="241" t="str">
        <f>IF(ISBLANK(E526), "", VLOOKUP(E526, Z!$A$2:$C$4127, 3, FALSE))</f>
        <v/>
      </c>
      <c r="G526" s="242"/>
      <c r="H526" s="242"/>
      <c r="I526" s="243"/>
      <c r="J526" s="244"/>
      <c r="K526" s="259"/>
      <c r="L526" s="260"/>
      <c r="M526" s="247" t="str" cm="1">
        <f t="array" ref="M526">IF($K526&gt;0, INDEX(Clean,1+AG526,$C$1), "")</f>
        <v/>
      </c>
      <c r="N526" s="245"/>
      <c r="O526" s="245"/>
      <c r="P526" s="246"/>
      <c r="Q526" s="248">
        <f t="shared" si="564"/>
        <v>0</v>
      </c>
      <c r="R526" s="247" t="str" cm="1">
        <f t="array" ref="R526">IF($K526&gt;0, INDEX(Clean,1+AH526,$C$1), "")</f>
        <v/>
      </c>
      <c r="S526" s="245"/>
      <c r="T526" s="245"/>
      <c r="U526" s="246"/>
      <c r="V526" s="248">
        <f t="shared" si="565"/>
        <v>0</v>
      </c>
      <c r="W526" s="261"/>
      <c r="X526" s="258"/>
      <c r="Y526" s="240"/>
      <c r="Z526" s="241" t="str">
        <f>IF(ISBLANK(Y526), "", VLOOKUP(Y526, Z!$A$2:$C$4127, 3, FALSE))</f>
        <v/>
      </c>
      <c r="AA526" s="262"/>
      <c r="AB526" s="249">
        <f t="shared" si="563"/>
        <v>0</v>
      </c>
      <c r="AC526" s="210"/>
      <c r="AD526" s="236">
        <f t="shared" si="588"/>
        <v>1</v>
      </c>
      <c r="AE526" s="236">
        <f t="shared" si="589"/>
        <v>1</v>
      </c>
      <c r="AF526" s="236">
        <f t="shared" si="590"/>
        <v>0</v>
      </c>
      <c r="AG526" s="236">
        <v>1</v>
      </c>
      <c r="AH526" s="236">
        <v>0</v>
      </c>
      <c r="AI526" s="236">
        <f t="shared" si="566"/>
        <v>-100</v>
      </c>
      <c r="AJ526" s="210"/>
      <c r="AK526" s="254"/>
      <c r="AL526" s="254"/>
      <c r="AM526" s="255"/>
      <c r="AN526" s="255"/>
      <c r="AO526" s="255"/>
      <c r="AP526" s="255"/>
      <c r="AQ526" s="255"/>
      <c r="AR526" s="255"/>
      <c r="AS526" s="255"/>
      <c r="AT526" s="255"/>
      <c r="AU526" s="255"/>
      <c r="AV526" s="255"/>
      <c r="AW526" s="255"/>
      <c r="AX526" s="210"/>
      <c r="AY526" s="236" cm="1">
        <f t="array" ref="AY526">INDEX(Use, $AD526, 4)</f>
        <v>7</v>
      </c>
      <c r="AZ526" s="236">
        <f t="shared" si="567"/>
        <v>32</v>
      </c>
      <c r="BA526" s="236">
        <f t="shared" si="555"/>
        <v>13</v>
      </c>
      <c r="BB526" s="236">
        <f t="shared" si="556"/>
        <v>0</v>
      </c>
      <c r="BC526" s="252" cm="1">
        <f t="array" ref="BC526">K526/IF($L526&gt;0, INDEX($AO$23:$AU$77, $L526+20, $AD526), 1)</f>
        <v>0</v>
      </c>
      <c r="BD526" s="237">
        <f t="shared" si="568"/>
        <v>0</v>
      </c>
      <c r="BE526" s="236">
        <v>35</v>
      </c>
      <c r="BF526" s="237">
        <f t="shared" si="569"/>
        <v>52.55</v>
      </c>
      <c r="BG526" s="253">
        <f t="shared" si="570"/>
        <v>2.7676728869374316</v>
      </c>
      <c r="BH526" s="253" cm="1">
        <f t="array" ref="BH526">$BC526 * SUMPRODUCT(INDEX($AL$77:$AN$82,,$AE526),INDEX($AO$77:$AU$82,,$AD526), N($AK$77:$AK$82&gt;$AI526)) / BG526 / 1000</f>
        <v>0</v>
      </c>
      <c r="BI526" s="250">
        <f t="shared" si="557"/>
        <v>30</v>
      </c>
      <c r="BJ526" s="237">
        <f t="shared" si="571"/>
        <v>46.033333333333331</v>
      </c>
      <c r="BK526" s="253">
        <f t="shared" si="572"/>
        <v>3.2297395388556791</v>
      </c>
      <c r="BL526" s="253" cm="1">
        <f t="array" ref="BL526">$BC526 * IF($AD526&lt;=2,
SUMPRODUCT(INDEX($AL$72:$AN$76,,$AE526), INDEX($AO$72:$AU$76,,$AD526), 1 / ($AV$72:$AV$76*BK526 + (1-$AV$72:$AV$76)*BG526), N($AK$72:$AK$76&gt;$AI526)),
SUMPRODUCT(INDEX($AL$67:$AN$76,,$AE526), INDEX($AO$67:$AU$76,,$AD526), 1 / ($AW$67:$AW$76*BK526 + (1-$AW$67:$AW$76)*BG526), N($AK$67:$AK$76&gt;$AI526))
) / 1000</f>
        <v>0</v>
      </c>
      <c r="BM526" s="250">
        <f t="shared" si="558"/>
        <v>25</v>
      </c>
      <c r="BN526" s="237">
        <f t="shared" si="573"/>
        <v>39.516666666666666</v>
      </c>
      <c r="BO526" s="253">
        <f t="shared" si="574"/>
        <v>3.877011788826243</v>
      </c>
      <c r="BP526" s="253" cm="1">
        <f t="array" ref="BP526">$BC526 * IF($AD526&lt;=2,
SUMPRODUCT(INDEX($AL$67:$AN$71,,$AE526), INDEX($AO$67:$AU$71,,$AD526), 1 / ($AV$67:$AV$71*BO526 + (1-$AV$67:$AV$71)*BK526), N($AK$67:$AK$71&gt;$AI526)),
SUMPRODUCT(INDEX($AL$57:$AN$66,,$AE526), INDEX($AO$57:$AU$66,,$AD526), 1 / ($AW$57:$AW$66*BO526 + (1-$AW$57:$AW$66)*BK526), N($AK$57:$AK$66&gt;$AI526))
) / 1000</f>
        <v>0</v>
      </c>
      <c r="BQ526" s="250">
        <f t="shared" si="559"/>
        <v>20</v>
      </c>
      <c r="BR526" s="237">
        <f t="shared" si="575"/>
        <v>33</v>
      </c>
      <c r="BS526" s="253">
        <f t="shared" si="576"/>
        <v>4.8487499999999999</v>
      </c>
      <c r="BT526" s="253" cm="1">
        <f t="array" ref="BT526">$BC526 * IF($AD526&lt;=2,
SUMPRODUCT(INDEX($AL$62:$AN$66,,$AE526), INDEX($AO$62:$AU$66,,$AD526), 1 / ($AV$62:$AV$66*BS526 + (1-$AV$62:$AV$66)*BO526), N($AK$62:$AK$66&gt;$AI526)),
SUMPRODUCT(INDEX($AL$47:$AN$56,,$AE526), INDEX($AO$47:$AU$56,,$AD526), 1 / ($AW$47:$AW$56*BS526 + (1-$AW$47:$AW$56)*BO526), N($AK$47:$AK$56&gt;$AI526))
) / 1000</f>
        <v>0</v>
      </c>
      <c r="BU526" s="253" cm="1">
        <f t="array" ref="BU526">$BC526 * IF($AD526&lt;=2,
SUMPRODUCT(INDEX($AL$23:$AN$61,,$AE526), INDEX($AO$23:$AU$61,,$AD526), 1 / ($AV$23:$AV$61*BS526), N($AK$23:$AK$61&gt;$AI526)),
SUMPRODUCT(INDEX($AL$23:$AN$46,,$AE526), INDEX($AO$23:$AU$46,,$AD526), 1 / ($AW$23:$AW$46*BS526), N($AK$23:$AK$46&gt;$AI526))
) / 1000</f>
        <v>0</v>
      </c>
      <c r="BV526" s="237">
        <f t="shared" si="577"/>
        <v>0</v>
      </c>
      <c r="BW526" s="210"/>
      <c r="BX526" s="237">
        <f t="shared" si="578"/>
        <v>0</v>
      </c>
      <c r="BY526" s="236">
        <v>35</v>
      </c>
      <c r="BZ526" s="237">
        <f t="shared" si="579"/>
        <v>48</v>
      </c>
      <c r="CA526" s="253">
        <f t="shared" si="580"/>
        <v>3.0748170731707316</v>
      </c>
      <c r="CB526" s="253" cm="1">
        <f t="array" ref="CB526">$BC526 * SUMPRODUCT(INDEX($AL$77:$AN$82,,$AE526),INDEX($AO$77:$AU$82,,$AD526), N($AK$77:$AK$82&gt;$AI526)) / CA526 / 1000</f>
        <v>0</v>
      </c>
      <c r="CC526" s="250">
        <f t="shared" si="560"/>
        <v>30</v>
      </c>
      <c r="CD526" s="237">
        <f t="shared" si="581"/>
        <v>43</v>
      </c>
      <c r="CE526" s="253">
        <f t="shared" si="582"/>
        <v>3.5018750000000001</v>
      </c>
      <c r="CF526" s="253" cm="1">
        <f t="array" ref="CF526">$BC526 * IF($AD526&lt;=2,
SUMPRODUCT(INDEX($AL$72:$AN$76,,$AE526), INDEX($AO$72:$AU$76,,$AD526), 1 / ($AV$72:$AV$76*CE526 + (1-$AV$72:$AV$76)*CA526), N($AK$72:$AK$76&gt;$AI526)),
SUMPRODUCT(INDEX($AL$67:$AN$76,,$AE526), INDEX($AO$67:$AU$76,,$AD526), 1 / ($AW$67:$AW$76*CE526 + (1-$AW$67:$AW$76)*CA526), N($AK$67:$AK$76&gt;$AI526))
) / 1000</f>
        <v>0</v>
      </c>
      <c r="CG526" s="250">
        <f t="shared" si="561"/>
        <v>25</v>
      </c>
      <c r="CH526" s="237">
        <f t="shared" si="583"/>
        <v>38</v>
      </c>
      <c r="CI526" s="253">
        <f t="shared" si="584"/>
        <v>4.0666935483870965</v>
      </c>
      <c r="CJ526" s="253" cm="1">
        <f t="array" ref="CJ526">$BC526 * IF($AD526&lt;=2,
SUMPRODUCT(INDEX($AL$67:$AN$71,,$AE526), INDEX($AO$67:$AU$71,,$AD526), 1 / ($AV$67:$AV$71*CI526 + (1-$AV$67:$AV$71)*CE526), N($AK$67:$AK$71&gt;$AI526)),
SUMPRODUCT(INDEX($AL$57:$AN$66,,$AE526), INDEX($AO$57:$AU$66,,$AD526), 1 / ($AW$57:$AW$66*CI526 + (1-$AW$57:$AW$66)*CE526), N($AK$57:$AK$66&gt;$AI526))
) / 1000</f>
        <v>0</v>
      </c>
      <c r="CK526" s="250">
        <f t="shared" si="562"/>
        <v>20</v>
      </c>
      <c r="CL526" s="237">
        <f t="shared" si="585"/>
        <v>33</v>
      </c>
      <c r="CM526" s="253">
        <f t="shared" si="586"/>
        <v>4.8487499999999999</v>
      </c>
      <c r="CN526" s="253" cm="1">
        <f t="array" ref="CN526">$BC526 * IF($AD526&lt;=2,
SUMPRODUCT(INDEX($AL$62:$AN$66,,$AE526), INDEX($AO$62:$AU$66,,$AD526), 1 / ($AV$62:$AV$66*CM526 + (1-$AV$62:$AV$66)*CI526), N($AK$62:$AK$66&gt;$AI526)),
SUMPRODUCT(INDEX($AL$47:$AN$56,,$AE526), INDEX($AO$47:$AU$56,,$AD526), 1 / ($AW$47:$AW$56*CM526 + (1-$AW$47:$AW$56)*CI526), N($AK$47:$AK$56&gt;$AI526))
) / 1000</f>
        <v>0</v>
      </c>
      <c r="CO526" s="253" cm="1">
        <f t="array" ref="CO526">$BC526 * IF($AD526&lt;=2,
SUMPRODUCT(INDEX($AL$23:$AN$61,,$AE526), INDEX($AO$23:$AU$61,,$AD526), 1 / ($AV$23:$AV$61*CM526), N($AK$23:$AK$61&gt;$AI526)),
SUMPRODUCT(INDEX($AL$23:$AN$46,,$AE526), INDEX($AO$23:$AU$46,,$AD526), 1 / ($AW$23:$AW$46*CM526), N($AK$23:$AK$46&gt;$AI526))
) / 1000</f>
        <v>0</v>
      </c>
      <c r="CP526" s="237">
        <f t="shared" si="587"/>
        <v>0</v>
      </c>
      <c r="CQ526" s="210"/>
    </row>
    <row r="527" spans="1:95" s="76" customFormat="1" ht="14.25" customHeight="1" x14ac:dyDescent="0.2">
      <c r="A527" s="238" t="b">
        <f t="shared" si="554"/>
        <v>0</v>
      </c>
      <c r="B527" s="239">
        <v>505</v>
      </c>
      <c r="C527" s="258"/>
      <c r="D527" s="258"/>
      <c r="E527" s="240"/>
      <c r="F527" s="241" t="str">
        <f>IF(ISBLANK(E527), "", VLOOKUP(E527, Z!$A$2:$C$4127, 3, FALSE))</f>
        <v/>
      </c>
      <c r="G527" s="242"/>
      <c r="H527" s="242"/>
      <c r="I527" s="243"/>
      <c r="J527" s="244"/>
      <c r="K527" s="259"/>
      <c r="L527" s="260"/>
      <c r="M527" s="247" t="str" cm="1">
        <f t="array" ref="M527">IF($K527&gt;0, INDEX(Clean,1+AG527,$C$1), "")</f>
        <v/>
      </c>
      <c r="N527" s="245"/>
      <c r="O527" s="245"/>
      <c r="P527" s="246"/>
      <c r="Q527" s="248">
        <f t="shared" si="564"/>
        <v>0</v>
      </c>
      <c r="R527" s="247" t="str" cm="1">
        <f t="array" ref="R527">IF($K527&gt;0, INDEX(Clean,1+AH527,$C$1), "")</f>
        <v/>
      </c>
      <c r="S527" s="245"/>
      <c r="T527" s="245"/>
      <c r="U527" s="246"/>
      <c r="V527" s="248">
        <f t="shared" si="565"/>
        <v>0</v>
      </c>
      <c r="W527" s="261"/>
      <c r="X527" s="258"/>
      <c r="Y527" s="240"/>
      <c r="Z527" s="241" t="str">
        <f>IF(ISBLANK(Y527), "", VLOOKUP(Y527, Z!$A$2:$C$4127, 3, FALSE))</f>
        <v/>
      </c>
      <c r="AA527" s="262"/>
      <c r="AB527" s="249">
        <f t="shared" si="563"/>
        <v>0</v>
      </c>
      <c r="AC527" s="210"/>
      <c r="AD527" s="236">
        <f t="shared" si="588"/>
        <v>1</v>
      </c>
      <c r="AE527" s="236">
        <f t="shared" si="589"/>
        <v>1</v>
      </c>
      <c r="AF527" s="236">
        <f t="shared" si="590"/>
        <v>0</v>
      </c>
      <c r="AG527" s="236">
        <v>1</v>
      </c>
      <c r="AH527" s="236">
        <v>0</v>
      </c>
      <c r="AI527" s="236">
        <f t="shared" si="566"/>
        <v>-100</v>
      </c>
      <c r="AJ527" s="210"/>
      <c r="AK527" s="254"/>
      <c r="AL527" s="254"/>
      <c r="AM527" s="255"/>
      <c r="AN527" s="255"/>
      <c r="AO527" s="255"/>
      <c r="AP527" s="255"/>
      <c r="AQ527" s="255"/>
      <c r="AR527" s="255"/>
      <c r="AS527" s="255"/>
      <c r="AT527" s="255"/>
      <c r="AU527" s="255"/>
      <c r="AV527" s="255"/>
      <c r="AW527" s="255"/>
      <c r="AX527" s="210"/>
      <c r="AY527" s="236" cm="1">
        <f t="array" ref="AY527">INDEX(Use, $AD527, 4)</f>
        <v>7</v>
      </c>
      <c r="AZ527" s="236">
        <f t="shared" si="567"/>
        <v>32</v>
      </c>
      <c r="BA527" s="236">
        <f t="shared" si="555"/>
        <v>13</v>
      </c>
      <c r="BB527" s="236">
        <f t="shared" si="556"/>
        <v>0</v>
      </c>
      <c r="BC527" s="252" cm="1">
        <f t="array" ref="BC527">K527/IF($L527&gt;0, INDEX($AO$23:$AU$77, $L527+20, $AD527), 1)</f>
        <v>0</v>
      </c>
      <c r="BD527" s="237">
        <f t="shared" si="568"/>
        <v>0</v>
      </c>
      <c r="BE527" s="236">
        <v>35</v>
      </c>
      <c r="BF527" s="237">
        <f t="shared" si="569"/>
        <v>52.55</v>
      </c>
      <c r="BG527" s="253">
        <f t="shared" si="570"/>
        <v>2.7676728869374316</v>
      </c>
      <c r="BH527" s="253" cm="1">
        <f t="array" ref="BH527">$BC527 * SUMPRODUCT(INDEX($AL$77:$AN$82,,$AE527),INDEX($AO$77:$AU$82,,$AD527), N($AK$77:$AK$82&gt;$AI527)) / BG527 / 1000</f>
        <v>0</v>
      </c>
      <c r="BI527" s="250">
        <f t="shared" si="557"/>
        <v>30</v>
      </c>
      <c r="BJ527" s="237">
        <f t="shared" si="571"/>
        <v>46.033333333333331</v>
      </c>
      <c r="BK527" s="253">
        <f t="shared" si="572"/>
        <v>3.2297395388556791</v>
      </c>
      <c r="BL527" s="253" cm="1">
        <f t="array" ref="BL527">$BC527 * IF($AD527&lt;=2,
SUMPRODUCT(INDEX($AL$72:$AN$76,,$AE527), INDEX($AO$72:$AU$76,,$AD527), 1 / ($AV$72:$AV$76*BK527 + (1-$AV$72:$AV$76)*BG527), N($AK$72:$AK$76&gt;$AI527)),
SUMPRODUCT(INDEX($AL$67:$AN$76,,$AE527), INDEX($AO$67:$AU$76,,$AD527), 1 / ($AW$67:$AW$76*BK527 + (1-$AW$67:$AW$76)*BG527), N($AK$67:$AK$76&gt;$AI527))
) / 1000</f>
        <v>0</v>
      </c>
      <c r="BM527" s="250">
        <f t="shared" si="558"/>
        <v>25</v>
      </c>
      <c r="BN527" s="237">
        <f t="shared" si="573"/>
        <v>39.516666666666666</v>
      </c>
      <c r="BO527" s="253">
        <f t="shared" si="574"/>
        <v>3.877011788826243</v>
      </c>
      <c r="BP527" s="253" cm="1">
        <f t="array" ref="BP527">$BC527 * IF($AD527&lt;=2,
SUMPRODUCT(INDEX($AL$67:$AN$71,,$AE527), INDEX($AO$67:$AU$71,,$AD527), 1 / ($AV$67:$AV$71*BO527 + (1-$AV$67:$AV$71)*BK527), N($AK$67:$AK$71&gt;$AI527)),
SUMPRODUCT(INDEX($AL$57:$AN$66,,$AE527), INDEX($AO$57:$AU$66,,$AD527), 1 / ($AW$57:$AW$66*BO527 + (1-$AW$57:$AW$66)*BK527), N($AK$57:$AK$66&gt;$AI527))
) / 1000</f>
        <v>0</v>
      </c>
      <c r="BQ527" s="250">
        <f t="shared" si="559"/>
        <v>20</v>
      </c>
      <c r="BR527" s="237">
        <f t="shared" si="575"/>
        <v>33</v>
      </c>
      <c r="BS527" s="253">
        <f t="shared" si="576"/>
        <v>4.8487499999999999</v>
      </c>
      <c r="BT527" s="253" cm="1">
        <f t="array" ref="BT527">$BC527 * IF($AD527&lt;=2,
SUMPRODUCT(INDEX($AL$62:$AN$66,,$AE527), INDEX($AO$62:$AU$66,,$AD527), 1 / ($AV$62:$AV$66*BS527 + (1-$AV$62:$AV$66)*BO527), N($AK$62:$AK$66&gt;$AI527)),
SUMPRODUCT(INDEX($AL$47:$AN$56,,$AE527), INDEX($AO$47:$AU$56,,$AD527), 1 / ($AW$47:$AW$56*BS527 + (1-$AW$47:$AW$56)*BO527), N($AK$47:$AK$56&gt;$AI527))
) / 1000</f>
        <v>0</v>
      </c>
      <c r="BU527" s="253" cm="1">
        <f t="array" ref="BU527">$BC527 * IF($AD527&lt;=2,
SUMPRODUCT(INDEX($AL$23:$AN$61,,$AE527), INDEX($AO$23:$AU$61,,$AD527), 1 / ($AV$23:$AV$61*BS527), N($AK$23:$AK$61&gt;$AI527)),
SUMPRODUCT(INDEX($AL$23:$AN$46,,$AE527), INDEX($AO$23:$AU$46,,$AD527), 1 / ($AW$23:$AW$46*BS527), N($AK$23:$AK$46&gt;$AI527))
) / 1000</f>
        <v>0</v>
      </c>
      <c r="BV527" s="237">
        <f t="shared" si="577"/>
        <v>0</v>
      </c>
      <c r="BW527" s="210"/>
      <c r="BX527" s="237">
        <f t="shared" si="578"/>
        <v>0</v>
      </c>
      <c r="BY527" s="236">
        <v>35</v>
      </c>
      <c r="BZ527" s="237">
        <f t="shared" si="579"/>
        <v>48</v>
      </c>
      <c r="CA527" s="253">
        <f t="shared" si="580"/>
        <v>3.0748170731707316</v>
      </c>
      <c r="CB527" s="253" cm="1">
        <f t="array" ref="CB527">$BC527 * SUMPRODUCT(INDEX($AL$77:$AN$82,,$AE527),INDEX($AO$77:$AU$82,,$AD527), N($AK$77:$AK$82&gt;$AI527)) / CA527 / 1000</f>
        <v>0</v>
      </c>
      <c r="CC527" s="250">
        <f t="shared" si="560"/>
        <v>30</v>
      </c>
      <c r="CD527" s="237">
        <f t="shared" si="581"/>
        <v>43</v>
      </c>
      <c r="CE527" s="253">
        <f t="shared" si="582"/>
        <v>3.5018750000000001</v>
      </c>
      <c r="CF527" s="253" cm="1">
        <f t="array" ref="CF527">$BC527 * IF($AD527&lt;=2,
SUMPRODUCT(INDEX($AL$72:$AN$76,,$AE527), INDEX($AO$72:$AU$76,,$AD527), 1 / ($AV$72:$AV$76*CE527 + (1-$AV$72:$AV$76)*CA527), N($AK$72:$AK$76&gt;$AI527)),
SUMPRODUCT(INDEX($AL$67:$AN$76,,$AE527), INDEX($AO$67:$AU$76,,$AD527), 1 / ($AW$67:$AW$76*CE527 + (1-$AW$67:$AW$76)*CA527), N($AK$67:$AK$76&gt;$AI527))
) / 1000</f>
        <v>0</v>
      </c>
      <c r="CG527" s="250">
        <f t="shared" si="561"/>
        <v>25</v>
      </c>
      <c r="CH527" s="237">
        <f t="shared" si="583"/>
        <v>38</v>
      </c>
      <c r="CI527" s="253">
        <f t="shared" si="584"/>
        <v>4.0666935483870965</v>
      </c>
      <c r="CJ527" s="253" cm="1">
        <f t="array" ref="CJ527">$BC527 * IF($AD527&lt;=2,
SUMPRODUCT(INDEX($AL$67:$AN$71,,$AE527), INDEX($AO$67:$AU$71,,$AD527), 1 / ($AV$67:$AV$71*CI527 + (1-$AV$67:$AV$71)*CE527), N($AK$67:$AK$71&gt;$AI527)),
SUMPRODUCT(INDEX($AL$57:$AN$66,,$AE527), INDEX($AO$57:$AU$66,,$AD527), 1 / ($AW$57:$AW$66*CI527 + (1-$AW$57:$AW$66)*CE527), N($AK$57:$AK$66&gt;$AI527))
) / 1000</f>
        <v>0</v>
      </c>
      <c r="CK527" s="250">
        <f t="shared" si="562"/>
        <v>20</v>
      </c>
      <c r="CL527" s="237">
        <f t="shared" si="585"/>
        <v>33</v>
      </c>
      <c r="CM527" s="253">
        <f t="shared" si="586"/>
        <v>4.8487499999999999</v>
      </c>
      <c r="CN527" s="253" cm="1">
        <f t="array" ref="CN527">$BC527 * IF($AD527&lt;=2,
SUMPRODUCT(INDEX($AL$62:$AN$66,,$AE527), INDEX($AO$62:$AU$66,,$AD527), 1 / ($AV$62:$AV$66*CM527 + (1-$AV$62:$AV$66)*CI527), N($AK$62:$AK$66&gt;$AI527)),
SUMPRODUCT(INDEX($AL$47:$AN$56,,$AE527), INDEX($AO$47:$AU$56,,$AD527), 1 / ($AW$47:$AW$56*CM527 + (1-$AW$47:$AW$56)*CI527), N($AK$47:$AK$56&gt;$AI527))
) / 1000</f>
        <v>0</v>
      </c>
      <c r="CO527" s="253" cm="1">
        <f t="array" ref="CO527">$BC527 * IF($AD527&lt;=2,
SUMPRODUCT(INDEX($AL$23:$AN$61,,$AE527), INDEX($AO$23:$AU$61,,$AD527), 1 / ($AV$23:$AV$61*CM527), N($AK$23:$AK$61&gt;$AI527)),
SUMPRODUCT(INDEX($AL$23:$AN$46,,$AE527), INDEX($AO$23:$AU$46,,$AD527), 1 / ($AW$23:$AW$46*CM527), N($AK$23:$AK$46&gt;$AI527))
) / 1000</f>
        <v>0</v>
      </c>
      <c r="CP527" s="237">
        <f t="shared" si="587"/>
        <v>0</v>
      </c>
      <c r="CQ527" s="210"/>
    </row>
    <row r="528" spans="1:95" s="76" customFormat="1" ht="14.25" customHeight="1" x14ac:dyDescent="0.2">
      <c r="A528" s="238" t="b">
        <f t="shared" si="554"/>
        <v>0</v>
      </c>
      <c r="B528" s="239">
        <v>506</v>
      </c>
      <c r="C528" s="258"/>
      <c r="D528" s="258"/>
      <c r="E528" s="240"/>
      <c r="F528" s="241" t="str">
        <f>IF(ISBLANK(E528), "", VLOOKUP(E528, Z!$A$2:$C$4127, 3, FALSE))</f>
        <v/>
      </c>
      <c r="G528" s="242"/>
      <c r="H528" s="242"/>
      <c r="I528" s="243"/>
      <c r="J528" s="244"/>
      <c r="K528" s="259"/>
      <c r="L528" s="260"/>
      <c r="M528" s="247" t="str" cm="1">
        <f t="array" ref="M528">IF($K528&gt;0, INDEX(Clean,1+AG528,$C$1), "")</f>
        <v/>
      </c>
      <c r="N528" s="245"/>
      <c r="O528" s="245"/>
      <c r="P528" s="246"/>
      <c r="Q528" s="248">
        <f t="shared" si="564"/>
        <v>0</v>
      </c>
      <c r="R528" s="247" t="str" cm="1">
        <f t="array" ref="R528">IF($K528&gt;0, INDEX(Clean,1+AH528,$C$1), "")</f>
        <v/>
      </c>
      <c r="S528" s="245"/>
      <c r="T528" s="245"/>
      <c r="U528" s="246"/>
      <c r="V528" s="248">
        <f t="shared" si="565"/>
        <v>0</v>
      </c>
      <c r="W528" s="261"/>
      <c r="X528" s="258"/>
      <c r="Y528" s="240"/>
      <c r="Z528" s="241" t="str">
        <f>IF(ISBLANK(Y528), "", VLOOKUP(Y528, Z!$A$2:$C$4127, 3, FALSE))</f>
        <v/>
      </c>
      <c r="AA528" s="262"/>
      <c r="AB528" s="249">
        <f t="shared" si="563"/>
        <v>0</v>
      </c>
      <c r="AC528" s="210"/>
      <c r="AD528" s="236">
        <f t="shared" si="588"/>
        <v>1</v>
      </c>
      <c r="AE528" s="236">
        <f t="shared" si="589"/>
        <v>1</v>
      </c>
      <c r="AF528" s="236">
        <f t="shared" si="590"/>
        <v>0</v>
      </c>
      <c r="AG528" s="236">
        <v>1</v>
      </c>
      <c r="AH528" s="236">
        <v>0</v>
      </c>
      <c r="AI528" s="236">
        <f t="shared" si="566"/>
        <v>-100</v>
      </c>
      <c r="AJ528" s="210"/>
      <c r="AK528" s="254"/>
      <c r="AL528" s="254"/>
      <c r="AM528" s="255"/>
      <c r="AN528" s="255"/>
      <c r="AO528" s="255"/>
      <c r="AP528" s="255"/>
      <c r="AQ528" s="255"/>
      <c r="AR528" s="255"/>
      <c r="AS528" s="255"/>
      <c r="AT528" s="255"/>
      <c r="AU528" s="255"/>
      <c r="AV528" s="255"/>
      <c r="AW528" s="255"/>
      <c r="AX528" s="210"/>
      <c r="AY528" s="236" cm="1">
        <f t="array" ref="AY528">INDEX(Use, $AD528, 4)</f>
        <v>7</v>
      </c>
      <c r="AZ528" s="236">
        <f t="shared" si="567"/>
        <v>32</v>
      </c>
      <c r="BA528" s="236">
        <f t="shared" si="555"/>
        <v>13</v>
      </c>
      <c r="BB528" s="236">
        <f t="shared" si="556"/>
        <v>0</v>
      </c>
      <c r="BC528" s="252" cm="1">
        <f t="array" ref="BC528">K528/IF($L528&gt;0, INDEX($AO$23:$AU$77, $L528+20, $AD528), 1)</f>
        <v>0</v>
      </c>
      <c r="BD528" s="237">
        <f t="shared" si="568"/>
        <v>0</v>
      </c>
      <c r="BE528" s="236">
        <v>35</v>
      </c>
      <c r="BF528" s="237">
        <f t="shared" si="569"/>
        <v>52.55</v>
      </c>
      <c r="BG528" s="253">
        <f t="shared" si="570"/>
        <v>2.7676728869374316</v>
      </c>
      <c r="BH528" s="253" cm="1">
        <f t="array" ref="BH528">$BC528 * SUMPRODUCT(INDEX($AL$77:$AN$82,,$AE528),INDEX($AO$77:$AU$82,,$AD528), N($AK$77:$AK$82&gt;$AI528)) / BG528 / 1000</f>
        <v>0</v>
      </c>
      <c r="BI528" s="250">
        <f t="shared" si="557"/>
        <v>30</v>
      </c>
      <c r="BJ528" s="237">
        <f t="shared" si="571"/>
        <v>46.033333333333331</v>
      </c>
      <c r="BK528" s="253">
        <f t="shared" si="572"/>
        <v>3.2297395388556791</v>
      </c>
      <c r="BL528" s="253" cm="1">
        <f t="array" ref="BL528">$BC528 * IF($AD528&lt;=2,
SUMPRODUCT(INDEX($AL$72:$AN$76,,$AE528), INDEX($AO$72:$AU$76,,$AD528), 1 / ($AV$72:$AV$76*BK528 + (1-$AV$72:$AV$76)*BG528), N($AK$72:$AK$76&gt;$AI528)),
SUMPRODUCT(INDEX($AL$67:$AN$76,,$AE528), INDEX($AO$67:$AU$76,,$AD528), 1 / ($AW$67:$AW$76*BK528 + (1-$AW$67:$AW$76)*BG528), N($AK$67:$AK$76&gt;$AI528))
) / 1000</f>
        <v>0</v>
      </c>
      <c r="BM528" s="250">
        <f t="shared" si="558"/>
        <v>25</v>
      </c>
      <c r="BN528" s="237">
        <f t="shared" si="573"/>
        <v>39.516666666666666</v>
      </c>
      <c r="BO528" s="253">
        <f t="shared" si="574"/>
        <v>3.877011788826243</v>
      </c>
      <c r="BP528" s="253" cm="1">
        <f t="array" ref="BP528">$BC528 * IF($AD528&lt;=2,
SUMPRODUCT(INDEX($AL$67:$AN$71,,$AE528), INDEX($AO$67:$AU$71,,$AD528), 1 / ($AV$67:$AV$71*BO528 + (1-$AV$67:$AV$71)*BK528), N($AK$67:$AK$71&gt;$AI528)),
SUMPRODUCT(INDEX($AL$57:$AN$66,,$AE528), INDEX($AO$57:$AU$66,,$AD528), 1 / ($AW$57:$AW$66*BO528 + (1-$AW$57:$AW$66)*BK528), N($AK$57:$AK$66&gt;$AI528))
) / 1000</f>
        <v>0</v>
      </c>
      <c r="BQ528" s="250">
        <f t="shared" si="559"/>
        <v>20</v>
      </c>
      <c r="BR528" s="237">
        <f t="shared" si="575"/>
        <v>33</v>
      </c>
      <c r="BS528" s="253">
        <f t="shared" si="576"/>
        <v>4.8487499999999999</v>
      </c>
      <c r="BT528" s="253" cm="1">
        <f t="array" ref="BT528">$BC528 * IF($AD528&lt;=2,
SUMPRODUCT(INDEX($AL$62:$AN$66,,$AE528), INDEX($AO$62:$AU$66,,$AD528), 1 / ($AV$62:$AV$66*BS528 + (1-$AV$62:$AV$66)*BO528), N($AK$62:$AK$66&gt;$AI528)),
SUMPRODUCT(INDEX($AL$47:$AN$56,,$AE528), INDEX($AO$47:$AU$56,,$AD528), 1 / ($AW$47:$AW$56*BS528 + (1-$AW$47:$AW$56)*BO528), N($AK$47:$AK$56&gt;$AI528))
) / 1000</f>
        <v>0</v>
      </c>
      <c r="BU528" s="253" cm="1">
        <f t="array" ref="BU528">$BC528 * IF($AD528&lt;=2,
SUMPRODUCT(INDEX($AL$23:$AN$61,,$AE528), INDEX($AO$23:$AU$61,,$AD528), 1 / ($AV$23:$AV$61*BS528), N($AK$23:$AK$61&gt;$AI528)),
SUMPRODUCT(INDEX($AL$23:$AN$46,,$AE528), INDEX($AO$23:$AU$46,,$AD528), 1 / ($AW$23:$AW$46*BS528), N($AK$23:$AK$46&gt;$AI528))
) / 1000</f>
        <v>0</v>
      </c>
      <c r="BV528" s="237">
        <f t="shared" si="577"/>
        <v>0</v>
      </c>
      <c r="BW528" s="210"/>
      <c r="BX528" s="237">
        <f t="shared" si="578"/>
        <v>0</v>
      </c>
      <c r="BY528" s="236">
        <v>35</v>
      </c>
      <c r="BZ528" s="237">
        <f t="shared" si="579"/>
        <v>48</v>
      </c>
      <c r="CA528" s="253">
        <f t="shared" si="580"/>
        <v>3.0748170731707316</v>
      </c>
      <c r="CB528" s="253" cm="1">
        <f t="array" ref="CB528">$BC528 * SUMPRODUCT(INDEX($AL$77:$AN$82,,$AE528),INDEX($AO$77:$AU$82,,$AD528), N($AK$77:$AK$82&gt;$AI528)) / CA528 / 1000</f>
        <v>0</v>
      </c>
      <c r="CC528" s="250">
        <f t="shared" si="560"/>
        <v>30</v>
      </c>
      <c r="CD528" s="237">
        <f t="shared" si="581"/>
        <v>43</v>
      </c>
      <c r="CE528" s="253">
        <f t="shared" si="582"/>
        <v>3.5018750000000001</v>
      </c>
      <c r="CF528" s="253" cm="1">
        <f t="array" ref="CF528">$BC528 * IF($AD528&lt;=2,
SUMPRODUCT(INDEX($AL$72:$AN$76,,$AE528), INDEX($AO$72:$AU$76,,$AD528), 1 / ($AV$72:$AV$76*CE528 + (1-$AV$72:$AV$76)*CA528), N($AK$72:$AK$76&gt;$AI528)),
SUMPRODUCT(INDEX($AL$67:$AN$76,,$AE528), INDEX($AO$67:$AU$76,,$AD528), 1 / ($AW$67:$AW$76*CE528 + (1-$AW$67:$AW$76)*CA528), N($AK$67:$AK$76&gt;$AI528))
) / 1000</f>
        <v>0</v>
      </c>
      <c r="CG528" s="250">
        <f t="shared" si="561"/>
        <v>25</v>
      </c>
      <c r="CH528" s="237">
        <f t="shared" si="583"/>
        <v>38</v>
      </c>
      <c r="CI528" s="253">
        <f t="shared" si="584"/>
        <v>4.0666935483870965</v>
      </c>
      <c r="CJ528" s="253" cm="1">
        <f t="array" ref="CJ528">$BC528 * IF($AD528&lt;=2,
SUMPRODUCT(INDEX($AL$67:$AN$71,,$AE528), INDEX($AO$67:$AU$71,,$AD528), 1 / ($AV$67:$AV$71*CI528 + (1-$AV$67:$AV$71)*CE528), N($AK$67:$AK$71&gt;$AI528)),
SUMPRODUCT(INDEX($AL$57:$AN$66,,$AE528), INDEX($AO$57:$AU$66,,$AD528), 1 / ($AW$57:$AW$66*CI528 + (1-$AW$57:$AW$66)*CE528), N($AK$57:$AK$66&gt;$AI528))
) / 1000</f>
        <v>0</v>
      </c>
      <c r="CK528" s="250">
        <f t="shared" si="562"/>
        <v>20</v>
      </c>
      <c r="CL528" s="237">
        <f t="shared" si="585"/>
        <v>33</v>
      </c>
      <c r="CM528" s="253">
        <f t="shared" si="586"/>
        <v>4.8487499999999999</v>
      </c>
      <c r="CN528" s="253" cm="1">
        <f t="array" ref="CN528">$BC528 * IF($AD528&lt;=2,
SUMPRODUCT(INDEX($AL$62:$AN$66,,$AE528), INDEX($AO$62:$AU$66,,$AD528), 1 / ($AV$62:$AV$66*CM528 + (1-$AV$62:$AV$66)*CI528), N($AK$62:$AK$66&gt;$AI528)),
SUMPRODUCT(INDEX($AL$47:$AN$56,,$AE528), INDEX($AO$47:$AU$56,,$AD528), 1 / ($AW$47:$AW$56*CM528 + (1-$AW$47:$AW$56)*CI528), N($AK$47:$AK$56&gt;$AI528))
) / 1000</f>
        <v>0</v>
      </c>
      <c r="CO528" s="253" cm="1">
        <f t="array" ref="CO528">$BC528 * IF($AD528&lt;=2,
SUMPRODUCT(INDEX($AL$23:$AN$61,,$AE528), INDEX($AO$23:$AU$61,,$AD528), 1 / ($AV$23:$AV$61*CM528), N($AK$23:$AK$61&gt;$AI528)),
SUMPRODUCT(INDEX($AL$23:$AN$46,,$AE528), INDEX($AO$23:$AU$46,,$AD528), 1 / ($AW$23:$AW$46*CM528), N($AK$23:$AK$46&gt;$AI528))
) / 1000</f>
        <v>0</v>
      </c>
      <c r="CP528" s="237">
        <f t="shared" si="587"/>
        <v>0</v>
      </c>
      <c r="CQ528" s="210"/>
    </row>
    <row r="529" spans="1:95" s="76" customFormat="1" ht="14.25" customHeight="1" x14ac:dyDescent="0.2">
      <c r="A529" s="238" t="b">
        <f t="shared" si="554"/>
        <v>0</v>
      </c>
      <c r="B529" s="239">
        <v>507</v>
      </c>
      <c r="C529" s="258"/>
      <c r="D529" s="258"/>
      <c r="E529" s="240"/>
      <c r="F529" s="241" t="str">
        <f>IF(ISBLANK(E529), "", VLOOKUP(E529, Z!$A$2:$C$4127, 3, FALSE))</f>
        <v/>
      </c>
      <c r="G529" s="242"/>
      <c r="H529" s="242"/>
      <c r="I529" s="243"/>
      <c r="J529" s="244"/>
      <c r="K529" s="259"/>
      <c r="L529" s="260"/>
      <c r="M529" s="247" t="str" cm="1">
        <f t="array" ref="M529">IF($K529&gt;0, INDEX(Clean,1+AG529,$C$1), "")</f>
        <v/>
      </c>
      <c r="N529" s="245"/>
      <c r="O529" s="245"/>
      <c r="P529" s="246"/>
      <c r="Q529" s="248">
        <f t="shared" si="564"/>
        <v>0</v>
      </c>
      <c r="R529" s="247" t="str" cm="1">
        <f t="array" ref="R529">IF($K529&gt;0, INDEX(Clean,1+AH529,$C$1), "")</f>
        <v/>
      </c>
      <c r="S529" s="245"/>
      <c r="T529" s="245"/>
      <c r="U529" s="246"/>
      <c r="V529" s="248">
        <f t="shared" si="565"/>
        <v>0</v>
      </c>
      <c r="W529" s="261"/>
      <c r="X529" s="258"/>
      <c r="Y529" s="240"/>
      <c r="Z529" s="241" t="str">
        <f>IF(ISBLANK(Y529), "", VLOOKUP(Y529, Z!$A$2:$C$4127, 3, FALSE))</f>
        <v/>
      </c>
      <c r="AA529" s="262"/>
      <c r="AB529" s="249">
        <f t="shared" si="563"/>
        <v>0</v>
      </c>
      <c r="AC529" s="210"/>
      <c r="AD529" s="236">
        <f t="shared" si="588"/>
        <v>1</v>
      </c>
      <c r="AE529" s="236">
        <f t="shared" si="589"/>
        <v>1</v>
      </c>
      <c r="AF529" s="236">
        <f t="shared" si="590"/>
        <v>0</v>
      </c>
      <c r="AG529" s="236">
        <v>1</v>
      </c>
      <c r="AH529" s="236">
        <v>0</v>
      </c>
      <c r="AI529" s="236">
        <f t="shared" si="566"/>
        <v>-100</v>
      </c>
      <c r="AJ529" s="210"/>
      <c r="AK529" s="254"/>
      <c r="AL529" s="254"/>
      <c r="AM529" s="255"/>
      <c r="AN529" s="255"/>
      <c r="AO529" s="255"/>
      <c r="AP529" s="255"/>
      <c r="AQ529" s="255"/>
      <c r="AR529" s="255"/>
      <c r="AS529" s="255"/>
      <c r="AT529" s="255"/>
      <c r="AU529" s="255"/>
      <c r="AV529" s="255"/>
      <c r="AW529" s="255"/>
      <c r="AX529" s="210"/>
      <c r="AY529" s="236" cm="1">
        <f t="array" ref="AY529">INDEX(Use, $AD529, 4)</f>
        <v>7</v>
      </c>
      <c r="AZ529" s="236">
        <f t="shared" si="567"/>
        <v>32</v>
      </c>
      <c r="BA529" s="236">
        <f t="shared" si="555"/>
        <v>13</v>
      </c>
      <c r="BB529" s="236">
        <f t="shared" si="556"/>
        <v>0</v>
      </c>
      <c r="BC529" s="252" cm="1">
        <f t="array" ref="BC529">K529/IF($L529&gt;0, INDEX($AO$23:$AU$77, $L529+20, $AD529), 1)</f>
        <v>0</v>
      </c>
      <c r="BD529" s="237">
        <f t="shared" si="568"/>
        <v>0</v>
      </c>
      <c r="BE529" s="236">
        <v>35</v>
      </c>
      <c r="BF529" s="237">
        <f t="shared" si="569"/>
        <v>52.55</v>
      </c>
      <c r="BG529" s="253">
        <f t="shared" si="570"/>
        <v>2.7676728869374316</v>
      </c>
      <c r="BH529" s="253" cm="1">
        <f t="array" ref="BH529">$BC529 * SUMPRODUCT(INDEX($AL$77:$AN$82,,$AE529),INDEX($AO$77:$AU$82,,$AD529), N($AK$77:$AK$82&gt;$AI529)) / BG529 / 1000</f>
        <v>0</v>
      </c>
      <c r="BI529" s="250">
        <f t="shared" si="557"/>
        <v>30</v>
      </c>
      <c r="BJ529" s="237">
        <f t="shared" si="571"/>
        <v>46.033333333333331</v>
      </c>
      <c r="BK529" s="253">
        <f t="shared" si="572"/>
        <v>3.2297395388556791</v>
      </c>
      <c r="BL529" s="253" cm="1">
        <f t="array" ref="BL529">$BC529 * IF($AD529&lt;=2,
SUMPRODUCT(INDEX($AL$72:$AN$76,,$AE529), INDEX($AO$72:$AU$76,,$AD529), 1 / ($AV$72:$AV$76*BK529 + (1-$AV$72:$AV$76)*BG529), N($AK$72:$AK$76&gt;$AI529)),
SUMPRODUCT(INDEX($AL$67:$AN$76,,$AE529), INDEX($AO$67:$AU$76,,$AD529), 1 / ($AW$67:$AW$76*BK529 + (1-$AW$67:$AW$76)*BG529), N($AK$67:$AK$76&gt;$AI529))
) / 1000</f>
        <v>0</v>
      </c>
      <c r="BM529" s="250">
        <f t="shared" si="558"/>
        <v>25</v>
      </c>
      <c r="BN529" s="237">
        <f t="shared" si="573"/>
        <v>39.516666666666666</v>
      </c>
      <c r="BO529" s="253">
        <f t="shared" si="574"/>
        <v>3.877011788826243</v>
      </c>
      <c r="BP529" s="253" cm="1">
        <f t="array" ref="BP529">$BC529 * IF($AD529&lt;=2,
SUMPRODUCT(INDEX($AL$67:$AN$71,,$AE529), INDEX($AO$67:$AU$71,,$AD529), 1 / ($AV$67:$AV$71*BO529 + (1-$AV$67:$AV$71)*BK529), N($AK$67:$AK$71&gt;$AI529)),
SUMPRODUCT(INDEX($AL$57:$AN$66,,$AE529), INDEX($AO$57:$AU$66,,$AD529), 1 / ($AW$57:$AW$66*BO529 + (1-$AW$57:$AW$66)*BK529), N($AK$57:$AK$66&gt;$AI529))
) / 1000</f>
        <v>0</v>
      </c>
      <c r="BQ529" s="250">
        <f t="shared" si="559"/>
        <v>20</v>
      </c>
      <c r="BR529" s="237">
        <f t="shared" si="575"/>
        <v>33</v>
      </c>
      <c r="BS529" s="253">
        <f t="shared" si="576"/>
        <v>4.8487499999999999</v>
      </c>
      <c r="BT529" s="253" cm="1">
        <f t="array" ref="BT529">$BC529 * IF($AD529&lt;=2,
SUMPRODUCT(INDEX($AL$62:$AN$66,,$AE529), INDEX($AO$62:$AU$66,,$AD529), 1 / ($AV$62:$AV$66*BS529 + (1-$AV$62:$AV$66)*BO529), N($AK$62:$AK$66&gt;$AI529)),
SUMPRODUCT(INDEX($AL$47:$AN$56,,$AE529), INDEX($AO$47:$AU$56,,$AD529), 1 / ($AW$47:$AW$56*BS529 + (1-$AW$47:$AW$56)*BO529), N($AK$47:$AK$56&gt;$AI529))
) / 1000</f>
        <v>0</v>
      </c>
      <c r="BU529" s="253" cm="1">
        <f t="array" ref="BU529">$BC529 * IF($AD529&lt;=2,
SUMPRODUCT(INDEX($AL$23:$AN$61,,$AE529), INDEX($AO$23:$AU$61,,$AD529), 1 / ($AV$23:$AV$61*BS529), N($AK$23:$AK$61&gt;$AI529)),
SUMPRODUCT(INDEX($AL$23:$AN$46,,$AE529), INDEX($AO$23:$AU$46,,$AD529), 1 / ($AW$23:$AW$46*BS529), N($AK$23:$AK$46&gt;$AI529))
) / 1000</f>
        <v>0</v>
      </c>
      <c r="BV529" s="237">
        <f t="shared" si="577"/>
        <v>0</v>
      </c>
      <c r="BW529" s="210"/>
      <c r="BX529" s="237">
        <f t="shared" si="578"/>
        <v>0</v>
      </c>
      <c r="BY529" s="236">
        <v>35</v>
      </c>
      <c r="BZ529" s="237">
        <f t="shared" si="579"/>
        <v>48</v>
      </c>
      <c r="CA529" s="253">
        <f t="shared" si="580"/>
        <v>3.0748170731707316</v>
      </c>
      <c r="CB529" s="253" cm="1">
        <f t="array" ref="CB529">$BC529 * SUMPRODUCT(INDEX($AL$77:$AN$82,,$AE529),INDEX($AO$77:$AU$82,,$AD529), N($AK$77:$AK$82&gt;$AI529)) / CA529 / 1000</f>
        <v>0</v>
      </c>
      <c r="CC529" s="250">
        <f t="shared" si="560"/>
        <v>30</v>
      </c>
      <c r="CD529" s="237">
        <f t="shared" si="581"/>
        <v>43</v>
      </c>
      <c r="CE529" s="253">
        <f t="shared" si="582"/>
        <v>3.5018750000000001</v>
      </c>
      <c r="CF529" s="253" cm="1">
        <f t="array" ref="CF529">$BC529 * IF($AD529&lt;=2,
SUMPRODUCT(INDEX($AL$72:$AN$76,,$AE529), INDEX($AO$72:$AU$76,,$AD529), 1 / ($AV$72:$AV$76*CE529 + (1-$AV$72:$AV$76)*CA529), N($AK$72:$AK$76&gt;$AI529)),
SUMPRODUCT(INDEX($AL$67:$AN$76,,$AE529), INDEX($AO$67:$AU$76,,$AD529), 1 / ($AW$67:$AW$76*CE529 + (1-$AW$67:$AW$76)*CA529), N($AK$67:$AK$76&gt;$AI529))
) / 1000</f>
        <v>0</v>
      </c>
      <c r="CG529" s="250">
        <f t="shared" si="561"/>
        <v>25</v>
      </c>
      <c r="CH529" s="237">
        <f t="shared" si="583"/>
        <v>38</v>
      </c>
      <c r="CI529" s="253">
        <f t="shared" si="584"/>
        <v>4.0666935483870965</v>
      </c>
      <c r="CJ529" s="253" cm="1">
        <f t="array" ref="CJ529">$BC529 * IF($AD529&lt;=2,
SUMPRODUCT(INDEX($AL$67:$AN$71,,$AE529), INDEX($AO$67:$AU$71,,$AD529), 1 / ($AV$67:$AV$71*CI529 + (1-$AV$67:$AV$71)*CE529), N($AK$67:$AK$71&gt;$AI529)),
SUMPRODUCT(INDEX($AL$57:$AN$66,,$AE529), INDEX($AO$57:$AU$66,,$AD529), 1 / ($AW$57:$AW$66*CI529 + (1-$AW$57:$AW$66)*CE529), N($AK$57:$AK$66&gt;$AI529))
) / 1000</f>
        <v>0</v>
      </c>
      <c r="CK529" s="250">
        <f t="shared" si="562"/>
        <v>20</v>
      </c>
      <c r="CL529" s="237">
        <f t="shared" si="585"/>
        <v>33</v>
      </c>
      <c r="CM529" s="253">
        <f t="shared" si="586"/>
        <v>4.8487499999999999</v>
      </c>
      <c r="CN529" s="253" cm="1">
        <f t="array" ref="CN529">$BC529 * IF($AD529&lt;=2,
SUMPRODUCT(INDEX($AL$62:$AN$66,,$AE529), INDEX($AO$62:$AU$66,,$AD529), 1 / ($AV$62:$AV$66*CM529 + (1-$AV$62:$AV$66)*CI529), N($AK$62:$AK$66&gt;$AI529)),
SUMPRODUCT(INDEX($AL$47:$AN$56,,$AE529), INDEX($AO$47:$AU$56,,$AD529), 1 / ($AW$47:$AW$56*CM529 + (1-$AW$47:$AW$56)*CI529), N($AK$47:$AK$56&gt;$AI529))
) / 1000</f>
        <v>0</v>
      </c>
      <c r="CO529" s="253" cm="1">
        <f t="array" ref="CO529">$BC529 * IF($AD529&lt;=2,
SUMPRODUCT(INDEX($AL$23:$AN$61,,$AE529), INDEX($AO$23:$AU$61,,$AD529), 1 / ($AV$23:$AV$61*CM529), N($AK$23:$AK$61&gt;$AI529)),
SUMPRODUCT(INDEX($AL$23:$AN$46,,$AE529), INDEX($AO$23:$AU$46,,$AD529), 1 / ($AW$23:$AW$46*CM529), N($AK$23:$AK$46&gt;$AI529))
) / 1000</f>
        <v>0</v>
      </c>
      <c r="CP529" s="237">
        <f t="shared" si="587"/>
        <v>0</v>
      </c>
      <c r="CQ529" s="210"/>
    </row>
    <row r="530" spans="1:95" s="76" customFormat="1" ht="14.25" customHeight="1" x14ac:dyDescent="0.2">
      <c r="A530" s="238" t="b">
        <f t="shared" si="554"/>
        <v>0</v>
      </c>
      <c r="B530" s="239">
        <v>508</v>
      </c>
      <c r="C530" s="258"/>
      <c r="D530" s="258"/>
      <c r="E530" s="240"/>
      <c r="F530" s="241" t="str">
        <f>IF(ISBLANK(E530), "", VLOOKUP(E530, Z!$A$2:$C$4127, 3, FALSE))</f>
        <v/>
      </c>
      <c r="G530" s="242"/>
      <c r="H530" s="242"/>
      <c r="I530" s="243"/>
      <c r="J530" s="244"/>
      <c r="K530" s="259"/>
      <c r="L530" s="260"/>
      <c r="M530" s="247" t="str" cm="1">
        <f t="array" ref="M530">IF($K530&gt;0, INDEX(Clean,1+AG530,$C$1), "")</f>
        <v/>
      </c>
      <c r="N530" s="245"/>
      <c r="O530" s="245"/>
      <c r="P530" s="246"/>
      <c r="Q530" s="248">
        <f t="shared" si="564"/>
        <v>0</v>
      </c>
      <c r="R530" s="247" t="str" cm="1">
        <f t="array" ref="R530">IF($K530&gt;0, INDEX(Clean,1+AH530,$C$1), "")</f>
        <v/>
      </c>
      <c r="S530" s="245"/>
      <c r="T530" s="245"/>
      <c r="U530" s="246"/>
      <c r="V530" s="248">
        <f t="shared" si="565"/>
        <v>0</v>
      </c>
      <c r="W530" s="261"/>
      <c r="X530" s="258"/>
      <c r="Y530" s="240"/>
      <c r="Z530" s="241" t="str">
        <f>IF(ISBLANK(Y530), "", VLOOKUP(Y530, Z!$A$2:$C$4127, 3, FALSE))</f>
        <v/>
      </c>
      <c r="AA530" s="262"/>
      <c r="AB530" s="249">
        <f t="shared" si="563"/>
        <v>0</v>
      </c>
      <c r="AC530" s="210"/>
      <c r="AD530" s="236">
        <f t="shared" si="588"/>
        <v>1</v>
      </c>
      <c r="AE530" s="236">
        <f t="shared" si="589"/>
        <v>1</v>
      </c>
      <c r="AF530" s="236">
        <f t="shared" si="590"/>
        <v>0</v>
      </c>
      <c r="AG530" s="236">
        <v>1</v>
      </c>
      <c r="AH530" s="236">
        <v>0</v>
      </c>
      <c r="AI530" s="236">
        <f t="shared" si="566"/>
        <v>-100</v>
      </c>
      <c r="AJ530" s="210"/>
      <c r="AK530" s="254"/>
      <c r="AL530" s="254"/>
      <c r="AM530" s="255"/>
      <c r="AN530" s="255"/>
      <c r="AO530" s="255"/>
      <c r="AP530" s="255"/>
      <c r="AQ530" s="255"/>
      <c r="AR530" s="255"/>
      <c r="AS530" s="255"/>
      <c r="AT530" s="255"/>
      <c r="AU530" s="255"/>
      <c r="AV530" s="255"/>
      <c r="AW530" s="255"/>
      <c r="AX530" s="210"/>
      <c r="AY530" s="236" cm="1">
        <f t="array" ref="AY530">INDEX(Use, $AD530, 4)</f>
        <v>7</v>
      </c>
      <c r="AZ530" s="236">
        <f t="shared" si="567"/>
        <v>32</v>
      </c>
      <c r="BA530" s="236">
        <f t="shared" si="555"/>
        <v>13</v>
      </c>
      <c r="BB530" s="236">
        <f t="shared" si="556"/>
        <v>0</v>
      </c>
      <c r="BC530" s="252" cm="1">
        <f t="array" ref="BC530">K530/IF($L530&gt;0, INDEX($AO$23:$AU$77, $L530+20, $AD530), 1)</f>
        <v>0</v>
      </c>
      <c r="BD530" s="237">
        <f t="shared" si="568"/>
        <v>0</v>
      </c>
      <c r="BE530" s="236">
        <v>35</v>
      </c>
      <c r="BF530" s="237">
        <f t="shared" si="569"/>
        <v>52.55</v>
      </c>
      <c r="BG530" s="253">
        <f t="shared" si="570"/>
        <v>2.7676728869374316</v>
      </c>
      <c r="BH530" s="253" cm="1">
        <f t="array" ref="BH530">$BC530 * SUMPRODUCT(INDEX($AL$77:$AN$82,,$AE530),INDEX($AO$77:$AU$82,,$AD530), N($AK$77:$AK$82&gt;$AI530)) / BG530 / 1000</f>
        <v>0</v>
      </c>
      <c r="BI530" s="250">
        <f t="shared" si="557"/>
        <v>30</v>
      </c>
      <c r="BJ530" s="237">
        <f t="shared" si="571"/>
        <v>46.033333333333331</v>
      </c>
      <c r="BK530" s="253">
        <f t="shared" si="572"/>
        <v>3.2297395388556791</v>
      </c>
      <c r="BL530" s="253" cm="1">
        <f t="array" ref="BL530">$BC530 * IF($AD530&lt;=2,
SUMPRODUCT(INDEX($AL$72:$AN$76,,$AE530), INDEX($AO$72:$AU$76,,$AD530), 1 / ($AV$72:$AV$76*BK530 + (1-$AV$72:$AV$76)*BG530), N($AK$72:$AK$76&gt;$AI530)),
SUMPRODUCT(INDEX($AL$67:$AN$76,,$AE530), INDEX($AO$67:$AU$76,,$AD530), 1 / ($AW$67:$AW$76*BK530 + (1-$AW$67:$AW$76)*BG530), N($AK$67:$AK$76&gt;$AI530))
) / 1000</f>
        <v>0</v>
      </c>
      <c r="BM530" s="250">
        <f t="shared" si="558"/>
        <v>25</v>
      </c>
      <c r="BN530" s="237">
        <f t="shared" si="573"/>
        <v>39.516666666666666</v>
      </c>
      <c r="BO530" s="253">
        <f t="shared" si="574"/>
        <v>3.877011788826243</v>
      </c>
      <c r="BP530" s="253" cm="1">
        <f t="array" ref="BP530">$BC530 * IF($AD530&lt;=2,
SUMPRODUCT(INDEX($AL$67:$AN$71,,$AE530), INDEX($AO$67:$AU$71,,$AD530), 1 / ($AV$67:$AV$71*BO530 + (1-$AV$67:$AV$71)*BK530), N($AK$67:$AK$71&gt;$AI530)),
SUMPRODUCT(INDEX($AL$57:$AN$66,,$AE530), INDEX($AO$57:$AU$66,,$AD530), 1 / ($AW$57:$AW$66*BO530 + (1-$AW$57:$AW$66)*BK530), N($AK$57:$AK$66&gt;$AI530))
) / 1000</f>
        <v>0</v>
      </c>
      <c r="BQ530" s="250">
        <f t="shared" si="559"/>
        <v>20</v>
      </c>
      <c r="BR530" s="237">
        <f t="shared" si="575"/>
        <v>33</v>
      </c>
      <c r="BS530" s="253">
        <f t="shared" si="576"/>
        <v>4.8487499999999999</v>
      </c>
      <c r="BT530" s="253" cm="1">
        <f t="array" ref="BT530">$BC530 * IF($AD530&lt;=2,
SUMPRODUCT(INDEX($AL$62:$AN$66,,$AE530), INDEX($AO$62:$AU$66,,$AD530), 1 / ($AV$62:$AV$66*BS530 + (1-$AV$62:$AV$66)*BO530), N($AK$62:$AK$66&gt;$AI530)),
SUMPRODUCT(INDEX($AL$47:$AN$56,,$AE530), INDEX($AO$47:$AU$56,,$AD530), 1 / ($AW$47:$AW$56*BS530 + (1-$AW$47:$AW$56)*BO530), N($AK$47:$AK$56&gt;$AI530))
) / 1000</f>
        <v>0</v>
      </c>
      <c r="BU530" s="253" cm="1">
        <f t="array" ref="BU530">$BC530 * IF($AD530&lt;=2,
SUMPRODUCT(INDEX($AL$23:$AN$61,,$AE530), INDEX($AO$23:$AU$61,,$AD530), 1 / ($AV$23:$AV$61*BS530), N($AK$23:$AK$61&gt;$AI530)),
SUMPRODUCT(INDEX($AL$23:$AN$46,,$AE530), INDEX($AO$23:$AU$46,,$AD530), 1 / ($AW$23:$AW$46*BS530), N($AK$23:$AK$46&gt;$AI530))
) / 1000</f>
        <v>0</v>
      </c>
      <c r="BV530" s="237">
        <f t="shared" si="577"/>
        <v>0</v>
      </c>
      <c r="BW530" s="210"/>
      <c r="BX530" s="237">
        <f t="shared" si="578"/>
        <v>0</v>
      </c>
      <c r="BY530" s="236">
        <v>35</v>
      </c>
      <c r="BZ530" s="237">
        <f t="shared" si="579"/>
        <v>48</v>
      </c>
      <c r="CA530" s="253">
        <f t="shared" si="580"/>
        <v>3.0748170731707316</v>
      </c>
      <c r="CB530" s="253" cm="1">
        <f t="array" ref="CB530">$BC530 * SUMPRODUCT(INDEX($AL$77:$AN$82,,$AE530),INDEX($AO$77:$AU$82,,$AD530), N($AK$77:$AK$82&gt;$AI530)) / CA530 / 1000</f>
        <v>0</v>
      </c>
      <c r="CC530" s="250">
        <f t="shared" si="560"/>
        <v>30</v>
      </c>
      <c r="CD530" s="237">
        <f t="shared" si="581"/>
        <v>43</v>
      </c>
      <c r="CE530" s="253">
        <f t="shared" si="582"/>
        <v>3.5018750000000001</v>
      </c>
      <c r="CF530" s="253" cm="1">
        <f t="array" ref="CF530">$BC530 * IF($AD530&lt;=2,
SUMPRODUCT(INDEX($AL$72:$AN$76,,$AE530), INDEX($AO$72:$AU$76,,$AD530), 1 / ($AV$72:$AV$76*CE530 + (1-$AV$72:$AV$76)*CA530), N($AK$72:$AK$76&gt;$AI530)),
SUMPRODUCT(INDEX($AL$67:$AN$76,,$AE530), INDEX($AO$67:$AU$76,,$AD530), 1 / ($AW$67:$AW$76*CE530 + (1-$AW$67:$AW$76)*CA530), N($AK$67:$AK$76&gt;$AI530))
) / 1000</f>
        <v>0</v>
      </c>
      <c r="CG530" s="250">
        <f t="shared" si="561"/>
        <v>25</v>
      </c>
      <c r="CH530" s="237">
        <f t="shared" si="583"/>
        <v>38</v>
      </c>
      <c r="CI530" s="253">
        <f t="shared" si="584"/>
        <v>4.0666935483870965</v>
      </c>
      <c r="CJ530" s="253" cm="1">
        <f t="array" ref="CJ530">$BC530 * IF($AD530&lt;=2,
SUMPRODUCT(INDEX($AL$67:$AN$71,,$AE530), INDEX($AO$67:$AU$71,,$AD530), 1 / ($AV$67:$AV$71*CI530 + (1-$AV$67:$AV$71)*CE530), N($AK$67:$AK$71&gt;$AI530)),
SUMPRODUCT(INDEX($AL$57:$AN$66,,$AE530), INDEX($AO$57:$AU$66,,$AD530), 1 / ($AW$57:$AW$66*CI530 + (1-$AW$57:$AW$66)*CE530), N($AK$57:$AK$66&gt;$AI530))
) / 1000</f>
        <v>0</v>
      </c>
      <c r="CK530" s="250">
        <f t="shared" si="562"/>
        <v>20</v>
      </c>
      <c r="CL530" s="237">
        <f t="shared" si="585"/>
        <v>33</v>
      </c>
      <c r="CM530" s="253">
        <f t="shared" si="586"/>
        <v>4.8487499999999999</v>
      </c>
      <c r="CN530" s="253" cm="1">
        <f t="array" ref="CN530">$BC530 * IF($AD530&lt;=2,
SUMPRODUCT(INDEX($AL$62:$AN$66,,$AE530), INDEX($AO$62:$AU$66,,$AD530), 1 / ($AV$62:$AV$66*CM530 + (1-$AV$62:$AV$66)*CI530), N($AK$62:$AK$66&gt;$AI530)),
SUMPRODUCT(INDEX($AL$47:$AN$56,,$AE530), INDEX($AO$47:$AU$56,,$AD530), 1 / ($AW$47:$AW$56*CM530 + (1-$AW$47:$AW$56)*CI530), N($AK$47:$AK$56&gt;$AI530))
) / 1000</f>
        <v>0</v>
      </c>
      <c r="CO530" s="253" cm="1">
        <f t="array" ref="CO530">$BC530 * IF($AD530&lt;=2,
SUMPRODUCT(INDEX($AL$23:$AN$61,,$AE530), INDEX($AO$23:$AU$61,,$AD530), 1 / ($AV$23:$AV$61*CM530), N($AK$23:$AK$61&gt;$AI530)),
SUMPRODUCT(INDEX($AL$23:$AN$46,,$AE530), INDEX($AO$23:$AU$46,,$AD530), 1 / ($AW$23:$AW$46*CM530), N($AK$23:$AK$46&gt;$AI530))
) / 1000</f>
        <v>0</v>
      </c>
      <c r="CP530" s="237">
        <f t="shared" si="587"/>
        <v>0</v>
      </c>
      <c r="CQ530" s="210"/>
    </row>
    <row r="531" spans="1:95" s="76" customFormat="1" ht="14.25" customHeight="1" x14ac:dyDescent="0.2">
      <c r="A531" s="238" t="b">
        <f t="shared" si="554"/>
        <v>0</v>
      </c>
      <c r="B531" s="239">
        <v>509</v>
      </c>
      <c r="C531" s="258"/>
      <c r="D531" s="258"/>
      <c r="E531" s="240"/>
      <c r="F531" s="241" t="str">
        <f>IF(ISBLANK(E531), "", VLOOKUP(E531, Z!$A$2:$C$4127, 3, FALSE))</f>
        <v/>
      </c>
      <c r="G531" s="242"/>
      <c r="H531" s="242"/>
      <c r="I531" s="243"/>
      <c r="J531" s="244"/>
      <c r="K531" s="259"/>
      <c r="L531" s="260"/>
      <c r="M531" s="247" t="str" cm="1">
        <f t="array" ref="M531">IF($K531&gt;0, INDEX(Clean,1+AG531,$C$1), "")</f>
        <v/>
      </c>
      <c r="N531" s="245"/>
      <c r="O531" s="245"/>
      <c r="P531" s="246"/>
      <c r="Q531" s="248">
        <f t="shared" si="564"/>
        <v>0</v>
      </c>
      <c r="R531" s="247" t="str" cm="1">
        <f t="array" ref="R531">IF($K531&gt;0, INDEX(Clean,1+AH531,$C$1), "")</f>
        <v/>
      </c>
      <c r="S531" s="245"/>
      <c r="T531" s="245"/>
      <c r="U531" s="246"/>
      <c r="V531" s="248">
        <f t="shared" si="565"/>
        <v>0</v>
      </c>
      <c r="W531" s="261"/>
      <c r="X531" s="258"/>
      <c r="Y531" s="240"/>
      <c r="Z531" s="241" t="str">
        <f>IF(ISBLANK(Y531), "", VLOOKUP(Y531, Z!$A$2:$C$4127, 3, FALSE))</f>
        <v/>
      </c>
      <c r="AA531" s="262"/>
      <c r="AB531" s="249">
        <f t="shared" si="563"/>
        <v>0</v>
      </c>
      <c r="AC531" s="210"/>
      <c r="AD531" s="236">
        <f t="shared" si="588"/>
        <v>1</v>
      </c>
      <c r="AE531" s="236">
        <f t="shared" si="589"/>
        <v>1</v>
      </c>
      <c r="AF531" s="236">
        <f t="shared" si="590"/>
        <v>0</v>
      </c>
      <c r="AG531" s="236">
        <v>1</v>
      </c>
      <c r="AH531" s="236">
        <v>0</v>
      </c>
      <c r="AI531" s="236">
        <f t="shared" si="566"/>
        <v>-100</v>
      </c>
      <c r="AJ531" s="210"/>
      <c r="AK531" s="254"/>
      <c r="AL531" s="254"/>
      <c r="AM531" s="255"/>
      <c r="AN531" s="255"/>
      <c r="AO531" s="255"/>
      <c r="AP531" s="255"/>
      <c r="AQ531" s="255"/>
      <c r="AR531" s="255"/>
      <c r="AS531" s="255"/>
      <c r="AT531" s="255"/>
      <c r="AU531" s="255"/>
      <c r="AV531" s="255"/>
      <c r="AW531" s="255"/>
      <c r="AX531" s="210"/>
      <c r="AY531" s="236" cm="1">
        <f t="array" ref="AY531">INDEX(Use, $AD531, 4)</f>
        <v>7</v>
      </c>
      <c r="AZ531" s="236">
        <f t="shared" si="567"/>
        <v>32</v>
      </c>
      <c r="BA531" s="236">
        <f t="shared" si="555"/>
        <v>13</v>
      </c>
      <c r="BB531" s="236">
        <f t="shared" si="556"/>
        <v>0</v>
      </c>
      <c r="BC531" s="252" cm="1">
        <f t="array" ref="BC531">K531/IF($L531&gt;0, INDEX($AO$23:$AU$77, $L531+20, $AD531), 1)</f>
        <v>0</v>
      </c>
      <c r="BD531" s="237">
        <f t="shared" si="568"/>
        <v>0</v>
      </c>
      <c r="BE531" s="236">
        <v>35</v>
      </c>
      <c r="BF531" s="237">
        <f t="shared" si="569"/>
        <v>52.55</v>
      </c>
      <c r="BG531" s="253">
        <f t="shared" si="570"/>
        <v>2.7676728869374316</v>
      </c>
      <c r="BH531" s="253" cm="1">
        <f t="array" ref="BH531">$BC531 * SUMPRODUCT(INDEX($AL$77:$AN$82,,$AE531),INDEX($AO$77:$AU$82,,$AD531), N($AK$77:$AK$82&gt;$AI531)) / BG531 / 1000</f>
        <v>0</v>
      </c>
      <c r="BI531" s="250">
        <f t="shared" si="557"/>
        <v>30</v>
      </c>
      <c r="BJ531" s="237">
        <f t="shared" si="571"/>
        <v>46.033333333333331</v>
      </c>
      <c r="BK531" s="253">
        <f t="shared" si="572"/>
        <v>3.2297395388556791</v>
      </c>
      <c r="BL531" s="253" cm="1">
        <f t="array" ref="BL531">$BC531 * IF($AD531&lt;=2,
SUMPRODUCT(INDEX($AL$72:$AN$76,,$AE531), INDEX($AO$72:$AU$76,,$AD531), 1 / ($AV$72:$AV$76*BK531 + (1-$AV$72:$AV$76)*BG531), N($AK$72:$AK$76&gt;$AI531)),
SUMPRODUCT(INDEX($AL$67:$AN$76,,$AE531), INDEX($AO$67:$AU$76,,$AD531), 1 / ($AW$67:$AW$76*BK531 + (1-$AW$67:$AW$76)*BG531), N($AK$67:$AK$76&gt;$AI531))
) / 1000</f>
        <v>0</v>
      </c>
      <c r="BM531" s="250">
        <f t="shared" si="558"/>
        <v>25</v>
      </c>
      <c r="BN531" s="237">
        <f t="shared" si="573"/>
        <v>39.516666666666666</v>
      </c>
      <c r="BO531" s="253">
        <f t="shared" si="574"/>
        <v>3.877011788826243</v>
      </c>
      <c r="BP531" s="253" cm="1">
        <f t="array" ref="BP531">$BC531 * IF($AD531&lt;=2,
SUMPRODUCT(INDEX($AL$67:$AN$71,,$AE531), INDEX($AO$67:$AU$71,,$AD531), 1 / ($AV$67:$AV$71*BO531 + (1-$AV$67:$AV$71)*BK531), N($AK$67:$AK$71&gt;$AI531)),
SUMPRODUCT(INDEX($AL$57:$AN$66,,$AE531), INDEX($AO$57:$AU$66,,$AD531), 1 / ($AW$57:$AW$66*BO531 + (1-$AW$57:$AW$66)*BK531), N($AK$57:$AK$66&gt;$AI531))
) / 1000</f>
        <v>0</v>
      </c>
      <c r="BQ531" s="250">
        <f t="shared" si="559"/>
        <v>20</v>
      </c>
      <c r="BR531" s="237">
        <f t="shared" si="575"/>
        <v>33</v>
      </c>
      <c r="BS531" s="253">
        <f t="shared" si="576"/>
        <v>4.8487499999999999</v>
      </c>
      <c r="BT531" s="253" cm="1">
        <f t="array" ref="BT531">$BC531 * IF($AD531&lt;=2,
SUMPRODUCT(INDEX($AL$62:$AN$66,,$AE531), INDEX($AO$62:$AU$66,,$AD531), 1 / ($AV$62:$AV$66*BS531 + (1-$AV$62:$AV$66)*BO531), N($AK$62:$AK$66&gt;$AI531)),
SUMPRODUCT(INDEX($AL$47:$AN$56,,$AE531), INDEX($AO$47:$AU$56,,$AD531), 1 / ($AW$47:$AW$56*BS531 + (1-$AW$47:$AW$56)*BO531), N($AK$47:$AK$56&gt;$AI531))
) / 1000</f>
        <v>0</v>
      </c>
      <c r="BU531" s="253" cm="1">
        <f t="array" ref="BU531">$BC531 * IF($AD531&lt;=2,
SUMPRODUCT(INDEX($AL$23:$AN$61,,$AE531), INDEX($AO$23:$AU$61,,$AD531), 1 / ($AV$23:$AV$61*BS531), N($AK$23:$AK$61&gt;$AI531)),
SUMPRODUCT(INDEX($AL$23:$AN$46,,$AE531), INDEX($AO$23:$AU$46,,$AD531), 1 / ($AW$23:$AW$46*BS531), N($AK$23:$AK$46&gt;$AI531))
) / 1000</f>
        <v>0</v>
      </c>
      <c r="BV531" s="237">
        <f t="shared" si="577"/>
        <v>0</v>
      </c>
      <c r="BW531" s="210"/>
      <c r="BX531" s="237">
        <f t="shared" si="578"/>
        <v>0</v>
      </c>
      <c r="BY531" s="236">
        <v>35</v>
      </c>
      <c r="BZ531" s="237">
        <f t="shared" si="579"/>
        <v>48</v>
      </c>
      <c r="CA531" s="253">
        <f t="shared" si="580"/>
        <v>3.0748170731707316</v>
      </c>
      <c r="CB531" s="253" cm="1">
        <f t="array" ref="CB531">$BC531 * SUMPRODUCT(INDEX($AL$77:$AN$82,,$AE531),INDEX($AO$77:$AU$82,,$AD531), N($AK$77:$AK$82&gt;$AI531)) / CA531 / 1000</f>
        <v>0</v>
      </c>
      <c r="CC531" s="250">
        <f t="shared" si="560"/>
        <v>30</v>
      </c>
      <c r="CD531" s="237">
        <f t="shared" si="581"/>
        <v>43</v>
      </c>
      <c r="CE531" s="253">
        <f t="shared" si="582"/>
        <v>3.5018750000000001</v>
      </c>
      <c r="CF531" s="253" cm="1">
        <f t="array" ref="CF531">$BC531 * IF($AD531&lt;=2,
SUMPRODUCT(INDEX($AL$72:$AN$76,,$AE531), INDEX($AO$72:$AU$76,,$AD531), 1 / ($AV$72:$AV$76*CE531 + (1-$AV$72:$AV$76)*CA531), N($AK$72:$AK$76&gt;$AI531)),
SUMPRODUCT(INDEX($AL$67:$AN$76,,$AE531), INDEX($AO$67:$AU$76,,$AD531), 1 / ($AW$67:$AW$76*CE531 + (1-$AW$67:$AW$76)*CA531), N($AK$67:$AK$76&gt;$AI531))
) / 1000</f>
        <v>0</v>
      </c>
      <c r="CG531" s="250">
        <f t="shared" si="561"/>
        <v>25</v>
      </c>
      <c r="CH531" s="237">
        <f t="shared" si="583"/>
        <v>38</v>
      </c>
      <c r="CI531" s="253">
        <f t="shared" si="584"/>
        <v>4.0666935483870965</v>
      </c>
      <c r="CJ531" s="253" cm="1">
        <f t="array" ref="CJ531">$BC531 * IF($AD531&lt;=2,
SUMPRODUCT(INDEX($AL$67:$AN$71,,$AE531), INDEX($AO$67:$AU$71,,$AD531), 1 / ($AV$67:$AV$71*CI531 + (1-$AV$67:$AV$71)*CE531), N($AK$67:$AK$71&gt;$AI531)),
SUMPRODUCT(INDEX($AL$57:$AN$66,,$AE531), INDEX($AO$57:$AU$66,,$AD531), 1 / ($AW$57:$AW$66*CI531 + (1-$AW$57:$AW$66)*CE531), N($AK$57:$AK$66&gt;$AI531))
) / 1000</f>
        <v>0</v>
      </c>
      <c r="CK531" s="250">
        <f t="shared" si="562"/>
        <v>20</v>
      </c>
      <c r="CL531" s="237">
        <f t="shared" si="585"/>
        <v>33</v>
      </c>
      <c r="CM531" s="253">
        <f t="shared" si="586"/>
        <v>4.8487499999999999</v>
      </c>
      <c r="CN531" s="253" cm="1">
        <f t="array" ref="CN531">$BC531 * IF($AD531&lt;=2,
SUMPRODUCT(INDEX($AL$62:$AN$66,,$AE531), INDEX($AO$62:$AU$66,,$AD531), 1 / ($AV$62:$AV$66*CM531 + (1-$AV$62:$AV$66)*CI531), N($AK$62:$AK$66&gt;$AI531)),
SUMPRODUCT(INDEX($AL$47:$AN$56,,$AE531), INDEX($AO$47:$AU$56,,$AD531), 1 / ($AW$47:$AW$56*CM531 + (1-$AW$47:$AW$56)*CI531), N($AK$47:$AK$56&gt;$AI531))
) / 1000</f>
        <v>0</v>
      </c>
      <c r="CO531" s="253" cm="1">
        <f t="array" ref="CO531">$BC531 * IF($AD531&lt;=2,
SUMPRODUCT(INDEX($AL$23:$AN$61,,$AE531), INDEX($AO$23:$AU$61,,$AD531), 1 / ($AV$23:$AV$61*CM531), N($AK$23:$AK$61&gt;$AI531)),
SUMPRODUCT(INDEX($AL$23:$AN$46,,$AE531), INDEX($AO$23:$AU$46,,$AD531), 1 / ($AW$23:$AW$46*CM531), N($AK$23:$AK$46&gt;$AI531))
) / 1000</f>
        <v>0</v>
      </c>
      <c r="CP531" s="237">
        <f t="shared" si="587"/>
        <v>0</v>
      </c>
      <c r="CQ531" s="210"/>
    </row>
    <row r="532" spans="1:95" s="76" customFormat="1" ht="14.25" customHeight="1" x14ac:dyDescent="0.2">
      <c r="A532" s="238" t="b">
        <f t="shared" si="554"/>
        <v>0</v>
      </c>
      <c r="B532" s="239">
        <v>510</v>
      </c>
      <c r="C532" s="258"/>
      <c r="D532" s="258"/>
      <c r="E532" s="240"/>
      <c r="F532" s="241" t="str">
        <f>IF(ISBLANK(E532), "", VLOOKUP(E532, Z!$A$2:$C$4127, 3, FALSE))</f>
        <v/>
      </c>
      <c r="G532" s="242"/>
      <c r="H532" s="242"/>
      <c r="I532" s="243"/>
      <c r="J532" s="244"/>
      <c r="K532" s="259"/>
      <c r="L532" s="260"/>
      <c r="M532" s="247" t="str" cm="1">
        <f t="array" ref="M532">IF($K532&gt;0, INDEX(Clean,1+AG532,$C$1), "")</f>
        <v/>
      </c>
      <c r="N532" s="245"/>
      <c r="O532" s="245"/>
      <c r="P532" s="246"/>
      <c r="Q532" s="248">
        <f t="shared" si="564"/>
        <v>0</v>
      </c>
      <c r="R532" s="247" t="str" cm="1">
        <f t="array" ref="R532">IF($K532&gt;0, INDEX(Clean,1+AH532,$C$1), "")</f>
        <v/>
      </c>
      <c r="S532" s="245"/>
      <c r="T532" s="245"/>
      <c r="U532" s="246"/>
      <c r="V532" s="248">
        <f t="shared" si="565"/>
        <v>0</v>
      </c>
      <c r="W532" s="261"/>
      <c r="X532" s="258"/>
      <c r="Y532" s="240"/>
      <c r="Z532" s="241" t="str">
        <f>IF(ISBLANK(Y532), "", VLOOKUP(Y532, Z!$A$2:$C$4127, 3, FALSE))</f>
        <v/>
      </c>
      <c r="AA532" s="262"/>
      <c r="AB532" s="249">
        <f t="shared" si="563"/>
        <v>0</v>
      </c>
      <c r="AC532" s="210"/>
      <c r="AD532" s="236">
        <f t="shared" si="588"/>
        <v>1</v>
      </c>
      <c r="AE532" s="236">
        <f t="shared" si="589"/>
        <v>1</v>
      </c>
      <c r="AF532" s="236">
        <f t="shared" si="590"/>
        <v>0</v>
      </c>
      <c r="AG532" s="236">
        <v>1</v>
      </c>
      <c r="AH532" s="236">
        <v>0</v>
      </c>
      <c r="AI532" s="236">
        <f t="shared" si="566"/>
        <v>-100</v>
      </c>
      <c r="AJ532" s="210"/>
      <c r="AK532" s="254"/>
      <c r="AL532" s="254"/>
      <c r="AM532" s="255"/>
      <c r="AN532" s="255"/>
      <c r="AO532" s="255"/>
      <c r="AP532" s="255"/>
      <c r="AQ532" s="255"/>
      <c r="AR532" s="255"/>
      <c r="AS532" s="255"/>
      <c r="AT532" s="255"/>
      <c r="AU532" s="255"/>
      <c r="AV532" s="255"/>
      <c r="AW532" s="255"/>
      <c r="AX532" s="210"/>
      <c r="AY532" s="236" cm="1">
        <f t="array" ref="AY532">INDEX(Use, $AD532, 4)</f>
        <v>7</v>
      </c>
      <c r="AZ532" s="236">
        <f t="shared" si="567"/>
        <v>32</v>
      </c>
      <c r="BA532" s="236">
        <f t="shared" si="555"/>
        <v>13</v>
      </c>
      <c r="BB532" s="236">
        <f t="shared" si="556"/>
        <v>0</v>
      </c>
      <c r="BC532" s="252" cm="1">
        <f t="array" ref="BC532">K532/IF($L532&gt;0, INDEX($AO$23:$AU$77, $L532+20, $AD532), 1)</f>
        <v>0</v>
      </c>
      <c r="BD532" s="237">
        <f t="shared" si="568"/>
        <v>0</v>
      </c>
      <c r="BE532" s="236">
        <v>35</v>
      </c>
      <c r="BF532" s="237">
        <f t="shared" si="569"/>
        <v>52.55</v>
      </c>
      <c r="BG532" s="253">
        <f t="shared" si="570"/>
        <v>2.7676728869374316</v>
      </c>
      <c r="BH532" s="253" cm="1">
        <f t="array" ref="BH532">$BC532 * SUMPRODUCT(INDEX($AL$77:$AN$82,,$AE532),INDEX($AO$77:$AU$82,,$AD532), N($AK$77:$AK$82&gt;$AI532)) / BG532 / 1000</f>
        <v>0</v>
      </c>
      <c r="BI532" s="250">
        <f t="shared" si="557"/>
        <v>30</v>
      </c>
      <c r="BJ532" s="237">
        <f t="shared" si="571"/>
        <v>46.033333333333331</v>
      </c>
      <c r="BK532" s="253">
        <f t="shared" si="572"/>
        <v>3.2297395388556791</v>
      </c>
      <c r="BL532" s="253" cm="1">
        <f t="array" ref="BL532">$BC532 * IF($AD532&lt;=2,
SUMPRODUCT(INDEX($AL$72:$AN$76,,$AE532), INDEX($AO$72:$AU$76,,$AD532), 1 / ($AV$72:$AV$76*BK532 + (1-$AV$72:$AV$76)*BG532), N($AK$72:$AK$76&gt;$AI532)),
SUMPRODUCT(INDEX($AL$67:$AN$76,,$AE532), INDEX($AO$67:$AU$76,,$AD532), 1 / ($AW$67:$AW$76*BK532 + (1-$AW$67:$AW$76)*BG532), N($AK$67:$AK$76&gt;$AI532))
) / 1000</f>
        <v>0</v>
      </c>
      <c r="BM532" s="250">
        <f t="shared" si="558"/>
        <v>25</v>
      </c>
      <c r="BN532" s="237">
        <f t="shared" si="573"/>
        <v>39.516666666666666</v>
      </c>
      <c r="BO532" s="253">
        <f t="shared" si="574"/>
        <v>3.877011788826243</v>
      </c>
      <c r="BP532" s="253" cm="1">
        <f t="array" ref="BP532">$BC532 * IF($AD532&lt;=2,
SUMPRODUCT(INDEX($AL$67:$AN$71,,$AE532), INDEX($AO$67:$AU$71,,$AD532), 1 / ($AV$67:$AV$71*BO532 + (1-$AV$67:$AV$71)*BK532), N($AK$67:$AK$71&gt;$AI532)),
SUMPRODUCT(INDEX($AL$57:$AN$66,,$AE532), INDEX($AO$57:$AU$66,,$AD532), 1 / ($AW$57:$AW$66*BO532 + (1-$AW$57:$AW$66)*BK532), N($AK$57:$AK$66&gt;$AI532))
) / 1000</f>
        <v>0</v>
      </c>
      <c r="BQ532" s="250">
        <f t="shared" si="559"/>
        <v>20</v>
      </c>
      <c r="BR532" s="237">
        <f t="shared" si="575"/>
        <v>33</v>
      </c>
      <c r="BS532" s="253">
        <f t="shared" si="576"/>
        <v>4.8487499999999999</v>
      </c>
      <c r="BT532" s="253" cm="1">
        <f t="array" ref="BT532">$BC532 * IF($AD532&lt;=2,
SUMPRODUCT(INDEX($AL$62:$AN$66,,$AE532), INDEX($AO$62:$AU$66,,$AD532), 1 / ($AV$62:$AV$66*BS532 + (1-$AV$62:$AV$66)*BO532), N($AK$62:$AK$66&gt;$AI532)),
SUMPRODUCT(INDEX($AL$47:$AN$56,,$AE532), INDEX($AO$47:$AU$56,,$AD532), 1 / ($AW$47:$AW$56*BS532 + (1-$AW$47:$AW$56)*BO532), N($AK$47:$AK$56&gt;$AI532))
) / 1000</f>
        <v>0</v>
      </c>
      <c r="BU532" s="253" cm="1">
        <f t="array" ref="BU532">$BC532 * IF($AD532&lt;=2,
SUMPRODUCT(INDEX($AL$23:$AN$61,,$AE532), INDEX($AO$23:$AU$61,,$AD532), 1 / ($AV$23:$AV$61*BS532), N($AK$23:$AK$61&gt;$AI532)),
SUMPRODUCT(INDEX($AL$23:$AN$46,,$AE532), INDEX($AO$23:$AU$46,,$AD532), 1 / ($AW$23:$AW$46*BS532), N($AK$23:$AK$46&gt;$AI532))
) / 1000</f>
        <v>0</v>
      </c>
      <c r="BV532" s="237">
        <f t="shared" si="577"/>
        <v>0</v>
      </c>
      <c r="BW532" s="210"/>
      <c r="BX532" s="237">
        <f t="shared" si="578"/>
        <v>0</v>
      </c>
      <c r="BY532" s="236">
        <v>35</v>
      </c>
      <c r="BZ532" s="237">
        <f t="shared" si="579"/>
        <v>48</v>
      </c>
      <c r="CA532" s="253">
        <f t="shared" si="580"/>
        <v>3.0748170731707316</v>
      </c>
      <c r="CB532" s="253" cm="1">
        <f t="array" ref="CB532">$BC532 * SUMPRODUCT(INDEX($AL$77:$AN$82,,$AE532),INDEX($AO$77:$AU$82,,$AD532), N($AK$77:$AK$82&gt;$AI532)) / CA532 / 1000</f>
        <v>0</v>
      </c>
      <c r="CC532" s="250">
        <f t="shared" si="560"/>
        <v>30</v>
      </c>
      <c r="CD532" s="237">
        <f t="shared" si="581"/>
        <v>43</v>
      </c>
      <c r="CE532" s="253">
        <f t="shared" si="582"/>
        <v>3.5018750000000001</v>
      </c>
      <c r="CF532" s="253" cm="1">
        <f t="array" ref="CF532">$BC532 * IF($AD532&lt;=2,
SUMPRODUCT(INDEX($AL$72:$AN$76,,$AE532), INDEX($AO$72:$AU$76,,$AD532), 1 / ($AV$72:$AV$76*CE532 + (1-$AV$72:$AV$76)*CA532), N($AK$72:$AK$76&gt;$AI532)),
SUMPRODUCT(INDEX($AL$67:$AN$76,,$AE532), INDEX($AO$67:$AU$76,,$AD532), 1 / ($AW$67:$AW$76*CE532 + (1-$AW$67:$AW$76)*CA532), N($AK$67:$AK$76&gt;$AI532))
) / 1000</f>
        <v>0</v>
      </c>
      <c r="CG532" s="250">
        <f t="shared" si="561"/>
        <v>25</v>
      </c>
      <c r="CH532" s="237">
        <f t="shared" si="583"/>
        <v>38</v>
      </c>
      <c r="CI532" s="253">
        <f t="shared" si="584"/>
        <v>4.0666935483870965</v>
      </c>
      <c r="CJ532" s="253" cm="1">
        <f t="array" ref="CJ532">$BC532 * IF($AD532&lt;=2,
SUMPRODUCT(INDEX($AL$67:$AN$71,,$AE532), INDEX($AO$67:$AU$71,,$AD532), 1 / ($AV$67:$AV$71*CI532 + (1-$AV$67:$AV$71)*CE532), N($AK$67:$AK$71&gt;$AI532)),
SUMPRODUCT(INDEX($AL$57:$AN$66,,$AE532), INDEX($AO$57:$AU$66,,$AD532), 1 / ($AW$57:$AW$66*CI532 + (1-$AW$57:$AW$66)*CE532), N($AK$57:$AK$66&gt;$AI532))
) / 1000</f>
        <v>0</v>
      </c>
      <c r="CK532" s="250">
        <f t="shared" si="562"/>
        <v>20</v>
      </c>
      <c r="CL532" s="237">
        <f t="shared" si="585"/>
        <v>33</v>
      </c>
      <c r="CM532" s="253">
        <f t="shared" si="586"/>
        <v>4.8487499999999999</v>
      </c>
      <c r="CN532" s="253" cm="1">
        <f t="array" ref="CN532">$BC532 * IF($AD532&lt;=2,
SUMPRODUCT(INDEX($AL$62:$AN$66,,$AE532), INDEX($AO$62:$AU$66,,$AD532), 1 / ($AV$62:$AV$66*CM532 + (1-$AV$62:$AV$66)*CI532), N($AK$62:$AK$66&gt;$AI532)),
SUMPRODUCT(INDEX($AL$47:$AN$56,,$AE532), INDEX($AO$47:$AU$56,,$AD532), 1 / ($AW$47:$AW$56*CM532 + (1-$AW$47:$AW$56)*CI532), N($AK$47:$AK$56&gt;$AI532))
) / 1000</f>
        <v>0</v>
      </c>
      <c r="CO532" s="253" cm="1">
        <f t="array" ref="CO532">$BC532 * IF($AD532&lt;=2,
SUMPRODUCT(INDEX($AL$23:$AN$61,,$AE532), INDEX($AO$23:$AU$61,,$AD532), 1 / ($AV$23:$AV$61*CM532), N($AK$23:$AK$61&gt;$AI532)),
SUMPRODUCT(INDEX($AL$23:$AN$46,,$AE532), INDEX($AO$23:$AU$46,,$AD532), 1 / ($AW$23:$AW$46*CM532), N($AK$23:$AK$46&gt;$AI532))
) / 1000</f>
        <v>0</v>
      </c>
      <c r="CP532" s="237">
        <f t="shared" si="587"/>
        <v>0</v>
      </c>
      <c r="CQ532" s="210"/>
    </row>
    <row r="533" spans="1:95" s="76" customFormat="1" ht="14.25" customHeight="1" x14ac:dyDescent="0.2">
      <c r="A533" s="238" t="b">
        <f t="shared" si="554"/>
        <v>0</v>
      </c>
      <c r="B533" s="239">
        <v>511</v>
      </c>
      <c r="C533" s="258"/>
      <c r="D533" s="258"/>
      <c r="E533" s="240"/>
      <c r="F533" s="241" t="str">
        <f>IF(ISBLANK(E533), "", VLOOKUP(E533, Z!$A$2:$C$4127, 3, FALSE))</f>
        <v/>
      </c>
      <c r="G533" s="242"/>
      <c r="H533" s="242"/>
      <c r="I533" s="243"/>
      <c r="J533" s="244"/>
      <c r="K533" s="259"/>
      <c r="L533" s="260"/>
      <c r="M533" s="247" t="str" cm="1">
        <f t="array" ref="M533">IF($K533&gt;0, INDEX(Clean,1+AG533,$C$1), "")</f>
        <v/>
      </c>
      <c r="N533" s="245"/>
      <c r="O533" s="245"/>
      <c r="P533" s="246"/>
      <c r="Q533" s="248">
        <f t="shared" si="564"/>
        <v>0</v>
      </c>
      <c r="R533" s="247" t="str" cm="1">
        <f t="array" ref="R533">IF($K533&gt;0, INDEX(Clean,1+AH533,$C$1), "")</f>
        <v/>
      </c>
      <c r="S533" s="245"/>
      <c r="T533" s="245"/>
      <c r="U533" s="246"/>
      <c r="V533" s="248">
        <f t="shared" si="565"/>
        <v>0</v>
      </c>
      <c r="W533" s="261"/>
      <c r="X533" s="258"/>
      <c r="Y533" s="240"/>
      <c r="Z533" s="241" t="str">
        <f>IF(ISBLANK(Y533), "", VLOOKUP(Y533, Z!$A$2:$C$4127, 3, FALSE))</f>
        <v/>
      </c>
      <c r="AA533" s="262"/>
      <c r="AB533" s="249">
        <f t="shared" si="563"/>
        <v>0</v>
      </c>
      <c r="AC533" s="210"/>
      <c r="AD533" s="236">
        <f t="shared" si="588"/>
        <v>1</v>
      </c>
      <c r="AE533" s="236">
        <f t="shared" si="589"/>
        <v>1</v>
      </c>
      <c r="AF533" s="236">
        <f t="shared" si="590"/>
        <v>0</v>
      </c>
      <c r="AG533" s="236">
        <v>1</v>
      </c>
      <c r="AH533" s="236">
        <v>0</v>
      </c>
      <c r="AI533" s="236">
        <f t="shared" si="566"/>
        <v>-100</v>
      </c>
      <c r="AJ533" s="210"/>
      <c r="AK533" s="254"/>
      <c r="AL533" s="254"/>
      <c r="AM533" s="255"/>
      <c r="AN533" s="255"/>
      <c r="AO533" s="255"/>
      <c r="AP533" s="255"/>
      <c r="AQ533" s="255"/>
      <c r="AR533" s="255"/>
      <c r="AS533" s="255"/>
      <c r="AT533" s="255"/>
      <c r="AU533" s="255"/>
      <c r="AV533" s="255"/>
      <c r="AW533" s="255"/>
      <c r="AX533" s="210"/>
      <c r="AY533" s="236" cm="1">
        <f t="array" ref="AY533">INDEX(Use, $AD533, 4)</f>
        <v>7</v>
      </c>
      <c r="AZ533" s="236">
        <f t="shared" si="567"/>
        <v>32</v>
      </c>
      <c r="BA533" s="236">
        <f t="shared" si="555"/>
        <v>13</v>
      </c>
      <c r="BB533" s="236">
        <f t="shared" si="556"/>
        <v>0</v>
      </c>
      <c r="BC533" s="252" cm="1">
        <f t="array" ref="BC533">K533/IF($L533&gt;0, INDEX($AO$23:$AU$77, $L533+20, $AD533), 1)</f>
        <v>0</v>
      </c>
      <c r="BD533" s="237">
        <f t="shared" si="568"/>
        <v>0</v>
      </c>
      <c r="BE533" s="236">
        <v>35</v>
      </c>
      <c r="BF533" s="237">
        <f t="shared" si="569"/>
        <v>52.55</v>
      </c>
      <c r="BG533" s="253">
        <f t="shared" si="570"/>
        <v>2.7676728869374316</v>
      </c>
      <c r="BH533" s="253" cm="1">
        <f t="array" ref="BH533">$BC533 * SUMPRODUCT(INDEX($AL$77:$AN$82,,$AE533),INDEX($AO$77:$AU$82,,$AD533), N($AK$77:$AK$82&gt;$AI533)) / BG533 / 1000</f>
        <v>0</v>
      </c>
      <c r="BI533" s="250">
        <f t="shared" si="557"/>
        <v>30</v>
      </c>
      <c r="BJ533" s="237">
        <f t="shared" si="571"/>
        <v>46.033333333333331</v>
      </c>
      <c r="BK533" s="253">
        <f t="shared" si="572"/>
        <v>3.2297395388556791</v>
      </c>
      <c r="BL533" s="253" cm="1">
        <f t="array" ref="BL533">$BC533 * IF($AD533&lt;=2,
SUMPRODUCT(INDEX($AL$72:$AN$76,,$AE533), INDEX($AO$72:$AU$76,,$AD533), 1 / ($AV$72:$AV$76*BK533 + (1-$AV$72:$AV$76)*BG533), N($AK$72:$AK$76&gt;$AI533)),
SUMPRODUCT(INDEX($AL$67:$AN$76,,$AE533), INDEX($AO$67:$AU$76,,$AD533), 1 / ($AW$67:$AW$76*BK533 + (1-$AW$67:$AW$76)*BG533), N($AK$67:$AK$76&gt;$AI533))
) / 1000</f>
        <v>0</v>
      </c>
      <c r="BM533" s="250">
        <f t="shared" si="558"/>
        <v>25</v>
      </c>
      <c r="BN533" s="237">
        <f t="shared" si="573"/>
        <v>39.516666666666666</v>
      </c>
      <c r="BO533" s="253">
        <f t="shared" si="574"/>
        <v>3.877011788826243</v>
      </c>
      <c r="BP533" s="253" cm="1">
        <f t="array" ref="BP533">$BC533 * IF($AD533&lt;=2,
SUMPRODUCT(INDEX($AL$67:$AN$71,,$AE533), INDEX($AO$67:$AU$71,,$AD533), 1 / ($AV$67:$AV$71*BO533 + (1-$AV$67:$AV$71)*BK533), N($AK$67:$AK$71&gt;$AI533)),
SUMPRODUCT(INDEX($AL$57:$AN$66,,$AE533), INDEX($AO$57:$AU$66,,$AD533), 1 / ($AW$57:$AW$66*BO533 + (1-$AW$57:$AW$66)*BK533), N($AK$57:$AK$66&gt;$AI533))
) / 1000</f>
        <v>0</v>
      </c>
      <c r="BQ533" s="250">
        <f t="shared" si="559"/>
        <v>20</v>
      </c>
      <c r="BR533" s="237">
        <f t="shared" si="575"/>
        <v>33</v>
      </c>
      <c r="BS533" s="253">
        <f t="shared" si="576"/>
        <v>4.8487499999999999</v>
      </c>
      <c r="BT533" s="253" cm="1">
        <f t="array" ref="BT533">$BC533 * IF($AD533&lt;=2,
SUMPRODUCT(INDEX($AL$62:$AN$66,,$AE533), INDEX($AO$62:$AU$66,,$AD533), 1 / ($AV$62:$AV$66*BS533 + (1-$AV$62:$AV$66)*BO533), N($AK$62:$AK$66&gt;$AI533)),
SUMPRODUCT(INDEX($AL$47:$AN$56,,$AE533), INDEX($AO$47:$AU$56,,$AD533), 1 / ($AW$47:$AW$56*BS533 + (1-$AW$47:$AW$56)*BO533), N($AK$47:$AK$56&gt;$AI533))
) / 1000</f>
        <v>0</v>
      </c>
      <c r="BU533" s="253" cm="1">
        <f t="array" ref="BU533">$BC533 * IF($AD533&lt;=2,
SUMPRODUCT(INDEX($AL$23:$AN$61,,$AE533), INDEX($AO$23:$AU$61,,$AD533), 1 / ($AV$23:$AV$61*BS533), N($AK$23:$AK$61&gt;$AI533)),
SUMPRODUCT(INDEX($AL$23:$AN$46,,$AE533), INDEX($AO$23:$AU$46,,$AD533), 1 / ($AW$23:$AW$46*BS533), N($AK$23:$AK$46&gt;$AI533))
) / 1000</f>
        <v>0</v>
      </c>
      <c r="BV533" s="237">
        <f t="shared" si="577"/>
        <v>0</v>
      </c>
      <c r="BW533" s="210"/>
      <c r="BX533" s="237">
        <f t="shared" si="578"/>
        <v>0</v>
      </c>
      <c r="BY533" s="236">
        <v>35</v>
      </c>
      <c r="BZ533" s="237">
        <f t="shared" si="579"/>
        <v>48</v>
      </c>
      <c r="CA533" s="253">
        <f t="shared" si="580"/>
        <v>3.0748170731707316</v>
      </c>
      <c r="CB533" s="253" cm="1">
        <f t="array" ref="CB533">$BC533 * SUMPRODUCT(INDEX($AL$77:$AN$82,,$AE533),INDEX($AO$77:$AU$82,,$AD533), N($AK$77:$AK$82&gt;$AI533)) / CA533 / 1000</f>
        <v>0</v>
      </c>
      <c r="CC533" s="250">
        <f t="shared" si="560"/>
        <v>30</v>
      </c>
      <c r="CD533" s="237">
        <f t="shared" si="581"/>
        <v>43</v>
      </c>
      <c r="CE533" s="253">
        <f t="shared" si="582"/>
        <v>3.5018750000000001</v>
      </c>
      <c r="CF533" s="253" cm="1">
        <f t="array" ref="CF533">$BC533 * IF($AD533&lt;=2,
SUMPRODUCT(INDEX($AL$72:$AN$76,,$AE533), INDEX($AO$72:$AU$76,,$AD533), 1 / ($AV$72:$AV$76*CE533 + (1-$AV$72:$AV$76)*CA533), N($AK$72:$AK$76&gt;$AI533)),
SUMPRODUCT(INDEX($AL$67:$AN$76,,$AE533), INDEX($AO$67:$AU$76,,$AD533), 1 / ($AW$67:$AW$76*CE533 + (1-$AW$67:$AW$76)*CA533), N($AK$67:$AK$76&gt;$AI533))
) / 1000</f>
        <v>0</v>
      </c>
      <c r="CG533" s="250">
        <f t="shared" si="561"/>
        <v>25</v>
      </c>
      <c r="CH533" s="237">
        <f t="shared" si="583"/>
        <v>38</v>
      </c>
      <c r="CI533" s="253">
        <f t="shared" si="584"/>
        <v>4.0666935483870965</v>
      </c>
      <c r="CJ533" s="253" cm="1">
        <f t="array" ref="CJ533">$BC533 * IF($AD533&lt;=2,
SUMPRODUCT(INDEX($AL$67:$AN$71,,$AE533), INDEX($AO$67:$AU$71,,$AD533), 1 / ($AV$67:$AV$71*CI533 + (1-$AV$67:$AV$71)*CE533), N($AK$67:$AK$71&gt;$AI533)),
SUMPRODUCT(INDEX($AL$57:$AN$66,,$AE533), INDEX($AO$57:$AU$66,,$AD533), 1 / ($AW$57:$AW$66*CI533 + (1-$AW$57:$AW$66)*CE533), N($AK$57:$AK$66&gt;$AI533))
) / 1000</f>
        <v>0</v>
      </c>
      <c r="CK533" s="250">
        <f t="shared" si="562"/>
        <v>20</v>
      </c>
      <c r="CL533" s="237">
        <f t="shared" si="585"/>
        <v>33</v>
      </c>
      <c r="CM533" s="253">
        <f t="shared" si="586"/>
        <v>4.8487499999999999</v>
      </c>
      <c r="CN533" s="253" cm="1">
        <f t="array" ref="CN533">$BC533 * IF($AD533&lt;=2,
SUMPRODUCT(INDEX($AL$62:$AN$66,,$AE533), INDEX($AO$62:$AU$66,,$AD533), 1 / ($AV$62:$AV$66*CM533 + (1-$AV$62:$AV$66)*CI533), N($AK$62:$AK$66&gt;$AI533)),
SUMPRODUCT(INDEX($AL$47:$AN$56,,$AE533), INDEX($AO$47:$AU$56,,$AD533), 1 / ($AW$47:$AW$56*CM533 + (1-$AW$47:$AW$56)*CI533), N($AK$47:$AK$56&gt;$AI533))
) / 1000</f>
        <v>0</v>
      </c>
      <c r="CO533" s="253" cm="1">
        <f t="array" ref="CO533">$BC533 * IF($AD533&lt;=2,
SUMPRODUCT(INDEX($AL$23:$AN$61,,$AE533), INDEX($AO$23:$AU$61,,$AD533), 1 / ($AV$23:$AV$61*CM533), N($AK$23:$AK$61&gt;$AI533)),
SUMPRODUCT(INDEX($AL$23:$AN$46,,$AE533), INDEX($AO$23:$AU$46,,$AD533), 1 / ($AW$23:$AW$46*CM533), N($AK$23:$AK$46&gt;$AI533))
) / 1000</f>
        <v>0</v>
      </c>
      <c r="CP533" s="237">
        <f t="shared" si="587"/>
        <v>0</v>
      </c>
      <c r="CQ533" s="210"/>
    </row>
    <row r="534" spans="1:95" s="76" customFormat="1" ht="14.25" customHeight="1" x14ac:dyDescent="0.2">
      <c r="A534" s="238" t="b">
        <f t="shared" ref="A534:A597" si="591">IF(OR(AND($K534&gt;80, $AD534=1), AND($K534&gt;40, $AD534=3), AND($K534&gt;30, $AD534=4),), TRUE, FALSE)</f>
        <v>0</v>
      </c>
      <c r="B534" s="239">
        <v>512</v>
      </c>
      <c r="C534" s="258"/>
      <c r="D534" s="258"/>
      <c r="E534" s="240"/>
      <c r="F534" s="241" t="str">
        <f>IF(ISBLANK(E534), "", VLOOKUP(E534, Z!$A$2:$C$4127, 3, FALSE))</f>
        <v/>
      </c>
      <c r="G534" s="242"/>
      <c r="H534" s="242"/>
      <c r="I534" s="243"/>
      <c r="J534" s="244"/>
      <c r="K534" s="259"/>
      <c r="L534" s="260"/>
      <c r="M534" s="247" t="str" cm="1">
        <f t="array" ref="M534">IF($K534&gt;0, INDEX(Clean,1+AG534,$C$1), "")</f>
        <v/>
      </c>
      <c r="N534" s="245"/>
      <c r="O534" s="245"/>
      <c r="P534" s="246"/>
      <c r="Q534" s="248">
        <f t="shared" si="564"/>
        <v>0</v>
      </c>
      <c r="R534" s="247" t="str" cm="1">
        <f t="array" ref="R534">IF($K534&gt;0, INDEX(Clean,1+AH534,$C$1), "")</f>
        <v/>
      </c>
      <c r="S534" s="245"/>
      <c r="T534" s="245"/>
      <c r="U534" s="246"/>
      <c r="V534" s="248">
        <f t="shared" si="565"/>
        <v>0</v>
      </c>
      <c r="W534" s="261"/>
      <c r="X534" s="258"/>
      <c r="Y534" s="240"/>
      <c r="Z534" s="241" t="str">
        <f>IF(ISBLANK(Y534), "", VLOOKUP(Y534, Z!$A$2:$C$4127, 3, FALSE))</f>
        <v/>
      </c>
      <c r="AA534" s="262"/>
      <c r="AB534" s="249">
        <f t="shared" si="563"/>
        <v>0</v>
      </c>
      <c r="AC534" s="210"/>
      <c r="AD534" s="236">
        <f t="shared" si="588"/>
        <v>1</v>
      </c>
      <c r="AE534" s="236">
        <f t="shared" si="589"/>
        <v>1</v>
      </c>
      <c r="AF534" s="236">
        <f t="shared" si="590"/>
        <v>0</v>
      </c>
      <c r="AG534" s="236">
        <v>1</v>
      </c>
      <c r="AH534" s="236">
        <v>0</v>
      </c>
      <c r="AI534" s="236">
        <f t="shared" si="566"/>
        <v>-100</v>
      </c>
      <c r="AJ534" s="210"/>
      <c r="AK534" s="254"/>
      <c r="AL534" s="254"/>
      <c r="AM534" s="255"/>
      <c r="AN534" s="255"/>
      <c r="AO534" s="255"/>
      <c r="AP534" s="255"/>
      <c r="AQ534" s="255"/>
      <c r="AR534" s="255"/>
      <c r="AS534" s="255"/>
      <c r="AT534" s="255"/>
      <c r="AU534" s="255"/>
      <c r="AV534" s="255"/>
      <c r="AW534" s="255"/>
      <c r="AX534" s="210"/>
      <c r="AY534" s="236" cm="1">
        <f t="array" ref="AY534">INDEX(Use, $AD534, 4)</f>
        <v>7</v>
      </c>
      <c r="AZ534" s="236">
        <f t="shared" si="567"/>
        <v>32</v>
      </c>
      <c r="BA534" s="236">
        <f t="shared" si="555"/>
        <v>13</v>
      </c>
      <c r="BB534" s="236">
        <f t="shared" si="556"/>
        <v>0</v>
      </c>
      <c r="BC534" s="252" cm="1">
        <f t="array" ref="BC534">K534/IF($L534&gt;0, INDEX($AO$23:$AU$77, $L534+20, $AD534), 1)</f>
        <v>0</v>
      </c>
      <c r="BD534" s="237">
        <f t="shared" si="568"/>
        <v>0</v>
      </c>
      <c r="BE534" s="236">
        <v>35</v>
      </c>
      <c r="BF534" s="237">
        <f t="shared" si="569"/>
        <v>52.55</v>
      </c>
      <c r="BG534" s="253">
        <f t="shared" si="570"/>
        <v>2.7676728869374316</v>
      </c>
      <c r="BH534" s="253" cm="1">
        <f t="array" ref="BH534">$BC534 * SUMPRODUCT(INDEX($AL$77:$AN$82,,$AE534),INDEX($AO$77:$AU$82,,$AD534), N($AK$77:$AK$82&gt;$AI534)) / BG534 / 1000</f>
        <v>0</v>
      </c>
      <c r="BI534" s="250">
        <f t="shared" si="557"/>
        <v>30</v>
      </c>
      <c r="BJ534" s="237">
        <f t="shared" si="571"/>
        <v>46.033333333333331</v>
      </c>
      <c r="BK534" s="253">
        <f t="shared" si="572"/>
        <v>3.2297395388556791</v>
      </c>
      <c r="BL534" s="253" cm="1">
        <f t="array" ref="BL534">$BC534 * IF($AD534&lt;=2,
SUMPRODUCT(INDEX($AL$72:$AN$76,,$AE534), INDEX($AO$72:$AU$76,,$AD534), 1 / ($AV$72:$AV$76*BK534 + (1-$AV$72:$AV$76)*BG534), N($AK$72:$AK$76&gt;$AI534)),
SUMPRODUCT(INDEX($AL$67:$AN$76,,$AE534), INDEX($AO$67:$AU$76,,$AD534), 1 / ($AW$67:$AW$76*BK534 + (1-$AW$67:$AW$76)*BG534), N($AK$67:$AK$76&gt;$AI534))
) / 1000</f>
        <v>0</v>
      </c>
      <c r="BM534" s="250">
        <f t="shared" si="558"/>
        <v>25</v>
      </c>
      <c r="BN534" s="237">
        <f t="shared" si="573"/>
        <v>39.516666666666666</v>
      </c>
      <c r="BO534" s="253">
        <f t="shared" si="574"/>
        <v>3.877011788826243</v>
      </c>
      <c r="BP534" s="253" cm="1">
        <f t="array" ref="BP534">$BC534 * IF($AD534&lt;=2,
SUMPRODUCT(INDEX($AL$67:$AN$71,,$AE534), INDEX($AO$67:$AU$71,,$AD534), 1 / ($AV$67:$AV$71*BO534 + (1-$AV$67:$AV$71)*BK534), N($AK$67:$AK$71&gt;$AI534)),
SUMPRODUCT(INDEX($AL$57:$AN$66,,$AE534), INDEX($AO$57:$AU$66,,$AD534), 1 / ($AW$57:$AW$66*BO534 + (1-$AW$57:$AW$66)*BK534), N($AK$57:$AK$66&gt;$AI534))
) / 1000</f>
        <v>0</v>
      </c>
      <c r="BQ534" s="250">
        <f t="shared" si="559"/>
        <v>20</v>
      </c>
      <c r="BR534" s="237">
        <f t="shared" si="575"/>
        <v>33</v>
      </c>
      <c r="BS534" s="253">
        <f t="shared" si="576"/>
        <v>4.8487499999999999</v>
      </c>
      <c r="BT534" s="253" cm="1">
        <f t="array" ref="BT534">$BC534 * IF($AD534&lt;=2,
SUMPRODUCT(INDEX($AL$62:$AN$66,,$AE534), INDEX($AO$62:$AU$66,,$AD534), 1 / ($AV$62:$AV$66*BS534 + (1-$AV$62:$AV$66)*BO534), N($AK$62:$AK$66&gt;$AI534)),
SUMPRODUCT(INDEX($AL$47:$AN$56,,$AE534), INDEX($AO$47:$AU$56,,$AD534), 1 / ($AW$47:$AW$56*BS534 + (1-$AW$47:$AW$56)*BO534), N($AK$47:$AK$56&gt;$AI534))
) / 1000</f>
        <v>0</v>
      </c>
      <c r="BU534" s="253" cm="1">
        <f t="array" ref="BU534">$BC534 * IF($AD534&lt;=2,
SUMPRODUCT(INDEX($AL$23:$AN$61,,$AE534), INDEX($AO$23:$AU$61,,$AD534), 1 / ($AV$23:$AV$61*BS534), N($AK$23:$AK$61&gt;$AI534)),
SUMPRODUCT(INDEX($AL$23:$AN$46,,$AE534), INDEX($AO$23:$AU$46,,$AD534), 1 / ($AW$23:$AW$46*BS534), N($AK$23:$AK$46&gt;$AI534))
) / 1000</f>
        <v>0</v>
      </c>
      <c r="BV534" s="237">
        <f t="shared" si="577"/>
        <v>0</v>
      </c>
      <c r="BW534" s="210"/>
      <c r="BX534" s="237">
        <f t="shared" si="578"/>
        <v>0</v>
      </c>
      <c r="BY534" s="236">
        <v>35</v>
      </c>
      <c r="BZ534" s="237">
        <f t="shared" si="579"/>
        <v>48</v>
      </c>
      <c r="CA534" s="253">
        <f t="shared" si="580"/>
        <v>3.0748170731707316</v>
      </c>
      <c r="CB534" s="253" cm="1">
        <f t="array" ref="CB534">$BC534 * SUMPRODUCT(INDEX($AL$77:$AN$82,,$AE534),INDEX($AO$77:$AU$82,,$AD534), N($AK$77:$AK$82&gt;$AI534)) / CA534 / 1000</f>
        <v>0</v>
      </c>
      <c r="CC534" s="250">
        <f t="shared" si="560"/>
        <v>30</v>
      </c>
      <c r="CD534" s="237">
        <f t="shared" si="581"/>
        <v>43</v>
      </c>
      <c r="CE534" s="253">
        <f t="shared" si="582"/>
        <v>3.5018750000000001</v>
      </c>
      <c r="CF534" s="253" cm="1">
        <f t="array" ref="CF534">$BC534 * IF($AD534&lt;=2,
SUMPRODUCT(INDEX($AL$72:$AN$76,,$AE534), INDEX($AO$72:$AU$76,,$AD534), 1 / ($AV$72:$AV$76*CE534 + (1-$AV$72:$AV$76)*CA534), N($AK$72:$AK$76&gt;$AI534)),
SUMPRODUCT(INDEX($AL$67:$AN$76,,$AE534), INDEX($AO$67:$AU$76,,$AD534), 1 / ($AW$67:$AW$76*CE534 + (1-$AW$67:$AW$76)*CA534), N($AK$67:$AK$76&gt;$AI534))
) / 1000</f>
        <v>0</v>
      </c>
      <c r="CG534" s="250">
        <f t="shared" si="561"/>
        <v>25</v>
      </c>
      <c r="CH534" s="237">
        <f t="shared" si="583"/>
        <v>38</v>
      </c>
      <c r="CI534" s="253">
        <f t="shared" si="584"/>
        <v>4.0666935483870965</v>
      </c>
      <c r="CJ534" s="253" cm="1">
        <f t="array" ref="CJ534">$BC534 * IF($AD534&lt;=2,
SUMPRODUCT(INDEX($AL$67:$AN$71,,$AE534), INDEX($AO$67:$AU$71,,$AD534), 1 / ($AV$67:$AV$71*CI534 + (1-$AV$67:$AV$71)*CE534), N($AK$67:$AK$71&gt;$AI534)),
SUMPRODUCT(INDEX($AL$57:$AN$66,,$AE534), INDEX($AO$57:$AU$66,,$AD534), 1 / ($AW$57:$AW$66*CI534 + (1-$AW$57:$AW$66)*CE534), N($AK$57:$AK$66&gt;$AI534))
) / 1000</f>
        <v>0</v>
      </c>
      <c r="CK534" s="250">
        <f t="shared" si="562"/>
        <v>20</v>
      </c>
      <c r="CL534" s="237">
        <f t="shared" si="585"/>
        <v>33</v>
      </c>
      <c r="CM534" s="253">
        <f t="shared" si="586"/>
        <v>4.8487499999999999</v>
      </c>
      <c r="CN534" s="253" cm="1">
        <f t="array" ref="CN534">$BC534 * IF($AD534&lt;=2,
SUMPRODUCT(INDEX($AL$62:$AN$66,,$AE534), INDEX($AO$62:$AU$66,,$AD534), 1 / ($AV$62:$AV$66*CM534 + (1-$AV$62:$AV$66)*CI534), N($AK$62:$AK$66&gt;$AI534)),
SUMPRODUCT(INDEX($AL$47:$AN$56,,$AE534), INDEX($AO$47:$AU$56,,$AD534), 1 / ($AW$47:$AW$56*CM534 + (1-$AW$47:$AW$56)*CI534), N($AK$47:$AK$56&gt;$AI534))
) / 1000</f>
        <v>0</v>
      </c>
      <c r="CO534" s="253" cm="1">
        <f t="array" ref="CO534">$BC534 * IF($AD534&lt;=2,
SUMPRODUCT(INDEX($AL$23:$AN$61,,$AE534), INDEX($AO$23:$AU$61,,$AD534), 1 / ($AV$23:$AV$61*CM534), N($AK$23:$AK$61&gt;$AI534)),
SUMPRODUCT(INDEX($AL$23:$AN$46,,$AE534), INDEX($AO$23:$AU$46,,$AD534), 1 / ($AW$23:$AW$46*CM534), N($AK$23:$AK$46&gt;$AI534))
) / 1000</f>
        <v>0</v>
      </c>
      <c r="CP534" s="237">
        <f t="shared" si="587"/>
        <v>0</v>
      </c>
      <c r="CQ534" s="210"/>
    </row>
    <row r="535" spans="1:95" s="76" customFormat="1" ht="14.25" customHeight="1" x14ac:dyDescent="0.2">
      <c r="A535" s="238" t="b">
        <f t="shared" si="591"/>
        <v>0</v>
      </c>
      <c r="B535" s="239">
        <v>513</v>
      </c>
      <c r="C535" s="258"/>
      <c r="D535" s="258"/>
      <c r="E535" s="240"/>
      <c r="F535" s="241" t="str">
        <f>IF(ISBLANK(E535), "", VLOOKUP(E535, Z!$A$2:$C$4127, 3, FALSE))</f>
        <v/>
      </c>
      <c r="G535" s="242"/>
      <c r="H535" s="242"/>
      <c r="I535" s="243"/>
      <c r="J535" s="244"/>
      <c r="K535" s="259"/>
      <c r="L535" s="260"/>
      <c r="M535" s="247" t="str" cm="1">
        <f t="array" ref="M535">IF($K535&gt;0, INDEX(Clean,1+AG535,$C$1), "")</f>
        <v/>
      </c>
      <c r="N535" s="245"/>
      <c r="O535" s="245"/>
      <c r="P535" s="246"/>
      <c r="Q535" s="248">
        <f t="shared" si="564"/>
        <v>0</v>
      </c>
      <c r="R535" s="247" t="str" cm="1">
        <f t="array" ref="R535">IF($K535&gt;0, INDEX(Clean,1+AH535,$C$1), "")</f>
        <v/>
      </c>
      <c r="S535" s="245"/>
      <c r="T535" s="245"/>
      <c r="U535" s="246"/>
      <c r="V535" s="248">
        <f t="shared" si="565"/>
        <v>0</v>
      </c>
      <c r="W535" s="261"/>
      <c r="X535" s="258"/>
      <c r="Y535" s="240"/>
      <c r="Z535" s="241" t="str">
        <f>IF(ISBLANK(Y535), "", VLOOKUP(Y535, Z!$A$2:$C$4127, 3, FALSE))</f>
        <v/>
      </c>
      <c r="AA535" s="262"/>
      <c r="AB535" s="249">
        <f t="shared" si="563"/>
        <v>0</v>
      </c>
      <c r="AC535" s="210"/>
      <c r="AD535" s="236">
        <f t="shared" si="588"/>
        <v>1</v>
      </c>
      <c r="AE535" s="236">
        <f t="shared" si="589"/>
        <v>1</v>
      </c>
      <c r="AF535" s="236">
        <f t="shared" si="590"/>
        <v>0</v>
      </c>
      <c r="AG535" s="236">
        <v>1</v>
      </c>
      <c r="AH535" s="236">
        <v>0</v>
      </c>
      <c r="AI535" s="236">
        <f t="shared" si="566"/>
        <v>-100</v>
      </c>
      <c r="AJ535" s="210"/>
      <c r="AK535" s="254"/>
      <c r="AL535" s="254"/>
      <c r="AM535" s="255"/>
      <c r="AN535" s="255"/>
      <c r="AO535" s="255"/>
      <c r="AP535" s="255"/>
      <c r="AQ535" s="255"/>
      <c r="AR535" s="255"/>
      <c r="AS535" s="255"/>
      <c r="AT535" s="255"/>
      <c r="AU535" s="255"/>
      <c r="AV535" s="255"/>
      <c r="AW535" s="255"/>
      <c r="AX535" s="210"/>
      <c r="AY535" s="236" cm="1">
        <f t="array" ref="AY535">INDEX(Use, $AD535, 4)</f>
        <v>7</v>
      </c>
      <c r="AZ535" s="236">
        <f t="shared" si="567"/>
        <v>32</v>
      </c>
      <c r="BA535" s="236">
        <f t="shared" ref="BA535:BA598" si="592">IF($AF535=1, 6, IF($AD535=4, 10, 13))</f>
        <v>13</v>
      </c>
      <c r="BB535" s="236">
        <f t="shared" ref="BB535:BB598" si="593">IF($AF535=1, 9, 0)</f>
        <v>0</v>
      </c>
      <c r="BC535" s="252" cm="1">
        <f t="array" ref="BC535">K535/IF($L535&gt;0, INDEX($AO$23:$AU$77, $L535+20, $AD535), 1)</f>
        <v>0</v>
      </c>
      <c r="BD535" s="237">
        <f t="shared" si="568"/>
        <v>0</v>
      </c>
      <c r="BE535" s="236">
        <v>35</v>
      </c>
      <c r="BF535" s="237">
        <f t="shared" si="569"/>
        <v>52.55</v>
      </c>
      <c r="BG535" s="253">
        <f t="shared" si="570"/>
        <v>2.7676728869374316</v>
      </c>
      <c r="BH535" s="253" cm="1">
        <f t="array" ref="BH535">$BC535 * SUMPRODUCT(INDEX($AL$77:$AN$82,,$AE535),INDEX($AO$77:$AU$82,,$AD535), N($AK$77:$AK$82&gt;$AI535)) / BG535 / 1000</f>
        <v>0</v>
      </c>
      <c r="BI535" s="250">
        <f t="shared" ref="BI535:BI598" si="594">IF($AD535&lt;=2, 30, 25)</f>
        <v>30</v>
      </c>
      <c r="BJ535" s="237">
        <f t="shared" si="571"/>
        <v>46.033333333333331</v>
      </c>
      <c r="BK535" s="253">
        <f t="shared" si="572"/>
        <v>3.2297395388556791</v>
      </c>
      <c r="BL535" s="253" cm="1">
        <f t="array" ref="BL535">$BC535 * IF($AD535&lt;=2,
SUMPRODUCT(INDEX($AL$72:$AN$76,,$AE535), INDEX($AO$72:$AU$76,,$AD535), 1 / ($AV$72:$AV$76*BK535 + (1-$AV$72:$AV$76)*BG535), N($AK$72:$AK$76&gt;$AI535)),
SUMPRODUCT(INDEX($AL$67:$AN$76,,$AE535), INDEX($AO$67:$AU$76,,$AD535), 1 / ($AW$67:$AW$76*BK535 + (1-$AW$67:$AW$76)*BG535), N($AK$67:$AK$76&gt;$AI535))
) / 1000</f>
        <v>0</v>
      </c>
      <c r="BM535" s="250">
        <f t="shared" ref="BM535:BM598" si="595">IF($AD535&lt;=2, 25, 15)</f>
        <v>25</v>
      </c>
      <c r="BN535" s="237">
        <f t="shared" si="573"/>
        <v>39.516666666666666</v>
      </c>
      <c r="BO535" s="253">
        <f t="shared" si="574"/>
        <v>3.877011788826243</v>
      </c>
      <c r="BP535" s="253" cm="1">
        <f t="array" ref="BP535">$BC535 * IF($AD535&lt;=2,
SUMPRODUCT(INDEX($AL$67:$AN$71,,$AE535), INDEX($AO$67:$AU$71,,$AD535), 1 / ($AV$67:$AV$71*BO535 + (1-$AV$67:$AV$71)*BK535), N($AK$67:$AK$71&gt;$AI535)),
SUMPRODUCT(INDEX($AL$57:$AN$66,,$AE535), INDEX($AO$57:$AU$66,,$AD535), 1 / ($AW$57:$AW$66*BO535 + (1-$AW$57:$AW$66)*BK535), N($AK$57:$AK$66&gt;$AI535))
) / 1000</f>
        <v>0</v>
      </c>
      <c r="BQ535" s="250">
        <f t="shared" ref="BQ535:BQ598" si="596">IF($AD535&lt;=2, 20, 5)</f>
        <v>20</v>
      </c>
      <c r="BR535" s="237">
        <f t="shared" si="575"/>
        <v>33</v>
      </c>
      <c r="BS535" s="253">
        <f t="shared" si="576"/>
        <v>4.8487499999999999</v>
      </c>
      <c r="BT535" s="253" cm="1">
        <f t="array" ref="BT535">$BC535 * IF($AD535&lt;=2,
SUMPRODUCT(INDEX($AL$62:$AN$66,,$AE535), INDEX($AO$62:$AU$66,,$AD535), 1 / ($AV$62:$AV$66*BS535 + (1-$AV$62:$AV$66)*BO535), N($AK$62:$AK$66&gt;$AI535)),
SUMPRODUCT(INDEX($AL$47:$AN$56,,$AE535), INDEX($AO$47:$AU$56,,$AD535), 1 / ($AW$47:$AW$56*BS535 + (1-$AW$47:$AW$56)*BO535), N($AK$47:$AK$56&gt;$AI535))
) / 1000</f>
        <v>0</v>
      </c>
      <c r="BU535" s="253" cm="1">
        <f t="array" ref="BU535">$BC535 * IF($AD535&lt;=2,
SUMPRODUCT(INDEX($AL$23:$AN$61,,$AE535), INDEX($AO$23:$AU$61,,$AD535), 1 / ($AV$23:$AV$61*BS535), N($AK$23:$AK$61&gt;$AI535)),
SUMPRODUCT(INDEX($AL$23:$AN$46,,$AE535), INDEX($AO$23:$AU$46,,$AD535), 1 / ($AW$23:$AW$46*BS535), N($AK$23:$AK$46&gt;$AI535))
) / 1000</f>
        <v>0</v>
      </c>
      <c r="BV535" s="237">
        <f t="shared" si="577"/>
        <v>0</v>
      </c>
      <c r="BW535" s="210"/>
      <c r="BX535" s="237">
        <f t="shared" si="578"/>
        <v>0</v>
      </c>
      <c r="BY535" s="236">
        <v>35</v>
      </c>
      <c r="BZ535" s="237">
        <f t="shared" si="579"/>
        <v>48</v>
      </c>
      <c r="CA535" s="253">
        <f t="shared" si="580"/>
        <v>3.0748170731707316</v>
      </c>
      <c r="CB535" s="253" cm="1">
        <f t="array" ref="CB535">$BC535 * SUMPRODUCT(INDEX($AL$77:$AN$82,,$AE535),INDEX($AO$77:$AU$82,,$AD535), N($AK$77:$AK$82&gt;$AI535)) / CA535 / 1000</f>
        <v>0</v>
      </c>
      <c r="CC535" s="250">
        <f t="shared" ref="CC535:CC598" si="597">IF($AD535&lt;=2, 30, 25)</f>
        <v>30</v>
      </c>
      <c r="CD535" s="237">
        <f t="shared" si="581"/>
        <v>43</v>
      </c>
      <c r="CE535" s="253">
        <f t="shared" si="582"/>
        <v>3.5018750000000001</v>
      </c>
      <c r="CF535" s="253" cm="1">
        <f t="array" ref="CF535">$BC535 * IF($AD535&lt;=2,
SUMPRODUCT(INDEX($AL$72:$AN$76,,$AE535), INDEX($AO$72:$AU$76,,$AD535), 1 / ($AV$72:$AV$76*CE535 + (1-$AV$72:$AV$76)*CA535), N($AK$72:$AK$76&gt;$AI535)),
SUMPRODUCT(INDEX($AL$67:$AN$76,,$AE535), INDEX($AO$67:$AU$76,,$AD535), 1 / ($AW$67:$AW$76*CE535 + (1-$AW$67:$AW$76)*CA535), N($AK$67:$AK$76&gt;$AI535))
) / 1000</f>
        <v>0</v>
      </c>
      <c r="CG535" s="250">
        <f t="shared" ref="CG535:CG598" si="598">IF($AD535&lt;=2, 25, 15)</f>
        <v>25</v>
      </c>
      <c r="CH535" s="237">
        <f t="shared" si="583"/>
        <v>38</v>
      </c>
      <c r="CI535" s="253">
        <f t="shared" si="584"/>
        <v>4.0666935483870965</v>
      </c>
      <c r="CJ535" s="253" cm="1">
        <f t="array" ref="CJ535">$BC535 * IF($AD535&lt;=2,
SUMPRODUCT(INDEX($AL$67:$AN$71,,$AE535), INDEX($AO$67:$AU$71,,$AD535), 1 / ($AV$67:$AV$71*CI535 + (1-$AV$67:$AV$71)*CE535), N($AK$67:$AK$71&gt;$AI535)),
SUMPRODUCT(INDEX($AL$57:$AN$66,,$AE535), INDEX($AO$57:$AU$66,,$AD535), 1 / ($AW$57:$AW$66*CI535 + (1-$AW$57:$AW$66)*CE535), N($AK$57:$AK$66&gt;$AI535))
) / 1000</f>
        <v>0</v>
      </c>
      <c r="CK535" s="250">
        <f t="shared" ref="CK535:CK598" si="599">IF($AD535&lt;=2, 20, 5)</f>
        <v>20</v>
      </c>
      <c r="CL535" s="237">
        <f t="shared" si="585"/>
        <v>33</v>
      </c>
      <c r="CM535" s="253">
        <f t="shared" si="586"/>
        <v>4.8487499999999999</v>
      </c>
      <c r="CN535" s="253" cm="1">
        <f t="array" ref="CN535">$BC535 * IF($AD535&lt;=2,
SUMPRODUCT(INDEX($AL$62:$AN$66,,$AE535), INDEX($AO$62:$AU$66,,$AD535), 1 / ($AV$62:$AV$66*CM535 + (1-$AV$62:$AV$66)*CI535), N($AK$62:$AK$66&gt;$AI535)),
SUMPRODUCT(INDEX($AL$47:$AN$56,,$AE535), INDEX($AO$47:$AU$56,,$AD535), 1 / ($AW$47:$AW$56*CM535 + (1-$AW$47:$AW$56)*CI535), N($AK$47:$AK$56&gt;$AI535))
) / 1000</f>
        <v>0</v>
      </c>
      <c r="CO535" s="253" cm="1">
        <f t="array" ref="CO535">$BC535 * IF($AD535&lt;=2,
SUMPRODUCT(INDEX($AL$23:$AN$61,,$AE535), INDEX($AO$23:$AU$61,,$AD535), 1 / ($AV$23:$AV$61*CM535), N($AK$23:$AK$61&gt;$AI535)),
SUMPRODUCT(INDEX($AL$23:$AN$46,,$AE535), INDEX($AO$23:$AU$46,,$AD535), 1 / ($AW$23:$AW$46*CM535), N($AK$23:$AK$46&gt;$AI535))
) / 1000</f>
        <v>0</v>
      </c>
      <c r="CP535" s="237">
        <f t="shared" si="587"/>
        <v>0</v>
      </c>
      <c r="CQ535" s="210"/>
    </row>
    <row r="536" spans="1:95" s="76" customFormat="1" ht="14.25" customHeight="1" x14ac:dyDescent="0.2">
      <c r="A536" s="238" t="b">
        <f t="shared" si="591"/>
        <v>0</v>
      </c>
      <c r="B536" s="239">
        <v>514</v>
      </c>
      <c r="C536" s="258"/>
      <c r="D536" s="258"/>
      <c r="E536" s="240"/>
      <c r="F536" s="241" t="str">
        <f>IF(ISBLANK(E536), "", VLOOKUP(E536, Z!$A$2:$C$4127, 3, FALSE))</f>
        <v/>
      </c>
      <c r="G536" s="242"/>
      <c r="H536" s="242"/>
      <c r="I536" s="243"/>
      <c r="J536" s="244"/>
      <c r="K536" s="259"/>
      <c r="L536" s="260"/>
      <c r="M536" s="247" t="str" cm="1">
        <f t="array" ref="M536">IF($K536&gt;0, INDEX(Clean,1+AG536,$C$1), "")</f>
        <v/>
      </c>
      <c r="N536" s="245"/>
      <c r="O536" s="245"/>
      <c r="P536" s="246"/>
      <c r="Q536" s="248">
        <f t="shared" si="564"/>
        <v>0</v>
      </c>
      <c r="R536" s="247" t="str" cm="1">
        <f t="array" ref="R536">IF($K536&gt;0, INDEX(Clean,1+AH536,$C$1), "")</f>
        <v/>
      </c>
      <c r="S536" s="245"/>
      <c r="T536" s="245"/>
      <c r="U536" s="246"/>
      <c r="V536" s="248">
        <f t="shared" si="565"/>
        <v>0</v>
      </c>
      <c r="W536" s="261"/>
      <c r="X536" s="258"/>
      <c r="Y536" s="240"/>
      <c r="Z536" s="241" t="str">
        <f>IF(ISBLANK(Y536), "", VLOOKUP(Y536, Z!$A$2:$C$4127, 3, FALSE))</f>
        <v/>
      </c>
      <c r="AA536" s="262"/>
      <c r="AB536" s="249">
        <f t="shared" ref="AB536:AB599" si="600">0.75*$AJ$22*(Q536-V536)</f>
        <v>0</v>
      </c>
      <c r="AC536" s="210"/>
      <c r="AD536" s="236">
        <f t="shared" si="588"/>
        <v>1</v>
      </c>
      <c r="AE536" s="236">
        <f t="shared" si="589"/>
        <v>1</v>
      </c>
      <c r="AF536" s="236">
        <f t="shared" si="590"/>
        <v>0</v>
      </c>
      <c r="AG536" s="236">
        <v>1</v>
      </c>
      <c r="AH536" s="236">
        <v>0</v>
      </c>
      <c r="AI536" s="236">
        <f t="shared" si="566"/>
        <v>-100</v>
      </c>
      <c r="AJ536" s="210"/>
      <c r="AK536" s="254"/>
      <c r="AL536" s="254"/>
      <c r="AM536" s="255"/>
      <c r="AN536" s="255"/>
      <c r="AO536" s="255"/>
      <c r="AP536" s="255"/>
      <c r="AQ536" s="255"/>
      <c r="AR536" s="255"/>
      <c r="AS536" s="255"/>
      <c r="AT536" s="255"/>
      <c r="AU536" s="255"/>
      <c r="AV536" s="255"/>
      <c r="AW536" s="255"/>
      <c r="AX536" s="210"/>
      <c r="AY536" s="236" cm="1">
        <f t="array" ref="AY536">INDEX(Use, $AD536, 4)</f>
        <v>7</v>
      </c>
      <c r="AZ536" s="236">
        <f t="shared" si="567"/>
        <v>32</v>
      </c>
      <c r="BA536" s="236">
        <f t="shared" si="592"/>
        <v>13</v>
      </c>
      <c r="BB536" s="236">
        <f t="shared" si="593"/>
        <v>0</v>
      </c>
      <c r="BC536" s="252" cm="1">
        <f t="array" ref="BC536">K536/IF($L536&gt;0, INDEX($AO$23:$AU$77, $L536+20, $AD536), 1)</f>
        <v>0</v>
      </c>
      <c r="BD536" s="237">
        <f t="shared" si="568"/>
        <v>0</v>
      </c>
      <c r="BE536" s="236">
        <v>35</v>
      </c>
      <c r="BF536" s="237">
        <f t="shared" si="569"/>
        <v>52.55</v>
      </c>
      <c r="BG536" s="253">
        <f t="shared" si="570"/>
        <v>2.7676728869374316</v>
      </c>
      <c r="BH536" s="253" cm="1">
        <f t="array" ref="BH536">$BC536 * SUMPRODUCT(INDEX($AL$77:$AN$82,,$AE536),INDEX($AO$77:$AU$82,,$AD536), N($AK$77:$AK$82&gt;$AI536)) / BG536 / 1000</f>
        <v>0</v>
      </c>
      <c r="BI536" s="250">
        <f t="shared" si="594"/>
        <v>30</v>
      </c>
      <c r="BJ536" s="237">
        <f t="shared" si="571"/>
        <v>46.033333333333331</v>
      </c>
      <c r="BK536" s="253">
        <f t="shared" si="572"/>
        <v>3.2297395388556791</v>
      </c>
      <c r="BL536" s="253" cm="1">
        <f t="array" ref="BL536">$BC536 * IF($AD536&lt;=2,
SUMPRODUCT(INDEX($AL$72:$AN$76,,$AE536), INDEX($AO$72:$AU$76,,$AD536), 1 / ($AV$72:$AV$76*BK536 + (1-$AV$72:$AV$76)*BG536), N($AK$72:$AK$76&gt;$AI536)),
SUMPRODUCT(INDEX($AL$67:$AN$76,,$AE536), INDEX($AO$67:$AU$76,,$AD536), 1 / ($AW$67:$AW$76*BK536 + (1-$AW$67:$AW$76)*BG536), N($AK$67:$AK$76&gt;$AI536))
) / 1000</f>
        <v>0</v>
      </c>
      <c r="BM536" s="250">
        <f t="shared" si="595"/>
        <v>25</v>
      </c>
      <c r="BN536" s="237">
        <f t="shared" si="573"/>
        <v>39.516666666666666</v>
      </c>
      <c r="BO536" s="253">
        <f t="shared" si="574"/>
        <v>3.877011788826243</v>
      </c>
      <c r="BP536" s="253" cm="1">
        <f t="array" ref="BP536">$BC536 * IF($AD536&lt;=2,
SUMPRODUCT(INDEX($AL$67:$AN$71,,$AE536), INDEX($AO$67:$AU$71,,$AD536), 1 / ($AV$67:$AV$71*BO536 + (1-$AV$67:$AV$71)*BK536), N($AK$67:$AK$71&gt;$AI536)),
SUMPRODUCT(INDEX($AL$57:$AN$66,,$AE536), INDEX($AO$57:$AU$66,,$AD536), 1 / ($AW$57:$AW$66*BO536 + (1-$AW$57:$AW$66)*BK536), N($AK$57:$AK$66&gt;$AI536))
) / 1000</f>
        <v>0</v>
      </c>
      <c r="BQ536" s="250">
        <f t="shared" si="596"/>
        <v>20</v>
      </c>
      <c r="BR536" s="237">
        <f t="shared" si="575"/>
        <v>33</v>
      </c>
      <c r="BS536" s="253">
        <f t="shared" si="576"/>
        <v>4.8487499999999999</v>
      </c>
      <c r="BT536" s="253" cm="1">
        <f t="array" ref="BT536">$BC536 * IF($AD536&lt;=2,
SUMPRODUCT(INDEX($AL$62:$AN$66,,$AE536), INDEX($AO$62:$AU$66,,$AD536), 1 / ($AV$62:$AV$66*BS536 + (1-$AV$62:$AV$66)*BO536), N($AK$62:$AK$66&gt;$AI536)),
SUMPRODUCT(INDEX($AL$47:$AN$56,,$AE536), INDEX($AO$47:$AU$56,,$AD536), 1 / ($AW$47:$AW$56*BS536 + (1-$AW$47:$AW$56)*BO536), N($AK$47:$AK$56&gt;$AI536))
) / 1000</f>
        <v>0</v>
      </c>
      <c r="BU536" s="253" cm="1">
        <f t="array" ref="BU536">$BC536 * IF($AD536&lt;=2,
SUMPRODUCT(INDEX($AL$23:$AN$61,,$AE536), INDEX($AO$23:$AU$61,,$AD536), 1 / ($AV$23:$AV$61*BS536), N($AK$23:$AK$61&gt;$AI536)),
SUMPRODUCT(INDEX($AL$23:$AN$46,,$AE536), INDEX($AO$23:$AU$46,,$AD536), 1 / ($AW$23:$AW$46*BS536), N($AK$23:$AK$46&gt;$AI536))
) / 1000</f>
        <v>0</v>
      </c>
      <c r="BV536" s="237">
        <f t="shared" si="577"/>
        <v>0</v>
      </c>
      <c r="BW536" s="210"/>
      <c r="BX536" s="237">
        <f t="shared" si="578"/>
        <v>0</v>
      </c>
      <c r="BY536" s="236">
        <v>35</v>
      </c>
      <c r="BZ536" s="237">
        <f t="shared" si="579"/>
        <v>48</v>
      </c>
      <c r="CA536" s="253">
        <f t="shared" si="580"/>
        <v>3.0748170731707316</v>
      </c>
      <c r="CB536" s="253" cm="1">
        <f t="array" ref="CB536">$BC536 * SUMPRODUCT(INDEX($AL$77:$AN$82,,$AE536),INDEX($AO$77:$AU$82,,$AD536), N($AK$77:$AK$82&gt;$AI536)) / CA536 / 1000</f>
        <v>0</v>
      </c>
      <c r="CC536" s="250">
        <f t="shared" si="597"/>
        <v>30</v>
      </c>
      <c r="CD536" s="237">
        <f t="shared" si="581"/>
        <v>43</v>
      </c>
      <c r="CE536" s="253">
        <f t="shared" si="582"/>
        <v>3.5018750000000001</v>
      </c>
      <c r="CF536" s="253" cm="1">
        <f t="array" ref="CF536">$BC536 * IF($AD536&lt;=2,
SUMPRODUCT(INDEX($AL$72:$AN$76,,$AE536), INDEX($AO$72:$AU$76,,$AD536), 1 / ($AV$72:$AV$76*CE536 + (1-$AV$72:$AV$76)*CA536), N($AK$72:$AK$76&gt;$AI536)),
SUMPRODUCT(INDEX($AL$67:$AN$76,,$AE536), INDEX($AO$67:$AU$76,,$AD536), 1 / ($AW$67:$AW$76*CE536 + (1-$AW$67:$AW$76)*CA536), N($AK$67:$AK$76&gt;$AI536))
) / 1000</f>
        <v>0</v>
      </c>
      <c r="CG536" s="250">
        <f t="shared" si="598"/>
        <v>25</v>
      </c>
      <c r="CH536" s="237">
        <f t="shared" si="583"/>
        <v>38</v>
      </c>
      <c r="CI536" s="253">
        <f t="shared" si="584"/>
        <v>4.0666935483870965</v>
      </c>
      <c r="CJ536" s="253" cm="1">
        <f t="array" ref="CJ536">$BC536 * IF($AD536&lt;=2,
SUMPRODUCT(INDEX($AL$67:$AN$71,,$AE536), INDEX($AO$67:$AU$71,,$AD536), 1 / ($AV$67:$AV$71*CI536 + (1-$AV$67:$AV$71)*CE536), N($AK$67:$AK$71&gt;$AI536)),
SUMPRODUCT(INDEX($AL$57:$AN$66,,$AE536), INDEX($AO$57:$AU$66,,$AD536), 1 / ($AW$57:$AW$66*CI536 + (1-$AW$57:$AW$66)*CE536), N($AK$57:$AK$66&gt;$AI536))
) / 1000</f>
        <v>0</v>
      </c>
      <c r="CK536" s="250">
        <f t="shared" si="599"/>
        <v>20</v>
      </c>
      <c r="CL536" s="237">
        <f t="shared" si="585"/>
        <v>33</v>
      </c>
      <c r="CM536" s="253">
        <f t="shared" si="586"/>
        <v>4.8487499999999999</v>
      </c>
      <c r="CN536" s="253" cm="1">
        <f t="array" ref="CN536">$BC536 * IF($AD536&lt;=2,
SUMPRODUCT(INDEX($AL$62:$AN$66,,$AE536), INDEX($AO$62:$AU$66,,$AD536), 1 / ($AV$62:$AV$66*CM536 + (1-$AV$62:$AV$66)*CI536), N($AK$62:$AK$66&gt;$AI536)),
SUMPRODUCT(INDEX($AL$47:$AN$56,,$AE536), INDEX($AO$47:$AU$56,,$AD536), 1 / ($AW$47:$AW$56*CM536 + (1-$AW$47:$AW$56)*CI536), N($AK$47:$AK$56&gt;$AI536))
) / 1000</f>
        <v>0</v>
      </c>
      <c r="CO536" s="253" cm="1">
        <f t="array" ref="CO536">$BC536 * IF($AD536&lt;=2,
SUMPRODUCT(INDEX($AL$23:$AN$61,,$AE536), INDEX($AO$23:$AU$61,,$AD536), 1 / ($AV$23:$AV$61*CM536), N($AK$23:$AK$61&gt;$AI536)),
SUMPRODUCT(INDEX($AL$23:$AN$46,,$AE536), INDEX($AO$23:$AU$46,,$AD536), 1 / ($AW$23:$AW$46*CM536), N($AK$23:$AK$46&gt;$AI536))
) / 1000</f>
        <v>0</v>
      </c>
      <c r="CP536" s="237">
        <f t="shared" si="587"/>
        <v>0</v>
      </c>
      <c r="CQ536" s="210"/>
    </row>
    <row r="537" spans="1:95" s="76" customFormat="1" ht="14.25" customHeight="1" x14ac:dyDescent="0.2">
      <c r="A537" s="238" t="b">
        <f t="shared" si="591"/>
        <v>0</v>
      </c>
      <c r="B537" s="239">
        <v>515</v>
      </c>
      <c r="C537" s="258"/>
      <c r="D537" s="258"/>
      <c r="E537" s="240"/>
      <c r="F537" s="241" t="str">
        <f>IF(ISBLANK(E537), "", VLOOKUP(E537, Z!$A$2:$C$4127, 3, FALSE))</f>
        <v/>
      </c>
      <c r="G537" s="242"/>
      <c r="H537" s="242"/>
      <c r="I537" s="243"/>
      <c r="J537" s="244"/>
      <c r="K537" s="259"/>
      <c r="L537" s="260"/>
      <c r="M537" s="247" t="str" cm="1">
        <f t="array" ref="M537">IF($K537&gt;0, INDEX(Clean,1+AG537,$C$1), "")</f>
        <v/>
      </c>
      <c r="N537" s="245"/>
      <c r="O537" s="245"/>
      <c r="P537" s="246"/>
      <c r="Q537" s="248">
        <f t="shared" si="564"/>
        <v>0</v>
      </c>
      <c r="R537" s="247" t="str" cm="1">
        <f t="array" ref="R537">IF($K537&gt;0, INDEX(Clean,1+AH537,$C$1), "")</f>
        <v/>
      </c>
      <c r="S537" s="245"/>
      <c r="T537" s="245"/>
      <c r="U537" s="246"/>
      <c r="V537" s="248">
        <f t="shared" si="565"/>
        <v>0</v>
      </c>
      <c r="W537" s="261"/>
      <c r="X537" s="258"/>
      <c r="Y537" s="240"/>
      <c r="Z537" s="241" t="str">
        <f>IF(ISBLANK(Y537), "", VLOOKUP(Y537, Z!$A$2:$C$4127, 3, FALSE))</f>
        <v/>
      </c>
      <c r="AA537" s="262"/>
      <c r="AB537" s="249">
        <f t="shared" si="600"/>
        <v>0</v>
      </c>
      <c r="AC537" s="210"/>
      <c r="AD537" s="236">
        <f t="shared" si="588"/>
        <v>1</v>
      </c>
      <c r="AE537" s="236">
        <f t="shared" si="589"/>
        <v>1</v>
      </c>
      <c r="AF537" s="236">
        <f t="shared" si="590"/>
        <v>0</v>
      </c>
      <c r="AG537" s="236">
        <v>1</v>
      </c>
      <c r="AH537" s="236">
        <v>0</v>
      </c>
      <c r="AI537" s="236">
        <f t="shared" si="566"/>
        <v>-100</v>
      </c>
      <c r="AJ537" s="210"/>
      <c r="AK537" s="254"/>
      <c r="AL537" s="254"/>
      <c r="AM537" s="255"/>
      <c r="AN537" s="255"/>
      <c r="AO537" s="255"/>
      <c r="AP537" s="255"/>
      <c r="AQ537" s="255"/>
      <c r="AR537" s="255"/>
      <c r="AS537" s="255"/>
      <c r="AT537" s="255"/>
      <c r="AU537" s="255"/>
      <c r="AV537" s="255"/>
      <c r="AW537" s="255"/>
      <c r="AX537" s="210"/>
      <c r="AY537" s="236" cm="1">
        <f t="array" ref="AY537">INDEX(Use, $AD537, 4)</f>
        <v>7</v>
      </c>
      <c r="AZ537" s="236">
        <f t="shared" si="567"/>
        <v>32</v>
      </c>
      <c r="BA537" s="236">
        <f t="shared" si="592"/>
        <v>13</v>
      </c>
      <c r="BB537" s="236">
        <f t="shared" si="593"/>
        <v>0</v>
      </c>
      <c r="BC537" s="252" cm="1">
        <f t="array" ref="BC537">K537/IF($L537&gt;0, INDEX($AO$23:$AU$77, $L537+20, $AD537), 1)</f>
        <v>0</v>
      </c>
      <c r="BD537" s="237">
        <f t="shared" si="568"/>
        <v>0</v>
      </c>
      <c r="BE537" s="236">
        <v>35</v>
      </c>
      <c r="BF537" s="237">
        <f t="shared" si="569"/>
        <v>52.55</v>
      </c>
      <c r="BG537" s="253">
        <f t="shared" si="570"/>
        <v>2.7676728869374316</v>
      </c>
      <c r="BH537" s="253" cm="1">
        <f t="array" ref="BH537">$BC537 * SUMPRODUCT(INDEX($AL$77:$AN$82,,$AE537),INDEX($AO$77:$AU$82,,$AD537), N($AK$77:$AK$82&gt;$AI537)) / BG537 / 1000</f>
        <v>0</v>
      </c>
      <c r="BI537" s="250">
        <f t="shared" si="594"/>
        <v>30</v>
      </c>
      <c r="BJ537" s="237">
        <f t="shared" si="571"/>
        <v>46.033333333333331</v>
      </c>
      <c r="BK537" s="253">
        <f t="shared" si="572"/>
        <v>3.2297395388556791</v>
      </c>
      <c r="BL537" s="253" cm="1">
        <f t="array" ref="BL537">$BC537 * IF($AD537&lt;=2,
SUMPRODUCT(INDEX($AL$72:$AN$76,,$AE537), INDEX($AO$72:$AU$76,,$AD537), 1 / ($AV$72:$AV$76*BK537 + (1-$AV$72:$AV$76)*BG537), N($AK$72:$AK$76&gt;$AI537)),
SUMPRODUCT(INDEX($AL$67:$AN$76,,$AE537), INDEX($AO$67:$AU$76,,$AD537), 1 / ($AW$67:$AW$76*BK537 + (1-$AW$67:$AW$76)*BG537), N($AK$67:$AK$76&gt;$AI537))
) / 1000</f>
        <v>0</v>
      </c>
      <c r="BM537" s="250">
        <f t="shared" si="595"/>
        <v>25</v>
      </c>
      <c r="BN537" s="237">
        <f t="shared" si="573"/>
        <v>39.516666666666666</v>
      </c>
      <c r="BO537" s="253">
        <f t="shared" si="574"/>
        <v>3.877011788826243</v>
      </c>
      <c r="BP537" s="253" cm="1">
        <f t="array" ref="BP537">$BC537 * IF($AD537&lt;=2,
SUMPRODUCT(INDEX($AL$67:$AN$71,,$AE537), INDEX($AO$67:$AU$71,,$AD537), 1 / ($AV$67:$AV$71*BO537 + (1-$AV$67:$AV$71)*BK537), N($AK$67:$AK$71&gt;$AI537)),
SUMPRODUCT(INDEX($AL$57:$AN$66,,$AE537), INDEX($AO$57:$AU$66,,$AD537), 1 / ($AW$57:$AW$66*BO537 + (1-$AW$57:$AW$66)*BK537), N($AK$57:$AK$66&gt;$AI537))
) / 1000</f>
        <v>0</v>
      </c>
      <c r="BQ537" s="250">
        <f t="shared" si="596"/>
        <v>20</v>
      </c>
      <c r="BR537" s="237">
        <f t="shared" si="575"/>
        <v>33</v>
      </c>
      <c r="BS537" s="253">
        <f t="shared" si="576"/>
        <v>4.8487499999999999</v>
      </c>
      <c r="BT537" s="253" cm="1">
        <f t="array" ref="BT537">$BC537 * IF($AD537&lt;=2,
SUMPRODUCT(INDEX($AL$62:$AN$66,,$AE537), INDEX($AO$62:$AU$66,,$AD537), 1 / ($AV$62:$AV$66*BS537 + (1-$AV$62:$AV$66)*BO537), N($AK$62:$AK$66&gt;$AI537)),
SUMPRODUCT(INDEX($AL$47:$AN$56,,$AE537), INDEX($AO$47:$AU$56,,$AD537), 1 / ($AW$47:$AW$56*BS537 + (1-$AW$47:$AW$56)*BO537), N($AK$47:$AK$56&gt;$AI537))
) / 1000</f>
        <v>0</v>
      </c>
      <c r="BU537" s="253" cm="1">
        <f t="array" ref="BU537">$BC537 * IF($AD537&lt;=2,
SUMPRODUCT(INDEX($AL$23:$AN$61,,$AE537), INDEX($AO$23:$AU$61,,$AD537), 1 / ($AV$23:$AV$61*BS537), N($AK$23:$AK$61&gt;$AI537)),
SUMPRODUCT(INDEX($AL$23:$AN$46,,$AE537), INDEX($AO$23:$AU$46,,$AD537), 1 / ($AW$23:$AW$46*BS537), N($AK$23:$AK$46&gt;$AI537))
) / 1000</f>
        <v>0</v>
      </c>
      <c r="BV537" s="237">
        <f t="shared" si="577"/>
        <v>0</v>
      </c>
      <c r="BW537" s="210"/>
      <c r="BX537" s="237">
        <f t="shared" si="578"/>
        <v>0</v>
      </c>
      <c r="BY537" s="236">
        <v>35</v>
      </c>
      <c r="BZ537" s="237">
        <f t="shared" si="579"/>
        <v>48</v>
      </c>
      <c r="CA537" s="253">
        <f t="shared" si="580"/>
        <v>3.0748170731707316</v>
      </c>
      <c r="CB537" s="253" cm="1">
        <f t="array" ref="CB537">$BC537 * SUMPRODUCT(INDEX($AL$77:$AN$82,,$AE537),INDEX($AO$77:$AU$82,,$AD537), N($AK$77:$AK$82&gt;$AI537)) / CA537 / 1000</f>
        <v>0</v>
      </c>
      <c r="CC537" s="250">
        <f t="shared" si="597"/>
        <v>30</v>
      </c>
      <c r="CD537" s="237">
        <f t="shared" si="581"/>
        <v>43</v>
      </c>
      <c r="CE537" s="253">
        <f t="shared" si="582"/>
        <v>3.5018750000000001</v>
      </c>
      <c r="CF537" s="253" cm="1">
        <f t="array" ref="CF537">$BC537 * IF($AD537&lt;=2,
SUMPRODUCT(INDEX($AL$72:$AN$76,,$AE537), INDEX($AO$72:$AU$76,,$AD537), 1 / ($AV$72:$AV$76*CE537 + (1-$AV$72:$AV$76)*CA537), N($AK$72:$AK$76&gt;$AI537)),
SUMPRODUCT(INDEX($AL$67:$AN$76,,$AE537), INDEX($AO$67:$AU$76,,$AD537), 1 / ($AW$67:$AW$76*CE537 + (1-$AW$67:$AW$76)*CA537), N($AK$67:$AK$76&gt;$AI537))
) / 1000</f>
        <v>0</v>
      </c>
      <c r="CG537" s="250">
        <f t="shared" si="598"/>
        <v>25</v>
      </c>
      <c r="CH537" s="237">
        <f t="shared" si="583"/>
        <v>38</v>
      </c>
      <c r="CI537" s="253">
        <f t="shared" si="584"/>
        <v>4.0666935483870965</v>
      </c>
      <c r="CJ537" s="253" cm="1">
        <f t="array" ref="CJ537">$BC537 * IF($AD537&lt;=2,
SUMPRODUCT(INDEX($AL$67:$AN$71,,$AE537), INDEX($AO$67:$AU$71,,$AD537), 1 / ($AV$67:$AV$71*CI537 + (1-$AV$67:$AV$71)*CE537), N($AK$67:$AK$71&gt;$AI537)),
SUMPRODUCT(INDEX($AL$57:$AN$66,,$AE537), INDEX($AO$57:$AU$66,,$AD537), 1 / ($AW$57:$AW$66*CI537 + (1-$AW$57:$AW$66)*CE537), N($AK$57:$AK$66&gt;$AI537))
) / 1000</f>
        <v>0</v>
      </c>
      <c r="CK537" s="250">
        <f t="shared" si="599"/>
        <v>20</v>
      </c>
      <c r="CL537" s="237">
        <f t="shared" si="585"/>
        <v>33</v>
      </c>
      <c r="CM537" s="253">
        <f t="shared" si="586"/>
        <v>4.8487499999999999</v>
      </c>
      <c r="CN537" s="253" cm="1">
        <f t="array" ref="CN537">$BC537 * IF($AD537&lt;=2,
SUMPRODUCT(INDEX($AL$62:$AN$66,,$AE537), INDEX($AO$62:$AU$66,,$AD537), 1 / ($AV$62:$AV$66*CM537 + (1-$AV$62:$AV$66)*CI537), N($AK$62:$AK$66&gt;$AI537)),
SUMPRODUCT(INDEX($AL$47:$AN$56,,$AE537), INDEX($AO$47:$AU$56,,$AD537), 1 / ($AW$47:$AW$56*CM537 + (1-$AW$47:$AW$56)*CI537), N($AK$47:$AK$56&gt;$AI537))
) / 1000</f>
        <v>0</v>
      </c>
      <c r="CO537" s="253" cm="1">
        <f t="array" ref="CO537">$BC537 * IF($AD537&lt;=2,
SUMPRODUCT(INDEX($AL$23:$AN$61,,$AE537), INDEX($AO$23:$AU$61,,$AD537), 1 / ($AV$23:$AV$61*CM537), N($AK$23:$AK$61&gt;$AI537)),
SUMPRODUCT(INDEX($AL$23:$AN$46,,$AE537), INDEX($AO$23:$AU$46,,$AD537), 1 / ($AW$23:$AW$46*CM537), N($AK$23:$AK$46&gt;$AI537))
) / 1000</f>
        <v>0</v>
      </c>
      <c r="CP537" s="237">
        <f t="shared" si="587"/>
        <v>0</v>
      </c>
      <c r="CQ537" s="210"/>
    </row>
    <row r="538" spans="1:95" s="76" customFormat="1" ht="14.25" customHeight="1" x14ac:dyDescent="0.2">
      <c r="A538" s="238" t="b">
        <f t="shared" si="591"/>
        <v>0</v>
      </c>
      <c r="B538" s="239">
        <v>516</v>
      </c>
      <c r="C538" s="258"/>
      <c r="D538" s="258"/>
      <c r="E538" s="240"/>
      <c r="F538" s="241" t="str">
        <f>IF(ISBLANK(E538), "", VLOOKUP(E538, Z!$A$2:$C$4127, 3, FALSE))</f>
        <v/>
      </c>
      <c r="G538" s="242"/>
      <c r="H538" s="242"/>
      <c r="I538" s="243"/>
      <c r="J538" s="244"/>
      <c r="K538" s="259"/>
      <c r="L538" s="260"/>
      <c r="M538" s="247" t="str" cm="1">
        <f t="array" ref="M538">IF($K538&gt;0, INDEX(Clean,1+AG538,$C$1), "")</f>
        <v/>
      </c>
      <c r="N538" s="245"/>
      <c r="O538" s="245"/>
      <c r="P538" s="246"/>
      <c r="Q538" s="248">
        <f t="shared" si="564"/>
        <v>0</v>
      </c>
      <c r="R538" s="247" t="str" cm="1">
        <f t="array" ref="R538">IF($K538&gt;0, INDEX(Clean,1+AH538,$C$1), "")</f>
        <v/>
      </c>
      <c r="S538" s="245"/>
      <c r="T538" s="245"/>
      <c r="U538" s="246"/>
      <c r="V538" s="248">
        <f t="shared" si="565"/>
        <v>0</v>
      </c>
      <c r="W538" s="261"/>
      <c r="X538" s="258"/>
      <c r="Y538" s="240"/>
      <c r="Z538" s="241" t="str">
        <f>IF(ISBLANK(Y538), "", VLOOKUP(Y538, Z!$A$2:$C$4127, 3, FALSE))</f>
        <v/>
      </c>
      <c r="AA538" s="262"/>
      <c r="AB538" s="249">
        <f t="shared" si="600"/>
        <v>0</v>
      </c>
      <c r="AC538" s="210"/>
      <c r="AD538" s="236">
        <f t="shared" si="588"/>
        <v>1</v>
      </c>
      <c r="AE538" s="236">
        <f t="shared" si="589"/>
        <v>1</v>
      </c>
      <c r="AF538" s="236">
        <f t="shared" si="590"/>
        <v>0</v>
      </c>
      <c r="AG538" s="236">
        <v>1</v>
      </c>
      <c r="AH538" s="236">
        <v>0</v>
      </c>
      <c r="AI538" s="236">
        <f t="shared" si="566"/>
        <v>-100</v>
      </c>
      <c r="AJ538" s="210"/>
      <c r="AK538" s="254"/>
      <c r="AL538" s="254"/>
      <c r="AM538" s="255"/>
      <c r="AN538" s="255"/>
      <c r="AO538" s="255"/>
      <c r="AP538" s="255"/>
      <c r="AQ538" s="255"/>
      <c r="AR538" s="255"/>
      <c r="AS538" s="255"/>
      <c r="AT538" s="255"/>
      <c r="AU538" s="255"/>
      <c r="AV538" s="255"/>
      <c r="AW538" s="255"/>
      <c r="AX538" s="210"/>
      <c r="AY538" s="236" cm="1">
        <f t="array" ref="AY538">INDEX(Use, $AD538, 4)</f>
        <v>7</v>
      </c>
      <c r="AZ538" s="236">
        <f t="shared" si="567"/>
        <v>32</v>
      </c>
      <c r="BA538" s="236">
        <f t="shared" si="592"/>
        <v>13</v>
      </c>
      <c r="BB538" s="236">
        <f t="shared" si="593"/>
        <v>0</v>
      </c>
      <c r="BC538" s="252" cm="1">
        <f t="array" ref="BC538">K538/IF($L538&gt;0, INDEX($AO$23:$AU$77, $L538+20, $AD538), 1)</f>
        <v>0</v>
      </c>
      <c r="BD538" s="237">
        <f t="shared" si="568"/>
        <v>0</v>
      </c>
      <c r="BE538" s="236">
        <v>35</v>
      </c>
      <c r="BF538" s="237">
        <f t="shared" si="569"/>
        <v>52.55</v>
      </c>
      <c r="BG538" s="253">
        <f t="shared" si="570"/>
        <v>2.7676728869374316</v>
      </c>
      <c r="BH538" s="253" cm="1">
        <f t="array" ref="BH538">$BC538 * SUMPRODUCT(INDEX($AL$77:$AN$82,,$AE538),INDEX($AO$77:$AU$82,,$AD538), N($AK$77:$AK$82&gt;$AI538)) / BG538 / 1000</f>
        <v>0</v>
      </c>
      <c r="BI538" s="250">
        <f t="shared" si="594"/>
        <v>30</v>
      </c>
      <c r="BJ538" s="237">
        <f t="shared" si="571"/>
        <v>46.033333333333331</v>
      </c>
      <c r="BK538" s="253">
        <f t="shared" si="572"/>
        <v>3.2297395388556791</v>
      </c>
      <c r="BL538" s="253" cm="1">
        <f t="array" ref="BL538">$BC538 * IF($AD538&lt;=2,
SUMPRODUCT(INDEX($AL$72:$AN$76,,$AE538), INDEX($AO$72:$AU$76,,$AD538), 1 / ($AV$72:$AV$76*BK538 + (1-$AV$72:$AV$76)*BG538), N($AK$72:$AK$76&gt;$AI538)),
SUMPRODUCT(INDEX($AL$67:$AN$76,,$AE538), INDEX($AO$67:$AU$76,,$AD538), 1 / ($AW$67:$AW$76*BK538 + (1-$AW$67:$AW$76)*BG538), N($AK$67:$AK$76&gt;$AI538))
) / 1000</f>
        <v>0</v>
      </c>
      <c r="BM538" s="250">
        <f t="shared" si="595"/>
        <v>25</v>
      </c>
      <c r="BN538" s="237">
        <f t="shared" si="573"/>
        <v>39.516666666666666</v>
      </c>
      <c r="BO538" s="253">
        <f t="shared" si="574"/>
        <v>3.877011788826243</v>
      </c>
      <c r="BP538" s="253" cm="1">
        <f t="array" ref="BP538">$BC538 * IF($AD538&lt;=2,
SUMPRODUCT(INDEX($AL$67:$AN$71,,$AE538), INDEX($AO$67:$AU$71,,$AD538), 1 / ($AV$67:$AV$71*BO538 + (1-$AV$67:$AV$71)*BK538), N($AK$67:$AK$71&gt;$AI538)),
SUMPRODUCT(INDEX($AL$57:$AN$66,,$AE538), INDEX($AO$57:$AU$66,,$AD538), 1 / ($AW$57:$AW$66*BO538 + (1-$AW$57:$AW$66)*BK538), N($AK$57:$AK$66&gt;$AI538))
) / 1000</f>
        <v>0</v>
      </c>
      <c r="BQ538" s="250">
        <f t="shared" si="596"/>
        <v>20</v>
      </c>
      <c r="BR538" s="237">
        <f t="shared" si="575"/>
        <v>33</v>
      </c>
      <c r="BS538" s="253">
        <f t="shared" si="576"/>
        <v>4.8487499999999999</v>
      </c>
      <c r="BT538" s="253" cm="1">
        <f t="array" ref="BT538">$BC538 * IF($AD538&lt;=2,
SUMPRODUCT(INDEX($AL$62:$AN$66,,$AE538), INDEX($AO$62:$AU$66,,$AD538), 1 / ($AV$62:$AV$66*BS538 + (1-$AV$62:$AV$66)*BO538), N($AK$62:$AK$66&gt;$AI538)),
SUMPRODUCT(INDEX($AL$47:$AN$56,,$AE538), INDEX($AO$47:$AU$56,,$AD538), 1 / ($AW$47:$AW$56*BS538 + (1-$AW$47:$AW$56)*BO538), N($AK$47:$AK$56&gt;$AI538))
) / 1000</f>
        <v>0</v>
      </c>
      <c r="BU538" s="253" cm="1">
        <f t="array" ref="BU538">$BC538 * IF($AD538&lt;=2,
SUMPRODUCT(INDEX($AL$23:$AN$61,,$AE538), INDEX($AO$23:$AU$61,,$AD538), 1 / ($AV$23:$AV$61*BS538), N($AK$23:$AK$61&gt;$AI538)),
SUMPRODUCT(INDEX($AL$23:$AN$46,,$AE538), INDEX($AO$23:$AU$46,,$AD538), 1 / ($AW$23:$AW$46*BS538), N($AK$23:$AK$46&gt;$AI538))
) / 1000</f>
        <v>0</v>
      </c>
      <c r="BV538" s="237">
        <f t="shared" si="577"/>
        <v>0</v>
      </c>
      <c r="BW538" s="210"/>
      <c r="BX538" s="237">
        <f t="shared" si="578"/>
        <v>0</v>
      </c>
      <c r="BY538" s="236">
        <v>35</v>
      </c>
      <c r="BZ538" s="237">
        <f t="shared" si="579"/>
        <v>48</v>
      </c>
      <c r="CA538" s="253">
        <f t="shared" si="580"/>
        <v>3.0748170731707316</v>
      </c>
      <c r="CB538" s="253" cm="1">
        <f t="array" ref="CB538">$BC538 * SUMPRODUCT(INDEX($AL$77:$AN$82,,$AE538),INDEX($AO$77:$AU$82,,$AD538), N($AK$77:$AK$82&gt;$AI538)) / CA538 / 1000</f>
        <v>0</v>
      </c>
      <c r="CC538" s="250">
        <f t="shared" si="597"/>
        <v>30</v>
      </c>
      <c r="CD538" s="237">
        <f t="shared" si="581"/>
        <v>43</v>
      </c>
      <c r="CE538" s="253">
        <f t="shared" si="582"/>
        <v>3.5018750000000001</v>
      </c>
      <c r="CF538" s="253" cm="1">
        <f t="array" ref="CF538">$BC538 * IF($AD538&lt;=2,
SUMPRODUCT(INDEX($AL$72:$AN$76,,$AE538), INDEX($AO$72:$AU$76,,$AD538), 1 / ($AV$72:$AV$76*CE538 + (1-$AV$72:$AV$76)*CA538), N($AK$72:$AK$76&gt;$AI538)),
SUMPRODUCT(INDEX($AL$67:$AN$76,,$AE538), INDEX($AO$67:$AU$76,,$AD538), 1 / ($AW$67:$AW$76*CE538 + (1-$AW$67:$AW$76)*CA538), N($AK$67:$AK$76&gt;$AI538))
) / 1000</f>
        <v>0</v>
      </c>
      <c r="CG538" s="250">
        <f t="shared" si="598"/>
        <v>25</v>
      </c>
      <c r="CH538" s="237">
        <f t="shared" si="583"/>
        <v>38</v>
      </c>
      <c r="CI538" s="253">
        <f t="shared" si="584"/>
        <v>4.0666935483870965</v>
      </c>
      <c r="CJ538" s="253" cm="1">
        <f t="array" ref="CJ538">$BC538 * IF($AD538&lt;=2,
SUMPRODUCT(INDEX($AL$67:$AN$71,,$AE538), INDEX($AO$67:$AU$71,,$AD538), 1 / ($AV$67:$AV$71*CI538 + (1-$AV$67:$AV$71)*CE538), N($AK$67:$AK$71&gt;$AI538)),
SUMPRODUCT(INDEX($AL$57:$AN$66,,$AE538), INDEX($AO$57:$AU$66,,$AD538), 1 / ($AW$57:$AW$66*CI538 + (1-$AW$57:$AW$66)*CE538), N($AK$57:$AK$66&gt;$AI538))
) / 1000</f>
        <v>0</v>
      </c>
      <c r="CK538" s="250">
        <f t="shared" si="599"/>
        <v>20</v>
      </c>
      <c r="CL538" s="237">
        <f t="shared" si="585"/>
        <v>33</v>
      </c>
      <c r="CM538" s="253">
        <f t="shared" si="586"/>
        <v>4.8487499999999999</v>
      </c>
      <c r="CN538" s="253" cm="1">
        <f t="array" ref="CN538">$BC538 * IF($AD538&lt;=2,
SUMPRODUCT(INDEX($AL$62:$AN$66,,$AE538), INDEX($AO$62:$AU$66,,$AD538), 1 / ($AV$62:$AV$66*CM538 + (1-$AV$62:$AV$66)*CI538), N($AK$62:$AK$66&gt;$AI538)),
SUMPRODUCT(INDEX($AL$47:$AN$56,,$AE538), INDEX($AO$47:$AU$56,,$AD538), 1 / ($AW$47:$AW$56*CM538 + (1-$AW$47:$AW$56)*CI538), N($AK$47:$AK$56&gt;$AI538))
) / 1000</f>
        <v>0</v>
      </c>
      <c r="CO538" s="253" cm="1">
        <f t="array" ref="CO538">$BC538 * IF($AD538&lt;=2,
SUMPRODUCT(INDEX($AL$23:$AN$61,,$AE538), INDEX($AO$23:$AU$61,,$AD538), 1 / ($AV$23:$AV$61*CM538), N($AK$23:$AK$61&gt;$AI538)),
SUMPRODUCT(INDEX($AL$23:$AN$46,,$AE538), INDEX($AO$23:$AU$46,,$AD538), 1 / ($AW$23:$AW$46*CM538), N($AK$23:$AK$46&gt;$AI538))
) / 1000</f>
        <v>0</v>
      </c>
      <c r="CP538" s="237">
        <f t="shared" si="587"/>
        <v>0</v>
      </c>
      <c r="CQ538" s="210"/>
    </row>
    <row r="539" spans="1:95" s="76" customFormat="1" ht="14.25" customHeight="1" x14ac:dyDescent="0.2">
      <c r="A539" s="238" t="b">
        <f t="shared" si="591"/>
        <v>0</v>
      </c>
      <c r="B539" s="239">
        <v>517</v>
      </c>
      <c r="C539" s="258"/>
      <c r="D539" s="258"/>
      <c r="E539" s="240"/>
      <c r="F539" s="241" t="str">
        <f>IF(ISBLANK(E539), "", VLOOKUP(E539, Z!$A$2:$C$4127, 3, FALSE))</f>
        <v/>
      </c>
      <c r="G539" s="242"/>
      <c r="H539" s="242"/>
      <c r="I539" s="243"/>
      <c r="J539" s="244"/>
      <c r="K539" s="259"/>
      <c r="L539" s="260"/>
      <c r="M539" s="247" t="str" cm="1">
        <f t="array" ref="M539">IF($K539&gt;0, INDEX(Clean,1+AG539,$C$1), "")</f>
        <v/>
      </c>
      <c r="N539" s="245"/>
      <c r="O539" s="245"/>
      <c r="P539" s="246"/>
      <c r="Q539" s="248">
        <f t="shared" si="564"/>
        <v>0</v>
      </c>
      <c r="R539" s="247" t="str" cm="1">
        <f t="array" ref="R539">IF($K539&gt;0, INDEX(Clean,1+AH539,$C$1), "")</f>
        <v/>
      </c>
      <c r="S539" s="245"/>
      <c r="T539" s="245"/>
      <c r="U539" s="246"/>
      <c r="V539" s="248">
        <f t="shared" si="565"/>
        <v>0</v>
      </c>
      <c r="W539" s="261"/>
      <c r="X539" s="258"/>
      <c r="Y539" s="240"/>
      <c r="Z539" s="241" t="str">
        <f>IF(ISBLANK(Y539), "", VLOOKUP(Y539, Z!$A$2:$C$4127, 3, FALSE))</f>
        <v/>
      </c>
      <c r="AA539" s="262"/>
      <c r="AB539" s="249">
        <f t="shared" si="600"/>
        <v>0</v>
      </c>
      <c r="AC539" s="210"/>
      <c r="AD539" s="236">
        <f t="shared" si="588"/>
        <v>1</v>
      </c>
      <c r="AE539" s="236">
        <f t="shared" si="589"/>
        <v>1</v>
      </c>
      <c r="AF539" s="236">
        <f t="shared" si="590"/>
        <v>0</v>
      </c>
      <c r="AG539" s="236">
        <v>1</v>
      </c>
      <c r="AH539" s="236">
        <v>0</v>
      </c>
      <c r="AI539" s="236">
        <f t="shared" si="566"/>
        <v>-100</v>
      </c>
      <c r="AJ539" s="210"/>
      <c r="AK539" s="254"/>
      <c r="AL539" s="254"/>
      <c r="AM539" s="255"/>
      <c r="AN539" s="255"/>
      <c r="AO539" s="255"/>
      <c r="AP539" s="255"/>
      <c r="AQ539" s="255"/>
      <c r="AR539" s="255"/>
      <c r="AS539" s="255"/>
      <c r="AT539" s="255"/>
      <c r="AU539" s="255"/>
      <c r="AV539" s="255"/>
      <c r="AW539" s="255"/>
      <c r="AX539" s="210"/>
      <c r="AY539" s="236" cm="1">
        <f t="array" ref="AY539">INDEX(Use, $AD539, 4)</f>
        <v>7</v>
      </c>
      <c r="AZ539" s="236">
        <f t="shared" si="567"/>
        <v>32</v>
      </c>
      <c r="BA539" s="236">
        <f t="shared" si="592"/>
        <v>13</v>
      </c>
      <c r="BB539" s="236">
        <f t="shared" si="593"/>
        <v>0</v>
      </c>
      <c r="BC539" s="252" cm="1">
        <f t="array" ref="BC539">K539/IF($L539&gt;0, INDEX($AO$23:$AU$77, $L539+20, $AD539), 1)</f>
        <v>0</v>
      </c>
      <c r="BD539" s="237">
        <f t="shared" si="568"/>
        <v>0</v>
      </c>
      <c r="BE539" s="236">
        <v>35</v>
      </c>
      <c r="BF539" s="237">
        <f t="shared" si="569"/>
        <v>52.55</v>
      </c>
      <c r="BG539" s="253">
        <f t="shared" si="570"/>
        <v>2.7676728869374316</v>
      </c>
      <c r="BH539" s="253" cm="1">
        <f t="array" ref="BH539">$BC539 * SUMPRODUCT(INDEX($AL$77:$AN$82,,$AE539),INDEX($AO$77:$AU$82,,$AD539), N($AK$77:$AK$82&gt;$AI539)) / BG539 / 1000</f>
        <v>0</v>
      </c>
      <c r="BI539" s="250">
        <f t="shared" si="594"/>
        <v>30</v>
      </c>
      <c r="BJ539" s="237">
        <f t="shared" si="571"/>
        <v>46.033333333333331</v>
      </c>
      <c r="BK539" s="253">
        <f t="shared" si="572"/>
        <v>3.2297395388556791</v>
      </c>
      <c r="BL539" s="253" cm="1">
        <f t="array" ref="BL539">$BC539 * IF($AD539&lt;=2,
SUMPRODUCT(INDEX($AL$72:$AN$76,,$AE539), INDEX($AO$72:$AU$76,,$AD539), 1 / ($AV$72:$AV$76*BK539 + (1-$AV$72:$AV$76)*BG539), N($AK$72:$AK$76&gt;$AI539)),
SUMPRODUCT(INDEX($AL$67:$AN$76,,$AE539), INDEX($AO$67:$AU$76,,$AD539), 1 / ($AW$67:$AW$76*BK539 + (1-$AW$67:$AW$76)*BG539), N($AK$67:$AK$76&gt;$AI539))
) / 1000</f>
        <v>0</v>
      </c>
      <c r="BM539" s="250">
        <f t="shared" si="595"/>
        <v>25</v>
      </c>
      <c r="BN539" s="237">
        <f t="shared" si="573"/>
        <v>39.516666666666666</v>
      </c>
      <c r="BO539" s="253">
        <f t="shared" si="574"/>
        <v>3.877011788826243</v>
      </c>
      <c r="BP539" s="253" cm="1">
        <f t="array" ref="BP539">$BC539 * IF($AD539&lt;=2,
SUMPRODUCT(INDEX($AL$67:$AN$71,,$AE539), INDEX($AO$67:$AU$71,,$AD539), 1 / ($AV$67:$AV$71*BO539 + (1-$AV$67:$AV$71)*BK539), N($AK$67:$AK$71&gt;$AI539)),
SUMPRODUCT(INDEX($AL$57:$AN$66,,$AE539), INDEX($AO$57:$AU$66,,$AD539), 1 / ($AW$57:$AW$66*BO539 + (1-$AW$57:$AW$66)*BK539), N($AK$57:$AK$66&gt;$AI539))
) / 1000</f>
        <v>0</v>
      </c>
      <c r="BQ539" s="250">
        <f t="shared" si="596"/>
        <v>20</v>
      </c>
      <c r="BR539" s="237">
        <f t="shared" si="575"/>
        <v>33</v>
      </c>
      <c r="BS539" s="253">
        <f t="shared" si="576"/>
        <v>4.8487499999999999</v>
      </c>
      <c r="BT539" s="253" cm="1">
        <f t="array" ref="BT539">$BC539 * IF($AD539&lt;=2,
SUMPRODUCT(INDEX($AL$62:$AN$66,,$AE539), INDEX($AO$62:$AU$66,,$AD539), 1 / ($AV$62:$AV$66*BS539 + (1-$AV$62:$AV$66)*BO539), N($AK$62:$AK$66&gt;$AI539)),
SUMPRODUCT(INDEX($AL$47:$AN$56,,$AE539), INDEX($AO$47:$AU$56,,$AD539), 1 / ($AW$47:$AW$56*BS539 + (1-$AW$47:$AW$56)*BO539), N($AK$47:$AK$56&gt;$AI539))
) / 1000</f>
        <v>0</v>
      </c>
      <c r="BU539" s="253" cm="1">
        <f t="array" ref="BU539">$BC539 * IF($AD539&lt;=2,
SUMPRODUCT(INDEX($AL$23:$AN$61,,$AE539), INDEX($AO$23:$AU$61,,$AD539), 1 / ($AV$23:$AV$61*BS539), N($AK$23:$AK$61&gt;$AI539)),
SUMPRODUCT(INDEX($AL$23:$AN$46,,$AE539), INDEX($AO$23:$AU$46,,$AD539), 1 / ($AW$23:$AW$46*BS539), N($AK$23:$AK$46&gt;$AI539))
) / 1000</f>
        <v>0</v>
      </c>
      <c r="BV539" s="237">
        <f t="shared" si="577"/>
        <v>0</v>
      </c>
      <c r="BW539" s="210"/>
      <c r="BX539" s="237">
        <f t="shared" si="578"/>
        <v>0</v>
      </c>
      <c r="BY539" s="236">
        <v>35</v>
      </c>
      <c r="BZ539" s="237">
        <f t="shared" si="579"/>
        <v>48</v>
      </c>
      <c r="CA539" s="253">
        <f t="shared" si="580"/>
        <v>3.0748170731707316</v>
      </c>
      <c r="CB539" s="253" cm="1">
        <f t="array" ref="CB539">$BC539 * SUMPRODUCT(INDEX($AL$77:$AN$82,,$AE539),INDEX($AO$77:$AU$82,,$AD539), N($AK$77:$AK$82&gt;$AI539)) / CA539 / 1000</f>
        <v>0</v>
      </c>
      <c r="CC539" s="250">
        <f t="shared" si="597"/>
        <v>30</v>
      </c>
      <c r="CD539" s="237">
        <f t="shared" si="581"/>
        <v>43</v>
      </c>
      <c r="CE539" s="253">
        <f t="shared" si="582"/>
        <v>3.5018750000000001</v>
      </c>
      <c r="CF539" s="253" cm="1">
        <f t="array" ref="CF539">$BC539 * IF($AD539&lt;=2,
SUMPRODUCT(INDEX($AL$72:$AN$76,,$AE539), INDEX($AO$72:$AU$76,,$AD539), 1 / ($AV$72:$AV$76*CE539 + (1-$AV$72:$AV$76)*CA539), N($AK$72:$AK$76&gt;$AI539)),
SUMPRODUCT(INDEX($AL$67:$AN$76,,$AE539), INDEX($AO$67:$AU$76,,$AD539), 1 / ($AW$67:$AW$76*CE539 + (1-$AW$67:$AW$76)*CA539), N($AK$67:$AK$76&gt;$AI539))
) / 1000</f>
        <v>0</v>
      </c>
      <c r="CG539" s="250">
        <f t="shared" si="598"/>
        <v>25</v>
      </c>
      <c r="CH539" s="237">
        <f t="shared" si="583"/>
        <v>38</v>
      </c>
      <c r="CI539" s="253">
        <f t="shared" si="584"/>
        <v>4.0666935483870965</v>
      </c>
      <c r="CJ539" s="253" cm="1">
        <f t="array" ref="CJ539">$BC539 * IF($AD539&lt;=2,
SUMPRODUCT(INDEX($AL$67:$AN$71,,$AE539), INDEX($AO$67:$AU$71,,$AD539), 1 / ($AV$67:$AV$71*CI539 + (1-$AV$67:$AV$71)*CE539), N($AK$67:$AK$71&gt;$AI539)),
SUMPRODUCT(INDEX($AL$57:$AN$66,,$AE539), INDEX($AO$57:$AU$66,,$AD539), 1 / ($AW$57:$AW$66*CI539 + (1-$AW$57:$AW$66)*CE539), N($AK$57:$AK$66&gt;$AI539))
) / 1000</f>
        <v>0</v>
      </c>
      <c r="CK539" s="250">
        <f t="shared" si="599"/>
        <v>20</v>
      </c>
      <c r="CL539" s="237">
        <f t="shared" si="585"/>
        <v>33</v>
      </c>
      <c r="CM539" s="253">
        <f t="shared" si="586"/>
        <v>4.8487499999999999</v>
      </c>
      <c r="CN539" s="253" cm="1">
        <f t="array" ref="CN539">$BC539 * IF($AD539&lt;=2,
SUMPRODUCT(INDEX($AL$62:$AN$66,,$AE539), INDEX($AO$62:$AU$66,,$AD539), 1 / ($AV$62:$AV$66*CM539 + (1-$AV$62:$AV$66)*CI539), N($AK$62:$AK$66&gt;$AI539)),
SUMPRODUCT(INDEX($AL$47:$AN$56,,$AE539), INDEX($AO$47:$AU$56,,$AD539), 1 / ($AW$47:$AW$56*CM539 + (1-$AW$47:$AW$56)*CI539), N($AK$47:$AK$56&gt;$AI539))
) / 1000</f>
        <v>0</v>
      </c>
      <c r="CO539" s="253" cm="1">
        <f t="array" ref="CO539">$BC539 * IF($AD539&lt;=2,
SUMPRODUCT(INDEX($AL$23:$AN$61,,$AE539), INDEX($AO$23:$AU$61,,$AD539), 1 / ($AV$23:$AV$61*CM539), N($AK$23:$AK$61&gt;$AI539)),
SUMPRODUCT(INDEX($AL$23:$AN$46,,$AE539), INDEX($AO$23:$AU$46,,$AD539), 1 / ($AW$23:$AW$46*CM539), N($AK$23:$AK$46&gt;$AI539))
) / 1000</f>
        <v>0</v>
      </c>
      <c r="CP539" s="237">
        <f t="shared" si="587"/>
        <v>0</v>
      </c>
      <c r="CQ539" s="210"/>
    </row>
    <row r="540" spans="1:95" s="76" customFormat="1" ht="14.25" customHeight="1" x14ac:dyDescent="0.2">
      <c r="A540" s="238" t="b">
        <f t="shared" si="591"/>
        <v>0</v>
      </c>
      <c r="B540" s="239">
        <v>518</v>
      </c>
      <c r="C540" s="258"/>
      <c r="D540" s="258"/>
      <c r="E540" s="240"/>
      <c r="F540" s="241" t="str">
        <f>IF(ISBLANK(E540), "", VLOOKUP(E540, Z!$A$2:$C$4127, 3, FALSE))</f>
        <v/>
      </c>
      <c r="G540" s="242"/>
      <c r="H540" s="242"/>
      <c r="I540" s="243"/>
      <c r="J540" s="244"/>
      <c r="K540" s="259"/>
      <c r="L540" s="260"/>
      <c r="M540" s="247" t="str" cm="1">
        <f t="array" ref="M540">IF($K540&gt;0, INDEX(Clean,1+AG540,$C$1), "")</f>
        <v/>
      </c>
      <c r="N540" s="245"/>
      <c r="O540" s="245"/>
      <c r="P540" s="246"/>
      <c r="Q540" s="248">
        <f t="shared" si="564"/>
        <v>0</v>
      </c>
      <c r="R540" s="247" t="str" cm="1">
        <f t="array" ref="R540">IF($K540&gt;0, INDEX(Clean,1+AH540,$C$1), "")</f>
        <v/>
      </c>
      <c r="S540" s="245"/>
      <c r="T540" s="245"/>
      <c r="U540" s="246"/>
      <c r="V540" s="248">
        <f t="shared" si="565"/>
        <v>0</v>
      </c>
      <c r="W540" s="261"/>
      <c r="X540" s="258"/>
      <c r="Y540" s="240"/>
      <c r="Z540" s="241" t="str">
        <f>IF(ISBLANK(Y540), "", VLOOKUP(Y540, Z!$A$2:$C$4127, 3, FALSE))</f>
        <v/>
      </c>
      <c r="AA540" s="262"/>
      <c r="AB540" s="249">
        <f t="shared" si="600"/>
        <v>0</v>
      </c>
      <c r="AC540" s="210"/>
      <c r="AD540" s="236">
        <f t="shared" si="588"/>
        <v>1</v>
      </c>
      <c r="AE540" s="236">
        <f t="shared" si="589"/>
        <v>1</v>
      </c>
      <c r="AF540" s="236">
        <f t="shared" si="590"/>
        <v>0</v>
      </c>
      <c r="AG540" s="236">
        <v>1</v>
      </c>
      <c r="AH540" s="236">
        <v>0</v>
      </c>
      <c r="AI540" s="236">
        <f t="shared" si="566"/>
        <v>-100</v>
      </c>
      <c r="AJ540" s="210"/>
      <c r="AK540" s="254"/>
      <c r="AL540" s="254"/>
      <c r="AM540" s="255"/>
      <c r="AN540" s="255"/>
      <c r="AO540" s="255"/>
      <c r="AP540" s="255"/>
      <c r="AQ540" s="255"/>
      <c r="AR540" s="255"/>
      <c r="AS540" s="255"/>
      <c r="AT540" s="255"/>
      <c r="AU540" s="255"/>
      <c r="AV540" s="255"/>
      <c r="AW540" s="255"/>
      <c r="AX540" s="210"/>
      <c r="AY540" s="236" cm="1">
        <f t="array" ref="AY540">INDEX(Use, $AD540, 4)</f>
        <v>7</v>
      </c>
      <c r="AZ540" s="236">
        <f t="shared" si="567"/>
        <v>32</v>
      </c>
      <c r="BA540" s="236">
        <f t="shared" si="592"/>
        <v>13</v>
      </c>
      <c r="BB540" s="236">
        <f t="shared" si="593"/>
        <v>0</v>
      </c>
      <c r="BC540" s="252" cm="1">
        <f t="array" ref="BC540">K540/IF($L540&gt;0, INDEX($AO$23:$AU$77, $L540+20, $AD540), 1)</f>
        <v>0</v>
      </c>
      <c r="BD540" s="237">
        <f t="shared" si="568"/>
        <v>0</v>
      </c>
      <c r="BE540" s="236">
        <v>35</v>
      </c>
      <c r="BF540" s="237">
        <f t="shared" si="569"/>
        <v>52.55</v>
      </c>
      <c r="BG540" s="253">
        <f t="shared" si="570"/>
        <v>2.7676728869374316</v>
      </c>
      <c r="BH540" s="253" cm="1">
        <f t="array" ref="BH540">$BC540 * SUMPRODUCT(INDEX($AL$77:$AN$82,,$AE540),INDEX($AO$77:$AU$82,,$AD540), N($AK$77:$AK$82&gt;$AI540)) / BG540 / 1000</f>
        <v>0</v>
      </c>
      <c r="BI540" s="250">
        <f t="shared" si="594"/>
        <v>30</v>
      </c>
      <c r="BJ540" s="237">
        <f t="shared" si="571"/>
        <v>46.033333333333331</v>
      </c>
      <c r="BK540" s="253">
        <f t="shared" si="572"/>
        <v>3.2297395388556791</v>
      </c>
      <c r="BL540" s="253" cm="1">
        <f t="array" ref="BL540">$BC540 * IF($AD540&lt;=2,
SUMPRODUCT(INDEX($AL$72:$AN$76,,$AE540), INDEX($AO$72:$AU$76,,$AD540), 1 / ($AV$72:$AV$76*BK540 + (1-$AV$72:$AV$76)*BG540), N($AK$72:$AK$76&gt;$AI540)),
SUMPRODUCT(INDEX($AL$67:$AN$76,,$AE540), INDEX($AO$67:$AU$76,,$AD540), 1 / ($AW$67:$AW$76*BK540 + (1-$AW$67:$AW$76)*BG540), N($AK$67:$AK$76&gt;$AI540))
) / 1000</f>
        <v>0</v>
      </c>
      <c r="BM540" s="250">
        <f t="shared" si="595"/>
        <v>25</v>
      </c>
      <c r="BN540" s="237">
        <f t="shared" si="573"/>
        <v>39.516666666666666</v>
      </c>
      <c r="BO540" s="253">
        <f t="shared" si="574"/>
        <v>3.877011788826243</v>
      </c>
      <c r="BP540" s="253" cm="1">
        <f t="array" ref="BP540">$BC540 * IF($AD540&lt;=2,
SUMPRODUCT(INDEX($AL$67:$AN$71,,$AE540), INDEX($AO$67:$AU$71,,$AD540), 1 / ($AV$67:$AV$71*BO540 + (1-$AV$67:$AV$71)*BK540), N($AK$67:$AK$71&gt;$AI540)),
SUMPRODUCT(INDEX($AL$57:$AN$66,,$AE540), INDEX($AO$57:$AU$66,,$AD540), 1 / ($AW$57:$AW$66*BO540 + (1-$AW$57:$AW$66)*BK540), N($AK$57:$AK$66&gt;$AI540))
) / 1000</f>
        <v>0</v>
      </c>
      <c r="BQ540" s="250">
        <f t="shared" si="596"/>
        <v>20</v>
      </c>
      <c r="BR540" s="237">
        <f t="shared" si="575"/>
        <v>33</v>
      </c>
      <c r="BS540" s="253">
        <f t="shared" si="576"/>
        <v>4.8487499999999999</v>
      </c>
      <c r="BT540" s="253" cm="1">
        <f t="array" ref="BT540">$BC540 * IF($AD540&lt;=2,
SUMPRODUCT(INDEX($AL$62:$AN$66,,$AE540), INDEX($AO$62:$AU$66,,$AD540), 1 / ($AV$62:$AV$66*BS540 + (1-$AV$62:$AV$66)*BO540), N($AK$62:$AK$66&gt;$AI540)),
SUMPRODUCT(INDEX($AL$47:$AN$56,,$AE540), INDEX($AO$47:$AU$56,,$AD540), 1 / ($AW$47:$AW$56*BS540 + (1-$AW$47:$AW$56)*BO540), N($AK$47:$AK$56&gt;$AI540))
) / 1000</f>
        <v>0</v>
      </c>
      <c r="BU540" s="253" cm="1">
        <f t="array" ref="BU540">$BC540 * IF($AD540&lt;=2,
SUMPRODUCT(INDEX($AL$23:$AN$61,,$AE540), INDEX($AO$23:$AU$61,,$AD540), 1 / ($AV$23:$AV$61*BS540), N($AK$23:$AK$61&gt;$AI540)),
SUMPRODUCT(INDEX($AL$23:$AN$46,,$AE540), INDEX($AO$23:$AU$46,,$AD540), 1 / ($AW$23:$AW$46*BS540), N($AK$23:$AK$46&gt;$AI540))
) / 1000</f>
        <v>0</v>
      </c>
      <c r="BV540" s="237">
        <f t="shared" si="577"/>
        <v>0</v>
      </c>
      <c r="BW540" s="210"/>
      <c r="BX540" s="237">
        <f t="shared" si="578"/>
        <v>0</v>
      </c>
      <c r="BY540" s="236">
        <v>35</v>
      </c>
      <c r="BZ540" s="237">
        <f t="shared" si="579"/>
        <v>48</v>
      </c>
      <c r="CA540" s="253">
        <f t="shared" si="580"/>
        <v>3.0748170731707316</v>
      </c>
      <c r="CB540" s="253" cm="1">
        <f t="array" ref="CB540">$BC540 * SUMPRODUCT(INDEX($AL$77:$AN$82,,$AE540),INDEX($AO$77:$AU$82,,$AD540), N($AK$77:$AK$82&gt;$AI540)) / CA540 / 1000</f>
        <v>0</v>
      </c>
      <c r="CC540" s="250">
        <f t="shared" si="597"/>
        <v>30</v>
      </c>
      <c r="CD540" s="237">
        <f t="shared" si="581"/>
        <v>43</v>
      </c>
      <c r="CE540" s="253">
        <f t="shared" si="582"/>
        <v>3.5018750000000001</v>
      </c>
      <c r="CF540" s="253" cm="1">
        <f t="array" ref="CF540">$BC540 * IF($AD540&lt;=2,
SUMPRODUCT(INDEX($AL$72:$AN$76,,$AE540), INDEX($AO$72:$AU$76,,$AD540), 1 / ($AV$72:$AV$76*CE540 + (1-$AV$72:$AV$76)*CA540), N($AK$72:$AK$76&gt;$AI540)),
SUMPRODUCT(INDEX($AL$67:$AN$76,,$AE540), INDEX($AO$67:$AU$76,,$AD540), 1 / ($AW$67:$AW$76*CE540 + (1-$AW$67:$AW$76)*CA540), N($AK$67:$AK$76&gt;$AI540))
) / 1000</f>
        <v>0</v>
      </c>
      <c r="CG540" s="250">
        <f t="shared" si="598"/>
        <v>25</v>
      </c>
      <c r="CH540" s="237">
        <f t="shared" si="583"/>
        <v>38</v>
      </c>
      <c r="CI540" s="253">
        <f t="shared" si="584"/>
        <v>4.0666935483870965</v>
      </c>
      <c r="CJ540" s="253" cm="1">
        <f t="array" ref="CJ540">$BC540 * IF($AD540&lt;=2,
SUMPRODUCT(INDEX($AL$67:$AN$71,,$AE540), INDEX($AO$67:$AU$71,,$AD540), 1 / ($AV$67:$AV$71*CI540 + (1-$AV$67:$AV$71)*CE540), N($AK$67:$AK$71&gt;$AI540)),
SUMPRODUCT(INDEX($AL$57:$AN$66,,$AE540), INDEX($AO$57:$AU$66,,$AD540), 1 / ($AW$57:$AW$66*CI540 + (1-$AW$57:$AW$66)*CE540), N($AK$57:$AK$66&gt;$AI540))
) / 1000</f>
        <v>0</v>
      </c>
      <c r="CK540" s="250">
        <f t="shared" si="599"/>
        <v>20</v>
      </c>
      <c r="CL540" s="237">
        <f t="shared" si="585"/>
        <v>33</v>
      </c>
      <c r="CM540" s="253">
        <f t="shared" si="586"/>
        <v>4.8487499999999999</v>
      </c>
      <c r="CN540" s="253" cm="1">
        <f t="array" ref="CN540">$BC540 * IF($AD540&lt;=2,
SUMPRODUCT(INDEX($AL$62:$AN$66,,$AE540), INDEX($AO$62:$AU$66,,$AD540), 1 / ($AV$62:$AV$66*CM540 + (1-$AV$62:$AV$66)*CI540), N($AK$62:$AK$66&gt;$AI540)),
SUMPRODUCT(INDEX($AL$47:$AN$56,,$AE540), INDEX($AO$47:$AU$56,,$AD540), 1 / ($AW$47:$AW$56*CM540 + (1-$AW$47:$AW$56)*CI540), N($AK$47:$AK$56&gt;$AI540))
) / 1000</f>
        <v>0</v>
      </c>
      <c r="CO540" s="253" cm="1">
        <f t="array" ref="CO540">$BC540 * IF($AD540&lt;=2,
SUMPRODUCT(INDEX($AL$23:$AN$61,,$AE540), INDEX($AO$23:$AU$61,,$AD540), 1 / ($AV$23:$AV$61*CM540), N($AK$23:$AK$61&gt;$AI540)),
SUMPRODUCT(INDEX($AL$23:$AN$46,,$AE540), INDEX($AO$23:$AU$46,,$AD540), 1 / ($AW$23:$AW$46*CM540), N($AK$23:$AK$46&gt;$AI540))
) / 1000</f>
        <v>0</v>
      </c>
      <c r="CP540" s="237">
        <f t="shared" si="587"/>
        <v>0</v>
      </c>
      <c r="CQ540" s="210"/>
    </row>
    <row r="541" spans="1:95" s="76" customFormat="1" ht="14.25" customHeight="1" x14ac:dyDescent="0.2">
      <c r="A541" s="238" t="b">
        <f t="shared" si="591"/>
        <v>0</v>
      </c>
      <c r="B541" s="239">
        <v>519</v>
      </c>
      <c r="C541" s="258"/>
      <c r="D541" s="258"/>
      <c r="E541" s="240"/>
      <c r="F541" s="241" t="str">
        <f>IF(ISBLANK(E541), "", VLOOKUP(E541, Z!$A$2:$C$4127, 3, FALSE))</f>
        <v/>
      </c>
      <c r="G541" s="242"/>
      <c r="H541" s="242"/>
      <c r="I541" s="243"/>
      <c r="J541" s="244"/>
      <c r="K541" s="259"/>
      <c r="L541" s="260"/>
      <c r="M541" s="247" t="str" cm="1">
        <f t="array" ref="M541">IF($K541&gt;0, INDEX(Clean,1+AG541,$C$1), "")</f>
        <v/>
      </c>
      <c r="N541" s="245"/>
      <c r="O541" s="245"/>
      <c r="P541" s="246"/>
      <c r="Q541" s="248">
        <f t="shared" si="564"/>
        <v>0</v>
      </c>
      <c r="R541" s="247" t="str" cm="1">
        <f t="array" ref="R541">IF($K541&gt;0, INDEX(Clean,1+AH541,$C$1), "")</f>
        <v/>
      </c>
      <c r="S541" s="245"/>
      <c r="T541" s="245"/>
      <c r="U541" s="246"/>
      <c r="V541" s="248">
        <f t="shared" si="565"/>
        <v>0</v>
      </c>
      <c r="W541" s="261"/>
      <c r="X541" s="258"/>
      <c r="Y541" s="240"/>
      <c r="Z541" s="241" t="str">
        <f>IF(ISBLANK(Y541), "", VLOOKUP(Y541, Z!$A$2:$C$4127, 3, FALSE))</f>
        <v/>
      </c>
      <c r="AA541" s="262"/>
      <c r="AB541" s="249">
        <f t="shared" si="600"/>
        <v>0</v>
      </c>
      <c r="AC541" s="210"/>
      <c r="AD541" s="236">
        <f t="shared" si="588"/>
        <v>1</v>
      </c>
      <c r="AE541" s="236">
        <f t="shared" si="589"/>
        <v>1</v>
      </c>
      <c r="AF541" s="236">
        <f t="shared" si="590"/>
        <v>0</v>
      </c>
      <c r="AG541" s="236">
        <v>1</v>
      </c>
      <c r="AH541" s="236">
        <v>0</v>
      </c>
      <c r="AI541" s="236">
        <f t="shared" si="566"/>
        <v>-100</v>
      </c>
      <c r="AJ541" s="210"/>
      <c r="AK541" s="254"/>
      <c r="AL541" s="254"/>
      <c r="AM541" s="255"/>
      <c r="AN541" s="255"/>
      <c r="AO541" s="255"/>
      <c r="AP541" s="255"/>
      <c r="AQ541" s="255"/>
      <c r="AR541" s="255"/>
      <c r="AS541" s="255"/>
      <c r="AT541" s="255"/>
      <c r="AU541" s="255"/>
      <c r="AV541" s="255"/>
      <c r="AW541" s="255"/>
      <c r="AX541" s="210"/>
      <c r="AY541" s="236" cm="1">
        <f t="array" ref="AY541">INDEX(Use, $AD541, 4)</f>
        <v>7</v>
      </c>
      <c r="AZ541" s="236">
        <f t="shared" si="567"/>
        <v>32</v>
      </c>
      <c r="BA541" s="236">
        <f t="shared" si="592"/>
        <v>13</v>
      </c>
      <c r="BB541" s="236">
        <f t="shared" si="593"/>
        <v>0</v>
      </c>
      <c r="BC541" s="252" cm="1">
        <f t="array" ref="BC541">K541/IF($L541&gt;0, INDEX($AO$23:$AU$77, $L541+20, $AD541), 1)</f>
        <v>0</v>
      </c>
      <c r="BD541" s="237">
        <f t="shared" si="568"/>
        <v>0</v>
      </c>
      <c r="BE541" s="236">
        <v>35</v>
      </c>
      <c r="BF541" s="237">
        <f t="shared" si="569"/>
        <v>52.55</v>
      </c>
      <c r="BG541" s="253">
        <f t="shared" si="570"/>
        <v>2.7676728869374316</v>
      </c>
      <c r="BH541" s="253" cm="1">
        <f t="array" ref="BH541">$BC541 * SUMPRODUCT(INDEX($AL$77:$AN$82,,$AE541),INDEX($AO$77:$AU$82,,$AD541), N($AK$77:$AK$82&gt;$AI541)) / BG541 / 1000</f>
        <v>0</v>
      </c>
      <c r="BI541" s="250">
        <f t="shared" si="594"/>
        <v>30</v>
      </c>
      <c r="BJ541" s="237">
        <f t="shared" si="571"/>
        <v>46.033333333333331</v>
      </c>
      <c r="BK541" s="253">
        <f t="shared" si="572"/>
        <v>3.2297395388556791</v>
      </c>
      <c r="BL541" s="253" cm="1">
        <f t="array" ref="BL541">$BC541 * IF($AD541&lt;=2,
SUMPRODUCT(INDEX($AL$72:$AN$76,,$AE541), INDEX($AO$72:$AU$76,,$AD541), 1 / ($AV$72:$AV$76*BK541 + (1-$AV$72:$AV$76)*BG541), N($AK$72:$AK$76&gt;$AI541)),
SUMPRODUCT(INDEX($AL$67:$AN$76,,$AE541), INDEX($AO$67:$AU$76,,$AD541), 1 / ($AW$67:$AW$76*BK541 + (1-$AW$67:$AW$76)*BG541), N($AK$67:$AK$76&gt;$AI541))
) / 1000</f>
        <v>0</v>
      </c>
      <c r="BM541" s="250">
        <f t="shared" si="595"/>
        <v>25</v>
      </c>
      <c r="BN541" s="237">
        <f t="shared" si="573"/>
        <v>39.516666666666666</v>
      </c>
      <c r="BO541" s="253">
        <f t="shared" si="574"/>
        <v>3.877011788826243</v>
      </c>
      <c r="BP541" s="253" cm="1">
        <f t="array" ref="BP541">$BC541 * IF($AD541&lt;=2,
SUMPRODUCT(INDEX($AL$67:$AN$71,,$AE541), INDEX($AO$67:$AU$71,,$AD541), 1 / ($AV$67:$AV$71*BO541 + (1-$AV$67:$AV$71)*BK541), N($AK$67:$AK$71&gt;$AI541)),
SUMPRODUCT(INDEX($AL$57:$AN$66,,$AE541), INDEX($AO$57:$AU$66,,$AD541), 1 / ($AW$57:$AW$66*BO541 + (1-$AW$57:$AW$66)*BK541), N($AK$57:$AK$66&gt;$AI541))
) / 1000</f>
        <v>0</v>
      </c>
      <c r="BQ541" s="250">
        <f t="shared" si="596"/>
        <v>20</v>
      </c>
      <c r="BR541" s="237">
        <f t="shared" si="575"/>
        <v>33</v>
      </c>
      <c r="BS541" s="253">
        <f t="shared" si="576"/>
        <v>4.8487499999999999</v>
      </c>
      <c r="BT541" s="253" cm="1">
        <f t="array" ref="BT541">$BC541 * IF($AD541&lt;=2,
SUMPRODUCT(INDEX($AL$62:$AN$66,,$AE541), INDEX($AO$62:$AU$66,,$AD541), 1 / ($AV$62:$AV$66*BS541 + (1-$AV$62:$AV$66)*BO541), N($AK$62:$AK$66&gt;$AI541)),
SUMPRODUCT(INDEX($AL$47:$AN$56,,$AE541), INDEX($AO$47:$AU$56,,$AD541), 1 / ($AW$47:$AW$56*BS541 + (1-$AW$47:$AW$56)*BO541), N($AK$47:$AK$56&gt;$AI541))
) / 1000</f>
        <v>0</v>
      </c>
      <c r="BU541" s="253" cm="1">
        <f t="array" ref="BU541">$BC541 * IF($AD541&lt;=2,
SUMPRODUCT(INDEX($AL$23:$AN$61,,$AE541), INDEX($AO$23:$AU$61,,$AD541), 1 / ($AV$23:$AV$61*BS541), N($AK$23:$AK$61&gt;$AI541)),
SUMPRODUCT(INDEX($AL$23:$AN$46,,$AE541), INDEX($AO$23:$AU$46,,$AD541), 1 / ($AW$23:$AW$46*BS541), N($AK$23:$AK$46&gt;$AI541))
) / 1000</f>
        <v>0</v>
      </c>
      <c r="BV541" s="237">
        <f t="shared" si="577"/>
        <v>0</v>
      </c>
      <c r="BW541" s="210"/>
      <c r="BX541" s="237">
        <f t="shared" si="578"/>
        <v>0</v>
      </c>
      <c r="BY541" s="236">
        <v>35</v>
      </c>
      <c r="BZ541" s="237">
        <f t="shared" si="579"/>
        <v>48</v>
      </c>
      <c r="CA541" s="253">
        <f t="shared" si="580"/>
        <v>3.0748170731707316</v>
      </c>
      <c r="CB541" s="253" cm="1">
        <f t="array" ref="CB541">$BC541 * SUMPRODUCT(INDEX($AL$77:$AN$82,,$AE541),INDEX($AO$77:$AU$82,,$AD541), N($AK$77:$AK$82&gt;$AI541)) / CA541 / 1000</f>
        <v>0</v>
      </c>
      <c r="CC541" s="250">
        <f t="shared" si="597"/>
        <v>30</v>
      </c>
      <c r="CD541" s="237">
        <f t="shared" si="581"/>
        <v>43</v>
      </c>
      <c r="CE541" s="253">
        <f t="shared" si="582"/>
        <v>3.5018750000000001</v>
      </c>
      <c r="CF541" s="253" cm="1">
        <f t="array" ref="CF541">$BC541 * IF($AD541&lt;=2,
SUMPRODUCT(INDEX($AL$72:$AN$76,,$AE541), INDEX($AO$72:$AU$76,,$AD541), 1 / ($AV$72:$AV$76*CE541 + (1-$AV$72:$AV$76)*CA541), N($AK$72:$AK$76&gt;$AI541)),
SUMPRODUCT(INDEX($AL$67:$AN$76,,$AE541), INDEX($AO$67:$AU$76,,$AD541), 1 / ($AW$67:$AW$76*CE541 + (1-$AW$67:$AW$76)*CA541), N($AK$67:$AK$76&gt;$AI541))
) / 1000</f>
        <v>0</v>
      </c>
      <c r="CG541" s="250">
        <f t="shared" si="598"/>
        <v>25</v>
      </c>
      <c r="CH541" s="237">
        <f t="shared" si="583"/>
        <v>38</v>
      </c>
      <c r="CI541" s="253">
        <f t="shared" si="584"/>
        <v>4.0666935483870965</v>
      </c>
      <c r="CJ541" s="253" cm="1">
        <f t="array" ref="CJ541">$BC541 * IF($AD541&lt;=2,
SUMPRODUCT(INDEX($AL$67:$AN$71,,$AE541), INDEX($AO$67:$AU$71,,$AD541), 1 / ($AV$67:$AV$71*CI541 + (1-$AV$67:$AV$71)*CE541), N($AK$67:$AK$71&gt;$AI541)),
SUMPRODUCT(INDEX($AL$57:$AN$66,,$AE541), INDEX($AO$57:$AU$66,,$AD541), 1 / ($AW$57:$AW$66*CI541 + (1-$AW$57:$AW$66)*CE541), N($AK$57:$AK$66&gt;$AI541))
) / 1000</f>
        <v>0</v>
      </c>
      <c r="CK541" s="250">
        <f t="shared" si="599"/>
        <v>20</v>
      </c>
      <c r="CL541" s="237">
        <f t="shared" si="585"/>
        <v>33</v>
      </c>
      <c r="CM541" s="253">
        <f t="shared" si="586"/>
        <v>4.8487499999999999</v>
      </c>
      <c r="CN541" s="253" cm="1">
        <f t="array" ref="CN541">$BC541 * IF($AD541&lt;=2,
SUMPRODUCT(INDEX($AL$62:$AN$66,,$AE541), INDEX($AO$62:$AU$66,,$AD541), 1 / ($AV$62:$AV$66*CM541 + (1-$AV$62:$AV$66)*CI541), N($AK$62:$AK$66&gt;$AI541)),
SUMPRODUCT(INDEX($AL$47:$AN$56,,$AE541), INDEX($AO$47:$AU$56,,$AD541), 1 / ($AW$47:$AW$56*CM541 + (1-$AW$47:$AW$56)*CI541), N($AK$47:$AK$56&gt;$AI541))
) / 1000</f>
        <v>0</v>
      </c>
      <c r="CO541" s="253" cm="1">
        <f t="array" ref="CO541">$BC541 * IF($AD541&lt;=2,
SUMPRODUCT(INDEX($AL$23:$AN$61,,$AE541), INDEX($AO$23:$AU$61,,$AD541), 1 / ($AV$23:$AV$61*CM541), N($AK$23:$AK$61&gt;$AI541)),
SUMPRODUCT(INDEX($AL$23:$AN$46,,$AE541), INDEX($AO$23:$AU$46,,$AD541), 1 / ($AW$23:$AW$46*CM541), N($AK$23:$AK$46&gt;$AI541))
) / 1000</f>
        <v>0</v>
      </c>
      <c r="CP541" s="237">
        <f t="shared" si="587"/>
        <v>0</v>
      </c>
      <c r="CQ541" s="210"/>
    </row>
    <row r="542" spans="1:95" s="76" customFormat="1" ht="14.25" customHeight="1" x14ac:dyDescent="0.2">
      <c r="A542" s="238" t="b">
        <f t="shared" si="591"/>
        <v>0</v>
      </c>
      <c r="B542" s="239">
        <v>520</v>
      </c>
      <c r="C542" s="258"/>
      <c r="D542" s="258"/>
      <c r="E542" s="240"/>
      <c r="F542" s="241" t="str">
        <f>IF(ISBLANK(E542), "", VLOOKUP(E542, Z!$A$2:$C$4127, 3, FALSE))</f>
        <v/>
      </c>
      <c r="G542" s="242"/>
      <c r="H542" s="242"/>
      <c r="I542" s="243"/>
      <c r="J542" s="244"/>
      <c r="K542" s="259"/>
      <c r="L542" s="260"/>
      <c r="M542" s="247" t="str" cm="1">
        <f t="array" ref="M542">IF($K542&gt;0, INDEX(Clean,1+AG542,$C$1), "")</f>
        <v/>
      </c>
      <c r="N542" s="245"/>
      <c r="O542" s="245"/>
      <c r="P542" s="246"/>
      <c r="Q542" s="248">
        <f t="shared" si="564"/>
        <v>0</v>
      </c>
      <c r="R542" s="247" t="str" cm="1">
        <f t="array" ref="R542">IF($K542&gt;0, INDEX(Clean,1+AH542,$C$1), "")</f>
        <v/>
      </c>
      <c r="S542" s="245"/>
      <c r="T542" s="245"/>
      <c r="U542" s="246"/>
      <c r="V542" s="248">
        <f t="shared" si="565"/>
        <v>0</v>
      </c>
      <c r="W542" s="261"/>
      <c r="X542" s="258"/>
      <c r="Y542" s="240"/>
      <c r="Z542" s="241" t="str">
        <f>IF(ISBLANK(Y542), "", VLOOKUP(Y542, Z!$A$2:$C$4127, 3, FALSE))</f>
        <v/>
      </c>
      <c r="AA542" s="262"/>
      <c r="AB542" s="249">
        <f t="shared" si="600"/>
        <v>0</v>
      </c>
      <c r="AC542" s="210"/>
      <c r="AD542" s="236">
        <f t="shared" si="588"/>
        <v>1</v>
      </c>
      <c r="AE542" s="236">
        <f t="shared" si="589"/>
        <v>1</v>
      </c>
      <c r="AF542" s="236">
        <f t="shared" si="590"/>
        <v>0</v>
      </c>
      <c r="AG542" s="236">
        <v>1</v>
      </c>
      <c r="AH542" s="236">
        <v>0</v>
      </c>
      <c r="AI542" s="236">
        <f t="shared" si="566"/>
        <v>-100</v>
      </c>
      <c r="AJ542" s="210"/>
      <c r="AK542" s="254"/>
      <c r="AL542" s="254"/>
      <c r="AM542" s="255"/>
      <c r="AN542" s="255"/>
      <c r="AO542" s="255"/>
      <c r="AP542" s="255"/>
      <c r="AQ542" s="255"/>
      <c r="AR542" s="255"/>
      <c r="AS542" s="255"/>
      <c r="AT542" s="255"/>
      <c r="AU542" s="255"/>
      <c r="AV542" s="255"/>
      <c r="AW542" s="255"/>
      <c r="AX542" s="210"/>
      <c r="AY542" s="236" cm="1">
        <f t="array" ref="AY542">INDEX(Use, $AD542, 4)</f>
        <v>7</v>
      </c>
      <c r="AZ542" s="236">
        <f t="shared" si="567"/>
        <v>32</v>
      </c>
      <c r="BA542" s="236">
        <f t="shared" si="592"/>
        <v>13</v>
      </c>
      <c r="BB542" s="236">
        <f t="shared" si="593"/>
        <v>0</v>
      </c>
      <c r="BC542" s="252" cm="1">
        <f t="array" ref="BC542">K542/IF($L542&gt;0, INDEX($AO$23:$AU$77, $L542+20, $AD542), 1)</f>
        <v>0</v>
      </c>
      <c r="BD542" s="237">
        <f t="shared" si="568"/>
        <v>0</v>
      </c>
      <c r="BE542" s="236">
        <v>35</v>
      </c>
      <c r="BF542" s="237">
        <f t="shared" si="569"/>
        <v>52.55</v>
      </c>
      <c r="BG542" s="253">
        <f t="shared" si="570"/>
        <v>2.7676728869374316</v>
      </c>
      <c r="BH542" s="253" cm="1">
        <f t="array" ref="BH542">$BC542 * SUMPRODUCT(INDEX($AL$77:$AN$82,,$AE542),INDEX($AO$77:$AU$82,,$AD542), N($AK$77:$AK$82&gt;$AI542)) / BG542 / 1000</f>
        <v>0</v>
      </c>
      <c r="BI542" s="250">
        <f t="shared" si="594"/>
        <v>30</v>
      </c>
      <c r="BJ542" s="237">
        <f t="shared" si="571"/>
        <v>46.033333333333331</v>
      </c>
      <c r="BK542" s="253">
        <f t="shared" si="572"/>
        <v>3.2297395388556791</v>
      </c>
      <c r="BL542" s="253" cm="1">
        <f t="array" ref="BL542">$BC542 * IF($AD542&lt;=2,
SUMPRODUCT(INDEX($AL$72:$AN$76,,$AE542), INDEX($AO$72:$AU$76,,$AD542), 1 / ($AV$72:$AV$76*BK542 + (1-$AV$72:$AV$76)*BG542), N($AK$72:$AK$76&gt;$AI542)),
SUMPRODUCT(INDEX($AL$67:$AN$76,,$AE542), INDEX($AO$67:$AU$76,,$AD542), 1 / ($AW$67:$AW$76*BK542 + (1-$AW$67:$AW$76)*BG542), N($AK$67:$AK$76&gt;$AI542))
) / 1000</f>
        <v>0</v>
      </c>
      <c r="BM542" s="250">
        <f t="shared" si="595"/>
        <v>25</v>
      </c>
      <c r="BN542" s="237">
        <f t="shared" si="573"/>
        <v>39.516666666666666</v>
      </c>
      <c r="BO542" s="253">
        <f t="shared" si="574"/>
        <v>3.877011788826243</v>
      </c>
      <c r="BP542" s="253" cm="1">
        <f t="array" ref="BP542">$BC542 * IF($AD542&lt;=2,
SUMPRODUCT(INDEX($AL$67:$AN$71,,$AE542), INDEX($AO$67:$AU$71,,$AD542), 1 / ($AV$67:$AV$71*BO542 + (1-$AV$67:$AV$71)*BK542), N($AK$67:$AK$71&gt;$AI542)),
SUMPRODUCT(INDEX($AL$57:$AN$66,,$AE542), INDEX($AO$57:$AU$66,,$AD542), 1 / ($AW$57:$AW$66*BO542 + (1-$AW$57:$AW$66)*BK542), N($AK$57:$AK$66&gt;$AI542))
) / 1000</f>
        <v>0</v>
      </c>
      <c r="BQ542" s="250">
        <f t="shared" si="596"/>
        <v>20</v>
      </c>
      <c r="BR542" s="237">
        <f t="shared" si="575"/>
        <v>33</v>
      </c>
      <c r="BS542" s="253">
        <f t="shared" si="576"/>
        <v>4.8487499999999999</v>
      </c>
      <c r="BT542" s="253" cm="1">
        <f t="array" ref="BT542">$BC542 * IF($AD542&lt;=2,
SUMPRODUCT(INDEX($AL$62:$AN$66,,$AE542), INDEX($AO$62:$AU$66,,$AD542), 1 / ($AV$62:$AV$66*BS542 + (1-$AV$62:$AV$66)*BO542), N($AK$62:$AK$66&gt;$AI542)),
SUMPRODUCT(INDEX($AL$47:$AN$56,,$AE542), INDEX($AO$47:$AU$56,,$AD542), 1 / ($AW$47:$AW$56*BS542 + (1-$AW$47:$AW$56)*BO542), N($AK$47:$AK$56&gt;$AI542))
) / 1000</f>
        <v>0</v>
      </c>
      <c r="BU542" s="253" cm="1">
        <f t="array" ref="BU542">$BC542 * IF($AD542&lt;=2,
SUMPRODUCT(INDEX($AL$23:$AN$61,,$AE542), INDEX($AO$23:$AU$61,,$AD542), 1 / ($AV$23:$AV$61*BS542), N($AK$23:$AK$61&gt;$AI542)),
SUMPRODUCT(INDEX($AL$23:$AN$46,,$AE542), INDEX($AO$23:$AU$46,,$AD542), 1 / ($AW$23:$AW$46*BS542), N($AK$23:$AK$46&gt;$AI542))
) / 1000</f>
        <v>0</v>
      </c>
      <c r="BV542" s="237">
        <f t="shared" si="577"/>
        <v>0</v>
      </c>
      <c r="BW542" s="210"/>
      <c r="BX542" s="237">
        <f t="shared" si="578"/>
        <v>0</v>
      </c>
      <c r="BY542" s="236">
        <v>35</v>
      </c>
      <c r="BZ542" s="237">
        <f t="shared" si="579"/>
        <v>48</v>
      </c>
      <c r="CA542" s="253">
        <f t="shared" si="580"/>
        <v>3.0748170731707316</v>
      </c>
      <c r="CB542" s="253" cm="1">
        <f t="array" ref="CB542">$BC542 * SUMPRODUCT(INDEX($AL$77:$AN$82,,$AE542),INDEX($AO$77:$AU$82,,$AD542), N($AK$77:$AK$82&gt;$AI542)) / CA542 / 1000</f>
        <v>0</v>
      </c>
      <c r="CC542" s="250">
        <f t="shared" si="597"/>
        <v>30</v>
      </c>
      <c r="CD542" s="237">
        <f t="shared" si="581"/>
        <v>43</v>
      </c>
      <c r="CE542" s="253">
        <f t="shared" si="582"/>
        <v>3.5018750000000001</v>
      </c>
      <c r="CF542" s="253" cm="1">
        <f t="array" ref="CF542">$BC542 * IF($AD542&lt;=2,
SUMPRODUCT(INDEX($AL$72:$AN$76,,$AE542), INDEX($AO$72:$AU$76,,$AD542), 1 / ($AV$72:$AV$76*CE542 + (1-$AV$72:$AV$76)*CA542), N($AK$72:$AK$76&gt;$AI542)),
SUMPRODUCT(INDEX($AL$67:$AN$76,,$AE542), INDEX($AO$67:$AU$76,,$AD542), 1 / ($AW$67:$AW$76*CE542 + (1-$AW$67:$AW$76)*CA542), N($AK$67:$AK$76&gt;$AI542))
) / 1000</f>
        <v>0</v>
      </c>
      <c r="CG542" s="250">
        <f t="shared" si="598"/>
        <v>25</v>
      </c>
      <c r="CH542" s="237">
        <f t="shared" si="583"/>
        <v>38</v>
      </c>
      <c r="CI542" s="253">
        <f t="shared" si="584"/>
        <v>4.0666935483870965</v>
      </c>
      <c r="CJ542" s="253" cm="1">
        <f t="array" ref="CJ542">$BC542 * IF($AD542&lt;=2,
SUMPRODUCT(INDEX($AL$67:$AN$71,,$AE542), INDEX($AO$67:$AU$71,,$AD542), 1 / ($AV$67:$AV$71*CI542 + (1-$AV$67:$AV$71)*CE542), N($AK$67:$AK$71&gt;$AI542)),
SUMPRODUCT(INDEX($AL$57:$AN$66,,$AE542), INDEX($AO$57:$AU$66,,$AD542), 1 / ($AW$57:$AW$66*CI542 + (1-$AW$57:$AW$66)*CE542), N($AK$57:$AK$66&gt;$AI542))
) / 1000</f>
        <v>0</v>
      </c>
      <c r="CK542" s="250">
        <f t="shared" si="599"/>
        <v>20</v>
      </c>
      <c r="CL542" s="237">
        <f t="shared" si="585"/>
        <v>33</v>
      </c>
      <c r="CM542" s="253">
        <f t="shared" si="586"/>
        <v>4.8487499999999999</v>
      </c>
      <c r="CN542" s="253" cm="1">
        <f t="array" ref="CN542">$BC542 * IF($AD542&lt;=2,
SUMPRODUCT(INDEX($AL$62:$AN$66,,$AE542), INDEX($AO$62:$AU$66,,$AD542), 1 / ($AV$62:$AV$66*CM542 + (1-$AV$62:$AV$66)*CI542), N($AK$62:$AK$66&gt;$AI542)),
SUMPRODUCT(INDEX($AL$47:$AN$56,,$AE542), INDEX($AO$47:$AU$56,,$AD542), 1 / ($AW$47:$AW$56*CM542 + (1-$AW$47:$AW$56)*CI542), N($AK$47:$AK$56&gt;$AI542))
) / 1000</f>
        <v>0</v>
      </c>
      <c r="CO542" s="253" cm="1">
        <f t="array" ref="CO542">$BC542 * IF($AD542&lt;=2,
SUMPRODUCT(INDEX($AL$23:$AN$61,,$AE542), INDEX($AO$23:$AU$61,,$AD542), 1 / ($AV$23:$AV$61*CM542), N($AK$23:$AK$61&gt;$AI542)),
SUMPRODUCT(INDEX($AL$23:$AN$46,,$AE542), INDEX($AO$23:$AU$46,,$AD542), 1 / ($AW$23:$AW$46*CM542), N($AK$23:$AK$46&gt;$AI542))
) / 1000</f>
        <v>0</v>
      </c>
      <c r="CP542" s="237">
        <f t="shared" si="587"/>
        <v>0</v>
      </c>
      <c r="CQ542" s="210"/>
    </row>
    <row r="543" spans="1:95" s="76" customFormat="1" ht="14.25" customHeight="1" x14ac:dyDescent="0.2">
      <c r="A543" s="238" t="b">
        <f t="shared" si="591"/>
        <v>0</v>
      </c>
      <c r="B543" s="239">
        <v>521</v>
      </c>
      <c r="C543" s="258"/>
      <c r="D543" s="258"/>
      <c r="E543" s="240"/>
      <c r="F543" s="241" t="str">
        <f>IF(ISBLANK(E543), "", VLOOKUP(E543, Z!$A$2:$C$4127, 3, FALSE))</f>
        <v/>
      </c>
      <c r="G543" s="242"/>
      <c r="H543" s="242"/>
      <c r="I543" s="243"/>
      <c r="J543" s="244"/>
      <c r="K543" s="259"/>
      <c r="L543" s="260"/>
      <c r="M543" s="247" t="str" cm="1">
        <f t="array" ref="M543">IF($K543&gt;0, INDEX(Clean,1+AG543,$C$1), "")</f>
        <v/>
      </c>
      <c r="N543" s="245"/>
      <c r="O543" s="245"/>
      <c r="P543" s="246"/>
      <c r="Q543" s="248">
        <f t="shared" si="564"/>
        <v>0</v>
      </c>
      <c r="R543" s="247" t="str" cm="1">
        <f t="array" ref="R543">IF($K543&gt;0, INDEX(Clean,1+AH543,$C$1), "")</f>
        <v/>
      </c>
      <c r="S543" s="245"/>
      <c r="T543" s="245"/>
      <c r="U543" s="246"/>
      <c r="V543" s="248">
        <f t="shared" si="565"/>
        <v>0</v>
      </c>
      <c r="W543" s="261"/>
      <c r="X543" s="258"/>
      <c r="Y543" s="240"/>
      <c r="Z543" s="241" t="str">
        <f>IF(ISBLANK(Y543), "", VLOOKUP(Y543, Z!$A$2:$C$4127, 3, FALSE))</f>
        <v/>
      </c>
      <c r="AA543" s="262"/>
      <c r="AB543" s="249">
        <f t="shared" si="600"/>
        <v>0</v>
      </c>
      <c r="AC543" s="210"/>
      <c r="AD543" s="236">
        <f t="shared" si="588"/>
        <v>1</v>
      </c>
      <c r="AE543" s="236">
        <f t="shared" si="589"/>
        <v>1</v>
      </c>
      <c r="AF543" s="236">
        <f t="shared" si="590"/>
        <v>0</v>
      </c>
      <c r="AG543" s="236">
        <v>1</v>
      </c>
      <c r="AH543" s="236">
        <v>0</v>
      </c>
      <c r="AI543" s="236">
        <f t="shared" si="566"/>
        <v>-100</v>
      </c>
      <c r="AJ543" s="210"/>
      <c r="AK543" s="254"/>
      <c r="AL543" s="254"/>
      <c r="AM543" s="255"/>
      <c r="AN543" s="255"/>
      <c r="AO543" s="255"/>
      <c r="AP543" s="255"/>
      <c r="AQ543" s="255"/>
      <c r="AR543" s="255"/>
      <c r="AS543" s="255"/>
      <c r="AT543" s="255"/>
      <c r="AU543" s="255"/>
      <c r="AV543" s="255"/>
      <c r="AW543" s="255"/>
      <c r="AX543" s="210"/>
      <c r="AY543" s="236" cm="1">
        <f t="array" ref="AY543">INDEX(Use, $AD543, 4)</f>
        <v>7</v>
      </c>
      <c r="AZ543" s="236">
        <f t="shared" si="567"/>
        <v>32</v>
      </c>
      <c r="BA543" s="236">
        <f t="shared" si="592"/>
        <v>13</v>
      </c>
      <c r="BB543" s="236">
        <f t="shared" si="593"/>
        <v>0</v>
      </c>
      <c r="BC543" s="252" cm="1">
        <f t="array" ref="BC543">K543/IF($L543&gt;0, INDEX($AO$23:$AU$77, $L543+20, $AD543), 1)</f>
        <v>0</v>
      </c>
      <c r="BD543" s="237">
        <f t="shared" si="568"/>
        <v>0</v>
      </c>
      <c r="BE543" s="236">
        <v>35</v>
      </c>
      <c r="BF543" s="237">
        <f t="shared" si="569"/>
        <v>52.55</v>
      </c>
      <c r="BG543" s="253">
        <f t="shared" si="570"/>
        <v>2.7676728869374316</v>
      </c>
      <c r="BH543" s="253" cm="1">
        <f t="array" ref="BH543">$BC543 * SUMPRODUCT(INDEX($AL$77:$AN$82,,$AE543),INDEX($AO$77:$AU$82,,$AD543), N($AK$77:$AK$82&gt;$AI543)) / BG543 / 1000</f>
        <v>0</v>
      </c>
      <c r="BI543" s="250">
        <f t="shared" si="594"/>
        <v>30</v>
      </c>
      <c r="BJ543" s="237">
        <f t="shared" si="571"/>
        <v>46.033333333333331</v>
      </c>
      <c r="BK543" s="253">
        <f t="shared" si="572"/>
        <v>3.2297395388556791</v>
      </c>
      <c r="BL543" s="253" cm="1">
        <f t="array" ref="BL543">$BC543 * IF($AD543&lt;=2,
SUMPRODUCT(INDEX($AL$72:$AN$76,,$AE543), INDEX($AO$72:$AU$76,,$AD543), 1 / ($AV$72:$AV$76*BK543 + (1-$AV$72:$AV$76)*BG543), N($AK$72:$AK$76&gt;$AI543)),
SUMPRODUCT(INDEX($AL$67:$AN$76,,$AE543), INDEX($AO$67:$AU$76,,$AD543), 1 / ($AW$67:$AW$76*BK543 + (1-$AW$67:$AW$76)*BG543), N($AK$67:$AK$76&gt;$AI543))
) / 1000</f>
        <v>0</v>
      </c>
      <c r="BM543" s="250">
        <f t="shared" si="595"/>
        <v>25</v>
      </c>
      <c r="BN543" s="237">
        <f t="shared" si="573"/>
        <v>39.516666666666666</v>
      </c>
      <c r="BO543" s="253">
        <f t="shared" si="574"/>
        <v>3.877011788826243</v>
      </c>
      <c r="BP543" s="253" cm="1">
        <f t="array" ref="BP543">$BC543 * IF($AD543&lt;=2,
SUMPRODUCT(INDEX($AL$67:$AN$71,,$AE543), INDEX($AO$67:$AU$71,,$AD543), 1 / ($AV$67:$AV$71*BO543 + (1-$AV$67:$AV$71)*BK543), N($AK$67:$AK$71&gt;$AI543)),
SUMPRODUCT(INDEX($AL$57:$AN$66,,$AE543), INDEX($AO$57:$AU$66,,$AD543), 1 / ($AW$57:$AW$66*BO543 + (1-$AW$57:$AW$66)*BK543), N($AK$57:$AK$66&gt;$AI543))
) / 1000</f>
        <v>0</v>
      </c>
      <c r="BQ543" s="250">
        <f t="shared" si="596"/>
        <v>20</v>
      </c>
      <c r="BR543" s="237">
        <f t="shared" si="575"/>
        <v>33</v>
      </c>
      <c r="BS543" s="253">
        <f t="shared" si="576"/>
        <v>4.8487499999999999</v>
      </c>
      <c r="BT543" s="253" cm="1">
        <f t="array" ref="BT543">$BC543 * IF($AD543&lt;=2,
SUMPRODUCT(INDEX($AL$62:$AN$66,,$AE543), INDEX($AO$62:$AU$66,,$AD543), 1 / ($AV$62:$AV$66*BS543 + (1-$AV$62:$AV$66)*BO543), N($AK$62:$AK$66&gt;$AI543)),
SUMPRODUCT(INDEX($AL$47:$AN$56,,$AE543), INDEX($AO$47:$AU$56,,$AD543), 1 / ($AW$47:$AW$56*BS543 + (1-$AW$47:$AW$56)*BO543), N($AK$47:$AK$56&gt;$AI543))
) / 1000</f>
        <v>0</v>
      </c>
      <c r="BU543" s="253" cm="1">
        <f t="array" ref="BU543">$BC543 * IF($AD543&lt;=2,
SUMPRODUCT(INDEX($AL$23:$AN$61,,$AE543), INDEX($AO$23:$AU$61,,$AD543), 1 / ($AV$23:$AV$61*BS543), N($AK$23:$AK$61&gt;$AI543)),
SUMPRODUCT(INDEX($AL$23:$AN$46,,$AE543), INDEX($AO$23:$AU$46,,$AD543), 1 / ($AW$23:$AW$46*BS543), N($AK$23:$AK$46&gt;$AI543))
) / 1000</f>
        <v>0</v>
      </c>
      <c r="BV543" s="237">
        <f t="shared" si="577"/>
        <v>0</v>
      </c>
      <c r="BW543" s="210"/>
      <c r="BX543" s="237">
        <f t="shared" si="578"/>
        <v>0</v>
      </c>
      <c r="BY543" s="236">
        <v>35</v>
      </c>
      <c r="BZ543" s="237">
        <f t="shared" si="579"/>
        <v>48</v>
      </c>
      <c r="CA543" s="253">
        <f t="shared" si="580"/>
        <v>3.0748170731707316</v>
      </c>
      <c r="CB543" s="253" cm="1">
        <f t="array" ref="CB543">$BC543 * SUMPRODUCT(INDEX($AL$77:$AN$82,,$AE543),INDEX($AO$77:$AU$82,,$AD543), N($AK$77:$AK$82&gt;$AI543)) / CA543 / 1000</f>
        <v>0</v>
      </c>
      <c r="CC543" s="250">
        <f t="shared" si="597"/>
        <v>30</v>
      </c>
      <c r="CD543" s="237">
        <f t="shared" si="581"/>
        <v>43</v>
      </c>
      <c r="CE543" s="253">
        <f t="shared" si="582"/>
        <v>3.5018750000000001</v>
      </c>
      <c r="CF543" s="253" cm="1">
        <f t="array" ref="CF543">$BC543 * IF($AD543&lt;=2,
SUMPRODUCT(INDEX($AL$72:$AN$76,,$AE543), INDEX($AO$72:$AU$76,,$AD543), 1 / ($AV$72:$AV$76*CE543 + (1-$AV$72:$AV$76)*CA543), N($AK$72:$AK$76&gt;$AI543)),
SUMPRODUCT(INDEX($AL$67:$AN$76,,$AE543), INDEX($AO$67:$AU$76,,$AD543), 1 / ($AW$67:$AW$76*CE543 + (1-$AW$67:$AW$76)*CA543), N($AK$67:$AK$76&gt;$AI543))
) / 1000</f>
        <v>0</v>
      </c>
      <c r="CG543" s="250">
        <f t="shared" si="598"/>
        <v>25</v>
      </c>
      <c r="CH543" s="237">
        <f t="shared" si="583"/>
        <v>38</v>
      </c>
      <c r="CI543" s="253">
        <f t="shared" si="584"/>
        <v>4.0666935483870965</v>
      </c>
      <c r="CJ543" s="253" cm="1">
        <f t="array" ref="CJ543">$BC543 * IF($AD543&lt;=2,
SUMPRODUCT(INDEX($AL$67:$AN$71,,$AE543), INDEX($AO$67:$AU$71,,$AD543), 1 / ($AV$67:$AV$71*CI543 + (1-$AV$67:$AV$71)*CE543), N($AK$67:$AK$71&gt;$AI543)),
SUMPRODUCT(INDEX($AL$57:$AN$66,,$AE543), INDEX($AO$57:$AU$66,,$AD543), 1 / ($AW$57:$AW$66*CI543 + (1-$AW$57:$AW$66)*CE543), N($AK$57:$AK$66&gt;$AI543))
) / 1000</f>
        <v>0</v>
      </c>
      <c r="CK543" s="250">
        <f t="shared" si="599"/>
        <v>20</v>
      </c>
      <c r="CL543" s="237">
        <f t="shared" si="585"/>
        <v>33</v>
      </c>
      <c r="CM543" s="253">
        <f t="shared" si="586"/>
        <v>4.8487499999999999</v>
      </c>
      <c r="CN543" s="253" cm="1">
        <f t="array" ref="CN543">$BC543 * IF($AD543&lt;=2,
SUMPRODUCT(INDEX($AL$62:$AN$66,,$AE543), INDEX($AO$62:$AU$66,,$AD543), 1 / ($AV$62:$AV$66*CM543 + (1-$AV$62:$AV$66)*CI543), N($AK$62:$AK$66&gt;$AI543)),
SUMPRODUCT(INDEX($AL$47:$AN$56,,$AE543), INDEX($AO$47:$AU$56,,$AD543), 1 / ($AW$47:$AW$56*CM543 + (1-$AW$47:$AW$56)*CI543), N($AK$47:$AK$56&gt;$AI543))
) / 1000</f>
        <v>0</v>
      </c>
      <c r="CO543" s="253" cm="1">
        <f t="array" ref="CO543">$BC543 * IF($AD543&lt;=2,
SUMPRODUCT(INDEX($AL$23:$AN$61,,$AE543), INDEX($AO$23:$AU$61,,$AD543), 1 / ($AV$23:$AV$61*CM543), N($AK$23:$AK$61&gt;$AI543)),
SUMPRODUCT(INDEX($AL$23:$AN$46,,$AE543), INDEX($AO$23:$AU$46,,$AD543), 1 / ($AW$23:$AW$46*CM543), N($AK$23:$AK$46&gt;$AI543))
) / 1000</f>
        <v>0</v>
      </c>
      <c r="CP543" s="237">
        <f t="shared" si="587"/>
        <v>0</v>
      </c>
      <c r="CQ543" s="210"/>
    </row>
    <row r="544" spans="1:95" s="76" customFormat="1" ht="14.25" customHeight="1" x14ac:dyDescent="0.2">
      <c r="A544" s="238" t="b">
        <f t="shared" si="591"/>
        <v>0</v>
      </c>
      <c r="B544" s="239">
        <v>522</v>
      </c>
      <c r="C544" s="258"/>
      <c r="D544" s="258"/>
      <c r="E544" s="240"/>
      <c r="F544" s="241" t="str">
        <f>IF(ISBLANK(E544), "", VLOOKUP(E544, Z!$A$2:$C$4127, 3, FALSE))</f>
        <v/>
      </c>
      <c r="G544" s="242"/>
      <c r="H544" s="242"/>
      <c r="I544" s="243"/>
      <c r="J544" s="244"/>
      <c r="K544" s="259"/>
      <c r="L544" s="260"/>
      <c r="M544" s="247" t="str" cm="1">
        <f t="array" ref="M544">IF($K544&gt;0, INDEX(Clean,1+AG544,$C$1), "")</f>
        <v/>
      </c>
      <c r="N544" s="245"/>
      <c r="O544" s="245"/>
      <c r="P544" s="246"/>
      <c r="Q544" s="248">
        <f t="shared" si="564"/>
        <v>0</v>
      </c>
      <c r="R544" s="247" t="str" cm="1">
        <f t="array" ref="R544">IF($K544&gt;0, INDEX(Clean,1+AH544,$C$1), "")</f>
        <v/>
      </c>
      <c r="S544" s="245"/>
      <c r="T544" s="245"/>
      <c r="U544" s="246"/>
      <c r="V544" s="248">
        <f t="shared" si="565"/>
        <v>0</v>
      </c>
      <c r="W544" s="261"/>
      <c r="X544" s="258"/>
      <c r="Y544" s="240"/>
      <c r="Z544" s="241" t="str">
        <f>IF(ISBLANK(Y544), "", VLOOKUP(Y544, Z!$A$2:$C$4127, 3, FALSE))</f>
        <v/>
      </c>
      <c r="AA544" s="262"/>
      <c r="AB544" s="249">
        <f t="shared" si="600"/>
        <v>0</v>
      </c>
      <c r="AC544" s="210"/>
      <c r="AD544" s="236">
        <f t="shared" si="588"/>
        <v>1</v>
      </c>
      <c r="AE544" s="236">
        <f t="shared" si="589"/>
        <v>1</v>
      </c>
      <c r="AF544" s="236">
        <f t="shared" si="590"/>
        <v>0</v>
      </c>
      <c r="AG544" s="236">
        <v>1</v>
      </c>
      <c r="AH544" s="236">
        <v>0</v>
      </c>
      <c r="AI544" s="236">
        <f t="shared" si="566"/>
        <v>-100</v>
      </c>
      <c r="AJ544" s="210"/>
      <c r="AK544" s="254"/>
      <c r="AL544" s="254"/>
      <c r="AM544" s="255"/>
      <c r="AN544" s="255"/>
      <c r="AO544" s="255"/>
      <c r="AP544" s="255"/>
      <c r="AQ544" s="255"/>
      <c r="AR544" s="255"/>
      <c r="AS544" s="255"/>
      <c r="AT544" s="255"/>
      <c r="AU544" s="255"/>
      <c r="AV544" s="255"/>
      <c r="AW544" s="255"/>
      <c r="AX544" s="210"/>
      <c r="AY544" s="236" cm="1">
        <f t="array" ref="AY544">INDEX(Use, $AD544, 4)</f>
        <v>7</v>
      </c>
      <c r="AZ544" s="236">
        <f t="shared" si="567"/>
        <v>32</v>
      </c>
      <c r="BA544" s="236">
        <f t="shared" si="592"/>
        <v>13</v>
      </c>
      <c r="BB544" s="236">
        <f t="shared" si="593"/>
        <v>0</v>
      </c>
      <c r="BC544" s="252" cm="1">
        <f t="array" ref="BC544">K544/IF($L544&gt;0, INDEX($AO$23:$AU$77, $L544+20, $AD544), 1)</f>
        <v>0</v>
      </c>
      <c r="BD544" s="237">
        <f t="shared" si="568"/>
        <v>0</v>
      </c>
      <c r="BE544" s="236">
        <v>35</v>
      </c>
      <c r="BF544" s="237">
        <f t="shared" si="569"/>
        <v>52.55</v>
      </c>
      <c r="BG544" s="253">
        <f t="shared" si="570"/>
        <v>2.7676728869374316</v>
      </c>
      <c r="BH544" s="253" cm="1">
        <f t="array" ref="BH544">$BC544 * SUMPRODUCT(INDEX($AL$77:$AN$82,,$AE544),INDEX($AO$77:$AU$82,,$AD544), N($AK$77:$AK$82&gt;$AI544)) / BG544 / 1000</f>
        <v>0</v>
      </c>
      <c r="BI544" s="250">
        <f t="shared" si="594"/>
        <v>30</v>
      </c>
      <c r="BJ544" s="237">
        <f t="shared" si="571"/>
        <v>46.033333333333331</v>
      </c>
      <c r="BK544" s="253">
        <f t="shared" si="572"/>
        <v>3.2297395388556791</v>
      </c>
      <c r="BL544" s="253" cm="1">
        <f t="array" ref="BL544">$BC544 * IF($AD544&lt;=2,
SUMPRODUCT(INDEX($AL$72:$AN$76,,$AE544), INDEX($AO$72:$AU$76,,$AD544), 1 / ($AV$72:$AV$76*BK544 + (1-$AV$72:$AV$76)*BG544), N($AK$72:$AK$76&gt;$AI544)),
SUMPRODUCT(INDEX($AL$67:$AN$76,,$AE544), INDEX($AO$67:$AU$76,,$AD544), 1 / ($AW$67:$AW$76*BK544 + (1-$AW$67:$AW$76)*BG544), N($AK$67:$AK$76&gt;$AI544))
) / 1000</f>
        <v>0</v>
      </c>
      <c r="BM544" s="250">
        <f t="shared" si="595"/>
        <v>25</v>
      </c>
      <c r="BN544" s="237">
        <f t="shared" si="573"/>
        <v>39.516666666666666</v>
      </c>
      <c r="BO544" s="253">
        <f t="shared" si="574"/>
        <v>3.877011788826243</v>
      </c>
      <c r="BP544" s="253" cm="1">
        <f t="array" ref="BP544">$BC544 * IF($AD544&lt;=2,
SUMPRODUCT(INDEX($AL$67:$AN$71,,$AE544), INDEX($AO$67:$AU$71,,$AD544), 1 / ($AV$67:$AV$71*BO544 + (1-$AV$67:$AV$71)*BK544), N($AK$67:$AK$71&gt;$AI544)),
SUMPRODUCT(INDEX($AL$57:$AN$66,,$AE544), INDEX($AO$57:$AU$66,,$AD544), 1 / ($AW$57:$AW$66*BO544 + (1-$AW$57:$AW$66)*BK544), N($AK$57:$AK$66&gt;$AI544))
) / 1000</f>
        <v>0</v>
      </c>
      <c r="BQ544" s="250">
        <f t="shared" si="596"/>
        <v>20</v>
      </c>
      <c r="BR544" s="237">
        <f t="shared" si="575"/>
        <v>33</v>
      </c>
      <c r="BS544" s="253">
        <f t="shared" si="576"/>
        <v>4.8487499999999999</v>
      </c>
      <c r="BT544" s="253" cm="1">
        <f t="array" ref="BT544">$BC544 * IF($AD544&lt;=2,
SUMPRODUCT(INDEX($AL$62:$AN$66,,$AE544), INDEX($AO$62:$AU$66,,$AD544), 1 / ($AV$62:$AV$66*BS544 + (1-$AV$62:$AV$66)*BO544), N($AK$62:$AK$66&gt;$AI544)),
SUMPRODUCT(INDEX($AL$47:$AN$56,,$AE544), INDEX($AO$47:$AU$56,,$AD544), 1 / ($AW$47:$AW$56*BS544 + (1-$AW$47:$AW$56)*BO544), N($AK$47:$AK$56&gt;$AI544))
) / 1000</f>
        <v>0</v>
      </c>
      <c r="BU544" s="253" cm="1">
        <f t="array" ref="BU544">$BC544 * IF($AD544&lt;=2,
SUMPRODUCT(INDEX($AL$23:$AN$61,,$AE544), INDEX($AO$23:$AU$61,,$AD544), 1 / ($AV$23:$AV$61*BS544), N($AK$23:$AK$61&gt;$AI544)),
SUMPRODUCT(INDEX($AL$23:$AN$46,,$AE544), INDEX($AO$23:$AU$46,,$AD544), 1 / ($AW$23:$AW$46*BS544), N($AK$23:$AK$46&gt;$AI544))
) / 1000</f>
        <v>0</v>
      </c>
      <c r="BV544" s="237">
        <f t="shared" si="577"/>
        <v>0</v>
      </c>
      <c r="BW544" s="210"/>
      <c r="BX544" s="237">
        <f t="shared" si="578"/>
        <v>0</v>
      </c>
      <c r="BY544" s="236">
        <v>35</v>
      </c>
      <c r="BZ544" s="237">
        <f t="shared" si="579"/>
        <v>48</v>
      </c>
      <c r="CA544" s="253">
        <f t="shared" si="580"/>
        <v>3.0748170731707316</v>
      </c>
      <c r="CB544" s="253" cm="1">
        <f t="array" ref="CB544">$BC544 * SUMPRODUCT(INDEX($AL$77:$AN$82,,$AE544),INDEX($AO$77:$AU$82,,$AD544), N($AK$77:$AK$82&gt;$AI544)) / CA544 / 1000</f>
        <v>0</v>
      </c>
      <c r="CC544" s="250">
        <f t="shared" si="597"/>
        <v>30</v>
      </c>
      <c r="CD544" s="237">
        <f t="shared" si="581"/>
        <v>43</v>
      </c>
      <c r="CE544" s="253">
        <f t="shared" si="582"/>
        <v>3.5018750000000001</v>
      </c>
      <c r="CF544" s="253" cm="1">
        <f t="array" ref="CF544">$BC544 * IF($AD544&lt;=2,
SUMPRODUCT(INDEX($AL$72:$AN$76,,$AE544), INDEX($AO$72:$AU$76,,$AD544), 1 / ($AV$72:$AV$76*CE544 + (1-$AV$72:$AV$76)*CA544), N($AK$72:$AK$76&gt;$AI544)),
SUMPRODUCT(INDEX($AL$67:$AN$76,,$AE544), INDEX($AO$67:$AU$76,,$AD544), 1 / ($AW$67:$AW$76*CE544 + (1-$AW$67:$AW$76)*CA544), N($AK$67:$AK$76&gt;$AI544))
) / 1000</f>
        <v>0</v>
      </c>
      <c r="CG544" s="250">
        <f t="shared" si="598"/>
        <v>25</v>
      </c>
      <c r="CH544" s="237">
        <f t="shared" si="583"/>
        <v>38</v>
      </c>
      <c r="CI544" s="253">
        <f t="shared" si="584"/>
        <v>4.0666935483870965</v>
      </c>
      <c r="CJ544" s="253" cm="1">
        <f t="array" ref="CJ544">$BC544 * IF($AD544&lt;=2,
SUMPRODUCT(INDEX($AL$67:$AN$71,,$AE544), INDEX($AO$67:$AU$71,,$AD544), 1 / ($AV$67:$AV$71*CI544 + (1-$AV$67:$AV$71)*CE544), N($AK$67:$AK$71&gt;$AI544)),
SUMPRODUCT(INDEX($AL$57:$AN$66,,$AE544), INDEX($AO$57:$AU$66,,$AD544), 1 / ($AW$57:$AW$66*CI544 + (1-$AW$57:$AW$66)*CE544), N($AK$57:$AK$66&gt;$AI544))
) / 1000</f>
        <v>0</v>
      </c>
      <c r="CK544" s="250">
        <f t="shared" si="599"/>
        <v>20</v>
      </c>
      <c r="CL544" s="237">
        <f t="shared" si="585"/>
        <v>33</v>
      </c>
      <c r="CM544" s="253">
        <f t="shared" si="586"/>
        <v>4.8487499999999999</v>
      </c>
      <c r="CN544" s="253" cm="1">
        <f t="array" ref="CN544">$BC544 * IF($AD544&lt;=2,
SUMPRODUCT(INDEX($AL$62:$AN$66,,$AE544), INDEX($AO$62:$AU$66,,$AD544), 1 / ($AV$62:$AV$66*CM544 + (1-$AV$62:$AV$66)*CI544), N($AK$62:$AK$66&gt;$AI544)),
SUMPRODUCT(INDEX($AL$47:$AN$56,,$AE544), INDEX($AO$47:$AU$56,,$AD544), 1 / ($AW$47:$AW$56*CM544 + (1-$AW$47:$AW$56)*CI544), N($AK$47:$AK$56&gt;$AI544))
) / 1000</f>
        <v>0</v>
      </c>
      <c r="CO544" s="253" cm="1">
        <f t="array" ref="CO544">$BC544 * IF($AD544&lt;=2,
SUMPRODUCT(INDEX($AL$23:$AN$61,,$AE544), INDEX($AO$23:$AU$61,,$AD544), 1 / ($AV$23:$AV$61*CM544), N($AK$23:$AK$61&gt;$AI544)),
SUMPRODUCT(INDEX($AL$23:$AN$46,,$AE544), INDEX($AO$23:$AU$46,,$AD544), 1 / ($AW$23:$AW$46*CM544), N($AK$23:$AK$46&gt;$AI544))
) / 1000</f>
        <v>0</v>
      </c>
      <c r="CP544" s="237">
        <f t="shared" si="587"/>
        <v>0</v>
      </c>
      <c r="CQ544" s="210"/>
    </row>
    <row r="545" spans="1:95" s="76" customFormat="1" ht="14.25" customHeight="1" x14ac:dyDescent="0.2">
      <c r="A545" s="238" t="b">
        <f t="shared" si="591"/>
        <v>0</v>
      </c>
      <c r="B545" s="239">
        <v>523</v>
      </c>
      <c r="C545" s="258"/>
      <c r="D545" s="258"/>
      <c r="E545" s="240"/>
      <c r="F545" s="241" t="str">
        <f>IF(ISBLANK(E545), "", VLOOKUP(E545, Z!$A$2:$C$4127, 3, FALSE))</f>
        <v/>
      </c>
      <c r="G545" s="242"/>
      <c r="H545" s="242"/>
      <c r="I545" s="243"/>
      <c r="J545" s="244"/>
      <c r="K545" s="259"/>
      <c r="L545" s="260"/>
      <c r="M545" s="247" t="str" cm="1">
        <f t="array" ref="M545">IF($K545&gt;0, INDEX(Clean,1+AG545,$C$1), "")</f>
        <v/>
      </c>
      <c r="N545" s="245"/>
      <c r="O545" s="245"/>
      <c r="P545" s="246"/>
      <c r="Q545" s="248">
        <f t="shared" si="564"/>
        <v>0</v>
      </c>
      <c r="R545" s="247" t="str" cm="1">
        <f t="array" ref="R545">IF($K545&gt;0, INDEX(Clean,1+AH545,$C$1), "")</f>
        <v/>
      </c>
      <c r="S545" s="245"/>
      <c r="T545" s="245"/>
      <c r="U545" s="246"/>
      <c r="V545" s="248">
        <f t="shared" si="565"/>
        <v>0</v>
      </c>
      <c r="W545" s="261"/>
      <c r="X545" s="258"/>
      <c r="Y545" s="240"/>
      <c r="Z545" s="241" t="str">
        <f>IF(ISBLANK(Y545), "", VLOOKUP(Y545, Z!$A$2:$C$4127, 3, FALSE))</f>
        <v/>
      </c>
      <c r="AA545" s="262"/>
      <c r="AB545" s="249">
        <f t="shared" si="600"/>
        <v>0</v>
      </c>
      <c r="AC545" s="210"/>
      <c r="AD545" s="236">
        <f t="shared" si="588"/>
        <v>1</v>
      </c>
      <c r="AE545" s="236">
        <f t="shared" si="589"/>
        <v>1</v>
      </c>
      <c r="AF545" s="236">
        <f t="shared" si="590"/>
        <v>0</v>
      </c>
      <c r="AG545" s="236">
        <v>1</v>
      </c>
      <c r="AH545" s="236">
        <v>0</v>
      </c>
      <c r="AI545" s="236">
        <f t="shared" si="566"/>
        <v>-100</v>
      </c>
      <c r="AJ545" s="210"/>
      <c r="AK545" s="254"/>
      <c r="AL545" s="254"/>
      <c r="AM545" s="255"/>
      <c r="AN545" s="255"/>
      <c r="AO545" s="255"/>
      <c r="AP545" s="255"/>
      <c r="AQ545" s="255"/>
      <c r="AR545" s="255"/>
      <c r="AS545" s="255"/>
      <c r="AT545" s="255"/>
      <c r="AU545" s="255"/>
      <c r="AV545" s="255"/>
      <c r="AW545" s="255"/>
      <c r="AX545" s="210"/>
      <c r="AY545" s="236" cm="1">
        <f t="array" ref="AY545">INDEX(Use, $AD545, 4)</f>
        <v>7</v>
      </c>
      <c r="AZ545" s="236">
        <f t="shared" si="567"/>
        <v>32</v>
      </c>
      <c r="BA545" s="236">
        <f t="shared" si="592"/>
        <v>13</v>
      </c>
      <c r="BB545" s="236">
        <f t="shared" si="593"/>
        <v>0</v>
      </c>
      <c r="BC545" s="252" cm="1">
        <f t="array" ref="BC545">K545/IF($L545&gt;0, INDEX($AO$23:$AU$77, $L545+20, $AD545), 1)</f>
        <v>0</v>
      </c>
      <c r="BD545" s="237">
        <f t="shared" si="568"/>
        <v>0</v>
      </c>
      <c r="BE545" s="236">
        <v>35</v>
      </c>
      <c r="BF545" s="237">
        <f t="shared" si="569"/>
        <v>52.55</v>
      </c>
      <c r="BG545" s="253">
        <f t="shared" si="570"/>
        <v>2.7676728869374316</v>
      </c>
      <c r="BH545" s="253" cm="1">
        <f t="array" ref="BH545">$BC545 * SUMPRODUCT(INDEX($AL$77:$AN$82,,$AE545),INDEX($AO$77:$AU$82,,$AD545), N($AK$77:$AK$82&gt;$AI545)) / BG545 / 1000</f>
        <v>0</v>
      </c>
      <c r="BI545" s="250">
        <f t="shared" si="594"/>
        <v>30</v>
      </c>
      <c r="BJ545" s="237">
        <f t="shared" si="571"/>
        <v>46.033333333333331</v>
      </c>
      <c r="BK545" s="253">
        <f t="shared" si="572"/>
        <v>3.2297395388556791</v>
      </c>
      <c r="BL545" s="253" cm="1">
        <f t="array" ref="BL545">$BC545 * IF($AD545&lt;=2,
SUMPRODUCT(INDEX($AL$72:$AN$76,,$AE545), INDEX($AO$72:$AU$76,,$AD545), 1 / ($AV$72:$AV$76*BK545 + (1-$AV$72:$AV$76)*BG545), N($AK$72:$AK$76&gt;$AI545)),
SUMPRODUCT(INDEX($AL$67:$AN$76,,$AE545), INDEX($AO$67:$AU$76,,$AD545), 1 / ($AW$67:$AW$76*BK545 + (1-$AW$67:$AW$76)*BG545), N($AK$67:$AK$76&gt;$AI545))
) / 1000</f>
        <v>0</v>
      </c>
      <c r="BM545" s="250">
        <f t="shared" si="595"/>
        <v>25</v>
      </c>
      <c r="BN545" s="237">
        <f t="shared" si="573"/>
        <v>39.516666666666666</v>
      </c>
      <c r="BO545" s="253">
        <f t="shared" si="574"/>
        <v>3.877011788826243</v>
      </c>
      <c r="BP545" s="253" cm="1">
        <f t="array" ref="BP545">$BC545 * IF($AD545&lt;=2,
SUMPRODUCT(INDEX($AL$67:$AN$71,,$AE545), INDEX($AO$67:$AU$71,,$AD545), 1 / ($AV$67:$AV$71*BO545 + (1-$AV$67:$AV$71)*BK545), N($AK$67:$AK$71&gt;$AI545)),
SUMPRODUCT(INDEX($AL$57:$AN$66,,$AE545), INDEX($AO$57:$AU$66,,$AD545), 1 / ($AW$57:$AW$66*BO545 + (1-$AW$57:$AW$66)*BK545), N($AK$57:$AK$66&gt;$AI545))
) / 1000</f>
        <v>0</v>
      </c>
      <c r="BQ545" s="250">
        <f t="shared" si="596"/>
        <v>20</v>
      </c>
      <c r="BR545" s="237">
        <f t="shared" si="575"/>
        <v>33</v>
      </c>
      <c r="BS545" s="253">
        <f t="shared" si="576"/>
        <v>4.8487499999999999</v>
      </c>
      <c r="BT545" s="253" cm="1">
        <f t="array" ref="BT545">$BC545 * IF($AD545&lt;=2,
SUMPRODUCT(INDEX($AL$62:$AN$66,,$AE545), INDEX($AO$62:$AU$66,,$AD545), 1 / ($AV$62:$AV$66*BS545 + (1-$AV$62:$AV$66)*BO545), N($AK$62:$AK$66&gt;$AI545)),
SUMPRODUCT(INDEX($AL$47:$AN$56,,$AE545), INDEX($AO$47:$AU$56,,$AD545), 1 / ($AW$47:$AW$56*BS545 + (1-$AW$47:$AW$56)*BO545), N($AK$47:$AK$56&gt;$AI545))
) / 1000</f>
        <v>0</v>
      </c>
      <c r="BU545" s="253" cm="1">
        <f t="array" ref="BU545">$BC545 * IF($AD545&lt;=2,
SUMPRODUCT(INDEX($AL$23:$AN$61,,$AE545), INDEX($AO$23:$AU$61,,$AD545), 1 / ($AV$23:$AV$61*BS545), N($AK$23:$AK$61&gt;$AI545)),
SUMPRODUCT(INDEX($AL$23:$AN$46,,$AE545), INDEX($AO$23:$AU$46,,$AD545), 1 / ($AW$23:$AW$46*BS545), N($AK$23:$AK$46&gt;$AI545))
) / 1000</f>
        <v>0</v>
      </c>
      <c r="BV545" s="237">
        <f t="shared" si="577"/>
        <v>0</v>
      </c>
      <c r="BW545" s="210"/>
      <c r="BX545" s="237">
        <f t="shared" si="578"/>
        <v>0</v>
      </c>
      <c r="BY545" s="236">
        <v>35</v>
      </c>
      <c r="BZ545" s="237">
        <f t="shared" si="579"/>
        <v>48</v>
      </c>
      <c r="CA545" s="253">
        <f t="shared" si="580"/>
        <v>3.0748170731707316</v>
      </c>
      <c r="CB545" s="253" cm="1">
        <f t="array" ref="CB545">$BC545 * SUMPRODUCT(INDEX($AL$77:$AN$82,,$AE545),INDEX($AO$77:$AU$82,,$AD545), N($AK$77:$AK$82&gt;$AI545)) / CA545 / 1000</f>
        <v>0</v>
      </c>
      <c r="CC545" s="250">
        <f t="shared" si="597"/>
        <v>30</v>
      </c>
      <c r="CD545" s="237">
        <f t="shared" si="581"/>
        <v>43</v>
      </c>
      <c r="CE545" s="253">
        <f t="shared" si="582"/>
        <v>3.5018750000000001</v>
      </c>
      <c r="CF545" s="253" cm="1">
        <f t="array" ref="CF545">$BC545 * IF($AD545&lt;=2,
SUMPRODUCT(INDEX($AL$72:$AN$76,,$AE545), INDEX($AO$72:$AU$76,,$AD545), 1 / ($AV$72:$AV$76*CE545 + (1-$AV$72:$AV$76)*CA545), N($AK$72:$AK$76&gt;$AI545)),
SUMPRODUCT(INDEX($AL$67:$AN$76,,$AE545), INDEX($AO$67:$AU$76,,$AD545), 1 / ($AW$67:$AW$76*CE545 + (1-$AW$67:$AW$76)*CA545), N($AK$67:$AK$76&gt;$AI545))
) / 1000</f>
        <v>0</v>
      </c>
      <c r="CG545" s="250">
        <f t="shared" si="598"/>
        <v>25</v>
      </c>
      <c r="CH545" s="237">
        <f t="shared" si="583"/>
        <v>38</v>
      </c>
      <c r="CI545" s="253">
        <f t="shared" si="584"/>
        <v>4.0666935483870965</v>
      </c>
      <c r="CJ545" s="253" cm="1">
        <f t="array" ref="CJ545">$BC545 * IF($AD545&lt;=2,
SUMPRODUCT(INDEX($AL$67:$AN$71,,$AE545), INDEX($AO$67:$AU$71,,$AD545), 1 / ($AV$67:$AV$71*CI545 + (1-$AV$67:$AV$71)*CE545), N($AK$67:$AK$71&gt;$AI545)),
SUMPRODUCT(INDEX($AL$57:$AN$66,,$AE545), INDEX($AO$57:$AU$66,,$AD545), 1 / ($AW$57:$AW$66*CI545 + (1-$AW$57:$AW$66)*CE545), N($AK$57:$AK$66&gt;$AI545))
) / 1000</f>
        <v>0</v>
      </c>
      <c r="CK545" s="250">
        <f t="shared" si="599"/>
        <v>20</v>
      </c>
      <c r="CL545" s="237">
        <f t="shared" si="585"/>
        <v>33</v>
      </c>
      <c r="CM545" s="253">
        <f t="shared" si="586"/>
        <v>4.8487499999999999</v>
      </c>
      <c r="CN545" s="253" cm="1">
        <f t="array" ref="CN545">$BC545 * IF($AD545&lt;=2,
SUMPRODUCT(INDEX($AL$62:$AN$66,,$AE545), INDEX($AO$62:$AU$66,,$AD545), 1 / ($AV$62:$AV$66*CM545 + (1-$AV$62:$AV$66)*CI545), N($AK$62:$AK$66&gt;$AI545)),
SUMPRODUCT(INDEX($AL$47:$AN$56,,$AE545), INDEX($AO$47:$AU$56,,$AD545), 1 / ($AW$47:$AW$56*CM545 + (1-$AW$47:$AW$56)*CI545), N($AK$47:$AK$56&gt;$AI545))
) / 1000</f>
        <v>0</v>
      </c>
      <c r="CO545" s="253" cm="1">
        <f t="array" ref="CO545">$BC545 * IF($AD545&lt;=2,
SUMPRODUCT(INDEX($AL$23:$AN$61,,$AE545), INDEX($AO$23:$AU$61,,$AD545), 1 / ($AV$23:$AV$61*CM545), N($AK$23:$AK$61&gt;$AI545)),
SUMPRODUCT(INDEX($AL$23:$AN$46,,$AE545), INDEX($AO$23:$AU$46,,$AD545), 1 / ($AW$23:$AW$46*CM545), N($AK$23:$AK$46&gt;$AI545))
) / 1000</f>
        <v>0</v>
      </c>
      <c r="CP545" s="237">
        <f t="shared" si="587"/>
        <v>0</v>
      </c>
      <c r="CQ545" s="210"/>
    </row>
    <row r="546" spans="1:95" s="76" customFormat="1" ht="14.25" customHeight="1" x14ac:dyDescent="0.2">
      <c r="A546" s="238" t="b">
        <f t="shared" si="591"/>
        <v>0</v>
      </c>
      <c r="B546" s="239">
        <v>524</v>
      </c>
      <c r="C546" s="258"/>
      <c r="D546" s="258"/>
      <c r="E546" s="240"/>
      <c r="F546" s="241" t="str">
        <f>IF(ISBLANK(E546), "", VLOOKUP(E546, Z!$A$2:$C$4127, 3, FALSE))</f>
        <v/>
      </c>
      <c r="G546" s="242"/>
      <c r="H546" s="242"/>
      <c r="I546" s="243"/>
      <c r="J546" s="244"/>
      <c r="K546" s="259"/>
      <c r="L546" s="260"/>
      <c r="M546" s="247" t="str" cm="1">
        <f t="array" ref="M546">IF($K546&gt;0, INDEX(Clean,1+AG546,$C$1), "")</f>
        <v/>
      </c>
      <c r="N546" s="245"/>
      <c r="O546" s="245"/>
      <c r="P546" s="246"/>
      <c r="Q546" s="248">
        <f t="shared" si="564"/>
        <v>0</v>
      </c>
      <c r="R546" s="247" t="str" cm="1">
        <f t="array" ref="R546">IF($K546&gt;0, INDEX(Clean,1+AH546,$C$1), "")</f>
        <v/>
      </c>
      <c r="S546" s="245"/>
      <c r="T546" s="245"/>
      <c r="U546" s="246"/>
      <c r="V546" s="248">
        <f t="shared" si="565"/>
        <v>0</v>
      </c>
      <c r="W546" s="261"/>
      <c r="X546" s="258"/>
      <c r="Y546" s="240"/>
      <c r="Z546" s="241" t="str">
        <f>IF(ISBLANK(Y546), "", VLOOKUP(Y546, Z!$A$2:$C$4127, 3, FALSE))</f>
        <v/>
      </c>
      <c r="AA546" s="262"/>
      <c r="AB546" s="249">
        <f t="shared" si="600"/>
        <v>0</v>
      </c>
      <c r="AC546" s="210"/>
      <c r="AD546" s="236">
        <f t="shared" si="588"/>
        <v>1</v>
      </c>
      <c r="AE546" s="236">
        <f t="shared" si="589"/>
        <v>1</v>
      </c>
      <c r="AF546" s="236">
        <f t="shared" si="590"/>
        <v>0</v>
      </c>
      <c r="AG546" s="236">
        <v>1</v>
      </c>
      <c r="AH546" s="236">
        <v>0</v>
      </c>
      <c r="AI546" s="236">
        <f t="shared" si="566"/>
        <v>-100</v>
      </c>
      <c r="AJ546" s="210"/>
      <c r="AK546" s="254"/>
      <c r="AL546" s="254"/>
      <c r="AM546" s="255"/>
      <c r="AN546" s="255"/>
      <c r="AO546" s="255"/>
      <c r="AP546" s="255"/>
      <c r="AQ546" s="255"/>
      <c r="AR546" s="255"/>
      <c r="AS546" s="255"/>
      <c r="AT546" s="255"/>
      <c r="AU546" s="255"/>
      <c r="AV546" s="255"/>
      <c r="AW546" s="255"/>
      <c r="AX546" s="210"/>
      <c r="AY546" s="236" cm="1">
        <f t="array" ref="AY546">INDEX(Use, $AD546, 4)</f>
        <v>7</v>
      </c>
      <c r="AZ546" s="236">
        <f t="shared" si="567"/>
        <v>32</v>
      </c>
      <c r="BA546" s="236">
        <f t="shared" si="592"/>
        <v>13</v>
      </c>
      <c r="BB546" s="236">
        <f t="shared" si="593"/>
        <v>0</v>
      </c>
      <c r="BC546" s="252" cm="1">
        <f t="array" ref="BC546">K546/IF($L546&gt;0, INDEX($AO$23:$AU$77, $L546+20, $AD546), 1)</f>
        <v>0</v>
      </c>
      <c r="BD546" s="237">
        <f t="shared" si="568"/>
        <v>0</v>
      </c>
      <c r="BE546" s="236">
        <v>35</v>
      </c>
      <c r="BF546" s="237">
        <f t="shared" si="569"/>
        <v>52.55</v>
      </c>
      <c r="BG546" s="253">
        <f t="shared" si="570"/>
        <v>2.7676728869374316</v>
      </c>
      <c r="BH546" s="253" cm="1">
        <f t="array" ref="BH546">$BC546 * SUMPRODUCT(INDEX($AL$77:$AN$82,,$AE546),INDEX($AO$77:$AU$82,,$AD546), N($AK$77:$AK$82&gt;$AI546)) / BG546 / 1000</f>
        <v>0</v>
      </c>
      <c r="BI546" s="250">
        <f t="shared" si="594"/>
        <v>30</v>
      </c>
      <c r="BJ546" s="237">
        <f t="shared" si="571"/>
        <v>46.033333333333331</v>
      </c>
      <c r="BK546" s="253">
        <f t="shared" si="572"/>
        <v>3.2297395388556791</v>
      </c>
      <c r="BL546" s="253" cm="1">
        <f t="array" ref="BL546">$BC546 * IF($AD546&lt;=2,
SUMPRODUCT(INDEX($AL$72:$AN$76,,$AE546), INDEX($AO$72:$AU$76,,$AD546), 1 / ($AV$72:$AV$76*BK546 + (1-$AV$72:$AV$76)*BG546), N($AK$72:$AK$76&gt;$AI546)),
SUMPRODUCT(INDEX($AL$67:$AN$76,,$AE546), INDEX($AO$67:$AU$76,,$AD546), 1 / ($AW$67:$AW$76*BK546 + (1-$AW$67:$AW$76)*BG546), N($AK$67:$AK$76&gt;$AI546))
) / 1000</f>
        <v>0</v>
      </c>
      <c r="BM546" s="250">
        <f t="shared" si="595"/>
        <v>25</v>
      </c>
      <c r="BN546" s="237">
        <f t="shared" si="573"/>
        <v>39.516666666666666</v>
      </c>
      <c r="BO546" s="253">
        <f t="shared" si="574"/>
        <v>3.877011788826243</v>
      </c>
      <c r="BP546" s="253" cm="1">
        <f t="array" ref="BP546">$BC546 * IF($AD546&lt;=2,
SUMPRODUCT(INDEX($AL$67:$AN$71,,$AE546), INDEX($AO$67:$AU$71,,$AD546), 1 / ($AV$67:$AV$71*BO546 + (1-$AV$67:$AV$71)*BK546), N($AK$67:$AK$71&gt;$AI546)),
SUMPRODUCT(INDEX($AL$57:$AN$66,,$AE546), INDEX($AO$57:$AU$66,,$AD546), 1 / ($AW$57:$AW$66*BO546 + (1-$AW$57:$AW$66)*BK546), N($AK$57:$AK$66&gt;$AI546))
) / 1000</f>
        <v>0</v>
      </c>
      <c r="BQ546" s="250">
        <f t="shared" si="596"/>
        <v>20</v>
      </c>
      <c r="BR546" s="237">
        <f t="shared" si="575"/>
        <v>33</v>
      </c>
      <c r="BS546" s="253">
        <f t="shared" si="576"/>
        <v>4.8487499999999999</v>
      </c>
      <c r="BT546" s="253" cm="1">
        <f t="array" ref="BT546">$BC546 * IF($AD546&lt;=2,
SUMPRODUCT(INDEX($AL$62:$AN$66,,$AE546), INDEX($AO$62:$AU$66,,$AD546), 1 / ($AV$62:$AV$66*BS546 + (1-$AV$62:$AV$66)*BO546), N($AK$62:$AK$66&gt;$AI546)),
SUMPRODUCT(INDEX($AL$47:$AN$56,,$AE546), INDEX($AO$47:$AU$56,,$AD546), 1 / ($AW$47:$AW$56*BS546 + (1-$AW$47:$AW$56)*BO546), N($AK$47:$AK$56&gt;$AI546))
) / 1000</f>
        <v>0</v>
      </c>
      <c r="BU546" s="253" cm="1">
        <f t="array" ref="BU546">$BC546 * IF($AD546&lt;=2,
SUMPRODUCT(INDEX($AL$23:$AN$61,,$AE546), INDEX($AO$23:$AU$61,,$AD546), 1 / ($AV$23:$AV$61*BS546), N($AK$23:$AK$61&gt;$AI546)),
SUMPRODUCT(INDEX($AL$23:$AN$46,,$AE546), INDEX($AO$23:$AU$46,,$AD546), 1 / ($AW$23:$AW$46*BS546), N($AK$23:$AK$46&gt;$AI546))
) / 1000</f>
        <v>0</v>
      </c>
      <c r="BV546" s="237">
        <f t="shared" si="577"/>
        <v>0</v>
      </c>
      <c r="BW546" s="210"/>
      <c r="BX546" s="237">
        <f t="shared" si="578"/>
        <v>0</v>
      </c>
      <c r="BY546" s="236">
        <v>35</v>
      </c>
      <c r="BZ546" s="237">
        <f t="shared" si="579"/>
        <v>48</v>
      </c>
      <c r="CA546" s="253">
        <f t="shared" si="580"/>
        <v>3.0748170731707316</v>
      </c>
      <c r="CB546" s="253" cm="1">
        <f t="array" ref="CB546">$BC546 * SUMPRODUCT(INDEX($AL$77:$AN$82,,$AE546),INDEX($AO$77:$AU$82,,$AD546), N($AK$77:$AK$82&gt;$AI546)) / CA546 / 1000</f>
        <v>0</v>
      </c>
      <c r="CC546" s="250">
        <f t="shared" si="597"/>
        <v>30</v>
      </c>
      <c r="CD546" s="237">
        <f t="shared" si="581"/>
        <v>43</v>
      </c>
      <c r="CE546" s="253">
        <f t="shared" si="582"/>
        <v>3.5018750000000001</v>
      </c>
      <c r="CF546" s="253" cm="1">
        <f t="array" ref="CF546">$BC546 * IF($AD546&lt;=2,
SUMPRODUCT(INDEX($AL$72:$AN$76,,$AE546), INDEX($AO$72:$AU$76,,$AD546), 1 / ($AV$72:$AV$76*CE546 + (1-$AV$72:$AV$76)*CA546), N($AK$72:$AK$76&gt;$AI546)),
SUMPRODUCT(INDEX($AL$67:$AN$76,,$AE546), INDEX($AO$67:$AU$76,,$AD546), 1 / ($AW$67:$AW$76*CE546 + (1-$AW$67:$AW$76)*CA546), N($AK$67:$AK$76&gt;$AI546))
) / 1000</f>
        <v>0</v>
      </c>
      <c r="CG546" s="250">
        <f t="shared" si="598"/>
        <v>25</v>
      </c>
      <c r="CH546" s="237">
        <f t="shared" si="583"/>
        <v>38</v>
      </c>
      <c r="CI546" s="253">
        <f t="shared" si="584"/>
        <v>4.0666935483870965</v>
      </c>
      <c r="CJ546" s="253" cm="1">
        <f t="array" ref="CJ546">$BC546 * IF($AD546&lt;=2,
SUMPRODUCT(INDEX($AL$67:$AN$71,,$AE546), INDEX($AO$67:$AU$71,,$AD546), 1 / ($AV$67:$AV$71*CI546 + (1-$AV$67:$AV$71)*CE546), N($AK$67:$AK$71&gt;$AI546)),
SUMPRODUCT(INDEX($AL$57:$AN$66,,$AE546), INDEX($AO$57:$AU$66,,$AD546), 1 / ($AW$57:$AW$66*CI546 + (1-$AW$57:$AW$66)*CE546), N($AK$57:$AK$66&gt;$AI546))
) / 1000</f>
        <v>0</v>
      </c>
      <c r="CK546" s="250">
        <f t="shared" si="599"/>
        <v>20</v>
      </c>
      <c r="CL546" s="237">
        <f t="shared" si="585"/>
        <v>33</v>
      </c>
      <c r="CM546" s="253">
        <f t="shared" si="586"/>
        <v>4.8487499999999999</v>
      </c>
      <c r="CN546" s="253" cm="1">
        <f t="array" ref="CN546">$BC546 * IF($AD546&lt;=2,
SUMPRODUCT(INDEX($AL$62:$AN$66,,$AE546), INDEX($AO$62:$AU$66,,$AD546), 1 / ($AV$62:$AV$66*CM546 + (1-$AV$62:$AV$66)*CI546), N($AK$62:$AK$66&gt;$AI546)),
SUMPRODUCT(INDEX($AL$47:$AN$56,,$AE546), INDEX($AO$47:$AU$56,,$AD546), 1 / ($AW$47:$AW$56*CM546 + (1-$AW$47:$AW$56)*CI546), N($AK$47:$AK$56&gt;$AI546))
) / 1000</f>
        <v>0</v>
      </c>
      <c r="CO546" s="253" cm="1">
        <f t="array" ref="CO546">$BC546 * IF($AD546&lt;=2,
SUMPRODUCT(INDEX($AL$23:$AN$61,,$AE546), INDEX($AO$23:$AU$61,,$AD546), 1 / ($AV$23:$AV$61*CM546), N($AK$23:$AK$61&gt;$AI546)),
SUMPRODUCT(INDEX($AL$23:$AN$46,,$AE546), INDEX($AO$23:$AU$46,,$AD546), 1 / ($AW$23:$AW$46*CM546), N($AK$23:$AK$46&gt;$AI546))
) / 1000</f>
        <v>0</v>
      </c>
      <c r="CP546" s="237">
        <f t="shared" si="587"/>
        <v>0</v>
      </c>
      <c r="CQ546" s="210"/>
    </row>
    <row r="547" spans="1:95" s="76" customFormat="1" ht="14.25" customHeight="1" x14ac:dyDescent="0.2">
      <c r="A547" s="238" t="b">
        <f t="shared" si="591"/>
        <v>0</v>
      </c>
      <c r="B547" s="239">
        <v>525</v>
      </c>
      <c r="C547" s="258"/>
      <c r="D547" s="258"/>
      <c r="E547" s="240"/>
      <c r="F547" s="241" t="str">
        <f>IF(ISBLANK(E547), "", VLOOKUP(E547, Z!$A$2:$C$4127, 3, FALSE))</f>
        <v/>
      </c>
      <c r="G547" s="242"/>
      <c r="H547" s="242"/>
      <c r="I547" s="243"/>
      <c r="J547" s="244"/>
      <c r="K547" s="259"/>
      <c r="L547" s="260"/>
      <c r="M547" s="247" t="str" cm="1">
        <f t="array" ref="M547">IF($K547&gt;0, INDEX(Clean,1+AG547,$C$1), "")</f>
        <v/>
      </c>
      <c r="N547" s="245"/>
      <c r="O547" s="245"/>
      <c r="P547" s="246"/>
      <c r="Q547" s="248">
        <f t="shared" si="564"/>
        <v>0</v>
      </c>
      <c r="R547" s="247" t="str" cm="1">
        <f t="array" ref="R547">IF($K547&gt;0, INDEX(Clean,1+AH547,$C$1), "")</f>
        <v/>
      </c>
      <c r="S547" s="245"/>
      <c r="T547" s="245"/>
      <c r="U547" s="246"/>
      <c r="V547" s="248">
        <f t="shared" si="565"/>
        <v>0</v>
      </c>
      <c r="W547" s="261"/>
      <c r="X547" s="258"/>
      <c r="Y547" s="240"/>
      <c r="Z547" s="241" t="str">
        <f>IF(ISBLANK(Y547), "", VLOOKUP(Y547, Z!$A$2:$C$4127, 3, FALSE))</f>
        <v/>
      </c>
      <c r="AA547" s="262"/>
      <c r="AB547" s="249">
        <f t="shared" si="600"/>
        <v>0</v>
      </c>
      <c r="AC547" s="210"/>
      <c r="AD547" s="236">
        <f t="shared" si="588"/>
        <v>1</v>
      </c>
      <c r="AE547" s="236">
        <f t="shared" si="589"/>
        <v>1</v>
      </c>
      <c r="AF547" s="236">
        <f t="shared" si="590"/>
        <v>0</v>
      </c>
      <c r="AG547" s="236">
        <v>1</v>
      </c>
      <c r="AH547" s="236">
        <v>0</v>
      </c>
      <c r="AI547" s="236">
        <f t="shared" si="566"/>
        <v>-100</v>
      </c>
      <c r="AJ547" s="210"/>
      <c r="AK547" s="254"/>
      <c r="AL547" s="254"/>
      <c r="AM547" s="255"/>
      <c r="AN547" s="255"/>
      <c r="AO547" s="255"/>
      <c r="AP547" s="255"/>
      <c r="AQ547" s="255"/>
      <c r="AR547" s="255"/>
      <c r="AS547" s="255"/>
      <c r="AT547" s="255"/>
      <c r="AU547" s="255"/>
      <c r="AV547" s="255"/>
      <c r="AW547" s="255"/>
      <c r="AX547" s="210"/>
      <c r="AY547" s="236" cm="1">
        <f t="array" ref="AY547">INDEX(Use, $AD547, 4)</f>
        <v>7</v>
      </c>
      <c r="AZ547" s="236">
        <f t="shared" si="567"/>
        <v>32</v>
      </c>
      <c r="BA547" s="236">
        <f t="shared" si="592"/>
        <v>13</v>
      </c>
      <c r="BB547" s="236">
        <f t="shared" si="593"/>
        <v>0</v>
      </c>
      <c r="BC547" s="252" cm="1">
        <f t="array" ref="BC547">K547/IF($L547&gt;0, INDEX($AO$23:$AU$77, $L547+20, $AD547), 1)</f>
        <v>0</v>
      </c>
      <c r="BD547" s="237">
        <f t="shared" si="568"/>
        <v>0</v>
      </c>
      <c r="BE547" s="236">
        <v>35</v>
      </c>
      <c r="BF547" s="237">
        <f t="shared" si="569"/>
        <v>52.55</v>
      </c>
      <c r="BG547" s="253">
        <f t="shared" si="570"/>
        <v>2.7676728869374316</v>
      </c>
      <c r="BH547" s="253" cm="1">
        <f t="array" ref="BH547">$BC547 * SUMPRODUCT(INDEX($AL$77:$AN$82,,$AE547),INDEX($AO$77:$AU$82,,$AD547), N($AK$77:$AK$82&gt;$AI547)) / BG547 / 1000</f>
        <v>0</v>
      </c>
      <c r="BI547" s="250">
        <f t="shared" si="594"/>
        <v>30</v>
      </c>
      <c r="BJ547" s="237">
        <f t="shared" si="571"/>
        <v>46.033333333333331</v>
      </c>
      <c r="BK547" s="253">
        <f t="shared" si="572"/>
        <v>3.2297395388556791</v>
      </c>
      <c r="BL547" s="253" cm="1">
        <f t="array" ref="BL547">$BC547 * IF($AD547&lt;=2,
SUMPRODUCT(INDEX($AL$72:$AN$76,,$AE547), INDEX($AO$72:$AU$76,,$AD547), 1 / ($AV$72:$AV$76*BK547 + (1-$AV$72:$AV$76)*BG547), N($AK$72:$AK$76&gt;$AI547)),
SUMPRODUCT(INDEX($AL$67:$AN$76,,$AE547), INDEX($AO$67:$AU$76,,$AD547), 1 / ($AW$67:$AW$76*BK547 + (1-$AW$67:$AW$76)*BG547), N($AK$67:$AK$76&gt;$AI547))
) / 1000</f>
        <v>0</v>
      </c>
      <c r="BM547" s="250">
        <f t="shared" si="595"/>
        <v>25</v>
      </c>
      <c r="BN547" s="237">
        <f t="shared" si="573"/>
        <v>39.516666666666666</v>
      </c>
      <c r="BO547" s="253">
        <f t="shared" si="574"/>
        <v>3.877011788826243</v>
      </c>
      <c r="BP547" s="253" cm="1">
        <f t="array" ref="BP547">$BC547 * IF($AD547&lt;=2,
SUMPRODUCT(INDEX($AL$67:$AN$71,,$AE547), INDEX($AO$67:$AU$71,,$AD547), 1 / ($AV$67:$AV$71*BO547 + (1-$AV$67:$AV$71)*BK547), N($AK$67:$AK$71&gt;$AI547)),
SUMPRODUCT(INDEX($AL$57:$AN$66,,$AE547), INDEX($AO$57:$AU$66,,$AD547), 1 / ($AW$57:$AW$66*BO547 + (1-$AW$57:$AW$66)*BK547), N($AK$57:$AK$66&gt;$AI547))
) / 1000</f>
        <v>0</v>
      </c>
      <c r="BQ547" s="250">
        <f t="shared" si="596"/>
        <v>20</v>
      </c>
      <c r="BR547" s="237">
        <f t="shared" si="575"/>
        <v>33</v>
      </c>
      <c r="BS547" s="253">
        <f t="shared" si="576"/>
        <v>4.8487499999999999</v>
      </c>
      <c r="BT547" s="253" cm="1">
        <f t="array" ref="BT547">$BC547 * IF($AD547&lt;=2,
SUMPRODUCT(INDEX($AL$62:$AN$66,,$AE547), INDEX($AO$62:$AU$66,,$AD547), 1 / ($AV$62:$AV$66*BS547 + (1-$AV$62:$AV$66)*BO547), N($AK$62:$AK$66&gt;$AI547)),
SUMPRODUCT(INDEX($AL$47:$AN$56,,$AE547), INDEX($AO$47:$AU$56,,$AD547), 1 / ($AW$47:$AW$56*BS547 + (1-$AW$47:$AW$56)*BO547), N($AK$47:$AK$56&gt;$AI547))
) / 1000</f>
        <v>0</v>
      </c>
      <c r="BU547" s="253" cm="1">
        <f t="array" ref="BU547">$BC547 * IF($AD547&lt;=2,
SUMPRODUCT(INDEX($AL$23:$AN$61,,$AE547), INDEX($AO$23:$AU$61,,$AD547), 1 / ($AV$23:$AV$61*BS547), N($AK$23:$AK$61&gt;$AI547)),
SUMPRODUCT(INDEX($AL$23:$AN$46,,$AE547), INDEX($AO$23:$AU$46,,$AD547), 1 / ($AW$23:$AW$46*BS547), N($AK$23:$AK$46&gt;$AI547))
) / 1000</f>
        <v>0</v>
      </c>
      <c r="BV547" s="237">
        <f t="shared" si="577"/>
        <v>0</v>
      </c>
      <c r="BW547" s="210"/>
      <c r="BX547" s="237">
        <f t="shared" si="578"/>
        <v>0</v>
      </c>
      <c r="BY547" s="236">
        <v>35</v>
      </c>
      <c r="BZ547" s="237">
        <f t="shared" si="579"/>
        <v>48</v>
      </c>
      <c r="CA547" s="253">
        <f t="shared" si="580"/>
        <v>3.0748170731707316</v>
      </c>
      <c r="CB547" s="253" cm="1">
        <f t="array" ref="CB547">$BC547 * SUMPRODUCT(INDEX($AL$77:$AN$82,,$AE547),INDEX($AO$77:$AU$82,,$AD547), N($AK$77:$AK$82&gt;$AI547)) / CA547 / 1000</f>
        <v>0</v>
      </c>
      <c r="CC547" s="250">
        <f t="shared" si="597"/>
        <v>30</v>
      </c>
      <c r="CD547" s="237">
        <f t="shared" si="581"/>
        <v>43</v>
      </c>
      <c r="CE547" s="253">
        <f t="shared" si="582"/>
        <v>3.5018750000000001</v>
      </c>
      <c r="CF547" s="253" cm="1">
        <f t="array" ref="CF547">$BC547 * IF($AD547&lt;=2,
SUMPRODUCT(INDEX($AL$72:$AN$76,,$AE547), INDEX($AO$72:$AU$76,,$AD547), 1 / ($AV$72:$AV$76*CE547 + (1-$AV$72:$AV$76)*CA547), N($AK$72:$AK$76&gt;$AI547)),
SUMPRODUCT(INDEX($AL$67:$AN$76,,$AE547), INDEX($AO$67:$AU$76,,$AD547), 1 / ($AW$67:$AW$76*CE547 + (1-$AW$67:$AW$76)*CA547), N($AK$67:$AK$76&gt;$AI547))
) / 1000</f>
        <v>0</v>
      </c>
      <c r="CG547" s="250">
        <f t="shared" si="598"/>
        <v>25</v>
      </c>
      <c r="CH547" s="237">
        <f t="shared" si="583"/>
        <v>38</v>
      </c>
      <c r="CI547" s="253">
        <f t="shared" si="584"/>
        <v>4.0666935483870965</v>
      </c>
      <c r="CJ547" s="253" cm="1">
        <f t="array" ref="CJ547">$BC547 * IF($AD547&lt;=2,
SUMPRODUCT(INDEX($AL$67:$AN$71,,$AE547), INDEX($AO$67:$AU$71,,$AD547), 1 / ($AV$67:$AV$71*CI547 + (1-$AV$67:$AV$71)*CE547), N($AK$67:$AK$71&gt;$AI547)),
SUMPRODUCT(INDEX($AL$57:$AN$66,,$AE547), INDEX($AO$57:$AU$66,,$AD547), 1 / ($AW$57:$AW$66*CI547 + (1-$AW$57:$AW$66)*CE547), N($AK$57:$AK$66&gt;$AI547))
) / 1000</f>
        <v>0</v>
      </c>
      <c r="CK547" s="250">
        <f t="shared" si="599"/>
        <v>20</v>
      </c>
      <c r="CL547" s="237">
        <f t="shared" si="585"/>
        <v>33</v>
      </c>
      <c r="CM547" s="253">
        <f t="shared" si="586"/>
        <v>4.8487499999999999</v>
      </c>
      <c r="CN547" s="253" cm="1">
        <f t="array" ref="CN547">$BC547 * IF($AD547&lt;=2,
SUMPRODUCT(INDEX($AL$62:$AN$66,,$AE547), INDEX($AO$62:$AU$66,,$AD547), 1 / ($AV$62:$AV$66*CM547 + (1-$AV$62:$AV$66)*CI547), N($AK$62:$AK$66&gt;$AI547)),
SUMPRODUCT(INDEX($AL$47:$AN$56,,$AE547), INDEX($AO$47:$AU$56,,$AD547), 1 / ($AW$47:$AW$56*CM547 + (1-$AW$47:$AW$56)*CI547), N($AK$47:$AK$56&gt;$AI547))
) / 1000</f>
        <v>0</v>
      </c>
      <c r="CO547" s="253" cm="1">
        <f t="array" ref="CO547">$BC547 * IF($AD547&lt;=2,
SUMPRODUCT(INDEX($AL$23:$AN$61,,$AE547), INDEX($AO$23:$AU$61,,$AD547), 1 / ($AV$23:$AV$61*CM547), N($AK$23:$AK$61&gt;$AI547)),
SUMPRODUCT(INDEX($AL$23:$AN$46,,$AE547), INDEX($AO$23:$AU$46,,$AD547), 1 / ($AW$23:$AW$46*CM547), N($AK$23:$AK$46&gt;$AI547))
) / 1000</f>
        <v>0</v>
      </c>
      <c r="CP547" s="237">
        <f t="shared" si="587"/>
        <v>0</v>
      </c>
      <c r="CQ547" s="210"/>
    </row>
    <row r="548" spans="1:95" s="76" customFormat="1" ht="14.25" customHeight="1" x14ac:dyDescent="0.2">
      <c r="A548" s="238" t="b">
        <f t="shared" si="591"/>
        <v>0</v>
      </c>
      <c r="B548" s="239">
        <v>526</v>
      </c>
      <c r="C548" s="258"/>
      <c r="D548" s="258"/>
      <c r="E548" s="240"/>
      <c r="F548" s="241" t="str">
        <f>IF(ISBLANK(E548), "", VLOOKUP(E548, Z!$A$2:$C$4127, 3, FALSE))</f>
        <v/>
      </c>
      <c r="G548" s="242"/>
      <c r="H548" s="242"/>
      <c r="I548" s="243"/>
      <c r="J548" s="244"/>
      <c r="K548" s="259"/>
      <c r="L548" s="260"/>
      <c r="M548" s="247" t="str" cm="1">
        <f t="array" ref="M548">IF($K548&gt;0, INDEX(Clean,1+AG548,$C$1), "")</f>
        <v/>
      </c>
      <c r="N548" s="245"/>
      <c r="O548" s="245"/>
      <c r="P548" s="246"/>
      <c r="Q548" s="248">
        <f t="shared" si="564"/>
        <v>0</v>
      </c>
      <c r="R548" s="247" t="str" cm="1">
        <f t="array" ref="R548">IF($K548&gt;0, INDEX(Clean,1+AH548,$C$1), "")</f>
        <v/>
      </c>
      <c r="S548" s="245"/>
      <c r="T548" s="245"/>
      <c r="U548" s="246"/>
      <c r="V548" s="248">
        <f t="shared" si="565"/>
        <v>0</v>
      </c>
      <c r="W548" s="261"/>
      <c r="X548" s="258"/>
      <c r="Y548" s="240"/>
      <c r="Z548" s="241" t="str">
        <f>IF(ISBLANK(Y548), "", VLOOKUP(Y548, Z!$A$2:$C$4127, 3, FALSE))</f>
        <v/>
      </c>
      <c r="AA548" s="262"/>
      <c r="AB548" s="249">
        <f t="shared" si="600"/>
        <v>0</v>
      </c>
      <c r="AC548" s="210"/>
      <c r="AD548" s="236">
        <f t="shared" si="588"/>
        <v>1</v>
      </c>
      <c r="AE548" s="236">
        <f t="shared" si="589"/>
        <v>1</v>
      </c>
      <c r="AF548" s="236">
        <f t="shared" si="590"/>
        <v>0</v>
      </c>
      <c r="AG548" s="236">
        <v>1</v>
      </c>
      <c r="AH548" s="236">
        <v>0</v>
      </c>
      <c r="AI548" s="236">
        <f t="shared" si="566"/>
        <v>-100</v>
      </c>
      <c r="AJ548" s="210"/>
      <c r="AK548" s="254"/>
      <c r="AL548" s="254"/>
      <c r="AM548" s="255"/>
      <c r="AN548" s="255"/>
      <c r="AO548" s="255"/>
      <c r="AP548" s="255"/>
      <c r="AQ548" s="255"/>
      <c r="AR548" s="255"/>
      <c r="AS548" s="255"/>
      <c r="AT548" s="255"/>
      <c r="AU548" s="255"/>
      <c r="AV548" s="255"/>
      <c r="AW548" s="255"/>
      <c r="AX548" s="210"/>
      <c r="AY548" s="236" cm="1">
        <f t="array" ref="AY548">INDEX(Use, $AD548, 4)</f>
        <v>7</v>
      </c>
      <c r="AZ548" s="236">
        <f t="shared" si="567"/>
        <v>32</v>
      </c>
      <c r="BA548" s="236">
        <f t="shared" si="592"/>
        <v>13</v>
      </c>
      <c r="BB548" s="236">
        <f t="shared" si="593"/>
        <v>0</v>
      </c>
      <c r="BC548" s="252" cm="1">
        <f t="array" ref="BC548">K548/IF($L548&gt;0, INDEX($AO$23:$AU$77, $L548+20, $AD548), 1)</f>
        <v>0</v>
      </c>
      <c r="BD548" s="237">
        <f t="shared" si="568"/>
        <v>0</v>
      </c>
      <c r="BE548" s="236">
        <v>35</v>
      </c>
      <c r="BF548" s="237">
        <f t="shared" si="569"/>
        <v>52.55</v>
      </c>
      <c r="BG548" s="253">
        <f t="shared" si="570"/>
        <v>2.7676728869374316</v>
      </c>
      <c r="BH548" s="253" cm="1">
        <f t="array" ref="BH548">$BC548 * SUMPRODUCT(INDEX($AL$77:$AN$82,,$AE548),INDEX($AO$77:$AU$82,,$AD548), N($AK$77:$AK$82&gt;$AI548)) / BG548 / 1000</f>
        <v>0</v>
      </c>
      <c r="BI548" s="250">
        <f t="shared" si="594"/>
        <v>30</v>
      </c>
      <c r="BJ548" s="237">
        <f t="shared" si="571"/>
        <v>46.033333333333331</v>
      </c>
      <c r="BK548" s="253">
        <f t="shared" si="572"/>
        <v>3.2297395388556791</v>
      </c>
      <c r="BL548" s="253" cm="1">
        <f t="array" ref="BL548">$BC548 * IF($AD548&lt;=2,
SUMPRODUCT(INDEX($AL$72:$AN$76,,$AE548), INDEX($AO$72:$AU$76,,$AD548), 1 / ($AV$72:$AV$76*BK548 + (1-$AV$72:$AV$76)*BG548), N($AK$72:$AK$76&gt;$AI548)),
SUMPRODUCT(INDEX($AL$67:$AN$76,,$AE548), INDEX($AO$67:$AU$76,,$AD548), 1 / ($AW$67:$AW$76*BK548 + (1-$AW$67:$AW$76)*BG548), N($AK$67:$AK$76&gt;$AI548))
) / 1000</f>
        <v>0</v>
      </c>
      <c r="BM548" s="250">
        <f t="shared" si="595"/>
        <v>25</v>
      </c>
      <c r="BN548" s="237">
        <f t="shared" si="573"/>
        <v>39.516666666666666</v>
      </c>
      <c r="BO548" s="253">
        <f t="shared" si="574"/>
        <v>3.877011788826243</v>
      </c>
      <c r="BP548" s="253" cm="1">
        <f t="array" ref="BP548">$BC548 * IF($AD548&lt;=2,
SUMPRODUCT(INDEX($AL$67:$AN$71,,$AE548), INDEX($AO$67:$AU$71,,$AD548), 1 / ($AV$67:$AV$71*BO548 + (1-$AV$67:$AV$71)*BK548), N($AK$67:$AK$71&gt;$AI548)),
SUMPRODUCT(INDEX($AL$57:$AN$66,,$AE548), INDEX($AO$57:$AU$66,,$AD548), 1 / ($AW$57:$AW$66*BO548 + (1-$AW$57:$AW$66)*BK548), N($AK$57:$AK$66&gt;$AI548))
) / 1000</f>
        <v>0</v>
      </c>
      <c r="BQ548" s="250">
        <f t="shared" si="596"/>
        <v>20</v>
      </c>
      <c r="BR548" s="237">
        <f t="shared" si="575"/>
        <v>33</v>
      </c>
      <c r="BS548" s="253">
        <f t="shared" si="576"/>
        <v>4.8487499999999999</v>
      </c>
      <c r="BT548" s="253" cm="1">
        <f t="array" ref="BT548">$BC548 * IF($AD548&lt;=2,
SUMPRODUCT(INDEX($AL$62:$AN$66,,$AE548), INDEX($AO$62:$AU$66,,$AD548), 1 / ($AV$62:$AV$66*BS548 + (1-$AV$62:$AV$66)*BO548), N($AK$62:$AK$66&gt;$AI548)),
SUMPRODUCT(INDEX($AL$47:$AN$56,,$AE548), INDEX($AO$47:$AU$56,,$AD548), 1 / ($AW$47:$AW$56*BS548 + (1-$AW$47:$AW$56)*BO548), N($AK$47:$AK$56&gt;$AI548))
) / 1000</f>
        <v>0</v>
      </c>
      <c r="BU548" s="253" cm="1">
        <f t="array" ref="BU548">$BC548 * IF($AD548&lt;=2,
SUMPRODUCT(INDEX($AL$23:$AN$61,,$AE548), INDEX($AO$23:$AU$61,,$AD548), 1 / ($AV$23:$AV$61*BS548), N($AK$23:$AK$61&gt;$AI548)),
SUMPRODUCT(INDEX($AL$23:$AN$46,,$AE548), INDEX($AO$23:$AU$46,,$AD548), 1 / ($AW$23:$AW$46*BS548), N($AK$23:$AK$46&gt;$AI548))
) / 1000</f>
        <v>0</v>
      </c>
      <c r="BV548" s="237">
        <f t="shared" si="577"/>
        <v>0</v>
      </c>
      <c r="BW548" s="210"/>
      <c r="BX548" s="237">
        <f t="shared" si="578"/>
        <v>0</v>
      </c>
      <c r="BY548" s="236">
        <v>35</v>
      </c>
      <c r="BZ548" s="237">
        <f t="shared" si="579"/>
        <v>48</v>
      </c>
      <c r="CA548" s="253">
        <f t="shared" si="580"/>
        <v>3.0748170731707316</v>
      </c>
      <c r="CB548" s="253" cm="1">
        <f t="array" ref="CB548">$BC548 * SUMPRODUCT(INDEX($AL$77:$AN$82,,$AE548),INDEX($AO$77:$AU$82,,$AD548), N($AK$77:$AK$82&gt;$AI548)) / CA548 / 1000</f>
        <v>0</v>
      </c>
      <c r="CC548" s="250">
        <f t="shared" si="597"/>
        <v>30</v>
      </c>
      <c r="CD548" s="237">
        <f t="shared" si="581"/>
        <v>43</v>
      </c>
      <c r="CE548" s="253">
        <f t="shared" si="582"/>
        <v>3.5018750000000001</v>
      </c>
      <c r="CF548" s="253" cm="1">
        <f t="array" ref="CF548">$BC548 * IF($AD548&lt;=2,
SUMPRODUCT(INDEX($AL$72:$AN$76,,$AE548), INDEX($AO$72:$AU$76,,$AD548), 1 / ($AV$72:$AV$76*CE548 + (1-$AV$72:$AV$76)*CA548), N($AK$72:$AK$76&gt;$AI548)),
SUMPRODUCT(INDEX($AL$67:$AN$76,,$AE548), INDEX($AO$67:$AU$76,,$AD548), 1 / ($AW$67:$AW$76*CE548 + (1-$AW$67:$AW$76)*CA548), N($AK$67:$AK$76&gt;$AI548))
) / 1000</f>
        <v>0</v>
      </c>
      <c r="CG548" s="250">
        <f t="shared" si="598"/>
        <v>25</v>
      </c>
      <c r="CH548" s="237">
        <f t="shared" si="583"/>
        <v>38</v>
      </c>
      <c r="CI548" s="253">
        <f t="shared" si="584"/>
        <v>4.0666935483870965</v>
      </c>
      <c r="CJ548" s="253" cm="1">
        <f t="array" ref="CJ548">$BC548 * IF($AD548&lt;=2,
SUMPRODUCT(INDEX($AL$67:$AN$71,,$AE548), INDEX($AO$67:$AU$71,,$AD548), 1 / ($AV$67:$AV$71*CI548 + (1-$AV$67:$AV$71)*CE548), N($AK$67:$AK$71&gt;$AI548)),
SUMPRODUCT(INDEX($AL$57:$AN$66,,$AE548), INDEX($AO$57:$AU$66,,$AD548), 1 / ($AW$57:$AW$66*CI548 + (1-$AW$57:$AW$66)*CE548), N($AK$57:$AK$66&gt;$AI548))
) / 1000</f>
        <v>0</v>
      </c>
      <c r="CK548" s="250">
        <f t="shared" si="599"/>
        <v>20</v>
      </c>
      <c r="CL548" s="237">
        <f t="shared" si="585"/>
        <v>33</v>
      </c>
      <c r="CM548" s="253">
        <f t="shared" si="586"/>
        <v>4.8487499999999999</v>
      </c>
      <c r="CN548" s="253" cm="1">
        <f t="array" ref="CN548">$BC548 * IF($AD548&lt;=2,
SUMPRODUCT(INDEX($AL$62:$AN$66,,$AE548), INDEX($AO$62:$AU$66,,$AD548), 1 / ($AV$62:$AV$66*CM548 + (1-$AV$62:$AV$66)*CI548), N($AK$62:$AK$66&gt;$AI548)),
SUMPRODUCT(INDEX($AL$47:$AN$56,,$AE548), INDEX($AO$47:$AU$56,,$AD548), 1 / ($AW$47:$AW$56*CM548 + (1-$AW$47:$AW$56)*CI548), N($AK$47:$AK$56&gt;$AI548))
) / 1000</f>
        <v>0</v>
      </c>
      <c r="CO548" s="253" cm="1">
        <f t="array" ref="CO548">$BC548 * IF($AD548&lt;=2,
SUMPRODUCT(INDEX($AL$23:$AN$61,,$AE548), INDEX($AO$23:$AU$61,,$AD548), 1 / ($AV$23:$AV$61*CM548), N($AK$23:$AK$61&gt;$AI548)),
SUMPRODUCT(INDEX($AL$23:$AN$46,,$AE548), INDEX($AO$23:$AU$46,,$AD548), 1 / ($AW$23:$AW$46*CM548), N($AK$23:$AK$46&gt;$AI548))
) / 1000</f>
        <v>0</v>
      </c>
      <c r="CP548" s="237">
        <f t="shared" si="587"/>
        <v>0</v>
      </c>
      <c r="CQ548" s="210"/>
    </row>
    <row r="549" spans="1:95" s="76" customFormat="1" ht="14.25" customHeight="1" x14ac:dyDescent="0.2">
      <c r="A549" s="238" t="b">
        <f t="shared" si="591"/>
        <v>0</v>
      </c>
      <c r="B549" s="239">
        <v>527</v>
      </c>
      <c r="C549" s="258"/>
      <c r="D549" s="258"/>
      <c r="E549" s="240"/>
      <c r="F549" s="241" t="str">
        <f>IF(ISBLANK(E549), "", VLOOKUP(E549, Z!$A$2:$C$4127, 3, FALSE))</f>
        <v/>
      </c>
      <c r="G549" s="242"/>
      <c r="H549" s="242"/>
      <c r="I549" s="243"/>
      <c r="J549" s="244"/>
      <c r="K549" s="259"/>
      <c r="L549" s="260"/>
      <c r="M549" s="247" t="str" cm="1">
        <f t="array" ref="M549">IF($K549&gt;0, INDEX(Clean,1+AG549,$C$1), "")</f>
        <v/>
      </c>
      <c r="N549" s="245"/>
      <c r="O549" s="245"/>
      <c r="P549" s="246"/>
      <c r="Q549" s="248">
        <f t="shared" si="564"/>
        <v>0</v>
      </c>
      <c r="R549" s="247" t="str" cm="1">
        <f t="array" ref="R549">IF($K549&gt;0, INDEX(Clean,1+AH549,$C$1), "")</f>
        <v/>
      </c>
      <c r="S549" s="245"/>
      <c r="T549" s="245"/>
      <c r="U549" s="246"/>
      <c r="V549" s="248">
        <f t="shared" si="565"/>
        <v>0</v>
      </c>
      <c r="W549" s="261"/>
      <c r="X549" s="258"/>
      <c r="Y549" s="240"/>
      <c r="Z549" s="241" t="str">
        <f>IF(ISBLANK(Y549), "", VLOOKUP(Y549, Z!$A$2:$C$4127, 3, FALSE))</f>
        <v/>
      </c>
      <c r="AA549" s="262"/>
      <c r="AB549" s="249">
        <f t="shared" si="600"/>
        <v>0</v>
      </c>
      <c r="AC549" s="210"/>
      <c r="AD549" s="236">
        <f t="shared" si="588"/>
        <v>1</v>
      </c>
      <c r="AE549" s="236">
        <f t="shared" si="589"/>
        <v>1</v>
      </c>
      <c r="AF549" s="236">
        <f t="shared" si="590"/>
        <v>0</v>
      </c>
      <c r="AG549" s="236">
        <v>1</v>
      </c>
      <c r="AH549" s="236">
        <v>0</v>
      </c>
      <c r="AI549" s="236">
        <f t="shared" si="566"/>
        <v>-100</v>
      </c>
      <c r="AJ549" s="210"/>
      <c r="AK549" s="254"/>
      <c r="AL549" s="254"/>
      <c r="AM549" s="255"/>
      <c r="AN549" s="255"/>
      <c r="AO549" s="255"/>
      <c r="AP549" s="255"/>
      <c r="AQ549" s="255"/>
      <c r="AR549" s="255"/>
      <c r="AS549" s="255"/>
      <c r="AT549" s="255"/>
      <c r="AU549" s="255"/>
      <c r="AV549" s="255"/>
      <c r="AW549" s="255"/>
      <c r="AX549" s="210"/>
      <c r="AY549" s="236" cm="1">
        <f t="array" ref="AY549">INDEX(Use, $AD549, 4)</f>
        <v>7</v>
      </c>
      <c r="AZ549" s="236">
        <f t="shared" si="567"/>
        <v>32</v>
      </c>
      <c r="BA549" s="236">
        <f t="shared" si="592"/>
        <v>13</v>
      </c>
      <c r="BB549" s="236">
        <f t="shared" si="593"/>
        <v>0</v>
      </c>
      <c r="BC549" s="252" cm="1">
        <f t="array" ref="BC549">K549/IF($L549&gt;0, INDEX($AO$23:$AU$77, $L549+20, $AD549), 1)</f>
        <v>0</v>
      </c>
      <c r="BD549" s="237">
        <f t="shared" si="568"/>
        <v>0</v>
      </c>
      <c r="BE549" s="236">
        <v>35</v>
      </c>
      <c r="BF549" s="237">
        <f t="shared" si="569"/>
        <v>52.55</v>
      </c>
      <c r="BG549" s="253">
        <f t="shared" si="570"/>
        <v>2.7676728869374316</v>
      </c>
      <c r="BH549" s="253" cm="1">
        <f t="array" ref="BH549">$BC549 * SUMPRODUCT(INDEX($AL$77:$AN$82,,$AE549),INDEX($AO$77:$AU$82,,$AD549), N($AK$77:$AK$82&gt;$AI549)) / BG549 / 1000</f>
        <v>0</v>
      </c>
      <c r="BI549" s="250">
        <f t="shared" si="594"/>
        <v>30</v>
      </c>
      <c r="BJ549" s="237">
        <f t="shared" si="571"/>
        <v>46.033333333333331</v>
      </c>
      <c r="BK549" s="253">
        <f t="shared" si="572"/>
        <v>3.2297395388556791</v>
      </c>
      <c r="BL549" s="253" cm="1">
        <f t="array" ref="BL549">$BC549 * IF($AD549&lt;=2,
SUMPRODUCT(INDEX($AL$72:$AN$76,,$AE549), INDEX($AO$72:$AU$76,,$AD549), 1 / ($AV$72:$AV$76*BK549 + (1-$AV$72:$AV$76)*BG549), N($AK$72:$AK$76&gt;$AI549)),
SUMPRODUCT(INDEX($AL$67:$AN$76,,$AE549), INDEX($AO$67:$AU$76,,$AD549), 1 / ($AW$67:$AW$76*BK549 + (1-$AW$67:$AW$76)*BG549), N($AK$67:$AK$76&gt;$AI549))
) / 1000</f>
        <v>0</v>
      </c>
      <c r="BM549" s="250">
        <f t="shared" si="595"/>
        <v>25</v>
      </c>
      <c r="BN549" s="237">
        <f t="shared" si="573"/>
        <v>39.516666666666666</v>
      </c>
      <c r="BO549" s="253">
        <f t="shared" si="574"/>
        <v>3.877011788826243</v>
      </c>
      <c r="BP549" s="253" cm="1">
        <f t="array" ref="BP549">$BC549 * IF($AD549&lt;=2,
SUMPRODUCT(INDEX($AL$67:$AN$71,,$AE549), INDEX($AO$67:$AU$71,,$AD549), 1 / ($AV$67:$AV$71*BO549 + (1-$AV$67:$AV$71)*BK549), N($AK$67:$AK$71&gt;$AI549)),
SUMPRODUCT(INDEX($AL$57:$AN$66,,$AE549), INDEX($AO$57:$AU$66,,$AD549), 1 / ($AW$57:$AW$66*BO549 + (1-$AW$57:$AW$66)*BK549), N($AK$57:$AK$66&gt;$AI549))
) / 1000</f>
        <v>0</v>
      </c>
      <c r="BQ549" s="250">
        <f t="shared" si="596"/>
        <v>20</v>
      </c>
      <c r="BR549" s="237">
        <f t="shared" si="575"/>
        <v>33</v>
      </c>
      <c r="BS549" s="253">
        <f t="shared" si="576"/>
        <v>4.8487499999999999</v>
      </c>
      <c r="BT549" s="253" cm="1">
        <f t="array" ref="BT549">$BC549 * IF($AD549&lt;=2,
SUMPRODUCT(INDEX($AL$62:$AN$66,,$AE549), INDEX($AO$62:$AU$66,,$AD549), 1 / ($AV$62:$AV$66*BS549 + (1-$AV$62:$AV$66)*BO549), N($AK$62:$AK$66&gt;$AI549)),
SUMPRODUCT(INDEX($AL$47:$AN$56,,$AE549), INDEX($AO$47:$AU$56,,$AD549), 1 / ($AW$47:$AW$56*BS549 + (1-$AW$47:$AW$56)*BO549), N($AK$47:$AK$56&gt;$AI549))
) / 1000</f>
        <v>0</v>
      </c>
      <c r="BU549" s="253" cm="1">
        <f t="array" ref="BU549">$BC549 * IF($AD549&lt;=2,
SUMPRODUCT(INDEX($AL$23:$AN$61,,$AE549), INDEX($AO$23:$AU$61,,$AD549), 1 / ($AV$23:$AV$61*BS549), N($AK$23:$AK$61&gt;$AI549)),
SUMPRODUCT(INDEX($AL$23:$AN$46,,$AE549), INDEX($AO$23:$AU$46,,$AD549), 1 / ($AW$23:$AW$46*BS549), N($AK$23:$AK$46&gt;$AI549))
) / 1000</f>
        <v>0</v>
      </c>
      <c r="BV549" s="237">
        <f t="shared" si="577"/>
        <v>0</v>
      </c>
      <c r="BW549" s="210"/>
      <c r="BX549" s="237">
        <f t="shared" si="578"/>
        <v>0</v>
      </c>
      <c r="BY549" s="236">
        <v>35</v>
      </c>
      <c r="BZ549" s="237">
        <f t="shared" si="579"/>
        <v>48</v>
      </c>
      <c r="CA549" s="253">
        <f t="shared" si="580"/>
        <v>3.0748170731707316</v>
      </c>
      <c r="CB549" s="253" cm="1">
        <f t="array" ref="CB549">$BC549 * SUMPRODUCT(INDEX($AL$77:$AN$82,,$AE549),INDEX($AO$77:$AU$82,,$AD549), N($AK$77:$AK$82&gt;$AI549)) / CA549 / 1000</f>
        <v>0</v>
      </c>
      <c r="CC549" s="250">
        <f t="shared" si="597"/>
        <v>30</v>
      </c>
      <c r="CD549" s="237">
        <f t="shared" si="581"/>
        <v>43</v>
      </c>
      <c r="CE549" s="253">
        <f t="shared" si="582"/>
        <v>3.5018750000000001</v>
      </c>
      <c r="CF549" s="253" cm="1">
        <f t="array" ref="CF549">$BC549 * IF($AD549&lt;=2,
SUMPRODUCT(INDEX($AL$72:$AN$76,,$AE549), INDEX($AO$72:$AU$76,,$AD549), 1 / ($AV$72:$AV$76*CE549 + (1-$AV$72:$AV$76)*CA549), N($AK$72:$AK$76&gt;$AI549)),
SUMPRODUCT(INDEX($AL$67:$AN$76,,$AE549), INDEX($AO$67:$AU$76,,$AD549), 1 / ($AW$67:$AW$76*CE549 + (1-$AW$67:$AW$76)*CA549), N($AK$67:$AK$76&gt;$AI549))
) / 1000</f>
        <v>0</v>
      </c>
      <c r="CG549" s="250">
        <f t="shared" si="598"/>
        <v>25</v>
      </c>
      <c r="CH549" s="237">
        <f t="shared" si="583"/>
        <v>38</v>
      </c>
      <c r="CI549" s="253">
        <f t="shared" si="584"/>
        <v>4.0666935483870965</v>
      </c>
      <c r="CJ549" s="253" cm="1">
        <f t="array" ref="CJ549">$BC549 * IF($AD549&lt;=2,
SUMPRODUCT(INDEX($AL$67:$AN$71,,$AE549), INDEX($AO$67:$AU$71,,$AD549), 1 / ($AV$67:$AV$71*CI549 + (1-$AV$67:$AV$71)*CE549), N($AK$67:$AK$71&gt;$AI549)),
SUMPRODUCT(INDEX($AL$57:$AN$66,,$AE549), INDEX($AO$57:$AU$66,,$AD549), 1 / ($AW$57:$AW$66*CI549 + (1-$AW$57:$AW$66)*CE549), N($AK$57:$AK$66&gt;$AI549))
) / 1000</f>
        <v>0</v>
      </c>
      <c r="CK549" s="250">
        <f t="shared" si="599"/>
        <v>20</v>
      </c>
      <c r="CL549" s="237">
        <f t="shared" si="585"/>
        <v>33</v>
      </c>
      <c r="CM549" s="253">
        <f t="shared" si="586"/>
        <v>4.8487499999999999</v>
      </c>
      <c r="CN549" s="253" cm="1">
        <f t="array" ref="CN549">$BC549 * IF($AD549&lt;=2,
SUMPRODUCT(INDEX($AL$62:$AN$66,,$AE549), INDEX($AO$62:$AU$66,,$AD549), 1 / ($AV$62:$AV$66*CM549 + (1-$AV$62:$AV$66)*CI549), N($AK$62:$AK$66&gt;$AI549)),
SUMPRODUCT(INDEX($AL$47:$AN$56,,$AE549), INDEX($AO$47:$AU$56,,$AD549), 1 / ($AW$47:$AW$56*CM549 + (1-$AW$47:$AW$56)*CI549), N($AK$47:$AK$56&gt;$AI549))
) / 1000</f>
        <v>0</v>
      </c>
      <c r="CO549" s="253" cm="1">
        <f t="array" ref="CO549">$BC549 * IF($AD549&lt;=2,
SUMPRODUCT(INDEX($AL$23:$AN$61,,$AE549), INDEX($AO$23:$AU$61,,$AD549), 1 / ($AV$23:$AV$61*CM549), N($AK$23:$AK$61&gt;$AI549)),
SUMPRODUCT(INDEX($AL$23:$AN$46,,$AE549), INDEX($AO$23:$AU$46,,$AD549), 1 / ($AW$23:$AW$46*CM549), N($AK$23:$AK$46&gt;$AI549))
) / 1000</f>
        <v>0</v>
      </c>
      <c r="CP549" s="237">
        <f t="shared" si="587"/>
        <v>0</v>
      </c>
      <c r="CQ549" s="210"/>
    </row>
    <row r="550" spans="1:95" s="76" customFormat="1" ht="14.25" customHeight="1" x14ac:dyDescent="0.2">
      <c r="A550" s="238" t="b">
        <f t="shared" si="591"/>
        <v>0</v>
      </c>
      <c r="B550" s="239">
        <v>528</v>
      </c>
      <c r="C550" s="258"/>
      <c r="D550" s="258"/>
      <c r="E550" s="240"/>
      <c r="F550" s="241" t="str">
        <f>IF(ISBLANK(E550), "", VLOOKUP(E550, Z!$A$2:$C$4127, 3, FALSE))</f>
        <v/>
      </c>
      <c r="G550" s="242"/>
      <c r="H550" s="242"/>
      <c r="I550" s="243"/>
      <c r="J550" s="244"/>
      <c r="K550" s="259"/>
      <c r="L550" s="260"/>
      <c r="M550" s="247" t="str" cm="1">
        <f t="array" ref="M550">IF($K550&gt;0, INDEX(Clean,1+AG550,$C$1), "")</f>
        <v/>
      </c>
      <c r="N550" s="245"/>
      <c r="O550" s="245"/>
      <c r="P550" s="246"/>
      <c r="Q550" s="248">
        <f t="shared" si="564"/>
        <v>0</v>
      </c>
      <c r="R550" s="247" t="str" cm="1">
        <f t="array" ref="R550">IF($K550&gt;0, INDEX(Clean,1+AH550,$C$1), "")</f>
        <v/>
      </c>
      <c r="S550" s="245"/>
      <c r="T550" s="245"/>
      <c r="U550" s="246"/>
      <c r="V550" s="248">
        <f t="shared" si="565"/>
        <v>0</v>
      </c>
      <c r="W550" s="261"/>
      <c r="X550" s="258"/>
      <c r="Y550" s="240"/>
      <c r="Z550" s="241" t="str">
        <f>IF(ISBLANK(Y550), "", VLOOKUP(Y550, Z!$A$2:$C$4127, 3, FALSE))</f>
        <v/>
      </c>
      <c r="AA550" s="262"/>
      <c r="AB550" s="249">
        <f t="shared" si="600"/>
        <v>0</v>
      </c>
      <c r="AC550" s="210"/>
      <c r="AD550" s="236">
        <f t="shared" si="588"/>
        <v>1</v>
      </c>
      <c r="AE550" s="236">
        <f t="shared" si="589"/>
        <v>1</v>
      </c>
      <c r="AF550" s="236">
        <f t="shared" si="590"/>
        <v>0</v>
      </c>
      <c r="AG550" s="236">
        <v>1</v>
      </c>
      <c r="AH550" s="236">
        <v>0</v>
      </c>
      <c r="AI550" s="236">
        <f t="shared" si="566"/>
        <v>-100</v>
      </c>
      <c r="AJ550" s="210"/>
      <c r="AK550" s="254"/>
      <c r="AL550" s="254"/>
      <c r="AM550" s="255"/>
      <c r="AN550" s="255"/>
      <c r="AO550" s="255"/>
      <c r="AP550" s="255"/>
      <c r="AQ550" s="255"/>
      <c r="AR550" s="255"/>
      <c r="AS550" s="255"/>
      <c r="AT550" s="255"/>
      <c r="AU550" s="255"/>
      <c r="AV550" s="255"/>
      <c r="AW550" s="255"/>
      <c r="AX550" s="210"/>
      <c r="AY550" s="236" cm="1">
        <f t="array" ref="AY550">INDEX(Use, $AD550, 4)</f>
        <v>7</v>
      </c>
      <c r="AZ550" s="236">
        <f t="shared" si="567"/>
        <v>32</v>
      </c>
      <c r="BA550" s="236">
        <f t="shared" si="592"/>
        <v>13</v>
      </c>
      <c r="BB550" s="236">
        <f t="shared" si="593"/>
        <v>0</v>
      </c>
      <c r="BC550" s="252" cm="1">
        <f t="array" ref="BC550">K550/IF($L550&gt;0, INDEX($AO$23:$AU$77, $L550+20, $AD550), 1)</f>
        <v>0</v>
      </c>
      <c r="BD550" s="237">
        <f t="shared" si="568"/>
        <v>0</v>
      </c>
      <c r="BE550" s="236">
        <v>35</v>
      </c>
      <c r="BF550" s="237">
        <f t="shared" si="569"/>
        <v>52.55</v>
      </c>
      <c r="BG550" s="253">
        <f t="shared" si="570"/>
        <v>2.7676728869374316</v>
      </c>
      <c r="BH550" s="253" cm="1">
        <f t="array" ref="BH550">$BC550 * SUMPRODUCT(INDEX($AL$77:$AN$82,,$AE550),INDEX($AO$77:$AU$82,,$AD550), N($AK$77:$AK$82&gt;$AI550)) / BG550 / 1000</f>
        <v>0</v>
      </c>
      <c r="BI550" s="250">
        <f t="shared" si="594"/>
        <v>30</v>
      </c>
      <c r="BJ550" s="237">
        <f t="shared" si="571"/>
        <v>46.033333333333331</v>
      </c>
      <c r="BK550" s="253">
        <f t="shared" si="572"/>
        <v>3.2297395388556791</v>
      </c>
      <c r="BL550" s="253" cm="1">
        <f t="array" ref="BL550">$BC550 * IF($AD550&lt;=2,
SUMPRODUCT(INDEX($AL$72:$AN$76,,$AE550), INDEX($AO$72:$AU$76,,$AD550), 1 / ($AV$72:$AV$76*BK550 + (1-$AV$72:$AV$76)*BG550), N($AK$72:$AK$76&gt;$AI550)),
SUMPRODUCT(INDEX($AL$67:$AN$76,,$AE550), INDEX($AO$67:$AU$76,,$AD550), 1 / ($AW$67:$AW$76*BK550 + (1-$AW$67:$AW$76)*BG550), N($AK$67:$AK$76&gt;$AI550))
) / 1000</f>
        <v>0</v>
      </c>
      <c r="BM550" s="250">
        <f t="shared" si="595"/>
        <v>25</v>
      </c>
      <c r="BN550" s="237">
        <f t="shared" si="573"/>
        <v>39.516666666666666</v>
      </c>
      <c r="BO550" s="253">
        <f t="shared" si="574"/>
        <v>3.877011788826243</v>
      </c>
      <c r="BP550" s="253" cm="1">
        <f t="array" ref="BP550">$BC550 * IF($AD550&lt;=2,
SUMPRODUCT(INDEX($AL$67:$AN$71,,$AE550), INDEX($AO$67:$AU$71,,$AD550), 1 / ($AV$67:$AV$71*BO550 + (1-$AV$67:$AV$71)*BK550), N($AK$67:$AK$71&gt;$AI550)),
SUMPRODUCT(INDEX($AL$57:$AN$66,,$AE550), INDEX($AO$57:$AU$66,,$AD550), 1 / ($AW$57:$AW$66*BO550 + (1-$AW$57:$AW$66)*BK550), N($AK$57:$AK$66&gt;$AI550))
) / 1000</f>
        <v>0</v>
      </c>
      <c r="BQ550" s="250">
        <f t="shared" si="596"/>
        <v>20</v>
      </c>
      <c r="BR550" s="237">
        <f t="shared" si="575"/>
        <v>33</v>
      </c>
      <c r="BS550" s="253">
        <f t="shared" si="576"/>
        <v>4.8487499999999999</v>
      </c>
      <c r="BT550" s="253" cm="1">
        <f t="array" ref="BT550">$BC550 * IF($AD550&lt;=2,
SUMPRODUCT(INDEX($AL$62:$AN$66,,$AE550), INDEX($AO$62:$AU$66,,$AD550), 1 / ($AV$62:$AV$66*BS550 + (1-$AV$62:$AV$66)*BO550), N($AK$62:$AK$66&gt;$AI550)),
SUMPRODUCT(INDEX($AL$47:$AN$56,,$AE550), INDEX($AO$47:$AU$56,,$AD550), 1 / ($AW$47:$AW$56*BS550 + (1-$AW$47:$AW$56)*BO550), N($AK$47:$AK$56&gt;$AI550))
) / 1000</f>
        <v>0</v>
      </c>
      <c r="BU550" s="253" cm="1">
        <f t="array" ref="BU550">$BC550 * IF($AD550&lt;=2,
SUMPRODUCT(INDEX($AL$23:$AN$61,,$AE550), INDEX($AO$23:$AU$61,,$AD550), 1 / ($AV$23:$AV$61*BS550), N($AK$23:$AK$61&gt;$AI550)),
SUMPRODUCT(INDEX($AL$23:$AN$46,,$AE550), INDEX($AO$23:$AU$46,,$AD550), 1 / ($AW$23:$AW$46*BS550), N($AK$23:$AK$46&gt;$AI550))
) / 1000</f>
        <v>0</v>
      </c>
      <c r="BV550" s="237">
        <f t="shared" si="577"/>
        <v>0</v>
      </c>
      <c r="BW550" s="210"/>
      <c r="BX550" s="237">
        <f t="shared" si="578"/>
        <v>0</v>
      </c>
      <c r="BY550" s="236">
        <v>35</v>
      </c>
      <c r="BZ550" s="237">
        <f t="shared" si="579"/>
        <v>48</v>
      </c>
      <c r="CA550" s="253">
        <f t="shared" si="580"/>
        <v>3.0748170731707316</v>
      </c>
      <c r="CB550" s="253" cm="1">
        <f t="array" ref="CB550">$BC550 * SUMPRODUCT(INDEX($AL$77:$AN$82,,$AE550),INDEX($AO$77:$AU$82,,$AD550), N($AK$77:$AK$82&gt;$AI550)) / CA550 / 1000</f>
        <v>0</v>
      </c>
      <c r="CC550" s="250">
        <f t="shared" si="597"/>
        <v>30</v>
      </c>
      <c r="CD550" s="237">
        <f t="shared" si="581"/>
        <v>43</v>
      </c>
      <c r="CE550" s="253">
        <f t="shared" si="582"/>
        <v>3.5018750000000001</v>
      </c>
      <c r="CF550" s="253" cm="1">
        <f t="array" ref="CF550">$BC550 * IF($AD550&lt;=2,
SUMPRODUCT(INDEX($AL$72:$AN$76,,$AE550), INDEX($AO$72:$AU$76,,$AD550), 1 / ($AV$72:$AV$76*CE550 + (1-$AV$72:$AV$76)*CA550), N($AK$72:$AK$76&gt;$AI550)),
SUMPRODUCT(INDEX($AL$67:$AN$76,,$AE550), INDEX($AO$67:$AU$76,,$AD550), 1 / ($AW$67:$AW$76*CE550 + (1-$AW$67:$AW$76)*CA550), N($AK$67:$AK$76&gt;$AI550))
) / 1000</f>
        <v>0</v>
      </c>
      <c r="CG550" s="250">
        <f t="shared" si="598"/>
        <v>25</v>
      </c>
      <c r="CH550" s="237">
        <f t="shared" si="583"/>
        <v>38</v>
      </c>
      <c r="CI550" s="253">
        <f t="shared" si="584"/>
        <v>4.0666935483870965</v>
      </c>
      <c r="CJ550" s="253" cm="1">
        <f t="array" ref="CJ550">$BC550 * IF($AD550&lt;=2,
SUMPRODUCT(INDEX($AL$67:$AN$71,,$AE550), INDEX($AO$67:$AU$71,,$AD550), 1 / ($AV$67:$AV$71*CI550 + (1-$AV$67:$AV$71)*CE550), N($AK$67:$AK$71&gt;$AI550)),
SUMPRODUCT(INDEX($AL$57:$AN$66,,$AE550), INDEX($AO$57:$AU$66,,$AD550), 1 / ($AW$57:$AW$66*CI550 + (1-$AW$57:$AW$66)*CE550), N($AK$57:$AK$66&gt;$AI550))
) / 1000</f>
        <v>0</v>
      </c>
      <c r="CK550" s="250">
        <f t="shared" si="599"/>
        <v>20</v>
      </c>
      <c r="CL550" s="237">
        <f t="shared" si="585"/>
        <v>33</v>
      </c>
      <c r="CM550" s="253">
        <f t="shared" si="586"/>
        <v>4.8487499999999999</v>
      </c>
      <c r="CN550" s="253" cm="1">
        <f t="array" ref="CN550">$BC550 * IF($AD550&lt;=2,
SUMPRODUCT(INDEX($AL$62:$AN$66,,$AE550), INDEX($AO$62:$AU$66,,$AD550), 1 / ($AV$62:$AV$66*CM550 + (1-$AV$62:$AV$66)*CI550), N($AK$62:$AK$66&gt;$AI550)),
SUMPRODUCT(INDEX($AL$47:$AN$56,,$AE550), INDEX($AO$47:$AU$56,,$AD550), 1 / ($AW$47:$AW$56*CM550 + (1-$AW$47:$AW$56)*CI550), N($AK$47:$AK$56&gt;$AI550))
) / 1000</f>
        <v>0</v>
      </c>
      <c r="CO550" s="253" cm="1">
        <f t="array" ref="CO550">$BC550 * IF($AD550&lt;=2,
SUMPRODUCT(INDEX($AL$23:$AN$61,,$AE550), INDEX($AO$23:$AU$61,,$AD550), 1 / ($AV$23:$AV$61*CM550), N($AK$23:$AK$61&gt;$AI550)),
SUMPRODUCT(INDEX($AL$23:$AN$46,,$AE550), INDEX($AO$23:$AU$46,,$AD550), 1 / ($AW$23:$AW$46*CM550), N($AK$23:$AK$46&gt;$AI550))
) / 1000</f>
        <v>0</v>
      </c>
      <c r="CP550" s="237">
        <f t="shared" si="587"/>
        <v>0</v>
      </c>
      <c r="CQ550" s="210"/>
    </row>
    <row r="551" spans="1:95" s="76" customFormat="1" ht="14.25" customHeight="1" x14ac:dyDescent="0.2">
      <c r="A551" s="238" t="b">
        <f t="shared" si="591"/>
        <v>0</v>
      </c>
      <c r="B551" s="239">
        <v>529</v>
      </c>
      <c r="C551" s="258"/>
      <c r="D551" s="258"/>
      <c r="E551" s="240"/>
      <c r="F551" s="241" t="str">
        <f>IF(ISBLANK(E551), "", VLOOKUP(E551, Z!$A$2:$C$4127, 3, FALSE))</f>
        <v/>
      </c>
      <c r="G551" s="242"/>
      <c r="H551" s="242"/>
      <c r="I551" s="243"/>
      <c r="J551" s="244"/>
      <c r="K551" s="259"/>
      <c r="L551" s="260"/>
      <c r="M551" s="247" t="str" cm="1">
        <f t="array" ref="M551">IF($K551&gt;0, INDEX(Clean,1+AG551,$C$1), "")</f>
        <v/>
      </c>
      <c r="N551" s="245"/>
      <c r="O551" s="245"/>
      <c r="P551" s="246"/>
      <c r="Q551" s="248">
        <f t="shared" si="564"/>
        <v>0</v>
      </c>
      <c r="R551" s="247" t="str" cm="1">
        <f t="array" ref="R551">IF($K551&gt;0, INDEX(Clean,1+AH551,$C$1), "")</f>
        <v/>
      </c>
      <c r="S551" s="245"/>
      <c r="T551" s="245"/>
      <c r="U551" s="246"/>
      <c r="V551" s="248">
        <f t="shared" si="565"/>
        <v>0</v>
      </c>
      <c r="W551" s="261"/>
      <c r="X551" s="258"/>
      <c r="Y551" s="240"/>
      <c r="Z551" s="241" t="str">
        <f>IF(ISBLANK(Y551), "", VLOOKUP(Y551, Z!$A$2:$C$4127, 3, FALSE))</f>
        <v/>
      </c>
      <c r="AA551" s="262"/>
      <c r="AB551" s="249">
        <f t="shared" si="600"/>
        <v>0</v>
      </c>
      <c r="AC551" s="210"/>
      <c r="AD551" s="236">
        <f t="shared" si="588"/>
        <v>1</v>
      </c>
      <c r="AE551" s="236">
        <f t="shared" si="589"/>
        <v>1</v>
      </c>
      <c r="AF551" s="236">
        <f t="shared" si="590"/>
        <v>0</v>
      </c>
      <c r="AG551" s="236">
        <v>1</v>
      </c>
      <c r="AH551" s="236">
        <v>0</v>
      </c>
      <c r="AI551" s="236">
        <f t="shared" si="566"/>
        <v>-100</v>
      </c>
      <c r="AJ551" s="210"/>
      <c r="AK551" s="254"/>
      <c r="AL551" s="254"/>
      <c r="AM551" s="255"/>
      <c r="AN551" s="255"/>
      <c r="AO551" s="255"/>
      <c r="AP551" s="255"/>
      <c r="AQ551" s="255"/>
      <c r="AR551" s="255"/>
      <c r="AS551" s="255"/>
      <c r="AT551" s="255"/>
      <c r="AU551" s="255"/>
      <c r="AV551" s="255"/>
      <c r="AW551" s="255"/>
      <c r="AX551" s="210"/>
      <c r="AY551" s="236" cm="1">
        <f t="array" ref="AY551">INDEX(Use, $AD551, 4)</f>
        <v>7</v>
      </c>
      <c r="AZ551" s="236">
        <f t="shared" si="567"/>
        <v>32</v>
      </c>
      <c r="BA551" s="236">
        <f t="shared" si="592"/>
        <v>13</v>
      </c>
      <c r="BB551" s="236">
        <f t="shared" si="593"/>
        <v>0</v>
      </c>
      <c r="BC551" s="252" cm="1">
        <f t="array" ref="BC551">K551/IF($L551&gt;0, INDEX($AO$23:$AU$77, $L551+20, $AD551), 1)</f>
        <v>0</v>
      </c>
      <c r="BD551" s="237">
        <f t="shared" si="568"/>
        <v>0</v>
      </c>
      <c r="BE551" s="236">
        <v>35</v>
      </c>
      <c r="BF551" s="237">
        <f t="shared" si="569"/>
        <v>52.55</v>
      </c>
      <c r="BG551" s="253">
        <f t="shared" si="570"/>
        <v>2.7676728869374316</v>
      </c>
      <c r="BH551" s="253" cm="1">
        <f t="array" ref="BH551">$BC551 * SUMPRODUCT(INDEX($AL$77:$AN$82,,$AE551),INDEX($AO$77:$AU$82,,$AD551), N($AK$77:$AK$82&gt;$AI551)) / BG551 / 1000</f>
        <v>0</v>
      </c>
      <c r="BI551" s="250">
        <f t="shared" si="594"/>
        <v>30</v>
      </c>
      <c r="BJ551" s="237">
        <f t="shared" si="571"/>
        <v>46.033333333333331</v>
      </c>
      <c r="BK551" s="253">
        <f t="shared" si="572"/>
        <v>3.2297395388556791</v>
      </c>
      <c r="BL551" s="253" cm="1">
        <f t="array" ref="BL551">$BC551 * IF($AD551&lt;=2,
SUMPRODUCT(INDEX($AL$72:$AN$76,,$AE551), INDEX($AO$72:$AU$76,,$AD551), 1 / ($AV$72:$AV$76*BK551 + (1-$AV$72:$AV$76)*BG551), N($AK$72:$AK$76&gt;$AI551)),
SUMPRODUCT(INDEX($AL$67:$AN$76,,$AE551), INDEX($AO$67:$AU$76,,$AD551), 1 / ($AW$67:$AW$76*BK551 + (1-$AW$67:$AW$76)*BG551), N($AK$67:$AK$76&gt;$AI551))
) / 1000</f>
        <v>0</v>
      </c>
      <c r="BM551" s="250">
        <f t="shared" si="595"/>
        <v>25</v>
      </c>
      <c r="BN551" s="237">
        <f t="shared" si="573"/>
        <v>39.516666666666666</v>
      </c>
      <c r="BO551" s="253">
        <f t="shared" si="574"/>
        <v>3.877011788826243</v>
      </c>
      <c r="BP551" s="253" cm="1">
        <f t="array" ref="BP551">$BC551 * IF($AD551&lt;=2,
SUMPRODUCT(INDEX($AL$67:$AN$71,,$AE551), INDEX($AO$67:$AU$71,,$AD551), 1 / ($AV$67:$AV$71*BO551 + (1-$AV$67:$AV$71)*BK551), N($AK$67:$AK$71&gt;$AI551)),
SUMPRODUCT(INDEX($AL$57:$AN$66,,$AE551), INDEX($AO$57:$AU$66,,$AD551), 1 / ($AW$57:$AW$66*BO551 + (1-$AW$57:$AW$66)*BK551), N($AK$57:$AK$66&gt;$AI551))
) / 1000</f>
        <v>0</v>
      </c>
      <c r="BQ551" s="250">
        <f t="shared" si="596"/>
        <v>20</v>
      </c>
      <c r="BR551" s="237">
        <f t="shared" si="575"/>
        <v>33</v>
      </c>
      <c r="BS551" s="253">
        <f t="shared" si="576"/>
        <v>4.8487499999999999</v>
      </c>
      <c r="BT551" s="253" cm="1">
        <f t="array" ref="BT551">$BC551 * IF($AD551&lt;=2,
SUMPRODUCT(INDEX($AL$62:$AN$66,,$AE551), INDEX($AO$62:$AU$66,,$AD551), 1 / ($AV$62:$AV$66*BS551 + (1-$AV$62:$AV$66)*BO551), N($AK$62:$AK$66&gt;$AI551)),
SUMPRODUCT(INDEX($AL$47:$AN$56,,$AE551), INDEX($AO$47:$AU$56,,$AD551), 1 / ($AW$47:$AW$56*BS551 + (1-$AW$47:$AW$56)*BO551), N($AK$47:$AK$56&gt;$AI551))
) / 1000</f>
        <v>0</v>
      </c>
      <c r="BU551" s="253" cm="1">
        <f t="array" ref="BU551">$BC551 * IF($AD551&lt;=2,
SUMPRODUCT(INDEX($AL$23:$AN$61,,$AE551), INDEX($AO$23:$AU$61,,$AD551), 1 / ($AV$23:$AV$61*BS551), N($AK$23:$AK$61&gt;$AI551)),
SUMPRODUCT(INDEX($AL$23:$AN$46,,$AE551), INDEX($AO$23:$AU$46,,$AD551), 1 / ($AW$23:$AW$46*BS551), N($AK$23:$AK$46&gt;$AI551))
) / 1000</f>
        <v>0</v>
      </c>
      <c r="BV551" s="237">
        <f t="shared" si="577"/>
        <v>0</v>
      </c>
      <c r="BW551" s="210"/>
      <c r="BX551" s="237">
        <f t="shared" si="578"/>
        <v>0</v>
      </c>
      <c r="BY551" s="236">
        <v>35</v>
      </c>
      <c r="BZ551" s="237">
        <f t="shared" si="579"/>
        <v>48</v>
      </c>
      <c r="CA551" s="253">
        <f t="shared" si="580"/>
        <v>3.0748170731707316</v>
      </c>
      <c r="CB551" s="253" cm="1">
        <f t="array" ref="CB551">$BC551 * SUMPRODUCT(INDEX($AL$77:$AN$82,,$AE551),INDEX($AO$77:$AU$82,,$AD551), N($AK$77:$AK$82&gt;$AI551)) / CA551 / 1000</f>
        <v>0</v>
      </c>
      <c r="CC551" s="250">
        <f t="shared" si="597"/>
        <v>30</v>
      </c>
      <c r="CD551" s="237">
        <f t="shared" si="581"/>
        <v>43</v>
      </c>
      <c r="CE551" s="253">
        <f t="shared" si="582"/>
        <v>3.5018750000000001</v>
      </c>
      <c r="CF551" s="253" cm="1">
        <f t="array" ref="CF551">$BC551 * IF($AD551&lt;=2,
SUMPRODUCT(INDEX($AL$72:$AN$76,,$AE551), INDEX($AO$72:$AU$76,,$AD551), 1 / ($AV$72:$AV$76*CE551 + (1-$AV$72:$AV$76)*CA551), N($AK$72:$AK$76&gt;$AI551)),
SUMPRODUCT(INDEX($AL$67:$AN$76,,$AE551), INDEX($AO$67:$AU$76,,$AD551), 1 / ($AW$67:$AW$76*CE551 + (1-$AW$67:$AW$76)*CA551), N($AK$67:$AK$76&gt;$AI551))
) / 1000</f>
        <v>0</v>
      </c>
      <c r="CG551" s="250">
        <f t="shared" si="598"/>
        <v>25</v>
      </c>
      <c r="CH551" s="237">
        <f t="shared" si="583"/>
        <v>38</v>
      </c>
      <c r="CI551" s="253">
        <f t="shared" si="584"/>
        <v>4.0666935483870965</v>
      </c>
      <c r="CJ551" s="253" cm="1">
        <f t="array" ref="CJ551">$BC551 * IF($AD551&lt;=2,
SUMPRODUCT(INDEX($AL$67:$AN$71,,$AE551), INDEX($AO$67:$AU$71,,$AD551), 1 / ($AV$67:$AV$71*CI551 + (1-$AV$67:$AV$71)*CE551), N($AK$67:$AK$71&gt;$AI551)),
SUMPRODUCT(INDEX($AL$57:$AN$66,,$AE551), INDEX($AO$57:$AU$66,,$AD551), 1 / ($AW$57:$AW$66*CI551 + (1-$AW$57:$AW$66)*CE551), N($AK$57:$AK$66&gt;$AI551))
) / 1000</f>
        <v>0</v>
      </c>
      <c r="CK551" s="250">
        <f t="shared" si="599"/>
        <v>20</v>
      </c>
      <c r="CL551" s="237">
        <f t="shared" si="585"/>
        <v>33</v>
      </c>
      <c r="CM551" s="253">
        <f t="shared" si="586"/>
        <v>4.8487499999999999</v>
      </c>
      <c r="CN551" s="253" cm="1">
        <f t="array" ref="CN551">$BC551 * IF($AD551&lt;=2,
SUMPRODUCT(INDEX($AL$62:$AN$66,,$AE551), INDEX($AO$62:$AU$66,,$AD551), 1 / ($AV$62:$AV$66*CM551 + (1-$AV$62:$AV$66)*CI551), N($AK$62:$AK$66&gt;$AI551)),
SUMPRODUCT(INDEX($AL$47:$AN$56,,$AE551), INDEX($AO$47:$AU$56,,$AD551), 1 / ($AW$47:$AW$56*CM551 + (1-$AW$47:$AW$56)*CI551), N($AK$47:$AK$56&gt;$AI551))
) / 1000</f>
        <v>0</v>
      </c>
      <c r="CO551" s="253" cm="1">
        <f t="array" ref="CO551">$BC551 * IF($AD551&lt;=2,
SUMPRODUCT(INDEX($AL$23:$AN$61,,$AE551), INDEX($AO$23:$AU$61,,$AD551), 1 / ($AV$23:$AV$61*CM551), N($AK$23:$AK$61&gt;$AI551)),
SUMPRODUCT(INDEX($AL$23:$AN$46,,$AE551), INDEX($AO$23:$AU$46,,$AD551), 1 / ($AW$23:$AW$46*CM551), N($AK$23:$AK$46&gt;$AI551))
) / 1000</f>
        <v>0</v>
      </c>
      <c r="CP551" s="237">
        <f t="shared" si="587"/>
        <v>0</v>
      </c>
      <c r="CQ551" s="210"/>
    </row>
    <row r="552" spans="1:95" s="76" customFormat="1" ht="14.25" customHeight="1" x14ac:dyDescent="0.2">
      <c r="A552" s="238" t="b">
        <f t="shared" si="591"/>
        <v>0</v>
      </c>
      <c r="B552" s="239">
        <v>530</v>
      </c>
      <c r="C552" s="258"/>
      <c r="D552" s="258"/>
      <c r="E552" s="240"/>
      <c r="F552" s="241" t="str">
        <f>IF(ISBLANK(E552), "", VLOOKUP(E552, Z!$A$2:$C$4127, 3, FALSE))</f>
        <v/>
      </c>
      <c r="G552" s="242"/>
      <c r="H552" s="242"/>
      <c r="I552" s="243"/>
      <c r="J552" s="244"/>
      <c r="K552" s="259"/>
      <c r="L552" s="260"/>
      <c r="M552" s="247" t="str" cm="1">
        <f t="array" ref="M552">IF($K552&gt;0, INDEX(Clean,1+AG552,$C$1), "")</f>
        <v/>
      </c>
      <c r="N552" s="245"/>
      <c r="O552" s="245"/>
      <c r="P552" s="246"/>
      <c r="Q552" s="248">
        <f t="shared" si="564"/>
        <v>0</v>
      </c>
      <c r="R552" s="247" t="str" cm="1">
        <f t="array" ref="R552">IF($K552&gt;0, INDEX(Clean,1+AH552,$C$1), "")</f>
        <v/>
      </c>
      <c r="S552" s="245"/>
      <c r="T552" s="245"/>
      <c r="U552" s="246"/>
      <c r="V552" s="248">
        <f t="shared" si="565"/>
        <v>0</v>
      </c>
      <c r="W552" s="261"/>
      <c r="X552" s="258"/>
      <c r="Y552" s="240"/>
      <c r="Z552" s="241" t="str">
        <f>IF(ISBLANK(Y552), "", VLOOKUP(Y552, Z!$A$2:$C$4127, 3, FALSE))</f>
        <v/>
      </c>
      <c r="AA552" s="262"/>
      <c r="AB552" s="249">
        <f t="shared" si="600"/>
        <v>0</v>
      </c>
      <c r="AC552" s="210"/>
      <c r="AD552" s="236">
        <f t="shared" si="588"/>
        <v>1</v>
      </c>
      <c r="AE552" s="236">
        <f t="shared" si="589"/>
        <v>1</v>
      </c>
      <c r="AF552" s="236">
        <f t="shared" si="590"/>
        <v>0</v>
      </c>
      <c r="AG552" s="236">
        <v>1</v>
      </c>
      <c r="AH552" s="236">
        <v>0</v>
      </c>
      <c r="AI552" s="236">
        <f t="shared" si="566"/>
        <v>-100</v>
      </c>
      <c r="AJ552" s="210"/>
      <c r="AK552" s="254"/>
      <c r="AL552" s="254"/>
      <c r="AM552" s="255"/>
      <c r="AN552" s="255"/>
      <c r="AO552" s="255"/>
      <c r="AP552" s="255"/>
      <c r="AQ552" s="255"/>
      <c r="AR552" s="255"/>
      <c r="AS552" s="255"/>
      <c r="AT552" s="255"/>
      <c r="AU552" s="255"/>
      <c r="AV552" s="255"/>
      <c r="AW552" s="255"/>
      <c r="AX552" s="210"/>
      <c r="AY552" s="236" cm="1">
        <f t="array" ref="AY552">INDEX(Use, $AD552, 4)</f>
        <v>7</v>
      </c>
      <c r="AZ552" s="236">
        <f t="shared" si="567"/>
        <v>32</v>
      </c>
      <c r="BA552" s="236">
        <f t="shared" si="592"/>
        <v>13</v>
      </c>
      <c r="BB552" s="236">
        <f t="shared" si="593"/>
        <v>0</v>
      </c>
      <c r="BC552" s="252" cm="1">
        <f t="array" ref="BC552">K552/IF($L552&gt;0, INDEX($AO$23:$AU$77, $L552+20, $AD552), 1)</f>
        <v>0</v>
      </c>
      <c r="BD552" s="237">
        <f t="shared" si="568"/>
        <v>0</v>
      </c>
      <c r="BE552" s="236">
        <v>35</v>
      </c>
      <c r="BF552" s="237">
        <f t="shared" si="569"/>
        <v>52.55</v>
      </c>
      <c r="BG552" s="253">
        <f t="shared" si="570"/>
        <v>2.7676728869374316</v>
      </c>
      <c r="BH552" s="253" cm="1">
        <f t="array" ref="BH552">$BC552 * SUMPRODUCT(INDEX($AL$77:$AN$82,,$AE552),INDEX($AO$77:$AU$82,,$AD552), N($AK$77:$AK$82&gt;$AI552)) / BG552 / 1000</f>
        <v>0</v>
      </c>
      <c r="BI552" s="250">
        <f t="shared" si="594"/>
        <v>30</v>
      </c>
      <c r="BJ552" s="237">
        <f t="shared" si="571"/>
        <v>46.033333333333331</v>
      </c>
      <c r="BK552" s="253">
        <f t="shared" si="572"/>
        <v>3.2297395388556791</v>
      </c>
      <c r="BL552" s="253" cm="1">
        <f t="array" ref="BL552">$BC552 * IF($AD552&lt;=2,
SUMPRODUCT(INDEX($AL$72:$AN$76,,$AE552), INDEX($AO$72:$AU$76,,$AD552), 1 / ($AV$72:$AV$76*BK552 + (1-$AV$72:$AV$76)*BG552), N($AK$72:$AK$76&gt;$AI552)),
SUMPRODUCT(INDEX($AL$67:$AN$76,,$AE552), INDEX($AO$67:$AU$76,,$AD552), 1 / ($AW$67:$AW$76*BK552 + (1-$AW$67:$AW$76)*BG552), N($AK$67:$AK$76&gt;$AI552))
) / 1000</f>
        <v>0</v>
      </c>
      <c r="BM552" s="250">
        <f t="shared" si="595"/>
        <v>25</v>
      </c>
      <c r="BN552" s="237">
        <f t="shared" si="573"/>
        <v>39.516666666666666</v>
      </c>
      <c r="BO552" s="253">
        <f t="shared" si="574"/>
        <v>3.877011788826243</v>
      </c>
      <c r="BP552" s="253" cm="1">
        <f t="array" ref="BP552">$BC552 * IF($AD552&lt;=2,
SUMPRODUCT(INDEX($AL$67:$AN$71,,$AE552), INDEX($AO$67:$AU$71,,$AD552), 1 / ($AV$67:$AV$71*BO552 + (1-$AV$67:$AV$71)*BK552), N($AK$67:$AK$71&gt;$AI552)),
SUMPRODUCT(INDEX($AL$57:$AN$66,,$AE552), INDEX($AO$57:$AU$66,,$AD552), 1 / ($AW$57:$AW$66*BO552 + (1-$AW$57:$AW$66)*BK552), N($AK$57:$AK$66&gt;$AI552))
) / 1000</f>
        <v>0</v>
      </c>
      <c r="BQ552" s="250">
        <f t="shared" si="596"/>
        <v>20</v>
      </c>
      <c r="BR552" s="237">
        <f t="shared" si="575"/>
        <v>33</v>
      </c>
      <c r="BS552" s="253">
        <f t="shared" si="576"/>
        <v>4.8487499999999999</v>
      </c>
      <c r="BT552" s="253" cm="1">
        <f t="array" ref="BT552">$BC552 * IF($AD552&lt;=2,
SUMPRODUCT(INDEX($AL$62:$AN$66,,$AE552), INDEX($AO$62:$AU$66,,$AD552), 1 / ($AV$62:$AV$66*BS552 + (1-$AV$62:$AV$66)*BO552), N($AK$62:$AK$66&gt;$AI552)),
SUMPRODUCT(INDEX($AL$47:$AN$56,,$AE552), INDEX($AO$47:$AU$56,,$AD552), 1 / ($AW$47:$AW$56*BS552 + (1-$AW$47:$AW$56)*BO552), N($AK$47:$AK$56&gt;$AI552))
) / 1000</f>
        <v>0</v>
      </c>
      <c r="BU552" s="253" cm="1">
        <f t="array" ref="BU552">$BC552 * IF($AD552&lt;=2,
SUMPRODUCT(INDEX($AL$23:$AN$61,,$AE552), INDEX($AO$23:$AU$61,,$AD552), 1 / ($AV$23:$AV$61*BS552), N($AK$23:$AK$61&gt;$AI552)),
SUMPRODUCT(INDEX($AL$23:$AN$46,,$AE552), INDEX($AO$23:$AU$46,,$AD552), 1 / ($AW$23:$AW$46*BS552), N($AK$23:$AK$46&gt;$AI552))
) / 1000</f>
        <v>0</v>
      </c>
      <c r="BV552" s="237">
        <f t="shared" si="577"/>
        <v>0</v>
      </c>
      <c r="BW552" s="210"/>
      <c r="BX552" s="237">
        <f t="shared" si="578"/>
        <v>0</v>
      </c>
      <c r="BY552" s="236">
        <v>35</v>
      </c>
      <c r="BZ552" s="237">
        <f t="shared" si="579"/>
        <v>48</v>
      </c>
      <c r="CA552" s="253">
        <f t="shared" si="580"/>
        <v>3.0748170731707316</v>
      </c>
      <c r="CB552" s="253" cm="1">
        <f t="array" ref="CB552">$BC552 * SUMPRODUCT(INDEX($AL$77:$AN$82,,$AE552),INDEX($AO$77:$AU$82,,$AD552), N($AK$77:$AK$82&gt;$AI552)) / CA552 / 1000</f>
        <v>0</v>
      </c>
      <c r="CC552" s="250">
        <f t="shared" si="597"/>
        <v>30</v>
      </c>
      <c r="CD552" s="237">
        <f t="shared" si="581"/>
        <v>43</v>
      </c>
      <c r="CE552" s="253">
        <f t="shared" si="582"/>
        <v>3.5018750000000001</v>
      </c>
      <c r="CF552" s="253" cm="1">
        <f t="array" ref="CF552">$BC552 * IF($AD552&lt;=2,
SUMPRODUCT(INDEX($AL$72:$AN$76,,$AE552), INDEX($AO$72:$AU$76,,$AD552), 1 / ($AV$72:$AV$76*CE552 + (1-$AV$72:$AV$76)*CA552), N($AK$72:$AK$76&gt;$AI552)),
SUMPRODUCT(INDEX($AL$67:$AN$76,,$AE552), INDEX($AO$67:$AU$76,,$AD552), 1 / ($AW$67:$AW$76*CE552 + (1-$AW$67:$AW$76)*CA552), N($AK$67:$AK$76&gt;$AI552))
) / 1000</f>
        <v>0</v>
      </c>
      <c r="CG552" s="250">
        <f t="shared" si="598"/>
        <v>25</v>
      </c>
      <c r="CH552" s="237">
        <f t="shared" si="583"/>
        <v>38</v>
      </c>
      <c r="CI552" s="253">
        <f t="shared" si="584"/>
        <v>4.0666935483870965</v>
      </c>
      <c r="CJ552" s="253" cm="1">
        <f t="array" ref="CJ552">$BC552 * IF($AD552&lt;=2,
SUMPRODUCT(INDEX($AL$67:$AN$71,,$AE552), INDEX($AO$67:$AU$71,,$AD552), 1 / ($AV$67:$AV$71*CI552 + (1-$AV$67:$AV$71)*CE552), N($AK$67:$AK$71&gt;$AI552)),
SUMPRODUCT(INDEX($AL$57:$AN$66,,$AE552), INDEX($AO$57:$AU$66,,$AD552), 1 / ($AW$57:$AW$66*CI552 + (1-$AW$57:$AW$66)*CE552), N($AK$57:$AK$66&gt;$AI552))
) / 1000</f>
        <v>0</v>
      </c>
      <c r="CK552" s="250">
        <f t="shared" si="599"/>
        <v>20</v>
      </c>
      <c r="CL552" s="237">
        <f t="shared" si="585"/>
        <v>33</v>
      </c>
      <c r="CM552" s="253">
        <f t="shared" si="586"/>
        <v>4.8487499999999999</v>
      </c>
      <c r="CN552" s="253" cm="1">
        <f t="array" ref="CN552">$BC552 * IF($AD552&lt;=2,
SUMPRODUCT(INDEX($AL$62:$AN$66,,$AE552), INDEX($AO$62:$AU$66,,$AD552), 1 / ($AV$62:$AV$66*CM552 + (1-$AV$62:$AV$66)*CI552), N($AK$62:$AK$66&gt;$AI552)),
SUMPRODUCT(INDEX($AL$47:$AN$56,,$AE552), INDEX($AO$47:$AU$56,,$AD552), 1 / ($AW$47:$AW$56*CM552 + (1-$AW$47:$AW$56)*CI552), N($AK$47:$AK$56&gt;$AI552))
) / 1000</f>
        <v>0</v>
      </c>
      <c r="CO552" s="253" cm="1">
        <f t="array" ref="CO552">$BC552 * IF($AD552&lt;=2,
SUMPRODUCT(INDEX($AL$23:$AN$61,,$AE552), INDEX($AO$23:$AU$61,,$AD552), 1 / ($AV$23:$AV$61*CM552), N($AK$23:$AK$61&gt;$AI552)),
SUMPRODUCT(INDEX($AL$23:$AN$46,,$AE552), INDEX($AO$23:$AU$46,,$AD552), 1 / ($AW$23:$AW$46*CM552), N($AK$23:$AK$46&gt;$AI552))
) / 1000</f>
        <v>0</v>
      </c>
      <c r="CP552" s="237">
        <f t="shared" si="587"/>
        <v>0</v>
      </c>
      <c r="CQ552" s="210"/>
    </row>
    <row r="553" spans="1:95" s="76" customFormat="1" ht="14.25" customHeight="1" x14ac:dyDescent="0.2">
      <c r="A553" s="238" t="b">
        <f t="shared" si="591"/>
        <v>0</v>
      </c>
      <c r="B553" s="239">
        <v>531</v>
      </c>
      <c r="C553" s="258"/>
      <c r="D553" s="258"/>
      <c r="E553" s="240"/>
      <c r="F553" s="241" t="str">
        <f>IF(ISBLANK(E553), "", VLOOKUP(E553, Z!$A$2:$C$4127, 3, FALSE))</f>
        <v/>
      </c>
      <c r="G553" s="242"/>
      <c r="H553" s="242"/>
      <c r="I553" s="243"/>
      <c r="J553" s="244"/>
      <c r="K553" s="259"/>
      <c r="L553" s="260"/>
      <c r="M553" s="247" t="str" cm="1">
        <f t="array" ref="M553">IF($K553&gt;0, INDEX(Clean,1+AG553,$C$1), "")</f>
        <v/>
      </c>
      <c r="N553" s="245"/>
      <c r="O553" s="245"/>
      <c r="P553" s="246"/>
      <c r="Q553" s="248">
        <f t="shared" si="564"/>
        <v>0</v>
      </c>
      <c r="R553" s="247" t="str" cm="1">
        <f t="array" ref="R553">IF($K553&gt;0, INDEX(Clean,1+AH553,$C$1), "")</f>
        <v/>
      </c>
      <c r="S553" s="245"/>
      <c r="T553" s="245"/>
      <c r="U553" s="246"/>
      <c r="V553" s="248">
        <f t="shared" si="565"/>
        <v>0</v>
      </c>
      <c r="W553" s="261"/>
      <c r="X553" s="258"/>
      <c r="Y553" s="240"/>
      <c r="Z553" s="241" t="str">
        <f>IF(ISBLANK(Y553), "", VLOOKUP(Y553, Z!$A$2:$C$4127, 3, FALSE))</f>
        <v/>
      </c>
      <c r="AA553" s="262"/>
      <c r="AB553" s="249">
        <f t="shared" si="600"/>
        <v>0</v>
      </c>
      <c r="AC553" s="210"/>
      <c r="AD553" s="236">
        <f t="shared" si="588"/>
        <v>1</v>
      </c>
      <c r="AE553" s="236">
        <f t="shared" si="589"/>
        <v>1</v>
      </c>
      <c r="AF553" s="236">
        <f t="shared" si="590"/>
        <v>0</v>
      </c>
      <c r="AG553" s="236">
        <v>1</v>
      </c>
      <c r="AH553" s="236">
        <v>0</v>
      </c>
      <c r="AI553" s="236">
        <f t="shared" si="566"/>
        <v>-100</v>
      </c>
      <c r="AJ553" s="210"/>
      <c r="AK553" s="254"/>
      <c r="AL553" s="254"/>
      <c r="AM553" s="255"/>
      <c r="AN553" s="255"/>
      <c r="AO553" s="255"/>
      <c r="AP553" s="255"/>
      <c r="AQ553" s="255"/>
      <c r="AR553" s="255"/>
      <c r="AS553" s="255"/>
      <c r="AT553" s="255"/>
      <c r="AU553" s="255"/>
      <c r="AV553" s="255"/>
      <c r="AW553" s="255"/>
      <c r="AX553" s="210"/>
      <c r="AY553" s="236" cm="1">
        <f t="array" ref="AY553">INDEX(Use, $AD553, 4)</f>
        <v>7</v>
      </c>
      <c r="AZ553" s="236">
        <f t="shared" si="567"/>
        <v>32</v>
      </c>
      <c r="BA553" s="236">
        <f t="shared" si="592"/>
        <v>13</v>
      </c>
      <c r="BB553" s="236">
        <f t="shared" si="593"/>
        <v>0</v>
      </c>
      <c r="BC553" s="252" cm="1">
        <f t="array" ref="BC553">K553/IF($L553&gt;0, INDEX($AO$23:$AU$77, $L553+20, $AD553), 1)</f>
        <v>0</v>
      </c>
      <c r="BD553" s="237">
        <f t="shared" si="568"/>
        <v>0</v>
      </c>
      <c r="BE553" s="236">
        <v>35</v>
      </c>
      <c r="BF553" s="237">
        <f t="shared" si="569"/>
        <v>52.55</v>
      </c>
      <c r="BG553" s="253">
        <f t="shared" si="570"/>
        <v>2.7676728869374316</v>
      </c>
      <c r="BH553" s="253" cm="1">
        <f t="array" ref="BH553">$BC553 * SUMPRODUCT(INDEX($AL$77:$AN$82,,$AE553),INDEX($AO$77:$AU$82,,$AD553), N($AK$77:$AK$82&gt;$AI553)) / BG553 / 1000</f>
        <v>0</v>
      </c>
      <c r="BI553" s="250">
        <f t="shared" si="594"/>
        <v>30</v>
      </c>
      <c r="BJ553" s="237">
        <f t="shared" si="571"/>
        <v>46.033333333333331</v>
      </c>
      <c r="BK553" s="253">
        <f t="shared" si="572"/>
        <v>3.2297395388556791</v>
      </c>
      <c r="BL553" s="253" cm="1">
        <f t="array" ref="BL553">$BC553 * IF($AD553&lt;=2,
SUMPRODUCT(INDEX($AL$72:$AN$76,,$AE553), INDEX($AO$72:$AU$76,,$AD553), 1 / ($AV$72:$AV$76*BK553 + (1-$AV$72:$AV$76)*BG553), N($AK$72:$AK$76&gt;$AI553)),
SUMPRODUCT(INDEX($AL$67:$AN$76,,$AE553), INDEX($AO$67:$AU$76,,$AD553), 1 / ($AW$67:$AW$76*BK553 + (1-$AW$67:$AW$76)*BG553), N($AK$67:$AK$76&gt;$AI553))
) / 1000</f>
        <v>0</v>
      </c>
      <c r="BM553" s="250">
        <f t="shared" si="595"/>
        <v>25</v>
      </c>
      <c r="BN553" s="237">
        <f t="shared" si="573"/>
        <v>39.516666666666666</v>
      </c>
      <c r="BO553" s="253">
        <f t="shared" si="574"/>
        <v>3.877011788826243</v>
      </c>
      <c r="BP553" s="253" cm="1">
        <f t="array" ref="BP553">$BC553 * IF($AD553&lt;=2,
SUMPRODUCT(INDEX($AL$67:$AN$71,,$AE553), INDEX($AO$67:$AU$71,,$AD553), 1 / ($AV$67:$AV$71*BO553 + (1-$AV$67:$AV$71)*BK553), N($AK$67:$AK$71&gt;$AI553)),
SUMPRODUCT(INDEX($AL$57:$AN$66,,$AE553), INDEX($AO$57:$AU$66,,$AD553), 1 / ($AW$57:$AW$66*BO553 + (1-$AW$57:$AW$66)*BK553), N($AK$57:$AK$66&gt;$AI553))
) / 1000</f>
        <v>0</v>
      </c>
      <c r="BQ553" s="250">
        <f t="shared" si="596"/>
        <v>20</v>
      </c>
      <c r="BR553" s="237">
        <f t="shared" si="575"/>
        <v>33</v>
      </c>
      <c r="BS553" s="253">
        <f t="shared" si="576"/>
        <v>4.8487499999999999</v>
      </c>
      <c r="BT553" s="253" cm="1">
        <f t="array" ref="BT553">$BC553 * IF($AD553&lt;=2,
SUMPRODUCT(INDEX($AL$62:$AN$66,,$AE553), INDEX($AO$62:$AU$66,,$AD553), 1 / ($AV$62:$AV$66*BS553 + (1-$AV$62:$AV$66)*BO553), N($AK$62:$AK$66&gt;$AI553)),
SUMPRODUCT(INDEX($AL$47:$AN$56,,$AE553), INDEX($AO$47:$AU$56,,$AD553), 1 / ($AW$47:$AW$56*BS553 + (1-$AW$47:$AW$56)*BO553), N($AK$47:$AK$56&gt;$AI553))
) / 1000</f>
        <v>0</v>
      </c>
      <c r="BU553" s="253" cm="1">
        <f t="array" ref="BU553">$BC553 * IF($AD553&lt;=2,
SUMPRODUCT(INDEX($AL$23:$AN$61,,$AE553), INDEX($AO$23:$AU$61,,$AD553), 1 / ($AV$23:$AV$61*BS553), N($AK$23:$AK$61&gt;$AI553)),
SUMPRODUCT(INDEX($AL$23:$AN$46,,$AE553), INDEX($AO$23:$AU$46,,$AD553), 1 / ($AW$23:$AW$46*BS553), N($AK$23:$AK$46&gt;$AI553))
) / 1000</f>
        <v>0</v>
      </c>
      <c r="BV553" s="237">
        <f t="shared" si="577"/>
        <v>0</v>
      </c>
      <c r="BW553" s="210"/>
      <c r="BX553" s="237">
        <f t="shared" si="578"/>
        <v>0</v>
      </c>
      <c r="BY553" s="236">
        <v>35</v>
      </c>
      <c r="BZ553" s="237">
        <f t="shared" si="579"/>
        <v>48</v>
      </c>
      <c r="CA553" s="253">
        <f t="shared" si="580"/>
        <v>3.0748170731707316</v>
      </c>
      <c r="CB553" s="253" cm="1">
        <f t="array" ref="CB553">$BC553 * SUMPRODUCT(INDEX($AL$77:$AN$82,,$AE553),INDEX($AO$77:$AU$82,,$AD553), N($AK$77:$AK$82&gt;$AI553)) / CA553 / 1000</f>
        <v>0</v>
      </c>
      <c r="CC553" s="250">
        <f t="shared" si="597"/>
        <v>30</v>
      </c>
      <c r="CD553" s="237">
        <f t="shared" si="581"/>
        <v>43</v>
      </c>
      <c r="CE553" s="253">
        <f t="shared" si="582"/>
        <v>3.5018750000000001</v>
      </c>
      <c r="CF553" s="253" cm="1">
        <f t="array" ref="CF553">$BC553 * IF($AD553&lt;=2,
SUMPRODUCT(INDEX($AL$72:$AN$76,,$AE553), INDEX($AO$72:$AU$76,,$AD553), 1 / ($AV$72:$AV$76*CE553 + (1-$AV$72:$AV$76)*CA553), N($AK$72:$AK$76&gt;$AI553)),
SUMPRODUCT(INDEX($AL$67:$AN$76,,$AE553), INDEX($AO$67:$AU$76,,$AD553), 1 / ($AW$67:$AW$76*CE553 + (1-$AW$67:$AW$76)*CA553), N($AK$67:$AK$76&gt;$AI553))
) / 1000</f>
        <v>0</v>
      </c>
      <c r="CG553" s="250">
        <f t="shared" si="598"/>
        <v>25</v>
      </c>
      <c r="CH553" s="237">
        <f t="shared" si="583"/>
        <v>38</v>
      </c>
      <c r="CI553" s="253">
        <f t="shared" si="584"/>
        <v>4.0666935483870965</v>
      </c>
      <c r="CJ553" s="253" cm="1">
        <f t="array" ref="CJ553">$BC553 * IF($AD553&lt;=2,
SUMPRODUCT(INDEX($AL$67:$AN$71,,$AE553), INDEX($AO$67:$AU$71,,$AD553), 1 / ($AV$67:$AV$71*CI553 + (1-$AV$67:$AV$71)*CE553), N($AK$67:$AK$71&gt;$AI553)),
SUMPRODUCT(INDEX($AL$57:$AN$66,,$AE553), INDEX($AO$57:$AU$66,,$AD553), 1 / ($AW$57:$AW$66*CI553 + (1-$AW$57:$AW$66)*CE553), N($AK$57:$AK$66&gt;$AI553))
) / 1000</f>
        <v>0</v>
      </c>
      <c r="CK553" s="250">
        <f t="shared" si="599"/>
        <v>20</v>
      </c>
      <c r="CL553" s="237">
        <f t="shared" si="585"/>
        <v>33</v>
      </c>
      <c r="CM553" s="253">
        <f t="shared" si="586"/>
        <v>4.8487499999999999</v>
      </c>
      <c r="CN553" s="253" cm="1">
        <f t="array" ref="CN553">$BC553 * IF($AD553&lt;=2,
SUMPRODUCT(INDEX($AL$62:$AN$66,,$AE553), INDEX($AO$62:$AU$66,,$AD553), 1 / ($AV$62:$AV$66*CM553 + (1-$AV$62:$AV$66)*CI553), N($AK$62:$AK$66&gt;$AI553)),
SUMPRODUCT(INDEX($AL$47:$AN$56,,$AE553), INDEX($AO$47:$AU$56,,$AD553), 1 / ($AW$47:$AW$56*CM553 + (1-$AW$47:$AW$56)*CI553), N($AK$47:$AK$56&gt;$AI553))
) / 1000</f>
        <v>0</v>
      </c>
      <c r="CO553" s="253" cm="1">
        <f t="array" ref="CO553">$BC553 * IF($AD553&lt;=2,
SUMPRODUCT(INDEX($AL$23:$AN$61,,$AE553), INDEX($AO$23:$AU$61,,$AD553), 1 / ($AV$23:$AV$61*CM553), N($AK$23:$AK$61&gt;$AI553)),
SUMPRODUCT(INDEX($AL$23:$AN$46,,$AE553), INDEX($AO$23:$AU$46,,$AD553), 1 / ($AW$23:$AW$46*CM553), N($AK$23:$AK$46&gt;$AI553))
) / 1000</f>
        <v>0</v>
      </c>
      <c r="CP553" s="237">
        <f t="shared" si="587"/>
        <v>0</v>
      </c>
      <c r="CQ553" s="210"/>
    </row>
    <row r="554" spans="1:95" s="76" customFormat="1" ht="14.25" customHeight="1" x14ac:dyDescent="0.2">
      <c r="A554" s="238" t="b">
        <f t="shared" si="591"/>
        <v>0</v>
      </c>
      <c r="B554" s="239">
        <v>532</v>
      </c>
      <c r="C554" s="258"/>
      <c r="D554" s="258"/>
      <c r="E554" s="240"/>
      <c r="F554" s="241" t="str">
        <f>IF(ISBLANK(E554), "", VLOOKUP(E554, Z!$A$2:$C$4127, 3, FALSE))</f>
        <v/>
      </c>
      <c r="G554" s="242"/>
      <c r="H554" s="242"/>
      <c r="I554" s="243"/>
      <c r="J554" s="244"/>
      <c r="K554" s="259"/>
      <c r="L554" s="260"/>
      <c r="M554" s="247" t="str" cm="1">
        <f t="array" ref="M554">IF($K554&gt;0, INDEX(Clean,1+AG554,$C$1), "")</f>
        <v/>
      </c>
      <c r="N554" s="245"/>
      <c r="O554" s="245"/>
      <c r="P554" s="246"/>
      <c r="Q554" s="248">
        <f t="shared" si="564"/>
        <v>0</v>
      </c>
      <c r="R554" s="247" t="str" cm="1">
        <f t="array" ref="R554">IF($K554&gt;0, INDEX(Clean,1+AH554,$C$1), "")</f>
        <v/>
      </c>
      <c r="S554" s="245"/>
      <c r="T554" s="245"/>
      <c r="U554" s="246"/>
      <c r="V554" s="248">
        <f t="shared" si="565"/>
        <v>0</v>
      </c>
      <c r="W554" s="261"/>
      <c r="X554" s="258"/>
      <c r="Y554" s="240"/>
      <c r="Z554" s="241" t="str">
        <f>IF(ISBLANK(Y554), "", VLOOKUP(Y554, Z!$A$2:$C$4127, 3, FALSE))</f>
        <v/>
      </c>
      <c r="AA554" s="262"/>
      <c r="AB554" s="249">
        <f t="shared" si="600"/>
        <v>0</v>
      </c>
      <c r="AC554" s="210"/>
      <c r="AD554" s="236">
        <f t="shared" si="588"/>
        <v>1</v>
      </c>
      <c r="AE554" s="236">
        <f t="shared" si="589"/>
        <v>1</v>
      </c>
      <c r="AF554" s="236">
        <f t="shared" si="590"/>
        <v>0</v>
      </c>
      <c r="AG554" s="236">
        <v>1</v>
      </c>
      <c r="AH554" s="236">
        <v>0</v>
      </c>
      <c r="AI554" s="236">
        <f t="shared" si="566"/>
        <v>-100</v>
      </c>
      <c r="AJ554" s="210"/>
      <c r="AK554" s="254"/>
      <c r="AL554" s="254"/>
      <c r="AM554" s="255"/>
      <c r="AN554" s="255"/>
      <c r="AO554" s="255"/>
      <c r="AP554" s="255"/>
      <c r="AQ554" s="255"/>
      <c r="AR554" s="255"/>
      <c r="AS554" s="255"/>
      <c r="AT554" s="255"/>
      <c r="AU554" s="255"/>
      <c r="AV554" s="255"/>
      <c r="AW554" s="255"/>
      <c r="AX554" s="210"/>
      <c r="AY554" s="236" cm="1">
        <f t="array" ref="AY554">INDEX(Use, $AD554, 4)</f>
        <v>7</v>
      </c>
      <c r="AZ554" s="236">
        <f t="shared" si="567"/>
        <v>32</v>
      </c>
      <c r="BA554" s="236">
        <f t="shared" si="592"/>
        <v>13</v>
      </c>
      <c r="BB554" s="236">
        <f t="shared" si="593"/>
        <v>0</v>
      </c>
      <c r="BC554" s="252" cm="1">
        <f t="array" ref="BC554">K554/IF($L554&gt;0, INDEX($AO$23:$AU$77, $L554+20, $AD554), 1)</f>
        <v>0</v>
      </c>
      <c r="BD554" s="237">
        <f t="shared" si="568"/>
        <v>0</v>
      </c>
      <c r="BE554" s="236">
        <v>35</v>
      </c>
      <c r="BF554" s="237">
        <f t="shared" si="569"/>
        <v>52.55</v>
      </c>
      <c r="BG554" s="253">
        <f t="shared" si="570"/>
        <v>2.7676728869374316</v>
      </c>
      <c r="BH554" s="253" cm="1">
        <f t="array" ref="BH554">$BC554 * SUMPRODUCT(INDEX($AL$77:$AN$82,,$AE554),INDEX($AO$77:$AU$82,,$AD554), N($AK$77:$AK$82&gt;$AI554)) / BG554 / 1000</f>
        <v>0</v>
      </c>
      <c r="BI554" s="250">
        <f t="shared" si="594"/>
        <v>30</v>
      </c>
      <c r="BJ554" s="237">
        <f t="shared" si="571"/>
        <v>46.033333333333331</v>
      </c>
      <c r="BK554" s="253">
        <f t="shared" si="572"/>
        <v>3.2297395388556791</v>
      </c>
      <c r="BL554" s="253" cm="1">
        <f t="array" ref="BL554">$BC554 * IF($AD554&lt;=2,
SUMPRODUCT(INDEX($AL$72:$AN$76,,$AE554), INDEX($AO$72:$AU$76,,$AD554), 1 / ($AV$72:$AV$76*BK554 + (1-$AV$72:$AV$76)*BG554), N($AK$72:$AK$76&gt;$AI554)),
SUMPRODUCT(INDEX($AL$67:$AN$76,,$AE554), INDEX($AO$67:$AU$76,,$AD554), 1 / ($AW$67:$AW$76*BK554 + (1-$AW$67:$AW$76)*BG554), N($AK$67:$AK$76&gt;$AI554))
) / 1000</f>
        <v>0</v>
      </c>
      <c r="BM554" s="250">
        <f t="shared" si="595"/>
        <v>25</v>
      </c>
      <c r="BN554" s="237">
        <f t="shared" si="573"/>
        <v>39.516666666666666</v>
      </c>
      <c r="BO554" s="253">
        <f t="shared" si="574"/>
        <v>3.877011788826243</v>
      </c>
      <c r="BP554" s="253" cm="1">
        <f t="array" ref="BP554">$BC554 * IF($AD554&lt;=2,
SUMPRODUCT(INDEX($AL$67:$AN$71,,$AE554), INDEX($AO$67:$AU$71,,$AD554), 1 / ($AV$67:$AV$71*BO554 + (1-$AV$67:$AV$71)*BK554), N($AK$67:$AK$71&gt;$AI554)),
SUMPRODUCT(INDEX($AL$57:$AN$66,,$AE554), INDEX($AO$57:$AU$66,,$AD554), 1 / ($AW$57:$AW$66*BO554 + (1-$AW$57:$AW$66)*BK554), N($AK$57:$AK$66&gt;$AI554))
) / 1000</f>
        <v>0</v>
      </c>
      <c r="BQ554" s="250">
        <f t="shared" si="596"/>
        <v>20</v>
      </c>
      <c r="BR554" s="237">
        <f t="shared" si="575"/>
        <v>33</v>
      </c>
      <c r="BS554" s="253">
        <f t="shared" si="576"/>
        <v>4.8487499999999999</v>
      </c>
      <c r="BT554" s="253" cm="1">
        <f t="array" ref="BT554">$BC554 * IF($AD554&lt;=2,
SUMPRODUCT(INDEX($AL$62:$AN$66,,$AE554), INDEX($AO$62:$AU$66,,$AD554), 1 / ($AV$62:$AV$66*BS554 + (1-$AV$62:$AV$66)*BO554), N($AK$62:$AK$66&gt;$AI554)),
SUMPRODUCT(INDEX($AL$47:$AN$56,,$AE554), INDEX($AO$47:$AU$56,,$AD554), 1 / ($AW$47:$AW$56*BS554 + (1-$AW$47:$AW$56)*BO554), N($AK$47:$AK$56&gt;$AI554))
) / 1000</f>
        <v>0</v>
      </c>
      <c r="BU554" s="253" cm="1">
        <f t="array" ref="BU554">$BC554 * IF($AD554&lt;=2,
SUMPRODUCT(INDEX($AL$23:$AN$61,,$AE554), INDEX($AO$23:$AU$61,,$AD554), 1 / ($AV$23:$AV$61*BS554), N($AK$23:$AK$61&gt;$AI554)),
SUMPRODUCT(INDEX($AL$23:$AN$46,,$AE554), INDEX($AO$23:$AU$46,,$AD554), 1 / ($AW$23:$AW$46*BS554), N($AK$23:$AK$46&gt;$AI554))
) / 1000</f>
        <v>0</v>
      </c>
      <c r="BV554" s="237">
        <f t="shared" si="577"/>
        <v>0</v>
      </c>
      <c r="BW554" s="210"/>
      <c r="BX554" s="237">
        <f t="shared" si="578"/>
        <v>0</v>
      </c>
      <c r="BY554" s="236">
        <v>35</v>
      </c>
      <c r="BZ554" s="237">
        <f t="shared" si="579"/>
        <v>48</v>
      </c>
      <c r="CA554" s="253">
        <f t="shared" si="580"/>
        <v>3.0748170731707316</v>
      </c>
      <c r="CB554" s="253" cm="1">
        <f t="array" ref="CB554">$BC554 * SUMPRODUCT(INDEX($AL$77:$AN$82,,$AE554),INDEX($AO$77:$AU$82,,$AD554), N($AK$77:$AK$82&gt;$AI554)) / CA554 / 1000</f>
        <v>0</v>
      </c>
      <c r="CC554" s="250">
        <f t="shared" si="597"/>
        <v>30</v>
      </c>
      <c r="CD554" s="237">
        <f t="shared" si="581"/>
        <v>43</v>
      </c>
      <c r="CE554" s="253">
        <f t="shared" si="582"/>
        <v>3.5018750000000001</v>
      </c>
      <c r="CF554" s="253" cm="1">
        <f t="array" ref="CF554">$BC554 * IF($AD554&lt;=2,
SUMPRODUCT(INDEX($AL$72:$AN$76,,$AE554), INDEX($AO$72:$AU$76,,$AD554), 1 / ($AV$72:$AV$76*CE554 + (1-$AV$72:$AV$76)*CA554), N($AK$72:$AK$76&gt;$AI554)),
SUMPRODUCT(INDEX($AL$67:$AN$76,,$AE554), INDEX($AO$67:$AU$76,,$AD554), 1 / ($AW$67:$AW$76*CE554 + (1-$AW$67:$AW$76)*CA554), N($AK$67:$AK$76&gt;$AI554))
) / 1000</f>
        <v>0</v>
      </c>
      <c r="CG554" s="250">
        <f t="shared" si="598"/>
        <v>25</v>
      </c>
      <c r="CH554" s="237">
        <f t="shared" si="583"/>
        <v>38</v>
      </c>
      <c r="CI554" s="253">
        <f t="shared" si="584"/>
        <v>4.0666935483870965</v>
      </c>
      <c r="CJ554" s="253" cm="1">
        <f t="array" ref="CJ554">$BC554 * IF($AD554&lt;=2,
SUMPRODUCT(INDEX($AL$67:$AN$71,,$AE554), INDEX($AO$67:$AU$71,,$AD554), 1 / ($AV$67:$AV$71*CI554 + (1-$AV$67:$AV$71)*CE554), N($AK$67:$AK$71&gt;$AI554)),
SUMPRODUCT(INDEX($AL$57:$AN$66,,$AE554), INDEX($AO$57:$AU$66,,$AD554), 1 / ($AW$57:$AW$66*CI554 + (1-$AW$57:$AW$66)*CE554), N($AK$57:$AK$66&gt;$AI554))
) / 1000</f>
        <v>0</v>
      </c>
      <c r="CK554" s="250">
        <f t="shared" si="599"/>
        <v>20</v>
      </c>
      <c r="CL554" s="237">
        <f t="shared" si="585"/>
        <v>33</v>
      </c>
      <c r="CM554" s="253">
        <f t="shared" si="586"/>
        <v>4.8487499999999999</v>
      </c>
      <c r="CN554" s="253" cm="1">
        <f t="array" ref="CN554">$BC554 * IF($AD554&lt;=2,
SUMPRODUCT(INDEX($AL$62:$AN$66,,$AE554), INDEX($AO$62:$AU$66,,$AD554), 1 / ($AV$62:$AV$66*CM554 + (1-$AV$62:$AV$66)*CI554), N($AK$62:$AK$66&gt;$AI554)),
SUMPRODUCT(INDEX($AL$47:$AN$56,,$AE554), INDEX($AO$47:$AU$56,,$AD554), 1 / ($AW$47:$AW$56*CM554 + (1-$AW$47:$AW$56)*CI554), N($AK$47:$AK$56&gt;$AI554))
) / 1000</f>
        <v>0</v>
      </c>
      <c r="CO554" s="253" cm="1">
        <f t="array" ref="CO554">$BC554 * IF($AD554&lt;=2,
SUMPRODUCT(INDEX($AL$23:$AN$61,,$AE554), INDEX($AO$23:$AU$61,,$AD554), 1 / ($AV$23:$AV$61*CM554), N($AK$23:$AK$61&gt;$AI554)),
SUMPRODUCT(INDEX($AL$23:$AN$46,,$AE554), INDEX($AO$23:$AU$46,,$AD554), 1 / ($AW$23:$AW$46*CM554), N($AK$23:$AK$46&gt;$AI554))
) / 1000</f>
        <v>0</v>
      </c>
      <c r="CP554" s="237">
        <f t="shared" si="587"/>
        <v>0</v>
      </c>
      <c r="CQ554" s="210"/>
    </row>
    <row r="555" spans="1:95" s="76" customFormat="1" ht="14.25" customHeight="1" x14ac:dyDescent="0.2">
      <c r="A555" s="238" t="b">
        <f t="shared" si="591"/>
        <v>0</v>
      </c>
      <c r="B555" s="239">
        <v>533</v>
      </c>
      <c r="C555" s="258"/>
      <c r="D555" s="258"/>
      <c r="E555" s="240"/>
      <c r="F555" s="241" t="str">
        <f>IF(ISBLANK(E555), "", VLOOKUP(E555, Z!$A$2:$C$4127, 3, FALSE))</f>
        <v/>
      </c>
      <c r="G555" s="242"/>
      <c r="H555" s="242"/>
      <c r="I555" s="243"/>
      <c r="J555" s="244"/>
      <c r="K555" s="259"/>
      <c r="L555" s="260"/>
      <c r="M555" s="247" t="str" cm="1">
        <f t="array" ref="M555">IF($K555&gt;0, INDEX(Clean,1+AG555,$C$1), "")</f>
        <v/>
      </c>
      <c r="N555" s="245"/>
      <c r="O555" s="245"/>
      <c r="P555" s="246"/>
      <c r="Q555" s="248">
        <f t="shared" si="564"/>
        <v>0</v>
      </c>
      <c r="R555" s="247" t="str" cm="1">
        <f t="array" ref="R555">IF($K555&gt;0, INDEX(Clean,1+AH555,$C$1), "")</f>
        <v/>
      </c>
      <c r="S555" s="245"/>
      <c r="T555" s="245"/>
      <c r="U555" s="246"/>
      <c r="V555" s="248">
        <f t="shared" si="565"/>
        <v>0</v>
      </c>
      <c r="W555" s="261"/>
      <c r="X555" s="258"/>
      <c r="Y555" s="240"/>
      <c r="Z555" s="241" t="str">
        <f>IF(ISBLANK(Y555), "", VLOOKUP(Y555, Z!$A$2:$C$4127, 3, FALSE))</f>
        <v/>
      </c>
      <c r="AA555" s="262"/>
      <c r="AB555" s="249">
        <f t="shared" si="600"/>
        <v>0</v>
      </c>
      <c r="AC555" s="210"/>
      <c r="AD555" s="236">
        <f t="shared" si="588"/>
        <v>1</v>
      </c>
      <c r="AE555" s="236">
        <f t="shared" si="589"/>
        <v>1</v>
      </c>
      <c r="AF555" s="236">
        <f t="shared" si="590"/>
        <v>0</v>
      </c>
      <c r="AG555" s="236">
        <v>1</v>
      </c>
      <c r="AH555" s="236">
        <v>0</v>
      </c>
      <c r="AI555" s="236">
        <f t="shared" si="566"/>
        <v>-100</v>
      </c>
      <c r="AJ555" s="210"/>
      <c r="AK555" s="254"/>
      <c r="AL555" s="254"/>
      <c r="AM555" s="255"/>
      <c r="AN555" s="255"/>
      <c r="AO555" s="255"/>
      <c r="AP555" s="255"/>
      <c r="AQ555" s="255"/>
      <c r="AR555" s="255"/>
      <c r="AS555" s="255"/>
      <c r="AT555" s="255"/>
      <c r="AU555" s="255"/>
      <c r="AV555" s="255"/>
      <c r="AW555" s="255"/>
      <c r="AX555" s="210"/>
      <c r="AY555" s="236" cm="1">
        <f t="array" ref="AY555">INDEX(Use, $AD555, 4)</f>
        <v>7</v>
      </c>
      <c r="AZ555" s="236">
        <f t="shared" si="567"/>
        <v>32</v>
      </c>
      <c r="BA555" s="236">
        <f t="shared" si="592"/>
        <v>13</v>
      </c>
      <c r="BB555" s="236">
        <f t="shared" si="593"/>
        <v>0</v>
      </c>
      <c r="BC555" s="252" cm="1">
        <f t="array" ref="BC555">K555/IF($L555&gt;0, INDEX($AO$23:$AU$77, $L555+20, $AD555), 1)</f>
        <v>0</v>
      </c>
      <c r="BD555" s="237">
        <f t="shared" si="568"/>
        <v>0</v>
      </c>
      <c r="BE555" s="236">
        <v>35</v>
      </c>
      <c r="BF555" s="237">
        <f t="shared" si="569"/>
        <v>52.55</v>
      </c>
      <c r="BG555" s="253">
        <f t="shared" si="570"/>
        <v>2.7676728869374316</v>
      </c>
      <c r="BH555" s="253" cm="1">
        <f t="array" ref="BH555">$BC555 * SUMPRODUCT(INDEX($AL$77:$AN$82,,$AE555),INDEX($AO$77:$AU$82,,$AD555), N($AK$77:$AK$82&gt;$AI555)) / BG555 / 1000</f>
        <v>0</v>
      </c>
      <c r="BI555" s="250">
        <f t="shared" si="594"/>
        <v>30</v>
      </c>
      <c r="BJ555" s="237">
        <f t="shared" si="571"/>
        <v>46.033333333333331</v>
      </c>
      <c r="BK555" s="253">
        <f t="shared" si="572"/>
        <v>3.2297395388556791</v>
      </c>
      <c r="BL555" s="253" cm="1">
        <f t="array" ref="BL555">$BC555 * IF($AD555&lt;=2,
SUMPRODUCT(INDEX($AL$72:$AN$76,,$AE555), INDEX($AO$72:$AU$76,,$AD555), 1 / ($AV$72:$AV$76*BK555 + (1-$AV$72:$AV$76)*BG555), N($AK$72:$AK$76&gt;$AI555)),
SUMPRODUCT(INDEX($AL$67:$AN$76,,$AE555), INDEX($AO$67:$AU$76,,$AD555), 1 / ($AW$67:$AW$76*BK555 + (1-$AW$67:$AW$76)*BG555), N($AK$67:$AK$76&gt;$AI555))
) / 1000</f>
        <v>0</v>
      </c>
      <c r="BM555" s="250">
        <f t="shared" si="595"/>
        <v>25</v>
      </c>
      <c r="BN555" s="237">
        <f t="shared" si="573"/>
        <v>39.516666666666666</v>
      </c>
      <c r="BO555" s="253">
        <f t="shared" si="574"/>
        <v>3.877011788826243</v>
      </c>
      <c r="BP555" s="253" cm="1">
        <f t="array" ref="BP555">$BC555 * IF($AD555&lt;=2,
SUMPRODUCT(INDEX($AL$67:$AN$71,,$AE555), INDEX($AO$67:$AU$71,,$AD555), 1 / ($AV$67:$AV$71*BO555 + (1-$AV$67:$AV$71)*BK555), N($AK$67:$AK$71&gt;$AI555)),
SUMPRODUCT(INDEX($AL$57:$AN$66,,$AE555), INDEX($AO$57:$AU$66,,$AD555), 1 / ($AW$57:$AW$66*BO555 + (1-$AW$57:$AW$66)*BK555), N($AK$57:$AK$66&gt;$AI555))
) / 1000</f>
        <v>0</v>
      </c>
      <c r="BQ555" s="250">
        <f t="shared" si="596"/>
        <v>20</v>
      </c>
      <c r="BR555" s="237">
        <f t="shared" si="575"/>
        <v>33</v>
      </c>
      <c r="BS555" s="253">
        <f t="shared" si="576"/>
        <v>4.8487499999999999</v>
      </c>
      <c r="BT555" s="253" cm="1">
        <f t="array" ref="BT555">$BC555 * IF($AD555&lt;=2,
SUMPRODUCT(INDEX($AL$62:$AN$66,,$AE555), INDEX($AO$62:$AU$66,,$AD555), 1 / ($AV$62:$AV$66*BS555 + (1-$AV$62:$AV$66)*BO555), N($AK$62:$AK$66&gt;$AI555)),
SUMPRODUCT(INDEX($AL$47:$AN$56,,$AE555), INDEX($AO$47:$AU$56,,$AD555), 1 / ($AW$47:$AW$56*BS555 + (1-$AW$47:$AW$56)*BO555), N($AK$47:$AK$56&gt;$AI555))
) / 1000</f>
        <v>0</v>
      </c>
      <c r="BU555" s="253" cm="1">
        <f t="array" ref="BU555">$BC555 * IF($AD555&lt;=2,
SUMPRODUCT(INDEX($AL$23:$AN$61,,$AE555), INDEX($AO$23:$AU$61,,$AD555), 1 / ($AV$23:$AV$61*BS555), N($AK$23:$AK$61&gt;$AI555)),
SUMPRODUCT(INDEX($AL$23:$AN$46,,$AE555), INDEX($AO$23:$AU$46,,$AD555), 1 / ($AW$23:$AW$46*BS555), N($AK$23:$AK$46&gt;$AI555))
) / 1000</f>
        <v>0</v>
      </c>
      <c r="BV555" s="237">
        <f t="shared" si="577"/>
        <v>0</v>
      </c>
      <c r="BW555" s="210"/>
      <c r="BX555" s="237">
        <f t="shared" si="578"/>
        <v>0</v>
      </c>
      <c r="BY555" s="236">
        <v>35</v>
      </c>
      <c r="BZ555" s="237">
        <f t="shared" si="579"/>
        <v>48</v>
      </c>
      <c r="CA555" s="253">
        <f t="shared" si="580"/>
        <v>3.0748170731707316</v>
      </c>
      <c r="CB555" s="253" cm="1">
        <f t="array" ref="CB555">$BC555 * SUMPRODUCT(INDEX($AL$77:$AN$82,,$AE555),INDEX($AO$77:$AU$82,,$AD555), N($AK$77:$AK$82&gt;$AI555)) / CA555 / 1000</f>
        <v>0</v>
      </c>
      <c r="CC555" s="250">
        <f t="shared" si="597"/>
        <v>30</v>
      </c>
      <c r="CD555" s="237">
        <f t="shared" si="581"/>
        <v>43</v>
      </c>
      <c r="CE555" s="253">
        <f t="shared" si="582"/>
        <v>3.5018750000000001</v>
      </c>
      <c r="CF555" s="253" cm="1">
        <f t="array" ref="CF555">$BC555 * IF($AD555&lt;=2,
SUMPRODUCT(INDEX($AL$72:$AN$76,,$AE555), INDEX($AO$72:$AU$76,,$AD555), 1 / ($AV$72:$AV$76*CE555 + (1-$AV$72:$AV$76)*CA555), N($AK$72:$AK$76&gt;$AI555)),
SUMPRODUCT(INDEX($AL$67:$AN$76,,$AE555), INDEX($AO$67:$AU$76,,$AD555), 1 / ($AW$67:$AW$76*CE555 + (1-$AW$67:$AW$76)*CA555), N($AK$67:$AK$76&gt;$AI555))
) / 1000</f>
        <v>0</v>
      </c>
      <c r="CG555" s="250">
        <f t="shared" si="598"/>
        <v>25</v>
      </c>
      <c r="CH555" s="237">
        <f t="shared" si="583"/>
        <v>38</v>
      </c>
      <c r="CI555" s="253">
        <f t="shared" si="584"/>
        <v>4.0666935483870965</v>
      </c>
      <c r="CJ555" s="253" cm="1">
        <f t="array" ref="CJ555">$BC555 * IF($AD555&lt;=2,
SUMPRODUCT(INDEX($AL$67:$AN$71,,$AE555), INDEX($AO$67:$AU$71,,$AD555), 1 / ($AV$67:$AV$71*CI555 + (1-$AV$67:$AV$71)*CE555), N($AK$67:$AK$71&gt;$AI555)),
SUMPRODUCT(INDEX($AL$57:$AN$66,,$AE555), INDEX($AO$57:$AU$66,,$AD555), 1 / ($AW$57:$AW$66*CI555 + (1-$AW$57:$AW$66)*CE555), N($AK$57:$AK$66&gt;$AI555))
) / 1000</f>
        <v>0</v>
      </c>
      <c r="CK555" s="250">
        <f t="shared" si="599"/>
        <v>20</v>
      </c>
      <c r="CL555" s="237">
        <f t="shared" si="585"/>
        <v>33</v>
      </c>
      <c r="CM555" s="253">
        <f t="shared" si="586"/>
        <v>4.8487499999999999</v>
      </c>
      <c r="CN555" s="253" cm="1">
        <f t="array" ref="CN555">$BC555 * IF($AD555&lt;=2,
SUMPRODUCT(INDEX($AL$62:$AN$66,,$AE555), INDEX($AO$62:$AU$66,,$AD555), 1 / ($AV$62:$AV$66*CM555 + (1-$AV$62:$AV$66)*CI555), N($AK$62:$AK$66&gt;$AI555)),
SUMPRODUCT(INDEX($AL$47:$AN$56,,$AE555), INDEX($AO$47:$AU$56,,$AD555), 1 / ($AW$47:$AW$56*CM555 + (1-$AW$47:$AW$56)*CI555), N($AK$47:$AK$56&gt;$AI555))
) / 1000</f>
        <v>0</v>
      </c>
      <c r="CO555" s="253" cm="1">
        <f t="array" ref="CO555">$BC555 * IF($AD555&lt;=2,
SUMPRODUCT(INDEX($AL$23:$AN$61,,$AE555), INDEX($AO$23:$AU$61,,$AD555), 1 / ($AV$23:$AV$61*CM555), N($AK$23:$AK$61&gt;$AI555)),
SUMPRODUCT(INDEX($AL$23:$AN$46,,$AE555), INDEX($AO$23:$AU$46,,$AD555), 1 / ($AW$23:$AW$46*CM555), N($AK$23:$AK$46&gt;$AI555))
) / 1000</f>
        <v>0</v>
      </c>
      <c r="CP555" s="237">
        <f t="shared" si="587"/>
        <v>0</v>
      </c>
      <c r="CQ555" s="210"/>
    </row>
    <row r="556" spans="1:95" s="76" customFormat="1" ht="14.25" customHeight="1" x14ac:dyDescent="0.2">
      <c r="A556" s="238" t="b">
        <f t="shared" si="591"/>
        <v>0</v>
      </c>
      <c r="B556" s="239">
        <v>534</v>
      </c>
      <c r="C556" s="258"/>
      <c r="D556" s="258"/>
      <c r="E556" s="240"/>
      <c r="F556" s="241" t="str">
        <f>IF(ISBLANK(E556), "", VLOOKUP(E556, Z!$A$2:$C$4127, 3, FALSE))</f>
        <v/>
      </c>
      <c r="G556" s="242"/>
      <c r="H556" s="242"/>
      <c r="I556" s="243"/>
      <c r="J556" s="244"/>
      <c r="K556" s="259"/>
      <c r="L556" s="260"/>
      <c r="M556" s="247" t="str" cm="1">
        <f t="array" ref="M556">IF($K556&gt;0, INDEX(Clean,1+AG556,$C$1), "")</f>
        <v/>
      </c>
      <c r="N556" s="245"/>
      <c r="O556" s="245"/>
      <c r="P556" s="246"/>
      <c r="Q556" s="248">
        <f t="shared" si="564"/>
        <v>0</v>
      </c>
      <c r="R556" s="247" t="str" cm="1">
        <f t="array" ref="R556">IF($K556&gt;0, INDEX(Clean,1+AH556,$C$1), "")</f>
        <v/>
      </c>
      <c r="S556" s="245"/>
      <c r="T556" s="245"/>
      <c r="U556" s="246"/>
      <c r="V556" s="248">
        <f t="shared" si="565"/>
        <v>0</v>
      </c>
      <c r="W556" s="261"/>
      <c r="X556" s="258"/>
      <c r="Y556" s="240"/>
      <c r="Z556" s="241" t="str">
        <f>IF(ISBLANK(Y556), "", VLOOKUP(Y556, Z!$A$2:$C$4127, 3, FALSE))</f>
        <v/>
      </c>
      <c r="AA556" s="262"/>
      <c r="AB556" s="249">
        <f t="shared" si="600"/>
        <v>0</v>
      </c>
      <c r="AC556" s="210"/>
      <c r="AD556" s="236">
        <f t="shared" si="588"/>
        <v>1</v>
      </c>
      <c r="AE556" s="236">
        <f t="shared" si="589"/>
        <v>1</v>
      </c>
      <c r="AF556" s="236">
        <f t="shared" si="590"/>
        <v>0</v>
      </c>
      <c r="AG556" s="236">
        <v>1</v>
      </c>
      <c r="AH556" s="236">
        <v>0</v>
      </c>
      <c r="AI556" s="236">
        <f t="shared" si="566"/>
        <v>-100</v>
      </c>
      <c r="AJ556" s="210"/>
      <c r="AK556" s="254"/>
      <c r="AL556" s="254"/>
      <c r="AM556" s="255"/>
      <c r="AN556" s="255"/>
      <c r="AO556" s="255"/>
      <c r="AP556" s="255"/>
      <c r="AQ556" s="255"/>
      <c r="AR556" s="255"/>
      <c r="AS556" s="255"/>
      <c r="AT556" s="255"/>
      <c r="AU556" s="255"/>
      <c r="AV556" s="255"/>
      <c r="AW556" s="255"/>
      <c r="AX556" s="210"/>
      <c r="AY556" s="236" cm="1">
        <f t="array" ref="AY556">INDEX(Use, $AD556, 4)</f>
        <v>7</v>
      </c>
      <c r="AZ556" s="236">
        <f t="shared" si="567"/>
        <v>32</v>
      </c>
      <c r="BA556" s="236">
        <f t="shared" si="592"/>
        <v>13</v>
      </c>
      <c r="BB556" s="236">
        <f t="shared" si="593"/>
        <v>0</v>
      </c>
      <c r="BC556" s="252" cm="1">
        <f t="array" ref="BC556">K556/IF($L556&gt;0, INDEX($AO$23:$AU$77, $L556+20, $AD556), 1)</f>
        <v>0</v>
      </c>
      <c r="BD556" s="237">
        <f t="shared" si="568"/>
        <v>0</v>
      </c>
      <c r="BE556" s="236">
        <v>35</v>
      </c>
      <c r="BF556" s="237">
        <f t="shared" si="569"/>
        <v>52.55</v>
      </c>
      <c r="BG556" s="253">
        <f t="shared" si="570"/>
        <v>2.7676728869374316</v>
      </c>
      <c r="BH556" s="253" cm="1">
        <f t="array" ref="BH556">$BC556 * SUMPRODUCT(INDEX($AL$77:$AN$82,,$AE556),INDEX($AO$77:$AU$82,,$AD556), N($AK$77:$AK$82&gt;$AI556)) / BG556 / 1000</f>
        <v>0</v>
      </c>
      <c r="BI556" s="250">
        <f t="shared" si="594"/>
        <v>30</v>
      </c>
      <c r="BJ556" s="237">
        <f t="shared" si="571"/>
        <v>46.033333333333331</v>
      </c>
      <c r="BK556" s="253">
        <f t="shared" si="572"/>
        <v>3.2297395388556791</v>
      </c>
      <c r="BL556" s="253" cm="1">
        <f t="array" ref="BL556">$BC556 * IF($AD556&lt;=2,
SUMPRODUCT(INDEX($AL$72:$AN$76,,$AE556), INDEX($AO$72:$AU$76,,$AD556), 1 / ($AV$72:$AV$76*BK556 + (1-$AV$72:$AV$76)*BG556), N($AK$72:$AK$76&gt;$AI556)),
SUMPRODUCT(INDEX($AL$67:$AN$76,,$AE556), INDEX($AO$67:$AU$76,,$AD556), 1 / ($AW$67:$AW$76*BK556 + (1-$AW$67:$AW$76)*BG556), N($AK$67:$AK$76&gt;$AI556))
) / 1000</f>
        <v>0</v>
      </c>
      <c r="BM556" s="250">
        <f t="shared" si="595"/>
        <v>25</v>
      </c>
      <c r="BN556" s="237">
        <f t="shared" si="573"/>
        <v>39.516666666666666</v>
      </c>
      <c r="BO556" s="253">
        <f t="shared" si="574"/>
        <v>3.877011788826243</v>
      </c>
      <c r="BP556" s="253" cm="1">
        <f t="array" ref="BP556">$BC556 * IF($AD556&lt;=2,
SUMPRODUCT(INDEX($AL$67:$AN$71,,$AE556), INDEX($AO$67:$AU$71,,$AD556), 1 / ($AV$67:$AV$71*BO556 + (1-$AV$67:$AV$71)*BK556), N($AK$67:$AK$71&gt;$AI556)),
SUMPRODUCT(INDEX($AL$57:$AN$66,,$AE556), INDEX($AO$57:$AU$66,,$AD556), 1 / ($AW$57:$AW$66*BO556 + (1-$AW$57:$AW$66)*BK556), N($AK$57:$AK$66&gt;$AI556))
) / 1000</f>
        <v>0</v>
      </c>
      <c r="BQ556" s="250">
        <f t="shared" si="596"/>
        <v>20</v>
      </c>
      <c r="BR556" s="237">
        <f t="shared" si="575"/>
        <v>33</v>
      </c>
      <c r="BS556" s="253">
        <f t="shared" si="576"/>
        <v>4.8487499999999999</v>
      </c>
      <c r="BT556" s="253" cm="1">
        <f t="array" ref="BT556">$BC556 * IF($AD556&lt;=2,
SUMPRODUCT(INDEX($AL$62:$AN$66,,$AE556), INDEX($AO$62:$AU$66,,$AD556), 1 / ($AV$62:$AV$66*BS556 + (1-$AV$62:$AV$66)*BO556), N($AK$62:$AK$66&gt;$AI556)),
SUMPRODUCT(INDEX($AL$47:$AN$56,,$AE556), INDEX($AO$47:$AU$56,,$AD556), 1 / ($AW$47:$AW$56*BS556 + (1-$AW$47:$AW$56)*BO556), N($AK$47:$AK$56&gt;$AI556))
) / 1000</f>
        <v>0</v>
      </c>
      <c r="BU556" s="253" cm="1">
        <f t="array" ref="BU556">$BC556 * IF($AD556&lt;=2,
SUMPRODUCT(INDEX($AL$23:$AN$61,,$AE556), INDEX($AO$23:$AU$61,,$AD556), 1 / ($AV$23:$AV$61*BS556), N($AK$23:$AK$61&gt;$AI556)),
SUMPRODUCT(INDEX($AL$23:$AN$46,,$AE556), INDEX($AO$23:$AU$46,,$AD556), 1 / ($AW$23:$AW$46*BS556), N($AK$23:$AK$46&gt;$AI556))
) / 1000</f>
        <v>0</v>
      </c>
      <c r="BV556" s="237">
        <f t="shared" si="577"/>
        <v>0</v>
      </c>
      <c r="BW556" s="210"/>
      <c r="BX556" s="237">
        <f t="shared" si="578"/>
        <v>0</v>
      </c>
      <c r="BY556" s="236">
        <v>35</v>
      </c>
      <c r="BZ556" s="237">
        <f t="shared" si="579"/>
        <v>48</v>
      </c>
      <c r="CA556" s="253">
        <f t="shared" si="580"/>
        <v>3.0748170731707316</v>
      </c>
      <c r="CB556" s="253" cm="1">
        <f t="array" ref="CB556">$BC556 * SUMPRODUCT(INDEX($AL$77:$AN$82,,$AE556),INDEX($AO$77:$AU$82,,$AD556), N($AK$77:$AK$82&gt;$AI556)) / CA556 / 1000</f>
        <v>0</v>
      </c>
      <c r="CC556" s="250">
        <f t="shared" si="597"/>
        <v>30</v>
      </c>
      <c r="CD556" s="237">
        <f t="shared" si="581"/>
        <v>43</v>
      </c>
      <c r="CE556" s="253">
        <f t="shared" si="582"/>
        <v>3.5018750000000001</v>
      </c>
      <c r="CF556" s="253" cm="1">
        <f t="array" ref="CF556">$BC556 * IF($AD556&lt;=2,
SUMPRODUCT(INDEX($AL$72:$AN$76,,$AE556), INDEX($AO$72:$AU$76,,$AD556), 1 / ($AV$72:$AV$76*CE556 + (1-$AV$72:$AV$76)*CA556), N($AK$72:$AK$76&gt;$AI556)),
SUMPRODUCT(INDEX($AL$67:$AN$76,,$AE556), INDEX($AO$67:$AU$76,,$AD556), 1 / ($AW$67:$AW$76*CE556 + (1-$AW$67:$AW$76)*CA556), N($AK$67:$AK$76&gt;$AI556))
) / 1000</f>
        <v>0</v>
      </c>
      <c r="CG556" s="250">
        <f t="shared" si="598"/>
        <v>25</v>
      </c>
      <c r="CH556" s="237">
        <f t="shared" si="583"/>
        <v>38</v>
      </c>
      <c r="CI556" s="253">
        <f t="shared" si="584"/>
        <v>4.0666935483870965</v>
      </c>
      <c r="CJ556" s="253" cm="1">
        <f t="array" ref="CJ556">$BC556 * IF($AD556&lt;=2,
SUMPRODUCT(INDEX($AL$67:$AN$71,,$AE556), INDEX($AO$67:$AU$71,,$AD556), 1 / ($AV$67:$AV$71*CI556 + (1-$AV$67:$AV$71)*CE556), N($AK$67:$AK$71&gt;$AI556)),
SUMPRODUCT(INDEX($AL$57:$AN$66,,$AE556), INDEX($AO$57:$AU$66,,$AD556), 1 / ($AW$57:$AW$66*CI556 + (1-$AW$57:$AW$66)*CE556), N($AK$57:$AK$66&gt;$AI556))
) / 1000</f>
        <v>0</v>
      </c>
      <c r="CK556" s="250">
        <f t="shared" si="599"/>
        <v>20</v>
      </c>
      <c r="CL556" s="237">
        <f t="shared" si="585"/>
        <v>33</v>
      </c>
      <c r="CM556" s="253">
        <f t="shared" si="586"/>
        <v>4.8487499999999999</v>
      </c>
      <c r="CN556" s="253" cm="1">
        <f t="array" ref="CN556">$BC556 * IF($AD556&lt;=2,
SUMPRODUCT(INDEX($AL$62:$AN$66,,$AE556), INDEX($AO$62:$AU$66,,$AD556), 1 / ($AV$62:$AV$66*CM556 + (1-$AV$62:$AV$66)*CI556), N($AK$62:$AK$66&gt;$AI556)),
SUMPRODUCT(INDEX($AL$47:$AN$56,,$AE556), INDEX($AO$47:$AU$56,,$AD556), 1 / ($AW$47:$AW$56*CM556 + (1-$AW$47:$AW$56)*CI556), N($AK$47:$AK$56&gt;$AI556))
) / 1000</f>
        <v>0</v>
      </c>
      <c r="CO556" s="253" cm="1">
        <f t="array" ref="CO556">$BC556 * IF($AD556&lt;=2,
SUMPRODUCT(INDEX($AL$23:$AN$61,,$AE556), INDEX($AO$23:$AU$61,,$AD556), 1 / ($AV$23:$AV$61*CM556), N($AK$23:$AK$61&gt;$AI556)),
SUMPRODUCT(INDEX($AL$23:$AN$46,,$AE556), INDEX($AO$23:$AU$46,,$AD556), 1 / ($AW$23:$AW$46*CM556), N($AK$23:$AK$46&gt;$AI556))
) / 1000</f>
        <v>0</v>
      </c>
      <c r="CP556" s="237">
        <f t="shared" si="587"/>
        <v>0</v>
      </c>
      <c r="CQ556" s="210"/>
    </row>
    <row r="557" spans="1:95" s="76" customFormat="1" ht="14.25" customHeight="1" x14ac:dyDescent="0.2">
      <c r="A557" s="238" t="b">
        <f t="shared" si="591"/>
        <v>0</v>
      </c>
      <c r="B557" s="239">
        <v>535</v>
      </c>
      <c r="C557" s="258"/>
      <c r="D557" s="258"/>
      <c r="E557" s="240"/>
      <c r="F557" s="241" t="str">
        <f>IF(ISBLANK(E557), "", VLOOKUP(E557, Z!$A$2:$C$4127, 3, FALSE))</f>
        <v/>
      </c>
      <c r="G557" s="242"/>
      <c r="H557" s="242"/>
      <c r="I557" s="243"/>
      <c r="J557" s="244"/>
      <c r="K557" s="259"/>
      <c r="L557" s="260"/>
      <c r="M557" s="247" t="str" cm="1">
        <f t="array" ref="M557">IF($K557&gt;0, INDEX(Clean,1+AG557,$C$1), "")</f>
        <v/>
      </c>
      <c r="N557" s="245"/>
      <c r="O557" s="245"/>
      <c r="P557" s="246"/>
      <c r="Q557" s="248">
        <f t="shared" si="564"/>
        <v>0</v>
      </c>
      <c r="R557" s="247" t="str" cm="1">
        <f t="array" ref="R557">IF($K557&gt;0, INDEX(Clean,1+AH557,$C$1), "")</f>
        <v/>
      </c>
      <c r="S557" s="245"/>
      <c r="T557" s="245"/>
      <c r="U557" s="246"/>
      <c r="V557" s="248">
        <f t="shared" si="565"/>
        <v>0</v>
      </c>
      <c r="W557" s="261"/>
      <c r="X557" s="258"/>
      <c r="Y557" s="240"/>
      <c r="Z557" s="241" t="str">
        <f>IF(ISBLANK(Y557), "", VLOOKUP(Y557, Z!$A$2:$C$4127, 3, FALSE))</f>
        <v/>
      </c>
      <c r="AA557" s="262"/>
      <c r="AB557" s="249">
        <f t="shared" si="600"/>
        <v>0</v>
      </c>
      <c r="AC557" s="210"/>
      <c r="AD557" s="236">
        <f t="shared" si="588"/>
        <v>1</v>
      </c>
      <c r="AE557" s="236">
        <f t="shared" si="589"/>
        <v>1</v>
      </c>
      <c r="AF557" s="236">
        <f t="shared" si="590"/>
        <v>0</v>
      </c>
      <c r="AG557" s="236">
        <v>1</v>
      </c>
      <c r="AH557" s="236">
        <v>0</v>
      </c>
      <c r="AI557" s="236">
        <f t="shared" si="566"/>
        <v>-100</v>
      </c>
      <c r="AJ557" s="210"/>
      <c r="AK557" s="254"/>
      <c r="AL557" s="254"/>
      <c r="AM557" s="255"/>
      <c r="AN557" s="255"/>
      <c r="AO557" s="255"/>
      <c r="AP557" s="255"/>
      <c r="AQ557" s="255"/>
      <c r="AR557" s="255"/>
      <c r="AS557" s="255"/>
      <c r="AT557" s="255"/>
      <c r="AU557" s="255"/>
      <c r="AV557" s="255"/>
      <c r="AW557" s="255"/>
      <c r="AX557" s="210"/>
      <c r="AY557" s="236" cm="1">
        <f t="array" ref="AY557">INDEX(Use, $AD557, 4)</f>
        <v>7</v>
      </c>
      <c r="AZ557" s="236">
        <f t="shared" si="567"/>
        <v>32</v>
      </c>
      <c r="BA557" s="236">
        <f t="shared" si="592"/>
        <v>13</v>
      </c>
      <c r="BB557" s="236">
        <f t="shared" si="593"/>
        <v>0</v>
      </c>
      <c r="BC557" s="252" cm="1">
        <f t="array" ref="BC557">K557/IF($L557&gt;0, INDEX($AO$23:$AU$77, $L557+20, $AD557), 1)</f>
        <v>0</v>
      </c>
      <c r="BD557" s="237">
        <f t="shared" si="568"/>
        <v>0</v>
      </c>
      <c r="BE557" s="236">
        <v>35</v>
      </c>
      <c r="BF557" s="237">
        <f t="shared" si="569"/>
        <v>52.55</v>
      </c>
      <c r="BG557" s="253">
        <f t="shared" si="570"/>
        <v>2.7676728869374316</v>
      </c>
      <c r="BH557" s="253" cm="1">
        <f t="array" ref="BH557">$BC557 * SUMPRODUCT(INDEX($AL$77:$AN$82,,$AE557),INDEX($AO$77:$AU$82,,$AD557), N($AK$77:$AK$82&gt;$AI557)) / BG557 / 1000</f>
        <v>0</v>
      </c>
      <c r="BI557" s="250">
        <f t="shared" si="594"/>
        <v>30</v>
      </c>
      <c r="BJ557" s="237">
        <f t="shared" si="571"/>
        <v>46.033333333333331</v>
      </c>
      <c r="BK557" s="253">
        <f t="shared" si="572"/>
        <v>3.2297395388556791</v>
      </c>
      <c r="BL557" s="253" cm="1">
        <f t="array" ref="BL557">$BC557 * IF($AD557&lt;=2,
SUMPRODUCT(INDEX($AL$72:$AN$76,,$AE557), INDEX($AO$72:$AU$76,,$AD557), 1 / ($AV$72:$AV$76*BK557 + (1-$AV$72:$AV$76)*BG557), N($AK$72:$AK$76&gt;$AI557)),
SUMPRODUCT(INDEX($AL$67:$AN$76,,$AE557), INDEX($AO$67:$AU$76,,$AD557), 1 / ($AW$67:$AW$76*BK557 + (1-$AW$67:$AW$76)*BG557), N($AK$67:$AK$76&gt;$AI557))
) / 1000</f>
        <v>0</v>
      </c>
      <c r="BM557" s="250">
        <f t="shared" si="595"/>
        <v>25</v>
      </c>
      <c r="BN557" s="237">
        <f t="shared" si="573"/>
        <v>39.516666666666666</v>
      </c>
      <c r="BO557" s="253">
        <f t="shared" si="574"/>
        <v>3.877011788826243</v>
      </c>
      <c r="BP557" s="253" cm="1">
        <f t="array" ref="BP557">$BC557 * IF($AD557&lt;=2,
SUMPRODUCT(INDEX($AL$67:$AN$71,,$AE557), INDEX($AO$67:$AU$71,,$AD557), 1 / ($AV$67:$AV$71*BO557 + (1-$AV$67:$AV$71)*BK557), N($AK$67:$AK$71&gt;$AI557)),
SUMPRODUCT(INDEX($AL$57:$AN$66,,$AE557), INDEX($AO$57:$AU$66,,$AD557), 1 / ($AW$57:$AW$66*BO557 + (1-$AW$57:$AW$66)*BK557), N($AK$57:$AK$66&gt;$AI557))
) / 1000</f>
        <v>0</v>
      </c>
      <c r="BQ557" s="250">
        <f t="shared" si="596"/>
        <v>20</v>
      </c>
      <c r="BR557" s="237">
        <f t="shared" si="575"/>
        <v>33</v>
      </c>
      <c r="BS557" s="253">
        <f t="shared" si="576"/>
        <v>4.8487499999999999</v>
      </c>
      <c r="BT557" s="253" cm="1">
        <f t="array" ref="BT557">$BC557 * IF($AD557&lt;=2,
SUMPRODUCT(INDEX($AL$62:$AN$66,,$AE557), INDEX($AO$62:$AU$66,,$AD557), 1 / ($AV$62:$AV$66*BS557 + (1-$AV$62:$AV$66)*BO557), N($AK$62:$AK$66&gt;$AI557)),
SUMPRODUCT(INDEX($AL$47:$AN$56,,$AE557), INDEX($AO$47:$AU$56,,$AD557), 1 / ($AW$47:$AW$56*BS557 + (1-$AW$47:$AW$56)*BO557), N($AK$47:$AK$56&gt;$AI557))
) / 1000</f>
        <v>0</v>
      </c>
      <c r="BU557" s="253" cm="1">
        <f t="array" ref="BU557">$BC557 * IF($AD557&lt;=2,
SUMPRODUCT(INDEX($AL$23:$AN$61,,$AE557), INDEX($AO$23:$AU$61,,$AD557), 1 / ($AV$23:$AV$61*BS557), N($AK$23:$AK$61&gt;$AI557)),
SUMPRODUCT(INDEX($AL$23:$AN$46,,$AE557), INDEX($AO$23:$AU$46,,$AD557), 1 / ($AW$23:$AW$46*BS557), N($AK$23:$AK$46&gt;$AI557))
) / 1000</f>
        <v>0</v>
      </c>
      <c r="BV557" s="237">
        <f t="shared" si="577"/>
        <v>0</v>
      </c>
      <c r="BW557" s="210"/>
      <c r="BX557" s="237">
        <f t="shared" si="578"/>
        <v>0</v>
      </c>
      <c r="BY557" s="236">
        <v>35</v>
      </c>
      <c r="BZ557" s="237">
        <f t="shared" si="579"/>
        <v>48</v>
      </c>
      <c r="CA557" s="253">
        <f t="shared" si="580"/>
        <v>3.0748170731707316</v>
      </c>
      <c r="CB557" s="253" cm="1">
        <f t="array" ref="CB557">$BC557 * SUMPRODUCT(INDEX($AL$77:$AN$82,,$AE557),INDEX($AO$77:$AU$82,,$AD557), N($AK$77:$AK$82&gt;$AI557)) / CA557 / 1000</f>
        <v>0</v>
      </c>
      <c r="CC557" s="250">
        <f t="shared" si="597"/>
        <v>30</v>
      </c>
      <c r="CD557" s="237">
        <f t="shared" si="581"/>
        <v>43</v>
      </c>
      <c r="CE557" s="253">
        <f t="shared" si="582"/>
        <v>3.5018750000000001</v>
      </c>
      <c r="CF557" s="253" cm="1">
        <f t="array" ref="CF557">$BC557 * IF($AD557&lt;=2,
SUMPRODUCT(INDEX($AL$72:$AN$76,,$AE557), INDEX($AO$72:$AU$76,,$AD557), 1 / ($AV$72:$AV$76*CE557 + (1-$AV$72:$AV$76)*CA557), N($AK$72:$AK$76&gt;$AI557)),
SUMPRODUCT(INDEX($AL$67:$AN$76,,$AE557), INDEX($AO$67:$AU$76,,$AD557), 1 / ($AW$67:$AW$76*CE557 + (1-$AW$67:$AW$76)*CA557), N($AK$67:$AK$76&gt;$AI557))
) / 1000</f>
        <v>0</v>
      </c>
      <c r="CG557" s="250">
        <f t="shared" si="598"/>
        <v>25</v>
      </c>
      <c r="CH557" s="237">
        <f t="shared" si="583"/>
        <v>38</v>
      </c>
      <c r="CI557" s="253">
        <f t="shared" si="584"/>
        <v>4.0666935483870965</v>
      </c>
      <c r="CJ557" s="253" cm="1">
        <f t="array" ref="CJ557">$BC557 * IF($AD557&lt;=2,
SUMPRODUCT(INDEX($AL$67:$AN$71,,$AE557), INDEX($AO$67:$AU$71,,$AD557), 1 / ($AV$67:$AV$71*CI557 + (1-$AV$67:$AV$71)*CE557), N($AK$67:$AK$71&gt;$AI557)),
SUMPRODUCT(INDEX($AL$57:$AN$66,,$AE557), INDEX($AO$57:$AU$66,,$AD557), 1 / ($AW$57:$AW$66*CI557 + (1-$AW$57:$AW$66)*CE557), N($AK$57:$AK$66&gt;$AI557))
) / 1000</f>
        <v>0</v>
      </c>
      <c r="CK557" s="250">
        <f t="shared" si="599"/>
        <v>20</v>
      </c>
      <c r="CL557" s="237">
        <f t="shared" si="585"/>
        <v>33</v>
      </c>
      <c r="CM557" s="253">
        <f t="shared" si="586"/>
        <v>4.8487499999999999</v>
      </c>
      <c r="CN557" s="253" cm="1">
        <f t="array" ref="CN557">$BC557 * IF($AD557&lt;=2,
SUMPRODUCT(INDEX($AL$62:$AN$66,,$AE557), INDEX($AO$62:$AU$66,,$AD557), 1 / ($AV$62:$AV$66*CM557 + (1-$AV$62:$AV$66)*CI557), N($AK$62:$AK$66&gt;$AI557)),
SUMPRODUCT(INDEX($AL$47:$AN$56,,$AE557), INDEX($AO$47:$AU$56,,$AD557), 1 / ($AW$47:$AW$56*CM557 + (1-$AW$47:$AW$56)*CI557), N($AK$47:$AK$56&gt;$AI557))
) / 1000</f>
        <v>0</v>
      </c>
      <c r="CO557" s="253" cm="1">
        <f t="array" ref="CO557">$BC557 * IF($AD557&lt;=2,
SUMPRODUCT(INDEX($AL$23:$AN$61,,$AE557), INDEX($AO$23:$AU$61,,$AD557), 1 / ($AV$23:$AV$61*CM557), N($AK$23:$AK$61&gt;$AI557)),
SUMPRODUCT(INDEX($AL$23:$AN$46,,$AE557), INDEX($AO$23:$AU$46,,$AD557), 1 / ($AW$23:$AW$46*CM557), N($AK$23:$AK$46&gt;$AI557))
) / 1000</f>
        <v>0</v>
      </c>
      <c r="CP557" s="237">
        <f t="shared" si="587"/>
        <v>0</v>
      </c>
      <c r="CQ557" s="210"/>
    </row>
    <row r="558" spans="1:95" s="76" customFormat="1" ht="14.25" customHeight="1" x14ac:dyDescent="0.2">
      <c r="A558" s="238" t="b">
        <f t="shared" si="591"/>
        <v>0</v>
      </c>
      <c r="B558" s="239">
        <v>536</v>
      </c>
      <c r="C558" s="258"/>
      <c r="D558" s="258"/>
      <c r="E558" s="240"/>
      <c r="F558" s="241" t="str">
        <f>IF(ISBLANK(E558), "", VLOOKUP(E558, Z!$A$2:$C$4127, 3, FALSE))</f>
        <v/>
      </c>
      <c r="G558" s="242"/>
      <c r="H558" s="242"/>
      <c r="I558" s="243"/>
      <c r="J558" s="244"/>
      <c r="K558" s="259"/>
      <c r="L558" s="260"/>
      <c r="M558" s="247" t="str" cm="1">
        <f t="array" ref="M558">IF($K558&gt;0, INDEX(Clean,1+AG558,$C$1), "")</f>
        <v/>
      </c>
      <c r="N558" s="245"/>
      <c r="O558" s="245"/>
      <c r="P558" s="246"/>
      <c r="Q558" s="248">
        <f t="shared" si="564"/>
        <v>0</v>
      </c>
      <c r="R558" s="247" t="str" cm="1">
        <f t="array" ref="R558">IF($K558&gt;0, INDEX(Clean,1+AH558,$C$1), "")</f>
        <v/>
      </c>
      <c r="S558" s="245"/>
      <c r="T558" s="245"/>
      <c r="U558" s="246"/>
      <c r="V558" s="248">
        <f t="shared" si="565"/>
        <v>0</v>
      </c>
      <c r="W558" s="261"/>
      <c r="X558" s="258"/>
      <c r="Y558" s="240"/>
      <c r="Z558" s="241" t="str">
        <f>IF(ISBLANK(Y558), "", VLOOKUP(Y558, Z!$A$2:$C$4127, 3, FALSE))</f>
        <v/>
      </c>
      <c r="AA558" s="262"/>
      <c r="AB558" s="249">
        <f t="shared" si="600"/>
        <v>0</v>
      </c>
      <c r="AC558" s="210"/>
      <c r="AD558" s="236">
        <f t="shared" si="588"/>
        <v>1</v>
      </c>
      <c r="AE558" s="236">
        <f t="shared" si="589"/>
        <v>1</v>
      </c>
      <c r="AF558" s="236">
        <f t="shared" si="590"/>
        <v>0</v>
      </c>
      <c r="AG558" s="236">
        <v>1</v>
      </c>
      <c r="AH558" s="236">
        <v>0</v>
      </c>
      <c r="AI558" s="236">
        <f t="shared" si="566"/>
        <v>-100</v>
      </c>
      <c r="AJ558" s="210"/>
      <c r="AK558" s="254"/>
      <c r="AL558" s="254"/>
      <c r="AM558" s="255"/>
      <c r="AN558" s="255"/>
      <c r="AO558" s="255"/>
      <c r="AP558" s="255"/>
      <c r="AQ558" s="255"/>
      <c r="AR558" s="255"/>
      <c r="AS558" s="255"/>
      <c r="AT558" s="255"/>
      <c r="AU558" s="255"/>
      <c r="AV558" s="255"/>
      <c r="AW558" s="255"/>
      <c r="AX558" s="210"/>
      <c r="AY558" s="236" cm="1">
        <f t="array" ref="AY558">INDEX(Use, $AD558, 4)</f>
        <v>7</v>
      </c>
      <c r="AZ558" s="236">
        <f t="shared" si="567"/>
        <v>32</v>
      </c>
      <c r="BA558" s="236">
        <f t="shared" si="592"/>
        <v>13</v>
      </c>
      <c r="BB558" s="236">
        <f t="shared" si="593"/>
        <v>0</v>
      </c>
      <c r="BC558" s="252" cm="1">
        <f t="array" ref="BC558">K558/IF($L558&gt;0, INDEX($AO$23:$AU$77, $L558+20, $AD558), 1)</f>
        <v>0</v>
      </c>
      <c r="BD558" s="237">
        <f t="shared" si="568"/>
        <v>0</v>
      </c>
      <c r="BE558" s="236">
        <v>35</v>
      </c>
      <c r="BF558" s="237">
        <f t="shared" si="569"/>
        <v>52.55</v>
      </c>
      <c r="BG558" s="253">
        <f t="shared" si="570"/>
        <v>2.7676728869374316</v>
      </c>
      <c r="BH558" s="253" cm="1">
        <f t="array" ref="BH558">$BC558 * SUMPRODUCT(INDEX($AL$77:$AN$82,,$AE558),INDEX($AO$77:$AU$82,,$AD558), N($AK$77:$AK$82&gt;$AI558)) / BG558 / 1000</f>
        <v>0</v>
      </c>
      <c r="BI558" s="250">
        <f t="shared" si="594"/>
        <v>30</v>
      </c>
      <c r="BJ558" s="237">
        <f t="shared" si="571"/>
        <v>46.033333333333331</v>
      </c>
      <c r="BK558" s="253">
        <f t="shared" si="572"/>
        <v>3.2297395388556791</v>
      </c>
      <c r="BL558" s="253" cm="1">
        <f t="array" ref="BL558">$BC558 * IF($AD558&lt;=2,
SUMPRODUCT(INDEX($AL$72:$AN$76,,$AE558), INDEX($AO$72:$AU$76,,$AD558), 1 / ($AV$72:$AV$76*BK558 + (1-$AV$72:$AV$76)*BG558), N($AK$72:$AK$76&gt;$AI558)),
SUMPRODUCT(INDEX($AL$67:$AN$76,,$AE558), INDEX($AO$67:$AU$76,,$AD558), 1 / ($AW$67:$AW$76*BK558 + (1-$AW$67:$AW$76)*BG558), N($AK$67:$AK$76&gt;$AI558))
) / 1000</f>
        <v>0</v>
      </c>
      <c r="BM558" s="250">
        <f t="shared" si="595"/>
        <v>25</v>
      </c>
      <c r="BN558" s="237">
        <f t="shared" si="573"/>
        <v>39.516666666666666</v>
      </c>
      <c r="BO558" s="253">
        <f t="shared" si="574"/>
        <v>3.877011788826243</v>
      </c>
      <c r="BP558" s="253" cm="1">
        <f t="array" ref="BP558">$BC558 * IF($AD558&lt;=2,
SUMPRODUCT(INDEX($AL$67:$AN$71,,$AE558), INDEX($AO$67:$AU$71,,$AD558), 1 / ($AV$67:$AV$71*BO558 + (1-$AV$67:$AV$71)*BK558), N($AK$67:$AK$71&gt;$AI558)),
SUMPRODUCT(INDEX($AL$57:$AN$66,,$AE558), INDEX($AO$57:$AU$66,,$AD558), 1 / ($AW$57:$AW$66*BO558 + (1-$AW$57:$AW$66)*BK558), N($AK$57:$AK$66&gt;$AI558))
) / 1000</f>
        <v>0</v>
      </c>
      <c r="BQ558" s="250">
        <f t="shared" si="596"/>
        <v>20</v>
      </c>
      <c r="BR558" s="237">
        <f t="shared" si="575"/>
        <v>33</v>
      </c>
      <c r="BS558" s="253">
        <f t="shared" si="576"/>
        <v>4.8487499999999999</v>
      </c>
      <c r="BT558" s="253" cm="1">
        <f t="array" ref="BT558">$BC558 * IF($AD558&lt;=2,
SUMPRODUCT(INDEX($AL$62:$AN$66,,$AE558), INDEX($AO$62:$AU$66,,$AD558), 1 / ($AV$62:$AV$66*BS558 + (1-$AV$62:$AV$66)*BO558), N($AK$62:$AK$66&gt;$AI558)),
SUMPRODUCT(INDEX($AL$47:$AN$56,,$AE558), INDEX($AO$47:$AU$56,,$AD558), 1 / ($AW$47:$AW$56*BS558 + (1-$AW$47:$AW$56)*BO558), N($AK$47:$AK$56&gt;$AI558))
) / 1000</f>
        <v>0</v>
      </c>
      <c r="BU558" s="253" cm="1">
        <f t="array" ref="BU558">$BC558 * IF($AD558&lt;=2,
SUMPRODUCT(INDEX($AL$23:$AN$61,,$AE558), INDEX($AO$23:$AU$61,,$AD558), 1 / ($AV$23:$AV$61*BS558), N($AK$23:$AK$61&gt;$AI558)),
SUMPRODUCT(INDEX($AL$23:$AN$46,,$AE558), INDEX($AO$23:$AU$46,,$AD558), 1 / ($AW$23:$AW$46*BS558), N($AK$23:$AK$46&gt;$AI558))
) / 1000</f>
        <v>0</v>
      </c>
      <c r="BV558" s="237">
        <f t="shared" si="577"/>
        <v>0</v>
      </c>
      <c r="BW558" s="210"/>
      <c r="BX558" s="237">
        <f t="shared" si="578"/>
        <v>0</v>
      </c>
      <c r="BY558" s="236">
        <v>35</v>
      </c>
      <c r="BZ558" s="237">
        <f t="shared" si="579"/>
        <v>48</v>
      </c>
      <c r="CA558" s="253">
        <f t="shared" si="580"/>
        <v>3.0748170731707316</v>
      </c>
      <c r="CB558" s="253" cm="1">
        <f t="array" ref="CB558">$BC558 * SUMPRODUCT(INDEX($AL$77:$AN$82,,$AE558),INDEX($AO$77:$AU$82,,$AD558), N($AK$77:$AK$82&gt;$AI558)) / CA558 / 1000</f>
        <v>0</v>
      </c>
      <c r="CC558" s="250">
        <f t="shared" si="597"/>
        <v>30</v>
      </c>
      <c r="CD558" s="237">
        <f t="shared" si="581"/>
        <v>43</v>
      </c>
      <c r="CE558" s="253">
        <f t="shared" si="582"/>
        <v>3.5018750000000001</v>
      </c>
      <c r="CF558" s="253" cm="1">
        <f t="array" ref="CF558">$BC558 * IF($AD558&lt;=2,
SUMPRODUCT(INDEX($AL$72:$AN$76,,$AE558), INDEX($AO$72:$AU$76,,$AD558), 1 / ($AV$72:$AV$76*CE558 + (1-$AV$72:$AV$76)*CA558), N($AK$72:$AK$76&gt;$AI558)),
SUMPRODUCT(INDEX($AL$67:$AN$76,,$AE558), INDEX($AO$67:$AU$76,,$AD558), 1 / ($AW$67:$AW$76*CE558 + (1-$AW$67:$AW$76)*CA558), N($AK$67:$AK$76&gt;$AI558))
) / 1000</f>
        <v>0</v>
      </c>
      <c r="CG558" s="250">
        <f t="shared" si="598"/>
        <v>25</v>
      </c>
      <c r="CH558" s="237">
        <f t="shared" si="583"/>
        <v>38</v>
      </c>
      <c r="CI558" s="253">
        <f t="shared" si="584"/>
        <v>4.0666935483870965</v>
      </c>
      <c r="CJ558" s="253" cm="1">
        <f t="array" ref="CJ558">$BC558 * IF($AD558&lt;=2,
SUMPRODUCT(INDEX($AL$67:$AN$71,,$AE558), INDEX($AO$67:$AU$71,,$AD558), 1 / ($AV$67:$AV$71*CI558 + (1-$AV$67:$AV$71)*CE558), N($AK$67:$AK$71&gt;$AI558)),
SUMPRODUCT(INDEX($AL$57:$AN$66,,$AE558), INDEX($AO$57:$AU$66,,$AD558), 1 / ($AW$57:$AW$66*CI558 + (1-$AW$57:$AW$66)*CE558), N($AK$57:$AK$66&gt;$AI558))
) / 1000</f>
        <v>0</v>
      </c>
      <c r="CK558" s="250">
        <f t="shared" si="599"/>
        <v>20</v>
      </c>
      <c r="CL558" s="237">
        <f t="shared" si="585"/>
        <v>33</v>
      </c>
      <c r="CM558" s="253">
        <f t="shared" si="586"/>
        <v>4.8487499999999999</v>
      </c>
      <c r="CN558" s="253" cm="1">
        <f t="array" ref="CN558">$BC558 * IF($AD558&lt;=2,
SUMPRODUCT(INDEX($AL$62:$AN$66,,$AE558), INDEX($AO$62:$AU$66,,$AD558), 1 / ($AV$62:$AV$66*CM558 + (1-$AV$62:$AV$66)*CI558), N($AK$62:$AK$66&gt;$AI558)),
SUMPRODUCT(INDEX($AL$47:$AN$56,,$AE558), INDEX($AO$47:$AU$56,,$AD558), 1 / ($AW$47:$AW$56*CM558 + (1-$AW$47:$AW$56)*CI558), N($AK$47:$AK$56&gt;$AI558))
) / 1000</f>
        <v>0</v>
      </c>
      <c r="CO558" s="253" cm="1">
        <f t="array" ref="CO558">$BC558 * IF($AD558&lt;=2,
SUMPRODUCT(INDEX($AL$23:$AN$61,,$AE558), INDEX($AO$23:$AU$61,,$AD558), 1 / ($AV$23:$AV$61*CM558), N($AK$23:$AK$61&gt;$AI558)),
SUMPRODUCT(INDEX($AL$23:$AN$46,,$AE558), INDEX($AO$23:$AU$46,,$AD558), 1 / ($AW$23:$AW$46*CM558), N($AK$23:$AK$46&gt;$AI558))
) / 1000</f>
        <v>0</v>
      </c>
      <c r="CP558" s="237">
        <f t="shared" si="587"/>
        <v>0</v>
      </c>
      <c r="CQ558" s="210"/>
    </row>
    <row r="559" spans="1:95" s="76" customFormat="1" ht="14.25" customHeight="1" x14ac:dyDescent="0.2">
      <c r="A559" s="238" t="b">
        <f t="shared" si="591"/>
        <v>0</v>
      </c>
      <c r="B559" s="239">
        <v>537</v>
      </c>
      <c r="C559" s="258"/>
      <c r="D559" s="258"/>
      <c r="E559" s="240"/>
      <c r="F559" s="241" t="str">
        <f>IF(ISBLANK(E559), "", VLOOKUP(E559, Z!$A$2:$C$4127, 3, FALSE))</f>
        <v/>
      </c>
      <c r="G559" s="242"/>
      <c r="H559" s="242"/>
      <c r="I559" s="243"/>
      <c r="J559" s="244"/>
      <c r="K559" s="259"/>
      <c r="L559" s="260"/>
      <c r="M559" s="247" t="str" cm="1">
        <f t="array" ref="M559">IF($K559&gt;0, INDEX(Clean,1+AG559,$C$1), "")</f>
        <v/>
      </c>
      <c r="N559" s="245"/>
      <c r="O559" s="245"/>
      <c r="P559" s="246"/>
      <c r="Q559" s="248">
        <f t="shared" si="564"/>
        <v>0</v>
      </c>
      <c r="R559" s="247" t="str" cm="1">
        <f t="array" ref="R559">IF($K559&gt;0, INDEX(Clean,1+AH559,$C$1), "")</f>
        <v/>
      </c>
      <c r="S559" s="245"/>
      <c r="T559" s="245"/>
      <c r="U559" s="246"/>
      <c r="V559" s="248">
        <f t="shared" si="565"/>
        <v>0</v>
      </c>
      <c r="W559" s="261"/>
      <c r="X559" s="258"/>
      <c r="Y559" s="240"/>
      <c r="Z559" s="241" t="str">
        <f>IF(ISBLANK(Y559), "", VLOOKUP(Y559, Z!$A$2:$C$4127, 3, FALSE))</f>
        <v/>
      </c>
      <c r="AA559" s="262"/>
      <c r="AB559" s="249">
        <f t="shared" si="600"/>
        <v>0</v>
      </c>
      <c r="AC559" s="210"/>
      <c r="AD559" s="236">
        <f t="shared" si="588"/>
        <v>1</v>
      </c>
      <c r="AE559" s="236">
        <f t="shared" si="589"/>
        <v>1</v>
      </c>
      <c r="AF559" s="236">
        <f t="shared" si="590"/>
        <v>0</v>
      </c>
      <c r="AG559" s="236">
        <v>1</v>
      </c>
      <c r="AH559" s="236">
        <v>0</v>
      </c>
      <c r="AI559" s="236">
        <f t="shared" si="566"/>
        <v>-100</v>
      </c>
      <c r="AJ559" s="210"/>
      <c r="AK559" s="254"/>
      <c r="AL559" s="254"/>
      <c r="AM559" s="255"/>
      <c r="AN559" s="255"/>
      <c r="AO559" s="255"/>
      <c r="AP559" s="255"/>
      <c r="AQ559" s="255"/>
      <c r="AR559" s="255"/>
      <c r="AS559" s="255"/>
      <c r="AT559" s="255"/>
      <c r="AU559" s="255"/>
      <c r="AV559" s="255"/>
      <c r="AW559" s="255"/>
      <c r="AX559" s="210"/>
      <c r="AY559" s="236" cm="1">
        <f t="array" ref="AY559">INDEX(Use, $AD559, 4)</f>
        <v>7</v>
      </c>
      <c r="AZ559" s="236">
        <f t="shared" si="567"/>
        <v>32</v>
      </c>
      <c r="BA559" s="236">
        <f t="shared" si="592"/>
        <v>13</v>
      </c>
      <c r="BB559" s="236">
        <f t="shared" si="593"/>
        <v>0</v>
      </c>
      <c r="BC559" s="252" cm="1">
        <f t="array" ref="BC559">K559/IF($L559&gt;0, INDEX($AO$23:$AU$77, $L559+20, $AD559), 1)</f>
        <v>0</v>
      </c>
      <c r="BD559" s="237">
        <f t="shared" si="568"/>
        <v>0</v>
      </c>
      <c r="BE559" s="236">
        <v>35</v>
      </c>
      <c r="BF559" s="237">
        <f t="shared" si="569"/>
        <v>52.55</v>
      </c>
      <c r="BG559" s="253">
        <f t="shared" si="570"/>
        <v>2.7676728869374316</v>
      </c>
      <c r="BH559" s="253" cm="1">
        <f t="array" ref="BH559">$BC559 * SUMPRODUCT(INDEX($AL$77:$AN$82,,$AE559),INDEX($AO$77:$AU$82,,$AD559), N($AK$77:$AK$82&gt;$AI559)) / BG559 / 1000</f>
        <v>0</v>
      </c>
      <c r="BI559" s="250">
        <f t="shared" si="594"/>
        <v>30</v>
      </c>
      <c r="BJ559" s="237">
        <f t="shared" si="571"/>
        <v>46.033333333333331</v>
      </c>
      <c r="BK559" s="253">
        <f t="shared" si="572"/>
        <v>3.2297395388556791</v>
      </c>
      <c r="BL559" s="253" cm="1">
        <f t="array" ref="BL559">$BC559 * IF($AD559&lt;=2,
SUMPRODUCT(INDEX($AL$72:$AN$76,,$AE559), INDEX($AO$72:$AU$76,,$AD559), 1 / ($AV$72:$AV$76*BK559 + (1-$AV$72:$AV$76)*BG559), N($AK$72:$AK$76&gt;$AI559)),
SUMPRODUCT(INDEX($AL$67:$AN$76,,$AE559), INDEX($AO$67:$AU$76,,$AD559), 1 / ($AW$67:$AW$76*BK559 + (1-$AW$67:$AW$76)*BG559), N($AK$67:$AK$76&gt;$AI559))
) / 1000</f>
        <v>0</v>
      </c>
      <c r="BM559" s="250">
        <f t="shared" si="595"/>
        <v>25</v>
      </c>
      <c r="BN559" s="237">
        <f t="shared" si="573"/>
        <v>39.516666666666666</v>
      </c>
      <c r="BO559" s="253">
        <f t="shared" si="574"/>
        <v>3.877011788826243</v>
      </c>
      <c r="BP559" s="253" cm="1">
        <f t="array" ref="BP559">$BC559 * IF($AD559&lt;=2,
SUMPRODUCT(INDEX($AL$67:$AN$71,,$AE559), INDEX($AO$67:$AU$71,,$AD559), 1 / ($AV$67:$AV$71*BO559 + (1-$AV$67:$AV$71)*BK559), N($AK$67:$AK$71&gt;$AI559)),
SUMPRODUCT(INDEX($AL$57:$AN$66,,$AE559), INDEX($AO$57:$AU$66,,$AD559), 1 / ($AW$57:$AW$66*BO559 + (1-$AW$57:$AW$66)*BK559), N($AK$57:$AK$66&gt;$AI559))
) / 1000</f>
        <v>0</v>
      </c>
      <c r="BQ559" s="250">
        <f t="shared" si="596"/>
        <v>20</v>
      </c>
      <c r="BR559" s="237">
        <f t="shared" si="575"/>
        <v>33</v>
      </c>
      <c r="BS559" s="253">
        <f t="shared" si="576"/>
        <v>4.8487499999999999</v>
      </c>
      <c r="BT559" s="253" cm="1">
        <f t="array" ref="BT559">$BC559 * IF($AD559&lt;=2,
SUMPRODUCT(INDEX($AL$62:$AN$66,,$AE559), INDEX($AO$62:$AU$66,,$AD559), 1 / ($AV$62:$AV$66*BS559 + (1-$AV$62:$AV$66)*BO559), N($AK$62:$AK$66&gt;$AI559)),
SUMPRODUCT(INDEX($AL$47:$AN$56,,$AE559), INDEX($AO$47:$AU$56,,$AD559), 1 / ($AW$47:$AW$56*BS559 + (1-$AW$47:$AW$56)*BO559), N($AK$47:$AK$56&gt;$AI559))
) / 1000</f>
        <v>0</v>
      </c>
      <c r="BU559" s="253" cm="1">
        <f t="array" ref="BU559">$BC559 * IF($AD559&lt;=2,
SUMPRODUCT(INDEX($AL$23:$AN$61,,$AE559), INDEX($AO$23:$AU$61,,$AD559), 1 / ($AV$23:$AV$61*BS559), N($AK$23:$AK$61&gt;$AI559)),
SUMPRODUCT(INDEX($AL$23:$AN$46,,$AE559), INDEX($AO$23:$AU$46,,$AD559), 1 / ($AW$23:$AW$46*BS559), N($AK$23:$AK$46&gt;$AI559))
) / 1000</f>
        <v>0</v>
      </c>
      <c r="BV559" s="237">
        <f t="shared" si="577"/>
        <v>0</v>
      </c>
      <c r="BW559" s="210"/>
      <c r="BX559" s="237">
        <f t="shared" si="578"/>
        <v>0</v>
      </c>
      <c r="BY559" s="236">
        <v>35</v>
      </c>
      <c r="BZ559" s="237">
        <f t="shared" si="579"/>
        <v>48</v>
      </c>
      <c r="CA559" s="253">
        <f t="shared" si="580"/>
        <v>3.0748170731707316</v>
      </c>
      <c r="CB559" s="253" cm="1">
        <f t="array" ref="CB559">$BC559 * SUMPRODUCT(INDEX($AL$77:$AN$82,,$AE559),INDEX($AO$77:$AU$82,,$AD559), N($AK$77:$AK$82&gt;$AI559)) / CA559 / 1000</f>
        <v>0</v>
      </c>
      <c r="CC559" s="250">
        <f t="shared" si="597"/>
        <v>30</v>
      </c>
      <c r="CD559" s="237">
        <f t="shared" si="581"/>
        <v>43</v>
      </c>
      <c r="CE559" s="253">
        <f t="shared" si="582"/>
        <v>3.5018750000000001</v>
      </c>
      <c r="CF559" s="253" cm="1">
        <f t="array" ref="CF559">$BC559 * IF($AD559&lt;=2,
SUMPRODUCT(INDEX($AL$72:$AN$76,,$AE559), INDEX($AO$72:$AU$76,,$AD559), 1 / ($AV$72:$AV$76*CE559 + (1-$AV$72:$AV$76)*CA559), N($AK$72:$AK$76&gt;$AI559)),
SUMPRODUCT(INDEX($AL$67:$AN$76,,$AE559), INDEX($AO$67:$AU$76,,$AD559), 1 / ($AW$67:$AW$76*CE559 + (1-$AW$67:$AW$76)*CA559), N($AK$67:$AK$76&gt;$AI559))
) / 1000</f>
        <v>0</v>
      </c>
      <c r="CG559" s="250">
        <f t="shared" si="598"/>
        <v>25</v>
      </c>
      <c r="CH559" s="237">
        <f t="shared" si="583"/>
        <v>38</v>
      </c>
      <c r="CI559" s="253">
        <f t="shared" si="584"/>
        <v>4.0666935483870965</v>
      </c>
      <c r="CJ559" s="253" cm="1">
        <f t="array" ref="CJ559">$BC559 * IF($AD559&lt;=2,
SUMPRODUCT(INDEX($AL$67:$AN$71,,$AE559), INDEX($AO$67:$AU$71,,$AD559), 1 / ($AV$67:$AV$71*CI559 + (1-$AV$67:$AV$71)*CE559), N($AK$67:$AK$71&gt;$AI559)),
SUMPRODUCT(INDEX($AL$57:$AN$66,,$AE559), INDEX($AO$57:$AU$66,,$AD559), 1 / ($AW$57:$AW$66*CI559 + (1-$AW$57:$AW$66)*CE559), N($AK$57:$AK$66&gt;$AI559))
) / 1000</f>
        <v>0</v>
      </c>
      <c r="CK559" s="250">
        <f t="shared" si="599"/>
        <v>20</v>
      </c>
      <c r="CL559" s="237">
        <f t="shared" si="585"/>
        <v>33</v>
      </c>
      <c r="CM559" s="253">
        <f t="shared" si="586"/>
        <v>4.8487499999999999</v>
      </c>
      <c r="CN559" s="253" cm="1">
        <f t="array" ref="CN559">$BC559 * IF($AD559&lt;=2,
SUMPRODUCT(INDEX($AL$62:$AN$66,,$AE559), INDEX($AO$62:$AU$66,,$AD559), 1 / ($AV$62:$AV$66*CM559 + (1-$AV$62:$AV$66)*CI559), N($AK$62:$AK$66&gt;$AI559)),
SUMPRODUCT(INDEX($AL$47:$AN$56,,$AE559), INDEX($AO$47:$AU$56,,$AD559), 1 / ($AW$47:$AW$56*CM559 + (1-$AW$47:$AW$56)*CI559), N($AK$47:$AK$56&gt;$AI559))
) / 1000</f>
        <v>0</v>
      </c>
      <c r="CO559" s="253" cm="1">
        <f t="array" ref="CO559">$BC559 * IF($AD559&lt;=2,
SUMPRODUCT(INDEX($AL$23:$AN$61,,$AE559), INDEX($AO$23:$AU$61,,$AD559), 1 / ($AV$23:$AV$61*CM559), N($AK$23:$AK$61&gt;$AI559)),
SUMPRODUCT(INDEX($AL$23:$AN$46,,$AE559), INDEX($AO$23:$AU$46,,$AD559), 1 / ($AW$23:$AW$46*CM559), N($AK$23:$AK$46&gt;$AI559))
) / 1000</f>
        <v>0</v>
      </c>
      <c r="CP559" s="237">
        <f t="shared" si="587"/>
        <v>0</v>
      </c>
      <c r="CQ559" s="210"/>
    </row>
    <row r="560" spans="1:95" s="76" customFormat="1" ht="14.25" customHeight="1" x14ac:dyDescent="0.2">
      <c r="A560" s="238" t="b">
        <f t="shared" si="591"/>
        <v>0</v>
      </c>
      <c r="B560" s="239">
        <v>538</v>
      </c>
      <c r="C560" s="258"/>
      <c r="D560" s="258"/>
      <c r="E560" s="240"/>
      <c r="F560" s="241" t="str">
        <f>IF(ISBLANK(E560), "", VLOOKUP(E560, Z!$A$2:$C$4127, 3, FALSE))</f>
        <v/>
      </c>
      <c r="G560" s="242"/>
      <c r="H560" s="242"/>
      <c r="I560" s="243"/>
      <c r="J560" s="244"/>
      <c r="K560" s="259"/>
      <c r="L560" s="260"/>
      <c r="M560" s="247" t="str" cm="1">
        <f t="array" ref="M560">IF($K560&gt;0, INDEX(Clean,1+AG560,$C$1), "")</f>
        <v/>
      </c>
      <c r="N560" s="245"/>
      <c r="O560" s="245"/>
      <c r="P560" s="246"/>
      <c r="Q560" s="248">
        <f t="shared" si="564"/>
        <v>0</v>
      </c>
      <c r="R560" s="247" t="str" cm="1">
        <f t="array" ref="R560">IF($K560&gt;0, INDEX(Clean,1+AH560,$C$1), "")</f>
        <v/>
      </c>
      <c r="S560" s="245"/>
      <c r="T560" s="245"/>
      <c r="U560" s="246"/>
      <c r="V560" s="248">
        <f t="shared" si="565"/>
        <v>0</v>
      </c>
      <c r="W560" s="261"/>
      <c r="X560" s="258"/>
      <c r="Y560" s="240"/>
      <c r="Z560" s="241" t="str">
        <f>IF(ISBLANK(Y560), "", VLOOKUP(Y560, Z!$A$2:$C$4127, 3, FALSE))</f>
        <v/>
      </c>
      <c r="AA560" s="262"/>
      <c r="AB560" s="249">
        <f t="shared" si="600"/>
        <v>0</v>
      </c>
      <c r="AC560" s="210"/>
      <c r="AD560" s="236">
        <f t="shared" si="588"/>
        <v>1</v>
      </c>
      <c r="AE560" s="236">
        <f t="shared" si="589"/>
        <v>1</v>
      </c>
      <c r="AF560" s="236">
        <f t="shared" si="590"/>
        <v>0</v>
      </c>
      <c r="AG560" s="236">
        <v>1</v>
      </c>
      <c r="AH560" s="236">
        <v>0</v>
      </c>
      <c r="AI560" s="236">
        <f t="shared" si="566"/>
        <v>-100</v>
      </c>
      <c r="AJ560" s="210"/>
      <c r="AK560" s="254"/>
      <c r="AL560" s="254"/>
      <c r="AM560" s="255"/>
      <c r="AN560" s="255"/>
      <c r="AO560" s="255"/>
      <c r="AP560" s="255"/>
      <c r="AQ560" s="255"/>
      <c r="AR560" s="255"/>
      <c r="AS560" s="255"/>
      <c r="AT560" s="255"/>
      <c r="AU560" s="255"/>
      <c r="AV560" s="255"/>
      <c r="AW560" s="255"/>
      <c r="AX560" s="210"/>
      <c r="AY560" s="236" cm="1">
        <f t="array" ref="AY560">INDEX(Use, $AD560, 4)</f>
        <v>7</v>
      </c>
      <c r="AZ560" s="236">
        <f t="shared" si="567"/>
        <v>32</v>
      </c>
      <c r="BA560" s="236">
        <f t="shared" si="592"/>
        <v>13</v>
      </c>
      <c r="BB560" s="236">
        <f t="shared" si="593"/>
        <v>0</v>
      </c>
      <c r="BC560" s="252" cm="1">
        <f t="array" ref="BC560">K560/IF($L560&gt;0, INDEX($AO$23:$AU$77, $L560+20, $AD560), 1)</f>
        <v>0</v>
      </c>
      <c r="BD560" s="237">
        <f t="shared" si="568"/>
        <v>0</v>
      </c>
      <c r="BE560" s="236">
        <v>35</v>
      </c>
      <c r="BF560" s="237">
        <f t="shared" si="569"/>
        <v>52.55</v>
      </c>
      <c r="BG560" s="253">
        <f t="shared" si="570"/>
        <v>2.7676728869374316</v>
      </c>
      <c r="BH560" s="253" cm="1">
        <f t="array" ref="BH560">$BC560 * SUMPRODUCT(INDEX($AL$77:$AN$82,,$AE560),INDEX($AO$77:$AU$82,,$AD560), N($AK$77:$AK$82&gt;$AI560)) / BG560 / 1000</f>
        <v>0</v>
      </c>
      <c r="BI560" s="250">
        <f t="shared" si="594"/>
        <v>30</v>
      </c>
      <c r="BJ560" s="237">
        <f t="shared" si="571"/>
        <v>46.033333333333331</v>
      </c>
      <c r="BK560" s="253">
        <f t="shared" si="572"/>
        <v>3.2297395388556791</v>
      </c>
      <c r="BL560" s="253" cm="1">
        <f t="array" ref="BL560">$BC560 * IF($AD560&lt;=2,
SUMPRODUCT(INDEX($AL$72:$AN$76,,$AE560), INDEX($AO$72:$AU$76,,$AD560), 1 / ($AV$72:$AV$76*BK560 + (1-$AV$72:$AV$76)*BG560), N($AK$72:$AK$76&gt;$AI560)),
SUMPRODUCT(INDEX($AL$67:$AN$76,,$AE560), INDEX($AO$67:$AU$76,,$AD560), 1 / ($AW$67:$AW$76*BK560 + (1-$AW$67:$AW$76)*BG560), N($AK$67:$AK$76&gt;$AI560))
) / 1000</f>
        <v>0</v>
      </c>
      <c r="BM560" s="250">
        <f t="shared" si="595"/>
        <v>25</v>
      </c>
      <c r="BN560" s="237">
        <f t="shared" si="573"/>
        <v>39.516666666666666</v>
      </c>
      <c r="BO560" s="253">
        <f t="shared" si="574"/>
        <v>3.877011788826243</v>
      </c>
      <c r="BP560" s="253" cm="1">
        <f t="array" ref="BP560">$BC560 * IF($AD560&lt;=2,
SUMPRODUCT(INDEX($AL$67:$AN$71,,$AE560), INDEX($AO$67:$AU$71,,$AD560), 1 / ($AV$67:$AV$71*BO560 + (1-$AV$67:$AV$71)*BK560), N($AK$67:$AK$71&gt;$AI560)),
SUMPRODUCT(INDEX($AL$57:$AN$66,,$AE560), INDEX($AO$57:$AU$66,,$AD560), 1 / ($AW$57:$AW$66*BO560 + (1-$AW$57:$AW$66)*BK560), N($AK$57:$AK$66&gt;$AI560))
) / 1000</f>
        <v>0</v>
      </c>
      <c r="BQ560" s="250">
        <f t="shared" si="596"/>
        <v>20</v>
      </c>
      <c r="BR560" s="237">
        <f t="shared" si="575"/>
        <v>33</v>
      </c>
      <c r="BS560" s="253">
        <f t="shared" si="576"/>
        <v>4.8487499999999999</v>
      </c>
      <c r="BT560" s="253" cm="1">
        <f t="array" ref="BT560">$BC560 * IF($AD560&lt;=2,
SUMPRODUCT(INDEX($AL$62:$AN$66,,$AE560), INDEX($AO$62:$AU$66,,$AD560), 1 / ($AV$62:$AV$66*BS560 + (1-$AV$62:$AV$66)*BO560), N($AK$62:$AK$66&gt;$AI560)),
SUMPRODUCT(INDEX($AL$47:$AN$56,,$AE560), INDEX($AO$47:$AU$56,,$AD560), 1 / ($AW$47:$AW$56*BS560 + (1-$AW$47:$AW$56)*BO560), N($AK$47:$AK$56&gt;$AI560))
) / 1000</f>
        <v>0</v>
      </c>
      <c r="BU560" s="253" cm="1">
        <f t="array" ref="BU560">$BC560 * IF($AD560&lt;=2,
SUMPRODUCT(INDEX($AL$23:$AN$61,,$AE560), INDEX($AO$23:$AU$61,,$AD560), 1 / ($AV$23:$AV$61*BS560), N($AK$23:$AK$61&gt;$AI560)),
SUMPRODUCT(INDEX($AL$23:$AN$46,,$AE560), INDEX($AO$23:$AU$46,,$AD560), 1 / ($AW$23:$AW$46*BS560), N($AK$23:$AK$46&gt;$AI560))
) / 1000</f>
        <v>0</v>
      </c>
      <c r="BV560" s="237">
        <f t="shared" si="577"/>
        <v>0</v>
      </c>
      <c r="BW560" s="210"/>
      <c r="BX560" s="237">
        <f t="shared" si="578"/>
        <v>0</v>
      </c>
      <c r="BY560" s="236">
        <v>35</v>
      </c>
      <c r="BZ560" s="237">
        <f t="shared" si="579"/>
        <v>48</v>
      </c>
      <c r="CA560" s="253">
        <f t="shared" si="580"/>
        <v>3.0748170731707316</v>
      </c>
      <c r="CB560" s="253" cm="1">
        <f t="array" ref="CB560">$BC560 * SUMPRODUCT(INDEX($AL$77:$AN$82,,$AE560),INDEX($AO$77:$AU$82,,$AD560), N($AK$77:$AK$82&gt;$AI560)) / CA560 / 1000</f>
        <v>0</v>
      </c>
      <c r="CC560" s="250">
        <f t="shared" si="597"/>
        <v>30</v>
      </c>
      <c r="CD560" s="237">
        <f t="shared" si="581"/>
        <v>43</v>
      </c>
      <c r="CE560" s="253">
        <f t="shared" si="582"/>
        <v>3.5018750000000001</v>
      </c>
      <c r="CF560" s="253" cm="1">
        <f t="array" ref="CF560">$BC560 * IF($AD560&lt;=2,
SUMPRODUCT(INDEX($AL$72:$AN$76,,$AE560), INDEX($AO$72:$AU$76,,$AD560), 1 / ($AV$72:$AV$76*CE560 + (1-$AV$72:$AV$76)*CA560), N($AK$72:$AK$76&gt;$AI560)),
SUMPRODUCT(INDEX($AL$67:$AN$76,,$AE560), INDEX($AO$67:$AU$76,,$AD560), 1 / ($AW$67:$AW$76*CE560 + (1-$AW$67:$AW$76)*CA560), N($AK$67:$AK$76&gt;$AI560))
) / 1000</f>
        <v>0</v>
      </c>
      <c r="CG560" s="250">
        <f t="shared" si="598"/>
        <v>25</v>
      </c>
      <c r="CH560" s="237">
        <f t="shared" si="583"/>
        <v>38</v>
      </c>
      <c r="CI560" s="253">
        <f t="shared" si="584"/>
        <v>4.0666935483870965</v>
      </c>
      <c r="CJ560" s="253" cm="1">
        <f t="array" ref="CJ560">$BC560 * IF($AD560&lt;=2,
SUMPRODUCT(INDEX($AL$67:$AN$71,,$AE560), INDEX($AO$67:$AU$71,,$AD560), 1 / ($AV$67:$AV$71*CI560 + (1-$AV$67:$AV$71)*CE560), N($AK$67:$AK$71&gt;$AI560)),
SUMPRODUCT(INDEX($AL$57:$AN$66,,$AE560), INDEX($AO$57:$AU$66,,$AD560), 1 / ($AW$57:$AW$66*CI560 + (1-$AW$57:$AW$66)*CE560), N($AK$57:$AK$66&gt;$AI560))
) / 1000</f>
        <v>0</v>
      </c>
      <c r="CK560" s="250">
        <f t="shared" si="599"/>
        <v>20</v>
      </c>
      <c r="CL560" s="237">
        <f t="shared" si="585"/>
        <v>33</v>
      </c>
      <c r="CM560" s="253">
        <f t="shared" si="586"/>
        <v>4.8487499999999999</v>
      </c>
      <c r="CN560" s="253" cm="1">
        <f t="array" ref="CN560">$BC560 * IF($AD560&lt;=2,
SUMPRODUCT(INDEX($AL$62:$AN$66,,$AE560), INDEX($AO$62:$AU$66,,$AD560), 1 / ($AV$62:$AV$66*CM560 + (1-$AV$62:$AV$66)*CI560), N($AK$62:$AK$66&gt;$AI560)),
SUMPRODUCT(INDEX($AL$47:$AN$56,,$AE560), INDEX($AO$47:$AU$56,,$AD560), 1 / ($AW$47:$AW$56*CM560 + (1-$AW$47:$AW$56)*CI560), N($AK$47:$AK$56&gt;$AI560))
) / 1000</f>
        <v>0</v>
      </c>
      <c r="CO560" s="253" cm="1">
        <f t="array" ref="CO560">$BC560 * IF($AD560&lt;=2,
SUMPRODUCT(INDEX($AL$23:$AN$61,,$AE560), INDEX($AO$23:$AU$61,,$AD560), 1 / ($AV$23:$AV$61*CM560), N($AK$23:$AK$61&gt;$AI560)),
SUMPRODUCT(INDEX($AL$23:$AN$46,,$AE560), INDEX($AO$23:$AU$46,,$AD560), 1 / ($AW$23:$AW$46*CM560), N($AK$23:$AK$46&gt;$AI560))
) / 1000</f>
        <v>0</v>
      </c>
      <c r="CP560" s="237">
        <f t="shared" si="587"/>
        <v>0</v>
      </c>
      <c r="CQ560" s="210"/>
    </row>
    <row r="561" spans="1:95" s="76" customFormat="1" ht="14.25" customHeight="1" x14ac:dyDescent="0.2">
      <c r="A561" s="238" t="b">
        <f t="shared" si="591"/>
        <v>0</v>
      </c>
      <c r="B561" s="239">
        <v>539</v>
      </c>
      <c r="C561" s="258"/>
      <c r="D561" s="258"/>
      <c r="E561" s="240"/>
      <c r="F561" s="241" t="str">
        <f>IF(ISBLANK(E561), "", VLOOKUP(E561, Z!$A$2:$C$4127, 3, FALSE))</f>
        <v/>
      </c>
      <c r="G561" s="242"/>
      <c r="H561" s="242"/>
      <c r="I561" s="243"/>
      <c r="J561" s="244"/>
      <c r="K561" s="259"/>
      <c r="L561" s="260"/>
      <c r="M561" s="247" t="str" cm="1">
        <f t="array" ref="M561">IF($K561&gt;0, INDEX(Clean,1+AG561,$C$1), "")</f>
        <v/>
      </c>
      <c r="N561" s="245"/>
      <c r="O561" s="245"/>
      <c r="P561" s="246"/>
      <c r="Q561" s="248">
        <f t="shared" si="564"/>
        <v>0</v>
      </c>
      <c r="R561" s="247" t="str" cm="1">
        <f t="array" ref="R561">IF($K561&gt;0, INDEX(Clean,1+AH561,$C$1), "")</f>
        <v/>
      </c>
      <c r="S561" s="245"/>
      <c r="T561" s="245"/>
      <c r="U561" s="246"/>
      <c r="V561" s="248">
        <f t="shared" si="565"/>
        <v>0</v>
      </c>
      <c r="W561" s="261"/>
      <c r="X561" s="258"/>
      <c r="Y561" s="240"/>
      <c r="Z561" s="241" t="str">
        <f>IF(ISBLANK(Y561), "", VLOOKUP(Y561, Z!$A$2:$C$4127, 3, FALSE))</f>
        <v/>
      </c>
      <c r="AA561" s="262"/>
      <c r="AB561" s="249">
        <f t="shared" si="600"/>
        <v>0</v>
      </c>
      <c r="AC561" s="210"/>
      <c r="AD561" s="236">
        <f t="shared" si="588"/>
        <v>1</v>
      </c>
      <c r="AE561" s="236">
        <f t="shared" si="589"/>
        <v>1</v>
      </c>
      <c r="AF561" s="236">
        <f t="shared" si="590"/>
        <v>0</v>
      </c>
      <c r="AG561" s="236">
        <v>1</v>
      </c>
      <c r="AH561" s="236">
        <v>0</v>
      </c>
      <c r="AI561" s="236">
        <f t="shared" si="566"/>
        <v>-100</v>
      </c>
      <c r="AJ561" s="210"/>
      <c r="AK561" s="254"/>
      <c r="AL561" s="254"/>
      <c r="AM561" s="255"/>
      <c r="AN561" s="255"/>
      <c r="AO561" s="255"/>
      <c r="AP561" s="255"/>
      <c r="AQ561" s="255"/>
      <c r="AR561" s="255"/>
      <c r="AS561" s="255"/>
      <c r="AT561" s="255"/>
      <c r="AU561" s="255"/>
      <c r="AV561" s="255"/>
      <c r="AW561" s="255"/>
      <c r="AX561" s="210"/>
      <c r="AY561" s="236" cm="1">
        <f t="array" ref="AY561">INDEX(Use, $AD561, 4)</f>
        <v>7</v>
      </c>
      <c r="AZ561" s="236">
        <f t="shared" si="567"/>
        <v>32</v>
      </c>
      <c r="BA561" s="236">
        <f t="shared" si="592"/>
        <v>13</v>
      </c>
      <c r="BB561" s="236">
        <f t="shared" si="593"/>
        <v>0</v>
      </c>
      <c r="BC561" s="252" cm="1">
        <f t="array" ref="BC561">K561/IF($L561&gt;0, INDEX($AO$23:$AU$77, $L561+20, $AD561), 1)</f>
        <v>0</v>
      </c>
      <c r="BD561" s="237">
        <f t="shared" si="568"/>
        <v>0</v>
      </c>
      <c r="BE561" s="236">
        <v>35</v>
      </c>
      <c r="BF561" s="237">
        <f t="shared" si="569"/>
        <v>52.55</v>
      </c>
      <c r="BG561" s="253">
        <f t="shared" si="570"/>
        <v>2.7676728869374316</v>
      </c>
      <c r="BH561" s="253" cm="1">
        <f t="array" ref="BH561">$BC561 * SUMPRODUCT(INDEX($AL$77:$AN$82,,$AE561),INDEX($AO$77:$AU$82,,$AD561), N($AK$77:$AK$82&gt;$AI561)) / BG561 / 1000</f>
        <v>0</v>
      </c>
      <c r="BI561" s="250">
        <f t="shared" si="594"/>
        <v>30</v>
      </c>
      <c r="BJ561" s="237">
        <f t="shared" si="571"/>
        <v>46.033333333333331</v>
      </c>
      <c r="BK561" s="253">
        <f t="shared" si="572"/>
        <v>3.2297395388556791</v>
      </c>
      <c r="BL561" s="253" cm="1">
        <f t="array" ref="BL561">$BC561 * IF($AD561&lt;=2,
SUMPRODUCT(INDEX($AL$72:$AN$76,,$AE561), INDEX($AO$72:$AU$76,,$AD561), 1 / ($AV$72:$AV$76*BK561 + (1-$AV$72:$AV$76)*BG561), N($AK$72:$AK$76&gt;$AI561)),
SUMPRODUCT(INDEX($AL$67:$AN$76,,$AE561), INDEX($AO$67:$AU$76,,$AD561), 1 / ($AW$67:$AW$76*BK561 + (1-$AW$67:$AW$76)*BG561), N($AK$67:$AK$76&gt;$AI561))
) / 1000</f>
        <v>0</v>
      </c>
      <c r="BM561" s="250">
        <f t="shared" si="595"/>
        <v>25</v>
      </c>
      <c r="BN561" s="237">
        <f t="shared" si="573"/>
        <v>39.516666666666666</v>
      </c>
      <c r="BO561" s="253">
        <f t="shared" si="574"/>
        <v>3.877011788826243</v>
      </c>
      <c r="BP561" s="253" cm="1">
        <f t="array" ref="BP561">$BC561 * IF($AD561&lt;=2,
SUMPRODUCT(INDEX($AL$67:$AN$71,,$AE561), INDEX($AO$67:$AU$71,,$AD561), 1 / ($AV$67:$AV$71*BO561 + (1-$AV$67:$AV$71)*BK561), N($AK$67:$AK$71&gt;$AI561)),
SUMPRODUCT(INDEX($AL$57:$AN$66,,$AE561), INDEX($AO$57:$AU$66,,$AD561), 1 / ($AW$57:$AW$66*BO561 + (1-$AW$57:$AW$66)*BK561), N($AK$57:$AK$66&gt;$AI561))
) / 1000</f>
        <v>0</v>
      </c>
      <c r="BQ561" s="250">
        <f t="shared" si="596"/>
        <v>20</v>
      </c>
      <c r="BR561" s="237">
        <f t="shared" si="575"/>
        <v>33</v>
      </c>
      <c r="BS561" s="253">
        <f t="shared" si="576"/>
        <v>4.8487499999999999</v>
      </c>
      <c r="BT561" s="253" cm="1">
        <f t="array" ref="BT561">$BC561 * IF($AD561&lt;=2,
SUMPRODUCT(INDEX($AL$62:$AN$66,,$AE561), INDEX($AO$62:$AU$66,,$AD561), 1 / ($AV$62:$AV$66*BS561 + (1-$AV$62:$AV$66)*BO561), N($AK$62:$AK$66&gt;$AI561)),
SUMPRODUCT(INDEX($AL$47:$AN$56,,$AE561), INDEX($AO$47:$AU$56,,$AD561), 1 / ($AW$47:$AW$56*BS561 + (1-$AW$47:$AW$56)*BO561), N($AK$47:$AK$56&gt;$AI561))
) / 1000</f>
        <v>0</v>
      </c>
      <c r="BU561" s="253" cm="1">
        <f t="array" ref="BU561">$BC561 * IF($AD561&lt;=2,
SUMPRODUCT(INDEX($AL$23:$AN$61,,$AE561), INDEX($AO$23:$AU$61,,$AD561), 1 / ($AV$23:$AV$61*BS561), N($AK$23:$AK$61&gt;$AI561)),
SUMPRODUCT(INDEX($AL$23:$AN$46,,$AE561), INDEX($AO$23:$AU$46,,$AD561), 1 / ($AW$23:$AW$46*BS561), N($AK$23:$AK$46&gt;$AI561))
) / 1000</f>
        <v>0</v>
      </c>
      <c r="BV561" s="237">
        <f t="shared" si="577"/>
        <v>0</v>
      </c>
      <c r="BW561" s="210"/>
      <c r="BX561" s="237">
        <f t="shared" si="578"/>
        <v>0</v>
      </c>
      <c r="BY561" s="236">
        <v>35</v>
      </c>
      <c r="BZ561" s="237">
        <f t="shared" si="579"/>
        <v>48</v>
      </c>
      <c r="CA561" s="253">
        <f t="shared" si="580"/>
        <v>3.0748170731707316</v>
      </c>
      <c r="CB561" s="253" cm="1">
        <f t="array" ref="CB561">$BC561 * SUMPRODUCT(INDEX($AL$77:$AN$82,,$AE561),INDEX($AO$77:$AU$82,,$AD561), N($AK$77:$AK$82&gt;$AI561)) / CA561 / 1000</f>
        <v>0</v>
      </c>
      <c r="CC561" s="250">
        <f t="shared" si="597"/>
        <v>30</v>
      </c>
      <c r="CD561" s="237">
        <f t="shared" si="581"/>
        <v>43</v>
      </c>
      <c r="CE561" s="253">
        <f t="shared" si="582"/>
        <v>3.5018750000000001</v>
      </c>
      <c r="CF561" s="253" cm="1">
        <f t="array" ref="CF561">$BC561 * IF($AD561&lt;=2,
SUMPRODUCT(INDEX($AL$72:$AN$76,,$AE561), INDEX($AO$72:$AU$76,,$AD561), 1 / ($AV$72:$AV$76*CE561 + (1-$AV$72:$AV$76)*CA561), N($AK$72:$AK$76&gt;$AI561)),
SUMPRODUCT(INDEX($AL$67:$AN$76,,$AE561), INDEX($AO$67:$AU$76,,$AD561), 1 / ($AW$67:$AW$76*CE561 + (1-$AW$67:$AW$76)*CA561), N($AK$67:$AK$76&gt;$AI561))
) / 1000</f>
        <v>0</v>
      </c>
      <c r="CG561" s="250">
        <f t="shared" si="598"/>
        <v>25</v>
      </c>
      <c r="CH561" s="237">
        <f t="shared" si="583"/>
        <v>38</v>
      </c>
      <c r="CI561" s="253">
        <f t="shared" si="584"/>
        <v>4.0666935483870965</v>
      </c>
      <c r="CJ561" s="253" cm="1">
        <f t="array" ref="CJ561">$BC561 * IF($AD561&lt;=2,
SUMPRODUCT(INDEX($AL$67:$AN$71,,$AE561), INDEX($AO$67:$AU$71,,$AD561), 1 / ($AV$67:$AV$71*CI561 + (1-$AV$67:$AV$71)*CE561), N($AK$67:$AK$71&gt;$AI561)),
SUMPRODUCT(INDEX($AL$57:$AN$66,,$AE561), INDEX($AO$57:$AU$66,,$AD561), 1 / ($AW$57:$AW$66*CI561 + (1-$AW$57:$AW$66)*CE561), N($AK$57:$AK$66&gt;$AI561))
) / 1000</f>
        <v>0</v>
      </c>
      <c r="CK561" s="250">
        <f t="shared" si="599"/>
        <v>20</v>
      </c>
      <c r="CL561" s="237">
        <f t="shared" si="585"/>
        <v>33</v>
      </c>
      <c r="CM561" s="253">
        <f t="shared" si="586"/>
        <v>4.8487499999999999</v>
      </c>
      <c r="CN561" s="253" cm="1">
        <f t="array" ref="CN561">$BC561 * IF($AD561&lt;=2,
SUMPRODUCT(INDEX($AL$62:$AN$66,,$AE561), INDEX($AO$62:$AU$66,,$AD561), 1 / ($AV$62:$AV$66*CM561 + (1-$AV$62:$AV$66)*CI561), N($AK$62:$AK$66&gt;$AI561)),
SUMPRODUCT(INDEX($AL$47:$AN$56,,$AE561), INDEX($AO$47:$AU$56,,$AD561), 1 / ($AW$47:$AW$56*CM561 + (1-$AW$47:$AW$56)*CI561), N($AK$47:$AK$56&gt;$AI561))
) / 1000</f>
        <v>0</v>
      </c>
      <c r="CO561" s="253" cm="1">
        <f t="array" ref="CO561">$BC561 * IF($AD561&lt;=2,
SUMPRODUCT(INDEX($AL$23:$AN$61,,$AE561), INDEX($AO$23:$AU$61,,$AD561), 1 / ($AV$23:$AV$61*CM561), N($AK$23:$AK$61&gt;$AI561)),
SUMPRODUCT(INDEX($AL$23:$AN$46,,$AE561), INDEX($AO$23:$AU$46,,$AD561), 1 / ($AW$23:$AW$46*CM561), N($AK$23:$AK$46&gt;$AI561))
) / 1000</f>
        <v>0</v>
      </c>
      <c r="CP561" s="237">
        <f t="shared" si="587"/>
        <v>0</v>
      </c>
      <c r="CQ561" s="210"/>
    </row>
    <row r="562" spans="1:95" s="76" customFormat="1" ht="14.25" customHeight="1" x14ac:dyDescent="0.2">
      <c r="A562" s="238" t="b">
        <f t="shared" si="591"/>
        <v>0</v>
      </c>
      <c r="B562" s="239">
        <v>540</v>
      </c>
      <c r="C562" s="258"/>
      <c r="D562" s="258"/>
      <c r="E562" s="240"/>
      <c r="F562" s="241" t="str">
        <f>IF(ISBLANK(E562), "", VLOOKUP(E562, Z!$A$2:$C$4127, 3, FALSE))</f>
        <v/>
      </c>
      <c r="G562" s="242"/>
      <c r="H562" s="242"/>
      <c r="I562" s="243"/>
      <c r="J562" s="244"/>
      <c r="K562" s="259"/>
      <c r="L562" s="260"/>
      <c r="M562" s="247" t="str" cm="1">
        <f t="array" ref="M562">IF($K562&gt;0, INDEX(Clean,1+AG562,$C$1), "")</f>
        <v/>
      </c>
      <c r="N562" s="245"/>
      <c r="O562" s="245"/>
      <c r="P562" s="246"/>
      <c r="Q562" s="248">
        <f t="shared" si="564"/>
        <v>0</v>
      </c>
      <c r="R562" s="247" t="str" cm="1">
        <f t="array" ref="R562">IF($K562&gt;0, INDEX(Clean,1+AH562,$C$1), "")</f>
        <v/>
      </c>
      <c r="S562" s="245"/>
      <c r="T562" s="245"/>
      <c r="U562" s="246"/>
      <c r="V562" s="248">
        <f t="shared" si="565"/>
        <v>0</v>
      </c>
      <c r="W562" s="261"/>
      <c r="X562" s="258"/>
      <c r="Y562" s="240"/>
      <c r="Z562" s="241" t="str">
        <f>IF(ISBLANK(Y562), "", VLOOKUP(Y562, Z!$A$2:$C$4127, 3, FALSE))</f>
        <v/>
      </c>
      <c r="AA562" s="262"/>
      <c r="AB562" s="249">
        <f t="shared" si="600"/>
        <v>0</v>
      </c>
      <c r="AC562" s="210"/>
      <c r="AD562" s="236">
        <f t="shared" si="588"/>
        <v>1</v>
      </c>
      <c r="AE562" s="236">
        <f t="shared" si="589"/>
        <v>1</v>
      </c>
      <c r="AF562" s="236">
        <f t="shared" si="590"/>
        <v>0</v>
      </c>
      <c r="AG562" s="236">
        <v>1</v>
      </c>
      <c r="AH562" s="236">
        <v>0</v>
      </c>
      <c r="AI562" s="236">
        <f t="shared" si="566"/>
        <v>-100</v>
      </c>
      <c r="AJ562" s="210"/>
      <c r="AK562" s="254"/>
      <c r="AL562" s="254"/>
      <c r="AM562" s="255"/>
      <c r="AN562" s="255"/>
      <c r="AO562" s="255"/>
      <c r="AP562" s="255"/>
      <c r="AQ562" s="255"/>
      <c r="AR562" s="255"/>
      <c r="AS562" s="255"/>
      <c r="AT562" s="255"/>
      <c r="AU562" s="255"/>
      <c r="AV562" s="255"/>
      <c r="AW562" s="255"/>
      <c r="AX562" s="210"/>
      <c r="AY562" s="236" cm="1">
        <f t="array" ref="AY562">INDEX(Use, $AD562, 4)</f>
        <v>7</v>
      </c>
      <c r="AZ562" s="236">
        <f t="shared" si="567"/>
        <v>32</v>
      </c>
      <c r="BA562" s="236">
        <f t="shared" si="592"/>
        <v>13</v>
      </c>
      <c r="BB562" s="236">
        <f t="shared" si="593"/>
        <v>0</v>
      </c>
      <c r="BC562" s="252" cm="1">
        <f t="array" ref="BC562">K562/IF($L562&gt;0, INDEX($AO$23:$AU$77, $L562+20, $AD562), 1)</f>
        <v>0</v>
      </c>
      <c r="BD562" s="237">
        <f t="shared" si="568"/>
        <v>0</v>
      </c>
      <c r="BE562" s="236">
        <v>35</v>
      </c>
      <c r="BF562" s="237">
        <f t="shared" si="569"/>
        <v>52.55</v>
      </c>
      <c r="BG562" s="253">
        <f t="shared" si="570"/>
        <v>2.7676728869374316</v>
      </c>
      <c r="BH562" s="253" cm="1">
        <f t="array" ref="BH562">$BC562 * SUMPRODUCT(INDEX($AL$77:$AN$82,,$AE562),INDEX($AO$77:$AU$82,,$AD562), N($AK$77:$AK$82&gt;$AI562)) / BG562 / 1000</f>
        <v>0</v>
      </c>
      <c r="BI562" s="250">
        <f t="shared" si="594"/>
        <v>30</v>
      </c>
      <c r="BJ562" s="237">
        <f t="shared" si="571"/>
        <v>46.033333333333331</v>
      </c>
      <c r="BK562" s="253">
        <f t="shared" si="572"/>
        <v>3.2297395388556791</v>
      </c>
      <c r="BL562" s="253" cm="1">
        <f t="array" ref="BL562">$BC562 * IF($AD562&lt;=2,
SUMPRODUCT(INDEX($AL$72:$AN$76,,$AE562), INDEX($AO$72:$AU$76,,$AD562), 1 / ($AV$72:$AV$76*BK562 + (1-$AV$72:$AV$76)*BG562), N($AK$72:$AK$76&gt;$AI562)),
SUMPRODUCT(INDEX($AL$67:$AN$76,,$AE562), INDEX($AO$67:$AU$76,,$AD562), 1 / ($AW$67:$AW$76*BK562 + (1-$AW$67:$AW$76)*BG562), N($AK$67:$AK$76&gt;$AI562))
) / 1000</f>
        <v>0</v>
      </c>
      <c r="BM562" s="250">
        <f t="shared" si="595"/>
        <v>25</v>
      </c>
      <c r="BN562" s="237">
        <f t="shared" si="573"/>
        <v>39.516666666666666</v>
      </c>
      <c r="BO562" s="253">
        <f t="shared" si="574"/>
        <v>3.877011788826243</v>
      </c>
      <c r="BP562" s="253" cm="1">
        <f t="array" ref="BP562">$BC562 * IF($AD562&lt;=2,
SUMPRODUCT(INDEX($AL$67:$AN$71,,$AE562), INDEX($AO$67:$AU$71,,$AD562), 1 / ($AV$67:$AV$71*BO562 + (1-$AV$67:$AV$71)*BK562), N($AK$67:$AK$71&gt;$AI562)),
SUMPRODUCT(INDEX($AL$57:$AN$66,,$AE562), INDEX($AO$57:$AU$66,,$AD562), 1 / ($AW$57:$AW$66*BO562 + (1-$AW$57:$AW$66)*BK562), N($AK$57:$AK$66&gt;$AI562))
) / 1000</f>
        <v>0</v>
      </c>
      <c r="BQ562" s="250">
        <f t="shared" si="596"/>
        <v>20</v>
      </c>
      <c r="BR562" s="237">
        <f t="shared" si="575"/>
        <v>33</v>
      </c>
      <c r="BS562" s="253">
        <f t="shared" si="576"/>
        <v>4.8487499999999999</v>
      </c>
      <c r="BT562" s="253" cm="1">
        <f t="array" ref="BT562">$BC562 * IF($AD562&lt;=2,
SUMPRODUCT(INDEX($AL$62:$AN$66,,$AE562), INDEX($AO$62:$AU$66,,$AD562), 1 / ($AV$62:$AV$66*BS562 + (1-$AV$62:$AV$66)*BO562), N($AK$62:$AK$66&gt;$AI562)),
SUMPRODUCT(INDEX($AL$47:$AN$56,,$AE562), INDEX($AO$47:$AU$56,,$AD562), 1 / ($AW$47:$AW$56*BS562 + (1-$AW$47:$AW$56)*BO562), N($AK$47:$AK$56&gt;$AI562))
) / 1000</f>
        <v>0</v>
      </c>
      <c r="BU562" s="253" cm="1">
        <f t="array" ref="BU562">$BC562 * IF($AD562&lt;=2,
SUMPRODUCT(INDEX($AL$23:$AN$61,,$AE562), INDEX($AO$23:$AU$61,,$AD562), 1 / ($AV$23:$AV$61*BS562), N($AK$23:$AK$61&gt;$AI562)),
SUMPRODUCT(INDEX($AL$23:$AN$46,,$AE562), INDEX($AO$23:$AU$46,,$AD562), 1 / ($AW$23:$AW$46*BS562), N($AK$23:$AK$46&gt;$AI562))
) / 1000</f>
        <v>0</v>
      </c>
      <c r="BV562" s="237">
        <f t="shared" si="577"/>
        <v>0</v>
      </c>
      <c r="BW562" s="210"/>
      <c r="BX562" s="237">
        <f t="shared" si="578"/>
        <v>0</v>
      </c>
      <c r="BY562" s="236">
        <v>35</v>
      </c>
      <c r="BZ562" s="237">
        <f t="shared" si="579"/>
        <v>48</v>
      </c>
      <c r="CA562" s="253">
        <f t="shared" si="580"/>
        <v>3.0748170731707316</v>
      </c>
      <c r="CB562" s="253" cm="1">
        <f t="array" ref="CB562">$BC562 * SUMPRODUCT(INDEX($AL$77:$AN$82,,$AE562),INDEX($AO$77:$AU$82,,$AD562), N($AK$77:$AK$82&gt;$AI562)) / CA562 / 1000</f>
        <v>0</v>
      </c>
      <c r="CC562" s="250">
        <f t="shared" si="597"/>
        <v>30</v>
      </c>
      <c r="CD562" s="237">
        <f t="shared" si="581"/>
        <v>43</v>
      </c>
      <c r="CE562" s="253">
        <f t="shared" si="582"/>
        <v>3.5018750000000001</v>
      </c>
      <c r="CF562" s="253" cm="1">
        <f t="array" ref="CF562">$BC562 * IF($AD562&lt;=2,
SUMPRODUCT(INDEX($AL$72:$AN$76,,$AE562), INDEX($AO$72:$AU$76,,$AD562), 1 / ($AV$72:$AV$76*CE562 + (1-$AV$72:$AV$76)*CA562), N($AK$72:$AK$76&gt;$AI562)),
SUMPRODUCT(INDEX($AL$67:$AN$76,,$AE562), INDEX($AO$67:$AU$76,,$AD562), 1 / ($AW$67:$AW$76*CE562 + (1-$AW$67:$AW$76)*CA562), N($AK$67:$AK$76&gt;$AI562))
) / 1000</f>
        <v>0</v>
      </c>
      <c r="CG562" s="250">
        <f t="shared" si="598"/>
        <v>25</v>
      </c>
      <c r="CH562" s="237">
        <f t="shared" si="583"/>
        <v>38</v>
      </c>
      <c r="CI562" s="253">
        <f t="shared" si="584"/>
        <v>4.0666935483870965</v>
      </c>
      <c r="CJ562" s="253" cm="1">
        <f t="array" ref="CJ562">$BC562 * IF($AD562&lt;=2,
SUMPRODUCT(INDEX($AL$67:$AN$71,,$AE562), INDEX($AO$67:$AU$71,,$AD562), 1 / ($AV$67:$AV$71*CI562 + (1-$AV$67:$AV$71)*CE562), N($AK$67:$AK$71&gt;$AI562)),
SUMPRODUCT(INDEX($AL$57:$AN$66,,$AE562), INDEX($AO$57:$AU$66,,$AD562), 1 / ($AW$57:$AW$66*CI562 + (1-$AW$57:$AW$66)*CE562), N($AK$57:$AK$66&gt;$AI562))
) / 1000</f>
        <v>0</v>
      </c>
      <c r="CK562" s="250">
        <f t="shared" si="599"/>
        <v>20</v>
      </c>
      <c r="CL562" s="237">
        <f t="shared" si="585"/>
        <v>33</v>
      </c>
      <c r="CM562" s="253">
        <f t="shared" si="586"/>
        <v>4.8487499999999999</v>
      </c>
      <c r="CN562" s="253" cm="1">
        <f t="array" ref="CN562">$BC562 * IF($AD562&lt;=2,
SUMPRODUCT(INDEX($AL$62:$AN$66,,$AE562), INDEX($AO$62:$AU$66,,$AD562), 1 / ($AV$62:$AV$66*CM562 + (1-$AV$62:$AV$66)*CI562), N($AK$62:$AK$66&gt;$AI562)),
SUMPRODUCT(INDEX($AL$47:$AN$56,,$AE562), INDEX($AO$47:$AU$56,,$AD562), 1 / ($AW$47:$AW$56*CM562 + (1-$AW$47:$AW$56)*CI562), N($AK$47:$AK$56&gt;$AI562))
) / 1000</f>
        <v>0</v>
      </c>
      <c r="CO562" s="253" cm="1">
        <f t="array" ref="CO562">$BC562 * IF($AD562&lt;=2,
SUMPRODUCT(INDEX($AL$23:$AN$61,,$AE562), INDEX($AO$23:$AU$61,,$AD562), 1 / ($AV$23:$AV$61*CM562), N($AK$23:$AK$61&gt;$AI562)),
SUMPRODUCT(INDEX($AL$23:$AN$46,,$AE562), INDEX($AO$23:$AU$46,,$AD562), 1 / ($AW$23:$AW$46*CM562), N($AK$23:$AK$46&gt;$AI562))
) / 1000</f>
        <v>0</v>
      </c>
      <c r="CP562" s="237">
        <f t="shared" si="587"/>
        <v>0</v>
      </c>
      <c r="CQ562" s="210"/>
    </row>
    <row r="563" spans="1:95" s="76" customFormat="1" ht="14.25" customHeight="1" x14ac:dyDescent="0.2">
      <c r="A563" s="238" t="b">
        <f t="shared" si="591"/>
        <v>0</v>
      </c>
      <c r="B563" s="239">
        <v>541</v>
      </c>
      <c r="C563" s="258"/>
      <c r="D563" s="258"/>
      <c r="E563" s="240"/>
      <c r="F563" s="241" t="str">
        <f>IF(ISBLANK(E563), "", VLOOKUP(E563, Z!$A$2:$C$4127, 3, FALSE))</f>
        <v/>
      </c>
      <c r="G563" s="242"/>
      <c r="H563" s="242"/>
      <c r="I563" s="243"/>
      <c r="J563" s="244"/>
      <c r="K563" s="259"/>
      <c r="L563" s="260"/>
      <c r="M563" s="247" t="str" cm="1">
        <f t="array" ref="M563">IF($K563&gt;0, INDEX(Clean,1+AG563,$C$1), "")</f>
        <v/>
      </c>
      <c r="N563" s="245"/>
      <c r="O563" s="245"/>
      <c r="P563" s="246"/>
      <c r="Q563" s="248">
        <f t="shared" si="564"/>
        <v>0</v>
      </c>
      <c r="R563" s="247" t="str" cm="1">
        <f t="array" ref="R563">IF($K563&gt;0, INDEX(Clean,1+AH563,$C$1), "")</f>
        <v/>
      </c>
      <c r="S563" s="245"/>
      <c r="T563" s="245"/>
      <c r="U563" s="246"/>
      <c r="V563" s="248">
        <f t="shared" si="565"/>
        <v>0</v>
      </c>
      <c r="W563" s="261"/>
      <c r="X563" s="258"/>
      <c r="Y563" s="240"/>
      <c r="Z563" s="241" t="str">
        <f>IF(ISBLANK(Y563), "", VLOOKUP(Y563, Z!$A$2:$C$4127, 3, FALSE))</f>
        <v/>
      </c>
      <c r="AA563" s="262"/>
      <c r="AB563" s="249">
        <f t="shared" si="600"/>
        <v>0</v>
      </c>
      <c r="AC563" s="210"/>
      <c r="AD563" s="236">
        <f t="shared" si="588"/>
        <v>1</v>
      </c>
      <c r="AE563" s="236">
        <f t="shared" si="589"/>
        <v>1</v>
      </c>
      <c r="AF563" s="236">
        <f t="shared" si="590"/>
        <v>0</v>
      </c>
      <c r="AG563" s="236">
        <v>1</v>
      </c>
      <c r="AH563" s="236">
        <v>0</v>
      </c>
      <c r="AI563" s="236">
        <f t="shared" si="566"/>
        <v>-100</v>
      </c>
      <c r="AJ563" s="210"/>
      <c r="AK563" s="254"/>
      <c r="AL563" s="254"/>
      <c r="AM563" s="255"/>
      <c r="AN563" s="255"/>
      <c r="AO563" s="255"/>
      <c r="AP563" s="255"/>
      <c r="AQ563" s="255"/>
      <c r="AR563" s="255"/>
      <c r="AS563" s="255"/>
      <c r="AT563" s="255"/>
      <c r="AU563" s="255"/>
      <c r="AV563" s="255"/>
      <c r="AW563" s="255"/>
      <c r="AX563" s="210"/>
      <c r="AY563" s="236" cm="1">
        <f t="array" ref="AY563">INDEX(Use, $AD563, 4)</f>
        <v>7</v>
      </c>
      <c r="AZ563" s="236">
        <f t="shared" si="567"/>
        <v>32</v>
      </c>
      <c r="BA563" s="236">
        <f t="shared" si="592"/>
        <v>13</v>
      </c>
      <c r="BB563" s="236">
        <f t="shared" si="593"/>
        <v>0</v>
      </c>
      <c r="BC563" s="252" cm="1">
        <f t="array" ref="BC563">K563/IF($L563&gt;0, INDEX($AO$23:$AU$77, $L563+20, $AD563), 1)</f>
        <v>0</v>
      </c>
      <c r="BD563" s="237">
        <f t="shared" si="568"/>
        <v>0</v>
      </c>
      <c r="BE563" s="236">
        <v>35</v>
      </c>
      <c r="BF563" s="237">
        <f t="shared" si="569"/>
        <v>52.55</v>
      </c>
      <c r="BG563" s="253">
        <f t="shared" si="570"/>
        <v>2.7676728869374316</v>
      </c>
      <c r="BH563" s="253" cm="1">
        <f t="array" ref="BH563">$BC563 * SUMPRODUCT(INDEX($AL$77:$AN$82,,$AE563),INDEX($AO$77:$AU$82,,$AD563), N($AK$77:$AK$82&gt;$AI563)) / BG563 / 1000</f>
        <v>0</v>
      </c>
      <c r="BI563" s="250">
        <f t="shared" si="594"/>
        <v>30</v>
      </c>
      <c r="BJ563" s="237">
        <f t="shared" si="571"/>
        <v>46.033333333333331</v>
      </c>
      <c r="BK563" s="253">
        <f t="shared" si="572"/>
        <v>3.2297395388556791</v>
      </c>
      <c r="BL563" s="253" cm="1">
        <f t="array" ref="BL563">$BC563 * IF($AD563&lt;=2,
SUMPRODUCT(INDEX($AL$72:$AN$76,,$AE563), INDEX($AO$72:$AU$76,,$AD563), 1 / ($AV$72:$AV$76*BK563 + (1-$AV$72:$AV$76)*BG563), N($AK$72:$AK$76&gt;$AI563)),
SUMPRODUCT(INDEX($AL$67:$AN$76,,$AE563), INDEX($AO$67:$AU$76,,$AD563), 1 / ($AW$67:$AW$76*BK563 + (1-$AW$67:$AW$76)*BG563), N($AK$67:$AK$76&gt;$AI563))
) / 1000</f>
        <v>0</v>
      </c>
      <c r="BM563" s="250">
        <f t="shared" si="595"/>
        <v>25</v>
      </c>
      <c r="BN563" s="237">
        <f t="shared" si="573"/>
        <v>39.516666666666666</v>
      </c>
      <c r="BO563" s="253">
        <f t="shared" si="574"/>
        <v>3.877011788826243</v>
      </c>
      <c r="BP563" s="253" cm="1">
        <f t="array" ref="BP563">$BC563 * IF($AD563&lt;=2,
SUMPRODUCT(INDEX($AL$67:$AN$71,,$AE563), INDEX($AO$67:$AU$71,,$AD563), 1 / ($AV$67:$AV$71*BO563 + (1-$AV$67:$AV$71)*BK563), N($AK$67:$AK$71&gt;$AI563)),
SUMPRODUCT(INDEX($AL$57:$AN$66,,$AE563), INDEX($AO$57:$AU$66,,$AD563), 1 / ($AW$57:$AW$66*BO563 + (1-$AW$57:$AW$66)*BK563), N($AK$57:$AK$66&gt;$AI563))
) / 1000</f>
        <v>0</v>
      </c>
      <c r="BQ563" s="250">
        <f t="shared" si="596"/>
        <v>20</v>
      </c>
      <c r="BR563" s="237">
        <f t="shared" si="575"/>
        <v>33</v>
      </c>
      <c r="BS563" s="253">
        <f t="shared" si="576"/>
        <v>4.8487499999999999</v>
      </c>
      <c r="BT563" s="253" cm="1">
        <f t="array" ref="BT563">$BC563 * IF($AD563&lt;=2,
SUMPRODUCT(INDEX($AL$62:$AN$66,,$AE563), INDEX($AO$62:$AU$66,,$AD563), 1 / ($AV$62:$AV$66*BS563 + (1-$AV$62:$AV$66)*BO563), N($AK$62:$AK$66&gt;$AI563)),
SUMPRODUCT(INDEX($AL$47:$AN$56,,$AE563), INDEX($AO$47:$AU$56,,$AD563), 1 / ($AW$47:$AW$56*BS563 + (1-$AW$47:$AW$56)*BO563), N($AK$47:$AK$56&gt;$AI563))
) / 1000</f>
        <v>0</v>
      </c>
      <c r="BU563" s="253" cm="1">
        <f t="array" ref="BU563">$BC563 * IF($AD563&lt;=2,
SUMPRODUCT(INDEX($AL$23:$AN$61,,$AE563), INDEX($AO$23:$AU$61,,$AD563), 1 / ($AV$23:$AV$61*BS563), N($AK$23:$AK$61&gt;$AI563)),
SUMPRODUCT(INDEX($AL$23:$AN$46,,$AE563), INDEX($AO$23:$AU$46,,$AD563), 1 / ($AW$23:$AW$46*BS563), N($AK$23:$AK$46&gt;$AI563))
) / 1000</f>
        <v>0</v>
      </c>
      <c r="BV563" s="237">
        <f t="shared" si="577"/>
        <v>0</v>
      </c>
      <c r="BW563" s="210"/>
      <c r="BX563" s="237">
        <f t="shared" si="578"/>
        <v>0</v>
      </c>
      <c r="BY563" s="236">
        <v>35</v>
      </c>
      <c r="BZ563" s="237">
        <f t="shared" si="579"/>
        <v>48</v>
      </c>
      <c r="CA563" s="253">
        <f t="shared" si="580"/>
        <v>3.0748170731707316</v>
      </c>
      <c r="CB563" s="253" cm="1">
        <f t="array" ref="CB563">$BC563 * SUMPRODUCT(INDEX($AL$77:$AN$82,,$AE563),INDEX($AO$77:$AU$82,,$AD563), N($AK$77:$AK$82&gt;$AI563)) / CA563 / 1000</f>
        <v>0</v>
      </c>
      <c r="CC563" s="250">
        <f t="shared" si="597"/>
        <v>30</v>
      </c>
      <c r="CD563" s="237">
        <f t="shared" si="581"/>
        <v>43</v>
      </c>
      <c r="CE563" s="253">
        <f t="shared" si="582"/>
        <v>3.5018750000000001</v>
      </c>
      <c r="CF563" s="253" cm="1">
        <f t="array" ref="CF563">$BC563 * IF($AD563&lt;=2,
SUMPRODUCT(INDEX($AL$72:$AN$76,,$AE563), INDEX($AO$72:$AU$76,,$AD563), 1 / ($AV$72:$AV$76*CE563 + (1-$AV$72:$AV$76)*CA563), N($AK$72:$AK$76&gt;$AI563)),
SUMPRODUCT(INDEX($AL$67:$AN$76,,$AE563), INDEX($AO$67:$AU$76,,$AD563), 1 / ($AW$67:$AW$76*CE563 + (1-$AW$67:$AW$76)*CA563), N($AK$67:$AK$76&gt;$AI563))
) / 1000</f>
        <v>0</v>
      </c>
      <c r="CG563" s="250">
        <f t="shared" si="598"/>
        <v>25</v>
      </c>
      <c r="CH563" s="237">
        <f t="shared" si="583"/>
        <v>38</v>
      </c>
      <c r="CI563" s="253">
        <f t="shared" si="584"/>
        <v>4.0666935483870965</v>
      </c>
      <c r="CJ563" s="253" cm="1">
        <f t="array" ref="CJ563">$BC563 * IF($AD563&lt;=2,
SUMPRODUCT(INDEX($AL$67:$AN$71,,$AE563), INDEX($AO$67:$AU$71,,$AD563), 1 / ($AV$67:$AV$71*CI563 + (1-$AV$67:$AV$71)*CE563), N($AK$67:$AK$71&gt;$AI563)),
SUMPRODUCT(INDEX($AL$57:$AN$66,,$AE563), INDEX($AO$57:$AU$66,,$AD563), 1 / ($AW$57:$AW$66*CI563 + (1-$AW$57:$AW$66)*CE563), N($AK$57:$AK$66&gt;$AI563))
) / 1000</f>
        <v>0</v>
      </c>
      <c r="CK563" s="250">
        <f t="shared" si="599"/>
        <v>20</v>
      </c>
      <c r="CL563" s="237">
        <f t="shared" si="585"/>
        <v>33</v>
      </c>
      <c r="CM563" s="253">
        <f t="shared" si="586"/>
        <v>4.8487499999999999</v>
      </c>
      <c r="CN563" s="253" cm="1">
        <f t="array" ref="CN563">$BC563 * IF($AD563&lt;=2,
SUMPRODUCT(INDEX($AL$62:$AN$66,,$AE563), INDEX($AO$62:$AU$66,,$AD563), 1 / ($AV$62:$AV$66*CM563 + (1-$AV$62:$AV$66)*CI563), N($AK$62:$AK$66&gt;$AI563)),
SUMPRODUCT(INDEX($AL$47:$AN$56,,$AE563), INDEX($AO$47:$AU$56,,$AD563), 1 / ($AW$47:$AW$56*CM563 + (1-$AW$47:$AW$56)*CI563), N($AK$47:$AK$56&gt;$AI563))
) / 1000</f>
        <v>0</v>
      </c>
      <c r="CO563" s="253" cm="1">
        <f t="array" ref="CO563">$BC563 * IF($AD563&lt;=2,
SUMPRODUCT(INDEX($AL$23:$AN$61,,$AE563), INDEX($AO$23:$AU$61,,$AD563), 1 / ($AV$23:$AV$61*CM563), N($AK$23:$AK$61&gt;$AI563)),
SUMPRODUCT(INDEX($AL$23:$AN$46,,$AE563), INDEX($AO$23:$AU$46,,$AD563), 1 / ($AW$23:$AW$46*CM563), N($AK$23:$AK$46&gt;$AI563))
) / 1000</f>
        <v>0</v>
      </c>
      <c r="CP563" s="237">
        <f t="shared" si="587"/>
        <v>0</v>
      </c>
      <c r="CQ563" s="210"/>
    </row>
    <row r="564" spans="1:95" s="76" customFormat="1" ht="14.25" customHeight="1" x14ac:dyDescent="0.2">
      <c r="A564" s="238" t="b">
        <f t="shared" si="591"/>
        <v>0</v>
      </c>
      <c r="B564" s="239">
        <v>542</v>
      </c>
      <c r="C564" s="258"/>
      <c r="D564" s="258"/>
      <c r="E564" s="240"/>
      <c r="F564" s="241" t="str">
        <f>IF(ISBLANK(E564), "", VLOOKUP(E564, Z!$A$2:$C$4127, 3, FALSE))</f>
        <v/>
      </c>
      <c r="G564" s="242"/>
      <c r="H564" s="242"/>
      <c r="I564" s="243"/>
      <c r="J564" s="244"/>
      <c r="K564" s="259"/>
      <c r="L564" s="260"/>
      <c r="M564" s="247" t="str" cm="1">
        <f t="array" ref="M564">IF($K564&gt;0, INDEX(Clean,1+AG564,$C$1), "")</f>
        <v/>
      </c>
      <c r="N564" s="245"/>
      <c r="O564" s="245"/>
      <c r="P564" s="246"/>
      <c r="Q564" s="248">
        <f t="shared" si="564"/>
        <v>0</v>
      </c>
      <c r="R564" s="247" t="str" cm="1">
        <f t="array" ref="R564">IF($K564&gt;0, INDEX(Clean,1+AH564,$C$1), "")</f>
        <v/>
      </c>
      <c r="S564" s="245"/>
      <c r="T564" s="245"/>
      <c r="U564" s="246"/>
      <c r="V564" s="248">
        <f t="shared" si="565"/>
        <v>0</v>
      </c>
      <c r="W564" s="261"/>
      <c r="X564" s="258"/>
      <c r="Y564" s="240"/>
      <c r="Z564" s="241" t="str">
        <f>IF(ISBLANK(Y564), "", VLOOKUP(Y564, Z!$A$2:$C$4127, 3, FALSE))</f>
        <v/>
      </c>
      <c r="AA564" s="262"/>
      <c r="AB564" s="249">
        <f t="shared" si="600"/>
        <v>0</v>
      </c>
      <c r="AC564" s="210"/>
      <c r="AD564" s="236">
        <f t="shared" si="588"/>
        <v>1</v>
      </c>
      <c r="AE564" s="236">
        <f t="shared" si="589"/>
        <v>1</v>
      </c>
      <c r="AF564" s="236">
        <f t="shared" si="590"/>
        <v>0</v>
      </c>
      <c r="AG564" s="236">
        <v>1</v>
      </c>
      <c r="AH564" s="236">
        <v>0</v>
      </c>
      <c r="AI564" s="236">
        <f t="shared" si="566"/>
        <v>-100</v>
      </c>
      <c r="AJ564" s="210"/>
      <c r="AK564" s="254"/>
      <c r="AL564" s="254"/>
      <c r="AM564" s="255"/>
      <c r="AN564" s="255"/>
      <c r="AO564" s="255"/>
      <c r="AP564" s="255"/>
      <c r="AQ564" s="255"/>
      <c r="AR564" s="255"/>
      <c r="AS564" s="255"/>
      <c r="AT564" s="255"/>
      <c r="AU564" s="255"/>
      <c r="AV564" s="255"/>
      <c r="AW564" s="255"/>
      <c r="AX564" s="210"/>
      <c r="AY564" s="236" cm="1">
        <f t="array" ref="AY564">INDEX(Use, $AD564, 4)</f>
        <v>7</v>
      </c>
      <c r="AZ564" s="236">
        <f t="shared" si="567"/>
        <v>32</v>
      </c>
      <c r="BA564" s="236">
        <f t="shared" si="592"/>
        <v>13</v>
      </c>
      <c r="BB564" s="236">
        <f t="shared" si="593"/>
        <v>0</v>
      </c>
      <c r="BC564" s="252" cm="1">
        <f t="array" ref="BC564">K564/IF($L564&gt;0, INDEX($AO$23:$AU$77, $L564+20, $AD564), 1)</f>
        <v>0</v>
      </c>
      <c r="BD564" s="237">
        <f t="shared" si="568"/>
        <v>0</v>
      </c>
      <c r="BE564" s="236">
        <v>35</v>
      </c>
      <c r="BF564" s="237">
        <f t="shared" si="569"/>
        <v>52.55</v>
      </c>
      <c r="BG564" s="253">
        <f t="shared" si="570"/>
        <v>2.7676728869374316</v>
      </c>
      <c r="BH564" s="253" cm="1">
        <f t="array" ref="BH564">$BC564 * SUMPRODUCT(INDEX($AL$77:$AN$82,,$AE564),INDEX($AO$77:$AU$82,,$AD564), N($AK$77:$AK$82&gt;$AI564)) / BG564 / 1000</f>
        <v>0</v>
      </c>
      <c r="BI564" s="250">
        <f t="shared" si="594"/>
        <v>30</v>
      </c>
      <c r="BJ564" s="237">
        <f t="shared" si="571"/>
        <v>46.033333333333331</v>
      </c>
      <c r="BK564" s="253">
        <f t="shared" si="572"/>
        <v>3.2297395388556791</v>
      </c>
      <c r="BL564" s="253" cm="1">
        <f t="array" ref="BL564">$BC564 * IF($AD564&lt;=2,
SUMPRODUCT(INDEX($AL$72:$AN$76,,$AE564), INDEX($AO$72:$AU$76,,$AD564), 1 / ($AV$72:$AV$76*BK564 + (1-$AV$72:$AV$76)*BG564), N($AK$72:$AK$76&gt;$AI564)),
SUMPRODUCT(INDEX($AL$67:$AN$76,,$AE564), INDEX($AO$67:$AU$76,,$AD564), 1 / ($AW$67:$AW$76*BK564 + (1-$AW$67:$AW$76)*BG564), N($AK$67:$AK$76&gt;$AI564))
) / 1000</f>
        <v>0</v>
      </c>
      <c r="BM564" s="250">
        <f t="shared" si="595"/>
        <v>25</v>
      </c>
      <c r="BN564" s="237">
        <f t="shared" si="573"/>
        <v>39.516666666666666</v>
      </c>
      <c r="BO564" s="253">
        <f t="shared" si="574"/>
        <v>3.877011788826243</v>
      </c>
      <c r="BP564" s="253" cm="1">
        <f t="array" ref="BP564">$BC564 * IF($AD564&lt;=2,
SUMPRODUCT(INDEX($AL$67:$AN$71,,$AE564), INDEX($AO$67:$AU$71,,$AD564), 1 / ($AV$67:$AV$71*BO564 + (1-$AV$67:$AV$71)*BK564), N($AK$67:$AK$71&gt;$AI564)),
SUMPRODUCT(INDEX($AL$57:$AN$66,,$AE564), INDEX($AO$57:$AU$66,,$AD564), 1 / ($AW$57:$AW$66*BO564 + (1-$AW$57:$AW$66)*BK564), N($AK$57:$AK$66&gt;$AI564))
) / 1000</f>
        <v>0</v>
      </c>
      <c r="BQ564" s="250">
        <f t="shared" si="596"/>
        <v>20</v>
      </c>
      <c r="BR564" s="237">
        <f t="shared" si="575"/>
        <v>33</v>
      </c>
      <c r="BS564" s="253">
        <f t="shared" si="576"/>
        <v>4.8487499999999999</v>
      </c>
      <c r="BT564" s="253" cm="1">
        <f t="array" ref="BT564">$BC564 * IF($AD564&lt;=2,
SUMPRODUCT(INDEX($AL$62:$AN$66,,$AE564), INDEX($AO$62:$AU$66,,$AD564), 1 / ($AV$62:$AV$66*BS564 + (1-$AV$62:$AV$66)*BO564), N($AK$62:$AK$66&gt;$AI564)),
SUMPRODUCT(INDEX($AL$47:$AN$56,,$AE564), INDEX($AO$47:$AU$56,,$AD564), 1 / ($AW$47:$AW$56*BS564 + (1-$AW$47:$AW$56)*BO564), N($AK$47:$AK$56&gt;$AI564))
) / 1000</f>
        <v>0</v>
      </c>
      <c r="BU564" s="253" cm="1">
        <f t="array" ref="BU564">$BC564 * IF($AD564&lt;=2,
SUMPRODUCT(INDEX($AL$23:$AN$61,,$AE564), INDEX($AO$23:$AU$61,,$AD564), 1 / ($AV$23:$AV$61*BS564), N($AK$23:$AK$61&gt;$AI564)),
SUMPRODUCT(INDEX($AL$23:$AN$46,,$AE564), INDEX($AO$23:$AU$46,,$AD564), 1 / ($AW$23:$AW$46*BS564), N($AK$23:$AK$46&gt;$AI564))
) / 1000</f>
        <v>0</v>
      </c>
      <c r="BV564" s="237">
        <f t="shared" si="577"/>
        <v>0</v>
      </c>
      <c r="BW564" s="210"/>
      <c r="BX564" s="237">
        <f t="shared" si="578"/>
        <v>0</v>
      </c>
      <c r="BY564" s="236">
        <v>35</v>
      </c>
      <c r="BZ564" s="237">
        <f t="shared" si="579"/>
        <v>48</v>
      </c>
      <c r="CA564" s="253">
        <f t="shared" si="580"/>
        <v>3.0748170731707316</v>
      </c>
      <c r="CB564" s="253" cm="1">
        <f t="array" ref="CB564">$BC564 * SUMPRODUCT(INDEX($AL$77:$AN$82,,$AE564),INDEX($AO$77:$AU$82,,$AD564), N($AK$77:$AK$82&gt;$AI564)) / CA564 / 1000</f>
        <v>0</v>
      </c>
      <c r="CC564" s="250">
        <f t="shared" si="597"/>
        <v>30</v>
      </c>
      <c r="CD564" s="237">
        <f t="shared" si="581"/>
        <v>43</v>
      </c>
      <c r="CE564" s="253">
        <f t="shared" si="582"/>
        <v>3.5018750000000001</v>
      </c>
      <c r="CF564" s="253" cm="1">
        <f t="array" ref="CF564">$BC564 * IF($AD564&lt;=2,
SUMPRODUCT(INDEX($AL$72:$AN$76,,$AE564), INDEX($AO$72:$AU$76,,$AD564), 1 / ($AV$72:$AV$76*CE564 + (1-$AV$72:$AV$76)*CA564), N($AK$72:$AK$76&gt;$AI564)),
SUMPRODUCT(INDEX($AL$67:$AN$76,,$AE564), INDEX($AO$67:$AU$76,,$AD564), 1 / ($AW$67:$AW$76*CE564 + (1-$AW$67:$AW$76)*CA564), N($AK$67:$AK$76&gt;$AI564))
) / 1000</f>
        <v>0</v>
      </c>
      <c r="CG564" s="250">
        <f t="shared" si="598"/>
        <v>25</v>
      </c>
      <c r="CH564" s="237">
        <f t="shared" si="583"/>
        <v>38</v>
      </c>
      <c r="CI564" s="253">
        <f t="shared" si="584"/>
        <v>4.0666935483870965</v>
      </c>
      <c r="CJ564" s="253" cm="1">
        <f t="array" ref="CJ564">$BC564 * IF($AD564&lt;=2,
SUMPRODUCT(INDEX($AL$67:$AN$71,,$AE564), INDEX($AO$67:$AU$71,,$AD564), 1 / ($AV$67:$AV$71*CI564 + (1-$AV$67:$AV$71)*CE564), N($AK$67:$AK$71&gt;$AI564)),
SUMPRODUCT(INDEX($AL$57:$AN$66,,$AE564), INDEX($AO$57:$AU$66,,$AD564), 1 / ($AW$57:$AW$66*CI564 + (1-$AW$57:$AW$66)*CE564), N($AK$57:$AK$66&gt;$AI564))
) / 1000</f>
        <v>0</v>
      </c>
      <c r="CK564" s="250">
        <f t="shared" si="599"/>
        <v>20</v>
      </c>
      <c r="CL564" s="237">
        <f t="shared" si="585"/>
        <v>33</v>
      </c>
      <c r="CM564" s="253">
        <f t="shared" si="586"/>
        <v>4.8487499999999999</v>
      </c>
      <c r="CN564" s="253" cm="1">
        <f t="array" ref="CN564">$BC564 * IF($AD564&lt;=2,
SUMPRODUCT(INDEX($AL$62:$AN$66,,$AE564), INDEX($AO$62:$AU$66,,$AD564), 1 / ($AV$62:$AV$66*CM564 + (1-$AV$62:$AV$66)*CI564), N($AK$62:$AK$66&gt;$AI564)),
SUMPRODUCT(INDEX($AL$47:$AN$56,,$AE564), INDEX($AO$47:$AU$56,,$AD564), 1 / ($AW$47:$AW$56*CM564 + (1-$AW$47:$AW$56)*CI564), N($AK$47:$AK$56&gt;$AI564))
) / 1000</f>
        <v>0</v>
      </c>
      <c r="CO564" s="253" cm="1">
        <f t="array" ref="CO564">$BC564 * IF($AD564&lt;=2,
SUMPRODUCT(INDEX($AL$23:$AN$61,,$AE564), INDEX($AO$23:$AU$61,,$AD564), 1 / ($AV$23:$AV$61*CM564), N($AK$23:$AK$61&gt;$AI564)),
SUMPRODUCT(INDEX($AL$23:$AN$46,,$AE564), INDEX($AO$23:$AU$46,,$AD564), 1 / ($AW$23:$AW$46*CM564), N($AK$23:$AK$46&gt;$AI564))
) / 1000</f>
        <v>0</v>
      </c>
      <c r="CP564" s="237">
        <f t="shared" si="587"/>
        <v>0</v>
      </c>
      <c r="CQ564" s="210"/>
    </row>
    <row r="565" spans="1:95" s="76" customFormat="1" ht="14.25" customHeight="1" x14ac:dyDescent="0.2">
      <c r="A565" s="238" t="b">
        <f t="shared" si="591"/>
        <v>0</v>
      </c>
      <c r="B565" s="239">
        <v>543</v>
      </c>
      <c r="C565" s="258"/>
      <c r="D565" s="258"/>
      <c r="E565" s="240"/>
      <c r="F565" s="241" t="str">
        <f>IF(ISBLANK(E565), "", VLOOKUP(E565, Z!$A$2:$C$4127, 3, FALSE))</f>
        <v/>
      </c>
      <c r="G565" s="242"/>
      <c r="H565" s="242"/>
      <c r="I565" s="243"/>
      <c r="J565" s="244"/>
      <c r="K565" s="259"/>
      <c r="L565" s="260"/>
      <c r="M565" s="247" t="str" cm="1">
        <f t="array" ref="M565">IF($K565&gt;0, INDEX(Clean,1+AG565,$C$1), "")</f>
        <v/>
      </c>
      <c r="N565" s="245"/>
      <c r="O565" s="245"/>
      <c r="P565" s="246"/>
      <c r="Q565" s="248">
        <f t="shared" si="564"/>
        <v>0</v>
      </c>
      <c r="R565" s="247" t="str" cm="1">
        <f t="array" ref="R565">IF($K565&gt;0, INDEX(Clean,1+AH565,$C$1), "")</f>
        <v/>
      </c>
      <c r="S565" s="245"/>
      <c r="T565" s="245"/>
      <c r="U565" s="246"/>
      <c r="V565" s="248">
        <f t="shared" si="565"/>
        <v>0</v>
      </c>
      <c r="W565" s="261"/>
      <c r="X565" s="258"/>
      <c r="Y565" s="240"/>
      <c r="Z565" s="241" t="str">
        <f>IF(ISBLANK(Y565), "", VLOOKUP(Y565, Z!$A$2:$C$4127, 3, FALSE))</f>
        <v/>
      </c>
      <c r="AA565" s="262"/>
      <c r="AB565" s="249">
        <f t="shared" si="600"/>
        <v>0</v>
      </c>
      <c r="AC565" s="210"/>
      <c r="AD565" s="236">
        <f t="shared" si="588"/>
        <v>1</v>
      </c>
      <c r="AE565" s="236">
        <f t="shared" si="589"/>
        <v>1</v>
      </c>
      <c r="AF565" s="236">
        <f t="shared" si="590"/>
        <v>0</v>
      </c>
      <c r="AG565" s="236">
        <v>1</v>
      </c>
      <c r="AH565" s="236">
        <v>0</v>
      </c>
      <c r="AI565" s="236">
        <f t="shared" si="566"/>
        <v>-100</v>
      </c>
      <c r="AJ565" s="210"/>
      <c r="AK565" s="254"/>
      <c r="AL565" s="254"/>
      <c r="AM565" s="255"/>
      <c r="AN565" s="255"/>
      <c r="AO565" s="255"/>
      <c r="AP565" s="255"/>
      <c r="AQ565" s="255"/>
      <c r="AR565" s="255"/>
      <c r="AS565" s="255"/>
      <c r="AT565" s="255"/>
      <c r="AU565" s="255"/>
      <c r="AV565" s="255"/>
      <c r="AW565" s="255"/>
      <c r="AX565" s="210"/>
      <c r="AY565" s="236" cm="1">
        <f t="array" ref="AY565">INDEX(Use, $AD565, 4)</f>
        <v>7</v>
      </c>
      <c r="AZ565" s="236">
        <f t="shared" si="567"/>
        <v>32</v>
      </c>
      <c r="BA565" s="236">
        <f t="shared" si="592"/>
        <v>13</v>
      </c>
      <c r="BB565" s="236">
        <f t="shared" si="593"/>
        <v>0</v>
      </c>
      <c r="BC565" s="252" cm="1">
        <f t="array" ref="BC565">K565/IF($L565&gt;0, INDEX($AO$23:$AU$77, $L565+20, $AD565), 1)</f>
        <v>0</v>
      </c>
      <c r="BD565" s="237">
        <f t="shared" si="568"/>
        <v>0</v>
      </c>
      <c r="BE565" s="236">
        <v>35</v>
      </c>
      <c r="BF565" s="237">
        <f t="shared" si="569"/>
        <v>52.55</v>
      </c>
      <c r="BG565" s="253">
        <f t="shared" si="570"/>
        <v>2.7676728869374316</v>
      </c>
      <c r="BH565" s="253" cm="1">
        <f t="array" ref="BH565">$BC565 * SUMPRODUCT(INDEX($AL$77:$AN$82,,$AE565),INDEX($AO$77:$AU$82,,$AD565), N($AK$77:$AK$82&gt;$AI565)) / BG565 / 1000</f>
        <v>0</v>
      </c>
      <c r="BI565" s="250">
        <f t="shared" si="594"/>
        <v>30</v>
      </c>
      <c r="BJ565" s="237">
        <f t="shared" si="571"/>
        <v>46.033333333333331</v>
      </c>
      <c r="BK565" s="253">
        <f t="shared" si="572"/>
        <v>3.2297395388556791</v>
      </c>
      <c r="BL565" s="253" cm="1">
        <f t="array" ref="BL565">$BC565 * IF($AD565&lt;=2,
SUMPRODUCT(INDEX($AL$72:$AN$76,,$AE565), INDEX($AO$72:$AU$76,,$AD565), 1 / ($AV$72:$AV$76*BK565 + (1-$AV$72:$AV$76)*BG565), N($AK$72:$AK$76&gt;$AI565)),
SUMPRODUCT(INDEX($AL$67:$AN$76,,$AE565), INDEX($AO$67:$AU$76,,$AD565), 1 / ($AW$67:$AW$76*BK565 + (1-$AW$67:$AW$76)*BG565), N($AK$67:$AK$76&gt;$AI565))
) / 1000</f>
        <v>0</v>
      </c>
      <c r="BM565" s="250">
        <f t="shared" si="595"/>
        <v>25</v>
      </c>
      <c r="BN565" s="237">
        <f t="shared" si="573"/>
        <v>39.516666666666666</v>
      </c>
      <c r="BO565" s="253">
        <f t="shared" si="574"/>
        <v>3.877011788826243</v>
      </c>
      <c r="BP565" s="253" cm="1">
        <f t="array" ref="BP565">$BC565 * IF($AD565&lt;=2,
SUMPRODUCT(INDEX($AL$67:$AN$71,,$AE565), INDEX($AO$67:$AU$71,,$AD565), 1 / ($AV$67:$AV$71*BO565 + (1-$AV$67:$AV$71)*BK565), N($AK$67:$AK$71&gt;$AI565)),
SUMPRODUCT(INDEX($AL$57:$AN$66,,$AE565), INDEX($AO$57:$AU$66,,$AD565), 1 / ($AW$57:$AW$66*BO565 + (1-$AW$57:$AW$66)*BK565), N($AK$57:$AK$66&gt;$AI565))
) / 1000</f>
        <v>0</v>
      </c>
      <c r="BQ565" s="250">
        <f t="shared" si="596"/>
        <v>20</v>
      </c>
      <c r="BR565" s="237">
        <f t="shared" si="575"/>
        <v>33</v>
      </c>
      <c r="BS565" s="253">
        <f t="shared" si="576"/>
        <v>4.8487499999999999</v>
      </c>
      <c r="BT565" s="253" cm="1">
        <f t="array" ref="BT565">$BC565 * IF($AD565&lt;=2,
SUMPRODUCT(INDEX($AL$62:$AN$66,,$AE565), INDEX($AO$62:$AU$66,,$AD565), 1 / ($AV$62:$AV$66*BS565 + (1-$AV$62:$AV$66)*BO565), N($AK$62:$AK$66&gt;$AI565)),
SUMPRODUCT(INDEX($AL$47:$AN$56,,$AE565), INDEX($AO$47:$AU$56,,$AD565), 1 / ($AW$47:$AW$56*BS565 + (1-$AW$47:$AW$56)*BO565), N($AK$47:$AK$56&gt;$AI565))
) / 1000</f>
        <v>0</v>
      </c>
      <c r="BU565" s="253" cm="1">
        <f t="array" ref="BU565">$BC565 * IF($AD565&lt;=2,
SUMPRODUCT(INDEX($AL$23:$AN$61,,$AE565), INDEX($AO$23:$AU$61,,$AD565), 1 / ($AV$23:$AV$61*BS565), N($AK$23:$AK$61&gt;$AI565)),
SUMPRODUCT(INDEX($AL$23:$AN$46,,$AE565), INDEX($AO$23:$AU$46,,$AD565), 1 / ($AW$23:$AW$46*BS565), N($AK$23:$AK$46&gt;$AI565))
) / 1000</f>
        <v>0</v>
      </c>
      <c r="BV565" s="237">
        <f t="shared" si="577"/>
        <v>0</v>
      </c>
      <c r="BW565" s="210"/>
      <c r="BX565" s="237">
        <f t="shared" si="578"/>
        <v>0</v>
      </c>
      <c r="BY565" s="236">
        <v>35</v>
      </c>
      <c r="BZ565" s="237">
        <f t="shared" si="579"/>
        <v>48</v>
      </c>
      <c r="CA565" s="253">
        <f t="shared" si="580"/>
        <v>3.0748170731707316</v>
      </c>
      <c r="CB565" s="253" cm="1">
        <f t="array" ref="CB565">$BC565 * SUMPRODUCT(INDEX($AL$77:$AN$82,,$AE565),INDEX($AO$77:$AU$82,,$AD565), N($AK$77:$AK$82&gt;$AI565)) / CA565 / 1000</f>
        <v>0</v>
      </c>
      <c r="CC565" s="250">
        <f t="shared" si="597"/>
        <v>30</v>
      </c>
      <c r="CD565" s="237">
        <f t="shared" si="581"/>
        <v>43</v>
      </c>
      <c r="CE565" s="253">
        <f t="shared" si="582"/>
        <v>3.5018750000000001</v>
      </c>
      <c r="CF565" s="253" cm="1">
        <f t="array" ref="CF565">$BC565 * IF($AD565&lt;=2,
SUMPRODUCT(INDEX($AL$72:$AN$76,,$AE565), INDEX($AO$72:$AU$76,,$AD565), 1 / ($AV$72:$AV$76*CE565 + (1-$AV$72:$AV$76)*CA565), N($AK$72:$AK$76&gt;$AI565)),
SUMPRODUCT(INDEX($AL$67:$AN$76,,$AE565), INDEX($AO$67:$AU$76,,$AD565), 1 / ($AW$67:$AW$76*CE565 + (1-$AW$67:$AW$76)*CA565), N($AK$67:$AK$76&gt;$AI565))
) / 1000</f>
        <v>0</v>
      </c>
      <c r="CG565" s="250">
        <f t="shared" si="598"/>
        <v>25</v>
      </c>
      <c r="CH565" s="237">
        <f t="shared" si="583"/>
        <v>38</v>
      </c>
      <c r="CI565" s="253">
        <f t="shared" si="584"/>
        <v>4.0666935483870965</v>
      </c>
      <c r="CJ565" s="253" cm="1">
        <f t="array" ref="CJ565">$BC565 * IF($AD565&lt;=2,
SUMPRODUCT(INDEX($AL$67:$AN$71,,$AE565), INDEX($AO$67:$AU$71,,$AD565), 1 / ($AV$67:$AV$71*CI565 + (1-$AV$67:$AV$71)*CE565), N($AK$67:$AK$71&gt;$AI565)),
SUMPRODUCT(INDEX($AL$57:$AN$66,,$AE565), INDEX($AO$57:$AU$66,,$AD565), 1 / ($AW$57:$AW$66*CI565 + (1-$AW$57:$AW$66)*CE565), N($AK$57:$AK$66&gt;$AI565))
) / 1000</f>
        <v>0</v>
      </c>
      <c r="CK565" s="250">
        <f t="shared" si="599"/>
        <v>20</v>
      </c>
      <c r="CL565" s="237">
        <f t="shared" si="585"/>
        <v>33</v>
      </c>
      <c r="CM565" s="253">
        <f t="shared" si="586"/>
        <v>4.8487499999999999</v>
      </c>
      <c r="CN565" s="253" cm="1">
        <f t="array" ref="CN565">$BC565 * IF($AD565&lt;=2,
SUMPRODUCT(INDEX($AL$62:$AN$66,,$AE565), INDEX($AO$62:$AU$66,,$AD565), 1 / ($AV$62:$AV$66*CM565 + (1-$AV$62:$AV$66)*CI565), N($AK$62:$AK$66&gt;$AI565)),
SUMPRODUCT(INDEX($AL$47:$AN$56,,$AE565), INDEX($AO$47:$AU$56,,$AD565), 1 / ($AW$47:$AW$56*CM565 + (1-$AW$47:$AW$56)*CI565), N($AK$47:$AK$56&gt;$AI565))
) / 1000</f>
        <v>0</v>
      </c>
      <c r="CO565" s="253" cm="1">
        <f t="array" ref="CO565">$BC565 * IF($AD565&lt;=2,
SUMPRODUCT(INDEX($AL$23:$AN$61,,$AE565), INDEX($AO$23:$AU$61,,$AD565), 1 / ($AV$23:$AV$61*CM565), N($AK$23:$AK$61&gt;$AI565)),
SUMPRODUCT(INDEX($AL$23:$AN$46,,$AE565), INDEX($AO$23:$AU$46,,$AD565), 1 / ($AW$23:$AW$46*CM565), N($AK$23:$AK$46&gt;$AI565))
) / 1000</f>
        <v>0</v>
      </c>
      <c r="CP565" s="237">
        <f t="shared" si="587"/>
        <v>0</v>
      </c>
      <c r="CQ565" s="210"/>
    </row>
    <row r="566" spans="1:95" s="76" customFormat="1" ht="14.25" customHeight="1" x14ac:dyDescent="0.2">
      <c r="A566" s="238" t="b">
        <f t="shared" si="591"/>
        <v>0</v>
      </c>
      <c r="B566" s="239">
        <v>544</v>
      </c>
      <c r="C566" s="258"/>
      <c r="D566" s="258"/>
      <c r="E566" s="240"/>
      <c r="F566" s="241" t="str">
        <f>IF(ISBLANK(E566), "", VLOOKUP(E566, Z!$A$2:$C$4127, 3, FALSE))</f>
        <v/>
      </c>
      <c r="G566" s="242"/>
      <c r="H566" s="242"/>
      <c r="I566" s="243"/>
      <c r="J566" s="244"/>
      <c r="K566" s="259"/>
      <c r="L566" s="260"/>
      <c r="M566" s="247" t="str" cm="1">
        <f t="array" ref="M566">IF($K566&gt;0, INDEX(Clean,1+AG566,$C$1), "")</f>
        <v/>
      </c>
      <c r="N566" s="245"/>
      <c r="O566" s="245"/>
      <c r="P566" s="246"/>
      <c r="Q566" s="248">
        <f t="shared" si="564"/>
        <v>0</v>
      </c>
      <c r="R566" s="247" t="str" cm="1">
        <f t="array" ref="R566">IF($K566&gt;0, INDEX(Clean,1+AH566,$C$1), "")</f>
        <v/>
      </c>
      <c r="S566" s="245"/>
      <c r="T566" s="245"/>
      <c r="U566" s="246"/>
      <c r="V566" s="248">
        <f t="shared" si="565"/>
        <v>0</v>
      </c>
      <c r="W566" s="261"/>
      <c r="X566" s="258"/>
      <c r="Y566" s="240"/>
      <c r="Z566" s="241" t="str">
        <f>IF(ISBLANK(Y566), "", VLOOKUP(Y566, Z!$A$2:$C$4127, 3, FALSE))</f>
        <v/>
      </c>
      <c r="AA566" s="262"/>
      <c r="AB566" s="249">
        <f t="shared" si="600"/>
        <v>0</v>
      </c>
      <c r="AC566" s="210"/>
      <c r="AD566" s="236">
        <f t="shared" si="588"/>
        <v>1</v>
      </c>
      <c r="AE566" s="236">
        <f t="shared" si="589"/>
        <v>1</v>
      </c>
      <c r="AF566" s="236">
        <f t="shared" si="590"/>
        <v>0</v>
      </c>
      <c r="AG566" s="236">
        <v>1</v>
      </c>
      <c r="AH566" s="236">
        <v>0</v>
      </c>
      <c r="AI566" s="236">
        <f t="shared" si="566"/>
        <v>-100</v>
      </c>
      <c r="AJ566" s="210"/>
      <c r="AK566" s="254"/>
      <c r="AL566" s="254"/>
      <c r="AM566" s="255"/>
      <c r="AN566" s="255"/>
      <c r="AO566" s="255"/>
      <c r="AP566" s="255"/>
      <c r="AQ566" s="255"/>
      <c r="AR566" s="255"/>
      <c r="AS566" s="255"/>
      <c r="AT566" s="255"/>
      <c r="AU566" s="255"/>
      <c r="AV566" s="255"/>
      <c r="AW566" s="255"/>
      <c r="AX566" s="210"/>
      <c r="AY566" s="236" cm="1">
        <f t="array" ref="AY566">INDEX(Use, $AD566, 4)</f>
        <v>7</v>
      </c>
      <c r="AZ566" s="236">
        <f t="shared" si="567"/>
        <v>32</v>
      </c>
      <c r="BA566" s="236">
        <f t="shared" si="592"/>
        <v>13</v>
      </c>
      <c r="BB566" s="236">
        <f t="shared" si="593"/>
        <v>0</v>
      </c>
      <c r="BC566" s="252" cm="1">
        <f t="array" ref="BC566">K566/IF($L566&gt;0, INDEX($AO$23:$AU$77, $L566+20, $AD566), 1)</f>
        <v>0</v>
      </c>
      <c r="BD566" s="237">
        <f t="shared" si="568"/>
        <v>0</v>
      </c>
      <c r="BE566" s="236">
        <v>35</v>
      </c>
      <c r="BF566" s="237">
        <f t="shared" si="569"/>
        <v>52.55</v>
      </c>
      <c r="BG566" s="253">
        <f t="shared" si="570"/>
        <v>2.7676728869374316</v>
      </c>
      <c r="BH566" s="253" cm="1">
        <f t="array" ref="BH566">$BC566 * SUMPRODUCT(INDEX($AL$77:$AN$82,,$AE566),INDEX($AO$77:$AU$82,,$AD566), N($AK$77:$AK$82&gt;$AI566)) / BG566 / 1000</f>
        <v>0</v>
      </c>
      <c r="BI566" s="250">
        <f t="shared" si="594"/>
        <v>30</v>
      </c>
      <c r="BJ566" s="237">
        <f t="shared" si="571"/>
        <v>46.033333333333331</v>
      </c>
      <c r="BK566" s="253">
        <f t="shared" si="572"/>
        <v>3.2297395388556791</v>
      </c>
      <c r="BL566" s="253" cm="1">
        <f t="array" ref="BL566">$BC566 * IF($AD566&lt;=2,
SUMPRODUCT(INDEX($AL$72:$AN$76,,$AE566), INDEX($AO$72:$AU$76,,$AD566), 1 / ($AV$72:$AV$76*BK566 + (1-$AV$72:$AV$76)*BG566), N($AK$72:$AK$76&gt;$AI566)),
SUMPRODUCT(INDEX($AL$67:$AN$76,,$AE566), INDEX($AO$67:$AU$76,,$AD566), 1 / ($AW$67:$AW$76*BK566 + (1-$AW$67:$AW$76)*BG566), N($AK$67:$AK$76&gt;$AI566))
) / 1000</f>
        <v>0</v>
      </c>
      <c r="BM566" s="250">
        <f t="shared" si="595"/>
        <v>25</v>
      </c>
      <c r="BN566" s="237">
        <f t="shared" si="573"/>
        <v>39.516666666666666</v>
      </c>
      <c r="BO566" s="253">
        <f t="shared" si="574"/>
        <v>3.877011788826243</v>
      </c>
      <c r="BP566" s="253" cm="1">
        <f t="array" ref="BP566">$BC566 * IF($AD566&lt;=2,
SUMPRODUCT(INDEX($AL$67:$AN$71,,$AE566), INDEX($AO$67:$AU$71,,$AD566), 1 / ($AV$67:$AV$71*BO566 + (1-$AV$67:$AV$71)*BK566), N($AK$67:$AK$71&gt;$AI566)),
SUMPRODUCT(INDEX($AL$57:$AN$66,,$AE566), INDEX($AO$57:$AU$66,,$AD566), 1 / ($AW$57:$AW$66*BO566 + (1-$AW$57:$AW$66)*BK566), N($AK$57:$AK$66&gt;$AI566))
) / 1000</f>
        <v>0</v>
      </c>
      <c r="BQ566" s="250">
        <f t="shared" si="596"/>
        <v>20</v>
      </c>
      <c r="BR566" s="237">
        <f t="shared" si="575"/>
        <v>33</v>
      </c>
      <c r="BS566" s="253">
        <f t="shared" si="576"/>
        <v>4.8487499999999999</v>
      </c>
      <c r="BT566" s="253" cm="1">
        <f t="array" ref="BT566">$BC566 * IF($AD566&lt;=2,
SUMPRODUCT(INDEX($AL$62:$AN$66,,$AE566), INDEX($AO$62:$AU$66,,$AD566), 1 / ($AV$62:$AV$66*BS566 + (1-$AV$62:$AV$66)*BO566), N($AK$62:$AK$66&gt;$AI566)),
SUMPRODUCT(INDEX($AL$47:$AN$56,,$AE566), INDEX($AO$47:$AU$56,,$AD566), 1 / ($AW$47:$AW$56*BS566 + (1-$AW$47:$AW$56)*BO566), N($AK$47:$AK$56&gt;$AI566))
) / 1000</f>
        <v>0</v>
      </c>
      <c r="BU566" s="253" cm="1">
        <f t="array" ref="BU566">$BC566 * IF($AD566&lt;=2,
SUMPRODUCT(INDEX($AL$23:$AN$61,,$AE566), INDEX($AO$23:$AU$61,,$AD566), 1 / ($AV$23:$AV$61*BS566), N($AK$23:$AK$61&gt;$AI566)),
SUMPRODUCT(INDEX($AL$23:$AN$46,,$AE566), INDEX($AO$23:$AU$46,,$AD566), 1 / ($AW$23:$AW$46*BS566), N($AK$23:$AK$46&gt;$AI566))
) / 1000</f>
        <v>0</v>
      </c>
      <c r="BV566" s="237">
        <f t="shared" si="577"/>
        <v>0</v>
      </c>
      <c r="BW566" s="210"/>
      <c r="BX566" s="237">
        <f t="shared" si="578"/>
        <v>0</v>
      </c>
      <c r="BY566" s="236">
        <v>35</v>
      </c>
      <c r="BZ566" s="237">
        <f t="shared" si="579"/>
        <v>48</v>
      </c>
      <c r="CA566" s="253">
        <f t="shared" si="580"/>
        <v>3.0748170731707316</v>
      </c>
      <c r="CB566" s="253" cm="1">
        <f t="array" ref="CB566">$BC566 * SUMPRODUCT(INDEX($AL$77:$AN$82,,$AE566),INDEX($AO$77:$AU$82,,$AD566), N($AK$77:$AK$82&gt;$AI566)) / CA566 / 1000</f>
        <v>0</v>
      </c>
      <c r="CC566" s="250">
        <f t="shared" si="597"/>
        <v>30</v>
      </c>
      <c r="CD566" s="237">
        <f t="shared" si="581"/>
        <v>43</v>
      </c>
      <c r="CE566" s="253">
        <f t="shared" si="582"/>
        <v>3.5018750000000001</v>
      </c>
      <c r="CF566" s="253" cm="1">
        <f t="array" ref="CF566">$BC566 * IF($AD566&lt;=2,
SUMPRODUCT(INDEX($AL$72:$AN$76,,$AE566), INDEX($AO$72:$AU$76,,$AD566), 1 / ($AV$72:$AV$76*CE566 + (1-$AV$72:$AV$76)*CA566), N($AK$72:$AK$76&gt;$AI566)),
SUMPRODUCT(INDEX($AL$67:$AN$76,,$AE566), INDEX($AO$67:$AU$76,,$AD566), 1 / ($AW$67:$AW$76*CE566 + (1-$AW$67:$AW$76)*CA566), N($AK$67:$AK$76&gt;$AI566))
) / 1000</f>
        <v>0</v>
      </c>
      <c r="CG566" s="250">
        <f t="shared" si="598"/>
        <v>25</v>
      </c>
      <c r="CH566" s="237">
        <f t="shared" si="583"/>
        <v>38</v>
      </c>
      <c r="CI566" s="253">
        <f t="shared" si="584"/>
        <v>4.0666935483870965</v>
      </c>
      <c r="CJ566" s="253" cm="1">
        <f t="array" ref="CJ566">$BC566 * IF($AD566&lt;=2,
SUMPRODUCT(INDEX($AL$67:$AN$71,,$AE566), INDEX($AO$67:$AU$71,,$AD566), 1 / ($AV$67:$AV$71*CI566 + (1-$AV$67:$AV$71)*CE566), N($AK$67:$AK$71&gt;$AI566)),
SUMPRODUCT(INDEX($AL$57:$AN$66,,$AE566), INDEX($AO$57:$AU$66,,$AD566), 1 / ($AW$57:$AW$66*CI566 + (1-$AW$57:$AW$66)*CE566), N($AK$57:$AK$66&gt;$AI566))
) / 1000</f>
        <v>0</v>
      </c>
      <c r="CK566" s="250">
        <f t="shared" si="599"/>
        <v>20</v>
      </c>
      <c r="CL566" s="237">
        <f t="shared" si="585"/>
        <v>33</v>
      </c>
      <c r="CM566" s="253">
        <f t="shared" si="586"/>
        <v>4.8487499999999999</v>
      </c>
      <c r="CN566" s="253" cm="1">
        <f t="array" ref="CN566">$BC566 * IF($AD566&lt;=2,
SUMPRODUCT(INDEX($AL$62:$AN$66,,$AE566), INDEX($AO$62:$AU$66,,$AD566), 1 / ($AV$62:$AV$66*CM566 + (1-$AV$62:$AV$66)*CI566), N($AK$62:$AK$66&gt;$AI566)),
SUMPRODUCT(INDEX($AL$47:$AN$56,,$AE566), INDEX($AO$47:$AU$56,,$AD566), 1 / ($AW$47:$AW$56*CM566 + (1-$AW$47:$AW$56)*CI566), N($AK$47:$AK$56&gt;$AI566))
) / 1000</f>
        <v>0</v>
      </c>
      <c r="CO566" s="253" cm="1">
        <f t="array" ref="CO566">$BC566 * IF($AD566&lt;=2,
SUMPRODUCT(INDEX($AL$23:$AN$61,,$AE566), INDEX($AO$23:$AU$61,,$AD566), 1 / ($AV$23:$AV$61*CM566), N($AK$23:$AK$61&gt;$AI566)),
SUMPRODUCT(INDEX($AL$23:$AN$46,,$AE566), INDEX($AO$23:$AU$46,,$AD566), 1 / ($AW$23:$AW$46*CM566), N($AK$23:$AK$46&gt;$AI566))
) / 1000</f>
        <v>0</v>
      </c>
      <c r="CP566" s="237">
        <f t="shared" si="587"/>
        <v>0</v>
      </c>
      <c r="CQ566" s="210"/>
    </row>
    <row r="567" spans="1:95" s="76" customFormat="1" ht="14.25" customHeight="1" x14ac:dyDescent="0.2">
      <c r="A567" s="238" t="b">
        <f t="shared" si="591"/>
        <v>0</v>
      </c>
      <c r="B567" s="239">
        <v>545</v>
      </c>
      <c r="C567" s="258"/>
      <c r="D567" s="258"/>
      <c r="E567" s="240"/>
      <c r="F567" s="241" t="str">
        <f>IF(ISBLANK(E567), "", VLOOKUP(E567, Z!$A$2:$C$4127, 3, FALSE))</f>
        <v/>
      </c>
      <c r="G567" s="242"/>
      <c r="H567" s="242"/>
      <c r="I567" s="243"/>
      <c r="J567" s="244"/>
      <c r="K567" s="259"/>
      <c r="L567" s="260"/>
      <c r="M567" s="247" t="str" cm="1">
        <f t="array" ref="M567">IF($K567&gt;0, INDEX(Clean,1+AG567,$C$1), "")</f>
        <v/>
      </c>
      <c r="N567" s="245"/>
      <c r="O567" s="245"/>
      <c r="P567" s="246"/>
      <c r="Q567" s="248">
        <f t="shared" si="564"/>
        <v>0</v>
      </c>
      <c r="R567" s="247" t="str" cm="1">
        <f t="array" ref="R567">IF($K567&gt;0, INDEX(Clean,1+AH567,$C$1), "")</f>
        <v/>
      </c>
      <c r="S567" s="245"/>
      <c r="T567" s="245"/>
      <c r="U567" s="246"/>
      <c r="V567" s="248">
        <f t="shared" si="565"/>
        <v>0</v>
      </c>
      <c r="W567" s="261"/>
      <c r="X567" s="258"/>
      <c r="Y567" s="240"/>
      <c r="Z567" s="241" t="str">
        <f>IF(ISBLANK(Y567), "", VLOOKUP(Y567, Z!$A$2:$C$4127, 3, FALSE))</f>
        <v/>
      </c>
      <c r="AA567" s="262"/>
      <c r="AB567" s="249">
        <f t="shared" si="600"/>
        <v>0</v>
      </c>
      <c r="AC567" s="210"/>
      <c r="AD567" s="236">
        <f t="shared" si="588"/>
        <v>1</v>
      </c>
      <c r="AE567" s="236">
        <f t="shared" si="589"/>
        <v>1</v>
      </c>
      <c r="AF567" s="236">
        <f t="shared" si="590"/>
        <v>0</v>
      </c>
      <c r="AG567" s="236">
        <v>1</v>
      </c>
      <c r="AH567" s="236">
        <v>0</v>
      </c>
      <c r="AI567" s="236">
        <f t="shared" si="566"/>
        <v>-100</v>
      </c>
      <c r="AJ567" s="210"/>
      <c r="AK567" s="254"/>
      <c r="AL567" s="254"/>
      <c r="AM567" s="255"/>
      <c r="AN567" s="255"/>
      <c r="AO567" s="255"/>
      <c r="AP567" s="255"/>
      <c r="AQ567" s="255"/>
      <c r="AR567" s="255"/>
      <c r="AS567" s="255"/>
      <c r="AT567" s="255"/>
      <c r="AU567" s="255"/>
      <c r="AV567" s="255"/>
      <c r="AW567" s="255"/>
      <c r="AX567" s="210"/>
      <c r="AY567" s="236" cm="1">
        <f t="array" ref="AY567">INDEX(Use, $AD567, 4)</f>
        <v>7</v>
      </c>
      <c r="AZ567" s="236">
        <f t="shared" si="567"/>
        <v>32</v>
      </c>
      <c r="BA567" s="236">
        <f t="shared" si="592"/>
        <v>13</v>
      </c>
      <c r="BB567" s="236">
        <f t="shared" si="593"/>
        <v>0</v>
      </c>
      <c r="BC567" s="252" cm="1">
        <f t="array" ref="BC567">K567/IF($L567&gt;0, INDEX($AO$23:$AU$77, $L567+20, $AD567), 1)</f>
        <v>0</v>
      </c>
      <c r="BD567" s="237">
        <f t="shared" si="568"/>
        <v>0</v>
      </c>
      <c r="BE567" s="236">
        <v>35</v>
      </c>
      <c r="BF567" s="237">
        <f t="shared" si="569"/>
        <v>52.55</v>
      </c>
      <c r="BG567" s="253">
        <f t="shared" si="570"/>
        <v>2.7676728869374316</v>
      </c>
      <c r="BH567" s="253" cm="1">
        <f t="array" ref="BH567">$BC567 * SUMPRODUCT(INDEX($AL$77:$AN$82,,$AE567),INDEX($AO$77:$AU$82,,$AD567), N($AK$77:$AK$82&gt;$AI567)) / BG567 / 1000</f>
        <v>0</v>
      </c>
      <c r="BI567" s="250">
        <f t="shared" si="594"/>
        <v>30</v>
      </c>
      <c r="BJ567" s="237">
        <f t="shared" si="571"/>
        <v>46.033333333333331</v>
      </c>
      <c r="BK567" s="253">
        <f t="shared" si="572"/>
        <v>3.2297395388556791</v>
      </c>
      <c r="BL567" s="253" cm="1">
        <f t="array" ref="BL567">$BC567 * IF($AD567&lt;=2,
SUMPRODUCT(INDEX($AL$72:$AN$76,,$AE567), INDEX($AO$72:$AU$76,,$AD567), 1 / ($AV$72:$AV$76*BK567 + (1-$AV$72:$AV$76)*BG567), N($AK$72:$AK$76&gt;$AI567)),
SUMPRODUCT(INDEX($AL$67:$AN$76,,$AE567), INDEX($AO$67:$AU$76,,$AD567), 1 / ($AW$67:$AW$76*BK567 + (1-$AW$67:$AW$76)*BG567), N($AK$67:$AK$76&gt;$AI567))
) / 1000</f>
        <v>0</v>
      </c>
      <c r="BM567" s="250">
        <f t="shared" si="595"/>
        <v>25</v>
      </c>
      <c r="BN567" s="237">
        <f t="shared" si="573"/>
        <v>39.516666666666666</v>
      </c>
      <c r="BO567" s="253">
        <f t="shared" si="574"/>
        <v>3.877011788826243</v>
      </c>
      <c r="BP567" s="253" cm="1">
        <f t="array" ref="BP567">$BC567 * IF($AD567&lt;=2,
SUMPRODUCT(INDEX($AL$67:$AN$71,,$AE567), INDEX($AO$67:$AU$71,,$AD567), 1 / ($AV$67:$AV$71*BO567 + (1-$AV$67:$AV$71)*BK567), N($AK$67:$AK$71&gt;$AI567)),
SUMPRODUCT(INDEX($AL$57:$AN$66,,$AE567), INDEX($AO$57:$AU$66,,$AD567), 1 / ($AW$57:$AW$66*BO567 + (1-$AW$57:$AW$66)*BK567), N($AK$57:$AK$66&gt;$AI567))
) / 1000</f>
        <v>0</v>
      </c>
      <c r="BQ567" s="250">
        <f t="shared" si="596"/>
        <v>20</v>
      </c>
      <c r="BR567" s="237">
        <f t="shared" si="575"/>
        <v>33</v>
      </c>
      <c r="BS567" s="253">
        <f t="shared" si="576"/>
        <v>4.8487499999999999</v>
      </c>
      <c r="BT567" s="253" cm="1">
        <f t="array" ref="BT567">$BC567 * IF($AD567&lt;=2,
SUMPRODUCT(INDEX($AL$62:$AN$66,,$AE567), INDEX($AO$62:$AU$66,,$AD567), 1 / ($AV$62:$AV$66*BS567 + (1-$AV$62:$AV$66)*BO567), N($AK$62:$AK$66&gt;$AI567)),
SUMPRODUCT(INDEX($AL$47:$AN$56,,$AE567), INDEX($AO$47:$AU$56,,$AD567), 1 / ($AW$47:$AW$56*BS567 + (1-$AW$47:$AW$56)*BO567), N($AK$47:$AK$56&gt;$AI567))
) / 1000</f>
        <v>0</v>
      </c>
      <c r="BU567" s="253" cm="1">
        <f t="array" ref="BU567">$BC567 * IF($AD567&lt;=2,
SUMPRODUCT(INDEX($AL$23:$AN$61,,$AE567), INDEX($AO$23:$AU$61,,$AD567), 1 / ($AV$23:$AV$61*BS567), N($AK$23:$AK$61&gt;$AI567)),
SUMPRODUCT(INDEX($AL$23:$AN$46,,$AE567), INDEX($AO$23:$AU$46,,$AD567), 1 / ($AW$23:$AW$46*BS567), N($AK$23:$AK$46&gt;$AI567))
) / 1000</f>
        <v>0</v>
      </c>
      <c r="BV567" s="237">
        <f t="shared" si="577"/>
        <v>0</v>
      </c>
      <c r="BW567" s="210"/>
      <c r="BX567" s="237">
        <f t="shared" si="578"/>
        <v>0</v>
      </c>
      <c r="BY567" s="236">
        <v>35</v>
      </c>
      <c r="BZ567" s="237">
        <f t="shared" si="579"/>
        <v>48</v>
      </c>
      <c r="CA567" s="253">
        <f t="shared" si="580"/>
        <v>3.0748170731707316</v>
      </c>
      <c r="CB567" s="253" cm="1">
        <f t="array" ref="CB567">$BC567 * SUMPRODUCT(INDEX($AL$77:$AN$82,,$AE567),INDEX($AO$77:$AU$82,,$AD567), N($AK$77:$AK$82&gt;$AI567)) / CA567 / 1000</f>
        <v>0</v>
      </c>
      <c r="CC567" s="250">
        <f t="shared" si="597"/>
        <v>30</v>
      </c>
      <c r="CD567" s="237">
        <f t="shared" si="581"/>
        <v>43</v>
      </c>
      <c r="CE567" s="253">
        <f t="shared" si="582"/>
        <v>3.5018750000000001</v>
      </c>
      <c r="CF567" s="253" cm="1">
        <f t="array" ref="CF567">$BC567 * IF($AD567&lt;=2,
SUMPRODUCT(INDEX($AL$72:$AN$76,,$AE567), INDEX($AO$72:$AU$76,,$AD567), 1 / ($AV$72:$AV$76*CE567 + (1-$AV$72:$AV$76)*CA567), N($AK$72:$AK$76&gt;$AI567)),
SUMPRODUCT(INDEX($AL$67:$AN$76,,$AE567), INDEX($AO$67:$AU$76,,$AD567), 1 / ($AW$67:$AW$76*CE567 + (1-$AW$67:$AW$76)*CA567), N($AK$67:$AK$76&gt;$AI567))
) / 1000</f>
        <v>0</v>
      </c>
      <c r="CG567" s="250">
        <f t="shared" si="598"/>
        <v>25</v>
      </c>
      <c r="CH567" s="237">
        <f t="shared" si="583"/>
        <v>38</v>
      </c>
      <c r="CI567" s="253">
        <f t="shared" si="584"/>
        <v>4.0666935483870965</v>
      </c>
      <c r="CJ567" s="253" cm="1">
        <f t="array" ref="CJ567">$BC567 * IF($AD567&lt;=2,
SUMPRODUCT(INDEX($AL$67:$AN$71,,$AE567), INDEX($AO$67:$AU$71,,$AD567), 1 / ($AV$67:$AV$71*CI567 + (1-$AV$67:$AV$71)*CE567), N($AK$67:$AK$71&gt;$AI567)),
SUMPRODUCT(INDEX($AL$57:$AN$66,,$AE567), INDEX($AO$57:$AU$66,,$AD567), 1 / ($AW$57:$AW$66*CI567 + (1-$AW$57:$AW$66)*CE567), N($AK$57:$AK$66&gt;$AI567))
) / 1000</f>
        <v>0</v>
      </c>
      <c r="CK567" s="250">
        <f t="shared" si="599"/>
        <v>20</v>
      </c>
      <c r="CL567" s="237">
        <f t="shared" si="585"/>
        <v>33</v>
      </c>
      <c r="CM567" s="253">
        <f t="shared" si="586"/>
        <v>4.8487499999999999</v>
      </c>
      <c r="CN567" s="253" cm="1">
        <f t="array" ref="CN567">$BC567 * IF($AD567&lt;=2,
SUMPRODUCT(INDEX($AL$62:$AN$66,,$AE567), INDEX($AO$62:$AU$66,,$AD567), 1 / ($AV$62:$AV$66*CM567 + (1-$AV$62:$AV$66)*CI567), N($AK$62:$AK$66&gt;$AI567)),
SUMPRODUCT(INDEX($AL$47:$AN$56,,$AE567), INDEX($AO$47:$AU$56,,$AD567), 1 / ($AW$47:$AW$56*CM567 + (1-$AW$47:$AW$56)*CI567), N($AK$47:$AK$56&gt;$AI567))
) / 1000</f>
        <v>0</v>
      </c>
      <c r="CO567" s="253" cm="1">
        <f t="array" ref="CO567">$BC567 * IF($AD567&lt;=2,
SUMPRODUCT(INDEX($AL$23:$AN$61,,$AE567), INDEX($AO$23:$AU$61,,$AD567), 1 / ($AV$23:$AV$61*CM567), N($AK$23:$AK$61&gt;$AI567)),
SUMPRODUCT(INDEX($AL$23:$AN$46,,$AE567), INDEX($AO$23:$AU$46,,$AD567), 1 / ($AW$23:$AW$46*CM567), N($AK$23:$AK$46&gt;$AI567))
) / 1000</f>
        <v>0</v>
      </c>
      <c r="CP567" s="237">
        <f t="shared" si="587"/>
        <v>0</v>
      </c>
      <c r="CQ567" s="210"/>
    </row>
    <row r="568" spans="1:95" s="76" customFormat="1" ht="14.25" customHeight="1" x14ac:dyDescent="0.2">
      <c r="A568" s="238" t="b">
        <f t="shared" si="591"/>
        <v>0</v>
      </c>
      <c r="B568" s="239">
        <v>546</v>
      </c>
      <c r="C568" s="258"/>
      <c r="D568" s="258"/>
      <c r="E568" s="240"/>
      <c r="F568" s="241" t="str">
        <f>IF(ISBLANK(E568), "", VLOOKUP(E568, Z!$A$2:$C$4127, 3, FALSE))</f>
        <v/>
      </c>
      <c r="G568" s="242"/>
      <c r="H568" s="242"/>
      <c r="I568" s="243"/>
      <c r="J568" s="244"/>
      <c r="K568" s="259"/>
      <c r="L568" s="260"/>
      <c r="M568" s="247" t="str" cm="1">
        <f t="array" ref="M568">IF($K568&gt;0, INDEX(Clean,1+AG568,$C$1), "")</f>
        <v/>
      </c>
      <c r="N568" s="245"/>
      <c r="O568" s="245"/>
      <c r="P568" s="246"/>
      <c r="Q568" s="248">
        <f t="shared" si="564"/>
        <v>0</v>
      </c>
      <c r="R568" s="247" t="str" cm="1">
        <f t="array" ref="R568">IF($K568&gt;0, INDEX(Clean,1+AH568,$C$1), "")</f>
        <v/>
      </c>
      <c r="S568" s="245"/>
      <c r="T568" s="245"/>
      <c r="U568" s="246"/>
      <c r="V568" s="248">
        <f t="shared" si="565"/>
        <v>0</v>
      </c>
      <c r="W568" s="261"/>
      <c r="X568" s="258"/>
      <c r="Y568" s="240"/>
      <c r="Z568" s="241" t="str">
        <f>IF(ISBLANK(Y568), "", VLOOKUP(Y568, Z!$A$2:$C$4127, 3, FALSE))</f>
        <v/>
      </c>
      <c r="AA568" s="262"/>
      <c r="AB568" s="249">
        <f t="shared" si="600"/>
        <v>0</v>
      </c>
      <c r="AC568" s="210"/>
      <c r="AD568" s="236">
        <f t="shared" si="588"/>
        <v>1</v>
      </c>
      <c r="AE568" s="236">
        <f t="shared" si="589"/>
        <v>1</v>
      </c>
      <c r="AF568" s="236">
        <f t="shared" si="590"/>
        <v>0</v>
      </c>
      <c r="AG568" s="236">
        <v>1</v>
      </c>
      <c r="AH568" s="236">
        <v>0</v>
      </c>
      <c r="AI568" s="236">
        <f t="shared" si="566"/>
        <v>-100</v>
      </c>
      <c r="AJ568" s="210"/>
      <c r="AK568" s="254"/>
      <c r="AL568" s="254"/>
      <c r="AM568" s="255"/>
      <c r="AN568" s="255"/>
      <c r="AO568" s="255"/>
      <c r="AP568" s="255"/>
      <c r="AQ568" s="255"/>
      <c r="AR568" s="255"/>
      <c r="AS568" s="255"/>
      <c r="AT568" s="255"/>
      <c r="AU568" s="255"/>
      <c r="AV568" s="255"/>
      <c r="AW568" s="255"/>
      <c r="AX568" s="210"/>
      <c r="AY568" s="236" cm="1">
        <f t="array" ref="AY568">INDEX(Use, $AD568, 4)</f>
        <v>7</v>
      </c>
      <c r="AZ568" s="236">
        <f t="shared" si="567"/>
        <v>32</v>
      </c>
      <c r="BA568" s="236">
        <f t="shared" si="592"/>
        <v>13</v>
      </c>
      <c r="BB568" s="236">
        <f t="shared" si="593"/>
        <v>0</v>
      </c>
      <c r="BC568" s="252" cm="1">
        <f t="array" ref="BC568">K568/IF($L568&gt;0, INDEX($AO$23:$AU$77, $L568+20, $AD568), 1)</f>
        <v>0</v>
      </c>
      <c r="BD568" s="237">
        <f t="shared" si="568"/>
        <v>0</v>
      </c>
      <c r="BE568" s="236">
        <v>35</v>
      </c>
      <c r="BF568" s="237">
        <f t="shared" si="569"/>
        <v>52.55</v>
      </c>
      <c r="BG568" s="253">
        <f t="shared" si="570"/>
        <v>2.7676728869374316</v>
      </c>
      <c r="BH568" s="253" cm="1">
        <f t="array" ref="BH568">$BC568 * SUMPRODUCT(INDEX($AL$77:$AN$82,,$AE568),INDEX($AO$77:$AU$82,,$AD568), N($AK$77:$AK$82&gt;$AI568)) / BG568 / 1000</f>
        <v>0</v>
      </c>
      <c r="BI568" s="250">
        <f t="shared" si="594"/>
        <v>30</v>
      </c>
      <c r="BJ568" s="237">
        <f t="shared" si="571"/>
        <v>46.033333333333331</v>
      </c>
      <c r="BK568" s="253">
        <f t="shared" si="572"/>
        <v>3.2297395388556791</v>
      </c>
      <c r="BL568" s="253" cm="1">
        <f t="array" ref="BL568">$BC568 * IF($AD568&lt;=2,
SUMPRODUCT(INDEX($AL$72:$AN$76,,$AE568), INDEX($AO$72:$AU$76,,$AD568), 1 / ($AV$72:$AV$76*BK568 + (1-$AV$72:$AV$76)*BG568), N($AK$72:$AK$76&gt;$AI568)),
SUMPRODUCT(INDEX($AL$67:$AN$76,,$AE568), INDEX($AO$67:$AU$76,,$AD568), 1 / ($AW$67:$AW$76*BK568 + (1-$AW$67:$AW$76)*BG568), N($AK$67:$AK$76&gt;$AI568))
) / 1000</f>
        <v>0</v>
      </c>
      <c r="BM568" s="250">
        <f t="shared" si="595"/>
        <v>25</v>
      </c>
      <c r="BN568" s="237">
        <f t="shared" si="573"/>
        <v>39.516666666666666</v>
      </c>
      <c r="BO568" s="253">
        <f t="shared" si="574"/>
        <v>3.877011788826243</v>
      </c>
      <c r="BP568" s="253" cm="1">
        <f t="array" ref="BP568">$BC568 * IF($AD568&lt;=2,
SUMPRODUCT(INDEX($AL$67:$AN$71,,$AE568), INDEX($AO$67:$AU$71,,$AD568), 1 / ($AV$67:$AV$71*BO568 + (1-$AV$67:$AV$71)*BK568), N($AK$67:$AK$71&gt;$AI568)),
SUMPRODUCT(INDEX($AL$57:$AN$66,,$AE568), INDEX($AO$57:$AU$66,,$AD568), 1 / ($AW$57:$AW$66*BO568 + (1-$AW$57:$AW$66)*BK568), N($AK$57:$AK$66&gt;$AI568))
) / 1000</f>
        <v>0</v>
      </c>
      <c r="BQ568" s="250">
        <f t="shared" si="596"/>
        <v>20</v>
      </c>
      <c r="BR568" s="237">
        <f t="shared" si="575"/>
        <v>33</v>
      </c>
      <c r="BS568" s="253">
        <f t="shared" si="576"/>
        <v>4.8487499999999999</v>
      </c>
      <c r="BT568" s="253" cm="1">
        <f t="array" ref="BT568">$BC568 * IF($AD568&lt;=2,
SUMPRODUCT(INDEX($AL$62:$AN$66,,$AE568), INDEX($AO$62:$AU$66,,$AD568), 1 / ($AV$62:$AV$66*BS568 + (1-$AV$62:$AV$66)*BO568), N($AK$62:$AK$66&gt;$AI568)),
SUMPRODUCT(INDEX($AL$47:$AN$56,,$AE568), INDEX($AO$47:$AU$56,,$AD568), 1 / ($AW$47:$AW$56*BS568 + (1-$AW$47:$AW$56)*BO568), N($AK$47:$AK$56&gt;$AI568))
) / 1000</f>
        <v>0</v>
      </c>
      <c r="BU568" s="253" cm="1">
        <f t="array" ref="BU568">$BC568 * IF($AD568&lt;=2,
SUMPRODUCT(INDEX($AL$23:$AN$61,,$AE568), INDEX($AO$23:$AU$61,,$AD568), 1 / ($AV$23:$AV$61*BS568), N($AK$23:$AK$61&gt;$AI568)),
SUMPRODUCT(INDEX($AL$23:$AN$46,,$AE568), INDEX($AO$23:$AU$46,,$AD568), 1 / ($AW$23:$AW$46*BS568), N($AK$23:$AK$46&gt;$AI568))
) / 1000</f>
        <v>0</v>
      </c>
      <c r="BV568" s="237">
        <f t="shared" si="577"/>
        <v>0</v>
      </c>
      <c r="BW568" s="210"/>
      <c r="BX568" s="237">
        <f t="shared" si="578"/>
        <v>0</v>
      </c>
      <c r="BY568" s="236">
        <v>35</v>
      </c>
      <c r="BZ568" s="237">
        <f t="shared" si="579"/>
        <v>48</v>
      </c>
      <c r="CA568" s="253">
        <f t="shared" si="580"/>
        <v>3.0748170731707316</v>
      </c>
      <c r="CB568" s="253" cm="1">
        <f t="array" ref="CB568">$BC568 * SUMPRODUCT(INDEX($AL$77:$AN$82,,$AE568),INDEX($AO$77:$AU$82,,$AD568), N($AK$77:$AK$82&gt;$AI568)) / CA568 / 1000</f>
        <v>0</v>
      </c>
      <c r="CC568" s="250">
        <f t="shared" si="597"/>
        <v>30</v>
      </c>
      <c r="CD568" s="237">
        <f t="shared" si="581"/>
        <v>43</v>
      </c>
      <c r="CE568" s="253">
        <f t="shared" si="582"/>
        <v>3.5018750000000001</v>
      </c>
      <c r="CF568" s="253" cm="1">
        <f t="array" ref="CF568">$BC568 * IF($AD568&lt;=2,
SUMPRODUCT(INDEX($AL$72:$AN$76,,$AE568), INDEX($AO$72:$AU$76,,$AD568), 1 / ($AV$72:$AV$76*CE568 + (1-$AV$72:$AV$76)*CA568), N($AK$72:$AK$76&gt;$AI568)),
SUMPRODUCT(INDEX($AL$67:$AN$76,,$AE568), INDEX($AO$67:$AU$76,,$AD568), 1 / ($AW$67:$AW$76*CE568 + (1-$AW$67:$AW$76)*CA568), N($AK$67:$AK$76&gt;$AI568))
) / 1000</f>
        <v>0</v>
      </c>
      <c r="CG568" s="250">
        <f t="shared" si="598"/>
        <v>25</v>
      </c>
      <c r="CH568" s="237">
        <f t="shared" si="583"/>
        <v>38</v>
      </c>
      <c r="CI568" s="253">
        <f t="shared" si="584"/>
        <v>4.0666935483870965</v>
      </c>
      <c r="CJ568" s="253" cm="1">
        <f t="array" ref="CJ568">$BC568 * IF($AD568&lt;=2,
SUMPRODUCT(INDEX($AL$67:$AN$71,,$AE568), INDEX($AO$67:$AU$71,,$AD568), 1 / ($AV$67:$AV$71*CI568 + (1-$AV$67:$AV$71)*CE568), N($AK$67:$AK$71&gt;$AI568)),
SUMPRODUCT(INDEX($AL$57:$AN$66,,$AE568), INDEX($AO$57:$AU$66,,$AD568), 1 / ($AW$57:$AW$66*CI568 + (1-$AW$57:$AW$66)*CE568), N($AK$57:$AK$66&gt;$AI568))
) / 1000</f>
        <v>0</v>
      </c>
      <c r="CK568" s="250">
        <f t="shared" si="599"/>
        <v>20</v>
      </c>
      <c r="CL568" s="237">
        <f t="shared" si="585"/>
        <v>33</v>
      </c>
      <c r="CM568" s="253">
        <f t="shared" si="586"/>
        <v>4.8487499999999999</v>
      </c>
      <c r="CN568" s="253" cm="1">
        <f t="array" ref="CN568">$BC568 * IF($AD568&lt;=2,
SUMPRODUCT(INDEX($AL$62:$AN$66,,$AE568), INDEX($AO$62:$AU$66,,$AD568), 1 / ($AV$62:$AV$66*CM568 + (1-$AV$62:$AV$66)*CI568), N($AK$62:$AK$66&gt;$AI568)),
SUMPRODUCT(INDEX($AL$47:$AN$56,,$AE568), INDEX($AO$47:$AU$56,,$AD568), 1 / ($AW$47:$AW$56*CM568 + (1-$AW$47:$AW$56)*CI568), N($AK$47:$AK$56&gt;$AI568))
) / 1000</f>
        <v>0</v>
      </c>
      <c r="CO568" s="253" cm="1">
        <f t="array" ref="CO568">$BC568 * IF($AD568&lt;=2,
SUMPRODUCT(INDEX($AL$23:$AN$61,,$AE568), INDEX($AO$23:$AU$61,,$AD568), 1 / ($AV$23:$AV$61*CM568), N($AK$23:$AK$61&gt;$AI568)),
SUMPRODUCT(INDEX($AL$23:$AN$46,,$AE568), INDEX($AO$23:$AU$46,,$AD568), 1 / ($AW$23:$AW$46*CM568), N($AK$23:$AK$46&gt;$AI568))
) / 1000</f>
        <v>0</v>
      </c>
      <c r="CP568" s="237">
        <f t="shared" si="587"/>
        <v>0</v>
      </c>
      <c r="CQ568" s="210"/>
    </row>
    <row r="569" spans="1:95" s="76" customFormat="1" ht="14.25" customHeight="1" x14ac:dyDescent="0.2">
      <c r="A569" s="238" t="b">
        <f t="shared" si="591"/>
        <v>0</v>
      </c>
      <c r="B569" s="239">
        <v>547</v>
      </c>
      <c r="C569" s="258"/>
      <c r="D569" s="258"/>
      <c r="E569" s="240"/>
      <c r="F569" s="241" t="str">
        <f>IF(ISBLANK(E569), "", VLOOKUP(E569, Z!$A$2:$C$4127, 3, FALSE))</f>
        <v/>
      </c>
      <c r="G569" s="242"/>
      <c r="H569" s="242"/>
      <c r="I569" s="243"/>
      <c r="J569" s="244"/>
      <c r="K569" s="259"/>
      <c r="L569" s="260"/>
      <c r="M569" s="247" t="str" cm="1">
        <f t="array" ref="M569">IF($K569&gt;0, INDEX(Clean,1+AG569,$C$1), "")</f>
        <v/>
      </c>
      <c r="N569" s="245"/>
      <c r="O569" s="245"/>
      <c r="P569" s="246"/>
      <c r="Q569" s="248">
        <f t="shared" si="564"/>
        <v>0</v>
      </c>
      <c r="R569" s="247" t="str" cm="1">
        <f t="array" ref="R569">IF($K569&gt;0, INDEX(Clean,1+AH569,$C$1), "")</f>
        <v/>
      </c>
      <c r="S569" s="245"/>
      <c r="T569" s="245"/>
      <c r="U569" s="246"/>
      <c r="V569" s="248">
        <f t="shared" si="565"/>
        <v>0</v>
      </c>
      <c r="W569" s="261"/>
      <c r="X569" s="258"/>
      <c r="Y569" s="240"/>
      <c r="Z569" s="241" t="str">
        <f>IF(ISBLANK(Y569), "", VLOOKUP(Y569, Z!$A$2:$C$4127, 3, FALSE))</f>
        <v/>
      </c>
      <c r="AA569" s="262"/>
      <c r="AB569" s="249">
        <f t="shared" si="600"/>
        <v>0</v>
      </c>
      <c r="AC569" s="210"/>
      <c r="AD569" s="236">
        <f t="shared" si="588"/>
        <v>1</v>
      </c>
      <c r="AE569" s="236">
        <f t="shared" si="589"/>
        <v>1</v>
      </c>
      <c r="AF569" s="236">
        <f t="shared" si="590"/>
        <v>0</v>
      </c>
      <c r="AG569" s="236">
        <v>1</v>
      </c>
      <c r="AH569" s="236">
        <v>0</v>
      </c>
      <c r="AI569" s="236">
        <f t="shared" si="566"/>
        <v>-100</v>
      </c>
      <c r="AJ569" s="210"/>
      <c r="AK569" s="254"/>
      <c r="AL569" s="254"/>
      <c r="AM569" s="255"/>
      <c r="AN569" s="255"/>
      <c r="AO569" s="255"/>
      <c r="AP569" s="255"/>
      <c r="AQ569" s="255"/>
      <c r="AR569" s="255"/>
      <c r="AS569" s="255"/>
      <c r="AT569" s="255"/>
      <c r="AU569" s="255"/>
      <c r="AV569" s="255"/>
      <c r="AW569" s="255"/>
      <c r="AX569" s="210"/>
      <c r="AY569" s="236" cm="1">
        <f t="array" ref="AY569">INDEX(Use, $AD569, 4)</f>
        <v>7</v>
      </c>
      <c r="AZ569" s="236">
        <f t="shared" si="567"/>
        <v>32</v>
      </c>
      <c r="BA569" s="236">
        <f t="shared" si="592"/>
        <v>13</v>
      </c>
      <c r="BB569" s="236">
        <f t="shared" si="593"/>
        <v>0</v>
      </c>
      <c r="BC569" s="252" cm="1">
        <f t="array" ref="BC569">K569/IF($L569&gt;0, INDEX($AO$23:$AU$77, $L569+20, $AD569), 1)</f>
        <v>0</v>
      </c>
      <c r="BD569" s="237">
        <f t="shared" si="568"/>
        <v>0</v>
      </c>
      <c r="BE569" s="236">
        <v>35</v>
      </c>
      <c r="BF569" s="237">
        <f t="shared" si="569"/>
        <v>52.55</v>
      </c>
      <c r="BG569" s="253">
        <f t="shared" si="570"/>
        <v>2.7676728869374316</v>
      </c>
      <c r="BH569" s="253" cm="1">
        <f t="array" ref="BH569">$BC569 * SUMPRODUCT(INDEX($AL$77:$AN$82,,$AE569),INDEX($AO$77:$AU$82,,$AD569), N($AK$77:$AK$82&gt;$AI569)) / BG569 / 1000</f>
        <v>0</v>
      </c>
      <c r="BI569" s="250">
        <f t="shared" si="594"/>
        <v>30</v>
      </c>
      <c r="BJ569" s="237">
        <f t="shared" si="571"/>
        <v>46.033333333333331</v>
      </c>
      <c r="BK569" s="253">
        <f t="shared" si="572"/>
        <v>3.2297395388556791</v>
      </c>
      <c r="BL569" s="253" cm="1">
        <f t="array" ref="BL569">$BC569 * IF($AD569&lt;=2,
SUMPRODUCT(INDEX($AL$72:$AN$76,,$AE569), INDEX($AO$72:$AU$76,,$AD569), 1 / ($AV$72:$AV$76*BK569 + (1-$AV$72:$AV$76)*BG569), N($AK$72:$AK$76&gt;$AI569)),
SUMPRODUCT(INDEX($AL$67:$AN$76,,$AE569), INDEX($AO$67:$AU$76,,$AD569), 1 / ($AW$67:$AW$76*BK569 + (1-$AW$67:$AW$76)*BG569), N($AK$67:$AK$76&gt;$AI569))
) / 1000</f>
        <v>0</v>
      </c>
      <c r="BM569" s="250">
        <f t="shared" si="595"/>
        <v>25</v>
      </c>
      <c r="BN569" s="237">
        <f t="shared" si="573"/>
        <v>39.516666666666666</v>
      </c>
      <c r="BO569" s="253">
        <f t="shared" si="574"/>
        <v>3.877011788826243</v>
      </c>
      <c r="BP569" s="253" cm="1">
        <f t="array" ref="BP569">$BC569 * IF($AD569&lt;=2,
SUMPRODUCT(INDEX($AL$67:$AN$71,,$AE569), INDEX($AO$67:$AU$71,,$AD569), 1 / ($AV$67:$AV$71*BO569 + (1-$AV$67:$AV$71)*BK569), N($AK$67:$AK$71&gt;$AI569)),
SUMPRODUCT(INDEX($AL$57:$AN$66,,$AE569), INDEX($AO$57:$AU$66,,$AD569), 1 / ($AW$57:$AW$66*BO569 + (1-$AW$57:$AW$66)*BK569), N($AK$57:$AK$66&gt;$AI569))
) / 1000</f>
        <v>0</v>
      </c>
      <c r="BQ569" s="250">
        <f t="shared" si="596"/>
        <v>20</v>
      </c>
      <c r="BR569" s="237">
        <f t="shared" si="575"/>
        <v>33</v>
      </c>
      <c r="BS569" s="253">
        <f t="shared" si="576"/>
        <v>4.8487499999999999</v>
      </c>
      <c r="BT569" s="253" cm="1">
        <f t="array" ref="BT569">$BC569 * IF($AD569&lt;=2,
SUMPRODUCT(INDEX($AL$62:$AN$66,,$AE569), INDEX($AO$62:$AU$66,,$AD569), 1 / ($AV$62:$AV$66*BS569 + (1-$AV$62:$AV$66)*BO569), N($AK$62:$AK$66&gt;$AI569)),
SUMPRODUCT(INDEX($AL$47:$AN$56,,$AE569), INDEX($AO$47:$AU$56,,$AD569), 1 / ($AW$47:$AW$56*BS569 + (1-$AW$47:$AW$56)*BO569), N($AK$47:$AK$56&gt;$AI569))
) / 1000</f>
        <v>0</v>
      </c>
      <c r="BU569" s="253" cm="1">
        <f t="array" ref="BU569">$BC569 * IF($AD569&lt;=2,
SUMPRODUCT(INDEX($AL$23:$AN$61,,$AE569), INDEX($AO$23:$AU$61,,$AD569), 1 / ($AV$23:$AV$61*BS569), N($AK$23:$AK$61&gt;$AI569)),
SUMPRODUCT(INDEX($AL$23:$AN$46,,$AE569), INDEX($AO$23:$AU$46,,$AD569), 1 / ($AW$23:$AW$46*BS569), N($AK$23:$AK$46&gt;$AI569))
) / 1000</f>
        <v>0</v>
      </c>
      <c r="BV569" s="237">
        <f t="shared" si="577"/>
        <v>0</v>
      </c>
      <c r="BW569" s="210"/>
      <c r="BX569" s="237">
        <f t="shared" si="578"/>
        <v>0</v>
      </c>
      <c r="BY569" s="236">
        <v>35</v>
      </c>
      <c r="BZ569" s="237">
        <f t="shared" si="579"/>
        <v>48</v>
      </c>
      <c r="CA569" s="253">
        <f t="shared" si="580"/>
        <v>3.0748170731707316</v>
      </c>
      <c r="CB569" s="253" cm="1">
        <f t="array" ref="CB569">$BC569 * SUMPRODUCT(INDEX($AL$77:$AN$82,,$AE569),INDEX($AO$77:$AU$82,,$AD569), N($AK$77:$AK$82&gt;$AI569)) / CA569 / 1000</f>
        <v>0</v>
      </c>
      <c r="CC569" s="250">
        <f t="shared" si="597"/>
        <v>30</v>
      </c>
      <c r="CD569" s="237">
        <f t="shared" si="581"/>
        <v>43</v>
      </c>
      <c r="CE569" s="253">
        <f t="shared" si="582"/>
        <v>3.5018750000000001</v>
      </c>
      <c r="CF569" s="253" cm="1">
        <f t="array" ref="CF569">$BC569 * IF($AD569&lt;=2,
SUMPRODUCT(INDEX($AL$72:$AN$76,,$AE569), INDEX($AO$72:$AU$76,,$AD569), 1 / ($AV$72:$AV$76*CE569 + (1-$AV$72:$AV$76)*CA569), N($AK$72:$AK$76&gt;$AI569)),
SUMPRODUCT(INDEX($AL$67:$AN$76,,$AE569), INDEX($AO$67:$AU$76,,$AD569), 1 / ($AW$67:$AW$76*CE569 + (1-$AW$67:$AW$76)*CA569), N($AK$67:$AK$76&gt;$AI569))
) / 1000</f>
        <v>0</v>
      </c>
      <c r="CG569" s="250">
        <f t="shared" si="598"/>
        <v>25</v>
      </c>
      <c r="CH569" s="237">
        <f t="shared" si="583"/>
        <v>38</v>
      </c>
      <c r="CI569" s="253">
        <f t="shared" si="584"/>
        <v>4.0666935483870965</v>
      </c>
      <c r="CJ569" s="253" cm="1">
        <f t="array" ref="CJ569">$BC569 * IF($AD569&lt;=2,
SUMPRODUCT(INDEX($AL$67:$AN$71,,$AE569), INDEX($AO$67:$AU$71,,$AD569), 1 / ($AV$67:$AV$71*CI569 + (1-$AV$67:$AV$71)*CE569), N($AK$67:$AK$71&gt;$AI569)),
SUMPRODUCT(INDEX($AL$57:$AN$66,,$AE569), INDEX($AO$57:$AU$66,,$AD569), 1 / ($AW$57:$AW$66*CI569 + (1-$AW$57:$AW$66)*CE569), N($AK$57:$AK$66&gt;$AI569))
) / 1000</f>
        <v>0</v>
      </c>
      <c r="CK569" s="250">
        <f t="shared" si="599"/>
        <v>20</v>
      </c>
      <c r="CL569" s="237">
        <f t="shared" si="585"/>
        <v>33</v>
      </c>
      <c r="CM569" s="253">
        <f t="shared" si="586"/>
        <v>4.8487499999999999</v>
      </c>
      <c r="CN569" s="253" cm="1">
        <f t="array" ref="CN569">$BC569 * IF($AD569&lt;=2,
SUMPRODUCT(INDEX($AL$62:$AN$66,,$AE569), INDEX($AO$62:$AU$66,,$AD569), 1 / ($AV$62:$AV$66*CM569 + (1-$AV$62:$AV$66)*CI569), N($AK$62:$AK$66&gt;$AI569)),
SUMPRODUCT(INDEX($AL$47:$AN$56,,$AE569), INDEX($AO$47:$AU$56,,$AD569), 1 / ($AW$47:$AW$56*CM569 + (1-$AW$47:$AW$56)*CI569), N($AK$47:$AK$56&gt;$AI569))
) / 1000</f>
        <v>0</v>
      </c>
      <c r="CO569" s="253" cm="1">
        <f t="array" ref="CO569">$BC569 * IF($AD569&lt;=2,
SUMPRODUCT(INDEX($AL$23:$AN$61,,$AE569), INDEX($AO$23:$AU$61,,$AD569), 1 / ($AV$23:$AV$61*CM569), N($AK$23:$AK$61&gt;$AI569)),
SUMPRODUCT(INDEX($AL$23:$AN$46,,$AE569), INDEX($AO$23:$AU$46,,$AD569), 1 / ($AW$23:$AW$46*CM569), N($AK$23:$AK$46&gt;$AI569))
) / 1000</f>
        <v>0</v>
      </c>
      <c r="CP569" s="237">
        <f t="shared" si="587"/>
        <v>0</v>
      </c>
      <c r="CQ569" s="210"/>
    </row>
    <row r="570" spans="1:95" s="76" customFormat="1" ht="14.25" customHeight="1" x14ac:dyDescent="0.2">
      <c r="A570" s="238" t="b">
        <f t="shared" si="591"/>
        <v>0</v>
      </c>
      <c r="B570" s="239">
        <v>548</v>
      </c>
      <c r="C570" s="258"/>
      <c r="D570" s="258"/>
      <c r="E570" s="240"/>
      <c r="F570" s="241" t="str">
        <f>IF(ISBLANK(E570), "", VLOOKUP(E570, Z!$A$2:$C$4127, 3, FALSE))</f>
        <v/>
      </c>
      <c r="G570" s="242"/>
      <c r="H570" s="242"/>
      <c r="I570" s="243"/>
      <c r="J570" s="244"/>
      <c r="K570" s="259"/>
      <c r="L570" s="260"/>
      <c r="M570" s="247" t="str" cm="1">
        <f t="array" ref="M570">IF($K570&gt;0, INDEX(Clean,1+AG570,$C$1), "")</f>
        <v/>
      </c>
      <c r="N570" s="245"/>
      <c r="O570" s="245"/>
      <c r="P570" s="246"/>
      <c r="Q570" s="248">
        <f t="shared" si="564"/>
        <v>0</v>
      </c>
      <c r="R570" s="247" t="str" cm="1">
        <f t="array" ref="R570">IF($K570&gt;0, INDEX(Clean,1+AH570,$C$1), "")</f>
        <v/>
      </c>
      <c r="S570" s="245"/>
      <c r="T570" s="245"/>
      <c r="U570" s="246"/>
      <c r="V570" s="248">
        <f t="shared" si="565"/>
        <v>0</v>
      </c>
      <c r="W570" s="261"/>
      <c r="X570" s="258"/>
      <c r="Y570" s="240"/>
      <c r="Z570" s="241" t="str">
        <f>IF(ISBLANK(Y570), "", VLOOKUP(Y570, Z!$A$2:$C$4127, 3, FALSE))</f>
        <v/>
      </c>
      <c r="AA570" s="262"/>
      <c r="AB570" s="249">
        <f t="shared" si="600"/>
        <v>0</v>
      </c>
      <c r="AC570" s="210"/>
      <c r="AD570" s="236">
        <f t="shared" si="588"/>
        <v>1</v>
      </c>
      <c r="AE570" s="236">
        <f t="shared" si="589"/>
        <v>1</v>
      </c>
      <c r="AF570" s="236">
        <f t="shared" si="590"/>
        <v>0</v>
      </c>
      <c r="AG570" s="236">
        <v>1</v>
      </c>
      <c r="AH570" s="236">
        <v>0</v>
      </c>
      <c r="AI570" s="236">
        <f t="shared" si="566"/>
        <v>-100</v>
      </c>
      <c r="AJ570" s="210"/>
      <c r="AK570" s="254"/>
      <c r="AL570" s="254"/>
      <c r="AM570" s="255"/>
      <c r="AN570" s="255"/>
      <c r="AO570" s="255"/>
      <c r="AP570" s="255"/>
      <c r="AQ570" s="255"/>
      <c r="AR570" s="255"/>
      <c r="AS570" s="255"/>
      <c r="AT570" s="255"/>
      <c r="AU570" s="255"/>
      <c r="AV570" s="255"/>
      <c r="AW570" s="255"/>
      <c r="AX570" s="210"/>
      <c r="AY570" s="236" cm="1">
        <f t="array" ref="AY570">INDEX(Use, $AD570, 4)</f>
        <v>7</v>
      </c>
      <c r="AZ570" s="236">
        <f t="shared" si="567"/>
        <v>32</v>
      </c>
      <c r="BA570" s="236">
        <f t="shared" si="592"/>
        <v>13</v>
      </c>
      <c r="BB570" s="236">
        <f t="shared" si="593"/>
        <v>0</v>
      </c>
      <c r="BC570" s="252" cm="1">
        <f t="array" ref="BC570">K570/IF($L570&gt;0, INDEX($AO$23:$AU$77, $L570+20, $AD570), 1)</f>
        <v>0</v>
      </c>
      <c r="BD570" s="237">
        <f t="shared" si="568"/>
        <v>0</v>
      </c>
      <c r="BE570" s="236">
        <v>35</v>
      </c>
      <c r="BF570" s="237">
        <f t="shared" si="569"/>
        <v>52.55</v>
      </c>
      <c r="BG570" s="253">
        <f t="shared" si="570"/>
        <v>2.7676728869374316</v>
      </c>
      <c r="BH570" s="253" cm="1">
        <f t="array" ref="BH570">$BC570 * SUMPRODUCT(INDEX($AL$77:$AN$82,,$AE570),INDEX($AO$77:$AU$82,,$AD570), N($AK$77:$AK$82&gt;$AI570)) / BG570 / 1000</f>
        <v>0</v>
      </c>
      <c r="BI570" s="250">
        <f t="shared" si="594"/>
        <v>30</v>
      </c>
      <c r="BJ570" s="237">
        <f t="shared" si="571"/>
        <v>46.033333333333331</v>
      </c>
      <c r="BK570" s="253">
        <f t="shared" si="572"/>
        <v>3.2297395388556791</v>
      </c>
      <c r="BL570" s="253" cm="1">
        <f t="array" ref="BL570">$BC570 * IF($AD570&lt;=2,
SUMPRODUCT(INDEX($AL$72:$AN$76,,$AE570), INDEX($AO$72:$AU$76,,$AD570), 1 / ($AV$72:$AV$76*BK570 + (1-$AV$72:$AV$76)*BG570), N($AK$72:$AK$76&gt;$AI570)),
SUMPRODUCT(INDEX($AL$67:$AN$76,,$AE570), INDEX($AO$67:$AU$76,,$AD570), 1 / ($AW$67:$AW$76*BK570 + (1-$AW$67:$AW$76)*BG570), N($AK$67:$AK$76&gt;$AI570))
) / 1000</f>
        <v>0</v>
      </c>
      <c r="BM570" s="250">
        <f t="shared" si="595"/>
        <v>25</v>
      </c>
      <c r="BN570" s="237">
        <f t="shared" si="573"/>
        <v>39.516666666666666</v>
      </c>
      <c r="BO570" s="253">
        <f t="shared" si="574"/>
        <v>3.877011788826243</v>
      </c>
      <c r="BP570" s="253" cm="1">
        <f t="array" ref="BP570">$BC570 * IF($AD570&lt;=2,
SUMPRODUCT(INDEX($AL$67:$AN$71,,$AE570), INDEX($AO$67:$AU$71,,$AD570), 1 / ($AV$67:$AV$71*BO570 + (1-$AV$67:$AV$71)*BK570), N($AK$67:$AK$71&gt;$AI570)),
SUMPRODUCT(INDEX($AL$57:$AN$66,,$AE570), INDEX($AO$57:$AU$66,,$AD570), 1 / ($AW$57:$AW$66*BO570 + (1-$AW$57:$AW$66)*BK570), N($AK$57:$AK$66&gt;$AI570))
) / 1000</f>
        <v>0</v>
      </c>
      <c r="BQ570" s="250">
        <f t="shared" si="596"/>
        <v>20</v>
      </c>
      <c r="BR570" s="237">
        <f t="shared" si="575"/>
        <v>33</v>
      </c>
      <c r="BS570" s="253">
        <f t="shared" si="576"/>
        <v>4.8487499999999999</v>
      </c>
      <c r="BT570" s="253" cm="1">
        <f t="array" ref="BT570">$BC570 * IF($AD570&lt;=2,
SUMPRODUCT(INDEX($AL$62:$AN$66,,$AE570), INDEX($AO$62:$AU$66,,$AD570), 1 / ($AV$62:$AV$66*BS570 + (1-$AV$62:$AV$66)*BO570), N($AK$62:$AK$66&gt;$AI570)),
SUMPRODUCT(INDEX($AL$47:$AN$56,,$AE570), INDEX($AO$47:$AU$56,,$AD570), 1 / ($AW$47:$AW$56*BS570 + (1-$AW$47:$AW$56)*BO570), N($AK$47:$AK$56&gt;$AI570))
) / 1000</f>
        <v>0</v>
      </c>
      <c r="BU570" s="253" cm="1">
        <f t="array" ref="BU570">$BC570 * IF($AD570&lt;=2,
SUMPRODUCT(INDEX($AL$23:$AN$61,,$AE570), INDEX($AO$23:$AU$61,,$AD570), 1 / ($AV$23:$AV$61*BS570), N($AK$23:$AK$61&gt;$AI570)),
SUMPRODUCT(INDEX($AL$23:$AN$46,,$AE570), INDEX($AO$23:$AU$46,,$AD570), 1 / ($AW$23:$AW$46*BS570), N($AK$23:$AK$46&gt;$AI570))
) / 1000</f>
        <v>0</v>
      </c>
      <c r="BV570" s="237">
        <f t="shared" si="577"/>
        <v>0</v>
      </c>
      <c r="BW570" s="210"/>
      <c r="BX570" s="237">
        <f t="shared" si="578"/>
        <v>0</v>
      </c>
      <c r="BY570" s="236">
        <v>35</v>
      </c>
      <c r="BZ570" s="237">
        <f t="shared" si="579"/>
        <v>48</v>
      </c>
      <c r="CA570" s="253">
        <f t="shared" si="580"/>
        <v>3.0748170731707316</v>
      </c>
      <c r="CB570" s="253" cm="1">
        <f t="array" ref="CB570">$BC570 * SUMPRODUCT(INDEX($AL$77:$AN$82,,$AE570),INDEX($AO$77:$AU$82,,$AD570), N($AK$77:$AK$82&gt;$AI570)) / CA570 / 1000</f>
        <v>0</v>
      </c>
      <c r="CC570" s="250">
        <f t="shared" si="597"/>
        <v>30</v>
      </c>
      <c r="CD570" s="237">
        <f t="shared" si="581"/>
        <v>43</v>
      </c>
      <c r="CE570" s="253">
        <f t="shared" si="582"/>
        <v>3.5018750000000001</v>
      </c>
      <c r="CF570" s="253" cm="1">
        <f t="array" ref="CF570">$BC570 * IF($AD570&lt;=2,
SUMPRODUCT(INDEX($AL$72:$AN$76,,$AE570), INDEX($AO$72:$AU$76,,$AD570), 1 / ($AV$72:$AV$76*CE570 + (1-$AV$72:$AV$76)*CA570), N($AK$72:$AK$76&gt;$AI570)),
SUMPRODUCT(INDEX($AL$67:$AN$76,,$AE570), INDEX($AO$67:$AU$76,,$AD570), 1 / ($AW$67:$AW$76*CE570 + (1-$AW$67:$AW$76)*CA570), N($AK$67:$AK$76&gt;$AI570))
) / 1000</f>
        <v>0</v>
      </c>
      <c r="CG570" s="250">
        <f t="shared" si="598"/>
        <v>25</v>
      </c>
      <c r="CH570" s="237">
        <f t="shared" si="583"/>
        <v>38</v>
      </c>
      <c r="CI570" s="253">
        <f t="shared" si="584"/>
        <v>4.0666935483870965</v>
      </c>
      <c r="CJ570" s="253" cm="1">
        <f t="array" ref="CJ570">$BC570 * IF($AD570&lt;=2,
SUMPRODUCT(INDEX($AL$67:$AN$71,,$AE570), INDEX($AO$67:$AU$71,,$AD570), 1 / ($AV$67:$AV$71*CI570 + (1-$AV$67:$AV$71)*CE570), N($AK$67:$AK$71&gt;$AI570)),
SUMPRODUCT(INDEX($AL$57:$AN$66,,$AE570), INDEX($AO$57:$AU$66,,$AD570), 1 / ($AW$57:$AW$66*CI570 + (1-$AW$57:$AW$66)*CE570), N($AK$57:$AK$66&gt;$AI570))
) / 1000</f>
        <v>0</v>
      </c>
      <c r="CK570" s="250">
        <f t="shared" si="599"/>
        <v>20</v>
      </c>
      <c r="CL570" s="237">
        <f t="shared" si="585"/>
        <v>33</v>
      </c>
      <c r="CM570" s="253">
        <f t="shared" si="586"/>
        <v>4.8487499999999999</v>
      </c>
      <c r="CN570" s="253" cm="1">
        <f t="array" ref="CN570">$BC570 * IF($AD570&lt;=2,
SUMPRODUCT(INDEX($AL$62:$AN$66,,$AE570), INDEX($AO$62:$AU$66,,$AD570), 1 / ($AV$62:$AV$66*CM570 + (1-$AV$62:$AV$66)*CI570), N($AK$62:$AK$66&gt;$AI570)),
SUMPRODUCT(INDEX($AL$47:$AN$56,,$AE570), INDEX($AO$47:$AU$56,,$AD570), 1 / ($AW$47:$AW$56*CM570 + (1-$AW$47:$AW$56)*CI570), N($AK$47:$AK$56&gt;$AI570))
) / 1000</f>
        <v>0</v>
      </c>
      <c r="CO570" s="253" cm="1">
        <f t="array" ref="CO570">$BC570 * IF($AD570&lt;=2,
SUMPRODUCT(INDEX($AL$23:$AN$61,,$AE570), INDEX($AO$23:$AU$61,,$AD570), 1 / ($AV$23:$AV$61*CM570), N($AK$23:$AK$61&gt;$AI570)),
SUMPRODUCT(INDEX($AL$23:$AN$46,,$AE570), INDEX($AO$23:$AU$46,,$AD570), 1 / ($AW$23:$AW$46*CM570), N($AK$23:$AK$46&gt;$AI570))
) / 1000</f>
        <v>0</v>
      </c>
      <c r="CP570" s="237">
        <f t="shared" si="587"/>
        <v>0</v>
      </c>
      <c r="CQ570" s="210"/>
    </row>
    <row r="571" spans="1:95" s="76" customFormat="1" ht="14.25" customHeight="1" x14ac:dyDescent="0.2">
      <c r="A571" s="238" t="b">
        <f t="shared" si="591"/>
        <v>0</v>
      </c>
      <c r="B571" s="239">
        <v>549</v>
      </c>
      <c r="C571" s="258"/>
      <c r="D571" s="258"/>
      <c r="E571" s="240"/>
      <c r="F571" s="241" t="str">
        <f>IF(ISBLANK(E571), "", VLOOKUP(E571, Z!$A$2:$C$4127, 3, FALSE))</f>
        <v/>
      </c>
      <c r="G571" s="242"/>
      <c r="H571" s="242"/>
      <c r="I571" s="243"/>
      <c r="J571" s="244"/>
      <c r="K571" s="259"/>
      <c r="L571" s="260"/>
      <c r="M571" s="247" t="str" cm="1">
        <f t="array" ref="M571">IF($K571&gt;0, INDEX(Clean,1+AG571,$C$1), "")</f>
        <v/>
      </c>
      <c r="N571" s="245"/>
      <c r="O571" s="245"/>
      <c r="P571" s="246"/>
      <c r="Q571" s="248">
        <f t="shared" ref="Q571:Q634" si="601">BV571*1000</f>
        <v>0</v>
      </c>
      <c r="R571" s="247" t="str" cm="1">
        <f t="array" ref="R571">IF($K571&gt;0, INDEX(Clean,1+AH571,$C$1), "")</f>
        <v/>
      </c>
      <c r="S571" s="245"/>
      <c r="T571" s="245"/>
      <c r="U571" s="246"/>
      <c r="V571" s="248">
        <f t="shared" ref="V571:V634" si="602">CP571*1000</f>
        <v>0</v>
      </c>
      <c r="W571" s="261"/>
      <c r="X571" s="258"/>
      <c r="Y571" s="240"/>
      <c r="Z571" s="241" t="str">
        <f>IF(ISBLANK(Y571), "", VLOOKUP(Y571, Z!$A$2:$C$4127, 3, FALSE))</f>
        <v/>
      </c>
      <c r="AA571" s="262"/>
      <c r="AB571" s="249">
        <f t="shared" si="600"/>
        <v>0</v>
      </c>
      <c r="AC571" s="210"/>
      <c r="AD571" s="236">
        <f t="shared" si="588"/>
        <v>1</v>
      </c>
      <c r="AE571" s="236">
        <f t="shared" si="589"/>
        <v>1</v>
      </c>
      <c r="AF571" s="236">
        <f t="shared" si="590"/>
        <v>0</v>
      </c>
      <c r="AG571" s="236">
        <v>1</v>
      </c>
      <c r="AH571" s="236">
        <v>0</v>
      </c>
      <c r="AI571" s="236">
        <f t="shared" ref="AI571:AI634" si="603">IF(AND(J571="x", AD571=5), 11, IF(AND(J571="x", AD571=6), 19, -100))</f>
        <v>-100</v>
      </c>
      <c r="AJ571" s="210"/>
      <c r="AK571" s="254"/>
      <c r="AL571" s="254"/>
      <c r="AM571" s="255"/>
      <c r="AN571" s="255"/>
      <c r="AO571" s="255"/>
      <c r="AP571" s="255"/>
      <c r="AQ571" s="255"/>
      <c r="AR571" s="255"/>
      <c r="AS571" s="255"/>
      <c r="AT571" s="255"/>
      <c r="AU571" s="255"/>
      <c r="AV571" s="255"/>
      <c r="AW571" s="255"/>
      <c r="AX571" s="210"/>
      <c r="AY571" s="236" cm="1">
        <f t="array" ref="AY571">INDEX(Use, $AD571, 4)</f>
        <v>7</v>
      </c>
      <c r="AZ571" s="236">
        <f t="shared" ref="AZ571:AZ634" si="604">MAX(25, AY571+25)</f>
        <v>32</v>
      </c>
      <c r="BA571" s="236">
        <f t="shared" si="592"/>
        <v>13</v>
      </c>
      <c r="BB571" s="236">
        <f t="shared" si="593"/>
        <v>0</v>
      </c>
      <c r="BC571" s="252" cm="1">
        <f t="array" ref="BC571">K571/IF($L571&gt;0, INDEX($AO$23:$AU$77, $L571+20, $AD571), 1)</f>
        <v>0</v>
      </c>
      <c r="BD571" s="237">
        <f t="shared" ref="BD571:BD634" si="605">P571 /  IF(AD571&lt;=2, 0.7 + 0.3 * (O571-20)/(35-20), 0.4 + 0.6 * (O571-5)/(35-5))</f>
        <v>0</v>
      </c>
      <c r="BE571" s="236">
        <v>35</v>
      </c>
      <c r="BF571" s="237">
        <f t="shared" ref="BF571:BF634" si="606">MAX($N571, MAX($AZ571, $BE571 + $BA571 + $BB571 + 0.35*$AG571*$BA571 + BD571))</f>
        <v>52.55</v>
      </c>
      <c r="BG571" s="253">
        <f t="shared" ref="BG571:BG634" si="607">0.45*($AY571+273.15)/(BF571-$AY571)</f>
        <v>2.7676728869374316</v>
      </c>
      <c r="BH571" s="253" cm="1">
        <f t="array" ref="BH571">$BC571 * SUMPRODUCT(INDEX($AL$77:$AN$82,,$AE571),INDEX($AO$77:$AU$82,,$AD571), N($AK$77:$AK$82&gt;$AI571)) / BG571 / 1000</f>
        <v>0</v>
      </c>
      <c r="BI571" s="250">
        <f t="shared" si="594"/>
        <v>30</v>
      </c>
      <c r="BJ571" s="237">
        <f t="shared" ref="BJ571:BJ634" si="608">MAX($N571, MAX($AZ571, BI571 + $BA571 + $BB571 + IF($AD571&lt;=2, (BI571-20)/(35-20), 0.6+0.4*(BI571-5)/(35-5))*0.35*$AG571*$BA571) + IF($AD571&lt;=2,0.9,0.8)*$BD571)</f>
        <v>46.033333333333331</v>
      </c>
      <c r="BK571" s="253">
        <f t="shared" ref="BK571:BK634" si="609">0.45*($AY571+273.15)/(BJ571-$AY571)</f>
        <v>3.2297395388556791</v>
      </c>
      <c r="BL571" s="253" cm="1">
        <f t="array" ref="BL571">$BC571 * IF($AD571&lt;=2,
SUMPRODUCT(INDEX($AL$72:$AN$76,,$AE571), INDEX($AO$72:$AU$76,,$AD571), 1 / ($AV$72:$AV$76*BK571 + (1-$AV$72:$AV$76)*BG571), N($AK$72:$AK$76&gt;$AI571)),
SUMPRODUCT(INDEX($AL$67:$AN$76,,$AE571), INDEX($AO$67:$AU$76,,$AD571), 1 / ($AW$67:$AW$76*BK571 + (1-$AW$67:$AW$76)*BG571), N($AK$67:$AK$76&gt;$AI571))
) / 1000</f>
        <v>0</v>
      </c>
      <c r="BM571" s="250">
        <f t="shared" si="595"/>
        <v>25</v>
      </c>
      <c r="BN571" s="237">
        <f t="shared" ref="BN571:BN634" si="610">MAX($N571, MAX($AZ571, BM571 + $BA571 + $BB571 + IF($AD571&lt;=2, (BM571-20)/(35-20), 0.6+0.4*(BM571-5)/(35-5))*0.35*$AG571*$BA571) + IF($AD571&lt;=2,0.8,0.6)*$BD571)</f>
        <v>39.516666666666666</v>
      </c>
      <c r="BO571" s="253">
        <f t="shared" ref="BO571:BO634" si="611">0.45*($AY571+273.15)/(BN571-$AY571)</f>
        <v>3.877011788826243</v>
      </c>
      <c r="BP571" s="253" cm="1">
        <f t="array" ref="BP571">$BC571 * IF($AD571&lt;=2,
SUMPRODUCT(INDEX($AL$67:$AN$71,,$AE571), INDEX($AO$67:$AU$71,,$AD571), 1 / ($AV$67:$AV$71*BO571 + (1-$AV$67:$AV$71)*BK571), N($AK$67:$AK$71&gt;$AI571)),
SUMPRODUCT(INDEX($AL$57:$AN$66,,$AE571), INDEX($AO$57:$AU$66,,$AD571), 1 / ($AW$57:$AW$66*BO571 + (1-$AW$57:$AW$66)*BK571), N($AK$57:$AK$66&gt;$AI571))
) / 1000</f>
        <v>0</v>
      </c>
      <c r="BQ571" s="250">
        <f t="shared" si="596"/>
        <v>20</v>
      </c>
      <c r="BR571" s="237">
        <f t="shared" ref="BR571:BR634" si="612">MAX($N571, MAX($AZ571, BQ571 + $BA571 + $BB571 + IF($AD571&lt;=2, (BQ571-20)/(35-20), 0.6+0.4*(BQ571-5)/(35-5))*0.35*$AG571*$BA571) + IF($AD571&lt;=2,0.7,0.4)*$BD571)</f>
        <v>33</v>
      </c>
      <c r="BS571" s="253">
        <f t="shared" ref="BS571:BS634" si="613">0.45*($AY571+273.15)/(BR571-$AY571)</f>
        <v>4.8487499999999999</v>
      </c>
      <c r="BT571" s="253" cm="1">
        <f t="array" ref="BT571">$BC571 * IF($AD571&lt;=2,
SUMPRODUCT(INDEX($AL$62:$AN$66,,$AE571), INDEX($AO$62:$AU$66,,$AD571), 1 / ($AV$62:$AV$66*BS571 + (1-$AV$62:$AV$66)*BO571), N($AK$62:$AK$66&gt;$AI571)),
SUMPRODUCT(INDEX($AL$47:$AN$56,,$AE571), INDEX($AO$47:$AU$56,,$AD571), 1 / ($AW$47:$AW$56*BS571 + (1-$AW$47:$AW$56)*BO571), N($AK$47:$AK$56&gt;$AI571))
) / 1000</f>
        <v>0</v>
      </c>
      <c r="BU571" s="253" cm="1">
        <f t="array" ref="BU571">$BC571 * IF($AD571&lt;=2,
SUMPRODUCT(INDEX($AL$23:$AN$61,,$AE571), INDEX($AO$23:$AU$61,,$AD571), 1 / ($AV$23:$AV$61*BS571), N($AK$23:$AK$61&gt;$AI571)),
SUMPRODUCT(INDEX($AL$23:$AN$46,,$AE571), INDEX($AO$23:$AU$46,,$AD571), 1 / ($AW$23:$AW$46*BS571), N($AK$23:$AK$46&gt;$AI571))
) / 1000</f>
        <v>0</v>
      </c>
      <c r="BV571" s="237">
        <f t="shared" ref="BV571:BV634" si="614">BH571+BL571+BP571+BT571+BU571</f>
        <v>0</v>
      </c>
      <c r="BW571" s="210"/>
      <c r="BX571" s="237">
        <f t="shared" ref="BX571:BX634" si="615">U571 /  IF(AD571&lt;=2, 0.7 + 0.3 * (T571-20)/(35-20), 0.4 + 0.6 * (T571-5)/(35-5))</f>
        <v>0</v>
      </c>
      <c r="BY571" s="236">
        <v>35</v>
      </c>
      <c r="BZ571" s="237">
        <f t="shared" ref="BZ571:BZ634" si="616">MAX($S571, MAX($AZ571, $BE571 + $BA571 + $BB571 + 0.35*$AH571*$BA571 + BX571))</f>
        <v>48</v>
      </c>
      <c r="CA571" s="253">
        <f t="shared" ref="CA571:CA634" si="617">0.45*($AY571+273.15)/(BZ571-$AY571)</f>
        <v>3.0748170731707316</v>
      </c>
      <c r="CB571" s="253" cm="1">
        <f t="array" ref="CB571">$BC571 * SUMPRODUCT(INDEX($AL$77:$AN$82,,$AE571),INDEX($AO$77:$AU$82,,$AD571), N($AK$77:$AK$82&gt;$AI571)) / CA571 / 1000</f>
        <v>0</v>
      </c>
      <c r="CC571" s="250">
        <f t="shared" si="597"/>
        <v>30</v>
      </c>
      <c r="CD571" s="237">
        <f t="shared" ref="CD571:CD634" si="618">MAX($S571, MAX($AZ571, CC571 + $BA571 + $BB571 + IF($AD571&lt;=2, (CC571-20)/(35-20), 0.6+0.4*(CC571-5)/(35-5))*0.35*$AH571*$BA571) + IF($AD571&lt;=2,0.9,0.8)*$BX571)</f>
        <v>43</v>
      </c>
      <c r="CE571" s="253">
        <f t="shared" ref="CE571:CE634" si="619">0.45*($AY571+273.15)/(CD571-$AY571)</f>
        <v>3.5018750000000001</v>
      </c>
      <c r="CF571" s="253" cm="1">
        <f t="array" ref="CF571">$BC571 * IF($AD571&lt;=2,
SUMPRODUCT(INDEX($AL$72:$AN$76,,$AE571), INDEX($AO$72:$AU$76,,$AD571), 1 / ($AV$72:$AV$76*CE571 + (1-$AV$72:$AV$76)*CA571), N($AK$72:$AK$76&gt;$AI571)),
SUMPRODUCT(INDEX($AL$67:$AN$76,,$AE571), INDEX($AO$67:$AU$76,,$AD571), 1 / ($AW$67:$AW$76*CE571 + (1-$AW$67:$AW$76)*CA571), N($AK$67:$AK$76&gt;$AI571))
) / 1000</f>
        <v>0</v>
      </c>
      <c r="CG571" s="250">
        <f t="shared" si="598"/>
        <v>25</v>
      </c>
      <c r="CH571" s="237">
        <f t="shared" ref="CH571:CH634" si="620">MAX($S571, MAX($AZ571, CG571 + $BA571 + $BB571 + IF($AD571&lt;=2, (CG571-20)/(35-20), 0.6+0.4*(CG571-5)/(35-5))*0.35*$AH571*$BA571) + IF($AD571&lt;=2,0.8,0.6)*$BX571)</f>
        <v>38</v>
      </c>
      <c r="CI571" s="253">
        <f t="shared" ref="CI571:CI634" si="621">0.45*($AY571+273.15)/(CH571-$AY571)</f>
        <v>4.0666935483870965</v>
      </c>
      <c r="CJ571" s="253" cm="1">
        <f t="array" ref="CJ571">$BC571 * IF($AD571&lt;=2,
SUMPRODUCT(INDEX($AL$67:$AN$71,,$AE571), INDEX($AO$67:$AU$71,,$AD571), 1 / ($AV$67:$AV$71*CI571 + (1-$AV$67:$AV$71)*CE571), N($AK$67:$AK$71&gt;$AI571)),
SUMPRODUCT(INDEX($AL$57:$AN$66,,$AE571), INDEX($AO$57:$AU$66,,$AD571), 1 / ($AW$57:$AW$66*CI571 + (1-$AW$57:$AW$66)*CE571), N($AK$57:$AK$66&gt;$AI571))
) / 1000</f>
        <v>0</v>
      </c>
      <c r="CK571" s="250">
        <f t="shared" si="599"/>
        <v>20</v>
      </c>
      <c r="CL571" s="237">
        <f t="shared" ref="CL571:CL634" si="622">MAX($S571, MAX($AZ571, CK571 + $BA571 + $BB571 + IF($AD571&lt;=2, (CK571-20)/(35-20), 0.6+0.4*(CK571-5)/(35-5))*0.35*$AH571*$BA571) + IF($AD571&lt;=2,0.7,0.4)*$BX571)</f>
        <v>33</v>
      </c>
      <c r="CM571" s="253">
        <f t="shared" ref="CM571:CM634" si="623">0.45*($AY571+273.15)/(CL571-$AY571)</f>
        <v>4.8487499999999999</v>
      </c>
      <c r="CN571" s="253" cm="1">
        <f t="array" ref="CN571">$BC571 * IF($AD571&lt;=2,
SUMPRODUCT(INDEX($AL$62:$AN$66,,$AE571), INDEX($AO$62:$AU$66,,$AD571), 1 / ($AV$62:$AV$66*CM571 + (1-$AV$62:$AV$66)*CI571), N($AK$62:$AK$66&gt;$AI571)),
SUMPRODUCT(INDEX($AL$47:$AN$56,,$AE571), INDEX($AO$47:$AU$56,,$AD571), 1 / ($AW$47:$AW$56*CM571 + (1-$AW$47:$AW$56)*CI571), N($AK$47:$AK$56&gt;$AI571))
) / 1000</f>
        <v>0</v>
      </c>
      <c r="CO571" s="253" cm="1">
        <f t="array" ref="CO571">$BC571 * IF($AD571&lt;=2,
SUMPRODUCT(INDEX($AL$23:$AN$61,,$AE571), INDEX($AO$23:$AU$61,,$AD571), 1 / ($AV$23:$AV$61*CM571), N($AK$23:$AK$61&gt;$AI571)),
SUMPRODUCT(INDEX($AL$23:$AN$46,,$AE571), INDEX($AO$23:$AU$46,,$AD571), 1 / ($AW$23:$AW$46*CM571), N($AK$23:$AK$46&gt;$AI571))
) / 1000</f>
        <v>0</v>
      </c>
      <c r="CP571" s="237">
        <f t="shared" ref="CP571:CP634" si="624">CB571+CF571+CJ571+CN571+CO571</f>
        <v>0</v>
      </c>
      <c r="CQ571" s="210"/>
    </row>
    <row r="572" spans="1:95" s="76" customFormat="1" ht="14.25" customHeight="1" x14ac:dyDescent="0.2">
      <c r="A572" s="238" t="b">
        <f t="shared" si="591"/>
        <v>0</v>
      </c>
      <c r="B572" s="239">
        <v>550</v>
      </c>
      <c r="C572" s="258"/>
      <c r="D572" s="258"/>
      <c r="E572" s="240"/>
      <c r="F572" s="241" t="str">
        <f>IF(ISBLANK(E572), "", VLOOKUP(E572, Z!$A$2:$C$4127, 3, FALSE))</f>
        <v/>
      </c>
      <c r="G572" s="242"/>
      <c r="H572" s="242"/>
      <c r="I572" s="243"/>
      <c r="J572" s="244"/>
      <c r="K572" s="259"/>
      <c r="L572" s="260"/>
      <c r="M572" s="247" t="str" cm="1">
        <f t="array" ref="M572">IF($K572&gt;0, INDEX(Clean,1+AG572,$C$1), "")</f>
        <v/>
      </c>
      <c r="N572" s="245"/>
      <c r="O572" s="245"/>
      <c r="P572" s="246"/>
      <c r="Q572" s="248">
        <f t="shared" si="601"/>
        <v>0</v>
      </c>
      <c r="R572" s="247" t="str" cm="1">
        <f t="array" ref="R572">IF($K572&gt;0, INDEX(Clean,1+AH572,$C$1), "")</f>
        <v/>
      </c>
      <c r="S572" s="245"/>
      <c r="T572" s="245"/>
      <c r="U572" s="246"/>
      <c r="V572" s="248">
        <f t="shared" si="602"/>
        <v>0</v>
      </c>
      <c r="W572" s="261"/>
      <c r="X572" s="258"/>
      <c r="Y572" s="240"/>
      <c r="Z572" s="241" t="str">
        <f>IF(ISBLANK(Y572), "", VLOOKUP(Y572, Z!$A$2:$C$4127, 3, FALSE))</f>
        <v/>
      </c>
      <c r="AA572" s="262"/>
      <c r="AB572" s="249">
        <f t="shared" si="600"/>
        <v>0</v>
      </c>
      <c r="AC572" s="210"/>
      <c r="AD572" s="236">
        <f t="shared" ref="AD572:AD635" si="625">IF(ISBLANK(H572), 1, IFERROR(MATCH(H572, INDEX(Use,,1), 0), IFERROR(MATCH(H572, INDEX(Use,,2), 0), MATCH(H572, INDEX(Use,,3), 0))))</f>
        <v>1</v>
      </c>
      <c r="AE572" s="236">
        <f t="shared" ref="AE572:AE635" si="626">IF(ISBLANK(G572), 1, IFERROR(MATCH(G572, INDEX(Loc,,1), 0), IFERROR(MATCH(G572, INDEX(Loc,,2), 0), MATCH(G572, INDEX(Loc,,3), 0))))</f>
        <v>1</v>
      </c>
      <c r="AF572" s="236">
        <f t="shared" ref="AF572:AF635" si="627">_xlfn.IFNA(IF(IFERROR(MATCH(I572, INDEX(Medium,,1), 0), IFERROR(MATCH(I572, INDEX(Medium,,2), 0), MATCH(I572, INDEX(Medium,,3), 0))) = 2, 1, 0), 0)</f>
        <v>0</v>
      </c>
      <c r="AG572" s="236">
        <v>1</v>
      </c>
      <c r="AH572" s="236">
        <v>0</v>
      </c>
      <c r="AI572" s="236">
        <f t="shared" si="603"/>
        <v>-100</v>
      </c>
      <c r="AJ572" s="210"/>
      <c r="AK572" s="254"/>
      <c r="AL572" s="254"/>
      <c r="AM572" s="255"/>
      <c r="AN572" s="255"/>
      <c r="AO572" s="255"/>
      <c r="AP572" s="255"/>
      <c r="AQ572" s="255"/>
      <c r="AR572" s="255"/>
      <c r="AS572" s="255"/>
      <c r="AT572" s="255"/>
      <c r="AU572" s="255"/>
      <c r="AV572" s="255"/>
      <c r="AW572" s="255"/>
      <c r="AX572" s="210"/>
      <c r="AY572" s="236" cm="1">
        <f t="array" ref="AY572">INDEX(Use, $AD572, 4)</f>
        <v>7</v>
      </c>
      <c r="AZ572" s="236">
        <f t="shared" si="604"/>
        <v>32</v>
      </c>
      <c r="BA572" s="236">
        <f t="shared" si="592"/>
        <v>13</v>
      </c>
      <c r="BB572" s="236">
        <f t="shared" si="593"/>
        <v>0</v>
      </c>
      <c r="BC572" s="252" cm="1">
        <f t="array" ref="BC572">K572/IF($L572&gt;0, INDEX($AO$23:$AU$77, $L572+20, $AD572), 1)</f>
        <v>0</v>
      </c>
      <c r="BD572" s="237">
        <f t="shared" si="605"/>
        <v>0</v>
      </c>
      <c r="BE572" s="236">
        <v>35</v>
      </c>
      <c r="BF572" s="237">
        <f t="shared" si="606"/>
        <v>52.55</v>
      </c>
      <c r="BG572" s="253">
        <f t="shared" si="607"/>
        <v>2.7676728869374316</v>
      </c>
      <c r="BH572" s="253" cm="1">
        <f t="array" ref="BH572">$BC572 * SUMPRODUCT(INDEX($AL$77:$AN$82,,$AE572),INDEX($AO$77:$AU$82,,$AD572), N($AK$77:$AK$82&gt;$AI572)) / BG572 / 1000</f>
        <v>0</v>
      </c>
      <c r="BI572" s="250">
        <f t="shared" si="594"/>
        <v>30</v>
      </c>
      <c r="BJ572" s="237">
        <f t="shared" si="608"/>
        <v>46.033333333333331</v>
      </c>
      <c r="BK572" s="253">
        <f t="shared" si="609"/>
        <v>3.2297395388556791</v>
      </c>
      <c r="BL572" s="253" cm="1">
        <f t="array" ref="BL572">$BC572 * IF($AD572&lt;=2,
SUMPRODUCT(INDEX($AL$72:$AN$76,,$AE572), INDEX($AO$72:$AU$76,,$AD572), 1 / ($AV$72:$AV$76*BK572 + (1-$AV$72:$AV$76)*BG572), N($AK$72:$AK$76&gt;$AI572)),
SUMPRODUCT(INDEX($AL$67:$AN$76,,$AE572), INDEX($AO$67:$AU$76,,$AD572), 1 / ($AW$67:$AW$76*BK572 + (1-$AW$67:$AW$76)*BG572), N($AK$67:$AK$76&gt;$AI572))
) / 1000</f>
        <v>0</v>
      </c>
      <c r="BM572" s="250">
        <f t="shared" si="595"/>
        <v>25</v>
      </c>
      <c r="BN572" s="237">
        <f t="shared" si="610"/>
        <v>39.516666666666666</v>
      </c>
      <c r="BO572" s="253">
        <f t="shared" si="611"/>
        <v>3.877011788826243</v>
      </c>
      <c r="BP572" s="253" cm="1">
        <f t="array" ref="BP572">$BC572 * IF($AD572&lt;=2,
SUMPRODUCT(INDEX($AL$67:$AN$71,,$AE572), INDEX($AO$67:$AU$71,,$AD572), 1 / ($AV$67:$AV$71*BO572 + (1-$AV$67:$AV$71)*BK572), N($AK$67:$AK$71&gt;$AI572)),
SUMPRODUCT(INDEX($AL$57:$AN$66,,$AE572), INDEX($AO$57:$AU$66,,$AD572), 1 / ($AW$57:$AW$66*BO572 + (1-$AW$57:$AW$66)*BK572), N($AK$57:$AK$66&gt;$AI572))
) / 1000</f>
        <v>0</v>
      </c>
      <c r="BQ572" s="250">
        <f t="shared" si="596"/>
        <v>20</v>
      </c>
      <c r="BR572" s="237">
        <f t="shared" si="612"/>
        <v>33</v>
      </c>
      <c r="BS572" s="253">
        <f t="shared" si="613"/>
        <v>4.8487499999999999</v>
      </c>
      <c r="BT572" s="253" cm="1">
        <f t="array" ref="BT572">$BC572 * IF($AD572&lt;=2,
SUMPRODUCT(INDEX($AL$62:$AN$66,,$AE572), INDEX($AO$62:$AU$66,,$AD572), 1 / ($AV$62:$AV$66*BS572 + (1-$AV$62:$AV$66)*BO572), N($AK$62:$AK$66&gt;$AI572)),
SUMPRODUCT(INDEX($AL$47:$AN$56,,$AE572), INDEX($AO$47:$AU$56,,$AD572), 1 / ($AW$47:$AW$56*BS572 + (1-$AW$47:$AW$56)*BO572), N($AK$47:$AK$56&gt;$AI572))
) / 1000</f>
        <v>0</v>
      </c>
      <c r="BU572" s="253" cm="1">
        <f t="array" ref="BU572">$BC572 * IF($AD572&lt;=2,
SUMPRODUCT(INDEX($AL$23:$AN$61,,$AE572), INDEX($AO$23:$AU$61,,$AD572), 1 / ($AV$23:$AV$61*BS572), N($AK$23:$AK$61&gt;$AI572)),
SUMPRODUCT(INDEX($AL$23:$AN$46,,$AE572), INDEX($AO$23:$AU$46,,$AD572), 1 / ($AW$23:$AW$46*BS572), N($AK$23:$AK$46&gt;$AI572))
) / 1000</f>
        <v>0</v>
      </c>
      <c r="BV572" s="237">
        <f t="shared" si="614"/>
        <v>0</v>
      </c>
      <c r="BW572" s="210"/>
      <c r="BX572" s="237">
        <f t="shared" si="615"/>
        <v>0</v>
      </c>
      <c r="BY572" s="236">
        <v>35</v>
      </c>
      <c r="BZ572" s="237">
        <f t="shared" si="616"/>
        <v>48</v>
      </c>
      <c r="CA572" s="253">
        <f t="shared" si="617"/>
        <v>3.0748170731707316</v>
      </c>
      <c r="CB572" s="253" cm="1">
        <f t="array" ref="CB572">$BC572 * SUMPRODUCT(INDEX($AL$77:$AN$82,,$AE572),INDEX($AO$77:$AU$82,,$AD572), N($AK$77:$AK$82&gt;$AI572)) / CA572 / 1000</f>
        <v>0</v>
      </c>
      <c r="CC572" s="250">
        <f t="shared" si="597"/>
        <v>30</v>
      </c>
      <c r="CD572" s="237">
        <f t="shared" si="618"/>
        <v>43</v>
      </c>
      <c r="CE572" s="253">
        <f t="shared" si="619"/>
        <v>3.5018750000000001</v>
      </c>
      <c r="CF572" s="253" cm="1">
        <f t="array" ref="CF572">$BC572 * IF($AD572&lt;=2,
SUMPRODUCT(INDEX($AL$72:$AN$76,,$AE572), INDEX($AO$72:$AU$76,,$AD572), 1 / ($AV$72:$AV$76*CE572 + (1-$AV$72:$AV$76)*CA572), N($AK$72:$AK$76&gt;$AI572)),
SUMPRODUCT(INDEX($AL$67:$AN$76,,$AE572), INDEX($AO$67:$AU$76,,$AD572), 1 / ($AW$67:$AW$76*CE572 + (1-$AW$67:$AW$76)*CA572), N($AK$67:$AK$76&gt;$AI572))
) / 1000</f>
        <v>0</v>
      </c>
      <c r="CG572" s="250">
        <f t="shared" si="598"/>
        <v>25</v>
      </c>
      <c r="CH572" s="237">
        <f t="shared" si="620"/>
        <v>38</v>
      </c>
      <c r="CI572" s="253">
        <f t="shared" si="621"/>
        <v>4.0666935483870965</v>
      </c>
      <c r="CJ572" s="253" cm="1">
        <f t="array" ref="CJ572">$BC572 * IF($AD572&lt;=2,
SUMPRODUCT(INDEX($AL$67:$AN$71,,$AE572), INDEX($AO$67:$AU$71,,$AD572), 1 / ($AV$67:$AV$71*CI572 + (1-$AV$67:$AV$71)*CE572), N($AK$67:$AK$71&gt;$AI572)),
SUMPRODUCT(INDEX($AL$57:$AN$66,,$AE572), INDEX($AO$57:$AU$66,,$AD572), 1 / ($AW$57:$AW$66*CI572 + (1-$AW$57:$AW$66)*CE572), N($AK$57:$AK$66&gt;$AI572))
) / 1000</f>
        <v>0</v>
      </c>
      <c r="CK572" s="250">
        <f t="shared" si="599"/>
        <v>20</v>
      </c>
      <c r="CL572" s="237">
        <f t="shared" si="622"/>
        <v>33</v>
      </c>
      <c r="CM572" s="253">
        <f t="shared" si="623"/>
        <v>4.8487499999999999</v>
      </c>
      <c r="CN572" s="253" cm="1">
        <f t="array" ref="CN572">$BC572 * IF($AD572&lt;=2,
SUMPRODUCT(INDEX($AL$62:$AN$66,,$AE572), INDEX($AO$62:$AU$66,,$AD572), 1 / ($AV$62:$AV$66*CM572 + (1-$AV$62:$AV$66)*CI572), N($AK$62:$AK$66&gt;$AI572)),
SUMPRODUCT(INDEX($AL$47:$AN$56,,$AE572), INDEX($AO$47:$AU$56,,$AD572), 1 / ($AW$47:$AW$56*CM572 + (1-$AW$47:$AW$56)*CI572), N($AK$47:$AK$56&gt;$AI572))
) / 1000</f>
        <v>0</v>
      </c>
      <c r="CO572" s="253" cm="1">
        <f t="array" ref="CO572">$BC572 * IF($AD572&lt;=2,
SUMPRODUCT(INDEX($AL$23:$AN$61,,$AE572), INDEX($AO$23:$AU$61,,$AD572), 1 / ($AV$23:$AV$61*CM572), N($AK$23:$AK$61&gt;$AI572)),
SUMPRODUCT(INDEX($AL$23:$AN$46,,$AE572), INDEX($AO$23:$AU$46,,$AD572), 1 / ($AW$23:$AW$46*CM572), N($AK$23:$AK$46&gt;$AI572))
) / 1000</f>
        <v>0</v>
      </c>
      <c r="CP572" s="237">
        <f t="shared" si="624"/>
        <v>0</v>
      </c>
      <c r="CQ572" s="210"/>
    </row>
    <row r="573" spans="1:95" s="76" customFormat="1" ht="14.25" customHeight="1" x14ac:dyDescent="0.2">
      <c r="A573" s="238" t="b">
        <f t="shared" si="591"/>
        <v>0</v>
      </c>
      <c r="B573" s="239">
        <v>551</v>
      </c>
      <c r="C573" s="258"/>
      <c r="D573" s="258"/>
      <c r="E573" s="240"/>
      <c r="F573" s="241" t="str">
        <f>IF(ISBLANK(E573), "", VLOOKUP(E573, Z!$A$2:$C$4127, 3, FALSE))</f>
        <v/>
      </c>
      <c r="G573" s="242"/>
      <c r="H573" s="242"/>
      <c r="I573" s="243"/>
      <c r="J573" s="244"/>
      <c r="K573" s="259"/>
      <c r="L573" s="260"/>
      <c r="M573" s="247" t="str" cm="1">
        <f t="array" ref="M573">IF($K573&gt;0, INDEX(Clean,1+AG573,$C$1), "")</f>
        <v/>
      </c>
      <c r="N573" s="245"/>
      <c r="O573" s="245"/>
      <c r="P573" s="246"/>
      <c r="Q573" s="248">
        <f t="shared" si="601"/>
        <v>0</v>
      </c>
      <c r="R573" s="247" t="str" cm="1">
        <f t="array" ref="R573">IF($K573&gt;0, INDEX(Clean,1+AH573,$C$1), "")</f>
        <v/>
      </c>
      <c r="S573" s="245"/>
      <c r="T573" s="245"/>
      <c r="U573" s="246"/>
      <c r="V573" s="248">
        <f t="shared" si="602"/>
        <v>0</v>
      </c>
      <c r="W573" s="261"/>
      <c r="X573" s="258"/>
      <c r="Y573" s="240"/>
      <c r="Z573" s="241" t="str">
        <f>IF(ISBLANK(Y573), "", VLOOKUP(Y573, Z!$A$2:$C$4127, 3, FALSE))</f>
        <v/>
      </c>
      <c r="AA573" s="262"/>
      <c r="AB573" s="249">
        <f t="shared" si="600"/>
        <v>0</v>
      </c>
      <c r="AC573" s="210"/>
      <c r="AD573" s="236">
        <f t="shared" si="625"/>
        <v>1</v>
      </c>
      <c r="AE573" s="236">
        <f t="shared" si="626"/>
        <v>1</v>
      </c>
      <c r="AF573" s="236">
        <f t="shared" si="627"/>
        <v>0</v>
      </c>
      <c r="AG573" s="236">
        <v>1</v>
      </c>
      <c r="AH573" s="236">
        <v>0</v>
      </c>
      <c r="AI573" s="236">
        <f t="shared" si="603"/>
        <v>-100</v>
      </c>
      <c r="AJ573" s="210"/>
      <c r="AK573" s="254"/>
      <c r="AL573" s="254"/>
      <c r="AM573" s="255"/>
      <c r="AN573" s="255"/>
      <c r="AO573" s="255"/>
      <c r="AP573" s="255"/>
      <c r="AQ573" s="255"/>
      <c r="AR573" s="255"/>
      <c r="AS573" s="255"/>
      <c r="AT573" s="255"/>
      <c r="AU573" s="255"/>
      <c r="AV573" s="255"/>
      <c r="AW573" s="255"/>
      <c r="AX573" s="210"/>
      <c r="AY573" s="236" cm="1">
        <f t="array" ref="AY573">INDEX(Use, $AD573, 4)</f>
        <v>7</v>
      </c>
      <c r="AZ573" s="236">
        <f t="shared" si="604"/>
        <v>32</v>
      </c>
      <c r="BA573" s="236">
        <f t="shared" si="592"/>
        <v>13</v>
      </c>
      <c r="BB573" s="236">
        <f t="shared" si="593"/>
        <v>0</v>
      </c>
      <c r="BC573" s="252" cm="1">
        <f t="array" ref="BC573">K573/IF($L573&gt;0, INDEX($AO$23:$AU$77, $L573+20, $AD573), 1)</f>
        <v>0</v>
      </c>
      <c r="BD573" s="237">
        <f t="shared" si="605"/>
        <v>0</v>
      </c>
      <c r="BE573" s="236">
        <v>35</v>
      </c>
      <c r="BF573" s="237">
        <f t="shared" si="606"/>
        <v>52.55</v>
      </c>
      <c r="BG573" s="253">
        <f t="shared" si="607"/>
        <v>2.7676728869374316</v>
      </c>
      <c r="BH573" s="253" cm="1">
        <f t="array" ref="BH573">$BC573 * SUMPRODUCT(INDEX($AL$77:$AN$82,,$AE573),INDEX($AO$77:$AU$82,,$AD573), N($AK$77:$AK$82&gt;$AI573)) / BG573 / 1000</f>
        <v>0</v>
      </c>
      <c r="BI573" s="250">
        <f t="shared" si="594"/>
        <v>30</v>
      </c>
      <c r="BJ573" s="237">
        <f t="shared" si="608"/>
        <v>46.033333333333331</v>
      </c>
      <c r="BK573" s="253">
        <f t="shared" si="609"/>
        <v>3.2297395388556791</v>
      </c>
      <c r="BL573" s="253" cm="1">
        <f t="array" ref="BL573">$BC573 * IF($AD573&lt;=2,
SUMPRODUCT(INDEX($AL$72:$AN$76,,$AE573), INDEX($AO$72:$AU$76,,$AD573), 1 / ($AV$72:$AV$76*BK573 + (1-$AV$72:$AV$76)*BG573), N($AK$72:$AK$76&gt;$AI573)),
SUMPRODUCT(INDEX($AL$67:$AN$76,,$AE573), INDEX($AO$67:$AU$76,,$AD573), 1 / ($AW$67:$AW$76*BK573 + (1-$AW$67:$AW$76)*BG573), N($AK$67:$AK$76&gt;$AI573))
) / 1000</f>
        <v>0</v>
      </c>
      <c r="BM573" s="250">
        <f t="shared" si="595"/>
        <v>25</v>
      </c>
      <c r="BN573" s="237">
        <f t="shared" si="610"/>
        <v>39.516666666666666</v>
      </c>
      <c r="BO573" s="253">
        <f t="shared" si="611"/>
        <v>3.877011788826243</v>
      </c>
      <c r="BP573" s="253" cm="1">
        <f t="array" ref="BP573">$BC573 * IF($AD573&lt;=2,
SUMPRODUCT(INDEX($AL$67:$AN$71,,$AE573), INDEX($AO$67:$AU$71,,$AD573), 1 / ($AV$67:$AV$71*BO573 + (1-$AV$67:$AV$71)*BK573), N($AK$67:$AK$71&gt;$AI573)),
SUMPRODUCT(INDEX($AL$57:$AN$66,,$AE573), INDEX($AO$57:$AU$66,,$AD573), 1 / ($AW$57:$AW$66*BO573 + (1-$AW$57:$AW$66)*BK573), N($AK$57:$AK$66&gt;$AI573))
) / 1000</f>
        <v>0</v>
      </c>
      <c r="BQ573" s="250">
        <f t="shared" si="596"/>
        <v>20</v>
      </c>
      <c r="BR573" s="237">
        <f t="shared" si="612"/>
        <v>33</v>
      </c>
      <c r="BS573" s="253">
        <f t="shared" si="613"/>
        <v>4.8487499999999999</v>
      </c>
      <c r="BT573" s="253" cm="1">
        <f t="array" ref="BT573">$BC573 * IF($AD573&lt;=2,
SUMPRODUCT(INDEX($AL$62:$AN$66,,$AE573), INDEX($AO$62:$AU$66,,$AD573), 1 / ($AV$62:$AV$66*BS573 + (1-$AV$62:$AV$66)*BO573), N($AK$62:$AK$66&gt;$AI573)),
SUMPRODUCT(INDEX($AL$47:$AN$56,,$AE573), INDEX($AO$47:$AU$56,,$AD573), 1 / ($AW$47:$AW$56*BS573 + (1-$AW$47:$AW$56)*BO573), N($AK$47:$AK$56&gt;$AI573))
) / 1000</f>
        <v>0</v>
      </c>
      <c r="BU573" s="253" cm="1">
        <f t="array" ref="BU573">$BC573 * IF($AD573&lt;=2,
SUMPRODUCT(INDEX($AL$23:$AN$61,,$AE573), INDEX($AO$23:$AU$61,,$AD573), 1 / ($AV$23:$AV$61*BS573), N($AK$23:$AK$61&gt;$AI573)),
SUMPRODUCT(INDEX($AL$23:$AN$46,,$AE573), INDEX($AO$23:$AU$46,,$AD573), 1 / ($AW$23:$AW$46*BS573), N($AK$23:$AK$46&gt;$AI573))
) / 1000</f>
        <v>0</v>
      </c>
      <c r="BV573" s="237">
        <f t="shared" si="614"/>
        <v>0</v>
      </c>
      <c r="BW573" s="210"/>
      <c r="BX573" s="237">
        <f t="shared" si="615"/>
        <v>0</v>
      </c>
      <c r="BY573" s="236">
        <v>35</v>
      </c>
      <c r="BZ573" s="237">
        <f t="shared" si="616"/>
        <v>48</v>
      </c>
      <c r="CA573" s="253">
        <f t="shared" si="617"/>
        <v>3.0748170731707316</v>
      </c>
      <c r="CB573" s="253" cm="1">
        <f t="array" ref="CB573">$BC573 * SUMPRODUCT(INDEX($AL$77:$AN$82,,$AE573),INDEX($AO$77:$AU$82,,$AD573), N($AK$77:$AK$82&gt;$AI573)) / CA573 / 1000</f>
        <v>0</v>
      </c>
      <c r="CC573" s="250">
        <f t="shared" si="597"/>
        <v>30</v>
      </c>
      <c r="CD573" s="237">
        <f t="shared" si="618"/>
        <v>43</v>
      </c>
      <c r="CE573" s="253">
        <f t="shared" si="619"/>
        <v>3.5018750000000001</v>
      </c>
      <c r="CF573" s="253" cm="1">
        <f t="array" ref="CF573">$BC573 * IF($AD573&lt;=2,
SUMPRODUCT(INDEX($AL$72:$AN$76,,$AE573), INDEX($AO$72:$AU$76,,$AD573), 1 / ($AV$72:$AV$76*CE573 + (1-$AV$72:$AV$76)*CA573), N($AK$72:$AK$76&gt;$AI573)),
SUMPRODUCT(INDEX($AL$67:$AN$76,,$AE573), INDEX($AO$67:$AU$76,,$AD573), 1 / ($AW$67:$AW$76*CE573 + (1-$AW$67:$AW$76)*CA573), N($AK$67:$AK$76&gt;$AI573))
) / 1000</f>
        <v>0</v>
      </c>
      <c r="CG573" s="250">
        <f t="shared" si="598"/>
        <v>25</v>
      </c>
      <c r="CH573" s="237">
        <f t="shared" si="620"/>
        <v>38</v>
      </c>
      <c r="CI573" s="253">
        <f t="shared" si="621"/>
        <v>4.0666935483870965</v>
      </c>
      <c r="CJ573" s="253" cm="1">
        <f t="array" ref="CJ573">$BC573 * IF($AD573&lt;=2,
SUMPRODUCT(INDEX($AL$67:$AN$71,,$AE573), INDEX($AO$67:$AU$71,,$AD573), 1 / ($AV$67:$AV$71*CI573 + (1-$AV$67:$AV$71)*CE573), N($AK$67:$AK$71&gt;$AI573)),
SUMPRODUCT(INDEX($AL$57:$AN$66,,$AE573), INDEX($AO$57:$AU$66,,$AD573), 1 / ($AW$57:$AW$66*CI573 + (1-$AW$57:$AW$66)*CE573), N($AK$57:$AK$66&gt;$AI573))
) / 1000</f>
        <v>0</v>
      </c>
      <c r="CK573" s="250">
        <f t="shared" si="599"/>
        <v>20</v>
      </c>
      <c r="CL573" s="237">
        <f t="shared" si="622"/>
        <v>33</v>
      </c>
      <c r="CM573" s="253">
        <f t="shared" si="623"/>
        <v>4.8487499999999999</v>
      </c>
      <c r="CN573" s="253" cm="1">
        <f t="array" ref="CN573">$BC573 * IF($AD573&lt;=2,
SUMPRODUCT(INDEX($AL$62:$AN$66,,$AE573), INDEX($AO$62:$AU$66,,$AD573), 1 / ($AV$62:$AV$66*CM573 + (1-$AV$62:$AV$66)*CI573), N($AK$62:$AK$66&gt;$AI573)),
SUMPRODUCT(INDEX($AL$47:$AN$56,,$AE573), INDEX($AO$47:$AU$56,,$AD573), 1 / ($AW$47:$AW$56*CM573 + (1-$AW$47:$AW$56)*CI573), N($AK$47:$AK$56&gt;$AI573))
) / 1000</f>
        <v>0</v>
      </c>
      <c r="CO573" s="253" cm="1">
        <f t="array" ref="CO573">$BC573 * IF($AD573&lt;=2,
SUMPRODUCT(INDEX($AL$23:$AN$61,,$AE573), INDEX($AO$23:$AU$61,,$AD573), 1 / ($AV$23:$AV$61*CM573), N($AK$23:$AK$61&gt;$AI573)),
SUMPRODUCT(INDEX($AL$23:$AN$46,,$AE573), INDEX($AO$23:$AU$46,,$AD573), 1 / ($AW$23:$AW$46*CM573), N($AK$23:$AK$46&gt;$AI573))
) / 1000</f>
        <v>0</v>
      </c>
      <c r="CP573" s="237">
        <f t="shared" si="624"/>
        <v>0</v>
      </c>
      <c r="CQ573" s="210"/>
    </row>
    <row r="574" spans="1:95" s="76" customFormat="1" ht="14.25" customHeight="1" x14ac:dyDescent="0.2">
      <c r="A574" s="238" t="b">
        <f t="shared" si="591"/>
        <v>0</v>
      </c>
      <c r="B574" s="239">
        <v>552</v>
      </c>
      <c r="C574" s="258"/>
      <c r="D574" s="258"/>
      <c r="E574" s="240"/>
      <c r="F574" s="241" t="str">
        <f>IF(ISBLANK(E574), "", VLOOKUP(E574, Z!$A$2:$C$4127, 3, FALSE))</f>
        <v/>
      </c>
      <c r="G574" s="242"/>
      <c r="H574" s="242"/>
      <c r="I574" s="243"/>
      <c r="J574" s="244"/>
      <c r="K574" s="259"/>
      <c r="L574" s="260"/>
      <c r="M574" s="247" t="str" cm="1">
        <f t="array" ref="M574">IF($K574&gt;0, INDEX(Clean,1+AG574,$C$1), "")</f>
        <v/>
      </c>
      <c r="N574" s="245"/>
      <c r="O574" s="245"/>
      <c r="P574" s="246"/>
      <c r="Q574" s="248">
        <f t="shared" si="601"/>
        <v>0</v>
      </c>
      <c r="R574" s="247" t="str" cm="1">
        <f t="array" ref="R574">IF($K574&gt;0, INDEX(Clean,1+AH574,$C$1), "")</f>
        <v/>
      </c>
      <c r="S574" s="245"/>
      <c r="T574" s="245"/>
      <c r="U574" s="246"/>
      <c r="V574" s="248">
        <f t="shared" si="602"/>
        <v>0</v>
      </c>
      <c r="W574" s="261"/>
      <c r="X574" s="258"/>
      <c r="Y574" s="240"/>
      <c r="Z574" s="241" t="str">
        <f>IF(ISBLANK(Y574), "", VLOOKUP(Y574, Z!$A$2:$C$4127, 3, FALSE))</f>
        <v/>
      </c>
      <c r="AA574" s="262"/>
      <c r="AB574" s="249">
        <f t="shared" si="600"/>
        <v>0</v>
      </c>
      <c r="AC574" s="210"/>
      <c r="AD574" s="236">
        <f t="shared" si="625"/>
        <v>1</v>
      </c>
      <c r="AE574" s="236">
        <f t="shared" si="626"/>
        <v>1</v>
      </c>
      <c r="AF574" s="236">
        <f t="shared" si="627"/>
        <v>0</v>
      </c>
      <c r="AG574" s="236">
        <v>1</v>
      </c>
      <c r="AH574" s="236">
        <v>0</v>
      </c>
      <c r="AI574" s="236">
        <f t="shared" si="603"/>
        <v>-100</v>
      </c>
      <c r="AJ574" s="210"/>
      <c r="AK574" s="254"/>
      <c r="AL574" s="254"/>
      <c r="AM574" s="255"/>
      <c r="AN574" s="255"/>
      <c r="AO574" s="255"/>
      <c r="AP574" s="255"/>
      <c r="AQ574" s="255"/>
      <c r="AR574" s="255"/>
      <c r="AS574" s="255"/>
      <c r="AT574" s="255"/>
      <c r="AU574" s="255"/>
      <c r="AV574" s="255"/>
      <c r="AW574" s="255"/>
      <c r="AX574" s="210"/>
      <c r="AY574" s="236" cm="1">
        <f t="array" ref="AY574">INDEX(Use, $AD574, 4)</f>
        <v>7</v>
      </c>
      <c r="AZ574" s="236">
        <f t="shared" si="604"/>
        <v>32</v>
      </c>
      <c r="BA574" s="236">
        <f t="shared" si="592"/>
        <v>13</v>
      </c>
      <c r="BB574" s="236">
        <f t="shared" si="593"/>
        <v>0</v>
      </c>
      <c r="BC574" s="252" cm="1">
        <f t="array" ref="BC574">K574/IF($L574&gt;0, INDEX($AO$23:$AU$77, $L574+20, $AD574), 1)</f>
        <v>0</v>
      </c>
      <c r="BD574" s="237">
        <f t="shared" si="605"/>
        <v>0</v>
      </c>
      <c r="BE574" s="236">
        <v>35</v>
      </c>
      <c r="BF574" s="237">
        <f t="shared" si="606"/>
        <v>52.55</v>
      </c>
      <c r="BG574" s="253">
        <f t="shared" si="607"/>
        <v>2.7676728869374316</v>
      </c>
      <c r="BH574" s="253" cm="1">
        <f t="array" ref="BH574">$BC574 * SUMPRODUCT(INDEX($AL$77:$AN$82,,$AE574),INDEX($AO$77:$AU$82,,$AD574), N($AK$77:$AK$82&gt;$AI574)) / BG574 / 1000</f>
        <v>0</v>
      </c>
      <c r="BI574" s="250">
        <f t="shared" si="594"/>
        <v>30</v>
      </c>
      <c r="BJ574" s="237">
        <f t="shared" si="608"/>
        <v>46.033333333333331</v>
      </c>
      <c r="BK574" s="253">
        <f t="shared" si="609"/>
        <v>3.2297395388556791</v>
      </c>
      <c r="BL574" s="253" cm="1">
        <f t="array" ref="BL574">$BC574 * IF($AD574&lt;=2,
SUMPRODUCT(INDEX($AL$72:$AN$76,,$AE574), INDEX($AO$72:$AU$76,,$AD574), 1 / ($AV$72:$AV$76*BK574 + (1-$AV$72:$AV$76)*BG574), N($AK$72:$AK$76&gt;$AI574)),
SUMPRODUCT(INDEX($AL$67:$AN$76,,$AE574), INDEX($AO$67:$AU$76,,$AD574), 1 / ($AW$67:$AW$76*BK574 + (1-$AW$67:$AW$76)*BG574), N($AK$67:$AK$76&gt;$AI574))
) / 1000</f>
        <v>0</v>
      </c>
      <c r="BM574" s="250">
        <f t="shared" si="595"/>
        <v>25</v>
      </c>
      <c r="BN574" s="237">
        <f t="shared" si="610"/>
        <v>39.516666666666666</v>
      </c>
      <c r="BO574" s="253">
        <f t="shared" si="611"/>
        <v>3.877011788826243</v>
      </c>
      <c r="BP574" s="253" cm="1">
        <f t="array" ref="BP574">$BC574 * IF($AD574&lt;=2,
SUMPRODUCT(INDEX($AL$67:$AN$71,,$AE574), INDEX($AO$67:$AU$71,,$AD574), 1 / ($AV$67:$AV$71*BO574 + (1-$AV$67:$AV$71)*BK574), N($AK$67:$AK$71&gt;$AI574)),
SUMPRODUCT(INDEX($AL$57:$AN$66,,$AE574), INDEX($AO$57:$AU$66,,$AD574), 1 / ($AW$57:$AW$66*BO574 + (1-$AW$57:$AW$66)*BK574), N($AK$57:$AK$66&gt;$AI574))
) / 1000</f>
        <v>0</v>
      </c>
      <c r="BQ574" s="250">
        <f t="shared" si="596"/>
        <v>20</v>
      </c>
      <c r="BR574" s="237">
        <f t="shared" si="612"/>
        <v>33</v>
      </c>
      <c r="BS574" s="253">
        <f t="shared" si="613"/>
        <v>4.8487499999999999</v>
      </c>
      <c r="BT574" s="253" cm="1">
        <f t="array" ref="BT574">$BC574 * IF($AD574&lt;=2,
SUMPRODUCT(INDEX($AL$62:$AN$66,,$AE574), INDEX($AO$62:$AU$66,,$AD574), 1 / ($AV$62:$AV$66*BS574 + (1-$AV$62:$AV$66)*BO574), N($AK$62:$AK$66&gt;$AI574)),
SUMPRODUCT(INDEX($AL$47:$AN$56,,$AE574), INDEX($AO$47:$AU$56,,$AD574), 1 / ($AW$47:$AW$56*BS574 + (1-$AW$47:$AW$56)*BO574), N($AK$47:$AK$56&gt;$AI574))
) / 1000</f>
        <v>0</v>
      </c>
      <c r="BU574" s="253" cm="1">
        <f t="array" ref="BU574">$BC574 * IF($AD574&lt;=2,
SUMPRODUCT(INDEX($AL$23:$AN$61,,$AE574), INDEX($AO$23:$AU$61,,$AD574), 1 / ($AV$23:$AV$61*BS574), N($AK$23:$AK$61&gt;$AI574)),
SUMPRODUCT(INDEX($AL$23:$AN$46,,$AE574), INDEX($AO$23:$AU$46,,$AD574), 1 / ($AW$23:$AW$46*BS574), N($AK$23:$AK$46&gt;$AI574))
) / 1000</f>
        <v>0</v>
      </c>
      <c r="BV574" s="237">
        <f t="shared" si="614"/>
        <v>0</v>
      </c>
      <c r="BW574" s="210"/>
      <c r="BX574" s="237">
        <f t="shared" si="615"/>
        <v>0</v>
      </c>
      <c r="BY574" s="236">
        <v>35</v>
      </c>
      <c r="BZ574" s="237">
        <f t="shared" si="616"/>
        <v>48</v>
      </c>
      <c r="CA574" s="253">
        <f t="shared" si="617"/>
        <v>3.0748170731707316</v>
      </c>
      <c r="CB574" s="253" cm="1">
        <f t="array" ref="CB574">$BC574 * SUMPRODUCT(INDEX($AL$77:$AN$82,,$AE574),INDEX($AO$77:$AU$82,,$AD574), N($AK$77:$AK$82&gt;$AI574)) / CA574 / 1000</f>
        <v>0</v>
      </c>
      <c r="CC574" s="250">
        <f t="shared" si="597"/>
        <v>30</v>
      </c>
      <c r="CD574" s="237">
        <f t="shared" si="618"/>
        <v>43</v>
      </c>
      <c r="CE574" s="253">
        <f t="shared" si="619"/>
        <v>3.5018750000000001</v>
      </c>
      <c r="CF574" s="253" cm="1">
        <f t="array" ref="CF574">$BC574 * IF($AD574&lt;=2,
SUMPRODUCT(INDEX($AL$72:$AN$76,,$AE574), INDEX($AO$72:$AU$76,,$AD574), 1 / ($AV$72:$AV$76*CE574 + (1-$AV$72:$AV$76)*CA574), N($AK$72:$AK$76&gt;$AI574)),
SUMPRODUCT(INDEX($AL$67:$AN$76,,$AE574), INDEX($AO$67:$AU$76,,$AD574), 1 / ($AW$67:$AW$76*CE574 + (1-$AW$67:$AW$76)*CA574), N($AK$67:$AK$76&gt;$AI574))
) / 1000</f>
        <v>0</v>
      </c>
      <c r="CG574" s="250">
        <f t="shared" si="598"/>
        <v>25</v>
      </c>
      <c r="CH574" s="237">
        <f t="shared" si="620"/>
        <v>38</v>
      </c>
      <c r="CI574" s="253">
        <f t="shared" si="621"/>
        <v>4.0666935483870965</v>
      </c>
      <c r="CJ574" s="253" cm="1">
        <f t="array" ref="CJ574">$BC574 * IF($AD574&lt;=2,
SUMPRODUCT(INDEX($AL$67:$AN$71,,$AE574), INDEX($AO$67:$AU$71,,$AD574), 1 / ($AV$67:$AV$71*CI574 + (1-$AV$67:$AV$71)*CE574), N($AK$67:$AK$71&gt;$AI574)),
SUMPRODUCT(INDEX($AL$57:$AN$66,,$AE574), INDEX($AO$57:$AU$66,,$AD574), 1 / ($AW$57:$AW$66*CI574 + (1-$AW$57:$AW$66)*CE574), N($AK$57:$AK$66&gt;$AI574))
) / 1000</f>
        <v>0</v>
      </c>
      <c r="CK574" s="250">
        <f t="shared" si="599"/>
        <v>20</v>
      </c>
      <c r="CL574" s="237">
        <f t="shared" si="622"/>
        <v>33</v>
      </c>
      <c r="CM574" s="253">
        <f t="shared" si="623"/>
        <v>4.8487499999999999</v>
      </c>
      <c r="CN574" s="253" cm="1">
        <f t="array" ref="CN574">$BC574 * IF($AD574&lt;=2,
SUMPRODUCT(INDEX($AL$62:$AN$66,,$AE574), INDEX($AO$62:$AU$66,,$AD574), 1 / ($AV$62:$AV$66*CM574 + (1-$AV$62:$AV$66)*CI574), N($AK$62:$AK$66&gt;$AI574)),
SUMPRODUCT(INDEX($AL$47:$AN$56,,$AE574), INDEX($AO$47:$AU$56,,$AD574), 1 / ($AW$47:$AW$56*CM574 + (1-$AW$47:$AW$56)*CI574), N($AK$47:$AK$56&gt;$AI574))
) / 1000</f>
        <v>0</v>
      </c>
      <c r="CO574" s="253" cm="1">
        <f t="array" ref="CO574">$BC574 * IF($AD574&lt;=2,
SUMPRODUCT(INDEX($AL$23:$AN$61,,$AE574), INDEX($AO$23:$AU$61,,$AD574), 1 / ($AV$23:$AV$61*CM574), N($AK$23:$AK$61&gt;$AI574)),
SUMPRODUCT(INDEX($AL$23:$AN$46,,$AE574), INDEX($AO$23:$AU$46,,$AD574), 1 / ($AW$23:$AW$46*CM574), N($AK$23:$AK$46&gt;$AI574))
) / 1000</f>
        <v>0</v>
      </c>
      <c r="CP574" s="237">
        <f t="shared" si="624"/>
        <v>0</v>
      </c>
      <c r="CQ574" s="210"/>
    </row>
    <row r="575" spans="1:95" s="76" customFormat="1" ht="14.25" customHeight="1" x14ac:dyDescent="0.2">
      <c r="A575" s="238" t="b">
        <f t="shared" si="591"/>
        <v>0</v>
      </c>
      <c r="B575" s="239">
        <v>553</v>
      </c>
      <c r="C575" s="258"/>
      <c r="D575" s="258"/>
      <c r="E575" s="240"/>
      <c r="F575" s="241" t="str">
        <f>IF(ISBLANK(E575), "", VLOOKUP(E575, Z!$A$2:$C$4127, 3, FALSE))</f>
        <v/>
      </c>
      <c r="G575" s="242"/>
      <c r="H575" s="242"/>
      <c r="I575" s="243"/>
      <c r="J575" s="244"/>
      <c r="K575" s="259"/>
      <c r="L575" s="260"/>
      <c r="M575" s="247" t="str" cm="1">
        <f t="array" ref="M575">IF($K575&gt;0, INDEX(Clean,1+AG575,$C$1), "")</f>
        <v/>
      </c>
      <c r="N575" s="245"/>
      <c r="O575" s="245"/>
      <c r="P575" s="246"/>
      <c r="Q575" s="248">
        <f t="shared" si="601"/>
        <v>0</v>
      </c>
      <c r="R575" s="247" t="str" cm="1">
        <f t="array" ref="R575">IF($K575&gt;0, INDEX(Clean,1+AH575,$C$1), "")</f>
        <v/>
      </c>
      <c r="S575" s="245"/>
      <c r="T575" s="245"/>
      <c r="U575" s="246"/>
      <c r="V575" s="248">
        <f t="shared" si="602"/>
        <v>0</v>
      </c>
      <c r="W575" s="261"/>
      <c r="X575" s="258"/>
      <c r="Y575" s="240"/>
      <c r="Z575" s="241" t="str">
        <f>IF(ISBLANK(Y575), "", VLOOKUP(Y575, Z!$A$2:$C$4127, 3, FALSE))</f>
        <v/>
      </c>
      <c r="AA575" s="262"/>
      <c r="AB575" s="249">
        <f t="shared" si="600"/>
        <v>0</v>
      </c>
      <c r="AC575" s="210"/>
      <c r="AD575" s="236">
        <f t="shared" si="625"/>
        <v>1</v>
      </c>
      <c r="AE575" s="236">
        <f t="shared" si="626"/>
        <v>1</v>
      </c>
      <c r="AF575" s="236">
        <f t="shared" si="627"/>
        <v>0</v>
      </c>
      <c r="AG575" s="236">
        <v>1</v>
      </c>
      <c r="AH575" s="236">
        <v>0</v>
      </c>
      <c r="AI575" s="236">
        <f t="shared" si="603"/>
        <v>-100</v>
      </c>
      <c r="AJ575" s="210"/>
      <c r="AK575" s="254"/>
      <c r="AL575" s="254"/>
      <c r="AM575" s="255"/>
      <c r="AN575" s="255"/>
      <c r="AO575" s="255"/>
      <c r="AP575" s="255"/>
      <c r="AQ575" s="255"/>
      <c r="AR575" s="255"/>
      <c r="AS575" s="255"/>
      <c r="AT575" s="255"/>
      <c r="AU575" s="255"/>
      <c r="AV575" s="255"/>
      <c r="AW575" s="255"/>
      <c r="AX575" s="210"/>
      <c r="AY575" s="236" cm="1">
        <f t="array" ref="AY575">INDEX(Use, $AD575, 4)</f>
        <v>7</v>
      </c>
      <c r="AZ575" s="236">
        <f t="shared" si="604"/>
        <v>32</v>
      </c>
      <c r="BA575" s="236">
        <f t="shared" si="592"/>
        <v>13</v>
      </c>
      <c r="BB575" s="236">
        <f t="shared" si="593"/>
        <v>0</v>
      </c>
      <c r="BC575" s="252" cm="1">
        <f t="array" ref="BC575">K575/IF($L575&gt;0, INDEX($AO$23:$AU$77, $L575+20, $AD575), 1)</f>
        <v>0</v>
      </c>
      <c r="BD575" s="237">
        <f t="shared" si="605"/>
        <v>0</v>
      </c>
      <c r="BE575" s="236">
        <v>35</v>
      </c>
      <c r="BF575" s="237">
        <f t="shared" si="606"/>
        <v>52.55</v>
      </c>
      <c r="BG575" s="253">
        <f t="shared" si="607"/>
        <v>2.7676728869374316</v>
      </c>
      <c r="BH575" s="253" cm="1">
        <f t="array" ref="BH575">$BC575 * SUMPRODUCT(INDEX($AL$77:$AN$82,,$AE575),INDEX($AO$77:$AU$82,,$AD575), N($AK$77:$AK$82&gt;$AI575)) / BG575 / 1000</f>
        <v>0</v>
      </c>
      <c r="BI575" s="250">
        <f t="shared" si="594"/>
        <v>30</v>
      </c>
      <c r="BJ575" s="237">
        <f t="shared" si="608"/>
        <v>46.033333333333331</v>
      </c>
      <c r="BK575" s="253">
        <f t="shared" si="609"/>
        <v>3.2297395388556791</v>
      </c>
      <c r="BL575" s="253" cm="1">
        <f t="array" ref="BL575">$BC575 * IF($AD575&lt;=2,
SUMPRODUCT(INDEX($AL$72:$AN$76,,$AE575), INDEX($AO$72:$AU$76,,$AD575), 1 / ($AV$72:$AV$76*BK575 + (1-$AV$72:$AV$76)*BG575), N($AK$72:$AK$76&gt;$AI575)),
SUMPRODUCT(INDEX($AL$67:$AN$76,,$AE575), INDEX($AO$67:$AU$76,,$AD575), 1 / ($AW$67:$AW$76*BK575 + (1-$AW$67:$AW$76)*BG575), N($AK$67:$AK$76&gt;$AI575))
) / 1000</f>
        <v>0</v>
      </c>
      <c r="BM575" s="250">
        <f t="shared" si="595"/>
        <v>25</v>
      </c>
      <c r="BN575" s="237">
        <f t="shared" si="610"/>
        <v>39.516666666666666</v>
      </c>
      <c r="BO575" s="253">
        <f t="shared" si="611"/>
        <v>3.877011788826243</v>
      </c>
      <c r="BP575" s="253" cm="1">
        <f t="array" ref="BP575">$BC575 * IF($AD575&lt;=2,
SUMPRODUCT(INDEX($AL$67:$AN$71,,$AE575), INDEX($AO$67:$AU$71,,$AD575), 1 / ($AV$67:$AV$71*BO575 + (1-$AV$67:$AV$71)*BK575), N($AK$67:$AK$71&gt;$AI575)),
SUMPRODUCT(INDEX($AL$57:$AN$66,,$AE575), INDEX($AO$57:$AU$66,,$AD575), 1 / ($AW$57:$AW$66*BO575 + (1-$AW$57:$AW$66)*BK575), N($AK$57:$AK$66&gt;$AI575))
) / 1000</f>
        <v>0</v>
      </c>
      <c r="BQ575" s="250">
        <f t="shared" si="596"/>
        <v>20</v>
      </c>
      <c r="BR575" s="237">
        <f t="shared" si="612"/>
        <v>33</v>
      </c>
      <c r="BS575" s="253">
        <f t="shared" si="613"/>
        <v>4.8487499999999999</v>
      </c>
      <c r="BT575" s="253" cm="1">
        <f t="array" ref="BT575">$BC575 * IF($AD575&lt;=2,
SUMPRODUCT(INDEX($AL$62:$AN$66,,$AE575), INDEX($AO$62:$AU$66,,$AD575), 1 / ($AV$62:$AV$66*BS575 + (1-$AV$62:$AV$66)*BO575), N($AK$62:$AK$66&gt;$AI575)),
SUMPRODUCT(INDEX($AL$47:$AN$56,,$AE575), INDEX($AO$47:$AU$56,,$AD575), 1 / ($AW$47:$AW$56*BS575 + (1-$AW$47:$AW$56)*BO575), N($AK$47:$AK$56&gt;$AI575))
) / 1000</f>
        <v>0</v>
      </c>
      <c r="BU575" s="253" cm="1">
        <f t="array" ref="BU575">$BC575 * IF($AD575&lt;=2,
SUMPRODUCT(INDEX($AL$23:$AN$61,,$AE575), INDEX($AO$23:$AU$61,,$AD575), 1 / ($AV$23:$AV$61*BS575), N($AK$23:$AK$61&gt;$AI575)),
SUMPRODUCT(INDEX($AL$23:$AN$46,,$AE575), INDEX($AO$23:$AU$46,,$AD575), 1 / ($AW$23:$AW$46*BS575), N($AK$23:$AK$46&gt;$AI575))
) / 1000</f>
        <v>0</v>
      </c>
      <c r="BV575" s="237">
        <f t="shared" si="614"/>
        <v>0</v>
      </c>
      <c r="BW575" s="210"/>
      <c r="BX575" s="237">
        <f t="shared" si="615"/>
        <v>0</v>
      </c>
      <c r="BY575" s="236">
        <v>35</v>
      </c>
      <c r="BZ575" s="237">
        <f t="shared" si="616"/>
        <v>48</v>
      </c>
      <c r="CA575" s="253">
        <f t="shared" si="617"/>
        <v>3.0748170731707316</v>
      </c>
      <c r="CB575" s="253" cm="1">
        <f t="array" ref="CB575">$BC575 * SUMPRODUCT(INDEX($AL$77:$AN$82,,$AE575),INDEX($AO$77:$AU$82,,$AD575), N($AK$77:$AK$82&gt;$AI575)) / CA575 / 1000</f>
        <v>0</v>
      </c>
      <c r="CC575" s="250">
        <f t="shared" si="597"/>
        <v>30</v>
      </c>
      <c r="CD575" s="237">
        <f t="shared" si="618"/>
        <v>43</v>
      </c>
      <c r="CE575" s="253">
        <f t="shared" si="619"/>
        <v>3.5018750000000001</v>
      </c>
      <c r="CF575" s="253" cm="1">
        <f t="array" ref="CF575">$BC575 * IF($AD575&lt;=2,
SUMPRODUCT(INDEX($AL$72:$AN$76,,$AE575), INDEX($AO$72:$AU$76,,$AD575), 1 / ($AV$72:$AV$76*CE575 + (1-$AV$72:$AV$76)*CA575), N($AK$72:$AK$76&gt;$AI575)),
SUMPRODUCT(INDEX($AL$67:$AN$76,,$AE575), INDEX($AO$67:$AU$76,,$AD575), 1 / ($AW$67:$AW$76*CE575 + (1-$AW$67:$AW$76)*CA575), N($AK$67:$AK$76&gt;$AI575))
) / 1000</f>
        <v>0</v>
      </c>
      <c r="CG575" s="250">
        <f t="shared" si="598"/>
        <v>25</v>
      </c>
      <c r="CH575" s="237">
        <f t="shared" si="620"/>
        <v>38</v>
      </c>
      <c r="CI575" s="253">
        <f t="shared" si="621"/>
        <v>4.0666935483870965</v>
      </c>
      <c r="CJ575" s="253" cm="1">
        <f t="array" ref="CJ575">$BC575 * IF($AD575&lt;=2,
SUMPRODUCT(INDEX($AL$67:$AN$71,,$AE575), INDEX($AO$67:$AU$71,,$AD575), 1 / ($AV$67:$AV$71*CI575 + (1-$AV$67:$AV$71)*CE575), N($AK$67:$AK$71&gt;$AI575)),
SUMPRODUCT(INDEX($AL$57:$AN$66,,$AE575), INDEX($AO$57:$AU$66,,$AD575), 1 / ($AW$57:$AW$66*CI575 + (1-$AW$57:$AW$66)*CE575), N($AK$57:$AK$66&gt;$AI575))
) / 1000</f>
        <v>0</v>
      </c>
      <c r="CK575" s="250">
        <f t="shared" si="599"/>
        <v>20</v>
      </c>
      <c r="CL575" s="237">
        <f t="shared" si="622"/>
        <v>33</v>
      </c>
      <c r="CM575" s="253">
        <f t="shared" si="623"/>
        <v>4.8487499999999999</v>
      </c>
      <c r="CN575" s="253" cm="1">
        <f t="array" ref="CN575">$BC575 * IF($AD575&lt;=2,
SUMPRODUCT(INDEX($AL$62:$AN$66,,$AE575), INDEX($AO$62:$AU$66,,$AD575), 1 / ($AV$62:$AV$66*CM575 + (1-$AV$62:$AV$66)*CI575), N($AK$62:$AK$66&gt;$AI575)),
SUMPRODUCT(INDEX($AL$47:$AN$56,,$AE575), INDEX($AO$47:$AU$56,,$AD575), 1 / ($AW$47:$AW$56*CM575 + (1-$AW$47:$AW$56)*CI575), N($AK$47:$AK$56&gt;$AI575))
) / 1000</f>
        <v>0</v>
      </c>
      <c r="CO575" s="253" cm="1">
        <f t="array" ref="CO575">$BC575 * IF($AD575&lt;=2,
SUMPRODUCT(INDEX($AL$23:$AN$61,,$AE575), INDEX($AO$23:$AU$61,,$AD575), 1 / ($AV$23:$AV$61*CM575), N($AK$23:$AK$61&gt;$AI575)),
SUMPRODUCT(INDEX($AL$23:$AN$46,,$AE575), INDEX($AO$23:$AU$46,,$AD575), 1 / ($AW$23:$AW$46*CM575), N($AK$23:$AK$46&gt;$AI575))
) / 1000</f>
        <v>0</v>
      </c>
      <c r="CP575" s="237">
        <f t="shared" si="624"/>
        <v>0</v>
      </c>
      <c r="CQ575" s="210"/>
    </row>
    <row r="576" spans="1:95" s="76" customFormat="1" ht="14.25" customHeight="1" x14ac:dyDescent="0.2">
      <c r="A576" s="238" t="b">
        <f t="shared" si="591"/>
        <v>0</v>
      </c>
      <c r="B576" s="239">
        <v>554</v>
      </c>
      <c r="C576" s="258"/>
      <c r="D576" s="258"/>
      <c r="E576" s="240"/>
      <c r="F576" s="241" t="str">
        <f>IF(ISBLANK(E576), "", VLOOKUP(E576, Z!$A$2:$C$4127, 3, FALSE))</f>
        <v/>
      </c>
      <c r="G576" s="242"/>
      <c r="H576" s="242"/>
      <c r="I576" s="243"/>
      <c r="J576" s="244"/>
      <c r="K576" s="259"/>
      <c r="L576" s="260"/>
      <c r="M576" s="247" t="str" cm="1">
        <f t="array" ref="M576">IF($K576&gt;0, INDEX(Clean,1+AG576,$C$1), "")</f>
        <v/>
      </c>
      <c r="N576" s="245"/>
      <c r="O576" s="245"/>
      <c r="P576" s="246"/>
      <c r="Q576" s="248">
        <f t="shared" si="601"/>
        <v>0</v>
      </c>
      <c r="R576" s="247" t="str" cm="1">
        <f t="array" ref="R576">IF($K576&gt;0, INDEX(Clean,1+AH576,$C$1), "")</f>
        <v/>
      </c>
      <c r="S576" s="245"/>
      <c r="T576" s="245"/>
      <c r="U576" s="246"/>
      <c r="V576" s="248">
        <f t="shared" si="602"/>
        <v>0</v>
      </c>
      <c r="W576" s="261"/>
      <c r="X576" s="258"/>
      <c r="Y576" s="240"/>
      <c r="Z576" s="241" t="str">
        <f>IF(ISBLANK(Y576), "", VLOOKUP(Y576, Z!$A$2:$C$4127, 3, FALSE))</f>
        <v/>
      </c>
      <c r="AA576" s="262"/>
      <c r="AB576" s="249">
        <f t="shared" si="600"/>
        <v>0</v>
      </c>
      <c r="AC576" s="210"/>
      <c r="AD576" s="236">
        <f t="shared" si="625"/>
        <v>1</v>
      </c>
      <c r="AE576" s="236">
        <f t="shared" si="626"/>
        <v>1</v>
      </c>
      <c r="AF576" s="236">
        <f t="shared" si="627"/>
        <v>0</v>
      </c>
      <c r="AG576" s="236">
        <v>1</v>
      </c>
      <c r="AH576" s="236">
        <v>0</v>
      </c>
      <c r="AI576" s="236">
        <f t="shared" si="603"/>
        <v>-100</v>
      </c>
      <c r="AJ576" s="210"/>
      <c r="AK576" s="254"/>
      <c r="AL576" s="254"/>
      <c r="AM576" s="255"/>
      <c r="AN576" s="255"/>
      <c r="AO576" s="255"/>
      <c r="AP576" s="255"/>
      <c r="AQ576" s="255"/>
      <c r="AR576" s="255"/>
      <c r="AS576" s="255"/>
      <c r="AT576" s="255"/>
      <c r="AU576" s="255"/>
      <c r="AV576" s="255"/>
      <c r="AW576" s="255"/>
      <c r="AX576" s="210"/>
      <c r="AY576" s="236" cm="1">
        <f t="array" ref="AY576">INDEX(Use, $AD576, 4)</f>
        <v>7</v>
      </c>
      <c r="AZ576" s="236">
        <f t="shared" si="604"/>
        <v>32</v>
      </c>
      <c r="BA576" s="236">
        <f t="shared" si="592"/>
        <v>13</v>
      </c>
      <c r="BB576" s="236">
        <f t="shared" si="593"/>
        <v>0</v>
      </c>
      <c r="BC576" s="252" cm="1">
        <f t="array" ref="BC576">K576/IF($L576&gt;0, INDEX($AO$23:$AU$77, $L576+20, $AD576), 1)</f>
        <v>0</v>
      </c>
      <c r="BD576" s="237">
        <f t="shared" si="605"/>
        <v>0</v>
      </c>
      <c r="BE576" s="236">
        <v>35</v>
      </c>
      <c r="BF576" s="237">
        <f t="shared" si="606"/>
        <v>52.55</v>
      </c>
      <c r="BG576" s="253">
        <f t="shared" si="607"/>
        <v>2.7676728869374316</v>
      </c>
      <c r="BH576" s="253" cm="1">
        <f t="array" ref="BH576">$BC576 * SUMPRODUCT(INDEX($AL$77:$AN$82,,$AE576),INDEX($AO$77:$AU$82,,$AD576), N($AK$77:$AK$82&gt;$AI576)) / BG576 / 1000</f>
        <v>0</v>
      </c>
      <c r="BI576" s="250">
        <f t="shared" si="594"/>
        <v>30</v>
      </c>
      <c r="BJ576" s="237">
        <f t="shared" si="608"/>
        <v>46.033333333333331</v>
      </c>
      <c r="BK576" s="253">
        <f t="shared" si="609"/>
        <v>3.2297395388556791</v>
      </c>
      <c r="BL576" s="253" cm="1">
        <f t="array" ref="BL576">$BC576 * IF($AD576&lt;=2,
SUMPRODUCT(INDEX($AL$72:$AN$76,,$AE576), INDEX($AO$72:$AU$76,,$AD576), 1 / ($AV$72:$AV$76*BK576 + (1-$AV$72:$AV$76)*BG576), N($AK$72:$AK$76&gt;$AI576)),
SUMPRODUCT(INDEX($AL$67:$AN$76,,$AE576), INDEX($AO$67:$AU$76,,$AD576), 1 / ($AW$67:$AW$76*BK576 + (1-$AW$67:$AW$76)*BG576), N($AK$67:$AK$76&gt;$AI576))
) / 1000</f>
        <v>0</v>
      </c>
      <c r="BM576" s="250">
        <f t="shared" si="595"/>
        <v>25</v>
      </c>
      <c r="BN576" s="237">
        <f t="shared" si="610"/>
        <v>39.516666666666666</v>
      </c>
      <c r="BO576" s="253">
        <f t="shared" si="611"/>
        <v>3.877011788826243</v>
      </c>
      <c r="BP576" s="253" cm="1">
        <f t="array" ref="BP576">$BC576 * IF($AD576&lt;=2,
SUMPRODUCT(INDEX($AL$67:$AN$71,,$AE576), INDEX($AO$67:$AU$71,,$AD576), 1 / ($AV$67:$AV$71*BO576 + (1-$AV$67:$AV$71)*BK576), N($AK$67:$AK$71&gt;$AI576)),
SUMPRODUCT(INDEX($AL$57:$AN$66,,$AE576), INDEX($AO$57:$AU$66,,$AD576), 1 / ($AW$57:$AW$66*BO576 + (1-$AW$57:$AW$66)*BK576), N($AK$57:$AK$66&gt;$AI576))
) / 1000</f>
        <v>0</v>
      </c>
      <c r="BQ576" s="250">
        <f t="shared" si="596"/>
        <v>20</v>
      </c>
      <c r="BR576" s="237">
        <f t="shared" si="612"/>
        <v>33</v>
      </c>
      <c r="BS576" s="253">
        <f t="shared" si="613"/>
        <v>4.8487499999999999</v>
      </c>
      <c r="BT576" s="253" cm="1">
        <f t="array" ref="BT576">$BC576 * IF($AD576&lt;=2,
SUMPRODUCT(INDEX($AL$62:$AN$66,,$AE576), INDEX($AO$62:$AU$66,,$AD576), 1 / ($AV$62:$AV$66*BS576 + (1-$AV$62:$AV$66)*BO576), N($AK$62:$AK$66&gt;$AI576)),
SUMPRODUCT(INDEX($AL$47:$AN$56,,$AE576), INDEX($AO$47:$AU$56,,$AD576), 1 / ($AW$47:$AW$56*BS576 + (1-$AW$47:$AW$56)*BO576), N($AK$47:$AK$56&gt;$AI576))
) / 1000</f>
        <v>0</v>
      </c>
      <c r="BU576" s="253" cm="1">
        <f t="array" ref="BU576">$BC576 * IF($AD576&lt;=2,
SUMPRODUCT(INDEX($AL$23:$AN$61,,$AE576), INDEX($AO$23:$AU$61,,$AD576), 1 / ($AV$23:$AV$61*BS576), N($AK$23:$AK$61&gt;$AI576)),
SUMPRODUCT(INDEX($AL$23:$AN$46,,$AE576), INDEX($AO$23:$AU$46,,$AD576), 1 / ($AW$23:$AW$46*BS576), N($AK$23:$AK$46&gt;$AI576))
) / 1000</f>
        <v>0</v>
      </c>
      <c r="BV576" s="237">
        <f t="shared" si="614"/>
        <v>0</v>
      </c>
      <c r="BW576" s="210"/>
      <c r="BX576" s="237">
        <f t="shared" si="615"/>
        <v>0</v>
      </c>
      <c r="BY576" s="236">
        <v>35</v>
      </c>
      <c r="BZ576" s="237">
        <f t="shared" si="616"/>
        <v>48</v>
      </c>
      <c r="CA576" s="253">
        <f t="shared" si="617"/>
        <v>3.0748170731707316</v>
      </c>
      <c r="CB576" s="253" cm="1">
        <f t="array" ref="CB576">$BC576 * SUMPRODUCT(INDEX($AL$77:$AN$82,,$AE576),INDEX($AO$77:$AU$82,,$AD576), N($AK$77:$AK$82&gt;$AI576)) / CA576 / 1000</f>
        <v>0</v>
      </c>
      <c r="CC576" s="250">
        <f t="shared" si="597"/>
        <v>30</v>
      </c>
      <c r="CD576" s="237">
        <f t="shared" si="618"/>
        <v>43</v>
      </c>
      <c r="CE576" s="253">
        <f t="shared" si="619"/>
        <v>3.5018750000000001</v>
      </c>
      <c r="CF576" s="253" cm="1">
        <f t="array" ref="CF576">$BC576 * IF($AD576&lt;=2,
SUMPRODUCT(INDEX($AL$72:$AN$76,,$AE576), INDEX($AO$72:$AU$76,,$AD576), 1 / ($AV$72:$AV$76*CE576 + (1-$AV$72:$AV$76)*CA576), N($AK$72:$AK$76&gt;$AI576)),
SUMPRODUCT(INDEX($AL$67:$AN$76,,$AE576), INDEX($AO$67:$AU$76,,$AD576), 1 / ($AW$67:$AW$76*CE576 + (1-$AW$67:$AW$76)*CA576), N($AK$67:$AK$76&gt;$AI576))
) / 1000</f>
        <v>0</v>
      </c>
      <c r="CG576" s="250">
        <f t="shared" si="598"/>
        <v>25</v>
      </c>
      <c r="CH576" s="237">
        <f t="shared" si="620"/>
        <v>38</v>
      </c>
      <c r="CI576" s="253">
        <f t="shared" si="621"/>
        <v>4.0666935483870965</v>
      </c>
      <c r="CJ576" s="253" cm="1">
        <f t="array" ref="CJ576">$BC576 * IF($AD576&lt;=2,
SUMPRODUCT(INDEX($AL$67:$AN$71,,$AE576), INDEX($AO$67:$AU$71,,$AD576), 1 / ($AV$67:$AV$71*CI576 + (1-$AV$67:$AV$71)*CE576), N($AK$67:$AK$71&gt;$AI576)),
SUMPRODUCT(INDEX($AL$57:$AN$66,,$AE576), INDEX($AO$57:$AU$66,,$AD576), 1 / ($AW$57:$AW$66*CI576 + (1-$AW$57:$AW$66)*CE576), N($AK$57:$AK$66&gt;$AI576))
) / 1000</f>
        <v>0</v>
      </c>
      <c r="CK576" s="250">
        <f t="shared" si="599"/>
        <v>20</v>
      </c>
      <c r="CL576" s="237">
        <f t="shared" si="622"/>
        <v>33</v>
      </c>
      <c r="CM576" s="253">
        <f t="shared" si="623"/>
        <v>4.8487499999999999</v>
      </c>
      <c r="CN576" s="253" cm="1">
        <f t="array" ref="CN576">$BC576 * IF($AD576&lt;=2,
SUMPRODUCT(INDEX($AL$62:$AN$66,,$AE576), INDEX($AO$62:$AU$66,,$AD576), 1 / ($AV$62:$AV$66*CM576 + (1-$AV$62:$AV$66)*CI576), N($AK$62:$AK$66&gt;$AI576)),
SUMPRODUCT(INDEX($AL$47:$AN$56,,$AE576), INDEX($AO$47:$AU$56,,$AD576), 1 / ($AW$47:$AW$56*CM576 + (1-$AW$47:$AW$56)*CI576), N($AK$47:$AK$56&gt;$AI576))
) / 1000</f>
        <v>0</v>
      </c>
      <c r="CO576" s="253" cm="1">
        <f t="array" ref="CO576">$BC576 * IF($AD576&lt;=2,
SUMPRODUCT(INDEX($AL$23:$AN$61,,$AE576), INDEX($AO$23:$AU$61,,$AD576), 1 / ($AV$23:$AV$61*CM576), N($AK$23:$AK$61&gt;$AI576)),
SUMPRODUCT(INDEX($AL$23:$AN$46,,$AE576), INDEX($AO$23:$AU$46,,$AD576), 1 / ($AW$23:$AW$46*CM576), N($AK$23:$AK$46&gt;$AI576))
) / 1000</f>
        <v>0</v>
      </c>
      <c r="CP576" s="237">
        <f t="shared" si="624"/>
        <v>0</v>
      </c>
      <c r="CQ576" s="210"/>
    </row>
    <row r="577" spans="1:95" s="76" customFormat="1" ht="14.25" customHeight="1" x14ac:dyDescent="0.2">
      <c r="A577" s="238" t="b">
        <f t="shared" si="591"/>
        <v>0</v>
      </c>
      <c r="B577" s="239">
        <v>555</v>
      </c>
      <c r="C577" s="258"/>
      <c r="D577" s="258"/>
      <c r="E577" s="240"/>
      <c r="F577" s="241" t="str">
        <f>IF(ISBLANK(E577), "", VLOOKUP(E577, Z!$A$2:$C$4127, 3, FALSE))</f>
        <v/>
      </c>
      <c r="G577" s="242"/>
      <c r="H577" s="242"/>
      <c r="I577" s="243"/>
      <c r="J577" s="244"/>
      <c r="K577" s="259"/>
      <c r="L577" s="260"/>
      <c r="M577" s="247" t="str" cm="1">
        <f t="array" ref="M577">IF($K577&gt;0, INDEX(Clean,1+AG577,$C$1), "")</f>
        <v/>
      </c>
      <c r="N577" s="245"/>
      <c r="O577" s="245"/>
      <c r="P577" s="246"/>
      <c r="Q577" s="248">
        <f t="shared" si="601"/>
        <v>0</v>
      </c>
      <c r="R577" s="247" t="str" cm="1">
        <f t="array" ref="R577">IF($K577&gt;0, INDEX(Clean,1+AH577,$C$1), "")</f>
        <v/>
      </c>
      <c r="S577" s="245"/>
      <c r="T577" s="245"/>
      <c r="U577" s="246"/>
      <c r="V577" s="248">
        <f t="shared" si="602"/>
        <v>0</v>
      </c>
      <c r="W577" s="261"/>
      <c r="X577" s="258"/>
      <c r="Y577" s="240"/>
      <c r="Z577" s="241" t="str">
        <f>IF(ISBLANK(Y577), "", VLOOKUP(Y577, Z!$A$2:$C$4127, 3, FALSE))</f>
        <v/>
      </c>
      <c r="AA577" s="262"/>
      <c r="AB577" s="249">
        <f t="shared" si="600"/>
        <v>0</v>
      </c>
      <c r="AC577" s="210"/>
      <c r="AD577" s="236">
        <f t="shared" si="625"/>
        <v>1</v>
      </c>
      <c r="AE577" s="236">
        <f t="shared" si="626"/>
        <v>1</v>
      </c>
      <c r="AF577" s="236">
        <f t="shared" si="627"/>
        <v>0</v>
      </c>
      <c r="AG577" s="236">
        <v>1</v>
      </c>
      <c r="AH577" s="236">
        <v>0</v>
      </c>
      <c r="AI577" s="236">
        <f t="shared" si="603"/>
        <v>-100</v>
      </c>
      <c r="AJ577" s="210"/>
      <c r="AK577" s="254"/>
      <c r="AL577" s="254"/>
      <c r="AM577" s="255"/>
      <c r="AN577" s="255"/>
      <c r="AO577" s="255"/>
      <c r="AP577" s="255"/>
      <c r="AQ577" s="255"/>
      <c r="AR577" s="255"/>
      <c r="AS577" s="255"/>
      <c r="AT577" s="255"/>
      <c r="AU577" s="255"/>
      <c r="AV577" s="255"/>
      <c r="AW577" s="255"/>
      <c r="AX577" s="210"/>
      <c r="AY577" s="236" cm="1">
        <f t="array" ref="AY577">INDEX(Use, $AD577, 4)</f>
        <v>7</v>
      </c>
      <c r="AZ577" s="236">
        <f t="shared" si="604"/>
        <v>32</v>
      </c>
      <c r="BA577" s="236">
        <f t="shared" si="592"/>
        <v>13</v>
      </c>
      <c r="BB577" s="236">
        <f t="shared" si="593"/>
        <v>0</v>
      </c>
      <c r="BC577" s="252" cm="1">
        <f t="array" ref="BC577">K577/IF($L577&gt;0, INDEX($AO$23:$AU$77, $L577+20, $AD577), 1)</f>
        <v>0</v>
      </c>
      <c r="BD577" s="237">
        <f t="shared" si="605"/>
        <v>0</v>
      </c>
      <c r="BE577" s="236">
        <v>35</v>
      </c>
      <c r="BF577" s="237">
        <f t="shared" si="606"/>
        <v>52.55</v>
      </c>
      <c r="BG577" s="253">
        <f t="shared" si="607"/>
        <v>2.7676728869374316</v>
      </c>
      <c r="BH577" s="253" cm="1">
        <f t="array" ref="BH577">$BC577 * SUMPRODUCT(INDEX($AL$77:$AN$82,,$AE577),INDEX($AO$77:$AU$82,,$AD577), N($AK$77:$AK$82&gt;$AI577)) / BG577 / 1000</f>
        <v>0</v>
      </c>
      <c r="BI577" s="250">
        <f t="shared" si="594"/>
        <v>30</v>
      </c>
      <c r="BJ577" s="237">
        <f t="shared" si="608"/>
        <v>46.033333333333331</v>
      </c>
      <c r="BK577" s="253">
        <f t="shared" si="609"/>
        <v>3.2297395388556791</v>
      </c>
      <c r="BL577" s="253" cm="1">
        <f t="array" ref="BL577">$BC577 * IF($AD577&lt;=2,
SUMPRODUCT(INDEX($AL$72:$AN$76,,$AE577), INDEX($AO$72:$AU$76,,$AD577), 1 / ($AV$72:$AV$76*BK577 + (1-$AV$72:$AV$76)*BG577), N($AK$72:$AK$76&gt;$AI577)),
SUMPRODUCT(INDEX($AL$67:$AN$76,,$AE577), INDEX($AO$67:$AU$76,,$AD577), 1 / ($AW$67:$AW$76*BK577 + (1-$AW$67:$AW$76)*BG577), N($AK$67:$AK$76&gt;$AI577))
) / 1000</f>
        <v>0</v>
      </c>
      <c r="BM577" s="250">
        <f t="shared" si="595"/>
        <v>25</v>
      </c>
      <c r="BN577" s="237">
        <f t="shared" si="610"/>
        <v>39.516666666666666</v>
      </c>
      <c r="BO577" s="253">
        <f t="shared" si="611"/>
        <v>3.877011788826243</v>
      </c>
      <c r="BP577" s="253" cm="1">
        <f t="array" ref="BP577">$BC577 * IF($AD577&lt;=2,
SUMPRODUCT(INDEX($AL$67:$AN$71,,$AE577), INDEX($AO$67:$AU$71,,$AD577), 1 / ($AV$67:$AV$71*BO577 + (1-$AV$67:$AV$71)*BK577), N($AK$67:$AK$71&gt;$AI577)),
SUMPRODUCT(INDEX($AL$57:$AN$66,,$AE577), INDEX($AO$57:$AU$66,,$AD577), 1 / ($AW$57:$AW$66*BO577 + (1-$AW$57:$AW$66)*BK577), N($AK$57:$AK$66&gt;$AI577))
) / 1000</f>
        <v>0</v>
      </c>
      <c r="BQ577" s="250">
        <f t="shared" si="596"/>
        <v>20</v>
      </c>
      <c r="BR577" s="237">
        <f t="shared" si="612"/>
        <v>33</v>
      </c>
      <c r="BS577" s="253">
        <f t="shared" si="613"/>
        <v>4.8487499999999999</v>
      </c>
      <c r="BT577" s="253" cm="1">
        <f t="array" ref="BT577">$BC577 * IF($AD577&lt;=2,
SUMPRODUCT(INDEX($AL$62:$AN$66,,$AE577), INDEX($AO$62:$AU$66,,$AD577), 1 / ($AV$62:$AV$66*BS577 + (1-$AV$62:$AV$66)*BO577), N($AK$62:$AK$66&gt;$AI577)),
SUMPRODUCT(INDEX($AL$47:$AN$56,,$AE577), INDEX($AO$47:$AU$56,,$AD577), 1 / ($AW$47:$AW$56*BS577 + (1-$AW$47:$AW$56)*BO577), N($AK$47:$AK$56&gt;$AI577))
) / 1000</f>
        <v>0</v>
      </c>
      <c r="BU577" s="253" cm="1">
        <f t="array" ref="BU577">$BC577 * IF($AD577&lt;=2,
SUMPRODUCT(INDEX($AL$23:$AN$61,,$AE577), INDEX($AO$23:$AU$61,,$AD577), 1 / ($AV$23:$AV$61*BS577), N($AK$23:$AK$61&gt;$AI577)),
SUMPRODUCT(INDEX($AL$23:$AN$46,,$AE577), INDEX($AO$23:$AU$46,,$AD577), 1 / ($AW$23:$AW$46*BS577), N($AK$23:$AK$46&gt;$AI577))
) / 1000</f>
        <v>0</v>
      </c>
      <c r="BV577" s="237">
        <f t="shared" si="614"/>
        <v>0</v>
      </c>
      <c r="BW577" s="210"/>
      <c r="BX577" s="237">
        <f t="shared" si="615"/>
        <v>0</v>
      </c>
      <c r="BY577" s="236">
        <v>35</v>
      </c>
      <c r="BZ577" s="237">
        <f t="shared" si="616"/>
        <v>48</v>
      </c>
      <c r="CA577" s="253">
        <f t="shared" si="617"/>
        <v>3.0748170731707316</v>
      </c>
      <c r="CB577" s="253" cm="1">
        <f t="array" ref="CB577">$BC577 * SUMPRODUCT(INDEX($AL$77:$AN$82,,$AE577),INDEX($AO$77:$AU$82,,$AD577), N($AK$77:$AK$82&gt;$AI577)) / CA577 / 1000</f>
        <v>0</v>
      </c>
      <c r="CC577" s="250">
        <f t="shared" si="597"/>
        <v>30</v>
      </c>
      <c r="CD577" s="237">
        <f t="shared" si="618"/>
        <v>43</v>
      </c>
      <c r="CE577" s="253">
        <f t="shared" si="619"/>
        <v>3.5018750000000001</v>
      </c>
      <c r="CF577" s="253" cm="1">
        <f t="array" ref="CF577">$BC577 * IF($AD577&lt;=2,
SUMPRODUCT(INDEX($AL$72:$AN$76,,$AE577), INDEX($AO$72:$AU$76,,$AD577), 1 / ($AV$72:$AV$76*CE577 + (1-$AV$72:$AV$76)*CA577), N($AK$72:$AK$76&gt;$AI577)),
SUMPRODUCT(INDEX($AL$67:$AN$76,,$AE577), INDEX($AO$67:$AU$76,,$AD577), 1 / ($AW$67:$AW$76*CE577 + (1-$AW$67:$AW$76)*CA577), N($AK$67:$AK$76&gt;$AI577))
) / 1000</f>
        <v>0</v>
      </c>
      <c r="CG577" s="250">
        <f t="shared" si="598"/>
        <v>25</v>
      </c>
      <c r="CH577" s="237">
        <f t="shared" si="620"/>
        <v>38</v>
      </c>
      <c r="CI577" s="253">
        <f t="shared" si="621"/>
        <v>4.0666935483870965</v>
      </c>
      <c r="CJ577" s="253" cm="1">
        <f t="array" ref="CJ577">$BC577 * IF($AD577&lt;=2,
SUMPRODUCT(INDEX($AL$67:$AN$71,,$AE577), INDEX($AO$67:$AU$71,,$AD577), 1 / ($AV$67:$AV$71*CI577 + (1-$AV$67:$AV$71)*CE577), N($AK$67:$AK$71&gt;$AI577)),
SUMPRODUCT(INDEX($AL$57:$AN$66,,$AE577), INDEX($AO$57:$AU$66,,$AD577), 1 / ($AW$57:$AW$66*CI577 + (1-$AW$57:$AW$66)*CE577), N($AK$57:$AK$66&gt;$AI577))
) / 1000</f>
        <v>0</v>
      </c>
      <c r="CK577" s="250">
        <f t="shared" si="599"/>
        <v>20</v>
      </c>
      <c r="CL577" s="237">
        <f t="shared" si="622"/>
        <v>33</v>
      </c>
      <c r="CM577" s="253">
        <f t="shared" si="623"/>
        <v>4.8487499999999999</v>
      </c>
      <c r="CN577" s="253" cm="1">
        <f t="array" ref="CN577">$BC577 * IF($AD577&lt;=2,
SUMPRODUCT(INDEX($AL$62:$AN$66,,$AE577), INDEX($AO$62:$AU$66,,$AD577), 1 / ($AV$62:$AV$66*CM577 + (1-$AV$62:$AV$66)*CI577), N($AK$62:$AK$66&gt;$AI577)),
SUMPRODUCT(INDEX($AL$47:$AN$56,,$AE577), INDEX($AO$47:$AU$56,,$AD577), 1 / ($AW$47:$AW$56*CM577 + (1-$AW$47:$AW$56)*CI577), N($AK$47:$AK$56&gt;$AI577))
) / 1000</f>
        <v>0</v>
      </c>
      <c r="CO577" s="253" cm="1">
        <f t="array" ref="CO577">$BC577 * IF($AD577&lt;=2,
SUMPRODUCT(INDEX($AL$23:$AN$61,,$AE577), INDEX($AO$23:$AU$61,,$AD577), 1 / ($AV$23:$AV$61*CM577), N($AK$23:$AK$61&gt;$AI577)),
SUMPRODUCT(INDEX($AL$23:$AN$46,,$AE577), INDEX($AO$23:$AU$46,,$AD577), 1 / ($AW$23:$AW$46*CM577), N($AK$23:$AK$46&gt;$AI577))
) / 1000</f>
        <v>0</v>
      </c>
      <c r="CP577" s="237">
        <f t="shared" si="624"/>
        <v>0</v>
      </c>
      <c r="CQ577" s="210"/>
    </row>
    <row r="578" spans="1:95" s="76" customFormat="1" ht="14.25" customHeight="1" x14ac:dyDescent="0.2">
      <c r="A578" s="238" t="b">
        <f t="shared" si="591"/>
        <v>0</v>
      </c>
      <c r="B578" s="239">
        <v>556</v>
      </c>
      <c r="C578" s="258"/>
      <c r="D578" s="258"/>
      <c r="E578" s="240"/>
      <c r="F578" s="241" t="str">
        <f>IF(ISBLANK(E578), "", VLOOKUP(E578, Z!$A$2:$C$4127, 3, FALSE))</f>
        <v/>
      </c>
      <c r="G578" s="242"/>
      <c r="H578" s="242"/>
      <c r="I578" s="243"/>
      <c r="J578" s="244"/>
      <c r="K578" s="259"/>
      <c r="L578" s="260"/>
      <c r="M578" s="247" t="str" cm="1">
        <f t="array" ref="M578">IF($K578&gt;0, INDEX(Clean,1+AG578,$C$1), "")</f>
        <v/>
      </c>
      <c r="N578" s="245"/>
      <c r="O578" s="245"/>
      <c r="P578" s="246"/>
      <c r="Q578" s="248">
        <f t="shared" si="601"/>
        <v>0</v>
      </c>
      <c r="R578" s="247" t="str" cm="1">
        <f t="array" ref="R578">IF($K578&gt;0, INDEX(Clean,1+AH578,$C$1), "")</f>
        <v/>
      </c>
      <c r="S578" s="245"/>
      <c r="T578" s="245"/>
      <c r="U578" s="246"/>
      <c r="V578" s="248">
        <f t="shared" si="602"/>
        <v>0</v>
      </c>
      <c r="W578" s="261"/>
      <c r="X578" s="258"/>
      <c r="Y578" s="240"/>
      <c r="Z578" s="241" t="str">
        <f>IF(ISBLANK(Y578), "", VLOOKUP(Y578, Z!$A$2:$C$4127, 3, FALSE))</f>
        <v/>
      </c>
      <c r="AA578" s="262"/>
      <c r="AB578" s="249">
        <f t="shared" si="600"/>
        <v>0</v>
      </c>
      <c r="AC578" s="210"/>
      <c r="AD578" s="236">
        <f t="shared" si="625"/>
        <v>1</v>
      </c>
      <c r="AE578" s="236">
        <f t="shared" si="626"/>
        <v>1</v>
      </c>
      <c r="AF578" s="236">
        <f t="shared" si="627"/>
        <v>0</v>
      </c>
      <c r="AG578" s="236">
        <v>1</v>
      </c>
      <c r="AH578" s="236">
        <v>0</v>
      </c>
      <c r="AI578" s="236">
        <f t="shared" si="603"/>
        <v>-100</v>
      </c>
      <c r="AJ578" s="210"/>
      <c r="AK578" s="254"/>
      <c r="AL578" s="254"/>
      <c r="AM578" s="255"/>
      <c r="AN578" s="255"/>
      <c r="AO578" s="255"/>
      <c r="AP578" s="255"/>
      <c r="AQ578" s="255"/>
      <c r="AR578" s="255"/>
      <c r="AS578" s="255"/>
      <c r="AT578" s="255"/>
      <c r="AU578" s="255"/>
      <c r="AV578" s="255"/>
      <c r="AW578" s="255"/>
      <c r="AX578" s="210"/>
      <c r="AY578" s="236" cm="1">
        <f t="array" ref="AY578">INDEX(Use, $AD578, 4)</f>
        <v>7</v>
      </c>
      <c r="AZ578" s="236">
        <f t="shared" si="604"/>
        <v>32</v>
      </c>
      <c r="BA578" s="236">
        <f t="shared" si="592"/>
        <v>13</v>
      </c>
      <c r="BB578" s="236">
        <f t="shared" si="593"/>
        <v>0</v>
      </c>
      <c r="BC578" s="252" cm="1">
        <f t="array" ref="BC578">K578/IF($L578&gt;0, INDEX($AO$23:$AU$77, $L578+20, $AD578), 1)</f>
        <v>0</v>
      </c>
      <c r="BD578" s="237">
        <f t="shared" si="605"/>
        <v>0</v>
      </c>
      <c r="BE578" s="236">
        <v>35</v>
      </c>
      <c r="BF578" s="237">
        <f t="shared" si="606"/>
        <v>52.55</v>
      </c>
      <c r="BG578" s="253">
        <f t="shared" si="607"/>
        <v>2.7676728869374316</v>
      </c>
      <c r="BH578" s="253" cm="1">
        <f t="array" ref="BH578">$BC578 * SUMPRODUCT(INDEX($AL$77:$AN$82,,$AE578),INDEX($AO$77:$AU$82,,$AD578), N($AK$77:$AK$82&gt;$AI578)) / BG578 / 1000</f>
        <v>0</v>
      </c>
      <c r="BI578" s="250">
        <f t="shared" si="594"/>
        <v>30</v>
      </c>
      <c r="BJ578" s="237">
        <f t="shared" si="608"/>
        <v>46.033333333333331</v>
      </c>
      <c r="BK578" s="253">
        <f t="shared" si="609"/>
        <v>3.2297395388556791</v>
      </c>
      <c r="BL578" s="253" cm="1">
        <f t="array" ref="BL578">$BC578 * IF($AD578&lt;=2,
SUMPRODUCT(INDEX($AL$72:$AN$76,,$AE578), INDEX($AO$72:$AU$76,,$AD578), 1 / ($AV$72:$AV$76*BK578 + (1-$AV$72:$AV$76)*BG578), N($AK$72:$AK$76&gt;$AI578)),
SUMPRODUCT(INDEX($AL$67:$AN$76,,$AE578), INDEX($AO$67:$AU$76,,$AD578), 1 / ($AW$67:$AW$76*BK578 + (1-$AW$67:$AW$76)*BG578), N($AK$67:$AK$76&gt;$AI578))
) / 1000</f>
        <v>0</v>
      </c>
      <c r="BM578" s="250">
        <f t="shared" si="595"/>
        <v>25</v>
      </c>
      <c r="BN578" s="237">
        <f t="shared" si="610"/>
        <v>39.516666666666666</v>
      </c>
      <c r="BO578" s="253">
        <f t="shared" si="611"/>
        <v>3.877011788826243</v>
      </c>
      <c r="BP578" s="253" cm="1">
        <f t="array" ref="BP578">$BC578 * IF($AD578&lt;=2,
SUMPRODUCT(INDEX($AL$67:$AN$71,,$AE578), INDEX($AO$67:$AU$71,,$AD578), 1 / ($AV$67:$AV$71*BO578 + (1-$AV$67:$AV$71)*BK578), N($AK$67:$AK$71&gt;$AI578)),
SUMPRODUCT(INDEX($AL$57:$AN$66,,$AE578), INDEX($AO$57:$AU$66,,$AD578), 1 / ($AW$57:$AW$66*BO578 + (1-$AW$57:$AW$66)*BK578), N($AK$57:$AK$66&gt;$AI578))
) / 1000</f>
        <v>0</v>
      </c>
      <c r="BQ578" s="250">
        <f t="shared" si="596"/>
        <v>20</v>
      </c>
      <c r="BR578" s="237">
        <f t="shared" si="612"/>
        <v>33</v>
      </c>
      <c r="BS578" s="253">
        <f t="shared" si="613"/>
        <v>4.8487499999999999</v>
      </c>
      <c r="BT578" s="253" cm="1">
        <f t="array" ref="BT578">$BC578 * IF($AD578&lt;=2,
SUMPRODUCT(INDEX($AL$62:$AN$66,,$AE578), INDEX($AO$62:$AU$66,,$AD578), 1 / ($AV$62:$AV$66*BS578 + (1-$AV$62:$AV$66)*BO578), N($AK$62:$AK$66&gt;$AI578)),
SUMPRODUCT(INDEX($AL$47:$AN$56,,$AE578), INDEX($AO$47:$AU$56,,$AD578), 1 / ($AW$47:$AW$56*BS578 + (1-$AW$47:$AW$56)*BO578), N($AK$47:$AK$56&gt;$AI578))
) / 1000</f>
        <v>0</v>
      </c>
      <c r="BU578" s="253" cm="1">
        <f t="array" ref="BU578">$BC578 * IF($AD578&lt;=2,
SUMPRODUCT(INDEX($AL$23:$AN$61,,$AE578), INDEX($AO$23:$AU$61,,$AD578), 1 / ($AV$23:$AV$61*BS578), N($AK$23:$AK$61&gt;$AI578)),
SUMPRODUCT(INDEX($AL$23:$AN$46,,$AE578), INDEX($AO$23:$AU$46,,$AD578), 1 / ($AW$23:$AW$46*BS578), N($AK$23:$AK$46&gt;$AI578))
) / 1000</f>
        <v>0</v>
      </c>
      <c r="BV578" s="237">
        <f t="shared" si="614"/>
        <v>0</v>
      </c>
      <c r="BW578" s="210"/>
      <c r="BX578" s="237">
        <f t="shared" si="615"/>
        <v>0</v>
      </c>
      <c r="BY578" s="236">
        <v>35</v>
      </c>
      <c r="BZ578" s="237">
        <f t="shared" si="616"/>
        <v>48</v>
      </c>
      <c r="CA578" s="253">
        <f t="shared" si="617"/>
        <v>3.0748170731707316</v>
      </c>
      <c r="CB578" s="253" cm="1">
        <f t="array" ref="CB578">$BC578 * SUMPRODUCT(INDEX($AL$77:$AN$82,,$AE578),INDEX($AO$77:$AU$82,,$AD578), N($AK$77:$AK$82&gt;$AI578)) / CA578 / 1000</f>
        <v>0</v>
      </c>
      <c r="CC578" s="250">
        <f t="shared" si="597"/>
        <v>30</v>
      </c>
      <c r="CD578" s="237">
        <f t="shared" si="618"/>
        <v>43</v>
      </c>
      <c r="CE578" s="253">
        <f t="shared" si="619"/>
        <v>3.5018750000000001</v>
      </c>
      <c r="CF578" s="253" cm="1">
        <f t="array" ref="CF578">$BC578 * IF($AD578&lt;=2,
SUMPRODUCT(INDEX($AL$72:$AN$76,,$AE578), INDEX($AO$72:$AU$76,,$AD578), 1 / ($AV$72:$AV$76*CE578 + (1-$AV$72:$AV$76)*CA578), N($AK$72:$AK$76&gt;$AI578)),
SUMPRODUCT(INDEX($AL$67:$AN$76,,$AE578), INDEX($AO$67:$AU$76,,$AD578), 1 / ($AW$67:$AW$76*CE578 + (1-$AW$67:$AW$76)*CA578), N($AK$67:$AK$76&gt;$AI578))
) / 1000</f>
        <v>0</v>
      </c>
      <c r="CG578" s="250">
        <f t="shared" si="598"/>
        <v>25</v>
      </c>
      <c r="CH578" s="237">
        <f t="shared" si="620"/>
        <v>38</v>
      </c>
      <c r="CI578" s="253">
        <f t="shared" si="621"/>
        <v>4.0666935483870965</v>
      </c>
      <c r="CJ578" s="253" cm="1">
        <f t="array" ref="CJ578">$BC578 * IF($AD578&lt;=2,
SUMPRODUCT(INDEX($AL$67:$AN$71,,$AE578), INDEX($AO$67:$AU$71,,$AD578), 1 / ($AV$67:$AV$71*CI578 + (1-$AV$67:$AV$71)*CE578), N($AK$67:$AK$71&gt;$AI578)),
SUMPRODUCT(INDEX($AL$57:$AN$66,,$AE578), INDEX($AO$57:$AU$66,,$AD578), 1 / ($AW$57:$AW$66*CI578 + (1-$AW$57:$AW$66)*CE578), N($AK$57:$AK$66&gt;$AI578))
) / 1000</f>
        <v>0</v>
      </c>
      <c r="CK578" s="250">
        <f t="shared" si="599"/>
        <v>20</v>
      </c>
      <c r="CL578" s="237">
        <f t="shared" si="622"/>
        <v>33</v>
      </c>
      <c r="CM578" s="253">
        <f t="shared" si="623"/>
        <v>4.8487499999999999</v>
      </c>
      <c r="CN578" s="253" cm="1">
        <f t="array" ref="CN578">$BC578 * IF($AD578&lt;=2,
SUMPRODUCT(INDEX($AL$62:$AN$66,,$AE578), INDEX($AO$62:$AU$66,,$AD578), 1 / ($AV$62:$AV$66*CM578 + (1-$AV$62:$AV$66)*CI578), N($AK$62:$AK$66&gt;$AI578)),
SUMPRODUCT(INDEX($AL$47:$AN$56,,$AE578), INDEX($AO$47:$AU$56,,$AD578), 1 / ($AW$47:$AW$56*CM578 + (1-$AW$47:$AW$56)*CI578), N($AK$47:$AK$56&gt;$AI578))
) / 1000</f>
        <v>0</v>
      </c>
      <c r="CO578" s="253" cm="1">
        <f t="array" ref="CO578">$BC578 * IF($AD578&lt;=2,
SUMPRODUCT(INDEX($AL$23:$AN$61,,$AE578), INDEX($AO$23:$AU$61,,$AD578), 1 / ($AV$23:$AV$61*CM578), N($AK$23:$AK$61&gt;$AI578)),
SUMPRODUCT(INDEX($AL$23:$AN$46,,$AE578), INDEX($AO$23:$AU$46,,$AD578), 1 / ($AW$23:$AW$46*CM578), N($AK$23:$AK$46&gt;$AI578))
) / 1000</f>
        <v>0</v>
      </c>
      <c r="CP578" s="237">
        <f t="shared" si="624"/>
        <v>0</v>
      </c>
      <c r="CQ578" s="210"/>
    </row>
    <row r="579" spans="1:95" s="76" customFormat="1" ht="14.25" customHeight="1" x14ac:dyDescent="0.2">
      <c r="A579" s="238" t="b">
        <f t="shared" si="591"/>
        <v>0</v>
      </c>
      <c r="B579" s="239">
        <v>557</v>
      </c>
      <c r="C579" s="258"/>
      <c r="D579" s="258"/>
      <c r="E579" s="240"/>
      <c r="F579" s="241" t="str">
        <f>IF(ISBLANK(E579), "", VLOOKUP(E579, Z!$A$2:$C$4127, 3, FALSE))</f>
        <v/>
      </c>
      <c r="G579" s="242"/>
      <c r="H579" s="242"/>
      <c r="I579" s="243"/>
      <c r="J579" s="244"/>
      <c r="K579" s="259"/>
      <c r="L579" s="260"/>
      <c r="M579" s="247" t="str" cm="1">
        <f t="array" ref="M579">IF($K579&gt;0, INDEX(Clean,1+AG579,$C$1), "")</f>
        <v/>
      </c>
      <c r="N579" s="245"/>
      <c r="O579" s="245"/>
      <c r="P579" s="246"/>
      <c r="Q579" s="248">
        <f t="shared" si="601"/>
        <v>0</v>
      </c>
      <c r="R579" s="247" t="str" cm="1">
        <f t="array" ref="R579">IF($K579&gt;0, INDEX(Clean,1+AH579,$C$1), "")</f>
        <v/>
      </c>
      <c r="S579" s="245"/>
      <c r="T579" s="245"/>
      <c r="U579" s="246"/>
      <c r="V579" s="248">
        <f t="shared" si="602"/>
        <v>0</v>
      </c>
      <c r="W579" s="261"/>
      <c r="X579" s="258"/>
      <c r="Y579" s="240"/>
      <c r="Z579" s="241" t="str">
        <f>IF(ISBLANK(Y579), "", VLOOKUP(Y579, Z!$A$2:$C$4127, 3, FALSE))</f>
        <v/>
      </c>
      <c r="AA579" s="262"/>
      <c r="AB579" s="249">
        <f t="shared" si="600"/>
        <v>0</v>
      </c>
      <c r="AC579" s="210"/>
      <c r="AD579" s="236">
        <f t="shared" si="625"/>
        <v>1</v>
      </c>
      <c r="AE579" s="236">
        <f t="shared" si="626"/>
        <v>1</v>
      </c>
      <c r="AF579" s="236">
        <f t="shared" si="627"/>
        <v>0</v>
      </c>
      <c r="AG579" s="236">
        <v>1</v>
      </c>
      <c r="AH579" s="236">
        <v>0</v>
      </c>
      <c r="AI579" s="236">
        <f t="shared" si="603"/>
        <v>-100</v>
      </c>
      <c r="AJ579" s="210"/>
      <c r="AK579" s="254"/>
      <c r="AL579" s="254"/>
      <c r="AM579" s="255"/>
      <c r="AN579" s="255"/>
      <c r="AO579" s="255"/>
      <c r="AP579" s="255"/>
      <c r="AQ579" s="255"/>
      <c r="AR579" s="255"/>
      <c r="AS579" s="255"/>
      <c r="AT579" s="255"/>
      <c r="AU579" s="255"/>
      <c r="AV579" s="255"/>
      <c r="AW579" s="255"/>
      <c r="AX579" s="210"/>
      <c r="AY579" s="236" cm="1">
        <f t="array" ref="AY579">INDEX(Use, $AD579, 4)</f>
        <v>7</v>
      </c>
      <c r="AZ579" s="236">
        <f t="shared" si="604"/>
        <v>32</v>
      </c>
      <c r="BA579" s="236">
        <f t="shared" si="592"/>
        <v>13</v>
      </c>
      <c r="BB579" s="236">
        <f t="shared" si="593"/>
        <v>0</v>
      </c>
      <c r="BC579" s="252" cm="1">
        <f t="array" ref="BC579">K579/IF($L579&gt;0, INDEX($AO$23:$AU$77, $L579+20, $AD579), 1)</f>
        <v>0</v>
      </c>
      <c r="BD579" s="237">
        <f t="shared" si="605"/>
        <v>0</v>
      </c>
      <c r="BE579" s="236">
        <v>35</v>
      </c>
      <c r="BF579" s="237">
        <f t="shared" si="606"/>
        <v>52.55</v>
      </c>
      <c r="BG579" s="253">
        <f t="shared" si="607"/>
        <v>2.7676728869374316</v>
      </c>
      <c r="BH579" s="253" cm="1">
        <f t="array" ref="BH579">$BC579 * SUMPRODUCT(INDEX($AL$77:$AN$82,,$AE579),INDEX($AO$77:$AU$82,,$AD579), N($AK$77:$AK$82&gt;$AI579)) / BG579 / 1000</f>
        <v>0</v>
      </c>
      <c r="BI579" s="250">
        <f t="shared" si="594"/>
        <v>30</v>
      </c>
      <c r="BJ579" s="237">
        <f t="shared" si="608"/>
        <v>46.033333333333331</v>
      </c>
      <c r="BK579" s="253">
        <f t="shared" si="609"/>
        <v>3.2297395388556791</v>
      </c>
      <c r="BL579" s="253" cm="1">
        <f t="array" ref="BL579">$BC579 * IF($AD579&lt;=2,
SUMPRODUCT(INDEX($AL$72:$AN$76,,$AE579), INDEX($AO$72:$AU$76,,$AD579), 1 / ($AV$72:$AV$76*BK579 + (1-$AV$72:$AV$76)*BG579), N($AK$72:$AK$76&gt;$AI579)),
SUMPRODUCT(INDEX($AL$67:$AN$76,,$AE579), INDEX($AO$67:$AU$76,,$AD579), 1 / ($AW$67:$AW$76*BK579 + (1-$AW$67:$AW$76)*BG579), N($AK$67:$AK$76&gt;$AI579))
) / 1000</f>
        <v>0</v>
      </c>
      <c r="BM579" s="250">
        <f t="shared" si="595"/>
        <v>25</v>
      </c>
      <c r="BN579" s="237">
        <f t="shared" si="610"/>
        <v>39.516666666666666</v>
      </c>
      <c r="BO579" s="253">
        <f t="shared" si="611"/>
        <v>3.877011788826243</v>
      </c>
      <c r="BP579" s="253" cm="1">
        <f t="array" ref="BP579">$BC579 * IF($AD579&lt;=2,
SUMPRODUCT(INDEX($AL$67:$AN$71,,$AE579), INDEX($AO$67:$AU$71,,$AD579), 1 / ($AV$67:$AV$71*BO579 + (1-$AV$67:$AV$71)*BK579), N($AK$67:$AK$71&gt;$AI579)),
SUMPRODUCT(INDEX($AL$57:$AN$66,,$AE579), INDEX($AO$57:$AU$66,,$AD579), 1 / ($AW$57:$AW$66*BO579 + (1-$AW$57:$AW$66)*BK579), N($AK$57:$AK$66&gt;$AI579))
) / 1000</f>
        <v>0</v>
      </c>
      <c r="BQ579" s="250">
        <f t="shared" si="596"/>
        <v>20</v>
      </c>
      <c r="BR579" s="237">
        <f t="shared" si="612"/>
        <v>33</v>
      </c>
      <c r="BS579" s="253">
        <f t="shared" si="613"/>
        <v>4.8487499999999999</v>
      </c>
      <c r="BT579" s="253" cm="1">
        <f t="array" ref="BT579">$BC579 * IF($AD579&lt;=2,
SUMPRODUCT(INDEX($AL$62:$AN$66,,$AE579), INDEX($AO$62:$AU$66,,$AD579), 1 / ($AV$62:$AV$66*BS579 + (1-$AV$62:$AV$66)*BO579), N($AK$62:$AK$66&gt;$AI579)),
SUMPRODUCT(INDEX($AL$47:$AN$56,,$AE579), INDEX($AO$47:$AU$56,,$AD579), 1 / ($AW$47:$AW$56*BS579 + (1-$AW$47:$AW$56)*BO579), N($AK$47:$AK$56&gt;$AI579))
) / 1000</f>
        <v>0</v>
      </c>
      <c r="BU579" s="253" cm="1">
        <f t="array" ref="BU579">$BC579 * IF($AD579&lt;=2,
SUMPRODUCT(INDEX($AL$23:$AN$61,,$AE579), INDEX($AO$23:$AU$61,,$AD579), 1 / ($AV$23:$AV$61*BS579), N($AK$23:$AK$61&gt;$AI579)),
SUMPRODUCT(INDEX($AL$23:$AN$46,,$AE579), INDEX($AO$23:$AU$46,,$AD579), 1 / ($AW$23:$AW$46*BS579), N($AK$23:$AK$46&gt;$AI579))
) / 1000</f>
        <v>0</v>
      </c>
      <c r="BV579" s="237">
        <f t="shared" si="614"/>
        <v>0</v>
      </c>
      <c r="BW579" s="210"/>
      <c r="BX579" s="237">
        <f t="shared" si="615"/>
        <v>0</v>
      </c>
      <c r="BY579" s="236">
        <v>35</v>
      </c>
      <c r="BZ579" s="237">
        <f t="shared" si="616"/>
        <v>48</v>
      </c>
      <c r="CA579" s="253">
        <f t="shared" si="617"/>
        <v>3.0748170731707316</v>
      </c>
      <c r="CB579" s="253" cm="1">
        <f t="array" ref="CB579">$BC579 * SUMPRODUCT(INDEX($AL$77:$AN$82,,$AE579),INDEX($AO$77:$AU$82,,$AD579), N($AK$77:$AK$82&gt;$AI579)) / CA579 / 1000</f>
        <v>0</v>
      </c>
      <c r="CC579" s="250">
        <f t="shared" si="597"/>
        <v>30</v>
      </c>
      <c r="CD579" s="237">
        <f t="shared" si="618"/>
        <v>43</v>
      </c>
      <c r="CE579" s="253">
        <f t="shared" si="619"/>
        <v>3.5018750000000001</v>
      </c>
      <c r="CF579" s="253" cm="1">
        <f t="array" ref="CF579">$BC579 * IF($AD579&lt;=2,
SUMPRODUCT(INDEX($AL$72:$AN$76,,$AE579), INDEX($AO$72:$AU$76,,$AD579), 1 / ($AV$72:$AV$76*CE579 + (1-$AV$72:$AV$76)*CA579), N($AK$72:$AK$76&gt;$AI579)),
SUMPRODUCT(INDEX($AL$67:$AN$76,,$AE579), INDEX($AO$67:$AU$76,,$AD579), 1 / ($AW$67:$AW$76*CE579 + (1-$AW$67:$AW$76)*CA579), N($AK$67:$AK$76&gt;$AI579))
) / 1000</f>
        <v>0</v>
      </c>
      <c r="CG579" s="250">
        <f t="shared" si="598"/>
        <v>25</v>
      </c>
      <c r="CH579" s="237">
        <f t="shared" si="620"/>
        <v>38</v>
      </c>
      <c r="CI579" s="253">
        <f t="shared" si="621"/>
        <v>4.0666935483870965</v>
      </c>
      <c r="CJ579" s="253" cm="1">
        <f t="array" ref="CJ579">$BC579 * IF($AD579&lt;=2,
SUMPRODUCT(INDEX($AL$67:$AN$71,,$AE579), INDEX($AO$67:$AU$71,,$AD579), 1 / ($AV$67:$AV$71*CI579 + (1-$AV$67:$AV$71)*CE579), N($AK$67:$AK$71&gt;$AI579)),
SUMPRODUCT(INDEX($AL$57:$AN$66,,$AE579), INDEX($AO$57:$AU$66,,$AD579), 1 / ($AW$57:$AW$66*CI579 + (1-$AW$57:$AW$66)*CE579), N($AK$57:$AK$66&gt;$AI579))
) / 1000</f>
        <v>0</v>
      </c>
      <c r="CK579" s="250">
        <f t="shared" si="599"/>
        <v>20</v>
      </c>
      <c r="CL579" s="237">
        <f t="shared" si="622"/>
        <v>33</v>
      </c>
      <c r="CM579" s="253">
        <f t="shared" si="623"/>
        <v>4.8487499999999999</v>
      </c>
      <c r="CN579" s="253" cm="1">
        <f t="array" ref="CN579">$BC579 * IF($AD579&lt;=2,
SUMPRODUCT(INDEX($AL$62:$AN$66,,$AE579), INDEX($AO$62:$AU$66,,$AD579), 1 / ($AV$62:$AV$66*CM579 + (1-$AV$62:$AV$66)*CI579), N($AK$62:$AK$66&gt;$AI579)),
SUMPRODUCT(INDEX($AL$47:$AN$56,,$AE579), INDEX($AO$47:$AU$56,,$AD579), 1 / ($AW$47:$AW$56*CM579 + (1-$AW$47:$AW$56)*CI579), N($AK$47:$AK$56&gt;$AI579))
) / 1000</f>
        <v>0</v>
      </c>
      <c r="CO579" s="253" cm="1">
        <f t="array" ref="CO579">$BC579 * IF($AD579&lt;=2,
SUMPRODUCT(INDEX($AL$23:$AN$61,,$AE579), INDEX($AO$23:$AU$61,,$AD579), 1 / ($AV$23:$AV$61*CM579), N($AK$23:$AK$61&gt;$AI579)),
SUMPRODUCT(INDEX($AL$23:$AN$46,,$AE579), INDEX($AO$23:$AU$46,,$AD579), 1 / ($AW$23:$AW$46*CM579), N($AK$23:$AK$46&gt;$AI579))
) / 1000</f>
        <v>0</v>
      </c>
      <c r="CP579" s="237">
        <f t="shared" si="624"/>
        <v>0</v>
      </c>
      <c r="CQ579" s="210"/>
    </row>
    <row r="580" spans="1:95" s="76" customFormat="1" ht="14.25" customHeight="1" x14ac:dyDescent="0.2">
      <c r="A580" s="238" t="b">
        <f t="shared" si="591"/>
        <v>0</v>
      </c>
      <c r="B580" s="239">
        <v>558</v>
      </c>
      <c r="C580" s="258"/>
      <c r="D580" s="258"/>
      <c r="E580" s="240"/>
      <c r="F580" s="241" t="str">
        <f>IF(ISBLANK(E580), "", VLOOKUP(E580, Z!$A$2:$C$4127, 3, FALSE))</f>
        <v/>
      </c>
      <c r="G580" s="242"/>
      <c r="H580" s="242"/>
      <c r="I580" s="243"/>
      <c r="J580" s="244"/>
      <c r="K580" s="259"/>
      <c r="L580" s="260"/>
      <c r="M580" s="247" t="str" cm="1">
        <f t="array" ref="M580">IF($K580&gt;0, INDEX(Clean,1+AG580,$C$1), "")</f>
        <v/>
      </c>
      <c r="N580" s="245"/>
      <c r="O580" s="245"/>
      <c r="P580" s="246"/>
      <c r="Q580" s="248">
        <f t="shared" si="601"/>
        <v>0</v>
      </c>
      <c r="R580" s="247" t="str" cm="1">
        <f t="array" ref="R580">IF($K580&gt;0, INDEX(Clean,1+AH580,$C$1), "")</f>
        <v/>
      </c>
      <c r="S580" s="245"/>
      <c r="T580" s="245"/>
      <c r="U580" s="246"/>
      <c r="V580" s="248">
        <f t="shared" si="602"/>
        <v>0</v>
      </c>
      <c r="W580" s="261"/>
      <c r="X580" s="258"/>
      <c r="Y580" s="240"/>
      <c r="Z580" s="241" t="str">
        <f>IF(ISBLANK(Y580), "", VLOOKUP(Y580, Z!$A$2:$C$4127, 3, FALSE))</f>
        <v/>
      </c>
      <c r="AA580" s="262"/>
      <c r="AB580" s="249">
        <f t="shared" si="600"/>
        <v>0</v>
      </c>
      <c r="AC580" s="210"/>
      <c r="AD580" s="236">
        <f t="shared" si="625"/>
        <v>1</v>
      </c>
      <c r="AE580" s="236">
        <f t="shared" si="626"/>
        <v>1</v>
      </c>
      <c r="AF580" s="236">
        <f t="shared" si="627"/>
        <v>0</v>
      </c>
      <c r="AG580" s="236">
        <v>1</v>
      </c>
      <c r="AH580" s="236">
        <v>0</v>
      </c>
      <c r="AI580" s="236">
        <f t="shared" si="603"/>
        <v>-100</v>
      </c>
      <c r="AJ580" s="210"/>
      <c r="AK580" s="254"/>
      <c r="AL580" s="254"/>
      <c r="AM580" s="255"/>
      <c r="AN580" s="255"/>
      <c r="AO580" s="255"/>
      <c r="AP580" s="255"/>
      <c r="AQ580" s="255"/>
      <c r="AR580" s="255"/>
      <c r="AS580" s="255"/>
      <c r="AT580" s="255"/>
      <c r="AU580" s="255"/>
      <c r="AV580" s="255"/>
      <c r="AW580" s="255"/>
      <c r="AX580" s="210"/>
      <c r="AY580" s="236" cm="1">
        <f t="array" ref="AY580">INDEX(Use, $AD580, 4)</f>
        <v>7</v>
      </c>
      <c r="AZ580" s="236">
        <f t="shared" si="604"/>
        <v>32</v>
      </c>
      <c r="BA580" s="236">
        <f t="shared" si="592"/>
        <v>13</v>
      </c>
      <c r="BB580" s="236">
        <f t="shared" si="593"/>
        <v>0</v>
      </c>
      <c r="BC580" s="252" cm="1">
        <f t="array" ref="BC580">K580/IF($L580&gt;0, INDEX($AO$23:$AU$77, $L580+20, $AD580), 1)</f>
        <v>0</v>
      </c>
      <c r="BD580" s="237">
        <f t="shared" si="605"/>
        <v>0</v>
      </c>
      <c r="BE580" s="236">
        <v>35</v>
      </c>
      <c r="BF580" s="237">
        <f t="shared" si="606"/>
        <v>52.55</v>
      </c>
      <c r="BG580" s="253">
        <f t="shared" si="607"/>
        <v>2.7676728869374316</v>
      </c>
      <c r="BH580" s="253" cm="1">
        <f t="array" ref="BH580">$BC580 * SUMPRODUCT(INDEX($AL$77:$AN$82,,$AE580),INDEX($AO$77:$AU$82,,$AD580), N($AK$77:$AK$82&gt;$AI580)) / BG580 / 1000</f>
        <v>0</v>
      </c>
      <c r="BI580" s="250">
        <f t="shared" si="594"/>
        <v>30</v>
      </c>
      <c r="BJ580" s="237">
        <f t="shared" si="608"/>
        <v>46.033333333333331</v>
      </c>
      <c r="BK580" s="253">
        <f t="shared" si="609"/>
        <v>3.2297395388556791</v>
      </c>
      <c r="BL580" s="253" cm="1">
        <f t="array" ref="BL580">$BC580 * IF($AD580&lt;=2,
SUMPRODUCT(INDEX($AL$72:$AN$76,,$AE580), INDEX($AO$72:$AU$76,,$AD580), 1 / ($AV$72:$AV$76*BK580 + (1-$AV$72:$AV$76)*BG580), N($AK$72:$AK$76&gt;$AI580)),
SUMPRODUCT(INDEX($AL$67:$AN$76,,$AE580), INDEX($AO$67:$AU$76,,$AD580), 1 / ($AW$67:$AW$76*BK580 + (1-$AW$67:$AW$76)*BG580), N($AK$67:$AK$76&gt;$AI580))
) / 1000</f>
        <v>0</v>
      </c>
      <c r="BM580" s="250">
        <f t="shared" si="595"/>
        <v>25</v>
      </c>
      <c r="BN580" s="237">
        <f t="shared" si="610"/>
        <v>39.516666666666666</v>
      </c>
      <c r="BO580" s="253">
        <f t="shared" si="611"/>
        <v>3.877011788826243</v>
      </c>
      <c r="BP580" s="253" cm="1">
        <f t="array" ref="BP580">$BC580 * IF($AD580&lt;=2,
SUMPRODUCT(INDEX($AL$67:$AN$71,,$AE580), INDEX($AO$67:$AU$71,,$AD580), 1 / ($AV$67:$AV$71*BO580 + (1-$AV$67:$AV$71)*BK580), N($AK$67:$AK$71&gt;$AI580)),
SUMPRODUCT(INDEX($AL$57:$AN$66,,$AE580), INDEX($AO$57:$AU$66,,$AD580), 1 / ($AW$57:$AW$66*BO580 + (1-$AW$57:$AW$66)*BK580), N($AK$57:$AK$66&gt;$AI580))
) / 1000</f>
        <v>0</v>
      </c>
      <c r="BQ580" s="250">
        <f t="shared" si="596"/>
        <v>20</v>
      </c>
      <c r="BR580" s="237">
        <f t="shared" si="612"/>
        <v>33</v>
      </c>
      <c r="BS580" s="253">
        <f t="shared" si="613"/>
        <v>4.8487499999999999</v>
      </c>
      <c r="BT580" s="253" cm="1">
        <f t="array" ref="BT580">$BC580 * IF($AD580&lt;=2,
SUMPRODUCT(INDEX($AL$62:$AN$66,,$AE580), INDEX($AO$62:$AU$66,,$AD580), 1 / ($AV$62:$AV$66*BS580 + (1-$AV$62:$AV$66)*BO580), N($AK$62:$AK$66&gt;$AI580)),
SUMPRODUCT(INDEX($AL$47:$AN$56,,$AE580), INDEX($AO$47:$AU$56,,$AD580), 1 / ($AW$47:$AW$56*BS580 + (1-$AW$47:$AW$56)*BO580), N($AK$47:$AK$56&gt;$AI580))
) / 1000</f>
        <v>0</v>
      </c>
      <c r="BU580" s="253" cm="1">
        <f t="array" ref="BU580">$BC580 * IF($AD580&lt;=2,
SUMPRODUCT(INDEX($AL$23:$AN$61,,$AE580), INDEX($AO$23:$AU$61,,$AD580), 1 / ($AV$23:$AV$61*BS580), N($AK$23:$AK$61&gt;$AI580)),
SUMPRODUCT(INDEX($AL$23:$AN$46,,$AE580), INDEX($AO$23:$AU$46,,$AD580), 1 / ($AW$23:$AW$46*BS580), N($AK$23:$AK$46&gt;$AI580))
) / 1000</f>
        <v>0</v>
      </c>
      <c r="BV580" s="237">
        <f t="shared" si="614"/>
        <v>0</v>
      </c>
      <c r="BW580" s="210"/>
      <c r="BX580" s="237">
        <f t="shared" si="615"/>
        <v>0</v>
      </c>
      <c r="BY580" s="236">
        <v>35</v>
      </c>
      <c r="BZ580" s="237">
        <f t="shared" si="616"/>
        <v>48</v>
      </c>
      <c r="CA580" s="253">
        <f t="shared" si="617"/>
        <v>3.0748170731707316</v>
      </c>
      <c r="CB580" s="253" cm="1">
        <f t="array" ref="CB580">$BC580 * SUMPRODUCT(INDEX($AL$77:$AN$82,,$AE580),INDEX($AO$77:$AU$82,,$AD580), N($AK$77:$AK$82&gt;$AI580)) / CA580 / 1000</f>
        <v>0</v>
      </c>
      <c r="CC580" s="250">
        <f t="shared" si="597"/>
        <v>30</v>
      </c>
      <c r="CD580" s="237">
        <f t="shared" si="618"/>
        <v>43</v>
      </c>
      <c r="CE580" s="253">
        <f t="shared" si="619"/>
        <v>3.5018750000000001</v>
      </c>
      <c r="CF580" s="253" cm="1">
        <f t="array" ref="CF580">$BC580 * IF($AD580&lt;=2,
SUMPRODUCT(INDEX($AL$72:$AN$76,,$AE580), INDEX($AO$72:$AU$76,,$AD580), 1 / ($AV$72:$AV$76*CE580 + (1-$AV$72:$AV$76)*CA580), N($AK$72:$AK$76&gt;$AI580)),
SUMPRODUCT(INDEX($AL$67:$AN$76,,$AE580), INDEX($AO$67:$AU$76,,$AD580), 1 / ($AW$67:$AW$76*CE580 + (1-$AW$67:$AW$76)*CA580), N($AK$67:$AK$76&gt;$AI580))
) / 1000</f>
        <v>0</v>
      </c>
      <c r="CG580" s="250">
        <f t="shared" si="598"/>
        <v>25</v>
      </c>
      <c r="CH580" s="237">
        <f t="shared" si="620"/>
        <v>38</v>
      </c>
      <c r="CI580" s="253">
        <f t="shared" si="621"/>
        <v>4.0666935483870965</v>
      </c>
      <c r="CJ580" s="253" cm="1">
        <f t="array" ref="CJ580">$BC580 * IF($AD580&lt;=2,
SUMPRODUCT(INDEX($AL$67:$AN$71,,$AE580), INDEX($AO$67:$AU$71,,$AD580), 1 / ($AV$67:$AV$71*CI580 + (1-$AV$67:$AV$71)*CE580), N($AK$67:$AK$71&gt;$AI580)),
SUMPRODUCT(INDEX($AL$57:$AN$66,,$AE580), INDEX($AO$57:$AU$66,,$AD580), 1 / ($AW$57:$AW$66*CI580 + (1-$AW$57:$AW$66)*CE580), N($AK$57:$AK$66&gt;$AI580))
) / 1000</f>
        <v>0</v>
      </c>
      <c r="CK580" s="250">
        <f t="shared" si="599"/>
        <v>20</v>
      </c>
      <c r="CL580" s="237">
        <f t="shared" si="622"/>
        <v>33</v>
      </c>
      <c r="CM580" s="253">
        <f t="shared" si="623"/>
        <v>4.8487499999999999</v>
      </c>
      <c r="CN580" s="253" cm="1">
        <f t="array" ref="CN580">$BC580 * IF($AD580&lt;=2,
SUMPRODUCT(INDEX($AL$62:$AN$66,,$AE580), INDEX($AO$62:$AU$66,,$AD580), 1 / ($AV$62:$AV$66*CM580 + (1-$AV$62:$AV$66)*CI580), N($AK$62:$AK$66&gt;$AI580)),
SUMPRODUCT(INDEX($AL$47:$AN$56,,$AE580), INDEX($AO$47:$AU$56,,$AD580), 1 / ($AW$47:$AW$56*CM580 + (1-$AW$47:$AW$56)*CI580), N($AK$47:$AK$56&gt;$AI580))
) / 1000</f>
        <v>0</v>
      </c>
      <c r="CO580" s="253" cm="1">
        <f t="array" ref="CO580">$BC580 * IF($AD580&lt;=2,
SUMPRODUCT(INDEX($AL$23:$AN$61,,$AE580), INDEX($AO$23:$AU$61,,$AD580), 1 / ($AV$23:$AV$61*CM580), N($AK$23:$AK$61&gt;$AI580)),
SUMPRODUCT(INDEX($AL$23:$AN$46,,$AE580), INDEX($AO$23:$AU$46,,$AD580), 1 / ($AW$23:$AW$46*CM580), N($AK$23:$AK$46&gt;$AI580))
) / 1000</f>
        <v>0</v>
      </c>
      <c r="CP580" s="237">
        <f t="shared" si="624"/>
        <v>0</v>
      </c>
      <c r="CQ580" s="210"/>
    </row>
    <row r="581" spans="1:95" s="76" customFormat="1" ht="14.25" customHeight="1" x14ac:dyDescent="0.2">
      <c r="A581" s="238" t="b">
        <f t="shared" si="591"/>
        <v>0</v>
      </c>
      <c r="B581" s="239">
        <v>559</v>
      </c>
      <c r="C581" s="258"/>
      <c r="D581" s="258"/>
      <c r="E581" s="240"/>
      <c r="F581" s="241" t="str">
        <f>IF(ISBLANK(E581), "", VLOOKUP(E581, Z!$A$2:$C$4127, 3, FALSE))</f>
        <v/>
      </c>
      <c r="G581" s="242"/>
      <c r="H581" s="242"/>
      <c r="I581" s="243"/>
      <c r="J581" s="244"/>
      <c r="K581" s="259"/>
      <c r="L581" s="260"/>
      <c r="M581" s="247" t="str" cm="1">
        <f t="array" ref="M581">IF($K581&gt;0, INDEX(Clean,1+AG581,$C$1), "")</f>
        <v/>
      </c>
      <c r="N581" s="245"/>
      <c r="O581" s="245"/>
      <c r="P581" s="246"/>
      <c r="Q581" s="248">
        <f t="shared" si="601"/>
        <v>0</v>
      </c>
      <c r="R581" s="247" t="str" cm="1">
        <f t="array" ref="R581">IF($K581&gt;0, INDEX(Clean,1+AH581,$C$1), "")</f>
        <v/>
      </c>
      <c r="S581" s="245"/>
      <c r="T581" s="245"/>
      <c r="U581" s="246"/>
      <c r="V581" s="248">
        <f t="shared" si="602"/>
        <v>0</v>
      </c>
      <c r="W581" s="261"/>
      <c r="X581" s="258"/>
      <c r="Y581" s="240"/>
      <c r="Z581" s="241" t="str">
        <f>IF(ISBLANK(Y581), "", VLOOKUP(Y581, Z!$A$2:$C$4127, 3, FALSE))</f>
        <v/>
      </c>
      <c r="AA581" s="262"/>
      <c r="AB581" s="249">
        <f t="shared" si="600"/>
        <v>0</v>
      </c>
      <c r="AC581" s="210"/>
      <c r="AD581" s="236">
        <f t="shared" si="625"/>
        <v>1</v>
      </c>
      <c r="AE581" s="236">
        <f t="shared" si="626"/>
        <v>1</v>
      </c>
      <c r="AF581" s="236">
        <f t="shared" si="627"/>
        <v>0</v>
      </c>
      <c r="AG581" s="236">
        <v>1</v>
      </c>
      <c r="AH581" s="236">
        <v>0</v>
      </c>
      <c r="AI581" s="236">
        <f t="shared" si="603"/>
        <v>-100</v>
      </c>
      <c r="AJ581" s="210"/>
      <c r="AK581" s="254"/>
      <c r="AL581" s="254"/>
      <c r="AM581" s="255"/>
      <c r="AN581" s="255"/>
      <c r="AO581" s="255"/>
      <c r="AP581" s="255"/>
      <c r="AQ581" s="255"/>
      <c r="AR581" s="255"/>
      <c r="AS581" s="255"/>
      <c r="AT581" s="255"/>
      <c r="AU581" s="255"/>
      <c r="AV581" s="255"/>
      <c r="AW581" s="255"/>
      <c r="AX581" s="210"/>
      <c r="AY581" s="236" cm="1">
        <f t="array" ref="AY581">INDEX(Use, $AD581, 4)</f>
        <v>7</v>
      </c>
      <c r="AZ581" s="236">
        <f t="shared" si="604"/>
        <v>32</v>
      </c>
      <c r="BA581" s="236">
        <f t="shared" si="592"/>
        <v>13</v>
      </c>
      <c r="BB581" s="236">
        <f t="shared" si="593"/>
        <v>0</v>
      </c>
      <c r="BC581" s="252" cm="1">
        <f t="array" ref="BC581">K581/IF($L581&gt;0, INDEX($AO$23:$AU$77, $L581+20, $AD581), 1)</f>
        <v>0</v>
      </c>
      <c r="BD581" s="237">
        <f t="shared" si="605"/>
        <v>0</v>
      </c>
      <c r="BE581" s="236">
        <v>35</v>
      </c>
      <c r="BF581" s="237">
        <f t="shared" si="606"/>
        <v>52.55</v>
      </c>
      <c r="BG581" s="253">
        <f t="shared" si="607"/>
        <v>2.7676728869374316</v>
      </c>
      <c r="BH581" s="253" cm="1">
        <f t="array" ref="BH581">$BC581 * SUMPRODUCT(INDEX($AL$77:$AN$82,,$AE581),INDEX($AO$77:$AU$82,,$AD581), N($AK$77:$AK$82&gt;$AI581)) / BG581 / 1000</f>
        <v>0</v>
      </c>
      <c r="BI581" s="250">
        <f t="shared" si="594"/>
        <v>30</v>
      </c>
      <c r="BJ581" s="237">
        <f t="shared" si="608"/>
        <v>46.033333333333331</v>
      </c>
      <c r="BK581" s="253">
        <f t="shared" si="609"/>
        <v>3.2297395388556791</v>
      </c>
      <c r="BL581" s="253" cm="1">
        <f t="array" ref="BL581">$BC581 * IF($AD581&lt;=2,
SUMPRODUCT(INDEX($AL$72:$AN$76,,$AE581), INDEX($AO$72:$AU$76,,$AD581), 1 / ($AV$72:$AV$76*BK581 + (1-$AV$72:$AV$76)*BG581), N($AK$72:$AK$76&gt;$AI581)),
SUMPRODUCT(INDEX($AL$67:$AN$76,,$AE581), INDEX($AO$67:$AU$76,,$AD581), 1 / ($AW$67:$AW$76*BK581 + (1-$AW$67:$AW$76)*BG581), N($AK$67:$AK$76&gt;$AI581))
) / 1000</f>
        <v>0</v>
      </c>
      <c r="BM581" s="250">
        <f t="shared" si="595"/>
        <v>25</v>
      </c>
      <c r="BN581" s="237">
        <f t="shared" si="610"/>
        <v>39.516666666666666</v>
      </c>
      <c r="BO581" s="253">
        <f t="shared" si="611"/>
        <v>3.877011788826243</v>
      </c>
      <c r="BP581" s="253" cm="1">
        <f t="array" ref="BP581">$BC581 * IF($AD581&lt;=2,
SUMPRODUCT(INDEX($AL$67:$AN$71,,$AE581), INDEX($AO$67:$AU$71,,$AD581), 1 / ($AV$67:$AV$71*BO581 + (1-$AV$67:$AV$71)*BK581), N($AK$67:$AK$71&gt;$AI581)),
SUMPRODUCT(INDEX($AL$57:$AN$66,,$AE581), INDEX($AO$57:$AU$66,,$AD581), 1 / ($AW$57:$AW$66*BO581 + (1-$AW$57:$AW$66)*BK581), N($AK$57:$AK$66&gt;$AI581))
) / 1000</f>
        <v>0</v>
      </c>
      <c r="BQ581" s="250">
        <f t="shared" si="596"/>
        <v>20</v>
      </c>
      <c r="BR581" s="237">
        <f t="shared" si="612"/>
        <v>33</v>
      </c>
      <c r="BS581" s="253">
        <f t="shared" si="613"/>
        <v>4.8487499999999999</v>
      </c>
      <c r="BT581" s="253" cm="1">
        <f t="array" ref="BT581">$BC581 * IF($AD581&lt;=2,
SUMPRODUCT(INDEX($AL$62:$AN$66,,$AE581), INDEX($AO$62:$AU$66,,$AD581), 1 / ($AV$62:$AV$66*BS581 + (1-$AV$62:$AV$66)*BO581), N($AK$62:$AK$66&gt;$AI581)),
SUMPRODUCT(INDEX($AL$47:$AN$56,,$AE581), INDEX($AO$47:$AU$56,,$AD581), 1 / ($AW$47:$AW$56*BS581 + (1-$AW$47:$AW$56)*BO581), N($AK$47:$AK$56&gt;$AI581))
) / 1000</f>
        <v>0</v>
      </c>
      <c r="BU581" s="253" cm="1">
        <f t="array" ref="BU581">$BC581 * IF($AD581&lt;=2,
SUMPRODUCT(INDEX($AL$23:$AN$61,,$AE581), INDEX($AO$23:$AU$61,,$AD581), 1 / ($AV$23:$AV$61*BS581), N($AK$23:$AK$61&gt;$AI581)),
SUMPRODUCT(INDEX($AL$23:$AN$46,,$AE581), INDEX($AO$23:$AU$46,,$AD581), 1 / ($AW$23:$AW$46*BS581), N($AK$23:$AK$46&gt;$AI581))
) / 1000</f>
        <v>0</v>
      </c>
      <c r="BV581" s="237">
        <f t="shared" si="614"/>
        <v>0</v>
      </c>
      <c r="BW581" s="210"/>
      <c r="BX581" s="237">
        <f t="shared" si="615"/>
        <v>0</v>
      </c>
      <c r="BY581" s="236">
        <v>35</v>
      </c>
      <c r="BZ581" s="237">
        <f t="shared" si="616"/>
        <v>48</v>
      </c>
      <c r="CA581" s="253">
        <f t="shared" si="617"/>
        <v>3.0748170731707316</v>
      </c>
      <c r="CB581" s="253" cm="1">
        <f t="array" ref="CB581">$BC581 * SUMPRODUCT(INDEX($AL$77:$AN$82,,$AE581),INDEX($AO$77:$AU$82,,$AD581), N($AK$77:$AK$82&gt;$AI581)) / CA581 / 1000</f>
        <v>0</v>
      </c>
      <c r="CC581" s="250">
        <f t="shared" si="597"/>
        <v>30</v>
      </c>
      <c r="CD581" s="237">
        <f t="shared" si="618"/>
        <v>43</v>
      </c>
      <c r="CE581" s="253">
        <f t="shared" si="619"/>
        <v>3.5018750000000001</v>
      </c>
      <c r="CF581" s="253" cm="1">
        <f t="array" ref="CF581">$BC581 * IF($AD581&lt;=2,
SUMPRODUCT(INDEX($AL$72:$AN$76,,$AE581), INDEX($AO$72:$AU$76,,$AD581), 1 / ($AV$72:$AV$76*CE581 + (1-$AV$72:$AV$76)*CA581), N($AK$72:$AK$76&gt;$AI581)),
SUMPRODUCT(INDEX($AL$67:$AN$76,,$AE581), INDEX($AO$67:$AU$76,,$AD581), 1 / ($AW$67:$AW$76*CE581 + (1-$AW$67:$AW$76)*CA581), N($AK$67:$AK$76&gt;$AI581))
) / 1000</f>
        <v>0</v>
      </c>
      <c r="CG581" s="250">
        <f t="shared" si="598"/>
        <v>25</v>
      </c>
      <c r="CH581" s="237">
        <f t="shared" si="620"/>
        <v>38</v>
      </c>
      <c r="CI581" s="253">
        <f t="shared" si="621"/>
        <v>4.0666935483870965</v>
      </c>
      <c r="CJ581" s="253" cm="1">
        <f t="array" ref="CJ581">$BC581 * IF($AD581&lt;=2,
SUMPRODUCT(INDEX($AL$67:$AN$71,,$AE581), INDEX($AO$67:$AU$71,,$AD581), 1 / ($AV$67:$AV$71*CI581 + (1-$AV$67:$AV$71)*CE581), N($AK$67:$AK$71&gt;$AI581)),
SUMPRODUCT(INDEX($AL$57:$AN$66,,$AE581), INDEX($AO$57:$AU$66,,$AD581), 1 / ($AW$57:$AW$66*CI581 + (1-$AW$57:$AW$66)*CE581), N($AK$57:$AK$66&gt;$AI581))
) / 1000</f>
        <v>0</v>
      </c>
      <c r="CK581" s="250">
        <f t="shared" si="599"/>
        <v>20</v>
      </c>
      <c r="CL581" s="237">
        <f t="shared" si="622"/>
        <v>33</v>
      </c>
      <c r="CM581" s="253">
        <f t="shared" si="623"/>
        <v>4.8487499999999999</v>
      </c>
      <c r="CN581" s="253" cm="1">
        <f t="array" ref="CN581">$BC581 * IF($AD581&lt;=2,
SUMPRODUCT(INDEX($AL$62:$AN$66,,$AE581), INDEX($AO$62:$AU$66,,$AD581), 1 / ($AV$62:$AV$66*CM581 + (1-$AV$62:$AV$66)*CI581), N($AK$62:$AK$66&gt;$AI581)),
SUMPRODUCT(INDEX($AL$47:$AN$56,,$AE581), INDEX($AO$47:$AU$56,,$AD581), 1 / ($AW$47:$AW$56*CM581 + (1-$AW$47:$AW$56)*CI581), N($AK$47:$AK$56&gt;$AI581))
) / 1000</f>
        <v>0</v>
      </c>
      <c r="CO581" s="253" cm="1">
        <f t="array" ref="CO581">$BC581 * IF($AD581&lt;=2,
SUMPRODUCT(INDEX($AL$23:$AN$61,,$AE581), INDEX($AO$23:$AU$61,,$AD581), 1 / ($AV$23:$AV$61*CM581), N($AK$23:$AK$61&gt;$AI581)),
SUMPRODUCT(INDEX($AL$23:$AN$46,,$AE581), INDEX($AO$23:$AU$46,,$AD581), 1 / ($AW$23:$AW$46*CM581), N($AK$23:$AK$46&gt;$AI581))
) / 1000</f>
        <v>0</v>
      </c>
      <c r="CP581" s="237">
        <f t="shared" si="624"/>
        <v>0</v>
      </c>
      <c r="CQ581" s="210"/>
    </row>
    <row r="582" spans="1:95" s="76" customFormat="1" ht="14.25" customHeight="1" x14ac:dyDescent="0.2">
      <c r="A582" s="238" t="b">
        <f t="shared" si="591"/>
        <v>0</v>
      </c>
      <c r="B582" s="239">
        <v>560</v>
      </c>
      <c r="C582" s="258"/>
      <c r="D582" s="258"/>
      <c r="E582" s="240"/>
      <c r="F582" s="241" t="str">
        <f>IF(ISBLANK(E582), "", VLOOKUP(E582, Z!$A$2:$C$4127, 3, FALSE))</f>
        <v/>
      </c>
      <c r="G582" s="242"/>
      <c r="H582" s="242"/>
      <c r="I582" s="243"/>
      <c r="J582" s="244"/>
      <c r="K582" s="259"/>
      <c r="L582" s="260"/>
      <c r="M582" s="247" t="str" cm="1">
        <f t="array" ref="M582">IF($K582&gt;0, INDEX(Clean,1+AG582,$C$1), "")</f>
        <v/>
      </c>
      <c r="N582" s="245"/>
      <c r="O582" s="245"/>
      <c r="P582" s="246"/>
      <c r="Q582" s="248">
        <f t="shared" si="601"/>
        <v>0</v>
      </c>
      <c r="R582" s="247" t="str" cm="1">
        <f t="array" ref="R582">IF($K582&gt;0, INDEX(Clean,1+AH582,$C$1), "")</f>
        <v/>
      </c>
      <c r="S582" s="245"/>
      <c r="T582" s="245"/>
      <c r="U582" s="246"/>
      <c r="V582" s="248">
        <f t="shared" si="602"/>
        <v>0</v>
      </c>
      <c r="W582" s="261"/>
      <c r="X582" s="258"/>
      <c r="Y582" s="240"/>
      <c r="Z582" s="241" t="str">
        <f>IF(ISBLANK(Y582), "", VLOOKUP(Y582, Z!$A$2:$C$4127, 3, FALSE))</f>
        <v/>
      </c>
      <c r="AA582" s="262"/>
      <c r="AB582" s="249">
        <f t="shared" si="600"/>
        <v>0</v>
      </c>
      <c r="AC582" s="210"/>
      <c r="AD582" s="236">
        <f t="shared" si="625"/>
        <v>1</v>
      </c>
      <c r="AE582" s="236">
        <f t="shared" si="626"/>
        <v>1</v>
      </c>
      <c r="AF582" s="236">
        <f t="shared" si="627"/>
        <v>0</v>
      </c>
      <c r="AG582" s="236">
        <v>1</v>
      </c>
      <c r="AH582" s="236">
        <v>0</v>
      </c>
      <c r="AI582" s="236">
        <f t="shared" si="603"/>
        <v>-100</v>
      </c>
      <c r="AJ582" s="210"/>
      <c r="AK582" s="254"/>
      <c r="AL582" s="254"/>
      <c r="AM582" s="255"/>
      <c r="AN582" s="255"/>
      <c r="AO582" s="255"/>
      <c r="AP582" s="255"/>
      <c r="AQ582" s="255"/>
      <c r="AR582" s="255"/>
      <c r="AS582" s="255"/>
      <c r="AT582" s="255"/>
      <c r="AU582" s="255"/>
      <c r="AV582" s="255"/>
      <c r="AW582" s="255"/>
      <c r="AX582" s="210"/>
      <c r="AY582" s="236" cm="1">
        <f t="array" ref="AY582">INDEX(Use, $AD582, 4)</f>
        <v>7</v>
      </c>
      <c r="AZ582" s="236">
        <f t="shared" si="604"/>
        <v>32</v>
      </c>
      <c r="BA582" s="236">
        <f t="shared" si="592"/>
        <v>13</v>
      </c>
      <c r="BB582" s="236">
        <f t="shared" si="593"/>
        <v>0</v>
      </c>
      <c r="BC582" s="252" cm="1">
        <f t="array" ref="BC582">K582/IF($L582&gt;0, INDEX($AO$23:$AU$77, $L582+20, $AD582), 1)</f>
        <v>0</v>
      </c>
      <c r="BD582" s="237">
        <f t="shared" si="605"/>
        <v>0</v>
      </c>
      <c r="BE582" s="236">
        <v>35</v>
      </c>
      <c r="BF582" s="237">
        <f t="shared" si="606"/>
        <v>52.55</v>
      </c>
      <c r="BG582" s="253">
        <f t="shared" si="607"/>
        <v>2.7676728869374316</v>
      </c>
      <c r="BH582" s="253" cm="1">
        <f t="array" ref="BH582">$BC582 * SUMPRODUCT(INDEX($AL$77:$AN$82,,$AE582),INDEX($AO$77:$AU$82,,$AD582), N($AK$77:$AK$82&gt;$AI582)) / BG582 / 1000</f>
        <v>0</v>
      </c>
      <c r="BI582" s="250">
        <f t="shared" si="594"/>
        <v>30</v>
      </c>
      <c r="BJ582" s="237">
        <f t="shared" si="608"/>
        <v>46.033333333333331</v>
      </c>
      <c r="BK582" s="253">
        <f t="shared" si="609"/>
        <v>3.2297395388556791</v>
      </c>
      <c r="BL582" s="253" cm="1">
        <f t="array" ref="BL582">$BC582 * IF($AD582&lt;=2,
SUMPRODUCT(INDEX($AL$72:$AN$76,,$AE582), INDEX($AO$72:$AU$76,,$AD582), 1 / ($AV$72:$AV$76*BK582 + (1-$AV$72:$AV$76)*BG582), N($AK$72:$AK$76&gt;$AI582)),
SUMPRODUCT(INDEX($AL$67:$AN$76,,$AE582), INDEX($AO$67:$AU$76,,$AD582), 1 / ($AW$67:$AW$76*BK582 + (1-$AW$67:$AW$76)*BG582), N($AK$67:$AK$76&gt;$AI582))
) / 1000</f>
        <v>0</v>
      </c>
      <c r="BM582" s="250">
        <f t="shared" si="595"/>
        <v>25</v>
      </c>
      <c r="BN582" s="237">
        <f t="shared" si="610"/>
        <v>39.516666666666666</v>
      </c>
      <c r="BO582" s="253">
        <f t="shared" si="611"/>
        <v>3.877011788826243</v>
      </c>
      <c r="BP582" s="253" cm="1">
        <f t="array" ref="BP582">$BC582 * IF($AD582&lt;=2,
SUMPRODUCT(INDEX($AL$67:$AN$71,,$AE582), INDEX($AO$67:$AU$71,,$AD582), 1 / ($AV$67:$AV$71*BO582 + (1-$AV$67:$AV$71)*BK582), N($AK$67:$AK$71&gt;$AI582)),
SUMPRODUCT(INDEX($AL$57:$AN$66,,$AE582), INDEX($AO$57:$AU$66,,$AD582), 1 / ($AW$57:$AW$66*BO582 + (1-$AW$57:$AW$66)*BK582), N($AK$57:$AK$66&gt;$AI582))
) / 1000</f>
        <v>0</v>
      </c>
      <c r="BQ582" s="250">
        <f t="shared" si="596"/>
        <v>20</v>
      </c>
      <c r="BR582" s="237">
        <f t="shared" si="612"/>
        <v>33</v>
      </c>
      <c r="BS582" s="253">
        <f t="shared" si="613"/>
        <v>4.8487499999999999</v>
      </c>
      <c r="BT582" s="253" cm="1">
        <f t="array" ref="BT582">$BC582 * IF($AD582&lt;=2,
SUMPRODUCT(INDEX($AL$62:$AN$66,,$AE582), INDEX($AO$62:$AU$66,,$AD582), 1 / ($AV$62:$AV$66*BS582 + (1-$AV$62:$AV$66)*BO582), N($AK$62:$AK$66&gt;$AI582)),
SUMPRODUCT(INDEX($AL$47:$AN$56,,$AE582), INDEX($AO$47:$AU$56,,$AD582), 1 / ($AW$47:$AW$56*BS582 + (1-$AW$47:$AW$56)*BO582), N($AK$47:$AK$56&gt;$AI582))
) / 1000</f>
        <v>0</v>
      </c>
      <c r="BU582" s="253" cm="1">
        <f t="array" ref="BU582">$BC582 * IF($AD582&lt;=2,
SUMPRODUCT(INDEX($AL$23:$AN$61,,$AE582), INDEX($AO$23:$AU$61,,$AD582), 1 / ($AV$23:$AV$61*BS582), N($AK$23:$AK$61&gt;$AI582)),
SUMPRODUCT(INDEX($AL$23:$AN$46,,$AE582), INDEX($AO$23:$AU$46,,$AD582), 1 / ($AW$23:$AW$46*BS582), N($AK$23:$AK$46&gt;$AI582))
) / 1000</f>
        <v>0</v>
      </c>
      <c r="BV582" s="237">
        <f t="shared" si="614"/>
        <v>0</v>
      </c>
      <c r="BW582" s="210"/>
      <c r="BX582" s="237">
        <f t="shared" si="615"/>
        <v>0</v>
      </c>
      <c r="BY582" s="236">
        <v>35</v>
      </c>
      <c r="BZ582" s="237">
        <f t="shared" si="616"/>
        <v>48</v>
      </c>
      <c r="CA582" s="253">
        <f t="shared" si="617"/>
        <v>3.0748170731707316</v>
      </c>
      <c r="CB582" s="253" cm="1">
        <f t="array" ref="CB582">$BC582 * SUMPRODUCT(INDEX($AL$77:$AN$82,,$AE582),INDEX($AO$77:$AU$82,,$AD582), N($AK$77:$AK$82&gt;$AI582)) / CA582 / 1000</f>
        <v>0</v>
      </c>
      <c r="CC582" s="250">
        <f t="shared" si="597"/>
        <v>30</v>
      </c>
      <c r="CD582" s="237">
        <f t="shared" si="618"/>
        <v>43</v>
      </c>
      <c r="CE582" s="253">
        <f t="shared" si="619"/>
        <v>3.5018750000000001</v>
      </c>
      <c r="CF582" s="253" cm="1">
        <f t="array" ref="CF582">$BC582 * IF($AD582&lt;=2,
SUMPRODUCT(INDEX($AL$72:$AN$76,,$AE582), INDEX($AO$72:$AU$76,,$AD582), 1 / ($AV$72:$AV$76*CE582 + (1-$AV$72:$AV$76)*CA582), N($AK$72:$AK$76&gt;$AI582)),
SUMPRODUCT(INDEX($AL$67:$AN$76,,$AE582), INDEX($AO$67:$AU$76,,$AD582), 1 / ($AW$67:$AW$76*CE582 + (1-$AW$67:$AW$76)*CA582), N($AK$67:$AK$76&gt;$AI582))
) / 1000</f>
        <v>0</v>
      </c>
      <c r="CG582" s="250">
        <f t="shared" si="598"/>
        <v>25</v>
      </c>
      <c r="CH582" s="237">
        <f t="shared" si="620"/>
        <v>38</v>
      </c>
      <c r="CI582" s="253">
        <f t="shared" si="621"/>
        <v>4.0666935483870965</v>
      </c>
      <c r="CJ582" s="253" cm="1">
        <f t="array" ref="CJ582">$BC582 * IF($AD582&lt;=2,
SUMPRODUCT(INDEX($AL$67:$AN$71,,$AE582), INDEX($AO$67:$AU$71,,$AD582), 1 / ($AV$67:$AV$71*CI582 + (1-$AV$67:$AV$71)*CE582), N($AK$67:$AK$71&gt;$AI582)),
SUMPRODUCT(INDEX($AL$57:$AN$66,,$AE582), INDEX($AO$57:$AU$66,,$AD582), 1 / ($AW$57:$AW$66*CI582 + (1-$AW$57:$AW$66)*CE582), N($AK$57:$AK$66&gt;$AI582))
) / 1000</f>
        <v>0</v>
      </c>
      <c r="CK582" s="250">
        <f t="shared" si="599"/>
        <v>20</v>
      </c>
      <c r="CL582" s="237">
        <f t="shared" si="622"/>
        <v>33</v>
      </c>
      <c r="CM582" s="253">
        <f t="shared" si="623"/>
        <v>4.8487499999999999</v>
      </c>
      <c r="CN582" s="253" cm="1">
        <f t="array" ref="CN582">$BC582 * IF($AD582&lt;=2,
SUMPRODUCT(INDEX($AL$62:$AN$66,,$AE582), INDEX($AO$62:$AU$66,,$AD582), 1 / ($AV$62:$AV$66*CM582 + (1-$AV$62:$AV$66)*CI582), N($AK$62:$AK$66&gt;$AI582)),
SUMPRODUCT(INDEX($AL$47:$AN$56,,$AE582), INDEX($AO$47:$AU$56,,$AD582), 1 / ($AW$47:$AW$56*CM582 + (1-$AW$47:$AW$56)*CI582), N($AK$47:$AK$56&gt;$AI582))
) / 1000</f>
        <v>0</v>
      </c>
      <c r="CO582" s="253" cm="1">
        <f t="array" ref="CO582">$BC582 * IF($AD582&lt;=2,
SUMPRODUCT(INDEX($AL$23:$AN$61,,$AE582), INDEX($AO$23:$AU$61,,$AD582), 1 / ($AV$23:$AV$61*CM582), N($AK$23:$AK$61&gt;$AI582)),
SUMPRODUCT(INDEX($AL$23:$AN$46,,$AE582), INDEX($AO$23:$AU$46,,$AD582), 1 / ($AW$23:$AW$46*CM582), N($AK$23:$AK$46&gt;$AI582))
) / 1000</f>
        <v>0</v>
      </c>
      <c r="CP582" s="237">
        <f t="shared" si="624"/>
        <v>0</v>
      </c>
      <c r="CQ582" s="210"/>
    </row>
    <row r="583" spans="1:95" s="76" customFormat="1" ht="14.25" customHeight="1" x14ac:dyDescent="0.2">
      <c r="A583" s="238" t="b">
        <f t="shared" si="591"/>
        <v>0</v>
      </c>
      <c r="B583" s="239">
        <v>561</v>
      </c>
      <c r="C583" s="258"/>
      <c r="D583" s="258"/>
      <c r="E583" s="240"/>
      <c r="F583" s="241" t="str">
        <f>IF(ISBLANK(E583), "", VLOOKUP(E583, Z!$A$2:$C$4127, 3, FALSE))</f>
        <v/>
      </c>
      <c r="G583" s="242"/>
      <c r="H583" s="242"/>
      <c r="I583" s="243"/>
      <c r="J583" s="244"/>
      <c r="K583" s="259"/>
      <c r="L583" s="260"/>
      <c r="M583" s="247" t="str" cm="1">
        <f t="array" ref="M583">IF($K583&gt;0, INDEX(Clean,1+AG583,$C$1), "")</f>
        <v/>
      </c>
      <c r="N583" s="245"/>
      <c r="O583" s="245"/>
      <c r="P583" s="246"/>
      <c r="Q583" s="248">
        <f t="shared" si="601"/>
        <v>0</v>
      </c>
      <c r="R583" s="247" t="str" cm="1">
        <f t="array" ref="R583">IF($K583&gt;0, INDEX(Clean,1+AH583,$C$1), "")</f>
        <v/>
      </c>
      <c r="S583" s="245"/>
      <c r="T583" s="245"/>
      <c r="U583" s="246"/>
      <c r="V583" s="248">
        <f t="shared" si="602"/>
        <v>0</v>
      </c>
      <c r="W583" s="261"/>
      <c r="X583" s="258"/>
      <c r="Y583" s="240"/>
      <c r="Z583" s="241" t="str">
        <f>IF(ISBLANK(Y583), "", VLOOKUP(Y583, Z!$A$2:$C$4127, 3, FALSE))</f>
        <v/>
      </c>
      <c r="AA583" s="262"/>
      <c r="AB583" s="249">
        <f t="shared" si="600"/>
        <v>0</v>
      </c>
      <c r="AC583" s="210"/>
      <c r="AD583" s="236">
        <f t="shared" si="625"/>
        <v>1</v>
      </c>
      <c r="AE583" s="236">
        <f t="shared" si="626"/>
        <v>1</v>
      </c>
      <c r="AF583" s="236">
        <f t="shared" si="627"/>
        <v>0</v>
      </c>
      <c r="AG583" s="236">
        <v>1</v>
      </c>
      <c r="AH583" s="236">
        <v>0</v>
      </c>
      <c r="AI583" s="236">
        <f t="shared" si="603"/>
        <v>-100</v>
      </c>
      <c r="AJ583" s="210"/>
      <c r="AK583" s="254"/>
      <c r="AL583" s="254"/>
      <c r="AM583" s="255"/>
      <c r="AN583" s="255"/>
      <c r="AO583" s="255"/>
      <c r="AP583" s="255"/>
      <c r="AQ583" s="255"/>
      <c r="AR583" s="255"/>
      <c r="AS583" s="255"/>
      <c r="AT583" s="255"/>
      <c r="AU583" s="255"/>
      <c r="AV583" s="255"/>
      <c r="AW583" s="255"/>
      <c r="AX583" s="210"/>
      <c r="AY583" s="236" cm="1">
        <f t="array" ref="AY583">INDEX(Use, $AD583, 4)</f>
        <v>7</v>
      </c>
      <c r="AZ583" s="236">
        <f t="shared" si="604"/>
        <v>32</v>
      </c>
      <c r="BA583" s="236">
        <f t="shared" si="592"/>
        <v>13</v>
      </c>
      <c r="BB583" s="236">
        <f t="shared" si="593"/>
        <v>0</v>
      </c>
      <c r="BC583" s="252" cm="1">
        <f t="array" ref="BC583">K583/IF($L583&gt;0, INDEX($AO$23:$AU$77, $L583+20, $AD583), 1)</f>
        <v>0</v>
      </c>
      <c r="BD583" s="237">
        <f t="shared" si="605"/>
        <v>0</v>
      </c>
      <c r="BE583" s="236">
        <v>35</v>
      </c>
      <c r="BF583" s="237">
        <f t="shared" si="606"/>
        <v>52.55</v>
      </c>
      <c r="BG583" s="253">
        <f t="shared" si="607"/>
        <v>2.7676728869374316</v>
      </c>
      <c r="BH583" s="253" cm="1">
        <f t="array" ref="BH583">$BC583 * SUMPRODUCT(INDEX($AL$77:$AN$82,,$AE583),INDEX($AO$77:$AU$82,,$AD583), N($AK$77:$AK$82&gt;$AI583)) / BG583 / 1000</f>
        <v>0</v>
      </c>
      <c r="BI583" s="250">
        <f t="shared" si="594"/>
        <v>30</v>
      </c>
      <c r="BJ583" s="237">
        <f t="shared" si="608"/>
        <v>46.033333333333331</v>
      </c>
      <c r="BK583" s="253">
        <f t="shared" si="609"/>
        <v>3.2297395388556791</v>
      </c>
      <c r="BL583" s="253" cm="1">
        <f t="array" ref="BL583">$BC583 * IF($AD583&lt;=2,
SUMPRODUCT(INDEX($AL$72:$AN$76,,$AE583), INDEX($AO$72:$AU$76,,$AD583), 1 / ($AV$72:$AV$76*BK583 + (1-$AV$72:$AV$76)*BG583), N($AK$72:$AK$76&gt;$AI583)),
SUMPRODUCT(INDEX($AL$67:$AN$76,,$AE583), INDEX($AO$67:$AU$76,,$AD583), 1 / ($AW$67:$AW$76*BK583 + (1-$AW$67:$AW$76)*BG583), N($AK$67:$AK$76&gt;$AI583))
) / 1000</f>
        <v>0</v>
      </c>
      <c r="BM583" s="250">
        <f t="shared" si="595"/>
        <v>25</v>
      </c>
      <c r="BN583" s="237">
        <f t="shared" si="610"/>
        <v>39.516666666666666</v>
      </c>
      <c r="BO583" s="253">
        <f t="shared" si="611"/>
        <v>3.877011788826243</v>
      </c>
      <c r="BP583" s="253" cm="1">
        <f t="array" ref="BP583">$BC583 * IF($AD583&lt;=2,
SUMPRODUCT(INDEX($AL$67:$AN$71,,$AE583), INDEX($AO$67:$AU$71,,$AD583), 1 / ($AV$67:$AV$71*BO583 + (1-$AV$67:$AV$71)*BK583), N($AK$67:$AK$71&gt;$AI583)),
SUMPRODUCT(INDEX($AL$57:$AN$66,,$AE583), INDEX($AO$57:$AU$66,,$AD583), 1 / ($AW$57:$AW$66*BO583 + (1-$AW$57:$AW$66)*BK583), N($AK$57:$AK$66&gt;$AI583))
) / 1000</f>
        <v>0</v>
      </c>
      <c r="BQ583" s="250">
        <f t="shared" si="596"/>
        <v>20</v>
      </c>
      <c r="BR583" s="237">
        <f t="shared" si="612"/>
        <v>33</v>
      </c>
      <c r="BS583" s="253">
        <f t="shared" si="613"/>
        <v>4.8487499999999999</v>
      </c>
      <c r="BT583" s="253" cm="1">
        <f t="array" ref="BT583">$BC583 * IF($AD583&lt;=2,
SUMPRODUCT(INDEX($AL$62:$AN$66,,$AE583), INDEX($AO$62:$AU$66,,$AD583), 1 / ($AV$62:$AV$66*BS583 + (1-$AV$62:$AV$66)*BO583), N($AK$62:$AK$66&gt;$AI583)),
SUMPRODUCT(INDEX($AL$47:$AN$56,,$AE583), INDEX($AO$47:$AU$56,,$AD583), 1 / ($AW$47:$AW$56*BS583 + (1-$AW$47:$AW$56)*BO583), N($AK$47:$AK$56&gt;$AI583))
) / 1000</f>
        <v>0</v>
      </c>
      <c r="BU583" s="253" cm="1">
        <f t="array" ref="BU583">$BC583 * IF($AD583&lt;=2,
SUMPRODUCT(INDEX($AL$23:$AN$61,,$AE583), INDEX($AO$23:$AU$61,,$AD583), 1 / ($AV$23:$AV$61*BS583), N($AK$23:$AK$61&gt;$AI583)),
SUMPRODUCT(INDEX($AL$23:$AN$46,,$AE583), INDEX($AO$23:$AU$46,,$AD583), 1 / ($AW$23:$AW$46*BS583), N($AK$23:$AK$46&gt;$AI583))
) / 1000</f>
        <v>0</v>
      </c>
      <c r="BV583" s="237">
        <f t="shared" si="614"/>
        <v>0</v>
      </c>
      <c r="BW583" s="210"/>
      <c r="BX583" s="237">
        <f t="shared" si="615"/>
        <v>0</v>
      </c>
      <c r="BY583" s="236">
        <v>35</v>
      </c>
      <c r="BZ583" s="237">
        <f t="shared" si="616"/>
        <v>48</v>
      </c>
      <c r="CA583" s="253">
        <f t="shared" si="617"/>
        <v>3.0748170731707316</v>
      </c>
      <c r="CB583" s="253" cm="1">
        <f t="array" ref="CB583">$BC583 * SUMPRODUCT(INDEX($AL$77:$AN$82,,$AE583),INDEX($AO$77:$AU$82,,$AD583), N($AK$77:$AK$82&gt;$AI583)) / CA583 / 1000</f>
        <v>0</v>
      </c>
      <c r="CC583" s="250">
        <f t="shared" si="597"/>
        <v>30</v>
      </c>
      <c r="CD583" s="237">
        <f t="shared" si="618"/>
        <v>43</v>
      </c>
      <c r="CE583" s="253">
        <f t="shared" si="619"/>
        <v>3.5018750000000001</v>
      </c>
      <c r="CF583" s="253" cm="1">
        <f t="array" ref="CF583">$BC583 * IF($AD583&lt;=2,
SUMPRODUCT(INDEX($AL$72:$AN$76,,$AE583), INDEX($AO$72:$AU$76,,$AD583), 1 / ($AV$72:$AV$76*CE583 + (1-$AV$72:$AV$76)*CA583), N($AK$72:$AK$76&gt;$AI583)),
SUMPRODUCT(INDEX($AL$67:$AN$76,,$AE583), INDEX($AO$67:$AU$76,,$AD583), 1 / ($AW$67:$AW$76*CE583 + (1-$AW$67:$AW$76)*CA583), N($AK$67:$AK$76&gt;$AI583))
) / 1000</f>
        <v>0</v>
      </c>
      <c r="CG583" s="250">
        <f t="shared" si="598"/>
        <v>25</v>
      </c>
      <c r="CH583" s="237">
        <f t="shared" si="620"/>
        <v>38</v>
      </c>
      <c r="CI583" s="253">
        <f t="shared" si="621"/>
        <v>4.0666935483870965</v>
      </c>
      <c r="CJ583" s="253" cm="1">
        <f t="array" ref="CJ583">$BC583 * IF($AD583&lt;=2,
SUMPRODUCT(INDEX($AL$67:$AN$71,,$AE583), INDEX($AO$67:$AU$71,,$AD583), 1 / ($AV$67:$AV$71*CI583 + (1-$AV$67:$AV$71)*CE583), N($AK$67:$AK$71&gt;$AI583)),
SUMPRODUCT(INDEX($AL$57:$AN$66,,$AE583), INDEX($AO$57:$AU$66,,$AD583), 1 / ($AW$57:$AW$66*CI583 + (1-$AW$57:$AW$66)*CE583), N($AK$57:$AK$66&gt;$AI583))
) / 1000</f>
        <v>0</v>
      </c>
      <c r="CK583" s="250">
        <f t="shared" si="599"/>
        <v>20</v>
      </c>
      <c r="CL583" s="237">
        <f t="shared" si="622"/>
        <v>33</v>
      </c>
      <c r="CM583" s="253">
        <f t="shared" si="623"/>
        <v>4.8487499999999999</v>
      </c>
      <c r="CN583" s="253" cm="1">
        <f t="array" ref="CN583">$BC583 * IF($AD583&lt;=2,
SUMPRODUCT(INDEX($AL$62:$AN$66,,$AE583), INDEX($AO$62:$AU$66,,$AD583), 1 / ($AV$62:$AV$66*CM583 + (1-$AV$62:$AV$66)*CI583), N($AK$62:$AK$66&gt;$AI583)),
SUMPRODUCT(INDEX($AL$47:$AN$56,,$AE583), INDEX($AO$47:$AU$56,,$AD583), 1 / ($AW$47:$AW$56*CM583 + (1-$AW$47:$AW$56)*CI583), N($AK$47:$AK$56&gt;$AI583))
) / 1000</f>
        <v>0</v>
      </c>
      <c r="CO583" s="253" cm="1">
        <f t="array" ref="CO583">$BC583 * IF($AD583&lt;=2,
SUMPRODUCT(INDEX($AL$23:$AN$61,,$AE583), INDEX($AO$23:$AU$61,,$AD583), 1 / ($AV$23:$AV$61*CM583), N($AK$23:$AK$61&gt;$AI583)),
SUMPRODUCT(INDEX($AL$23:$AN$46,,$AE583), INDEX($AO$23:$AU$46,,$AD583), 1 / ($AW$23:$AW$46*CM583), N($AK$23:$AK$46&gt;$AI583))
) / 1000</f>
        <v>0</v>
      </c>
      <c r="CP583" s="237">
        <f t="shared" si="624"/>
        <v>0</v>
      </c>
      <c r="CQ583" s="210"/>
    </row>
    <row r="584" spans="1:95" s="76" customFormat="1" ht="14.25" customHeight="1" x14ac:dyDescent="0.2">
      <c r="A584" s="238" t="b">
        <f t="shared" si="591"/>
        <v>0</v>
      </c>
      <c r="B584" s="239">
        <v>562</v>
      </c>
      <c r="C584" s="258"/>
      <c r="D584" s="258"/>
      <c r="E584" s="240"/>
      <c r="F584" s="241" t="str">
        <f>IF(ISBLANK(E584), "", VLOOKUP(E584, Z!$A$2:$C$4127, 3, FALSE))</f>
        <v/>
      </c>
      <c r="G584" s="242"/>
      <c r="H584" s="242"/>
      <c r="I584" s="243"/>
      <c r="J584" s="244"/>
      <c r="K584" s="259"/>
      <c r="L584" s="260"/>
      <c r="M584" s="247" t="str" cm="1">
        <f t="array" ref="M584">IF($K584&gt;0, INDEX(Clean,1+AG584,$C$1), "")</f>
        <v/>
      </c>
      <c r="N584" s="245"/>
      <c r="O584" s="245"/>
      <c r="P584" s="246"/>
      <c r="Q584" s="248">
        <f t="shared" si="601"/>
        <v>0</v>
      </c>
      <c r="R584" s="247" t="str" cm="1">
        <f t="array" ref="R584">IF($K584&gt;0, INDEX(Clean,1+AH584,$C$1), "")</f>
        <v/>
      </c>
      <c r="S584" s="245"/>
      <c r="T584" s="245"/>
      <c r="U584" s="246"/>
      <c r="V584" s="248">
        <f t="shared" si="602"/>
        <v>0</v>
      </c>
      <c r="W584" s="261"/>
      <c r="X584" s="258"/>
      <c r="Y584" s="240"/>
      <c r="Z584" s="241" t="str">
        <f>IF(ISBLANK(Y584), "", VLOOKUP(Y584, Z!$A$2:$C$4127, 3, FALSE))</f>
        <v/>
      </c>
      <c r="AA584" s="262"/>
      <c r="AB584" s="249">
        <f t="shared" si="600"/>
        <v>0</v>
      </c>
      <c r="AC584" s="210"/>
      <c r="AD584" s="236">
        <f t="shared" si="625"/>
        <v>1</v>
      </c>
      <c r="AE584" s="236">
        <f t="shared" si="626"/>
        <v>1</v>
      </c>
      <c r="AF584" s="236">
        <f t="shared" si="627"/>
        <v>0</v>
      </c>
      <c r="AG584" s="236">
        <v>1</v>
      </c>
      <c r="AH584" s="236">
        <v>0</v>
      </c>
      <c r="AI584" s="236">
        <f t="shared" si="603"/>
        <v>-100</v>
      </c>
      <c r="AJ584" s="210"/>
      <c r="AK584" s="254"/>
      <c r="AL584" s="254"/>
      <c r="AM584" s="255"/>
      <c r="AN584" s="255"/>
      <c r="AO584" s="255"/>
      <c r="AP584" s="255"/>
      <c r="AQ584" s="255"/>
      <c r="AR584" s="255"/>
      <c r="AS584" s="255"/>
      <c r="AT584" s="255"/>
      <c r="AU584" s="255"/>
      <c r="AV584" s="255"/>
      <c r="AW584" s="255"/>
      <c r="AX584" s="210"/>
      <c r="AY584" s="236" cm="1">
        <f t="array" ref="AY584">INDEX(Use, $AD584, 4)</f>
        <v>7</v>
      </c>
      <c r="AZ584" s="236">
        <f t="shared" si="604"/>
        <v>32</v>
      </c>
      <c r="BA584" s="236">
        <f t="shared" si="592"/>
        <v>13</v>
      </c>
      <c r="BB584" s="236">
        <f t="shared" si="593"/>
        <v>0</v>
      </c>
      <c r="BC584" s="252" cm="1">
        <f t="array" ref="BC584">K584/IF($L584&gt;0, INDEX($AO$23:$AU$77, $L584+20, $AD584), 1)</f>
        <v>0</v>
      </c>
      <c r="BD584" s="237">
        <f t="shared" si="605"/>
        <v>0</v>
      </c>
      <c r="BE584" s="236">
        <v>35</v>
      </c>
      <c r="BF584" s="237">
        <f t="shared" si="606"/>
        <v>52.55</v>
      </c>
      <c r="BG584" s="253">
        <f t="shared" si="607"/>
        <v>2.7676728869374316</v>
      </c>
      <c r="BH584" s="253" cm="1">
        <f t="array" ref="BH584">$BC584 * SUMPRODUCT(INDEX($AL$77:$AN$82,,$AE584),INDEX($AO$77:$AU$82,,$AD584), N($AK$77:$AK$82&gt;$AI584)) / BG584 / 1000</f>
        <v>0</v>
      </c>
      <c r="BI584" s="250">
        <f t="shared" si="594"/>
        <v>30</v>
      </c>
      <c r="BJ584" s="237">
        <f t="shared" si="608"/>
        <v>46.033333333333331</v>
      </c>
      <c r="BK584" s="253">
        <f t="shared" si="609"/>
        <v>3.2297395388556791</v>
      </c>
      <c r="BL584" s="253" cm="1">
        <f t="array" ref="BL584">$BC584 * IF($AD584&lt;=2,
SUMPRODUCT(INDEX($AL$72:$AN$76,,$AE584), INDEX($AO$72:$AU$76,,$AD584), 1 / ($AV$72:$AV$76*BK584 + (1-$AV$72:$AV$76)*BG584), N($AK$72:$AK$76&gt;$AI584)),
SUMPRODUCT(INDEX($AL$67:$AN$76,,$AE584), INDEX($AO$67:$AU$76,,$AD584), 1 / ($AW$67:$AW$76*BK584 + (1-$AW$67:$AW$76)*BG584), N($AK$67:$AK$76&gt;$AI584))
) / 1000</f>
        <v>0</v>
      </c>
      <c r="BM584" s="250">
        <f t="shared" si="595"/>
        <v>25</v>
      </c>
      <c r="BN584" s="237">
        <f t="shared" si="610"/>
        <v>39.516666666666666</v>
      </c>
      <c r="BO584" s="253">
        <f t="shared" si="611"/>
        <v>3.877011788826243</v>
      </c>
      <c r="BP584" s="253" cm="1">
        <f t="array" ref="BP584">$BC584 * IF($AD584&lt;=2,
SUMPRODUCT(INDEX($AL$67:$AN$71,,$AE584), INDEX($AO$67:$AU$71,,$AD584), 1 / ($AV$67:$AV$71*BO584 + (1-$AV$67:$AV$71)*BK584), N($AK$67:$AK$71&gt;$AI584)),
SUMPRODUCT(INDEX($AL$57:$AN$66,,$AE584), INDEX($AO$57:$AU$66,,$AD584), 1 / ($AW$57:$AW$66*BO584 + (1-$AW$57:$AW$66)*BK584), N($AK$57:$AK$66&gt;$AI584))
) / 1000</f>
        <v>0</v>
      </c>
      <c r="BQ584" s="250">
        <f t="shared" si="596"/>
        <v>20</v>
      </c>
      <c r="BR584" s="237">
        <f t="shared" si="612"/>
        <v>33</v>
      </c>
      <c r="BS584" s="253">
        <f t="shared" si="613"/>
        <v>4.8487499999999999</v>
      </c>
      <c r="BT584" s="253" cm="1">
        <f t="array" ref="BT584">$BC584 * IF($AD584&lt;=2,
SUMPRODUCT(INDEX($AL$62:$AN$66,,$AE584), INDEX($AO$62:$AU$66,,$AD584), 1 / ($AV$62:$AV$66*BS584 + (1-$AV$62:$AV$66)*BO584), N($AK$62:$AK$66&gt;$AI584)),
SUMPRODUCT(INDEX($AL$47:$AN$56,,$AE584), INDEX($AO$47:$AU$56,,$AD584), 1 / ($AW$47:$AW$56*BS584 + (1-$AW$47:$AW$56)*BO584), N($AK$47:$AK$56&gt;$AI584))
) / 1000</f>
        <v>0</v>
      </c>
      <c r="BU584" s="253" cm="1">
        <f t="array" ref="BU584">$BC584 * IF($AD584&lt;=2,
SUMPRODUCT(INDEX($AL$23:$AN$61,,$AE584), INDEX($AO$23:$AU$61,,$AD584), 1 / ($AV$23:$AV$61*BS584), N($AK$23:$AK$61&gt;$AI584)),
SUMPRODUCT(INDEX($AL$23:$AN$46,,$AE584), INDEX($AO$23:$AU$46,,$AD584), 1 / ($AW$23:$AW$46*BS584), N($AK$23:$AK$46&gt;$AI584))
) / 1000</f>
        <v>0</v>
      </c>
      <c r="BV584" s="237">
        <f t="shared" si="614"/>
        <v>0</v>
      </c>
      <c r="BW584" s="210"/>
      <c r="BX584" s="237">
        <f t="shared" si="615"/>
        <v>0</v>
      </c>
      <c r="BY584" s="236">
        <v>35</v>
      </c>
      <c r="BZ584" s="237">
        <f t="shared" si="616"/>
        <v>48</v>
      </c>
      <c r="CA584" s="253">
        <f t="shared" si="617"/>
        <v>3.0748170731707316</v>
      </c>
      <c r="CB584" s="253" cm="1">
        <f t="array" ref="CB584">$BC584 * SUMPRODUCT(INDEX($AL$77:$AN$82,,$AE584),INDEX($AO$77:$AU$82,,$AD584), N($AK$77:$AK$82&gt;$AI584)) / CA584 / 1000</f>
        <v>0</v>
      </c>
      <c r="CC584" s="250">
        <f t="shared" si="597"/>
        <v>30</v>
      </c>
      <c r="CD584" s="237">
        <f t="shared" si="618"/>
        <v>43</v>
      </c>
      <c r="CE584" s="253">
        <f t="shared" si="619"/>
        <v>3.5018750000000001</v>
      </c>
      <c r="CF584" s="253" cm="1">
        <f t="array" ref="CF584">$BC584 * IF($AD584&lt;=2,
SUMPRODUCT(INDEX($AL$72:$AN$76,,$AE584), INDEX($AO$72:$AU$76,,$AD584), 1 / ($AV$72:$AV$76*CE584 + (1-$AV$72:$AV$76)*CA584), N($AK$72:$AK$76&gt;$AI584)),
SUMPRODUCT(INDEX($AL$67:$AN$76,,$AE584), INDEX($AO$67:$AU$76,,$AD584), 1 / ($AW$67:$AW$76*CE584 + (1-$AW$67:$AW$76)*CA584), N($AK$67:$AK$76&gt;$AI584))
) / 1000</f>
        <v>0</v>
      </c>
      <c r="CG584" s="250">
        <f t="shared" si="598"/>
        <v>25</v>
      </c>
      <c r="CH584" s="237">
        <f t="shared" si="620"/>
        <v>38</v>
      </c>
      <c r="CI584" s="253">
        <f t="shared" si="621"/>
        <v>4.0666935483870965</v>
      </c>
      <c r="CJ584" s="253" cm="1">
        <f t="array" ref="CJ584">$BC584 * IF($AD584&lt;=2,
SUMPRODUCT(INDEX($AL$67:$AN$71,,$AE584), INDEX($AO$67:$AU$71,,$AD584), 1 / ($AV$67:$AV$71*CI584 + (1-$AV$67:$AV$71)*CE584), N($AK$67:$AK$71&gt;$AI584)),
SUMPRODUCT(INDEX($AL$57:$AN$66,,$AE584), INDEX($AO$57:$AU$66,,$AD584), 1 / ($AW$57:$AW$66*CI584 + (1-$AW$57:$AW$66)*CE584), N($AK$57:$AK$66&gt;$AI584))
) / 1000</f>
        <v>0</v>
      </c>
      <c r="CK584" s="250">
        <f t="shared" si="599"/>
        <v>20</v>
      </c>
      <c r="CL584" s="237">
        <f t="shared" si="622"/>
        <v>33</v>
      </c>
      <c r="CM584" s="253">
        <f t="shared" si="623"/>
        <v>4.8487499999999999</v>
      </c>
      <c r="CN584" s="253" cm="1">
        <f t="array" ref="CN584">$BC584 * IF($AD584&lt;=2,
SUMPRODUCT(INDEX($AL$62:$AN$66,,$AE584), INDEX($AO$62:$AU$66,,$AD584), 1 / ($AV$62:$AV$66*CM584 + (1-$AV$62:$AV$66)*CI584), N($AK$62:$AK$66&gt;$AI584)),
SUMPRODUCT(INDEX($AL$47:$AN$56,,$AE584), INDEX($AO$47:$AU$56,,$AD584), 1 / ($AW$47:$AW$56*CM584 + (1-$AW$47:$AW$56)*CI584), N($AK$47:$AK$56&gt;$AI584))
) / 1000</f>
        <v>0</v>
      </c>
      <c r="CO584" s="253" cm="1">
        <f t="array" ref="CO584">$BC584 * IF($AD584&lt;=2,
SUMPRODUCT(INDEX($AL$23:$AN$61,,$AE584), INDEX($AO$23:$AU$61,,$AD584), 1 / ($AV$23:$AV$61*CM584), N($AK$23:$AK$61&gt;$AI584)),
SUMPRODUCT(INDEX($AL$23:$AN$46,,$AE584), INDEX($AO$23:$AU$46,,$AD584), 1 / ($AW$23:$AW$46*CM584), N($AK$23:$AK$46&gt;$AI584))
) / 1000</f>
        <v>0</v>
      </c>
      <c r="CP584" s="237">
        <f t="shared" si="624"/>
        <v>0</v>
      </c>
      <c r="CQ584" s="210"/>
    </row>
    <row r="585" spans="1:95" s="76" customFormat="1" ht="14.25" customHeight="1" x14ac:dyDescent="0.2">
      <c r="A585" s="238" t="b">
        <f t="shared" si="591"/>
        <v>0</v>
      </c>
      <c r="B585" s="239">
        <v>563</v>
      </c>
      <c r="C585" s="258"/>
      <c r="D585" s="258"/>
      <c r="E585" s="240"/>
      <c r="F585" s="241" t="str">
        <f>IF(ISBLANK(E585), "", VLOOKUP(E585, Z!$A$2:$C$4127, 3, FALSE))</f>
        <v/>
      </c>
      <c r="G585" s="242"/>
      <c r="H585" s="242"/>
      <c r="I585" s="243"/>
      <c r="J585" s="244"/>
      <c r="K585" s="259"/>
      <c r="L585" s="260"/>
      <c r="M585" s="247" t="str" cm="1">
        <f t="array" ref="M585">IF($K585&gt;0, INDEX(Clean,1+AG585,$C$1), "")</f>
        <v/>
      </c>
      <c r="N585" s="245"/>
      <c r="O585" s="245"/>
      <c r="P585" s="246"/>
      <c r="Q585" s="248">
        <f t="shared" si="601"/>
        <v>0</v>
      </c>
      <c r="R585" s="247" t="str" cm="1">
        <f t="array" ref="R585">IF($K585&gt;0, INDEX(Clean,1+AH585,$C$1), "")</f>
        <v/>
      </c>
      <c r="S585" s="245"/>
      <c r="T585" s="245"/>
      <c r="U585" s="246"/>
      <c r="V585" s="248">
        <f t="shared" si="602"/>
        <v>0</v>
      </c>
      <c r="W585" s="261"/>
      <c r="X585" s="258"/>
      <c r="Y585" s="240"/>
      <c r="Z585" s="241" t="str">
        <f>IF(ISBLANK(Y585), "", VLOOKUP(Y585, Z!$A$2:$C$4127, 3, FALSE))</f>
        <v/>
      </c>
      <c r="AA585" s="262"/>
      <c r="AB585" s="249">
        <f t="shared" si="600"/>
        <v>0</v>
      </c>
      <c r="AC585" s="210"/>
      <c r="AD585" s="236">
        <f t="shared" si="625"/>
        <v>1</v>
      </c>
      <c r="AE585" s="236">
        <f t="shared" si="626"/>
        <v>1</v>
      </c>
      <c r="AF585" s="236">
        <f t="shared" si="627"/>
        <v>0</v>
      </c>
      <c r="AG585" s="236">
        <v>1</v>
      </c>
      <c r="AH585" s="236">
        <v>0</v>
      </c>
      <c r="AI585" s="236">
        <f t="shared" si="603"/>
        <v>-100</v>
      </c>
      <c r="AJ585" s="210"/>
      <c r="AK585" s="254"/>
      <c r="AL585" s="254"/>
      <c r="AM585" s="255"/>
      <c r="AN585" s="255"/>
      <c r="AO585" s="255"/>
      <c r="AP585" s="255"/>
      <c r="AQ585" s="255"/>
      <c r="AR585" s="255"/>
      <c r="AS585" s="255"/>
      <c r="AT585" s="255"/>
      <c r="AU585" s="255"/>
      <c r="AV585" s="255"/>
      <c r="AW585" s="255"/>
      <c r="AX585" s="210"/>
      <c r="AY585" s="236" cm="1">
        <f t="array" ref="AY585">INDEX(Use, $AD585, 4)</f>
        <v>7</v>
      </c>
      <c r="AZ585" s="236">
        <f t="shared" si="604"/>
        <v>32</v>
      </c>
      <c r="BA585" s="236">
        <f t="shared" si="592"/>
        <v>13</v>
      </c>
      <c r="BB585" s="236">
        <f t="shared" si="593"/>
        <v>0</v>
      </c>
      <c r="BC585" s="252" cm="1">
        <f t="array" ref="BC585">K585/IF($L585&gt;0, INDEX($AO$23:$AU$77, $L585+20, $AD585), 1)</f>
        <v>0</v>
      </c>
      <c r="BD585" s="237">
        <f t="shared" si="605"/>
        <v>0</v>
      </c>
      <c r="BE585" s="236">
        <v>35</v>
      </c>
      <c r="BF585" s="237">
        <f t="shared" si="606"/>
        <v>52.55</v>
      </c>
      <c r="BG585" s="253">
        <f t="shared" si="607"/>
        <v>2.7676728869374316</v>
      </c>
      <c r="BH585" s="253" cm="1">
        <f t="array" ref="BH585">$BC585 * SUMPRODUCT(INDEX($AL$77:$AN$82,,$AE585),INDEX($AO$77:$AU$82,,$AD585), N($AK$77:$AK$82&gt;$AI585)) / BG585 / 1000</f>
        <v>0</v>
      </c>
      <c r="BI585" s="250">
        <f t="shared" si="594"/>
        <v>30</v>
      </c>
      <c r="BJ585" s="237">
        <f t="shared" si="608"/>
        <v>46.033333333333331</v>
      </c>
      <c r="BK585" s="253">
        <f t="shared" si="609"/>
        <v>3.2297395388556791</v>
      </c>
      <c r="BL585" s="253" cm="1">
        <f t="array" ref="BL585">$BC585 * IF($AD585&lt;=2,
SUMPRODUCT(INDEX($AL$72:$AN$76,,$AE585), INDEX($AO$72:$AU$76,,$AD585), 1 / ($AV$72:$AV$76*BK585 + (1-$AV$72:$AV$76)*BG585), N($AK$72:$AK$76&gt;$AI585)),
SUMPRODUCT(INDEX($AL$67:$AN$76,,$AE585), INDEX($AO$67:$AU$76,,$AD585), 1 / ($AW$67:$AW$76*BK585 + (1-$AW$67:$AW$76)*BG585), N($AK$67:$AK$76&gt;$AI585))
) / 1000</f>
        <v>0</v>
      </c>
      <c r="BM585" s="250">
        <f t="shared" si="595"/>
        <v>25</v>
      </c>
      <c r="BN585" s="237">
        <f t="shared" si="610"/>
        <v>39.516666666666666</v>
      </c>
      <c r="BO585" s="253">
        <f t="shared" si="611"/>
        <v>3.877011788826243</v>
      </c>
      <c r="BP585" s="253" cm="1">
        <f t="array" ref="BP585">$BC585 * IF($AD585&lt;=2,
SUMPRODUCT(INDEX($AL$67:$AN$71,,$AE585), INDEX($AO$67:$AU$71,,$AD585), 1 / ($AV$67:$AV$71*BO585 + (1-$AV$67:$AV$71)*BK585), N($AK$67:$AK$71&gt;$AI585)),
SUMPRODUCT(INDEX($AL$57:$AN$66,,$AE585), INDEX($AO$57:$AU$66,,$AD585), 1 / ($AW$57:$AW$66*BO585 + (1-$AW$57:$AW$66)*BK585), N($AK$57:$AK$66&gt;$AI585))
) / 1000</f>
        <v>0</v>
      </c>
      <c r="BQ585" s="250">
        <f t="shared" si="596"/>
        <v>20</v>
      </c>
      <c r="BR585" s="237">
        <f t="shared" si="612"/>
        <v>33</v>
      </c>
      <c r="BS585" s="253">
        <f t="shared" si="613"/>
        <v>4.8487499999999999</v>
      </c>
      <c r="BT585" s="253" cm="1">
        <f t="array" ref="BT585">$BC585 * IF($AD585&lt;=2,
SUMPRODUCT(INDEX($AL$62:$AN$66,,$AE585), INDEX($AO$62:$AU$66,,$AD585), 1 / ($AV$62:$AV$66*BS585 + (1-$AV$62:$AV$66)*BO585), N($AK$62:$AK$66&gt;$AI585)),
SUMPRODUCT(INDEX($AL$47:$AN$56,,$AE585), INDEX($AO$47:$AU$56,,$AD585), 1 / ($AW$47:$AW$56*BS585 + (1-$AW$47:$AW$56)*BO585), N($AK$47:$AK$56&gt;$AI585))
) / 1000</f>
        <v>0</v>
      </c>
      <c r="BU585" s="253" cm="1">
        <f t="array" ref="BU585">$BC585 * IF($AD585&lt;=2,
SUMPRODUCT(INDEX($AL$23:$AN$61,,$AE585), INDEX($AO$23:$AU$61,,$AD585), 1 / ($AV$23:$AV$61*BS585), N($AK$23:$AK$61&gt;$AI585)),
SUMPRODUCT(INDEX($AL$23:$AN$46,,$AE585), INDEX($AO$23:$AU$46,,$AD585), 1 / ($AW$23:$AW$46*BS585), N($AK$23:$AK$46&gt;$AI585))
) / 1000</f>
        <v>0</v>
      </c>
      <c r="BV585" s="237">
        <f t="shared" si="614"/>
        <v>0</v>
      </c>
      <c r="BW585" s="210"/>
      <c r="BX585" s="237">
        <f t="shared" si="615"/>
        <v>0</v>
      </c>
      <c r="BY585" s="236">
        <v>35</v>
      </c>
      <c r="BZ585" s="237">
        <f t="shared" si="616"/>
        <v>48</v>
      </c>
      <c r="CA585" s="253">
        <f t="shared" si="617"/>
        <v>3.0748170731707316</v>
      </c>
      <c r="CB585" s="253" cm="1">
        <f t="array" ref="CB585">$BC585 * SUMPRODUCT(INDEX($AL$77:$AN$82,,$AE585),INDEX($AO$77:$AU$82,,$AD585), N($AK$77:$AK$82&gt;$AI585)) / CA585 / 1000</f>
        <v>0</v>
      </c>
      <c r="CC585" s="250">
        <f t="shared" si="597"/>
        <v>30</v>
      </c>
      <c r="CD585" s="237">
        <f t="shared" si="618"/>
        <v>43</v>
      </c>
      <c r="CE585" s="253">
        <f t="shared" si="619"/>
        <v>3.5018750000000001</v>
      </c>
      <c r="CF585" s="253" cm="1">
        <f t="array" ref="CF585">$BC585 * IF($AD585&lt;=2,
SUMPRODUCT(INDEX($AL$72:$AN$76,,$AE585), INDEX($AO$72:$AU$76,,$AD585), 1 / ($AV$72:$AV$76*CE585 + (1-$AV$72:$AV$76)*CA585), N($AK$72:$AK$76&gt;$AI585)),
SUMPRODUCT(INDEX($AL$67:$AN$76,,$AE585), INDEX($AO$67:$AU$76,,$AD585), 1 / ($AW$67:$AW$76*CE585 + (1-$AW$67:$AW$76)*CA585), N($AK$67:$AK$76&gt;$AI585))
) / 1000</f>
        <v>0</v>
      </c>
      <c r="CG585" s="250">
        <f t="shared" si="598"/>
        <v>25</v>
      </c>
      <c r="CH585" s="237">
        <f t="shared" si="620"/>
        <v>38</v>
      </c>
      <c r="CI585" s="253">
        <f t="shared" si="621"/>
        <v>4.0666935483870965</v>
      </c>
      <c r="CJ585" s="253" cm="1">
        <f t="array" ref="CJ585">$BC585 * IF($AD585&lt;=2,
SUMPRODUCT(INDEX($AL$67:$AN$71,,$AE585), INDEX($AO$67:$AU$71,,$AD585), 1 / ($AV$67:$AV$71*CI585 + (1-$AV$67:$AV$71)*CE585), N($AK$67:$AK$71&gt;$AI585)),
SUMPRODUCT(INDEX($AL$57:$AN$66,,$AE585), INDEX($AO$57:$AU$66,,$AD585), 1 / ($AW$57:$AW$66*CI585 + (1-$AW$57:$AW$66)*CE585), N($AK$57:$AK$66&gt;$AI585))
) / 1000</f>
        <v>0</v>
      </c>
      <c r="CK585" s="250">
        <f t="shared" si="599"/>
        <v>20</v>
      </c>
      <c r="CL585" s="237">
        <f t="shared" si="622"/>
        <v>33</v>
      </c>
      <c r="CM585" s="253">
        <f t="shared" si="623"/>
        <v>4.8487499999999999</v>
      </c>
      <c r="CN585" s="253" cm="1">
        <f t="array" ref="CN585">$BC585 * IF($AD585&lt;=2,
SUMPRODUCT(INDEX($AL$62:$AN$66,,$AE585), INDEX($AO$62:$AU$66,,$AD585), 1 / ($AV$62:$AV$66*CM585 + (1-$AV$62:$AV$66)*CI585), N($AK$62:$AK$66&gt;$AI585)),
SUMPRODUCT(INDEX($AL$47:$AN$56,,$AE585), INDEX($AO$47:$AU$56,,$AD585), 1 / ($AW$47:$AW$56*CM585 + (1-$AW$47:$AW$56)*CI585), N($AK$47:$AK$56&gt;$AI585))
) / 1000</f>
        <v>0</v>
      </c>
      <c r="CO585" s="253" cm="1">
        <f t="array" ref="CO585">$BC585 * IF($AD585&lt;=2,
SUMPRODUCT(INDEX($AL$23:$AN$61,,$AE585), INDEX($AO$23:$AU$61,,$AD585), 1 / ($AV$23:$AV$61*CM585), N($AK$23:$AK$61&gt;$AI585)),
SUMPRODUCT(INDEX($AL$23:$AN$46,,$AE585), INDEX($AO$23:$AU$46,,$AD585), 1 / ($AW$23:$AW$46*CM585), N($AK$23:$AK$46&gt;$AI585))
) / 1000</f>
        <v>0</v>
      </c>
      <c r="CP585" s="237">
        <f t="shared" si="624"/>
        <v>0</v>
      </c>
      <c r="CQ585" s="210"/>
    </row>
    <row r="586" spans="1:95" s="76" customFormat="1" ht="14.25" customHeight="1" x14ac:dyDescent="0.2">
      <c r="A586" s="238" t="b">
        <f t="shared" si="591"/>
        <v>0</v>
      </c>
      <c r="B586" s="239">
        <v>564</v>
      </c>
      <c r="C586" s="258"/>
      <c r="D586" s="258"/>
      <c r="E586" s="240"/>
      <c r="F586" s="241" t="str">
        <f>IF(ISBLANK(E586), "", VLOOKUP(E586, Z!$A$2:$C$4127, 3, FALSE))</f>
        <v/>
      </c>
      <c r="G586" s="242"/>
      <c r="H586" s="242"/>
      <c r="I586" s="243"/>
      <c r="J586" s="244"/>
      <c r="K586" s="259"/>
      <c r="L586" s="260"/>
      <c r="M586" s="247" t="str" cm="1">
        <f t="array" ref="M586">IF($K586&gt;0, INDEX(Clean,1+AG586,$C$1), "")</f>
        <v/>
      </c>
      <c r="N586" s="245"/>
      <c r="O586" s="245"/>
      <c r="P586" s="246"/>
      <c r="Q586" s="248">
        <f t="shared" si="601"/>
        <v>0</v>
      </c>
      <c r="R586" s="247" t="str" cm="1">
        <f t="array" ref="R586">IF($K586&gt;0, INDEX(Clean,1+AH586,$C$1), "")</f>
        <v/>
      </c>
      <c r="S586" s="245"/>
      <c r="T586" s="245"/>
      <c r="U586" s="246"/>
      <c r="V586" s="248">
        <f t="shared" si="602"/>
        <v>0</v>
      </c>
      <c r="W586" s="261"/>
      <c r="X586" s="258"/>
      <c r="Y586" s="240"/>
      <c r="Z586" s="241" t="str">
        <f>IF(ISBLANK(Y586), "", VLOOKUP(Y586, Z!$A$2:$C$4127, 3, FALSE))</f>
        <v/>
      </c>
      <c r="AA586" s="262"/>
      <c r="AB586" s="249">
        <f t="shared" si="600"/>
        <v>0</v>
      </c>
      <c r="AC586" s="210"/>
      <c r="AD586" s="236">
        <f t="shared" si="625"/>
        <v>1</v>
      </c>
      <c r="AE586" s="236">
        <f t="shared" si="626"/>
        <v>1</v>
      </c>
      <c r="AF586" s="236">
        <f t="shared" si="627"/>
        <v>0</v>
      </c>
      <c r="AG586" s="236">
        <v>1</v>
      </c>
      <c r="AH586" s="236">
        <v>0</v>
      </c>
      <c r="AI586" s="236">
        <f t="shared" si="603"/>
        <v>-100</v>
      </c>
      <c r="AJ586" s="210"/>
      <c r="AK586" s="254"/>
      <c r="AL586" s="254"/>
      <c r="AM586" s="255"/>
      <c r="AN586" s="255"/>
      <c r="AO586" s="255"/>
      <c r="AP586" s="255"/>
      <c r="AQ586" s="255"/>
      <c r="AR586" s="255"/>
      <c r="AS586" s="255"/>
      <c r="AT586" s="255"/>
      <c r="AU586" s="255"/>
      <c r="AV586" s="255"/>
      <c r="AW586" s="255"/>
      <c r="AX586" s="210"/>
      <c r="AY586" s="236" cm="1">
        <f t="array" ref="AY586">INDEX(Use, $AD586, 4)</f>
        <v>7</v>
      </c>
      <c r="AZ586" s="236">
        <f t="shared" si="604"/>
        <v>32</v>
      </c>
      <c r="BA586" s="236">
        <f t="shared" si="592"/>
        <v>13</v>
      </c>
      <c r="BB586" s="236">
        <f t="shared" si="593"/>
        <v>0</v>
      </c>
      <c r="BC586" s="252" cm="1">
        <f t="array" ref="BC586">K586/IF($L586&gt;0, INDEX($AO$23:$AU$77, $L586+20, $AD586), 1)</f>
        <v>0</v>
      </c>
      <c r="BD586" s="237">
        <f t="shared" si="605"/>
        <v>0</v>
      </c>
      <c r="BE586" s="236">
        <v>35</v>
      </c>
      <c r="BF586" s="237">
        <f t="shared" si="606"/>
        <v>52.55</v>
      </c>
      <c r="BG586" s="253">
        <f t="shared" si="607"/>
        <v>2.7676728869374316</v>
      </c>
      <c r="BH586" s="253" cm="1">
        <f t="array" ref="BH586">$BC586 * SUMPRODUCT(INDEX($AL$77:$AN$82,,$AE586),INDEX($AO$77:$AU$82,,$AD586), N($AK$77:$AK$82&gt;$AI586)) / BG586 / 1000</f>
        <v>0</v>
      </c>
      <c r="BI586" s="250">
        <f t="shared" si="594"/>
        <v>30</v>
      </c>
      <c r="BJ586" s="237">
        <f t="shared" si="608"/>
        <v>46.033333333333331</v>
      </c>
      <c r="BK586" s="253">
        <f t="shared" si="609"/>
        <v>3.2297395388556791</v>
      </c>
      <c r="BL586" s="253" cm="1">
        <f t="array" ref="BL586">$BC586 * IF($AD586&lt;=2,
SUMPRODUCT(INDEX($AL$72:$AN$76,,$AE586), INDEX($AO$72:$AU$76,,$AD586), 1 / ($AV$72:$AV$76*BK586 + (1-$AV$72:$AV$76)*BG586), N($AK$72:$AK$76&gt;$AI586)),
SUMPRODUCT(INDEX($AL$67:$AN$76,,$AE586), INDEX($AO$67:$AU$76,,$AD586), 1 / ($AW$67:$AW$76*BK586 + (1-$AW$67:$AW$76)*BG586), N($AK$67:$AK$76&gt;$AI586))
) / 1000</f>
        <v>0</v>
      </c>
      <c r="BM586" s="250">
        <f t="shared" si="595"/>
        <v>25</v>
      </c>
      <c r="BN586" s="237">
        <f t="shared" si="610"/>
        <v>39.516666666666666</v>
      </c>
      <c r="BO586" s="253">
        <f t="shared" si="611"/>
        <v>3.877011788826243</v>
      </c>
      <c r="BP586" s="253" cm="1">
        <f t="array" ref="BP586">$BC586 * IF($AD586&lt;=2,
SUMPRODUCT(INDEX($AL$67:$AN$71,,$AE586), INDEX($AO$67:$AU$71,,$AD586), 1 / ($AV$67:$AV$71*BO586 + (1-$AV$67:$AV$71)*BK586), N($AK$67:$AK$71&gt;$AI586)),
SUMPRODUCT(INDEX($AL$57:$AN$66,,$AE586), INDEX($AO$57:$AU$66,,$AD586), 1 / ($AW$57:$AW$66*BO586 + (1-$AW$57:$AW$66)*BK586), N($AK$57:$AK$66&gt;$AI586))
) / 1000</f>
        <v>0</v>
      </c>
      <c r="BQ586" s="250">
        <f t="shared" si="596"/>
        <v>20</v>
      </c>
      <c r="BR586" s="237">
        <f t="shared" si="612"/>
        <v>33</v>
      </c>
      <c r="BS586" s="253">
        <f t="shared" si="613"/>
        <v>4.8487499999999999</v>
      </c>
      <c r="BT586" s="253" cm="1">
        <f t="array" ref="BT586">$BC586 * IF($AD586&lt;=2,
SUMPRODUCT(INDEX($AL$62:$AN$66,,$AE586), INDEX($AO$62:$AU$66,,$AD586), 1 / ($AV$62:$AV$66*BS586 + (1-$AV$62:$AV$66)*BO586), N($AK$62:$AK$66&gt;$AI586)),
SUMPRODUCT(INDEX($AL$47:$AN$56,,$AE586), INDEX($AO$47:$AU$56,,$AD586), 1 / ($AW$47:$AW$56*BS586 + (1-$AW$47:$AW$56)*BO586), N($AK$47:$AK$56&gt;$AI586))
) / 1000</f>
        <v>0</v>
      </c>
      <c r="BU586" s="253" cm="1">
        <f t="array" ref="BU586">$BC586 * IF($AD586&lt;=2,
SUMPRODUCT(INDEX($AL$23:$AN$61,,$AE586), INDEX($AO$23:$AU$61,,$AD586), 1 / ($AV$23:$AV$61*BS586), N($AK$23:$AK$61&gt;$AI586)),
SUMPRODUCT(INDEX($AL$23:$AN$46,,$AE586), INDEX($AO$23:$AU$46,,$AD586), 1 / ($AW$23:$AW$46*BS586), N($AK$23:$AK$46&gt;$AI586))
) / 1000</f>
        <v>0</v>
      </c>
      <c r="BV586" s="237">
        <f t="shared" si="614"/>
        <v>0</v>
      </c>
      <c r="BW586" s="210"/>
      <c r="BX586" s="237">
        <f t="shared" si="615"/>
        <v>0</v>
      </c>
      <c r="BY586" s="236">
        <v>35</v>
      </c>
      <c r="BZ586" s="237">
        <f t="shared" si="616"/>
        <v>48</v>
      </c>
      <c r="CA586" s="253">
        <f t="shared" si="617"/>
        <v>3.0748170731707316</v>
      </c>
      <c r="CB586" s="253" cm="1">
        <f t="array" ref="CB586">$BC586 * SUMPRODUCT(INDEX($AL$77:$AN$82,,$AE586),INDEX($AO$77:$AU$82,,$AD586), N($AK$77:$AK$82&gt;$AI586)) / CA586 / 1000</f>
        <v>0</v>
      </c>
      <c r="CC586" s="250">
        <f t="shared" si="597"/>
        <v>30</v>
      </c>
      <c r="CD586" s="237">
        <f t="shared" si="618"/>
        <v>43</v>
      </c>
      <c r="CE586" s="253">
        <f t="shared" si="619"/>
        <v>3.5018750000000001</v>
      </c>
      <c r="CF586" s="253" cm="1">
        <f t="array" ref="CF586">$BC586 * IF($AD586&lt;=2,
SUMPRODUCT(INDEX($AL$72:$AN$76,,$AE586), INDEX($AO$72:$AU$76,,$AD586), 1 / ($AV$72:$AV$76*CE586 + (1-$AV$72:$AV$76)*CA586), N($AK$72:$AK$76&gt;$AI586)),
SUMPRODUCT(INDEX($AL$67:$AN$76,,$AE586), INDEX($AO$67:$AU$76,,$AD586), 1 / ($AW$67:$AW$76*CE586 + (1-$AW$67:$AW$76)*CA586), N($AK$67:$AK$76&gt;$AI586))
) / 1000</f>
        <v>0</v>
      </c>
      <c r="CG586" s="250">
        <f t="shared" si="598"/>
        <v>25</v>
      </c>
      <c r="CH586" s="237">
        <f t="shared" si="620"/>
        <v>38</v>
      </c>
      <c r="CI586" s="253">
        <f t="shared" si="621"/>
        <v>4.0666935483870965</v>
      </c>
      <c r="CJ586" s="253" cm="1">
        <f t="array" ref="CJ586">$BC586 * IF($AD586&lt;=2,
SUMPRODUCT(INDEX($AL$67:$AN$71,,$AE586), INDEX($AO$67:$AU$71,,$AD586), 1 / ($AV$67:$AV$71*CI586 + (1-$AV$67:$AV$71)*CE586), N($AK$67:$AK$71&gt;$AI586)),
SUMPRODUCT(INDEX($AL$57:$AN$66,,$AE586), INDEX($AO$57:$AU$66,,$AD586), 1 / ($AW$57:$AW$66*CI586 + (1-$AW$57:$AW$66)*CE586), N($AK$57:$AK$66&gt;$AI586))
) / 1000</f>
        <v>0</v>
      </c>
      <c r="CK586" s="250">
        <f t="shared" si="599"/>
        <v>20</v>
      </c>
      <c r="CL586" s="237">
        <f t="shared" si="622"/>
        <v>33</v>
      </c>
      <c r="CM586" s="253">
        <f t="shared" si="623"/>
        <v>4.8487499999999999</v>
      </c>
      <c r="CN586" s="253" cm="1">
        <f t="array" ref="CN586">$BC586 * IF($AD586&lt;=2,
SUMPRODUCT(INDEX($AL$62:$AN$66,,$AE586), INDEX($AO$62:$AU$66,,$AD586), 1 / ($AV$62:$AV$66*CM586 + (1-$AV$62:$AV$66)*CI586), N($AK$62:$AK$66&gt;$AI586)),
SUMPRODUCT(INDEX($AL$47:$AN$56,,$AE586), INDEX($AO$47:$AU$56,,$AD586), 1 / ($AW$47:$AW$56*CM586 + (1-$AW$47:$AW$56)*CI586), N($AK$47:$AK$56&gt;$AI586))
) / 1000</f>
        <v>0</v>
      </c>
      <c r="CO586" s="253" cm="1">
        <f t="array" ref="CO586">$BC586 * IF($AD586&lt;=2,
SUMPRODUCT(INDEX($AL$23:$AN$61,,$AE586), INDEX($AO$23:$AU$61,,$AD586), 1 / ($AV$23:$AV$61*CM586), N($AK$23:$AK$61&gt;$AI586)),
SUMPRODUCT(INDEX($AL$23:$AN$46,,$AE586), INDEX($AO$23:$AU$46,,$AD586), 1 / ($AW$23:$AW$46*CM586), N($AK$23:$AK$46&gt;$AI586))
) / 1000</f>
        <v>0</v>
      </c>
      <c r="CP586" s="237">
        <f t="shared" si="624"/>
        <v>0</v>
      </c>
      <c r="CQ586" s="210"/>
    </row>
    <row r="587" spans="1:95" s="76" customFormat="1" ht="14.25" customHeight="1" x14ac:dyDescent="0.2">
      <c r="A587" s="238" t="b">
        <f t="shared" si="591"/>
        <v>0</v>
      </c>
      <c r="B587" s="239">
        <v>565</v>
      </c>
      <c r="C587" s="258"/>
      <c r="D587" s="258"/>
      <c r="E587" s="240"/>
      <c r="F587" s="241" t="str">
        <f>IF(ISBLANK(E587), "", VLOOKUP(E587, Z!$A$2:$C$4127, 3, FALSE))</f>
        <v/>
      </c>
      <c r="G587" s="242"/>
      <c r="H587" s="242"/>
      <c r="I587" s="243"/>
      <c r="J587" s="244"/>
      <c r="K587" s="259"/>
      <c r="L587" s="260"/>
      <c r="M587" s="247" t="str" cm="1">
        <f t="array" ref="M587">IF($K587&gt;0, INDEX(Clean,1+AG587,$C$1), "")</f>
        <v/>
      </c>
      <c r="N587" s="245"/>
      <c r="O587" s="245"/>
      <c r="P587" s="246"/>
      <c r="Q587" s="248">
        <f t="shared" si="601"/>
        <v>0</v>
      </c>
      <c r="R587" s="247" t="str" cm="1">
        <f t="array" ref="R587">IF($K587&gt;0, INDEX(Clean,1+AH587,$C$1), "")</f>
        <v/>
      </c>
      <c r="S587" s="245"/>
      <c r="T587" s="245"/>
      <c r="U587" s="246"/>
      <c r="V587" s="248">
        <f t="shared" si="602"/>
        <v>0</v>
      </c>
      <c r="W587" s="261"/>
      <c r="X587" s="258"/>
      <c r="Y587" s="240"/>
      <c r="Z587" s="241" t="str">
        <f>IF(ISBLANK(Y587), "", VLOOKUP(Y587, Z!$A$2:$C$4127, 3, FALSE))</f>
        <v/>
      </c>
      <c r="AA587" s="262"/>
      <c r="AB587" s="249">
        <f t="shared" si="600"/>
        <v>0</v>
      </c>
      <c r="AC587" s="210"/>
      <c r="AD587" s="236">
        <f t="shared" si="625"/>
        <v>1</v>
      </c>
      <c r="AE587" s="236">
        <f t="shared" si="626"/>
        <v>1</v>
      </c>
      <c r="AF587" s="236">
        <f t="shared" si="627"/>
        <v>0</v>
      </c>
      <c r="AG587" s="236">
        <v>1</v>
      </c>
      <c r="AH587" s="236">
        <v>0</v>
      </c>
      <c r="AI587" s="236">
        <f t="shared" si="603"/>
        <v>-100</v>
      </c>
      <c r="AJ587" s="210"/>
      <c r="AK587" s="254"/>
      <c r="AL587" s="254"/>
      <c r="AM587" s="255"/>
      <c r="AN587" s="255"/>
      <c r="AO587" s="255"/>
      <c r="AP587" s="255"/>
      <c r="AQ587" s="255"/>
      <c r="AR587" s="255"/>
      <c r="AS587" s="255"/>
      <c r="AT587" s="255"/>
      <c r="AU587" s="255"/>
      <c r="AV587" s="255"/>
      <c r="AW587" s="255"/>
      <c r="AX587" s="210"/>
      <c r="AY587" s="236" cm="1">
        <f t="array" ref="AY587">INDEX(Use, $AD587, 4)</f>
        <v>7</v>
      </c>
      <c r="AZ587" s="236">
        <f t="shared" si="604"/>
        <v>32</v>
      </c>
      <c r="BA587" s="236">
        <f t="shared" si="592"/>
        <v>13</v>
      </c>
      <c r="BB587" s="236">
        <f t="shared" si="593"/>
        <v>0</v>
      </c>
      <c r="BC587" s="252" cm="1">
        <f t="array" ref="BC587">K587/IF($L587&gt;0, INDEX($AO$23:$AU$77, $L587+20, $AD587), 1)</f>
        <v>0</v>
      </c>
      <c r="BD587" s="237">
        <f t="shared" si="605"/>
        <v>0</v>
      </c>
      <c r="BE587" s="236">
        <v>35</v>
      </c>
      <c r="BF587" s="237">
        <f t="shared" si="606"/>
        <v>52.55</v>
      </c>
      <c r="BG587" s="253">
        <f t="shared" si="607"/>
        <v>2.7676728869374316</v>
      </c>
      <c r="BH587" s="253" cm="1">
        <f t="array" ref="BH587">$BC587 * SUMPRODUCT(INDEX($AL$77:$AN$82,,$AE587),INDEX($AO$77:$AU$82,,$AD587), N($AK$77:$AK$82&gt;$AI587)) / BG587 / 1000</f>
        <v>0</v>
      </c>
      <c r="BI587" s="250">
        <f t="shared" si="594"/>
        <v>30</v>
      </c>
      <c r="BJ587" s="237">
        <f t="shared" si="608"/>
        <v>46.033333333333331</v>
      </c>
      <c r="BK587" s="253">
        <f t="shared" si="609"/>
        <v>3.2297395388556791</v>
      </c>
      <c r="BL587" s="253" cm="1">
        <f t="array" ref="BL587">$BC587 * IF($AD587&lt;=2,
SUMPRODUCT(INDEX($AL$72:$AN$76,,$AE587), INDEX($AO$72:$AU$76,,$AD587), 1 / ($AV$72:$AV$76*BK587 + (1-$AV$72:$AV$76)*BG587), N($AK$72:$AK$76&gt;$AI587)),
SUMPRODUCT(INDEX($AL$67:$AN$76,,$AE587), INDEX($AO$67:$AU$76,,$AD587), 1 / ($AW$67:$AW$76*BK587 + (1-$AW$67:$AW$76)*BG587), N($AK$67:$AK$76&gt;$AI587))
) / 1000</f>
        <v>0</v>
      </c>
      <c r="BM587" s="250">
        <f t="shared" si="595"/>
        <v>25</v>
      </c>
      <c r="BN587" s="237">
        <f t="shared" si="610"/>
        <v>39.516666666666666</v>
      </c>
      <c r="BO587" s="253">
        <f t="shared" si="611"/>
        <v>3.877011788826243</v>
      </c>
      <c r="BP587" s="253" cm="1">
        <f t="array" ref="BP587">$BC587 * IF($AD587&lt;=2,
SUMPRODUCT(INDEX($AL$67:$AN$71,,$AE587), INDEX($AO$67:$AU$71,,$AD587), 1 / ($AV$67:$AV$71*BO587 + (1-$AV$67:$AV$71)*BK587), N($AK$67:$AK$71&gt;$AI587)),
SUMPRODUCT(INDEX($AL$57:$AN$66,,$AE587), INDEX($AO$57:$AU$66,,$AD587), 1 / ($AW$57:$AW$66*BO587 + (1-$AW$57:$AW$66)*BK587), N($AK$57:$AK$66&gt;$AI587))
) / 1000</f>
        <v>0</v>
      </c>
      <c r="BQ587" s="250">
        <f t="shared" si="596"/>
        <v>20</v>
      </c>
      <c r="BR587" s="237">
        <f t="shared" si="612"/>
        <v>33</v>
      </c>
      <c r="BS587" s="253">
        <f t="shared" si="613"/>
        <v>4.8487499999999999</v>
      </c>
      <c r="BT587" s="253" cm="1">
        <f t="array" ref="BT587">$BC587 * IF($AD587&lt;=2,
SUMPRODUCT(INDEX($AL$62:$AN$66,,$AE587), INDEX($AO$62:$AU$66,,$AD587), 1 / ($AV$62:$AV$66*BS587 + (1-$AV$62:$AV$66)*BO587), N($AK$62:$AK$66&gt;$AI587)),
SUMPRODUCT(INDEX($AL$47:$AN$56,,$AE587), INDEX($AO$47:$AU$56,,$AD587), 1 / ($AW$47:$AW$56*BS587 + (1-$AW$47:$AW$56)*BO587), N($AK$47:$AK$56&gt;$AI587))
) / 1000</f>
        <v>0</v>
      </c>
      <c r="BU587" s="253" cm="1">
        <f t="array" ref="BU587">$BC587 * IF($AD587&lt;=2,
SUMPRODUCT(INDEX($AL$23:$AN$61,,$AE587), INDEX($AO$23:$AU$61,,$AD587), 1 / ($AV$23:$AV$61*BS587), N($AK$23:$AK$61&gt;$AI587)),
SUMPRODUCT(INDEX($AL$23:$AN$46,,$AE587), INDEX($AO$23:$AU$46,,$AD587), 1 / ($AW$23:$AW$46*BS587), N($AK$23:$AK$46&gt;$AI587))
) / 1000</f>
        <v>0</v>
      </c>
      <c r="BV587" s="237">
        <f t="shared" si="614"/>
        <v>0</v>
      </c>
      <c r="BW587" s="210"/>
      <c r="BX587" s="237">
        <f t="shared" si="615"/>
        <v>0</v>
      </c>
      <c r="BY587" s="236">
        <v>35</v>
      </c>
      <c r="BZ587" s="237">
        <f t="shared" si="616"/>
        <v>48</v>
      </c>
      <c r="CA587" s="253">
        <f t="shared" si="617"/>
        <v>3.0748170731707316</v>
      </c>
      <c r="CB587" s="253" cm="1">
        <f t="array" ref="CB587">$BC587 * SUMPRODUCT(INDEX($AL$77:$AN$82,,$AE587),INDEX($AO$77:$AU$82,,$AD587), N($AK$77:$AK$82&gt;$AI587)) / CA587 / 1000</f>
        <v>0</v>
      </c>
      <c r="CC587" s="250">
        <f t="shared" si="597"/>
        <v>30</v>
      </c>
      <c r="CD587" s="237">
        <f t="shared" si="618"/>
        <v>43</v>
      </c>
      <c r="CE587" s="253">
        <f t="shared" si="619"/>
        <v>3.5018750000000001</v>
      </c>
      <c r="CF587" s="253" cm="1">
        <f t="array" ref="CF587">$BC587 * IF($AD587&lt;=2,
SUMPRODUCT(INDEX($AL$72:$AN$76,,$AE587), INDEX($AO$72:$AU$76,,$AD587), 1 / ($AV$72:$AV$76*CE587 + (1-$AV$72:$AV$76)*CA587), N($AK$72:$AK$76&gt;$AI587)),
SUMPRODUCT(INDEX($AL$67:$AN$76,,$AE587), INDEX($AO$67:$AU$76,,$AD587), 1 / ($AW$67:$AW$76*CE587 + (1-$AW$67:$AW$76)*CA587), N($AK$67:$AK$76&gt;$AI587))
) / 1000</f>
        <v>0</v>
      </c>
      <c r="CG587" s="250">
        <f t="shared" si="598"/>
        <v>25</v>
      </c>
      <c r="CH587" s="237">
        <f t="shared" si="620"/>
        <v>38</v>
      </c>
      <c r="CI587" s="253">
        <f t="shared" si="621"/>
        <v>4.0666935483870965</v>
      </c>
      <c r="CJ587" s="253" cm="1">
        <f t="array" ref="CJ587">$BC587 * IF($AD587&lt;=2,
SUMPRODUCT(INDEX($AL$67:$AN$71,,$AE587), INDEX($AO$67:$AU$71,,$AD587), 1 / ($AV$67:$AV$71*CI587 + (1-$AV$67:$AV$71)*CE587), N($AK$67:$AK$71&gt;$AI587)),
SUMPRODUCT(INDEX($AL$57:$AN$66,,$AE587), INDEX($AO$57:$AU$66,,$AD587), 1 / ($AW$57:$AW$66*CI587 + (1-$AW$57:$AW$66)*CE587), N($AK$57:$AK$66&gt;$AI587))
) / 1000</f>
        <v>0</v>
      </c>
      <c r="CK587" s="250">
        <f t="shared" si="599"/>
        <v>20</v>
      </c>
      <c r="CL587" s="237">
        <f t="shared" si="622"/>
        <v>33</v>
      </c>
      <c r="CM587" s="253">
        <f t="shared" si="623"/>
        <v>4.8487499999999999</v>
      </c>
      <c r="CN587" s="253" cm="1">
        <f t="array" ref="CN587">$BC587 * IF($AD587&lt;=2,
SUMPRODUCT(INDEX($AL$62:$AN$66,,$AE587), INDEX($AO$62:$AU$66,,$AD587), 1 / ($AV$62:$AV$66*CM587 + (1-$AV$62:$AV$66)*CI587), N($AK$62:$AK$66&gt;$AI587)),
SUMPRODUCT(INDEX($AL$47:$AN$56,,$AE587), INDEX($AO$47:$AU$56,,$AD587), 1 / ($AW$47:$AW$56*CM587 + (1-$AW$47:$AW$56)*CI587), N($AK$47:$AK$56&gt;$AI587))
) / 1000</f>
        <v>0</v>
      </c>
      <c r="CO587" s="253" cm="1">
        <f t="array" ref="CO587">$BC587 * IF($AD587&lt;=2,
SUMPRODUCT(INDEX($AL$23:$AN$61,,$AE587), INDEX($AO$23:$AU$61,,$AD587), 1 / ($AV$23:$AV$61*CM587), N($AK$23:$AK$61&gt;$AI587)),
SUMPRODUCT(INDEX($AL$23:$AN$46,,$AE587), INDEX($AO$23:$AU$46,,$AD587), 1 / ($AW$23:$AW$46*CM587), N($AK$23:$AK$46&gt;$AI587))
) / 1000</f>
        <v>0</v>
      </c>
      <c r="CP587" s="237">
        <f t="shared" si="624"/>
        <v>0</v>
      </c>
      <c r="CQ587" s="210"/>
    </row>
    <row r="588" spans="1:95" s="76" customFormat="1" ht="14.25" customHeight="1" x14ac:dyDescent="0.2">
      <c r="A588" s="238" t="b">
        <f t="shared" si="591"/>
        <v>0</v>
      </c>
      <c r="B588" s="239">
        <v>566</v>
      </c>
      <c r="C588" s="258"/>
      <c r="D588" s="258"/>
      <c r="E588" s="240"/>
      <c r="F588" s="241" t="str">
        <f>IF(ISBLANK(E588), "", VLOOKUP(E588, Z!$A$2:$C$4127, 3, FALSE))</f>
        <v/>
      </c>
      <c r="G588" s="242"/>
      <c r="H588" s="242"/>
      <c r="I588" s="243"/>
      <c r="J588" s="244"/>
      <c r="K588" s="259"/>
      <c r="L588" s="260"/>
      <c r="M588" s="247" t="str" cm="1">
        <f t="array" ref="M588">IF($K588&gt;0, INDEX(Clean,1+AG588,$C$1), "")</f>
        <v/>
      </c>
      <c r="N588" s="245"/>
      <c r="O588" s="245"/>
      <c r="P588" s="246"/>
      <c r="Q588" s="248">
        <f t="shared" si="601"/>
        <v>0</v>
      </c>
      <c r="R588" s="247" t="str" cm="1">
        <f t="array" ref="R588">IF($K588&gt;0, INDEX(Clean,1+AH588,$C$1), "")</f>
        <v/>
      </c>
      <c r="S588" s="245"/>
      <c r="T588" s="245"/>
      <c r="U588" s="246"/>
      <c r="V588" s="248">
        <f t="shared" si="602"/>
        <v>0</v>
      </c>
      <c r="W588" s="261"/>
      <c r="X588" s="258"/>
      <c r="Y588" s="240"/>
      <c r="Z588" s="241" t="str">
        <f>IF(ISBLANK(Y588), "", VLOOKUP(Y588, Z!$A$2:$C$4127, 3, FALSE))</f>
        <v/>
      </c>
      <c r="AA588" s="262"/>
      <c r="AB588" s="249">
        <f t="shared" si="600"/>
        <v>0</v>
      </c>
      <c r="AC588" s="210"/>
      <c r="AD588" s="236">
        <f t="shared" si="625"/>
        <v>1</v>
      </c>
      <c r="AE588" s="236">
        <f t="shared" si="626"/>
        <v>1</v>
      </c>
      <c r="AF588" s="236">
        <f t="shared" si="627"/>
        <v>0</v>
      </c>
      <c r="AG588" s="236">
        <v>1</v>
      </c>
      <c r="AH588" s="236">
        <v>0</v>
      </c>
      <c r="AI588" s="236">
        <f t="shared" si="603"/>
        <v>-100</v>
      </c>
      <c r="AJ588" s="210"/>
      <c r="AK588" s="254"/>
      <c r="AL588" s="254"/>
      <c r="AM588" s="255"/>
      <c r="AN588" s="255"/>
      <c r="AO588" s="255"/>
      <c r="AP588" s="255"/>
      <c r="AQ588" s="255"/>
      <c r="AR588" s="255"/>
      <c r="AS588" s="255"/>
      <c r="AT588" s="255"/>
      <c r="AU588" s="255"/>
      <c r="AV588" s="255"/>
      <c r="AW588" s="255"/>
      <c r="AX588" s="210"/>
      <c r="AY588" s="236" cm="1">
        <f t="array" ref="AY588">INDEX(Use, $AD588, 4)</f>
        <v>7</v>
      </c>
      <c r="AZ588" s="236">
        <f t="shared" si="604"/>
        <v>32</v>
      </c>
      <c r="BA588" s="236">
        <f t="shared" si="592"/>
        <v>13</v>
      </c>
      <c r="BB588" s="236">
        <f t="shared" si="593"/>
        <v>0</v>
      </c>
      <c r="BC588" s="252" cm="1">
        <f t="array" ref="BC588">K588/IF($L588&gt;0, INDEX($AO$23:$AU$77, $L588+20, $AD588), 1)</f>
        <v>0</v>
      </c>
      <c r="BD588" s="237">
        <f t="shared" si="605"/>
        <v>0</v>
      </c>
      <c r="BE588" s="236">
        <v>35</v>
      </c>
      <c r="BF588" s="237">
        <f t="shared" si="606"/>
        <v>52.55</v>
      </c>
      <c r="BG588" s="253">
        <f t="shared" si="607"/>
        <v>2.7676728869374316</v>
      </c>
      <c r="BH588" s="253" cm="1">
        <f t="array" ref="BH588">$BC588 * SUMPRODUCT(INDEX($AL$77:$AN$82,,$AE588),INDEX($AO$77:$AU$82,,$AD588), N($AK$77:$AK$82&gt;$AI588)) / BG588 / 1000</f>
        <v>0</v>
      </c>
      <c r="BI588" s="250">
        <f t="shared" si="594"/>
        <v>30</v>
      </c>
      <c r="BJ588" s="237">
        <f t="shared" si="608"/>
        <v>46.033333333333331</v>
      </c>
      <c r="BK588" s="253">
        <f t="shared" si="609"/>
        <v>3.2297395388556791</v>
      </c>
      <c r="BL588" s="253" cm="1">
        <f t="array" ref="BL588">$BC588 * IF($AD588&lt;=2,
SUMPRODUCT(INDEX($AL$72:$AN$76,,$AE588), INDEX($AO$72:$AU$76,,$AD588), 1 / ($AV$72:$AV$76*BK588 + (1-$AV$72:$AV$76)*BG588), N($AK$72:$AK$76&gt;$AI588)),
SUMPRODUCT(INDEX($AL$67:$AN$76,,$AE588), INDEX($AO$67:$AU$76,,$AD588), 1 / ($AW$67:$AW$76*BK588 + (1-$AW$67:$AW$76)*BG588), N($AK$67:$AK$76&gt;$AI588))
) / 1000</f>
        <v>0</v>
      </c>
      <c r="BM588" s="250">
        <f t="shared" si="595"/>
        <v>25</v>
      </c>
      <c r="BN588" s="237">
        <f t="shared" si="610"/>
        <v>39.516666666666666</v>
      </c>
      <c r="BO588" s="253">
        <f t="shared" si="611"/>
        <v>3.877011788826243</v>
      </c>
      <c r="BP588" s="253" cm="1">
        <f t="array" ref="BP588">$BC588 * IF($AD588&lt;=2,
SUMPRODUCT(INDEX($AL$67:$AN$71,,$AE588), INDEX($AO$67:$AU$71,,$AD588), 1 / ($AV$67:$AV$71*BO588 + (1-$AV$67:$AV$71)*BK588), N($AK$67:$AK$71&gt;$AI588)),
SUMPRODUCT(INDEX($AL$57:$AN$66,,$AE588), INDEX($AO$57:$AU$66,,$AD588), 1 / ($AW$57:$AW$66*BO588 + (1-$AW$57:$AW$66)*BK588), N($AK$57:$AK$66&gt;$AI588))
) / 1000</f>
        <v>0</v>
      </c>
      <c r="BQ588" s="250">
        <f t="shared" si="596"/>
        <v>20</v>
      </c>
      <c r="BR588" s="237">
        <f t="shared" si="612"/>
        <v>33</v>
      </c>
      <c r="BS588" s="253">
        <f t="shared" si="613"/>
        <v>4.8487499999999999</v>
      </c>
      <c r="BT588" s="253" cm="1">
        <f t="array" ref="BT588">$BC588 * IF($AD588&lt;=2,
SUMPRODUCT(INDEX($AL$62:$AN$66,,$AE588), INDEX($AO$62:$AU$66,,$AD588), 1 / ($AV$62:$AV$66*BS588 + (1-$AV$62:$AV$66)*BO588), N($AK$62:$AK$66&gt;$AI588)),
SUMPRODUCT(INDEX($AL$47:$AN$56,,$AE588), INDEX($AO$47:$AU$56,,$AD588), 1 / ($AW$47:$AW$56*BS588 + (1-$AW$47:$AW$56)*BO588), N($AK$47:$AK$56&gt;$AI588))
) / 1000</f>
        <v>0</v>
      </c>
      <c r="BU588" s="253" cm="1">
        <f t="array" ref="BU588">$BC588 * IF($AD588&lt;=2,
SUMPRODUCT(INDEX($AL$23:$AN$61,,$AE588), INDEX($AO$23:$AU$61,,$AD588), 1 / ($AV$23:$AV$61*BS588), N($AK$23:$AK$61&gt;$AI588)),
SUMPRODUCT(INDEX($AL$23:$AN$46,,$AE588), INDEX($AO$23:$AU$46,,$AD588), 1 / ($AW$23:$AW$46*BS588), N($AK$23:$AK$46&gt;$AI588))
) / 1000</f>
        <v>0</v>
      </c>
      <c r="BV588" s="237">
        <f t="shared" si="614"/>
        <v>0</v>
      </c>
      <c r="BW588" s="210"/>
      <c r="BX588" s="237">
        <f t="shared" si="615"/>
        <v>0</v>
      </c>
      <c r="BY588" s="236">
        <v>35</v>
      </c>
      <c r="BZ588" s="237">
        <f t="shared" si="616"/>
        <v>48</v>
      </c>
      <c r="CA588" s="253">
        <f t="shared" si="617"/>
        <v>3.0748170731707316</v>
      </c>
      <c r="CB588" s="253" cm="1">
        <f t="array" ref="CB588">$BC588 * SUMPRODUCT(INDEX($AL$77:$AN$82,,$AE588),INDEX($AO$77:$AU$82,,$AD588), N($AK$77:$AK$82&gt;$AI588)) / CA588 / 1000</f>
        <v>0</v>
      </c>
      <c r="CC588" s="250">
        <f t="shared" si="597"/>
        <v>30</v>
      </c>
      <c r="CD588" s="237">
        <f t="shared" si="618"/>
        <v>43</v>
      </c>
      <c r="CE588" s="253">
        <f t="shared" si="619"/>
        <v>3.5018750000000001</v>
      </c>
      <c r="CF588" s="253" cm="1">
        <f t="array" ref="CF588">$BC588 * IF($AD588&lt;=2,
SUMPRODUCT(INDEX($AL$72:$AN$76,,$AE588), INDEX($AO$72:$AU$76,,$AD588), 1 / ($AV$72:$AV$76*CE588 + (1-$AV$72:$AV$76)*CA588), N($AK$72:$AK$76&gt;$AI588)),
SUMPRODUCT(INDEX($AL$67:$AN$76,,$AE588), INDEX($AO$67:$AU$76,,$AD588), 1 / ($AW$67:$AW$76*CE588 + (1-$AW$67:$AW$76)*CA588), N($AK$67:$AK$76&gt;$AI588))
) / 1000</f>
        <v>0</v>
      </c>
      <c r="CG588" s="250">
        <f t="shared" si="598"/>
        <v>25</v>
      </c>
      <c r="CH588" s="237">
        <f t="shared" si="620"/>
        <v>38</v>
      </c>
      <c r="CI588" s="253">
        <f t="shared" si="621"/>
        <v>4.0666935483870965</v>
      </c>
      <c r="CJ588" s="253" cm="1">
        <f t="array" ref="CJ588">$BC588 * IF($AD588&lt;=2,
SUMPRODUCT(INDEX($AL$67:$AN$71,,$AE588), INDEX($AO$67:$AU$71,,$AD588), 1 / ($AV$67:$AV$71*CI588 + (1-$AV$67:$AV$71)*CE588), N($AK$67:$AK$71&gt;$AI588)),
SUMPRODUCT(INDEX($AL$57:$AN$66,,$AE588), INDEX($AO$57:$AU$66,,$AD588), 1 / ($AW$57:$AW$66*CI588 + (1-$AW$57:$AW$66)*CE588), N($AK$57:$AK$66&gt;$AI588))
) / 1000</f>
        <v>0</v>
      </c>
      <c r="CK588" s="250">
        <f t="shared" si="599"/>
        <v>20</v>
      </c>
      <c r="CL588" s="237">
        <f t="shared" si="622"/>
        <v>33</v>
      </c>
      <c r="CM588" s="253">
        <f t="shared" si="623"/>
        <v>4.8487499999999999</v>
      </c>
      <c r="CN588" s="253" cm="1">
        <f t="array" ref="CN588">$BC588 * IF($AD588&lt;=2,
SUMPRODUCT(INDEX($AL$62:$AN$66,,$AE588), INDEX($AO$62:$AU$66,,$AD588), 1 / ($AV$62:$AV$66*CM588 + (1-$AV$62:$AV$66)*CI588), N($AK$62:$AK$66&gt;$AI588)),
SUMPRODUCT(INDEX($AL$47:$AN$56,,$AE588), INDEX($AO$47:$AU$56,,$AD588), 1 / ($AW$47:$AW$56*CM588 + (1-$AW$47:$AW$56)*CI588), N($AK$47:$AK$56&gt;$AI588))
) / 1000</f>
        <v>0</v>
      </c>
      <c r="CO588" s="253" cm="1">
        <f t="array" ref="CO588">$BC588 * IF($AD588&lt;=2,
SUMPRODUCT(INDEX($AL$23:$AN$61,,$AE588), INDEX($AO$23:$AU$61,,$AD588), 1 / ($AV$23:$AV$61*CM588), N($AK$23:$AK$61&gt;$AI588)),
SUMPRODUCT(INDEX($AL$23:$AN$46,,$AE588), INDEX($AO$23:$AU$46,,$AD588), 1 / ($AW$23:$AW$46*CM588), N($AK$23:$AK$46&gt;$AI588))
) / 1000</f>
        <v>0</v>
      </c>
      <c r="CP588" s="237">
        <f t="shared" si="624"/>
        <v>0</v>
      </c>
      <c r="CQ588" s="210"/>
    </row>
    <row r="589" spans="1:95" s="76" customFormat="1" ht="14.25" customHeight="1" x14ac:dyDescent="0.2">
      <c r="A589" s="238" t="b">
        <f t="shared" si="591"/>
        <v>0</v>
      </c>
      <c r="B589" s="239">
        <v>567</v>
      </c>
      <c r="C589" s="258"/>
      <c r="D589" s="258"/>
      <c r="E589" s="240"/>
      <c r="F589" s="241" t="str">
        <f>IF(ISBLANK(E589), "", VLOOKUP(E589, Z!$A$2:$C$4127, 3, FALSE))</f>
        <v/>
      </c>
      <c r="G589" s="242"/>
      <c r="H589" s="242"/>
      <c r="I589" s="243"/>
      <c r="J589" s="244"/>
      <c r="K589" s="259"/>
      <c r="L589" s="260"/>
      <c r="M589" s="247" t="str" cm="1">
        <f t="array" ref="M589">IF($K589&gt;0, INDEX(Clean,1+AG589,$C$1), "")</f>
        <v/>
      </c>
      <c r="N589" s="245"/>
      <c r="O589" s="245"/>
      <c r="P589" s="246"/>
      <c r="Q589" s="248">
        <f t="shared" si="601"/>
        <v>0</v>
      </c>
      <c r="R589" s="247" t="str" cm="1">
        <f t="array" ref="R589">IF($K589&gt;0, INDEX(Clean,1+AH589,$C$1), "")</f>
        <v/>
      </c>
      <c r="S589" s="245"/>
      <c r="T589" s="245"/>
      <c r="U589" s="246"/>
      <c r="V589" s="248">
        <f t="shared" si="602"/>
        <v>0</v>
      </c>
      <c r="W589" s="261"/>
      <c r="X589" s="258"/>
      <c r="Y589" s="240"/>
      <c r="Z589" s="241" t="str">
        <f>IF(ISBLANK(Y589), "", VLOOKUP(Y589, Z!$A$2:$C$4127, 3, FALSE))</f>
        <v/>
      </c>
      <c r="AA589" s="262"/>
      <c r="AB589" s="249">
        <f t="shared" si="600"/>
        <v>0</v>
      </c>
      <c r="AC589" s="210"/>
      <c r="AD589" s="236">
        <f t="shared" si="625"/>
        <v>1</v>
      </c>
      <c r="AE589" s="236">
        <f t="shared" si="626"/>
        <v>1</v>
      </c>
      <c r="AF589" s="236">
        <f t="shared" si="627"/>
        <v>0</v>
      </c>
      <c r="AG589" s="236">
        <v>1</v>
      </c>
      <c r="AH589" s="236">
        <v>0</v>
      </c>
      <c r="AI589" s="236">
        <f t="shared" si="603"/>
        <v>-100</v>
      </c>
      <c r="AJ589" s="210"/>
      <c r="AK589" s="254"/>
      <c r="AL589" s="254"/>
      <c r="AM589" s="255"/>
      <c r="AN589" s="255"/>
      <c r="AO589" s="255"/>
      <c r="AP589" s="255"/>
      <c r="AQ589" s="255"/>
      <c r="AR589" s="255"/>
      <c r="AS589" s="255"/>
      <c r="AT589" s="255"/>
      <c r="AU589" s="255"/>
      <c r="AV589" s="255"/>
      <c r="AW589" s="255"/>
      <c r="AX589" s="210"/>
      <c r="AY589" s="236" cm="1">
        <f t="array" ref="AY589">INDEX(Use, $AD589, 4)</f>
        <v>7</v>
      </c>
      <c r="AZ589" s="236">
        <f t="shared" si="604"/>
        <v>32</v>
      </c>
      <c r="BA589" s="236">
        <f t="shared" si="592"/>
        <v>13</v>
      </c>
      <c r="BB589" s="236">
        <f t="shared" si="593"/>
        <v>0</v>
      </c>
      <c r="BC589" s="252" cm="1">
        <f t="array" ref="BC589">K589/IF($L589&gt;0, INDEX($AO$23:$AU$77, $L589+20, $AD589), 1)</f>
        <v>0</v>
      </c>
      <c r="BD589" s="237">
        <f t="shared" si="605"/>
        <v>0</v>
      </c>
      <c r="BE589" s="236">
        <v>35</v>
      </c>
      <c r="BF589" s="237">
        <f t="shared" si="606"/>
        <v>52.55</v>
      </c>
      <c r="BG589" s="253">
        <f t="shared" si="607"/>
        <v>2.7676728869374316</v>
      </c>
      <c r="BH589" s="253" cm="1">
        <f t="array" ref="BH589">$BC589 * SUMPRODUCT(INDEX($AL$77:$AN$82,,$AE589),INDEX($AO$77:$AU$82,,$AD589), N($AK$77:$AK$82&gt;$AI589)) / BG589 / 1000</f>
        <v>0</v>
      </c>
      <c r="BI589" s="250">
        <f t="shared" si="594"/>
        <v>30</v>
      </c>
      <c r="BJ589" s="237">
        <f t="shared" si="608"/>
        <v>46.033333333333331</v>
      </c>
      <c r="BK589" s="253">
        <f t="shared" si="609"/>
        <v>3.2297395388556791</v>
      </c>
      <c r="BL589" s="253" cm="1">
        <f t="array" ref="BL589">$BC589 * IF($AD589&lt;=2,
SUMPRODUCT(INDEX($AL$72:$AN$76,,$AE589), INDEX($AO$72:$AU$76,,$AD589), 1 / ($AV$72:$AV$76*BK589 + (1-$AV$72:$AV$76)*BG589), N($AK$72:$AK$76&gt;$AI589)),
SUMPRODUCT(INDEX($AL$67:$AN$76,,$AE589), INDEX($AO$67:$AU$76,,$AD589), 1 / ($AW$67:$AW$76*BK589 + (1-$AW$67:$AW$76)*BG589), N($AK$67:$AK$76&gt;$AI589))
) / 1000</f>
        <v>0</v>
      </c>
      <c r="BM589" s="250">
        <f t="shared" si="595"/>
        <v>25</v>
      </c>
      <c r="BN589" s="237">
        <f t="shared" si="610"/>
        <v>39.516666666666666</v>
      </c>
      <c r="BO589" s="253">
        <f t="shared" si="611"/>
        <v>3.877011788826243</v>
      </c>
      <c r="BP589" s="253" cm="1">
        <f t="array" ref="BP589">$BC589 * IF($AD589&lt;=2,
SUMPRODUCT(INDEX($AL$67:$AN$71,,$AE589), INDEX($AO$67:$AU$71,,$AD589), 1 / ($AV$67:$AV$71*BO589 + (1-$AV$67:$AV$71)*BK589), N($AK$67:$AK$71&gt;$AI589)),
SUMPRODUCT(INDEX($AL$57:$AN$66,,$AE589), INDEX($AO$57:$AU$66,,$AD589), 1 / ($AW$57:$AW$66*BO589 + (1-$AW$57:$AW$66)*BK589), N($AK$57:$AK$66&gt;$AI589))
) / 1000</f>
        <v>0</v>
      </c>
      <c r="BQ589" s="250">
        <f t="shared" si="596"/>
        <v>20</v>
      </c>
      <c r="BR589" s="237">
        <f t="shared" si="612"/>
        <v>33</v>
      </c>
      <c r="BS589" s="253">
        <f t="shared" si="613"/>
        <v>4.8487499999999999</v>
      </c>
      <c r="BT589" s="253" cm="1">
        <f t="array" ref="BT589">$BC589 * IF($AD589&lt;=2,
SUMPRODUCT(INDEX($AL$62:$AN$66,,$AE589), INDEX($AO$62:$AU$66,,$AD589), 1 / ($AV$62:$AV$66*BS589 + (1-$AV$62:$AV$66)*BO589), N($AK$62:$AK$66&gt;$AI589)),
SUMPRODUCT(INDEX($AL$47:$AN$56,,$AE589), INDEX($AO$47:$AU$56,,$AD589), 1 / ($AW$47:$AW$56*BS589 + (1-$AW$47:$AW$56)*BO589), N($AK$47:$AK$56&gt;$AI589))
) / 1000</f>
        <v>0</v>
      </c>
      <c r="BU589" s="253" cm="1">
        <f t="array" ref="BU589">$BC589 * IF($AD589&lt;=2,
SUMPRODUCT(INDEX($AL$23:$AN$61,,$AE589), INDEX($AO$23:$AU$61,,$AD589), 1 / ($AV$23:$AV$61*BS589), N($AK$23:$AK$61&gt;$AI589)),
SUMPRODUCT(INDEX($AL$23:$AN$46,,$AE589), INDEX($AO$23:$AU$46,,$AD589), 1 / ($AW$23:$AW$46*BS589), N($AK$23:$AK$46&gt;$AI589))
) / 1000</f>
        <v>0</v>
      </c>
      <c r="BV589" s="237">
        <f t="shared" si="614"/>
        <v>0</v>
      </c>
      <c r="BW589" s="210"/>
      <c r="BX589" s="237">
        <f t="shared" si="615"/>
        <v>0</v>
      </c>
      <c r="BY589" s="236">
        <v>35</v>
      </c>
      <c r="BZ589" s="237">
        <f t="shared" si="616"/>
        <v>48</v>
      </c>
      <c r="CA589" s="253">
        <f t="shared" si="617"/>
        <v>3.0748170731707316</v>
      </c>
      <c r="CB589" s="253" cm="1">
        <f t="array" ref="CB589">$BC589 * SUMPRODUCT(INDEX($AL$77:$AN$82,,$AE589),INDEX($AO$77:$AU$82,,$AD589), N($AK$77:$AK$82&gt;$AI589)) / CA589 / 1000</f>
        <v>0</v>
      </c>
      <c r="CC589" s="250">
        <f t="shared" si="597"/>
        <v>30</v>
      </c>
      <c r="CD589" s="237">
        <f t="shared" si="618"/>
        <v>43</v>
      </c>
      <c r="CE589" s="253">
        <f t="shared" si="619"/>
        <v>3.5018750000000001</v>
      </c>
      <c r="CF589" s="253" cm="1">
        <f t="array" ref="CF589">$BC589 * IF($AD589&lt;=2,
SUMPRODUCT(INDEX($AL$72:$AN$76,,$AE589), INDEX($AO$72:$AU$76,,$AD589), 1 / ($AV$72:$AV$76*CE589 + (1-$AV$72:$AV$76)*CA589), N($AK$72:$AK$76&gt;$AI589)),
SUMPRODUCT(INDEX($AL$67:$AN$76,,$AE589), INDEX($AO$67:$AU$76,,$AD589), 1 / ($AW$67:$AW$76*CE589 + (1-$AW$67:$AW$76)*CA589), N($AK$67:$AK$76&gt;$AI589))
) / 1000</f>
        <v>0</v>
      </c>
      <c r="CG589" s="250">
        <f t="shared" si="598"/>
        <v>25</v>
      </c>
      <c r="CH589" s="237">
        <f t="shared" si="620"/>
        <v>38</v>
      </c>
      <c r="CI589" s="253">
        <f t="shared" si="621"/>
        <v>4.0666935483870965</v>
      </c>
      <c r="CJ589" s="253" cm="1">
        <f t="array" ref="CJ589">$BC589 * IF($AD589&lt;=2,
SUMPRODUCT(INDEX($AL$67:$AN$71,,$AE589), INDEX($AO$67:$AU$71,,$AD589), 1 / ($AV$67:$AV$71*CI589 + (1-$AV$67:$AV$71)*CE589), N($AK$67:$AK$71&gt;$AI589)),
SUMPRODUCT(INDEX($AL$57:$AN$66,,$AE589), INDEX($AO$57:$AU$66,,$AD589), 1 / ($AW$57:$AW$66*CI589 + (1-$AW$57:$AW$66)*CE589), N($AK$57:$AK$66&gt;$AI589))
) / 1000</f>
        <v>0</v>
      </c>
      <c r="CK589" s="250">
        <f t="shared" si="599"/>
        <v>20</v>
      </c>
      <c r="CL589" s="237">
        <f t="shared" si="622"/>
        <v>33</v>
      </c>
      <c r="CM589" s="253">
        <f t="shared" si="623"/>
        <v>4.8487499999999999</v>
      </c>
      <c r="CN589" s="253" cm="1">
        <f t="array" ref="CN589">$BC589 * IF($AD589&lt;=2,
SUMPRODUCT(INDEX($AL$62:$AN$66,,$AE589), INDEX($AO$62:$AU$66,,$AD589), 1 / ($AV$62:$AV$66*CM589 + (1-$AV$62:$AV$66)*CI589), N($AK$62:$AK$66&gt;$AI589)),
SUMPRODUCT(INDEX($AL$47:$AN$56,,$AE589), INDEX($AO$47:$AU$56,,$AD589), 1 / ($AW$47:$AW$56*CM589 + (1-$AW$47:$AW$56)*CI589), N($AK$47:$AK$56&gt;$AI589))
) / 1000</f>
        <v>0</v>
      </c>
      <c r="CO589" s="253" cm="1">
        <f t="array" ref="CO589">$BC589 * IF($AD589&lt;=2,
SUMPRODUCT(INDEX($AL$23:$AN$61,,$AE589), INDEX($AO$23:$AU$61,,$AD589), 1 / ($AV$23:$AV$61*CM589), N($AK$23:$AK$61&gt;$AI589)),
SUMPRODUCT(INDEX($AL$23:$AN$46,,$AE589), INDEX($AO$23:$AU$46,,$AD589), 1 / ($AW$23:$AW$46*CM589), N($AK$23:$AK$46&gt;$AI589))
) / 1000</f>
        <v>0</v>
      </c>
      <c r="CP589" s="237">
        <f t="shared" si="624"/>
        <v>0</v>
      </c>
      <c r="CQ589" s="210"/>
    </row>
    <row r="590" spans="1:95" s="76" customFormat="1" ht="14.25" customHeight="1" x14ac:dyDescent="0.2">
      <c r="A590" s="238" t="b">
        <f t="shared" si="591"/>
        <v>0</v>
      </c>
      <c r="B590" s="239">
        <v>568</v>
      </c>
      <c r="C590" s="258"/>
      <c r="D590" s="258"/>
      <c r="E590" s="240"/>
      <c r="F590" s="241" t="str">
        <f>IF(ISBLANK(E590), "", VLOOKUP(E590, Z!$A$2:$C$4127, 3, FALSE))</f>
        <v/>
      </c>
      <c r="G590" s="242"/>
      <c r="H590" s="242"/>
      <c r="I590" s="243"/>
      <c r="J590" s="244"/>
      <c r="K590" s="259"/>
      <c r="L590" s="260"/>
      <c r="M590" s="247" t="str" cm="1">
        <f t="array" ref="M590">IF($K590&gt;0, INDEX(Clean,1+AG590,$C$1), "")</f>
        <v/>
      </c>
      <c r="N590" s="245"/>
      <c r="O590" s="245"/>
      <c r="P590" s="246"/>
      <c r="Q590" s="248">
        <f t="shared" si="601"/>
        <v>0</v>
      </c>
      <c r="R590" s="247" t="str" cm="1">
        <f t="array" ref="R590">IF($K590&gt;0, INDEX(Clean,1+AH590,$C$1), "")</f>
        <v/>
      </c>
      <c r="S590" s="245"/>
      <c r="T590" s="245"/>
      <c r="U590" s="246"/>
      <c r="V590" s="248">
        <f t="shared" si="602"/>
        <v>0</v>
      </c>
      <c r="W590" s="261"/>
      <c r="X590" s="258"/>
      <c r="Y590" s="240"/>
      <c r="Z590" s="241" t="str">
        <f>IF(ISBLANK(Y590), "", VLOOKUP(Y590, Z!$A$2:$C$4127, 3, FALSE))</f>
        <v/>
      </c>
      <c r="AA590" s="262"/>
      <c r="AB590" s="249">
        <f t="shared" si="600"/>
        <v>0</v>
      </c>
      <c r="AC590" s="210"/>
      <c r="AD590" s="236">
        <f t="shared" si="625"/>
        <v>1</v>
      </c>
      <c r="AE590" s="236">
        <f t="shared" si="626"/>
        <v>1</v>
      </c>
      <c r="AF590" s="236">
        <f t="shared" si="627"/>
        <v>0</v>
      </c>
      <c r="AG590" s="236">
        <v>1</v>
      </c>
      <c r="AH590" s="236">
        <v>0</v>
      </c>
      <c r="AI590" s="236">
        <f t="shared" si="603"/>
        <v>-100</v>
      </c>
      <c r="AJ590" s="210"/>
      <c r="AK590" s="254"/>
      <c r="AL590" s="254"/>
      <c r="AM590" s="255"/>
      <c r="AN590" s="255"/>
      <c r="AO590" s="255"/>
      <c r="AP590" s="255"/>
      <c r="AQ590" s="255"/>
      <c r="AR590" s="255"/>
      <c r="AS590" s="255"/>
      <c r="AT590" s="255"/>
      <c r="AU590" s="255"/>
      <c r="AV590" s="255"/>
      <c r="AW590" s="255"/>
      <c r="AX590" s="210"/>
      <c r="AY590" s="236" cm="1">
        <f t="array" ref="AY590">INDEX(Use, $AD590, 4)</f>
        <v>7</v>
      </c>
      <c r="AZ590" s="236">
        <f t="shared" si="604"/>
        <v>32</v>
      </c>
      <c r="BA590" s="236">
        <f t="shared" si="592"/>
        <v>13</v>
      </c>
      <c r="BB590" s="236">
        <f t="shared" si="593"/>
        <v>0</v>
      </c>
      <c r="BC590" s="252" cm="1">
        <f t="array" ref="BC590">K590/IF($L590&gt;0, INDEX($AO$23:$AU$77, $L590+20, $AD590), 1)</f>
        <v>0</v>
      </c>
      <c r="BD590" s="237">
        <f t="shared" si="605"/>
        <v>0</v>
      </c>
      <c r="BE590" s="236">
        <v>35</v>
      </c>
      <c r="BF590" s="237">
        <f t="shared" si="606"/>
        <v>52.55</v>
      </c>
      <c r="BG590" s="253">
        <f t="shared" si="607"/>
        <v>2.7676728869374316</v>
      </c>
      <c r="BH590" s="253" cm="1">
        <f t="array" ref="BH590">$BC590 * SUMPRODUCT(INDEX($AL$77:$AN$82,,$AE590),INDEX($AO$77:$AU$82,,$AD590), N($AK$77:$AK$82&gt;$AI590)) / BG590 / 1000</f>
        <v>0</v>
      </c>
      <c r="BI590" s="250">
        <f t="shared" si="594"/>
        <v>30</v>
      </c>
      <c r="BJ590" s="237">
        <f t="shared" si="608"/>
        <v>46.033333333333331</v>
      </c>
      <c r="BK590" s="253">
        <f t="shared" si="609"/>
        <v>3.2297395388556791</v>
      </c>
      <c r="BL590" s="253" cm="1">
        <f t="array" ref="BL590">$BC590 * IF($AD590&lt;=2,
SUMPRODUCT(INDEX($AL$72:$AN$76,,$AE590), INDEX($AO$72:$AU$76,,$AD590), 1 / ($AV$72:$AV$76*BK590 + (1-$AV$72:$AV$76)*BG590), N($AK$72:$AK$76&gt;$AI590)),
SUMPRODUCT(INDEX($AL$67:$AN$76,,$AE590), INDEX($AO$67:$AU$76,,$AD590), 1 / ($AW$67:$AW$76*BK590 + (1-$AW$67:$AW$76)*BG590), N($AK$67:$AK$76&gt;$AI590))
) / 1000</f>
        <v>0</v>
      </c>
      <c r="BM590" s="250">
        <f t="shared" si="595"/>
        <v>25</v>
      </c>
      <c r="BN590" s="237">
        <f t="shared" si="610"/>
        <v>39.516666666666666</v>
      </c>
      <c r="BO590" s="253">
        <f t="shared" si="611"/>
        <v>3.877011788826243</v>
      </c>
      <c r="BP590" s="253" cm="1">
        <f t="array" ref="BP590">$BC590 * IF($AD590&lt;=2,
SUMPRODUCT(INDEX($AL$67:$AN$71,,$AE590), INDEX($AO$67:$AU$71,,$AD590), 1 / ($AV$67:$AV$71*BO590 + (1-$AV$67:$AV$71)*BK590), N($AK$67:$AK$71&gt;$AI590)),
SUMPRODUCT(INDEX($AL$57:$AN$66,,$AE590), INDEX($AO$57:$AU$66,,$AD590), 1 / ($AW$57:$AW$66*BO590 + (1-$AW$57:$AW$66)*BK590), N($AK$57:$AK$66&gt;$AI590))
) / 1000</f>
        <v>0</v>
      </c>
      <c r="BQ590" s="250">
        <f t="shared" si="596"/>
        <v>20</v>
      </c>
      <c r="BR590" s="237">
        <f t="shared" si="612"/>
        <v>33</v>
      </c>
      <c r="BS590" s="253">
        <f t="shared" si="613"/>
        <v>4.8487499999999999</v>
      </c>
      <c r="BT590" s="253" cm="1">
        <f t="array" ref="BT590">$BC590 * IF($AD590&lt;=2,
SUMPRODUCT(INDEX($AL$62:$AN$66,,$AE590), INDEX($AO$62:$AU$66,,$AD590), 1 / ($AV$62:$AV$66*BS590 + (1-$AV$62:$AV$66)*BO590), N($AK$62:$AK$66&gt;$AI590)),
SUMPRODUCT(INDEX($AL$47:$AN$56,,$AE590), INDEX($AO$47:$AU$56,,$AD590), 1 / ($AW$47:$AW$56*BS590 + (1-$AW$47:$AW$56)*BO590), N($AK$47:$AK$56&gt;$AI590))
) / 1000</f>
        <v>0</v>
      </c>
      <c r="BU590" s="253" cm="1">
        <f t="array" ref="BU590">$BC590 * IF($AD590&lt;=2,
SUMPRODUCT(INDEX($AL$23:$AN$61,,$AE590), INDEX($AO$23:$AU$61,,$AD590), 1 / ($AV$23:$AV$61*BS590), N($AK$23:$AK$61&gt;$AI590)),
SUMPRODUCT(INDEX($AL$23:$AN$46,,$AE590), INDEX($AO$23:$AU$46,,$AD590), 1 / ($AW$23:$AW$46*BS590), N($AK$23:$AK$46&gt;$AI590))
) / 1000</f>
        <v>0</v>
      </c>
      <c r="BV590" s="237">
        <f t="shared" si="614"/>
        <v>0</v>
      </c>
      <c r="BW590" s="210"/>
      <c r="BX590" s="237">
        <f t="shared" si="615"/>
        <v>0</v>
      </c>
      <c r="BY590" s="236">
        <v>35</v>
      </c>
      <c r="BZ590" s="237">
        <f t="shared" si="616"/>
        <v>48</v>
      </c>
      <c r="CA590" s="253">
        <f t="shared" si="617"/>
        <v>3.0748170731707316</v>
      </c>
      <c r="CB590" s="253" cm="1">
        <f t="array" ref="CB590">$BC590 * SUMPRODUCT(INDEX($AL$77:$AN$82,,$AE590),INDEX($AO$77:$AU$82,,$AD590), N($AK$77:$AK$82&gt;$AI590)) / CA590 / 1000</f>
        <v>0</v>
      </c>
      <c r="CC590" s="250">
        <f t="shared" si="597"/>
        <v>30</v>
      </c>
      <c r="CD590" s="237">
        <f t="shared" si="618"/>
        <v>43</v>
      </c>
      <c r="CE590" s="253">
        <f t="shared" si="619"/>
        <v>3.5018750000000001</v>
      </c>
      <c r="CF590" s="253" cm="1">
        <f t="array" ref="CF590">$BC590 * IF($AD590&lt;=2,
SUMPRODUCT(INDEX($AL$72:$AN$76,,$AE590), INDEX($AO$72:$AU$76,,$AD590), 1 / ($AV$72:$AV$76*CE590 + (1-$AV$72:$AV$76)*CA590), N($AK$72:$AK$76&gt;$AI590)),
SUMPRODUCT(INDEX($AL$67:$AN$76,,$AE590), INDEX($AO$67:$AU$76,,$AD590), 1 / ($AW$67:$AW$76*CE590 + (1-$AW$67:$AW$76)*CA590), N($AK$67:$AK$76&gt;$AI590))
) / 1000</f>
        <v>0</v>
      </c>
      <c r="CG590" s="250">
        <f t="shared" si="598"/>
        <v>25</v>
      </c>
      <c r="CH590" s="237">
        <f t="shared" si="620"/>
        <v>38</v>
      </c>
      <c r="CI590" s="253">
        <f t="shared" si="621"/>
        <v>4.0666935483870965</v>
      </c>
      <c r="CJ590" s="253" cm="1">
        <f t="array" ref="CJ590">$BC590 * IF($AD590&lt;=2,
SUMPRODUCT(INDEX($AL$67:$AN$71,,$AE590), INDEX($AO$67:$AU$71,,$AD590), 1 / ($AV$67:$AV$71*CI590 + (1-$AV$67:$AV$71)*CE590), N($AK$67:$AK$71&gt;$AI590)),
SUMPRODUCT(INDEX($AL$57:$AN$66,,$AE590), INDEX($AO$57:$AU$66,,$AD590), 1 / ($AW$57:$AW$66*CI590 + (1-$AW$57:$AW$66)*CE590), N($AK$57:$AK$66&gt;$AI590))
) / 1000</f>
        <v>0</v>
      </c>
      <c r="CK590" s="250">
        <f t="shared" si="599"/>
        <v>20</v>
      </c>
      <c r="CL590" s="237">
        <f t="shared" si="622"/>
        <v>33</v>
      </c>
      <c r="CM590" s="253">
        <f t="shared" si="623"/>
        <v>4.8487499999999999</v>
      </c>
      <c r="CN590" s="253" cm="1">
        <f t="array" ref="CN590">$BC590 * IF($AD590&lt;=2,
SUMPRODUCT(INDEX($AL$62:$AN$66,,$AE590), INDEX($AO$62:$AU$66,,$AD590), 1 / ($AV$62:$AV$66*CM590 + (1-$AV$62:$AV$66)*CI590), N($AK$62:$AK$66&gt;$AI590)),
SUMPRODUCT(INDEX($AL$47:$AN$56,,$AE590), INDEX($AO$47:$AU$56,,$AD590), 1 / ($AW$47:$AW$56*CM590 + (1-$AW$47:$AW$56)*CI590), N($AK$47:$AK$56&gt;$AI590))
) / 1000</f>
        <v>0</v>
      </c>
      <c r="CO590" s="253" cm="1">
        <f t="array" ref="CO590">$BC590 * IF($AD590&lt;=2,
SUMPRODUCT(INDEX($AL$23:$AN$61,,$AE590), INDEX($AO$23:$AU$61,,$AD590), 1 / ($AV$23:$AV$61*CM590), N($AK$23:$AK$61&gt;$AI590)),
SUMPRODUCT(INDEX($AL$23:$AN$46,,$AE590), INDEX($AO$23:$AU$46,,$AD590), 1 / ($AW$23:$AW$46*CM590), N($AK$23:$AK$46&gt;$AI590))
) / 1000</f>
        <v>0</v>
      </c>
      <c r="CP590" s="237">
        <f t="shared" si="624"/>
        <v>0</v>
      </c>
      <c r="CQ590" s="210"/>
    </row>
    <row r="591" spans="1:95" s="76" customFormat="1" ht="14.25" customHeight="1" x14ac:dyDescent="0.2">
      <c r="A591" s="238" t="b">
        <f t="shared" si="591"/>
        <v>0</v>
      </c>
      <c r="B591" s="239">
        <v>569</v>
      </c>
      <c r="C591" s="258"/>
      <c r="D591" s="258"/>
      <c r="E591" s="240"/>
      <c r="F591" s="241" t="str">
        <f>IF(ISBLANK(E591), "", VLOOKUP(E591, Z!$A$2:$C$4127, 3, FALSE))</f>
        <v/>
      </c>
      <c r="G591" s="242"/>
      <c r="H591" s="242"/>
      <c r="I591" s="243"/>
      <c r="J591" s="244"/>
      <c r="K591" s="259"/>
      <c r="L591" s="260"/>
      <c r="M591" s="247" t="str" cm="1">
        <f t="array" ref="M591">IF($K591&gt;0, INDEX(Clean,1+AG591,$C$1), "")</f>
        <v/>
      </c>
      <c r="N591" s="245"/>
      <c r="O591" s="245"/>
      <c r="P591" s="246"/>
      <c r="Q591" s="248">
        <f t="shared" si="601"/>
        <v>0</v>
      </c>
      <c r="R591" s="247" t="str" cm="1">
        <f t="array" ref="R591">IF($K591&gt;0, INDEX(Clean,1+AH591,$C$1), "")</f>
        <v/>
      </c>
      <c r="S591" s="245"/>
      <c r="T591" s="245"/>
      <c r="U591" s="246"/>
      <c r="V591" s="248">
        <f t="shared" si="602"/>
        <v>0</v>
      </c>
      <c r="W591" s="261"/>
      <c r="X591" s="258"/>
      <c r="Y591" s="240"/>
      <c r="Z591" s="241" t="str">
        <f>IF(ISBLANK(Y591), "", VLOOKUP(Y591, Z!$A$2:$C$4127, 3, FALSE))</f>
        <v/>
      </c>
      <c r="AA591" s="262"/>
      <c r="AB591" s="249">
        <f t="shared" si="600"/>
        <v>0</v>
      </c>
      <c r="AC591" s="210"/>
      <c r="AD591" s="236">
        <f t="shared" si="625"/>
        <v>1</v>
      </c>
      <c r="AE591" s="236">
        <f t="shared" si="626"/>
        <v>1</v>
      </c>
      <c r="AF591" s="236">
        <f t="shared" si="627"/>
        <v>0</v>
      </c>
      <c r="AG591" s="236">
        <v>1</v>
      </c>
      <c r="AH591" s="236">
        <v>0</v>
      </c>
      <c r="AI591" s="236">
        <f t="shared" si="603"/>
        <v>-100</v>
      </c>
      <c r="AJ591" s="210"/>
      <c r="AK591" s="254"/>
      <c r="AL591" s="254"/>
      <c r="AM591" s="255"/>
      <c r="AN591" s="255"/>
      <c r="AO591" s="255"/>
      <c r="AP591" s="255"/>
      <c r="AQ591" s="255"/>
      <c r="AR591" s="255"/>
      <c r="AS591" s="255"/>
      <c r="AT591" s="255"/>
      <c r="AU591" s="255"/>
      <c r="AV591" s="255"/>
      <c r="AW591" s="255"/>
      <c r="AX591" s="210"/>
      <c r="AY591" s="236" cm="1">
        <f t="array" ref="AY591">INDEX(Use, $AD591, 4)</f>
        <v>7</v>
      </c>
      <c r="AZ591" s="236">
        <f t="shared" si="604"/>
        <v>32</v>
      </c>
      <c r="BA591" s="236">
        <f t="shared" si="592"/>
        <v>13</v>
      </c>
      <c r="BB591" s="236">
        <f t="shared" si="593"/>
        <v>0</v>
      </c>
      <c r="BC591" s="252" cm="1">
        <f t="array" ref="BC591">K591/IF($L591&gt;0, INDEX($AO$23:$AU$77, $L591+20, $AD591), 1)</f>
        <v>0</v>
      </c>
      <c r="BD591" s="237">
        <f t="shared" si="605"/>
        <v>0</v>
      </c>
      <c r="BE591" s="236">
        <v>35</v>
      </c>
      <c r="BF591" s="237">
        <f t="shared" si="606"/>
        <v>52.55</v>
      </c>
      <c r="BG591" s="253">
        <f t="shared" si="607"/>
        <v>2.7676728869374316</v>
      </c>
      <c r="BH591" s="253" cm="1">
        <f t="array" ref="BH591">$BC591 * SUMPRODUCT(INDEX($AL$77:$AN$82,,$AE591),INDEX($AO$77:$AU$82,,$AD591), N($AK$77:$AK$82&gt;$AI591)) / BG591 / 1000</f>
        <v>0</v>
      </c>
      <c r="BI591" s="250">
        <f t="shared" si="594"/>
        <v>30</v>
      </c>
      <c r="BJ591" s="237">
        <f t="shared" si="608"/>
        <v>46.033333333333331</v>
      </c>
      <c r="BK591" s="253">
        <f t="shared" si="609"/>
        <v>3.2297395388556791</v>
      </c>
      <c r="BL591" s="253" cm="1">
        <f t="array" ref="BL591">$BC591 * IF($AD591&lt;=2,
SUMPRODUCT(INDEX($AL$72:$AN$76,,$AE591), INDEX($AO$72:$AU$76,,$AD591), 1 / ($AV$72:$AV$76*BK591 + (1-$AV$72:$AV$76)*BG591), N($AK$72:$AK$76&gt;$AI591)),
SUMPRODUCT(INDEX($AL$67:$AN$76,,$AE591), INDEX($AO$67:$AU$76,,$AD591), 1 / ($AW$67:$AW$76*BK591 + (1-$AW$67:$AW$76)*BG591), N($AK$67:$AK$76&gt;$AI591))
) / 1000</f>
        <v>0</v>
      </c>
      <c r="BM591" s="250">
        <f t="shared" si="595"/>
        <v>25</v>
      </c>
      <c r="BN591" s="237">
        <f t="shared" si="610"/>
        <v>39.516666666666666</v>
      </c>
      <c r="BO591" s="253">
        <f t="shared" si="611"/>
        <v>3.877011788826243</v>
      </c>
      <c r="BP591" s="253" cm="1">
        <f t="array" ref="BP591">$BC591 * IF($AD591&lt;=2,
SUMPRODUCT(INDEX($AL$67:$AN$71,,$AE591), INDEX($AO$67:$AU$71,,$AD591), 1 / ($AV$67:$AV$71*BO591 + (1-$AV$67:$AV$71)*BK591), N($AK$67:$AK$71&gt;$AI591)),
SUMPRODUCT(INDEX($AL$57:$AN$66,,$AE591), INDEX($AO$57:$AU$66,,$AD591), 1 / ($AW$57:$AW$66*BO591 + (1-$AW$57:$AW$66)*BK591), N($AK$57:$AK$66&gt;$AI591))
) / 1000</f>
        <v>0</v>
      </c>
      <c r="BQ591" s="250">
        <f t="shared" si="596"/>
        <v>20</v>
      </c>
      <c r="BR591" s="237">
        <f t="shared" si="612"/>
        <v>33</v>
      </c>
      <c r="BS591" s="253">
        <f t="shared" si="613"/>
        <v>4.8487499999999999</v>
      </c>
      <c r="BT591" s="253" cm="1">
        <f t="array" ref="BT591">$BC591 * IF($AD591&lt;=2,
SUMPRODUCT(INDEX($AL$62:$AN$66,,$AE591), INDEX($AO$62:$AU$66,,$AD591), 1 / ($AV$62:$AV$66*BS591 + (1-$AV$62:$AV$66)*BO591), N($AK$62:$AK$66&gt;$AI591)),
SUMPRODUCT(INDEX($AL$47:$AN$56,,$AE591), INDEX($AO$47:$AU$56,,$AD591), 1 / ($AW$47:$AW$56*BS591 + (1-$AW$47:$AW$56)*BO591), N($AK$47:$AK$56&gt;$AI591))
) / 1000</f>
        <v>0</v>
      </c>
      <c r="BU591" s="253" cm="1">
        <f t="array" ref="BU591">$BC591 * IF($AD591&lt;=2,
SUMPRODUCT(INDEX($AL$23:$AN$61,,$AE591), INDEX($AO$23:$AU$61,,$AD591), 1 / ($AV$23:$AV$61*BS591), N($AK$23:$AK$61&gt;$AI591)),
SUMPRODUCT(INDEX($AL$23:$AN$46,,$AE591), INDEX($AO$23:$AU$46,,$AD591), 1 / ($AW$23:$AW$46*BS591), N($AK$23:$AK$46&gt;$AI591))
) / 1000</f>
        <v>0</v>
      </c>
      <c r="BV591" s="237">
        <f t="shared" si="614"/>
        <v>0</v>
      </c>
      <c r="BW591" s="210"/>
      <c r="BX591" s="237">
        <f t="shared" si="615"/>
        <v>0</v>
      </c>
      <c r="BY591" s="236">
        <v>35</v>
      </c>
      <c r="BZ591" s="237">
        <f t="shared" si="616"/>
        <v>48</v>
      </c>
      <c r="CA591" s="253">
        <f t="shared" si="617"/>
        <v>3.0748170731707316</v>
      </c>
      <c r="CB591" s="253" cm="1">
        <f t="array" ref="CB591">$BC591 * SUMPRODUCT(INDEX($AL$77:$AN$82,,$AE591),INDEX($AO$77:$AU$82,,$AD591), N($AK$77:$AK$82&gt;$AI591)) / CA591 / 1000</f>
        <v>0</v>
      </c>
      <c r="CC591" s="250">
        <f t="shared" si="597"/>
        <v>30</v>
      </c>
      <c r="CD591" s="237">
        <f t="shared" si="618"/>
        <v>43</v>
      </c>
      <c r="CE591" s="253">
        <f t="shared" si="619"/>
        <v>3.5018750000000001</v>
      </c>
      <c r="CF591" s="253" cm="1">
        <f t="array" ref="CF591">$BC591 * IF($AD591&lt;=2,
SUMPRODUCT(INDEX($AL$72:$AN$76,,$AE591), INDEX($AO$72:$AU$76,,$AD591), 1 / ($AV$72:$AV$76*CE591 + (1-$AV$72:$AV$76)*CA591), N($AK$72:$AK$76&gt;$AI591)),
SUMPRODUCT(INDEX($AL$67:$AN$76,,$AE591), INDEX($AO$67:$AU$76,,$AD591), 1 / ($AW$67:$AW$76*CE591 + (1-$AW$67:$AW$76)*CA591), N($AK$67:$AK$76&gt;$AI591))
) / 1000</f>
        <v>0</v>
      </c>
      <c r="CG591" s="250">
        <f t="shared" si="598"/>
        <v>25</v>
      </c>
      <c r="CH591" s="237">
        <f t="shared" si="620"/>
        <v>38</v>
      </c>
      <c r="CI591" s="253">
        <f t="shared" si="621"/>
        <v>4.0666935483870965</v>
      </c>
      <c r="CJ591" s="253" cm="1">
        <f t="array" ref="CJ591">$BC591 * IF($AD591&lt;=2,
SUMPRODUCT(INDEX($AL$67:$AN$71,,$AE591), INDEX($AO$67:$AU$71,,$AD591), 1 / ($AV$67:$AV$71*CI591 + (1-$AV$67:$AV$71)*CE591), N($AK$67:$AK$71&gt;$AI591)),
SUMPRODUCT(INDEX($AL$57:$AN$66,,$AE591), INDEX($AO$57:$AU$66,,$AD591), 1 / ($AW$57:$AW$66*CI591 + (1-$AW$57:$AW$66)*CE591), N($AK$57:$AK$66&gt;$AI591))
) / 1000</f>
        <v>0</v>
      </c>
      <c r="CK591" s="250">
        <f t="shared" si="599"/>
        <v>20</v>
      </c>
      <c r="CL591" s="237">
        <f t="shared" si="622"/>
        <v>33</v>
      </c>
      <c r="CM591" s="253">
        <f t="shared" si="623"/>
        <v>4.8487499999999999</v>
      </c>
      <c r="CN591" s="253" cm="1">
        <f t="array" ref="CN591">$BC591 * IF($AD591&lt;=2,
SUMPRODUCT(INDEX($AL$62:$AN$66,,$AE591), INDEX($AO$62:$AU$66,,$AD591), 1 / ($AV$62:$AV$66*CM591 + (1-$AV$62:$AV$66)*CI591), N($AK$62:$AK$66&gt;$AI591)),
SUMPRODUCT(INDEX($AL$47:$AN$56,,$AE591), INDEX($AO$47:$AU$56,,$AD591), 1 / ($AW$47:$AW$56*CM591 + (1-$AW$47:$AW$56)*CI591), N($AK$47:$AK$56&gt;$AI591))
) / 1000</f>
        <v>0</v>
      </c>
      <c r="CO591" s="253" cm="1">
        <f t="array" ref="CO591">$BC591 * IF($AD591&lt;=2,
SUMPRODUCT(INDEX($AL$23:$AN$61,,$AE591), INDEX($AO$23:$AU$61,,$AD591), 1 / ($AV$23:$AV$61*CM591), N($AK$23:$AK$61&gt;$AI591)),
SUMPRODUCT(INDEX($AL$23:$AN$46,,$AE591), INDEX($AO$23:$AU$46,,$AD591), 1 / ($AW$23:$AW$46*CM591), N($AK$23:$AK$46&gt;$AI591))
) / 1000</f>
        <v>0</v>
      </c>
      <c r="CP591" s="237">
        <f t="shared" si="624"/>
        <v>0</v>
      </c>
      <c r="CQ591" s="210"/>
    </row>
    <row r="592" spans="1:95" s="76" customFormat="1" ht="14.25" customHeight="1" x14ac:dyDescent="0.2">
      <c r="A592" s="238" t="b">
        <f t="shared" si="591"/>
        <v>0</v>
      </c>
      <c r="B592" s="239">
        <v>570</v>
      </c>
      <c r="C592" s="258"/>
      <c r="D592" s="258"/>
      <c r="E592" s="240"/>
      <c r="F592" s="241" t="str">
        <f>IF(ISBLANK(E592), "", VLOOKUP(E592, Z!$A$2:$C$4127, 3, FALSE))</f>
        <v/>
      </c>
      <c r="G592" s="242"/>
      <c r="H592" s="242"/>
      <c r="I592" s="243"/>
      <c r="J592" s="244"/>
      <c r="K592" s="259"/>
      <c r="L592" s="260"/>
      <c r="M592" s="247" t="str" cm="1">
        <f t="array" ref="M592">IF($K592&gt;0, INDEX(Clean,1+AG592,$C$1), "")</f>
        <v/>
      </c>
      <c r="N592" s="245"/>
      <c r="O592" s="245"/>
      <c r="P592" s="246"/>
      <c r="Q592" s="248">
        <f t="shared" si="601"/>
        <v>0</v>
      </c>
      <c r="R592" s="247" t="str" cm="1">
        <f t="array" ref="R592">IF($K592&gt;0, INDEX(Clean,1+AH592,$C$1), "")</f>
        <v/>
      </c>
      <c r="S592" s="245"/>
      <c r="T592" s="245"/>
      <c r="U592" s="246"/>
      <c r="V592" s="248">
        <f t="shared" si="602"/>
        <v>0</v>
      </c>
      <c r="W592" s="261"/>
      <c r="X592" s="258"/>
      <c r="Y592" s="240"/>
      <c r="Z592" s="241" t="str">
        <f>IF(ISBLANK(Y592), "", VLOOKUP(Y592, Z!$A$2:$C$4127, 3, FALSE))</f>
        <v/>
      </c>
      <c r="AA592" s="262"/>
      <c r="AB592" s="249">
        <f t="shared" si="600"/>
        <v>0</v>
      </c>
      <c r="AC592" s="210"/>
      <c r="AD592" s="236">
        <f t="shared" si="625"/>
        <v>1</v>
      </c>
      <c r="AE592" s="236">
        <f t="shared" si="626"/>
        <v>1</v>
      </c>
      <c r="AF592" s="236">
        <f t="shared" si="627"/>
        <v>0</v>
      </c>
      <c r="AG592" s="236">
        <v>1</v>
      </c>
      <c r="AH592" s="236">
        <v>0</v>
      </c>
      <c r="AI592" s="236">
        <f t="shared" si="603"/>
        <v>-100</v>
      </c>
      <c r="AJ592" s="210"/>
      <c r="AK592" s="254"/>
      <c r="AL592" s="254"/>
      <c r="AM592" s="255"/>
      <c r="AN592" s="255"/>
      <c r="AO592" s="255"/>
      <c r="AP592" s="255"/>
      <c r="AQ592" s="255"/>
      <c r="AR592" s="255"/>
      <c r="AS592" s="255"/>
      <c r="AT592" s="255"/>
      <c r="AU592" s="255"/>
      <c r="AV592" s="255"/>
      <c r="AW592" s="255"/>
      <c r="AX592" s="210"/>
      <c r="AY592" s="236" cm="1">
        <f t="array" ref="AY592">INDEX(Use, $AD592, 4)</f>
        <v>7</v>
      </c>
      <c r="AZ592" s="236">
        <f t="shared" si="604"/>
        <v>32</v>
      </c>
      <c r="BA592" s="236">
        <f t="shared" si="592"/>
        <v>13</v>
      </c>
      <c r="BB592" s="236">
        <f t="shared" si="593"/>
        <v>0</v>
      </c>
      <c r="BC592" s="252" cm="1">
        <f t="array" ref="BC592">K592/IF($L592&gt;0, INDEX($AO$23:$AU$77, $L592+20, $AD592), 1)</f>
        <v>0</v>
      </c>
      <c r="BD592" s="237">
        <f t="shared" si="605"/>
        <v>0</v>
      </c>
      <c r="BE592" s="236">
        <v>35</v>
      </c>
      <c r="BF592" s="237">
        <f t="shared" si="606"/>
        <v>52.55</v>
      </c>
      <c r="BG592" s="253">
        <f t="shared" si="607"/>
        <v>2.7676728869374316</v>
      </c>
      <c r="BH592" s="253" cm="1">
        <f t="array" ref="BH592">$BC592 * SUMPRODUCT(INDEX($AL$77:$AN$82,,$AE592),INDEX($AO$77:$AU$82,,$AD592), N($AK$77:$AK$82&gt;$AI592)) / BG592 / 1000</f>
        <v>0</v>
      </c>
      <c r="BI592" s="250">
        <f t="shared" si="594"/>
        <v>30</v>
      </c>
      <c r="BJ592" s="237">
        <f t="shared" si="608"/>
        <v>46.033333333333331</v>
      </c>
      <c r="BK592" s="253">
        <f t="shared" si="609"/>
        <v>3.2297395388556791</v>
      </c>
      <c r="BL592" s="253" cm="1">
        <f t="array" ref="BL592">$BC592 * IF($AD592&lt;=2,
SUMPRODUCT(INDEX($AL$72:$AN$76,,$AE592), INDEX($AO$72:$AU$76,,$AD592), 1 / ($AV$72:$AV$76*BK592 + (1-$AV$72:$AV$76)*BG592), N($AK$72:$AK$76&gt;$AI592)),
SUMPRODUCT(INDEX($AL$67:$AN$76,,$AE592), INDEX($AO$67:$AU$76,,$AD592), 1 / ($AW$67:$AW$76*BK592 + (1-$AW$67:$AW$76)*BG592), N($AK$67:$AK$76&gt;$AI592))
) / 1000</f>
        <v>0</v>
      </c>
      <c r="BM592" s="250">
        <f t="shared" si="595"/>
        <v>25</v>
      </c>
      <c r="BN592" s="237">
        <f t="shared" si="610"/>
        <v>39.516666666666666</v>
      </c>
      <c r="BO592" s="253">
        <f t="shared" si="611"/>
        <v>3.877011788826243</v>
      </c>
      <c r="BP592" s="253" cm="1">
        <f t="array" ref="BP592">$BC592 * IF($AD592&lt;=2,
SUMPRODUCT(INDEX($AL$67:$AN$71,,$AE592), INDEX($AO$67:$AU$71,,$AD592), 1 / ($AV$67:$AV$71*BO592 + (1-$AV$67:$AV$71)*BK592), N($AK$67:$AK$71&gt;$AI592)),
SUMPRODUCT(INDEX($AL$57:$AN$66,,$AE592), INDEX($AO$57:$AU$66,,$AD592), 1 / ($AW$57:$AW$66*BO592 + (1-$AW$57:$AW$66)*BK592), N($AK$57:$AK$66&gt;$AI592))
) / 1000</f>
        <v>0</v>
      </c>
      <c r="BQ592" s="250">
        <f t="shared" si="596"/>
        <v>20</v>
      </c>
      <c r="BR592" s="237">
        <f t="shared" si="612"/>
        <v>33</v>
      </c>
      <c r="BS592" s="253">
        <f t="shared" si="613"/>
        <v>4.8487499999999999</v>
      </c>
      <c r="BT592" s="253" cm="1">
        <f t="array" ref="BT592">$BC592 * IF($AD592&lt;=2,
SUMPRODUCT(INDEX($AL$62:$AN$66,,$AE592), INDEX($AO$62:$AU$66,,$AD592), 1 / ($AV$62:$AV$66*BS592 + (1-$AV$62:$AV$66)*BO592), N($AK$62:$AK$66&gt;$AI592)),
SUMPRODUCT(INDEX($AL$47:$AN$56,,$AE592), INDEX($AO$47:$AU$56,,$AD592), 1 / ($AW$47:$AW$56*BS592 + (1-$AW$47:$AW$56)*BO592), N($AK$47:$AK$56&gt;$AI592))
) / 1000</f>
        <v>0</v>
      </c>
      <c r="BU592" s="253" cm="1">
        <f t="array" ref="BU592">$BC592 * IF($AD592&lt;=2,
SUMPRODUCT(INDEX($AL$23:$AN$61,,$AE592), INDEX($AO$23:$AU$61,,$AD592), 1 / ($AV$23:$AV$61*BS592), N($AK$23:$AK$61&gt;$AI592)),
SUMPRODUCT(INDEX($AL$23:$AN$46,,$AE592), INDEX($AO$23:$AU$46,,$AD592), 1 / ($AW$23:$AW$46*BS592), N($AK$23:$AK$46&gt;$AI592))
) / 1000</f>
        <v>0</v>
      </c>
      <c r="BV592" s="237">
        <f t="shared" si="614"/>
        <v>0</v>
      </c>
      <c r="BW592" s="210"/>
      <c r="BX592" s="237">
        <f t="shared" si="615"/>
        <v>0</v>
      </c>
      <c r="BY592" s="236">
        <v>35</v>
      </c>
      <c r="BZ592" s="237">
        <f t="shared" si="616"/>
        <v>48</v>
      </c>
      <c r="CA592" s="253">
        <f t="shared" si="617"/>
        <v>3.0748170731707316</v>
      </c>
      <c r="CB592" s="253" cm="1">
        <f t="array" ref="CB592">$BC592 * SUMPRODUCT(INDEX($AL$77:$AN$82,,$AE592),INDEX($AO$77:$AU$82,,$AD592), N($AK$77:$AK$82&gt;$AI592)) / CA592 / 1000</f>
        <v>0</v>
      </c>
      <c r="CC592" s="250">
        <f t="shared" si="597"/>
        <v>30</v>
      </c>
      <c r="CD592" s="237">
        <f t="shared" si="618"/>
        <v>43</v>
      </c>
      <c r="CE592" s="253">
        <f t="shared" si="619"/>
        <v>3.5018750000000001</v>
      </c>
      <c r="CF592" s="253" cm="1">
        <f t="array" ref="CF592">$BC592 * IF($AD592&lt;=2,
SUMPRODUCT(INDEX($AL$72:$AN$76,,$AE592), INDEX($AO$72:$AU$76,,$AD592), 1 / ($AV$72:$AV$76*CE592 + (1-$AV$72:$AV$76)*CA592), N($AK$72:$AK$76&gt;$AI592)),
SUMPRODUCT(INDEX($AL$67:$AN$76,,$AE592), INDEX($AO$67:$AU$76,,$AD592), 1 / ($AW$67:$AW$76*CE592 + (1-$AW$67:$AW$76)*CA592), N($AK$67:$AK$76&gt;$AI592))
) / 1000</f>
        <v>0</v>
      </c>
      <c r="CG592" s="250">
        <f t="shared" si="598"/>
        <v>25</v>
      </c>
      <c r="CH592" s="237">
        <f t="shared" si="620"/>
        <v>38</v>
      </c>
      <c r="CI592" s="253">
        <f t="shared" si="621"/>
        <v>4.0666935483870965</v>
      </c>
      <c r="CJ592" s="253" cm="1">
        <f t="array" ref="CJ592">$BC592 * IF($AD592&lt;=2,
SUMPRODUCT(INDEX($AL$67:$AN$71,,$AE592), INDEX($AO$67:$AU$71,,$AD592), 1 / ($AV$67:$AV$71*CI592 + (1-$AV$67:$AV$71)*CE592), N($AK$67:$AK$71&gt;$AI592)),
SUMPRODUCT(INDEX($AL$57:$AN$66,,$AE592), INDEX($AO$57:$AU$66,,$AD592), 1 / ($AW$57:$AW$66*CI592 + (1-$AW$57:$AW$66)*CE592), N($AK$57:$AK$66&gt;$AI592))
) / 1000</f>
        <v>0</v>
      </c>
      <c r="CK592" s="250">
        <f t="shared" si="599"/>
        <v>20</v>
      </c>
      <c r="CL592" s="237">
        <f t="shared" si="622"/>
        <v>33</v>
      </c>
      <c r="CM592" s="253">
        <f t="shared" si="623"/>
        <v>4.8487499999999999</v>
      </c>
      <c r="CN592" s="253" cm="1">
        <f t="array" ref="CN592">$BC592 * IF($AD592&lt;=2,
SUMPRODUCT(INDEX($AL$62:$AN$66,,$AE592), INDEX($AO$62:$AU$66,,$AD592), 1 / ($AV$62:$AV$66*CM592 + (1-$AV$62:$AV$66)*CI592), N($AK$62:$AK$66&gt;$AI592)),
SUMPRODUCT(INDEX($AL$47:$AN$56,,$AE592), INDEX($AO$47:$AU$56,,$AD592), 1 / ($AW$47:$AW$56*CM592 + (1-$AW$47:$AW$56)*CI592), N($AK$47:$AK$56&gt;$AI592))
) / 1000</f>
        <v>0</v>
      </c>
      <c r="CO592" s="253" cm="1">
        <f t="array" ref="CO592">$BC592 * IF($AD592&lt;=2,
SUMPRODUCT(INDEX($AL$23:$AN$61,,$AE592), INDEX($AO$23:$AU$61,,$AD592), 1 / ($AV$23:$AV$61*CM592), N($AK$23:$AK$61&gt;$AI592)),
SUMPRODUCT(INDEX($AL$23:$AN$46,,$AE592), INDEX($AO$23:$AU$46,,$AD592), 1 / ($AW$23:$AW$46*CM592), N($AK$23:$AK$46&gt;$AI592))
) / 1000</f>
        <v>0</v>
      </c>
      <c r="CP592" s="237">
        <f t="shared" si="624"/>
        <v>0</v>
      </c>
      <c r="CQ592" s="210"/>
    </row>
    <row r="593" spans="1:95" s="76" customFormat="1" ht="14.25" customHeight="1" x14ac:dyDescent="0.2">
      <c r="A593" s="238" t="b">
        <f t="shared" si="591"/>
        <v>0</v>
      </c>
      <c r="B593" s="239">
        <v>571</v>
      </c>
      <c r="C593" s="258"/>
      <c r="D593" s="258"/>
      <c r="E593" s="240"/>
      <c r="F593" s="241" t="str">
        <f>IF(ISBLANK(E593), "", VLOOKUP(E593, Z!$A$2:$C$4127, 3, FALSE))</f>
        <v/>
      </c>
      <c r="G593" s="242"/>
      <c r="H593" s="242"/>
      <c r="I593" s="243"/>
      <c r="J593" s="244"/>
      <c r="K593" s="259"/>
      <c r="L593" s="260"/>
      <c r="M593" s="247" t="str" cm="1">
        <f t="array" ref="M593">IF($K593&gt;0, INDEX(Clean,1+AG593,$C$1), "")</f>
        <v/>
      </c>
      <c r="N593" s="245"/>
      <c r="O593" s="245"/>
      <c r="P593" s="246"/>
      <c r="Q593" s="248">
        <f t="shared" si="601"/>
        <v>0</v>
      </c>
      <c r="R593" s="247" t="str" cm="1">
        <f t="array" ref="R593">IF($K593&gt;0, INDEX(Clean,1+AH593,$C$1), "")</f>
        <v/>
      </c>
      <c r="S593" s="245"/>
      <c r="T593" s="245"/>
      <c r="U593" s="246"/>
      <c r="V593" s="248">
        <f t="shared" si="602"/>
        <v>0</v>
      </c>
      <c r="W593" s="261"/>
      <c r="X593" s="258"/>
      <c r="Y593" s="240"/>
      <c r="Z593" s="241" t="str">
        <f>IF(ISBLANK(Y593), "", VLOOKUP(Y593, Z!$A$2:$C$4127, 3, FALSE))</f>
        <v/>
      </c>
      <c r="AA593" s="262"/>
      <c r="AB593" s="249">
        <f t="shared" si="600"/>
        <v>0</v>
      </c>
      <c r="AC593" s="210"/>
      <c r="AD593" s="236">
        <f t="shared" si="625"/>
        <v>1</v>
      </c>
      <c r="AE593" s="236">
        <f t="shared" si="626"/>
        <v>1</v>
      </c>
      <c r="AF593" s="236">
        <f t="shared" si="627"/>
        <v>0</v>
      </c>
      <c r="AG593" s="236">
        <v>1</v>
      </c>
      <c r="AH593" s="236">
        <v>0</v>
      </c>
      <c r="AI593" s="236">
        <f t="shared" si="603"/>
        <v>-100</v>
      </c>
      <c r="AJ593" s="210"/>
      <c r="AK593" s="254"/>
      <c r="AL593" s="254"/>
      <c r="AM593" s="255"/>
      <c r="AN593" s="255"/>
      <c r="AO593" s="255"/>
      <c r="AP593" s="255"/>
      <c r="AQ593" s="255"/>
      <c r="AR593" s="255"/>
      <c r="AS593" s="255"/>
      <c r="AT593" s="255"/>
      <c r="AU593" s="255"/>
      <c r="AV593" s="255"/>
      <c r="AW593" s="255"/>
      <c r="AX593" s="210"/>
      <c r="AY593" s="236" cm="1">
        <f t="array" ref="AY593">INDEX(Use, $AD593, 4)</f>
        <v>7</v>
      </c>
      <c r="AZ593" s="236">
        <f t="shared" si="604"/>
        <v>32</v>
      </c>
      <c r="BA593" s="236">
        <f t="shared" si="592"/>
        <v>13</v>
      </c>
      <c r="BB593" s="236">
        <f t="shared" si="593"/>
        <v>0</v>
      </c>
      <c r="BC593" s="252" cm="1">
        <f t="array" ref="BC593">K593/IF($L593&gt;0, INDEX($AO$23:$AU$77, $L593+20, $AD593), 1)</f>
        <v>0</v>
      </c>
      <c r="BD593" s="237">
        <f t="shared" si="605"/>
        <v>0</v>
      </c>
      <c r="BE593" s="236">
        <v>35</v>
      </c>
      <c r="BF593" s="237">
        <f t="shared" si="606"/>
        <v>52.55</v>
      </c>
      <c r="BG593" s="253">
        <f t="shared" si="607"/>
        <v>2.7676728869374316</v>
      </c>
      <c r="BH593" s="253" cm="1">
        <f t="array" ref="BH593">$BC593 * SUMPRODUCT(INDEX($AL$77:$AN$82,,$AE593),INDEX($AO$77:$AU$82,,$AD593), N($AK$77:$AK$82&gt;$AI593)) / BG593 / 1000</f>
        <v>0</v>
      </c>
      <c r="BI593" s="250">
        <f t="shared" si="594"/>
        <v>30</v>
      </c>
      <c r="BJ593" s="237">
        <f t="shared" si="608"/>
        <v>46.033333333333331</v>
      </c>
      <c r="BK593" s="253">
        <f t="shared" si="609"/>
        <v>3.2297395388556791</v>
      </c>
      <c r="BL593" s="253" cm="1">
        <f t="array" ref="BL593">$BC593 * IF($AD593&lt;=2,
SUMPRODUCT(INDEX($AL$72:$AN$76,,$AE593), INDEX($AO$72:$AU$76,,$AD593), 1 / ($AV$72:$AV$76*BK593 + (1-$AV$72:$AV$76)*BG593), N($AK$72:$AK$76&gt;$AI593)),
SUMPRODUCT(INDEX($AL$67:$AN$76,,$AE593), INDEX($AO$67:$AU$76,,$AD593), 1 / ($AW$67:$AW$76*BK593 + (1-$AW$67:$AW$76)*BG593), N($AK$67:$AK$76&gt;$AI593))
) / 1000</f>
        <v>0</v>
      </c>
      <c r="BM593" s="250">
        <f t="shared" si="595"/>
        <v>25</v>
      </c>
      <c r="BN593" s="237">
        <f t="shared" si="610"/>
        <v>39.516666666666666</v>
      </c>
      <c r="BO593" s="253">
        <f t="shared" si="611"/>
        <v>3.877011788826243</v>
      </c>
      <c r="BP593" s="253" cm="1">
        <f t="array" ref="BP593">$BC593 * IF($AD593&lt;=2,
SUMPRODUCT(INDEX($AL$67:$AN$71,,$AE593), INDEX($AO$67:$AU$71,,$AD593), 1 / ($AV$67:$AV$71*BO593 + (1-$AV$67:$AV$71)*BK593), N($AK$67:$AK$71&gt;$AI593)),
SUMPRODUCT(INDEX($AL$57:$AN$66,,$AE593), INDEX($AO$57:$AU$66,,$AD593), 1 / ($AW$57:$AW$66*BO593 + (1-$AW$57:$AW$66)*BK593), N($AK$57:$AK$66&gt;$AI593))
) / 1000</f>
        <v>0</v>
      </c>
      <c r="BQ593" s="250">
        <f t="shared" si="596"/>
        <v>20</v>
      </c>
      <c r="BR593" s="237">
        <f t="shared" si="612"/>
        <v>33</v>
      </c>
      <c r="BS593" s="253">
        <f t="shared" si="613"/>
        <v>4.8487499999999999</v>
      </c>
      <c r="BT593" s="253" cm="1">
        <f t="array" ref="BT593">$BC593 * IF($AD593&lt;=2,
SUMPRODUCT(INDEX($AL$62:$AN$66,,$AE593), INDEX($AO$62:$AU$66,,$AD593), 1 / ($AV$62:$AV$66*BS593 + (1-$AV$62:$AV$66)*BO593), N($AK$62:$AK$66&gt;$AI593)),
SUMPRODUCT(INDEX($AL$47:$AN$56,,$AE593), INDEX($AO$47:$AU$56,,$AD593), 1 / ($AW$47:$AW$56*BS593 + (1-$AW$47:$AW$56)*BO593), N($AK$47:$AK$56&gt;$AI593))
) / 1000</f>
        <v>0</v>
      </c>
      <c r="BU593" s="253" cm="1">
        <f t="array" ref="BU593">$BC593 * IF($AD593&lt;=2,
SUMPRODUCT(INDEX($AL$23:$AN$61,,$AE593), INDEX($AO$23:$AU$61,,$AD593), 1 / ($AV$23:$AV$61*BS593), N($AK$23:$AK$61&gt;$AI593)),
SUMPRODUCT(INDEX($AL$23:$AN$46,,$AE593), INDEX($AO$23:$AU$46,,$AD593), 1 / ($AW$23:$AW$46*BS593), N($AK$23:$AK$46&gt;$AI593))
) / 1000</f>
        <v>0</v>
      </c>
      <c r="BV593" s="237">
        <f t="shared" si="614"/>
        <v>0</v>
      </c>
      <c r="BW593" s="210"/>
      <c r="BX593" s="237">
        <f t="shared" si="615"/>
        <v>0</v>
      </c>
      <c r="BY593" s="236">
        <v>35</v>
      </c>
      <c r="BZ593" s="237">
        <f t="shared" si="616"/>
        <v>48</v>
      </c>
      <c r="CA593" s="253">
        <f t="shared" si="617"/>
        <v>3.0748170731707316</v>
      </c>
      <c r="CB593" s="253" cm="1">
        <f t="array" ref="CB593">$BC593 * SUMPRODUCT(INDEX($AL$77:$AN$82,,$AE593),INDEX($AO$77:$AU$82,,$AD593), N($AK$77:$AK$82&gt;$AI593)) / CA593 / 1000</f>
        <v>0</v>
      </c>
      <c r="CC593" s="250">
        <f t="shared" si="597"/>
        <v>30</v>
      </c>
      <c r="CD593" s="237">
        <f t="shared" si="618"/>
        <v>43</v>
      </c>
      <c r="CE593" s="253">
        <f t="shared" si="619"/>
        <v>3.5018750000000001</v>
      </c>
      <c r="CF593" s="253" cm="1">
        <f t="array" ref="CF593">$BC593 * IF($AD593&lt;=2,
SUMPRODUCT(INDEX($AL$72:$AN$76,,$AE593), INDEX($AO$72:$AU$76,,$AD593), 1 / ($AV$72:$AV$76*CE593 + (1-$AV$72:$AV$76)*CA593), N($AK$72:$AK$76&gt;$AI593)),
SUMPRODUCT(INDEX($AL$67:$AN$76,,$AE593), INDEX($AO$67:$AU$76,,$AD593), 1 / ($AW$67:$AW$76*CE593 + (1-$AW$67:$AW$76)*CA593), N($AK$67:$AK$76&gt;$AI593))
) / 1000</f>
        <v>0</v>
      </c>
      <c r="CG593" s="250">
        <f t="shared" si="598"/>
        <v>25</v>
      </c>
      <c r="CH593" s="237">
        <f t="shared" si="620"/>
        <v>38</v>
      </c>
      <c r="CI593" s="253">
        <f t="shared" si="621"/>
        <v>4.0666935483870965</v>
      </c>
      <c r="CJ593" s="253" cm="1">
        <f t="array" ref="CJ593">$BC593 * IF($AD593&lt;=2,
SUMPRODUCT(INDEX($AL$67:$AN$71,,$AE593), INDEX($AO$67:$AU$71,,$AD593), 1 / ($AV$67:$AV$71*CI593 + (1-$AV$67:$AV$71)*CE593), N($AK$67:$AK$71&gt;$AI593)),
SUMPRODUCT(INDEX($AL$57:$AN$66,,$AE593), INDEX($AO$57:$AU$66,,$AD593), 1 / ($AW$57:$AW$66*CI593 + (1-$AW$57:$AW$66)*CE593), N($AK$57:$AK$66&gt;$AI593))
) / 1000</f>
        <v>0</v>
      </c>
      <c r="CK593" s="250">
        <f t="shared" si="599"/>
        <v>20</v>
      </c>
      <c r="CL593" s="237">
        <f t="shared" si="622"/>
        <v>33</v>
      </c>
      <c r="CM593" s="253">
        <f t="shared" si="623"/>
        <v>4.8487499999999999</v>
      </c>
      <c r="CN593" s="253" cm="1">
        <f t="array" ref="CN593">$BC593 * IF($AD593&lt;=2,
SUMPRODUCT(INDEX($AL$62:$AN$66,,$AE593), INDEX($AO$62:$AU$66,,$AD593), 1 / ($AV$62:$AV$66*CM593 + (1-$AV$62:$AV$66)*CI593), N($AK$62:$AK$66&gt;$AI593)),
SUMPRODUCT(INDEX($AL$47:$AN$56,,$AE593), INDEX($AO$47:$AU$56,,$AD593), 1 / ($AW$47:$AW$56*CM593 + (1-$AW$47:$AW$56)*CI593), N($AK$47:$AK$56&gt;$AI593))
) / 1000</f>
        <v>0</v>
      </c>
      <c r="CO593" s="253" cm="1">
        <f t="array" ref="CO593">$BC593 * IF($AD593&lt;=2,
SUMPRODUCT(INDEX($AL$23:$AN$61,,$AE593), INDEX($AO$23:$AU$61,,$AD593), 1 / ($AV$23:$AV$61*CM593), N($AK$23:$AK$61&gt;$AI593)),
SUMPRODUCT(INDEX($AL$23:$AN$46,,$AE593), INDEX($AO$23:$AU$46,,$AD593), 1 / ($AW$23:$AW$46*CM593), N($AK$23:$AK$46&gt;$AI593))
) / 1000</f>
        <v>0</v>
      </c>
      <c r="CP593" s="237">
        <f t="shared" si="624"/>
        <v>0</v>
      </c>
      <c r="CQ593" s="210"/>
    </row>
    <row r="594" spans="1:95" s="76" customFormat="1" ht="14.25" customHeight="1" x14ac:dyDescent="0.2">
      <c r="A594" s="238" t="b">
        <f t="shared" si="591"/>
        <v>0</v>
      </c>
      <c r="B594" s="239">
        <v>572</v>
      </c>
      <c r="C594" s="258"/>
      <c r="D594" s="258"/>
      <c r="E594" s="240"/>
      <c r="F594" s="241" t="str">
        <f>IF(ISBLANK(E594), "", VLOOKUP(E594, Z!$A$2:$C$4127, 3, FALSE))</f>
        <v/>
      </c>
      <c r="G594" s="242"/>
      <c r="H594" s="242"/>
      <c r="I594" s="243"/>
      <c r="J594" s="244"/>
      <c r="K594" s="259"/>
      <c r="L594" s="260"/>
      <c r="M594" s="247" t="str" cm="1">
        <f t="array" ref="M594">IF($K594&gt;0, INDEX(Clean,1+AG594,$C$1), "")</f>
        <v/>
      </c>
      <c r="N594" s="245"/>
      <c r="O594" s="245"/>
      <c r="P594" s="246"/>
      <c r="Q594" s="248">
        <f t="shared" si="601"/>
        <v>0</v>
      </c>
      <c r="R594" s="247" t="str" cm="1">
        <f t="array" ref="R594">IF($K594&gt;0, INDEX(Clean,1+AH594,$C$1), "")</f>
        <v/>
      </c>
      <c r="S594" s="245"/>
      <c r="T594" s="245"/>
      <c r="U594" s="246"/>
      <c r="V594" s="248">
        <f t="shared" si="602"/>
        <v>0</v>
      </c>
      <c r="W594" s="261"/>
      <c r="X594" s="258"/>
      <c r="Y594" s="240"/>
      <c r="Z594" s="241" t="str">
        <f>IF(ISBLANK(Y594), "", VLOOKUP(Y594, Z!$A$2:$C$4127, 3, FALSE))</f>
        <v/>
      </c>
      <c r="AA594" s="262"/>
      <c r="AB594" s="249">
        <f t="shared" si="600"/>
        <v>0</v>
      </c>
      <c r="AC594" s="210"/>
      <c r="AD594" s="236">
        <f t="shared" si="625"/>
        <v>1</v>
      </c>
      <c r="AE594" s="236">
        <f t="shared" si="626"/>
        <v>1</v>
      </c>
      <c r="AF594" s="236">
        <f t="shared" si="627"/>
        <v>0</v>
      </c>
      <c r="AG594" s="236">
        <v>1</v>
      </c>
      <c r="AH594" s="236">
        <v>0</v>
      </c>
      <c r="AI594" s="236">
        <f t="shared" si="603"/>
        <v>-100</v>
      </c>
      <c r="AJ594" s="210"/>
      <c r="AK594" s="254"/>
      <c r="AL594" s="254"/>
      <c r="AM594" s="255"/>
      <c r="AN594" s="255"/>
      <c r="AO594" s="255"/>
      <c r="AP594" s="255"/>
      <c r="AQ594" s="255"/>
      <c r="AR594" s="255"/>
      <c r="AS594" s="255"/>
      <c r="AT594" s="255"/>
      <c r="AU594" s="255"/>
      <c r="AV594" s="255"/>
      <c r="AW594" s="255"/>
      <c r="AX594" s="210"/>
      <c r="AY594" s="236" cm="1">
        <f t="array" ref="AY594">INDEX(Use, $AD594, 4)</f>
        <v>7</v>
      </c>
      <c r="AZ594" s="236">
        <f t="shared" si="604"/>
        <v>32</v>
      </c>
      <c r="BA594" s="236">
        <f t="shared" si="592"/>
        <v>13</v>
      </c>
      <c r="BB594" s="236">
        <f t="shared" si="593"/>
        <v>0</v>
      </c>
      <c r="BC594" s="252" cm="1">
        <f t="array" ref="BC594">K594/IF($L594&gt;0, INDEX($AO$23:$AU$77, $L594+20, $AD594), 1)</f>
        <v>0</v>
      </c>
      <c r="BD594" s="237">
        <f t="shared" si="605"/>
        <v>0</v>
      </c>
      <c r="BE594" s="236">
        <v>35</v>
      </c>
      <c r="BF594" s="237">
        <f t="shared" si="606"/>
        <v>52.55</v>
      </c>
      <c r="BG594" s="253">
        <f t="shared" si="607"/>
        <v>2.7676728869374316</v>
      </c>
      <c r="BH594" s="253" cm="1">
        <f t="array" ref="BH594">$BC594 * SUMPRODUCT(INDEX($AL$77:$AN$82,,$AE594),INDEX($AO$77:$AU$82,,$AD594), N($AK$77:$AK$82&gt;$AI594)) / BG594 / 1000</f>
        <v>0</v>
      </c>
      <c r="BI594" s="250">
        <f t="shared" si="594"/>
        <v>30</v>
      </c>
      <c r="BJ594" s="237">
        <f t="shared" si="608"/>
        <v>46.033333333333331</v>
      </c>
      <c r="BK594" s="253">
        <f t="shared" si="609"/>
        <v>3.2297395388556791</v>
      </c>
      <c r="BL594" s="253" cm="1">
        <f t="array" ref="BL594">$BC594 * IF($AD594&lt;=2,
SUMPRODUCT(INDEX($AL$72:$AN$76,,$AE594), INDEX($AO$72:$AU$76,,$AD594), 1 / ($AV$72:$AV$76*BK594 + (1-$AV$72:$AV$76)*BG594), N($AK$72:$AK$76&gt;$AI594)),
SUMPRODUCT(INDEX($AL$67:$AN$76,,$AE594), INDEX($AO$67:$AU$76,,$AD594), 1 / ($AW$67:$AW$76*BK594 + (1-$AW$67:$AW$76)*BG594), N($AK$67:$AK$76&gt;$AI594))
) / 1000</f>
        <v>0</v>
      </c>
      <c r="BM594" s="250">
        <f t="shared" si="595"/>
        <v>25</v>
      </c>
      <c r="BN594" s="237">
        <f t="shared" si="610"/>
        <v>39.516666666666666</v>
      </c>
      <c r="BO594" s="253">
        <f t="shared" si="611"/>
        <v>3.877011788826243</v>
      </c>
      <c r="BP594" s="253" cm="1">
        <f t="array" ref="BP594">$BC594 * IF($AD594&lt;=2,
SUMPRODUCT(INDEX($AL$67:$AN$71,,$AE594), INDEX($AO$67:$AU$71,,$AD594), 1 / ($AV$67:$AV$71*BO594 + (1-$AV$67:$AV$71)*BK594), N($AK$67:$AK$71&gt;$AI594)),
SUMPRODUCT(INDEX($AL$57:$AN$66,,$AE594), INDEX($AO$57:$AU$66,,$AD594), 1 / ($AW$57:$AW$66*BO594 + (1-$AW$57:$AW$66)*BK594), N($AK$57:$AK$66&gt;$AI594))
) / 1000</f>
        <v>0</v>
      </c>
      <c r="BQ594" s="250">
        <f t="shared" si="596"/>
        <v>20</v>
      </c>
      <c r="BR594" s="237">
        <f t="shared" si="612"/>
        <v>33</v>
      </c>
      <c r="BS594" s="253">
        <f t="shared" si="613"/>
        <v>4.8487499999999999</v>
      </c>
      <c r="BT594" s="253" cm="1">
        <f t="array" ref="BT594">$BC594 * IF($AD594&lt;=2,
SUMPRODUCT(INDEX($AL$62:$AN$66,,$AE594), INDEX($AO$62:$AU$66,,$AD594), 1 / ($AV$62:$AV$66*BS594 + (1-$AV$62:$AV$66)*BO594), N($AK$62:$AK$66&gt;$AI594)),
SUMPRODUCT(INDEX($AL$47:$AN$56,,$AE594), INDEX($AO$47:$AU$56,,$AD594), 1 / ($AW$47:$AW$56*BS594 + (1-$AW$47:$AW$56)*BO594), N($AK$47:$AK$56&gt;$AI594))
) / 1000</f>
        <v>0</v>
      </c>
      <c r="BU594" s="253" cm="1">
        <f t="array" ref="BU594">$BC594 * IF($AD594&lt;=2,
SUMPRODUCT(INDEX($AL$23:$AN$61,,$AE594), INDEX($AO$23:$AU$61,,$AD594), 1 / ($AV$23:$AV$61*BS594), N($AK$23:$AK$61&gt;$AI594)),
SUMPRODUCT(INDEX($AL$23:$AN$46,,$AE594), INDEX($AO$23:$AU$46,,$AD594), 1 / ($AW$23:$AW$46*BS594), N($AK$23:$AK$46&gt;$AI594))
) / 1000</f>
        <v>0</v>
      </c>
      <c r="BV594" s="237">
        <f t="shared" si="614"/>
        <v>0</v>
      </c>
      <c r="BW594" s="210"/>
      <c r="BX594" s="237">
        <f t="shared" si="615"/>
        <v>0</v>
      </c>
      <c r="BY594" s="236">
        <v>35</v>
      </c>
      <c r="BZ594" s="237">
        <f t="shared" si="616"/>
        <v>48</v>
      </c>
      <c r="CA594" s="253">
        <f t="shared" si="617"/>
        <v>3.0748170731707316</v>
      </c>
      <c r="CB594" s="253" cm="1">
        <f t="array" ref="CB594">$BC594 * SUMPRODUCT(INDEX($AL$77:$AN$82,,$AE594),INDEX($AO$77:$AU$82,,$AD594), N($AK$77:$AK$82&gt;$AI594)) / CA594 / 1000</f>
        <v>0</v>
      </c>
      <c r="CC594" s="250">
        <f t="shared" si="597"/>
        <v>30</v>
      </c>
      <c r="CD594" s="237">
        <f t="shared" si="618"/>
        <v>43</v>
      </c>
      <c r="CE594" s="253">
        <f t="shared" si="619"/>
        <v>3.5018750000000001</v>
      </c>
      <c r="CF594" s="253" cm="1">
        <f t="array" ref="CF594">$BC594 * IF($AD594&lt;=2,
SUMPRODUCT(INDEX($AL$72:$AN$76,,$AE594), INDEX($AO$72:$AU$76,,$AD594), 1 / ($AV$72:$AV$76*CE594 + (1-$AV$72:$AV$76)*CA594), N($AK$72:$AK$76&gt;$AI594)),
SUMPRODUCT(INDEX($AL$67:$AN$76,,$AE594), INDEX($AO$67:$AU$76,,$AD594), 1 / ($AW$67:$AW$76*CE594 + (1-$AW$67:$AW$76)*CA594), N($AK$67:$AK$76&gt;$AI594))
) / 1000</f>
        <v>0</v>
      </c>
      <c r="CG594" s="250">
        <f t="shared" si="598"/>
        <v>25</v>
      </c>
      <c r="CH594" s="237">
        <f t="shared" si="620"/>
        <v>38</v>
      </c>
      <c r="CI594" s="253">
        <f t="shared" si="621"/>
        <v>4.0666935483870965</v>
      </c>
      <c r="CJ594" s="253" cm="1">
        <f t="array" ref="CJ594">$BC594 * IF($AD594&lt;=2,
SUMPRODUCT(INDEX($AL$67:$AN$71,,$AE594), INDEX($AO$67:$AU$71,,$AD594), 1 / ($AV$67:$AV$71*CI594 + (1-$AV$67:$AV$71)*CE594), N($AK$67:$AK$71&gt;$AI594)),
SUMPRODUCT(INDEX($AL$57:$AN$66,,$AE594), INDEX($AO$57:$AU$66,,$AD594), 1 / ($AW$57:$AW$66*CI594 + (1-$AW$57:$AW$66)*CE594), N($AK$57:$AK$66&gt;$AI594))
) / 1000</f>
        <v>0</v>
      </c>
      <c r="CK594" s="250">
        <f t="shared" si="599"/>
        <v>20</v>
      </c>
      <c r="CL594" s="237">
        <f t="shared" si="622"/>
        <v>33</v>
      </c>
      <c r="CM594" s="253">
        <f t="shared" si="623"/>
        <v>4.8487499999999999</v>
      </c>
      <c r="CN594" s="253" cm="1">
        <f t="array" ref="CN594">$BC594 * IF($AD594&lt;=2,
SUMPRODUCT(INDEX($AL$62:$AN$66,,$AE594), INDEX($AO$62:$AU$66,,$AD594), 1 / ($AV$62:$AV$66*CM594 + (1-$AV$62:$AV$66)*CI594), N($AK$62:$AK$66&gt;$AI594)),
SUMPRODUCT(INDEX($AL$47:$AN$56,,$AE594), INDEX($AO$47:$AU$56,,$AD594), 1 / ($AW$47:$AW$56*CM594 + (1-$AW$47:$AW$56)*CI594), N($AK$47:$AK$56&gt;$AI594))
) / 1000</f>
        <v>0</v>
      </c>
      <c r="CO594" s="253" cm="1">
        <f t="array" ref="CO594">$BC594 * IF($AD594&lt;=2,
SUMPRODUCT(INDEX($AL$23:$AN$61,,$AE594), INDEX($AO$23:$AU$61,,$AD594), 1 / ($AV$23:$AV$61*CM594), N($AK$23:$AK$61&gt;$AI594)),
SUMPRODUCT(INDEX($AL$23:$AN$46,,$AE594), INDEX($AO$23:$AU$46,,$AD594), 1 / ($AW$23:$AW$46*CM594), N($AK$23:$AK$46&gt;$AI594))
) / 1000</f>
        <v>0</v>
      </c>
      <c r="CP594" s="237">
        <f t="shared" si="624"/>
        <v>0</v>
      </c>
      <c r="CQ594" s="210"/>
    </row>
    <row r="595" spans="1:95" s="76" customFormat="1" ht="14.25" customHeight="1" x14ac:dyDescent="0.2">
      <c r="A595" s="238" t="b">
        <f t="shared" si="591"/>
        <v>0</v>
      </c>
      <c r="B595" s="239">
        <v>573</v>
      </c>
      <c r="C595" s="258"/>
      <c r="D595" s="258"/>
      <c r="E595" s="240"/>
      <c r="F595" s="241" t="str">
        <f>IF(ISBLANK(E595), "", VLOOKUP(E595, Z!$A$2:$C$4127, 3, FALSE))</f>
        <v/>
      </c>
      <c r="G595" s="242"/>
      <c r="H595" s="242"/>
      <c r="I595" s="243"/>
      <c r="J595" s="244"/>
      <c r="K595" s="259"/>
      <c r="L595" s="260"/>
      <c r="M595" s="247" t="str" cm="1">
        <f t="array" ref="M595">IF($K595&gt;0, INDEX(Clean,1+AG595,$C$1), "")</f>
        <v/>
      </c>
      <c r="N595" s="245"/>
      <c r="O595" s="245"/>
      <c r="P595" s="246"/>
      <c r="Q595" s="248">
        <f t="shared" si="601"/>
        <v>0</v>
      </c>
      <c r="R595" s="247" t="str" cm="1">
        <f t="array" ref="R595">IF($K595&gt;0, INDEX(Clean,1+AH595,$C$1), "")</f>
        <v/>
      </c>
      <c r="S595" s="245"/>
      <c r="T595" s="245"/>
      <c r="U595" s="246"/>
      <c r="V595" s="248">
        <f t="shared" si="602"/>
        <v>0</v>
      </c>
      <c r="W595" s="261"/>
      <c r="X595" s="258"/>
      <c r="Y595" s="240"/>
      <c r="Z595" s="241" t="str">
        <f>IF(ISBLANK(Y595), "", VLOOKUP(Y595, Z!$A$2:$C$4127, 3, FALSE))</f>
        <v/>
      </c>
      <c r="AA595" s="262"/>
      <c r="AB595" s="249">
        <f t="shared" si="600"/>
        <v>0</v>
      </c>
      <c r="AC595" s="210"/>
      <c r="AD595" s="236">
        <f t="shared" si="625"/>
        <v>1</v>
      </c>
      <c r="AE595" s="236">
        <f t="shared" si="626"/>
        <v>1</v>
      </c>
      <c r="AF595" s="236">
        <f t="shared" si="627"/>
        <v>0</v>
      </c>
      <c r="AG595" s="236">
        <v>1</v>
      </c>
      <c r="AH595" s="236">
        <v>0</v>
      </c>
      <c r="AI595" s="236">
        <f t="shared" si="603"/>
        <v>-100</v>
      </c>
      <c r="AJ595" s="210"/>
      <c r="AK595" s="254"/>
      <c r="AL595" s="254"/>
      <c r="AM595" s="255"/>
      <c r="AN595" s="255"/>
      <c r="AO595" s="255"/>
      <c r="AP595" s="255"/>
      <c r="AQ595" s="255"/>
      <c r="AR595" s="255"/>
      <c r="AS595" s="255"/>
      <c r="AT595" s="255"/>
      <c r="AU595" s="255"/>
      <c r="AV595" s="255"/>
      <c r="AW595" s="255"/>
      <c r="AX595" s="210"/>
      <c r="AY595" s="236" cm="1">
        <f t="array" ref="AY595">INDEX(Use, $AD595, 4)</f>
        <v>7</v>
      </c>
      <c r="AZ595" s="236">
        <f t="shared" si="604"/>
        <v>32</v>
      </c>
      <c r="BA595" s="236">
        <f t="shared" si="592"/>
        <v>13</v>
      </c>
      <c r="BB595" s="236">
        <f t="shared" si="593"/>
        <v>0</v>
      </c>
      <c r="BC595" s="252" cm="1">
        <f t="array" ref="BC595">K595/IF($L595&gt;0, INDEX($AO$23:$AU$77, $L595+20, $AD595), 1)</f>
        <v>0</v>
      </c>
      <c r="BD595" s="237">
        <f t="shared" si="605"/>
        <v>0</v>
      </c>
      <c r="BE595" s="236">
        <v>35</v>
      </c>
      <c r="BF595" s="237">
        <f t="shared" si="606"/>
        <v>52.55</v>
      </c>
      <c r="BG595" s="253">
        <f t="shared" si="607"/>
        <v>2.7676728869374316</v>
      </c>
      <c r="BH595" s="253" cm="1">
        <f t="array" ref="BH595">$BC595 * SUMPRODUCT(INDEX($AL$77:$AN$82,,$AE595),INDEX($AO$77:$AU$82,,$AD595), N($AK$77:$AK$82&gt;$AI595)) / BG595 / 1000</f>
        <v>0</v>
      </c>
      <c r="BI595" s="250">
        <f t="shared" si="594"/>
        <v>30</v>
      </c>
      <c r="BJ595" s="237">
        <f t="shared" si="608"/>
        <v>46.033333333333331</v>
      </c>
      <c r="BK595" s="253">
        <f t="shared" si="609"/>
        <v>3.2297395388556791</v>
      </c>
      <c r="BL595" s="253" cm="1">
        <f t="array" ref="BL595">$BC595 * IF($AD595&lt;=2,
SUMPRODUCT(INDEX($AL$72:$AN$76,,$AE595), INDEX($AO$72:$AU$76,,$AD595), 1 / ($AV$72:$AV$76*BK595 + (1-$AV$72:$AV$76)*BG595), N($AK$72:$AK$76&gt;$AI595)),
SUMPRODUCT(INDEX($AL$67:$AN$76,,$AE595), INDEX($AO$67:$AU$76,,$AD595), 1 / ($AW$67:$AW$76*BK595 + (1-$AW$67:$AW$76)*BG595), N($AK$67:$AK$76&gt;$AI595))
) / 1000</f>
        <v>0</v>
      </c>
      <c r="BM595" s="250">
        <f t="shared" si="595"/>
        <v>25</v>
      </c>
      <c r="BN595" s="237">
        <f t="shared" si="610"/>
        <v>39.516666666666666</v>
      </c>
      <c r="BO595" s="253">
        <f t="shared" si="611"/>
        <v>3.877011788826243</v>
      </c>
      <c r="BP595" s="253" cm="1">
        <f t="array" ref="BP595">$BC595 * IF($AD595&lt;=2,
SUMPRODUCT(INDEX($AL$67:$AN$71,,$AE595), INDEX($AO$67:$AU$71,,$AD595), 1 / ($AV$67:$AV$71*BO595 + (1-$AV$67:$AV$71)*BK595), N($AK$67:$AK$71&gt;$AI595)),
SUMPRODUCT(INDEX($AL$57:$AN$66,,$AE595), INDEX($AO$57:$AU$66,,$AD595), 1 / ($AW$57:$AW$66*BO595 + (1-$AW$57:$AW$66)*BK595), N($AK$57:$AK$66&gt;$AI595))
) / 1000</f>
        <v>0</v>
      </c>
      <c r="BQ595" s="250">
        <f t="shared" si="596"/>
        <v>20</v>
      </c>
      <c r="BR595" s="237">
        <f t="shared" si="612"/>
        <v>33</v>
      </c>
      <c r="BS595" s="253">
        <f t="shared" si="613"/>
        <v>4.8487499999999999</v>
      </c>
      <c r="BT595" s="253" cm="1">
        <f t="array" ref="BT595">$BC595 * IF($AD595&lt;=2,
SUMPRODUCT(INDEX($AL$62:$AN$66,,$AE595), INDEX($AO$62:$AU$66,,$AD595), 1 / ($AV$62:$AV$66*BS595 + (1-$AV$62:$AV$66)*BO595), N($AK$62:$AK$66&gt;$AI595)),
SUMPRODUCT(INDEX($AL$47:$AN$56,,$AE595), INDEX($AO$47:$AU$56,,$AD595), 1 / ($AW$47:$AW$56*BS595 + (1-$AW$47:$AW$56)*BO595), N($AK$47:$AK$56&gt;$AI595))
) / 1000</f>
        <v>0</v>
      </c>
      <c r="BU595" s="253" cm="1">
        <f t="array" ref="BU595">$BC595 * IF($AD595&lt;=2,
SUMPRODUCT(INDEX($AL$23:$AN$61,,$AE595), INDEX($AO$23:$AU$61,,$AD595), 1 / ($AV$23:$AV$61*BS595), N($AK$23:$AK$61&gt;$AI595)),
SUMPRODUCT(INDEX($AL$23:$AN$46,,$AE595), INDEX($AO$23:$AU$46,,$AD595), 1 / ($AW$23:$AW$46*BS595), N($AK$23:$AK$46&gt;$AI595))
) / 1000</f>
        <v>0</v>
      </c>
      <c r="BV595" s="237">
        <f t="shared" si="614"/>
        <v>0</v>
      </c>
      <c r="BW595" s="210"/>
      <c r="BX595" s="237">
        <f t="shared" si="615"/>
        <v>0</v>
      </c>
      <c r="BY595" s="236">
        <v>35</v>
      </c>
      <c r="BZ595" s="237">
        <f t="shared" si="616"/>
        <v>48</v>
      </c>
      <c r="CA595" s="253">
        <f t="shared" si="617"/>
        <v>3.0748170731707316</v>
      </c>
      <c r="CB595" s="253" cm="1">
        <f t="array" ref="CB595">$BC595 * SUMPRODUCT(INDEX($AL$77:$AN$82,,$AE595),INDEX($AO$77:$AU$82,,$AD595), N($AK$77:$AK$82&gt;$AI595)) / CA595 / 1000</f>
        <v>0</v>
      </c>
      <c r="CC595" s="250">
        <f t="shared" si="597"/>
        <v>30</v>
      </c>
      <c r="CD595" s="237">
        <f t="shared" si="618"/>
        <v>43</v>
      </c>
      <c r="CE595" s="253">
        <f t="shared" si="619"/>
        <v>3.5018750000000001</v>
      </c>
      <c r="CF595" s="253" cm="1">
        <f t="array" ref="CF595">$BC595 * IF($AD595&lt;=2,
SUMPRODUCT(INDEX($AL$72:$AN$76,,$AE595), INDEX($AO$72:$AU$76,,$AD595), 1 / ($AV$72:$AV$76*CE595 + (1-$AV$72:$AV$76)*CA595), N($AK$72:$AK$76&gt;$AI595)),
SUMPRODUCT(INDEX($AL$67:$AN$76,,$AE595), INDEX($AO$67:$AU$76,,$AD595), 1 / ($AW$67:$AW$76*CE595 + (1-$AW$67:$AW$76)*CA595), N($AK$67:$AK$76&gt;$AI595))
) / 1000</f>
        <v>0</v>
      </c>
      <c r="CG595" s="250">
        <f t="shared" si="598"/>
        <v>25</v>
      </c>
      <c r="CH595" s="237">
        <f t="shared" si="620"/>
        <v>38</v>
      </c>
      <c r="CI595" s="253">
        <f t="shared" si="621"/>
        <v>4.0666935483870965</v>
      </c>
      <c r="CJ595" s="253" cm="1">
        <f t="array" ref="CJ595">$BC595 * IF($AD595&lt;=2,
SUMPRODUCT(INDEX($AL$67:$AN$71,,$AE595), INDEX($AO$67:$AU$71,,$AD595), 1 / ($AV$67:$AV$71*CI595 + (1-$AV$67:$AV$71)*CE595), N($AK$67:$AK$71&gt;$AI595)),
SUMPRODUCT(INDEX($AL$57:$AN$66,,$AE595), INDEX($AO$57:$AU$66,,$AD595), 1 / ($AW$57:$AW$66*CI595 + (1-$AW$57:$AW$66)*CE595), N($AK$57:$AK$66&gt;$AI595))
) / 1000</f>
        <v>0</v>
      </c>
      <c r="CK595" s="250">
        <f t="shared" si="599"/>
        <v>20</v>
      </c>
      <c r="CL595" s="237">
        <f t="shared" si="622"/>
        <v>33</v>
      </c>
      <c r="CM595" s="253">
        <f t="shared" si="623"/>
        <v>4.8487499999999999</v>
      </c>
      <c r="CN595" s="253" cm="1">
        <f t="array" ref="CN595">$BC595 * IF($AD595&lt;=2,
SUMPRODUCT(INDEX($AL$62:$AN$66,,$AE595), INDEX($AO$62:$AU$66,,$AD595), 1 / ($AV$62:$AV$66*CM595 + (1-$AV$62:$AV$66)*CI595), N($AK$62:$AK$66&gt;$AI595)),
SUMPRODUCT(INDEX($AL$47:$AN$56,,$AE595), INDEX($AO$47:$AU$56,,$AD595), 1 / ($AW$47:$AW$56*CM595 + (1-$AW$47:$AW$56)*CI595), N($AK$47:$AK$56&gt;$AI595))
) / 1000</f>
        <v>0</v>
      </c>
      <c r="CO595" s="253" cm="1">
        <f t="array" ref="CO595">$BC595 * IF($AD595&lt;=2,
SUMPRODUCT(INDEX($AL$23:$AN$61,,$AE595), INDEX($AO$23:$AU$61,,$AD595), 1 / ($AV$23:$AV$61*CM595), N($AK$23:$AK$61&gt;$AI595)),
SUMPRODUCT(INDEX($AL$23:$AN$46,,$AE595), INDEX($AO$23:$AU$46,,$AD595), 1 / ($AW$23:$AW$46*CM595), N($AK$23:$AK$46&gt;$AI595))
) / 1000</f>
        <v>0</v>
      </c>
      <c r="CP595" s="237">
        <f t="shared" si="624"/>
        <v>0</v>
      </c>
      <c r="CQ595" s="210"/>
    </row>
    <row r="596" spans="1:95" s="76" customFormat="1" ht="14.25" customHeight="1" x14ac:dyDescent="0.2">
      <c r="A596" s="238" t="b">
        <f t="shared" si="591"/>
        <v>0</v>
      </c>
      <c r="B596" s="239">
        <v>574</v>
      </c>
      <c r="C596" s="258"/>
      <c r="D596" s="258"/>
      <c r="E596" s="240"/>
      <c r="F596" s="241" t="str">
        <f>IF(ISBLANK(E596), "", VLOOKUP(E596, Z!$A$2:$C$4127, 3, FALSE))</f>
        <v/>
      </c>
      <c r="G596" s="242"/>
      <c r="H596" s="242"/>
      <c r="I596" s="243"/>
      <c r="J596" s="244"/>
      <c r="K596" s="259"/>
      <c r="L596" s="260"/>
      <c r="M596" s="247" t="str" cm="1">
        <f t="array" ref="M596">IF($K596&gt;0, INDEX(Clean,1+AG596,$C$1), "")</f>
        <v/>
      </c>
      <c r="N596" s="245"/>
      <c r="O596" s="245"/>
      <c r="P596" s="246"/>
      <c r="Q596" s="248">
        <f t="shared" si="601"/>
        <v>0</v>
      </c>
      <c r="R596" s="247" t="str" cm="1">
        <f t="array" ref="R596">IF($K596&gt;0, INDEX(Clean,1+AH596,$C$1), "")</f>
        <v/>
      </c>
      <c r="S596" s="245"/>
      <c r="T596" s="245"/>
      <c r="U596" s="246"/>
      <c r="V596" s="248">
        <f t="shared" si="602"/>
        <v>0</v>
      </c>
      <c r="W596" s="261"/>
      <c r="X596" s="258"/>
      <c r="Y596" s="240"/>
      <c r="Z596" s="241" t="str">
        <f>IF(ISBLANK(Y596), "", VLOOKUP(Y596, Z!$A$2:$C$4127, 3, FALSE))</f>
        <v/>
      </c>
      <c r="AA596" s="262"/>
      <c r="AB596" s="249">
        <f t="shared" si="600"/>
        <v>0</v>
      </c>
      <c r="AC596" s="210"/>
      <c r="AD596" s="236">
        <f t="shared" si="625"/>
        <v>1</v>
      </c>
      <c r="AE596" s="236">
        <f t="shared" si="626"/>
        <v>1</v>
      </c>
      <c r="AF596" s="236">
        <f t="shared" si="627"/>
        <v>0</v>
      </c>
      <c r="AG596" s="236">
        <v>1</v>
      </c>
      <c r="AH596" s="236">
        <v>0</v>
      </c>
      <c r="AI596" s="236">
        <f t="shared" si="603"/>
        <v>-100</v>
      </c>
      <c r="AJ596" s="210"/>
      <c r="AK596" s="254"/>
      <c r="AL596" s="254"/>
      <c r="AM596" s="255"/>
      <c r="AN596" s="255"/>
      <c r="AO596" s="255"/>
      <c r="AP596" s="255"/>
      <c r="AQ596" s="255"/>
      <c r="AR596" s="255"/>
      <c r="AS596" s="255"/>
      <c r="AT596" s="255"/>
      <c r="AU596" s="255"/>
      <c r="AV596" s="255"/>
      <c r="AW596" s="255"/>
      <c r="AX596" s="210"/>
      <c r="AY596" s="236" cm="1">
        <f t="array" ref="AY596">INDEX(Use, $AD596, 4)</f>
        <v>7</v>
      </c>
      <c r="AZ596" s="236">
        <f t="shared" si="604"/>
        <v>32</v>
      </c>
      <c r="BA596" s="236">
        <f t="shared" si="592"/>
        <v>13</v>
      </c>
      <c r="BB596" s="236">
        <f t="shared" si="593"/>
        <v>0</v>
      </c>
      <c r="BC596" s="252" cm="1">
        <f t="array" ref="BC596">K596/IF($L596&gt;0, INDEX($AO$23:$AU$77, $L596+20, $AD596), 1)</f>
        <v>0</v>
      </c>
      <c r="BD596" s="237">
        <f t="shared" si="605"/>
        <v>0</v>
      </c>
      <c r="BE596" s="236">
        <v>35</v>
      </c>
      <c r="BF596" s="237">
        <f t="shared" si="606"/>
        <v>52.55</v>
      </c>
      <c r="BG596" s="253">
        <f t="shared" si="607"/>
        <v>2.7676728869374316</v>
      </c>
      <c r="BH596" s="253" cm="1">
        <f t="array" ref="BH596">$BC596 * SUMPRODUCT(INDEX($AL$77:$AN$82,,$AE596),INDEX($AO$77:$AU$82,,$AD596), N($AK$77:$AK$82&gt;$AI596)) / BG596 / 1000</f>
        <v>0</v>
      </c>
      <c r="BI596" s="250">
        <f t="shared" si="594"/>
        <v>30</v>
      </c>
      <c r="BJ596" s="237">
        <f t="shared" si="608"/>
        <v>46.033333333333331</v>
      </c>
      <c r="BK596" s="253">
        <f t="shared" si="609"/>
        <v>3.2297395388556791</v>
      </c>
      <c r="BL596" s="253" cm="1">
        <f t="array" ref="BL596">$BC596 * IF($AD596&lt;=2,
SUMPRODUCT(INDEX($AL$72:$AN$76,,$AE596), INDEX($AO$72:$AU$76,,$AD596), 1 / ($AV$72:$AV$76*BK596 + (1-$AV$72:$AV$76)*BG596), N($AK$72:$AK$76&gt;$AI596)),
SUMPRODUCT(INDEX($AL$67:$AN$76,,$AE596), INDEX($AO$67:$AU$76,,$AD596), 1 / ($AW$67:$AW$76*BK596 + (1-$AW$67:$AW$76)*BG596), N($AK$67:$AK$76&gt;$AI596))
) / 1000</f>
        <v>0</v>
      </c>
      <c r="BM596" s="250">
        <f t="shared" si="595"/>
        <v>25</v>
      </c>
      <c r="BN596" s="237">
        <f t="shared" si="610"/>
        <v>39.516666666666666</v>
      </c>
      <c r="BO596" s="253">
        <f t="shared" si="611"/>
        <v>3.877011788826243</v>
      </c>
      <c r="BP596" s="253" cm="1">
        <f t="array" ref="BP596">$BC596 * IF($AD596&lt;=2,
SUMPRODUCT(INDEX($AL$67:$AN$71,,$AE596), INDEX($AO$67:$AU$71,,$AD596), 1 / ($AV$67:$AV$71*BO596 + (1-$AV$67:$AV$71)*BK596), N($AK$67:$AK$71&gt;$AI596)),
SUMPRODUCT(INDEX($AL$57:$AN$66,,$AE596), INDEX($AO$57:$AU$66,,$AD596), 1 / ($AW$57:$AW$66*BO596 + (1-$AW$57:$AW$66)*BK596), N($AK$57:$AK$66&gt;$AI596))
) / 1000</f>
        <v>0</v>
      </c>
      <c r="BQ596" s="250">
        <f t="shared" si="596"/>
        <v>20</v>
      </c>
      <c r="BR596" s="237">
        <f t="shared" si="612"/>
        <v>33</v>
      </c>
      <c r="BS596" s="253">
        <f t="shared" si="613"/>
        <v>4.8487499999999999</v>
      </c>
      <c r="BT596" s="253" cm="1">
        <f t="array" ref="BT596">$BC596 * IF($AD596&lt;=2,
SUMPRODUCT(INDEX($AL$62:$AN$66,,$AE596), INDEX($AO$62:$AU$66,,$AD596), 1 / ($AV$62:$AV$66*BS596 + (1-$AV$62:$AV$66)*BO596), N($AK$62:$AK$66&gt;$AI596)),
SUMPRODUCT(INDEX($AL$47:$AN$56,,$AE596), INDEX($AO$47:$AU$56,,$AD596), 1 / ($AW$47:$AW$56*BS596 + (1-$AW$47:$AW$56)*BO596), N($AK$47:$AK$56&gt;$AI596))
) / 1000</f>
        <v>0</v>
      </c>
      <c r="BU596" s="253" cm="1">
        <f t="array" ref="BU596">$BC596 * IF($AD596&lt;=2,
SUMPRODUCT(INDEX($AL$23:$AN$61,,$AE596), INDEX($AO$23:$AU$61,,$AD596), 1 / ($AV$23:$AV$61*BS596), N($AK$23:$AK$61&gt;$AI596)),
SUMPRODUCT(INDEX($AL$23:$AN$46,,$AE596), INDEX($AO$23:$AU$46,,$AD596), 1 / ($AW$23:$AW$46*BS596), N($AK$23:$AK$46&gt;$AI596))
) / 1000</f>
        <v>0</v>
      </c>
      <c r="BV596" s="237">
        <f t="shared" si="614"/>
        <v>0</v>
      </c>
      <c r="BW596" s="210"/>
      <c r="BX596" s="237">
        <f t="shared" si="615"/>
        <v>0</v>
      </c>
      <c r="BY596" s="236">
        <v>35</v>
      </c>
      <c r="BZ596" s="237">
        <f t="shared" si="616"/>
        <v>48</v>
      </c>
      <c r="CA596" s="253">
        <f t="shared" si="617"/>
        <v>3.0748170731707316</v>
      </c>
      <c r="CB596" s="253" cm="1">
        <f t="array" ref="CB596">$BC596 * SUMPRODUCT(INDEX($AL$77:$AN$82,,$AE596),INDEX($AO$77:$AU$82,,$AD596), N($AK$77:$AK$82&gt;$AI596)) / CA596 / 1000</f>
        <v>0</v>
      </c>
      <c r="CC596" s="250">
        <f t="shared" si="597"/>
        <v>30</v>
      </c>
      <c r="CD596" s="237">
        <f t="shared" si="618"/>
        <v>43</v>
      </c>
      <c r="CE596" s="253">
        <f t="shared" si="619"/>
        <v>3.5018750000000001</v>
      </c>
      <c r="CF596" s="253" cm="1">
        <f t="array" ref="CF596">$BC596 * IF($AD596&lt;=2,
SUMPRODUCT(INDEX($AL$72:$AN$76,,$AE596), INDEX($AO$72:$AU$76,,$AD596), 1 / ($AV$72:$AV$76*CE596 + (1-$AV$72:$AV$76)*CA596), N($AK$72:$AK$76&gt;$AI596)),
SUMPRODUCT(INDEX($AL$67:$AN$76,,$AE596), INDEX($AO$67:$AU$76,,$AD596), 1 / ($AW$67:$AW$76*CE596 + (1-$AW$67:$AW$76)*CA596), N($AK$67:$AK$76&gt;$AI596))
) / 1000</f>
        <v>0</v>
      </c>
      <c r="CG596" s="250">
        <f t="shared" si="598"/>
        <v>25</v>
      </c>
      <c r="CH596" s="237">
        <f t="shared" si="620"/>
        <v>38</v>
      </c>
      <c r="CI596" s="253">
        <f t="shared" si="621"/>
        <v>4.0666935483870965</v>
      </c>
      <c r="CJ596" s="253" cm="1">
        <f t="array" ref="CJ596">$BC596 * IF($AD596&lt;=2,
SUMPRODUCT(INDEX($AL$67:$AN$71,,$AE596), INDEX($AO$67:$AU$71,,$AD596), 1 / ($AV$67:$AV$71*CI596 + (1-$AV$67:$AV$71)*CE596), N($AK$67:$AK$71&gt;$AI596)),
SUMPRODUCT(INDEX($AL$57:$AN$66,,$AE596), INDEX($AO$57:$AU$66,,$AD596), 1 / ($AW$57:$AW$66*CI596 + (1-$AW$57:$AW$66)*CE596), N($AK$57:$AK$66&gt;$AI596))
) / 1000</f>
        <v>0</v>
      </c>
      <c r="CK596" s="250">
        <f t="shared" si="599"/>
        <v>20</v>
      </c>
      <c r="CL596" s="237">
        <f t="shared" si="622"/>
        <v>33</v>
      </c>
      <c r="CM596" s="253">
        <f t="shared" si="623"/>
        <v>4.8487499999999999</v>
      </c>
      <c r="CN596" s="253" cm="1">
        <f t="array" ref="CN596">$BC596 * IF($AD596&lt;=2,
SUMPRODUCT(INDEX($AL$62:$AN$66,,$AE596), INDEX($AO$62:$AU$66,,$AD596), 1 / ($AV$62:$AV$66*CM596 + (1-$AV$62:$AV$66)*CI596), N($AK$62:$AK$66&gt;$AI596)),
SUMPRODUCT(INDEX($AL$47:$AN$56,,$AE596), INDEX($AO$47:$AU$56,,$AD596), 1 / ($AW$47:$AW$56*CM596 + (1-$AW$47:$AW$56)*CI596), N($AK$47:$AK$56&gt;$AI596))
) / 1000</f>
        <v>0</v>
      </c>
      <c r="CO596" s="253" cm="1">
        <f t="array" ref="CO596">$BC596 * IF($AD596&lt;=2,
SUMPRODUCT(INDEX($AL$23:$AN$61,,$AE596), INDEX($AO$23:$AU$61,,$AD596), 1 / ($AV$23:$AV$61*CM596), N($AK$23:$AK$61&gt;$AI596)),
SUMPRODUCT(INDEX($AL$23:$AN$46,,$AE596), INDEX($AO$23:$AU$46,,$AD596), 1 / ($AW$23:$AW$46*CM596), N($AK$23:$AK$46&gt;$AI596))
) / 1000</f>
        <v>0</v>
      </c>
      <c r="CP596" s="237">
        <f t="shared" si="624"/>
        <v>0</v>
      </c>
      <c r="CQ596" s="210"/>
    </row>
    <row r="597" spans="1:95" s="76" customFormat="1" ht="14.25" customHeight="1" x14ac:dyDescent="0.2">
      <c r="A597" s="238" t="b">
        <f t="shared" si="591"/>
        <v>0</v>
      </c>
      <c r="B597" s="239">
        <v>575</v>
      </c>
      <c r="C597" s="258"/>
      <c r="D597" s="258"/>
      <c r="E597" s="240"/>
      <c r="F597" s="241" t="str">
        <f>IF(ISBLANK(E597), "", VLOOKUP(E597, Z!$A$2:$C$4127, 3, FALSE))</f>
        <v/>
      </c>
      <c r="G597" s="242"/>
      <c r="H597" s="242"/>
      <c r="I597" s="243"/>
      <c r="J597" s="244"/>
      <c r="K597" s="259"/>
      <c r="L597" s="260"/>
      <c r="M597" s="247" t="str" cm="1">
        <f t="array" ref="M597">IF($K597&gt;0, INDEX(Clean,1+AG597,$C$1), "")</f>
        <v/>
      </c>
      <c r="N597" s="245"/>
      <c r="O597" s="245"/>
      <c r="P597" s="246"/>
      <c r="Q597" s="248">
        <f t="shared" si="601"/>
        <v>0</v>
      </c>
      <c r="R597" s="247" t="str" cm="1">
        <f t="array" ref="R597">IF($K597&gt;0, INDEX(Clean,1+AH597,$C$1), "")</f>
        <v/>
      </c>
      <c r="S597" s="245"/>
      <c r="T597" s="245"/>
      <c r="U597" s="246"/>
      <c r="V597" s="248">
        <f t="shared" si="602"/>
        <v>0</v>
      </c>
      <c r="W597" s="261"/>
      <c r="X597" s="258"/>
      <c r="Y597" s="240"/>
      <c r="Z597" s="241" t="str">
        <f>IF(ISBLANK(Y597), "", VLOOKUP(Y597, Z!$A$2:$C$4127, 3, FALSE))</f>
        <v/>
      </c>
      <c r="AA597" s="262"/>
      <c r="AB597" s="249">
        <f t="shared" si="600"/>
        <v>0</v>
      </c>
      <c r="AC597" s="210"/>
      <c r="AD597" s="236">
        <f t="shared" si="625"/>
        <v>1</v>
      </c>
      <c r="AE597" s="236">
        <f t="shared" si="626"/>
        <v>1</v>
      </c>
      <c r="AF597" s="236">
        <f t="shared" si="627"/>
        <v>0</v>
      </c>
      <c r="AG597" s="236">
        <v>1</v>
      </c>
      <c r="AH597" s="236">
        <v>0</v>
      </c>
      <c r="AI597" s="236">
        <f t="shared" si="603"/>
        <v>-100</v>
      </c>
      <c r="AJ597" s="210"/>
      <c r="AK597" s="254"/>
      <c r="AL597" s="254"/>
      <c r="AM597" s="255"/>
      <c r="AN597" s="255"/>
      <c r="AO597" s="255"/>
      <c r="AP597" s="255"/>
      <c r="AQ597" s="255"/>
      <c r="AR597" s="255"/>
      <c r="AS597" s="255"/>
      <c r="AT597" s="255"/>
      <c r="AU597" s="255"/>
      <c r="AV597" s="255"/>
      <c r="AW597" s="255"/>
      <c r="AX597" s="210"/>
      <c r="AY597" s="236" cm="1">
        <f t="array" ref="AY597">INDEX(Use, $AD597, 4)</f>
        <v>7</v>
      </c>
      <c r="AZ597" s="236">
        <f t="shared" si="604"/>
        <v>32</v>
      </c>
      <c r="BA597" s="236">
        <f t="shared" si="592"/>
        <v>13</v>
      </c>
      <c r="BB597" s="236">
        <f t="shared" si="593"/>
        <v>0</v>
      </c>
      <c r="BC597" s="252" cm="1">
        <f t="array" ref="BC597">K597/IF($L597&gt;0, INDEX($AO$23:$AU$77, $L597+20, $AD597), 1)</f>
        <v>0</v>
      </c>
      <c r="BD597" s="237">
        <f t="shared" si="605"/>
        <v>0</v>
      </c>
      <c r="BE597" s="236">
        <v>35</v>
      </c>
      <c r="BF597" s="237">
        <f t="shared" si="606"/>
        <v>52.55</v>
      </c>
      <c r="BG597" s="253">
        <f t="shared" si="607"/>
        <v>2.7676728869374316</v>
      </c>
      <c r="BH597" s="253" cm="1">
        <f t="array" ref="BH597">$BC597 * SUMPRODUCT(INDEX($AL$77:$AN$82,,$AE597),INDEX($AO$77:$AU$82,,$AD597), N($AK$77:$AK$82&gt;$AI597)) / BG597 / 1000</f>
        <v>0</v>
      </c>
      <c r="BI597" s="250">
        <f t="shared" si="594"/>
        <v>30</v>
      </c>
      <c r="BJ597" s="237">
        <f t="shared" si="608"/>
        <v>46.033333333333331</v>
      </c>
      <c r="BK597" s="253">
        <f t="shared" si="609"/>
        <v>3.2297395388556791</v>
      </c>
      <c r="BL597" s="253" cm="1">
        <f t="array" ref="BL597">$BC597 * IF($AD597&lt;=2,
SUMPRODUCT(INDEX($AL$72:$AN$76,,$AE597), INDEX($AO$72:$AU$76,,$AD597), 1 / ($AV$72:$AV$76*BK597 + (1-$AV$72:$AV$76)*BG597), N($AK$72:$AK$76&gt;$AI597)),
SUMPRODUCT(INDEX($AL$67:$AN$76,,$AE597), INDEX($AO$67:$AU$76,,$AD597), 1 / ($AW$67:$AW$76*BK597 + (1-$AW$67:$AW$76)*BG597), N($AK$67:$AK$76&gt;$AI597))
) / 1000</f>
        <v>0</v>
      </c>
      <c r="BM597" s="250">
        <f t="shared" si="595"/>
        <v>25</v>
      </c>
      <c r="BN597" s="237">
        <f t="shared" si="610"/>
        <v>39.516666666666666</v>
      </c>
      <c r="BO597" s="253">
        <f t="shared" si="611"/>
        <v>3.877011788826243</v>
      </c>
      <c r="BP597" s="253" cm="1">
        <f t="array" ref="BP597">$BC597 * IF($AD597&lt;=2,
SUMPRODUCT(INDEX($AL$67:$AN$71,,$AE597), INDEX($AO$67:$AU$71,,$AD597), 1 / ($AV$67:$AV$71*BO597 + (1-$AV$67:$AV$71)*BK597), N($AK$67:$AK$71&gt;$AI597)),
SUMPRODUCT(INDEX($AL$57:$AN$66,,$AE597), INDEX($AO$57:$AU$66,,$AD597), 1 / ($AW$57:$AW$66*BO597 + (1-$AW$57:$AW$66)*BK597), N($AK$57:$AK$66&gt;$AI597))
) / 1000</f>
        <v>0</v>
      </c>
      <c r="BQ597" s="250">
        <f t="shared" si="596"/>
        <v>20</v>
      </c>
      <c r="BR597" s="237">
        <f t="shared" si="612"/>
        <v>33</v>
      </c>
      <c r="BS597" s="253">
        <f t="shared" si="613"/>
        <v>4.8487499999999999</v>
      </c>
      <c r="BT597" s="253" cm="1">
        <f t="array" ref="BT597">$BC597 * IF($AD597&lt;=2,
SUMPRODUCT(INDEX($AL$62:$AN$66,,$AE597), INDEX($AO$62:$AU$66,,$AD597), 1 / ($AV$62:$AV$66*BS597 + (1-$AV$62:$AV$66)*BO597), N($AK$62:$AK$66&gt;$AI597)),
SUMPRODUCT(INDEX($AL$47:$AN$56,,$AE597), INDEX($AO$47:$AU$56,,$AD597), 1 / ($AW$47:$AW$56*BS597 + (1-$AW$47:$AW$56)*BO597), N($AK$47:$AK$56&gt;$AI597))
) / 1000</f>
        <v>0</v>
      </c>
      <c r="BU597" s="253" cm="1">
        <f t="array" ref="BU597">$BC597 * IF($AD597&lt;=2,
SUMPRODUCT(INDEX($AL$23:$AN$61,,$AE597), INDEX($AO$23:$AU$61,,$AD597), 1 / ($AV$23:$AV$61*BS597), N($AK$23:$AK$61&gt;$AI597)),
SUMPRODUCT(INDEX($AL$23:$AN$46,,$AE597), INDEX($AO$23:$AU$46,,$AD597), 1 / ($AW$23:$AW$46*BS597), N($AK$23:$AK$46&gt;$AI597))
) / 1000</f>
        <v>0</v>
      </c>
      <c r="BV597" s="237">
        <f t="shared" si="614"/>
        <v>0</v>
      </c>
      <c r="BW597" s="210"/>
      <c r="BX597" s="237">
        <f t="shared" si="615"/>
        <v>0</v>
      </c>
      <c r="BY597" s="236">
        <v>35</v>
      </c>
      <c r="BZ597" s="237">
        <f t="shared" si="616"/>
        <v>48</v>
      </c>
      <c r="CA597" s="253">
        <f t="shared" si="617"/>
        <v>3.0748170731707316</v>
      </c>
      <c r="CB597" s="253" cm="1">
        <f t="array" ref="CB597">$BC597 * SUMPRODUCT(INDEX($AL$77:$AN$82,,$AE597),INDEX($AO$77:$AU$82,,$AD597), N($AK$77:$AK$82&gt;$AI597)) / CA597 / 1000</f>
        <v>0</v>
      </c>
      <c r="CC597" s="250">
        <f t="shared" si="597"/>
        <v>30</v>
      </c>
      <c r="CD597" s="237">
        <f t="shared" si="618"/>
        <v>43</v>
      </c>
      <c r="CE597" s="253">
        <f t="shared" si="619"/>
        <v>3.5018750000000001</v>
      </c>
      <c r="CF597" s="253" cm="1">
        <f t="array" ref="CF597">$BC597 * IF($AD597&lt;=2,
SUMPRODUCT(INDEX($AL$72:$AN$76,,$AE597), INDEX($AO$72:$AU$76,,$AD597), 1 / ($AV$72:$AV$76*CE597 + (1-$AV$72:$AV$76)*CA597), N($AK$72:$AK$76&gt;$AI597)),
SUMPRODUCT(INDEX($AL$67:$AN$76,,$AE597), INDEX($AO$67:$AU$76,,$AD597), 1 / ($AW$67:$AW$76*CE597 + (1-$AW$67:$AW$76)*CA597), N($AK$67:$AK$76&gt;$AI597))
) / 1000</f>
        <v>0</v>
      </c>
      <c r="CG597" s="250">
        <f t="shared" si="598"/>
        <v>25</v>
      </c>
      <c r="CH597" s="237">
        <f t="shared" si="620"/>
        <v>38</v>
      </c>
      <c r="CI597" s="253">
        <f t="shared" si="621"/>
        <v>4.0666935483870965</v>
      </c>
      <c r="CJ597" s="253" cm="1">
        <f t="array" ref="CJ597">$BC597 * IF($AD597&lt;=2,
SUMPRODUCT(INDEX($AL$67:$AN$71,,$AE597), INDEX($AO$67:$AU$71,,$AD597), 1 / ($AV$67:$AV$71*CI597 + (1-$AV$67:$AV$71)*CE597), N($AK$67:$AK$71&gt;$AI597)),
SUMPRODUCT(INDEX($AL$57:$AN$66,,$AE597), INDEX($AO$57:$AU$66,,$AD597), 1 / ($AW$57:$AW$66*CI597 + (1-$AW$57:$AW$66)*CE597), N($AK$57:$AK$66&gt;$AI597))
) / 1000</f>
        <v>0</v>
      </c>
      <c r="CK597" s="250">
        <f t="shared" si="599"/>
        <v>20</v>
      </c>
      <c r="CL597" s="237">
        <f t="shared" si="622"/>
        <v>33</v>
      </c>
      <c r="CM597" s="253">
        <f t="shared" si="623"/>
        <v>4.8487499999999999</v>
      </c>
      <c r="CN597" s="253" cm="1">
        <f t="array" ref="CN597">$BC597 * IF($AD597&lt;=2,
SUMPRODUCT(INDEX($AL$62:$AN$66,,$AE597), INDEX($AO$62:$AU$66,,$AD597), 1 / ($AV$62:$AV$66*CM597 + (1-$AV$62:$AV$66)*CI597), N($AK$62:$AK$66&gt;$AI597)),
SUMPRODUCT(INDEX($AL$47:$AN$56,,$AE597), INDEX($AO$47:$AU$56,,$AD597), 1 / ($AW$47:$AW$56*CM597 + (1-$AW$47:$AW$56)*CI597), N($AK$47:$AK$56&gt;$AI597))
) / 1000</f>
        <v>0</v>
      </c>
      <c r="CO597" s="253" cm="1">
        <f t="array" ref="CO597">$BC597 * IF($AD597&lt;=2,
SUMPRODUCT(INDEX($AL$23:$AN$61,,$AE597), INDEX($AO$23:$AU$61,,$AD597), 1 / ($AV$23:$AV$61*CM597), N($AK$23:$AK$61&gt;$AI597)),
SUMPRODUCT(INDEX($AL$23:$AN$46,,$AE597), INDEX($AO$23:$AU$46,,$AD597), 1 / ($AW$23:$AW$46*CM597), N($AK$23:$AK$46&gt;$AI597))
) / 1000</f>
        <v>0</v>
      </c>
      <c r="CP597" s="237">
        <f t="shared" si="624"/>
        <v>0</v>
      </c>
      <c r="CQ597" s="210"/>
    </row>
    <row r="598" spans="1:95" s="76" customFormat="1" ht="14.25" customHeight="1" x14ac:dyDescent="0.2">
      <c r="A598" s="238" t="b">
        <f t="shared" ref="A598:A661" si="628">IF(OR(AND($K598&gt;80, $AD598=1), AND($K598&gt;40, $AD598=3), AND($K598&gt;30, $AD598=4),), TRUE, FALSE)</f>
        <v>0</v>
      </c>
      <c r="B598" s="239">
        <v>576</v>
      </c>
      <c r="C598" s="258"/>
      <c r="D598" s="258"/>
      <c r="E598" s="240"/>
      <c r="F598" s="241" t="str">
        <f>IF(ISBLANK(E598), "", VLOOKUP(E598, Z!$A$2:$C$4127, 3, FALSE))</f>
        <v/>
      </c>
      <c r="G598" s="242"/>
      <c r="H598" s="242"/>
      <c r="I598" s="243"/>
      <c r="J598" s="244"/>
      <c r="K598" s="259"/>
      <c r="L598" s="260"/>
      <c r="M598" s="247" t="str" cm="1">
        <f t="array" ref="M598">IF($K598&gt;0, INDEX(Clean,1+AG598,$C$1), "")</f>
        <v/>
      </c>
      <c r="N598" s="245"/>
      <c r="O598" s="245"/>
      <c r="P598" s="246"/>
      <c r="Q598" s="248">
        <f t="shared" si="601"/>
        <v>0</v>
      </c>
      <c r="R598" s="247" t="str" cm="1">
        <f t="array" ref="R598">IF($K598&gt;0, INDEX(Clean,1+AH598,$C$1), "")</f>
        <v/>
      </c>
      <c r="S598" s="245"/>
      <c r="T598" s="245"/>
      <c r="U598" s="246"/>
      <c r="V598" s="248">
        <f t="shared" si="602"/>
        <v>0</v>
      </c>
      <c r="W598" s="261"/>
      <c r="X598" s="258"/>
      <c r="Y598" s="240"/>
      <c r="Z598" s="241" t="str">
        <f>IF(ISBLANK(Y598), "", VLOOKUP(Y598, Z!$A$2:$C$4127, 3, FALSE))</f>
        <v/>
      </c>
      <c r="AA598" s="262"/>
      <c r="AB598" s="249">
        <f t="shared" si="600"/>
        <v>0</v>
      </c>
      <c r="AC598" s="210"/>
      <c r="AD598" s="236">
        <f t="shared" si="625"/>
        <v>1</v>
      </c>
      <c r="AE598" s="236">
        <f t="shared" si="626"/>
        <v>1</v>
      </c>
      <c r="AF598" s="236">
        <f t="shared" si="627"/>
        <v>0</v>
      </c>
      <c r="AG598" s="236">
        <v>1</v>
      </c>
      <c r="AH598" s="236">
        <v>0</v>
      </c>
      <c r="AI598" s="236">
        <f t="shared" si="603"/>
        <v>-100</v>
      </c>
      <c r="AJ598" s="210"/>
      <c r="AK598" s="254"/>
      <c r="AL598" s="254"/>
      <c r="AM598" s="255"/>
      <c r="AN598" s="255"/>
      <c r="AO598" s="255"/>
      <c r="AP598" s="255"/>
      <c r="AQ598" s="255"/>
      <c r="AR598" s="255"/>
      <c r="AS598" s="255"/>
      <c r="AT598" s="255"/>
      <c r="AU598" s="255"/>
      <c r="AV598" s="255"/>
      <c r="AW598" s="255"/>
      <c r="AX598" s="210"/>
      <c r="AY598" s="236" cm="1">
        <f t="array" ref="AY598">INDEX(Use, $AD598, 4)</f>
        <v>7</v>
      </c>
      <c r="AZ598" s="236">
        <f t="shared" si="604"/>
        <v>32</v>
      </c>
      <c r="BA598" s="236">
        <f t="shared" si="592"/>
        <v>13</v>
      </c>
      <c r="BB598" s="236">
        <f t="shared" si="593"/>
        <v>0</v>
      </c>
      <c r="BC598" s="252" cm="1">
        <f t="array" ref="BC598">K598/IF($L598&gt;0, INDEX($AO$23:$AU$77, $L598+20, $AD598), 1)</f>
        <v>0</v>
      </c>
      <c r="BD598" s="237">
        <f t="shared" si="605"/>
        <v>0</v>
      </c>
      <c r="BE598" s="236">
        <v>35</v>
      </c>
      <c r="BF598" s="237">
        <f t="shared" si="606"/>
        <v>52.55</v>
      </c>
      <c r="BG598" s="253">
        <f t="shared" si="607"/>
        <v>2.7676728869374316</v>
      </c>
      <c r="BH598" s="253" cm="1">
        <f t="array" ref="BH598">$BC598 * SUMPRODUCT(INDEX($AL$77:$AN$82,,$AE598),INDEX($AO$77:$AU$82,,$AD598), N($AK$77:$AK$82&gt;$AI598)) / BG598 / 1000</f>
        <v>0</v>
      </c>
      <c r="BI598" s="250">
        <f t="shared" si="594"/>
        <v>30</v>
      </c>
      <c r="BJ598" s="237">
        <f t="shared" si="608"/>
        <v>46.033333333333331</v>
      </c>
      <c r="BK598" s="253">
        <f t="shared" si="609"/>
        <v>3.2297395388556791</v>
      </c>
      <c r="BL598" s="253" cm="1">
        <f t="array" ref="BL598">$BC598 * IF($AD598&lt;=2,
SUMPRODUCT(INDEX($AL$72:$AN$76,,$AE598), INDEX($AO$72:$AU$76,,$AD598), 1 / ($AV$72:$AV$76*BK598 + (1-$AV$72:$AV$76)*BG598), N($AK$72:$AK$76&gt;$AI598)),
SUMPRODUCT(INDEX($AL$67:$AN$76,,$AE598), INDEX($AO$67:$AU$76,,$AD598), 1 / ($AW$67:$AW$76*BK598 + (1-$AW$67:$AW$76)*BG598), N($AK$67:$AK$76&gt;$AI598))
) / 1000</f>
        <v>0</v>
      </c>
      <c r="BM598" s="250">
        <f t="shared" si="595"/>
        <v>25</v>
      </c>
      <c r="BN598" s="237">
        <f t="shared" si="610"/>
        <v>39.516666666666666</v>
      </c>
      <c r="BO598" s="253">
        <f t="shared" si="611"/>
        <v>3.877011788826243</v>
      </c>
      <c r="BP598" s="253" cm="1">
        <f t="array" ref="BP598">$BC598 * IF($AD598&lt;=2,
SUMPRODUCT(INDEX($AL$67:$AN$71,,$AE598), INDEX($AO$67:$AU$71,,$AD598), 1 / ($AV$67:$AV$71*BO598 + (1-$AV$67:$AV$71)*BK598), N($AK$67:$AK$71&gt;$AI598)),
SUMPRODUCT(INDEX($AL$57:$AN$66,,$AE598), INDEX($AO$57:$AU$66,,$AD598), 1 / ($AW$57:$AW$66*BO598 + (1-$AW$57:$AW$66)*BK598), N($AK$57:$AK$66&gt;$AI598))
) / 1000</f>
        <v>0</v>
      </c>
      <c r="BQ598" s="250">
        <f t="shared" si="596"/>
        <v>20</v>
      </c>
      <c r="BR598" s="237">
        <f t="shared" si="612"/>
        <v>33</v>
      </c>
      <c r="BS598" s="253">
        <f t="shared" si="613"/>
        <v>4.8487499999999999</v>
      </c>
      <c r="BT598" s="253" cm="1">
        <f t="array" ref="BT598">$BC598 * IF($AD598&lt;=2,
SUMPRODUCT(INDEX($AL$62:$AN$66,,$AE598), INDEX($AO$62:$AU$66,,$AD598), 1 / ($AV$62:$AV$66*BS598 + (1-$AV$62:$AV$66)*BO598), N($AK$62:$AK$66&gt;$AI598)),
SUMPRODUCT(INDEX($AL$47:$AN$56,,$AE598), INDEX($AO$47:$AU$56,,$AD598), 1 / ($AW$47:$AW$56*BS598 + (1-$AW$47:$AW$56)*BO598), N($AK$47:$AK$56&gt;$AI598))
) / 1000</f>
        <v>0</v>
      </c>
      <c r="BU598" s="253" cm="1">
        <f t="array" ref="BU598">$BC598 * IF($AD598&lt;=2,
SUMPRODUCT(INDEX($AL$23:$AN$61,,$AE598), INDEX($AO$23:$AU$61,,$AD598), 1 / ($AV$23:$AV$61*BS598), N($AK$23:$AK$61&gt;$AI598)),
SUMPRODUCT(INDEX($AL$23:$AN$46,,$AE598), INDEX($AO$23:$AU$46,,$AD598), 1 / ($AW$23:$AW$46*BS598), N($AK$23:$AK$46&gt;$AI598))
) / 1000</f>
        <v>0</v>
      </c>
      <c r="BV598" s="237">
        <f t="shared" si="614"/>
        <v>0</v>
      </c>
      <c r="BW598" s="210"/>
      <c r="BX598" s="237">
        <f t="shared" si="615"/>
        <v>0</v>
      </c>
      <c r="BY598" s="236">
        <v>35</v>
      </c>
      <c r="BZ598" s="237">
        <f t="shared" si="616"/>
        <v>48</v>
      </c>
      <c r="CA598" s="253">
        <f t="shared" si="617"/>
        <v>3.0748170731707316</v>
      </c>
      <c r="CB598" s="253" cm="1">
        <f t="array" ref="CB598">$BC598 * SUMPRODUCT(INDEX($AL$77:$AN$82,,$AE598),INDEX($AO$77:$AU$82,,$AD598), N($AK$77:$AK$82&gt;$AI598)) / CA598 / 1000</f>
        <v>0</v>
      </c>
      <c r="CC598" s="250">
        <f t="shared" si="597"/>
        <v>30</v>
      </c>
      <c r="CD598" s="237">
        <f t="shared" si="618"/>
        <v>43</v>
      </c>
      <c r="CE598" s="253">
        <f t="shared" si="619"/>
        <v>3.5018750000000001</v>
      </c>
      <c r="CF598" s="253" cm="1">
        <f t="array" ref="CF598">$BC598 * IF($AD598&lt;=2,
SUMPRODUCT(INDEX($AL$72:$AN$76,,$AE598), INDEX($AO$72:$AU$76,,$AD598), 1 / ($AV$72:$AV$76*CE598 + (1-$AV$72:$AV$76)*CA598), N($AK$72:$AK$76&gt;$AI598)),
SUMPRODUCT(INDEX($AL$67:$AN$76,,$AE598), INDEX($AO$67:$AU$76,,$AD598), 1 / ($AW$67:$AW$76*CE598 + (1-$AW$67:$AW$76)*CA598), N($AK$67:$AK$76&gt;$AI598))
) / 1000</f>
        <v>0</v>
      </c>
      <c r="CG598" s="250">
        <f t="shared" si="598"/>
        <v>25</v>
      </c>
      <c r="CH598" s="237">
        <f t="shared" si="620"/>
        <v>38</v>
      </c>
      <c r="CI598" s="253">
        <f t="shared" si="621"/>
        <v>4.0666935483870965</v>
      </c>
      <c r="CJ598" s="253" cm="1">
        <f t="array" ref="CJ598">$BC598 * IF($AD598&lt;=2,
SUMPRODUCT(INDEX($AL$67:$AN$71,,$AE598), INDEX($AO$67:$AU$71,,$AD598), 1 / ($AV$67:$AV$71*CI598 + (1-$AV$67:$AV$71)*CE598), N($AK$67:$AK$71&gt;$AI598)),
SUMPRODUCT(INDEX($AL$57:$AN$66,,$AE598), INDEX($AO$57:$AU$66,,$AD598), 1 / ($AW$57:$AW$66*CI598 + (1-$AW$57:$AW$66)*CE598), N($AK$57:$AK$66&gt;$AI598))
) / 1000</f>
        <v>0</v>
      </c>
      <c r="CK598" s="250">
        <f t="shared" si="599"/>
        <v>20</v>
      </c>
      <c r="CL598" s="237">
        <f t="shared" si="622"/>
        <v>33</v>
      </c>
      <c r="CM598" s="253">
        <f t="shared" si="623"/>
        <v>4.8487499999999999</v>
      </c>
      <c r="CN598" s="253" cm="1">
        <f t="array" ref="CN598">$BC598 * IF($AD598&lt;=2,
SUMPRODUCT(INDEX($AL$62:$AN$66,,$AE598), INDEX($AO$62:$AU$66,,$AD598), 1 / ($AV$62:$AV$66*CM598 + (1-$AV$62:$AV$66)*CI598), N($AK$62:$AK$66&gt;$AI598)),
SUMPRODUCT(INDEX($AL$47:$AN$56,,$AE598), INDEX($AO$47:$AU$56,,$AD598), 1 / ($AW$47:$AW$56*CM598 + (1-$AW$47:$AW$56)*CI598), N($AK$47:$AK$56&gt;$AI598))
) / 1000</f>
        <v>0</v>
      </c>
      <c r="CO598" s="253" cm="1">
        <f t="array" ref="CO598">$BC598 * IF($AD598&lt;=2,
SUMPRODUCT(INDEX($AL$23:$AN$61,,$AE598), INDEX($AO$23:$AU$61,,$AD598), 1 / ($AV$23:$AV$61*CM598), N($AK$23:$AK$61&gt;$AI598)),
SUMPRODUCT(INDEX($AL$23:$AN$46,,$AE598), INDEX($AO$23:$AU$46,,$AD598), 1 / ($AW$23:$AW$46*CM598), N($AK$23:$AK$46&gt;$AI598))
) / 1000</f>
        <v>0</v>
      </c>
      <c r="CP598" s="237">
        <f t="shared" si="624"/>
        <v>0</v>
      </c>
      <c r="CQ598" s="210"/>
    </row>
    <row r="599" spans="1:95" s="76" customFormat="1" ht="14.25" customHeight="1" x14ac:dyDescent="0.2">
      <c r="A599" s="238" t="b">
        <f t="shared" si="628"/>
        <v>0</v>
      </c>
      <c r="B599" s="239">
        <v>577</v>
      </c>
      <c r="C599" s="258"/>
      <c r="D599" s="258"/>
      <c r="E599" s="240"/>
      <c r="F599" s="241" t="str">
        <f>IF(ISBLANK(E599), "", VLOOKUP(E599, Z!$A$2:$C$4127, 3, FALSE))</f>
        <v/>
      </c>
      <c r="G599" s="242"/>
      <c r="H599" s="242"/>
      <c r="I599" s="243"/>
      <c r="J599" s="244"/>
      <c r="K599" s="259"/>
      <c r="L599" s="260"/>
      <c r="M599" s="247" t="str" cm="1">
        <f t="array" ref="M599">IF($K599&gt;0, INDEX(Clean,1+AG599,$C$1), "")</f>
        <v/>
      </c>
      <c r="N599" s="245"/>
      <c r="O599" s="245"/>
      <c r="P599" s="246"/>
      <c r="Q599" s="248">
        <f t="shared" si="601"/>
        <v>0</v>
      </c>
      <c r="R599" s="247" t="str" cm="1">
        <f t="array" ref="R599">IF($K599&gt;0, INDEX(Clean,1+AH599,$C$1), "")</f>
        <v/>
      </c>
      <c r="S599" s="245"/>
      <c r="T599" s="245"/>
      <c r="U599" s="246"/>
      <c r="V599" s="248">
        <f t="shared" si="602"/>
        <v>0</v>
      </c>
      <c r="W599" s="261"/>
      <c r="X599" s="258"/>
      <c r="Y599" s="240"/>
      <c r="Z599" s="241" t="str">
        <f>IF(ISBLANK(Y599), "", VLOOKUP(Y599, Z!$A$2:$C$4127, 3, FALSE))</f>
        <v/>
      </c>
      <c r="AA599" s="262"/>
      <c r="AB599" s="249">
        <f t="shared" si="600"/>
        <v>0</v>
      </c>
      <c r="AC599" s="210"/>
      <c r="AD599" s="236">
        <f t="shared" si="625"/>
        <v>1</v>
      </c>
      <c r="AE599" s="236">
        <f t="shared" si="626"/>
        <v>1</v>
      </c>
      <c r="AF599" s="236">
        <f t="shared" si="627"/>
        <v>0</v>
      </c>
      <c r="AG599" s="236">
        <v>1</v>
      </c>
      <c r="AH599" s="236">
        <v>0</v>
      </c>
      <c r="AI599" s="236">
        <f t="shared" si="603"/>
        <v>-100</v>
      </c>
      <c r="AJ599" s="210"/>
      <c r="AK599" s="254"/>
      <c r="AL599" s="254"/>
      <c r="AM599" s="255"/>
      <c r="AN599" s="255"/>
      <c r="AO599" s="255"/>
      <c r="AP599" s="255"/>
      <c r="AQ599" s="255"/>
      <c r="AR599" s="255"/>
      <c r="AS599" s="255"/>
      <c r="AT599" s="255"/>
      <c r="AU599" s="255"/>
      <c r="AV599" s="255"/>
      <c r="AW599" s="255"/>
      <c r="AX599" s="210"/>
      <c r="AY599" s="236" cm="1">
        <f t="array" ref="AY599">INDEX(Use, $AD599, 4)</f>
        <v>7</v>
      </c>
      <c r="AZ599" s="236">
        <f t="shared" si="604"/>
        <v>32</v>
      </c>
      <c r="BA599" s="236">
        <f t="shared" ref="BA599:BA662" si="629">IF($AF599=1, 6, IF($AD599=4, 10, 13))</f>
        <v>13</v>
      </c>
      <c r="BB599" s="236">
        <f t="shared" ref="BB599:BB662" si="630">IF($AF599=1, 9, 0)</f>
        <v>0</v>
      </c>
      <c r="BC599" s="252" cm="1">
        <f t="array" ref="BC599">K599/IF($L599&gt;0, INDEX($AO$23:$AU$77, $L599+20, $AD599), 1)</f>
        <v>0</v>
      </c>
      <c r="BD599" s="237">
        <f t="shared" si="605"/>
        <v>0</v>
      </c>
      <c r="BE599" s="236">
        <v>35</v>
      </c>
      <c r="BF599" s="237">
        <f t="shared" si="606"/>
        <v>52.55</v>
      </c>
      <c r="BG599" s="253">
        <f t="shared" si="607"/>
        <v>2.7676728869374316</v>
      </c>
      <c r="BH599" s="253" cm="1">
        <f t="array" ref="BH599">$BC599 * SUMPRODUCT(INDEX($AL$77:$AN$82,,$AE599),INDEX($AO$77:$AU$82,,$AD599), N($AK$77:$AK$82&gt;$AI599)) / BG599 / 1000</f>
        <v>0</v>
      </c>
      <c r="BI599" s="250">
        <f t="shared" ref="BI599:BI662" si="631">IF($AD599&lt;=2, 30, 25)</f>
        <v>30</v>
      </c>
      <c r="BJ599" s="237">
        <f t="shared" si="608"/>
        <v>46.033333333333331</v>
      </c>
      <c r="BK599" s="253">
        <f t="shared" si="609"/>
        <v>3.2297395388556791</v>
      </c>
      <c r="BL599" s="253" cm="1">
        <f t="array" ref="BL599">$BC599 * IF($AD599&lt;=2,
SUMPRODUCT(INDEX($AL$72:$AN$76,,$AE599), INDEX($AO$72:$AU$76,,$AD599), 1 / ($AV$72:$AV$76*BK599 + (1-$AV$72:$AV$76)*BG599), N($AK$72:$AK$76&gt;$AI599)),
SUMPRODUCT(INDEX($AL$67:$AN$76,,$AE599), INDEX($AO$67:$AU$76,,$AD599), 1 / ($AW$67:$AW$76*BK599 + (1-$AW$67:$AW$76)*BG599), N($AK$67:$AK$76&gt;$AI599))
) / 1000</f>
        <v>0</v>
      </c>
      <c r="BM599" s="250">
        <f t="shared" ref="BM599:BM662" si="632">IF($AD599&lt;=2, 25, 15)</f>
        <v>25</v>
      </c>
      <c r="BN599" s="237">
        <f t="shared" si="610"/>
        <v>39.516666666666666</v>
      </c>
      <c r="BO599" s="253">
        <f t="shared" si="611"/>
        <v>3.877011788826243</v>
      </c>
      <c r="BP599" s="253" cm="1">
        <f t="array" ref="BP599">$BC599 * IF($AD599&lt;=2,
SUMPRODUCT(INDEX($AL$67:$AN$71,,$AE599), INDEX($AO$67:$AU$71,,$AD599), 1 / ($AV$67:$AV$71*BO599 + (1-$AV$67:$AV$71)*BK599), N($AK$67:$AK$71&gt;$AI599)),
SUMPRODUCT(INDEX($AL$57:$AN$66,,$AE599), INDEX($AO$57:$AU$66,,$AD599), 1 / ($AW$57:$AW$66*BO599 + (1-$AW$57:$AW$66)*BK599), N($AK$57:$AK$66&gt;$AI599))
) / 1000</f>
        <v>0</v>
      </c>
      <c r="BQ599" s="250">
        <f t="shared" ref="BQ599:BQ662" si="633">IF($AD599&lt;=2, 20, 5)</f>
        <v>20</v>
      </c>
      <c r="BR599" s="237">
        <f t="shared" si="612"/>
        <v>33</v>
      </c>
      <c r="BS599" s="253">
        <f t="shared" si="613"/>
        <v>4.8487499999999999</v>
      </c>
      <c r="BT599" s="253" cm="1">
        <f t="array" ref="BT599">$BC599 * IF($AD599&lt;=2,
SUMPRODUCT(INDEX($AL$62:$AN$66,,$AE599), INDEX($AO$62:$AU$66,,$AD599), 1 / ($AV$62:$AV$66*BS599 + (1-$AV$62:$AV$66)*BO599), N($AK$62:$AK$66&gt;$AI599)),
SUMPRODUCT(INDEX($AL$47:$AN$56,,$AE599), INDEX($AO$47:$AU$56,,$AD599), 1 / ($AW$47:$AW$56*BS599 + (1-$AW$47:$AW$56)*BO599), N($AK$47:$AK$56&gt;$AI599))
) / 1000</f>
        <v>0</v>
      </c>
      <c r="BU599" s="253" cm="1">
        <f t="array" ref="BU599">$BC599 * IF($AD599&lt;=2,
SUMPRODUCT(INDEX($AL$23:$AN$61,,$AE599), INDEX($AO$23:$AU$61,,$AD599), 1 / ($AV$23:$AV$61*BS599), N($AK$23:$AK$61&gt;$AI599)),
SUMPRODUCT(INDEX($AL$23:$AN$46,,$AE599), INDEX($AO$23:$AU$46,,$AD599), 1 / ($AW$23:$AW$46*BS599), N($AK$23:$AK$46&gt;$AI599))
) / 1000</f>
        <v>0</v>
      </c>
      <c r="BV599" s="237">
        <f t="shared" si="614"/>
        <v>0</v>
      </c>
      <c r="BW599" s="210"/>
      <c r="BX599" s="237">
        <f t="shared" si="615"/>
        <v>0</v>
      </c>
      <c r="BY599" s="236">
        <v>35</v>
      </c>
      <c r="BZ599" s="237">
        <f t="shared" si="616"/>
        <v>48</v>
      </c>
      <c r="CA599" s="253">
        <f t="shared" si="617"/>
        <v>3.0748170731707316</v>
      </c>
      <c r="CB599" s="253" cm="1">
        <f t="array" ref="CB599">$BC599 * SUMPRODUCT(INDEX($AL$77:$AN$82,,$AE599),INDEX($AO$77:$AU$82,,$AD599), N($AK$77:$AK$82&gt;$AI599)) / CA599 / 1000</f>
        <v>0</v>
      </c>
      <c r="CC599" s="250">
        <f t="shared" ref="CC599:CC662" si="634">IF($AD599&lt;=2, 30, 25)</f>
        <v>30</v>
      </c>
      <c r="CD599" s="237">
        <f t="shared" si="618"/>
        <v>43</v>
      </c>
      <c r="CE599" s="253">
        <f t="shared" si="619"/>
        <v>3.5018750000000001</v>
      </c>
      <c r="CF599" s="253" cm="1">
        <f t="array" ref="CF599">$BC599 * IF($AD599&lt;=2,
SUMPRODUCT(INDEX($AL$72:$AN$76,,$AE599), INDEX($AO$72:$AU$76,,$AD599), 1 / ($AV$72:$AV$76*CE599 + (1-$AV$72:$AV$76)*CA599), N($AK$72:$AK$76&gt;$AI599)),
SUMPRODUCT(INDEX($AL$67:$AN$76,,$AE599), INDEX($AO$67:$AU$76,,$AD599), 1 / ($AW$67:$AW$76*CE599 + (1-$AW$67:$AW$76)*CA599), N($AK$67:$AK$76&gt;$AI599))
) / 1000</f>
        <v>0</v>
      </c>
      <c r="CG599" s="250">
        <f t="shared" ref="CG599:CG662" si="635">IF($AD599&lt;=2, 25, 15)</f>
        <v>25</v>
      </c>
      <c r="CH599" s="237">
        <f t="shared" si="620"/>
        <v>38</v>
      </c>
      <c r="CI599" s="253">
        <f t="shared" si="621"/>
        <v>4.0666935483870965</v>
      </c>
      <c r="CJ599" s="253" cm="1">
        <f t="array" ref="CJ599">$BC599 * IF($AD599&lt;=2,
SUMPRODUCT(INDEX($AL$67:$AN$71,,$AE599), INDEX($AO$67:$AU$71,,$AD599), 1 / ($AV$67:$AV$71*CI599 + (1-$AV$67:$AV$71)*CE599), N($AK$67:$AK$71&gt;$AI599)),
SUMPRODUCT(INDEX($AL$57:$AN$66,,$AE599), INDEX($AO$57:$AU$66,,$AD599), 1 / ($AW$57:$AW$66*CI599 + (1-$AW$57:$AW$66)*CE599), N($AK$57:$AK$66&gt;$AI599))
) / 1000</f>
        <v>0</v>
      </c>
      <c r="CK599" s="250">
        <f t="shared" ref="CK599:CK662" si="636">IF($AD599&lt;=2, 20, 5)</f>
        <v>20</v>
      </c>
      <c r="CL599" s="237">
        <f t="shared" si="622"/>
        <v>33</v>
      </c>
      <c r="CM599" s="253">
        <f t="shared" si="623"/>
        <v>4.8487499999999999</v>
      </c>
      <c r="CN599" s="253" cm="1">
        <f t="array" ref="CN599">$BC599 * IF($AD599&lt;=2,
SUMPRODUCT(INDEX($AL$62:$AN$66,,$AE599), INDEX($AO$62:$AU$66,,$AD599), 1 / ($AV$62:$AV$66*CM599 + (1-$AV$62:$AV$66)*CI599), N($AK$62:$AK$66&gt;$AI599)),
SUMPRODUCT(INDEX($AL$47:$AN$56,,$AE599), INDEX($AO$47:$AU$56,,$AD599), 1 / ($AW$47:$AW$56*CM599 + (1-$AW$47:$AW$56)*CI599), N($AK$47:$AK$56&gt;$AI599))
) / 1000</f>
        <v>0</v>
      </c>
      <c r="CO599" s="253" cm="1">
        <f t="array" ref="CO599">$BC599 * IF($AD599&lt;=2,
SUMPRODUCT(INDEX($AL$23:$AN$61,,$AE599), INDEX($AO$23:$AU$61,,$AD599), 1 / ($AV$23:$AV$61*CM599), N($AK$23:$AK$61&gt;$AI599)),
SUMPRODUCT(INDEX($AL$23:$AN$46,,$AE599), INDEX($AO$23:$AU$46,,$AD599), 1 / ($AW$23:$AW$46*CM599), N($AK$23:$AK$46&gt;$AI599))
) / 1000</f>
        <v>0</v>
      </c>
      <c r="CP599" s="237">
        <f t="shared" si="624"/>
        <v>0</v>
      </c>
      <c r="CQ599" s="210"/>
    </row>
    <row r="600" spans="1:95" s="76" customFormat="1" ht="14.25" customHeight="1" x14ac:dyDescent="0.2">
      <c r="A600" s="238" t="b">
        <f t="shared" si="628"/>
        <v>0</v>
      </c>
      <c r="B600" s="239">
        <v>578</v>
      </c>
      <c r="C600" s="258"/>
      <c r="D600" s="258"/>
      <c r="E600" s="240"/>
      <c r="F600" s="241" t="str">
        <f>IF(ISBLANK(E600), "", VLOOKUP(E600, Z!$A$2:$C$4127, 3, FALSE))</f>
        <v/>
      </c>
      <c r="G600" s="242"/>
      <c r="H600" s="242"/>
      <c r="I600" s="243"/>
      <c r="J600" s="244"/>
      <c r="K600" s="259"/>
      <c r="L600" s="260"/>
      <c r="M600" s="247" t="str" cm="1">
        <f t="array" ref="M600">IF($K600&gt;0, INDEX(Clean,1+AG600,$C$1), "")</f>
        <v/>
      </c>
      <c r="N600" s="245"/>
      <c r="O600" s="245"/>
      <c r="P600" s="246"/>
      <c r="Q600" s="248">
        <f t="shared" si="601"/>
        <v>0</v>
      </c>
      <c r="R600" s="247" t="str" cm="1">
        <f t="array" ref="R600">IF($K600&gt;0, INDEX(Clean,1+AH600,$C$1), "")</f>
        <v/>
      </c>
      <c r="S600" s="245"/>
      <c r="T600" s="245"/>
      <c r="U600" s="246"/>
      <c r="V600" s="248">
        <f t="shared" si="602"/>
        <v>0</v>
      </c>
      <c r="W600" s="261"/>
      <c r="X600" s="258"/>
      <c r="Y600" s="240"/>
      <c r="Z600" s="241" t="str">
        <f>IF(ISBLANK(Y600), "", VLOOKUP(Y600, Z!$A$2:$C$4127, 3, FALSE))</f>
        <v/>
      </c>
      <c r="AA600" s="262"/>
      <c r="AB600" s="249">
        <f t="shared" ref="AB600:AB663" si="637">0.75*$AJ$22*(Q600-V600)</f>
        <v>0</v>
      </c>
      <c r="AC600" s="210"/>
      <c r="AD600" s="236">
        <f t="shared" si="625"/>
        <v>1</v>
      </c>
      <c r="AE600" s="236">
        <f t="shared" si="626"/>
        <v>1</v>
      </c>
      <c r="AF600" s="236">
        <f t="shared" si="627"/>
        <v>0</v>
      </c>
      <c r="AG600" s="236">
        <v>1</v>
      </c>
      <c r="AH600" s="236">
        <v>0</v>
      </c>
      <c r="AI600" s="236">
        <f t="shared" si="603"/>
        <v>-100</v>
      </c>
      <c r="AJ600" s="210"/>
      <c r="AK600" s="254"/>
      <c r="AL600" s="254"/>
      <c r="AM600" s="255"/>
      <c r="AN600" s="255"/>
      <c r="AO600" s="255"/>
      <c r="AP600" s="255"/>
      <c r="AQ600" s="255"/>
      <c r="AR600" s="255"/>
      <c r="AS600" s="255"/>
      <c r="AT600" s="255"/>
      <c r="AU600" s="255"/>
      <c r="AV600" s="255"/>
      <c r="AW600" s="255"/>
      <c r="AX600" s="210"/>
      <c r="AY600" s="236" cm="1">
        <f t="array" ref="AY600">INDEX(Use, $AD600, 4)</f>
        <v>7</v>
      </c>
      <c r="AZ600" s="236">
        <f t="shared" si="604"/>
        <v>32</v>
      </c>
      <c r="BA600" s="236">
        <f t="shared" si="629"/>
        <v>13</v>
      </c>
      <c r="BB600" s="236">
        <f t="shared" si="630"/>
        <v>0</v>
      </c>
      <c r="BC600" s="252" cm="1">
        <f t="array" ref="BC600">K600/IF($L600&gt;0, INDEX($AO$23:$AU$77, $L600+20, $AD600), 1)</f>
        <v>0</v>
      </c>
      <c r="BD600" s="237">
        <f t="shared" si="605"/>
        <v>0</v>
      </c>
      <c r="BE600" s="236">
        <v>35</v>
      </c>
      <c r="BF600" s="237">
        <f t="shared" si="606"/>
        <v>52.55</v>
      </c>
      <c r="BG600" s="253">
        <f t="shared" si="607"/>
        <v>2.7676728869374316</v>
      </c>
      <c r="BH600" s="253" cm="1">
        <f t="array" ref="BH600">$BC600 * SUMPRODUCT(INDEX($AL$77:$AN$82,,$AE600),INDEX($AO$77:$AU$82,,$AD600), N($AK$77:$AK$82&gt;$AI600)) / BG600 / 1000</f>
        <v>0</v>
      </c>
      <c r="BI600" s="250">
        <f t="shared" si="631"/>
        <v>30</v>
      </c>
      <c r="BJ600" s="237">
        <f t="shared" si="608"/>
        <v>46.033333333333331</v>
      </c>
      <c r="BK600" s="253">
        <f t="shared" si="609"/>
        <v>3.2297395388556791</v>
      </c>
      <c r="BL600" s="253" cm="1">
        <f t="array" ref="BL600">$BC600 * IF($AD600&lt;=2,
SUMPRODUCT(INDEX($AL$72:$AN$76,,$AE600), INDEX($AO$72:$AU$76,,$AD600), 1 / ($AV$72:$AV$76*BK600 + (1-$AV$72:$AV$76)*BG600), N($AK$72:$AK$76&gt;$AI600)),
SUMPRODUCT(INDEX($AL$67:$AN$76,,$AE600), INDEX($AO$67:$AU$76,,$AD600), 1 / ($AW$67:$AW$76*BK600 + (1-$AW$67:$AW$76)*BG600), N($AK$67:$AK$76&gt;$AI600))
) / 1000</f>
        <v>0</v>
      </c>
      <c r="BM600" s="250">
        <f t="shared" si="632"/>
        <v>25</v>
      </c>
      <c r="BN600" s="237">
        <f t="shared" si="610"/>
        <v>39.516666666666666</v>
      </c>
      <c r="BO600" s="253">
        <f t="shared" si="611"/>
        <v>3.877011788826243</v>
      </c>
      <c r="BP600" s="253" cm="1">
        <f t="array" ref="BP600">$BC600 * IF($AD600&lt;=2,
SUMPRODUCT(INDEX($AL$67:$AN$71,,$AE600), INDEX($AO$67:$AU$71,,$AD600), 1 / ($AV$67:$AV$71*BO600 + (1-$AV$67:$AV$71)*BK600), N($AK$67:$AK$71&gt;$AI600)),
SUMPRODUCT(INDEX($AL$57:$AN$66,,$AE600), INDEX($AO$57:$AU$66,,$AD600), 1 / ($AW$57:$AW$66*BO600 + (1-$AW$57:$AW$66)*BK600), N($AK$57:$AK$66&gt;$AI600))
) / 1000</f>
        <v>0</v>
      </c>
      <c r="BQ600" s="250">
        <f t="shared" si="633"/>
        <v>20</v>
      </c>
      <c r="BR600" s="237">
        <f t="shared" si="612"/>
        <v>33</v>
      </c>
      <c r="BS600" s="253">
        <f t="shared" si="613"/>
        <v>4.8487499999999999</v>
      </c>
      <c r="BT600" s="253" cm="1">
        <f t="array" ref="BT600">$BC600 * IF($AD600&lt;=2,
SUMPRODUCT(INDEX($AL$62:$AN$66,,$AE600), INDEX($AO$62:$AU$66,,$AD600), 1 / ($AV$62:$AV$66*BS600 + (1-$AV$62:$AV$66)*BO600), N($AK$62:$AK$66&gt;$AI600)),
SUMPRODUCT(INDEX($AL$47:$AN$56,,$AE600), INDEX($AO$47:$AU$56,,$AD600), 1 / ($AW$47:$AW$56*BS600 + (1-$AW$47:$AW$56)*BO600), N($AK$47:$AK$56&gt;$AI600))
) / 1000</f>
        <v>0</v>
      </c>
      <c r="BU600" s="253" cm="1">
        <f t="array" ref="BU600">$BC600 * IF($AD600&lt;=2,
SUMPRODUCT(INDEX($AL$23:$AN$61,,$AE600), INDEX($AO$23:$AU$61,,$AD600), 1 / ($AV$23:$AV$61*BS600), N($AK$23:$AK$61&gt;$AI600)),
SUMPRODUCT(INDEX($AL$23:$AN$46,,$AE600), INDEX($AO$23:$AU$46,,$AD600), 1 / ($AW$23:$AW$46*BS600), N($AK$23:$AK$46&gt;$AI600))
) / 1000</f>
        <v>0</v>
      </c>
      <c r="BV600" s="237">
        <f t="shared" si="614"/>
        <v>0</v>
      </c>
      <c r="BW600" s="210"/>
      <c r="BX600" s="237">
        <f t="shared" si="615"/>
        <v>0</v>
      </c>
      <c r="BY600" s="236">
        <v>35</v>
      </c>
      <c r="BZ600" s="237">
        <f t="shared" si="616"/>
        <v>48</v>
      </c>
      <c r="CA600" s="253">
        <f t="shared" si="617"/>
        <v>3.0748170731707316</v>
      </c>
      <c r="CB600" s="253" cm="1">
        <f t="array" ref="CB600">$BC600 * SUMPRODUCT(INDEX($AL$77:$AN$82,,$AE600),INDEX($AO$77:$AU$82,,$AD600), N($AK$77:$AK$82&gt;$AI600)) / CA600 / 1000</f>
        <v>0</v>
      </c>
      <c r="CC600" s="250">
        <f t="shared" si="634"/>
        <v>30</v>
      </c>
      <c r="CD600" s="237">
        <f t="shared" si="618"/>
        <v>43</v>
      </c>
      <c r="CE600" s="253">
        <f t="shared" si="619"/>
        <v>3.5018750000000001</v>
      </c>
      <c r="CF600" s="253" cm="1">
        <f t="array" ref="CF600">$BC600 * IF($AD600&lt;=2,
SUMPRODUCT(INDEX($AL$72:$AN$76,,$AE600), INDEX($AO$72:$AU$76,,$AD600), 1 / ($AV$72:$AV$76*CE600 + (1-$AV$72:$AV$76)*CA600), N($AK$72:$AK$76&gt;$AI600)),
SUMPRODUCT(INDEX($AL$67:$AN$76,,$AE600), INDEX($AO$67:$AU$76,,$AD600), 1 / ($AW$67:$AW$76*CE600 + (1-$AW$67:$AW$76)*CA600), N($AK$67:$AK$76&gt;$AI600))
) / 1000</f>
        <v>0</v>
      </c>
      <c r="CG600" s="250">
        <f t="shared" si="635"/>
        <v>25</v>
      </c>
      <c r="CH600" s="237">
        <f t="shared" si="620"/>
        <v>38</v>
      </c>
      <c r="CI600" s="253">
        <f t="shared" si="621"/>
        <v>4.0666935483870965</v>
      </c>
      <c r="CJ600" s="253" cm="1">
        <f t="array" ref="CJ600">$BC600 * IF($AD600&lt;=2,
SUMPRODUCT(INDEX($AL$67:$AN$71,,$AE600), INDEX($AO$67:$AU$71,,$AD600), 1 / ($AV$67:$AV$71*CI600 + (1-$AV$67:$AV$71)*CE600), N($AK$67:$AK$71&gt;$AI600)),
SUMPRODUCT(INDEX($AL$57:$AN$66,,$AE600), INDEX($AO$57:$AU$66,,$AD600), 1 / ($AW$57:$AW$66*CI600 + (1-$AW$57:$AW$66)*CE600), N($AK$57:$AK$66&gt;$AI600))
) / 1000</f>
        <v>0</v>
      </c>
      <c r="CK600" s="250">
        <f t="shared" si="636"/>
        <v>20</v>
      </c>
      <c r="CL600" s="237">
        <f t="shared" si="622"/>
        <v>33</v>
      </c>
      <c r="CM600" s="253">
        <f t="shared" si="623"/>
        <v>4.8487499999999999</v>
      </c>
      <c r="CN600" s="253" cm="1">
        <f t="array" ref="CN600">$BC600 * IF($AD600&lt;=2,
SUMPRODUCT(INDEX($AL$62:$AN$66,,$AE600), INDEX($AO$62:$AU$66,,$AD600), 1 / ($AV$62:$AV$66*CM600 + (1-$AV$62:$AV$66)*CI600), N($AK$62:$AK$66&gt;$AI600)),
SUMPRODUCT(INDEX($AL$47:$AN$56,,$AE600), INDEX($AO$47:$AU$56,,$AD600), 1 / ($AW$47:$AW$56*CM600 + (1-$AW$47:$AW$56)*CI600), N($AK$47:$AK$56&gt;$AI600))
) / 1000</f>
        <v>0</v>
      </c>
      <c r="CO600" s="253" cm="1">
        <f t="array" ref="CO600">$BC600 * IF($AD600&lt;=2,
SUMPRODUCT(INDEX($AL$23:$AN$61,,$AE600), INDEX($AO$23:$AU$61,,$AD600), 1 / ($AV$23:$AV$61*CM600), N($AK$23:$AK$61&gt;$AI600)),
SUMPRODUCT(INDEX($AL$23:$AN$46,,$AE600), INDEX($AO$23:$AU$46,,$AD600), 1 / ($AW$23:$AW$46*CM600), N($AK$23:$AK$46&gt;$AI600))
) / 1000</f>
        <v>0</v>
      </c>
      <c r="CP600" s="237">
        <f t="shared" si="624"/>
        <v>0</v>
      </c>
      <c r="CQ600" s="210"/>
    </row>
    <row r="601" spans="1:95" s="76" customFormat="1" ht="14.25" customHeight="1" x14ac:dyDescent="0.2">
      <c r="A601" s="238" t="b">
        <f t="shared" si="628"/>
        <v>0</v>
      </c>
      <c r="B601" s="239">
        <v>579</v>
      </c>
      <c r="C601" s="258"/>
      <c r="D601" s="258"/>
      <c r="E601" s="240"/>
      <c r="F601" s="241" t="str">
        <f>IF(ISBLANK(E601), "", VLOOKUP(E601, Z!$A$2:$C$4127, 3, FALSE))</f>
        <v/>
      </c>
      <c r="G601" s="242"/>
      <c r="H601" s="242"/>
      <c r="I601" s="243"/>
      <c r="J601" s="244"/>
      <c r="K601" s="259"/>
      <c r="L601" s="260"/>
      <c r="M601" s="247" t="str" cm="1">
        <f t="array" ref="M601">IF($K601&gt;0, INDEX(Clean,1+AG601,$C$1), "")</f>
        <v/>
      </c>
      <c r="N601" s="245"/>
      <c r="O601" s="245"/>
      <c r="P601" s="246"/>
      <c r="Q601" s="248">
        <f t="shared" si="601"/>
        <v>0</v>
      </c>
      <c r="R601" s="247" t="str" cm="1">
        <f t="array" ref="R601">IF($K601&gt;0, INDEX(Clean,1+AH601,$C$1), "")</f>
        <v/>
      </c>
      <c r="S601" s="245"/>
      <c r="T601" s="245"/>
      <c r="U601" s="246"/>
      <c r="V601" s="248">
        <f t="shared" si="602"/>
        <v>0</v>
      </c>
      <c r="W601" s="261"/>
      <c r="X601" s="258"/>
      <c r="Y601" s="240"/>
      <c r="Z601" s="241" t="str">
        <f>IF(ISBLANK(Y601), "", VLOOKUP(Y601, Z!$A$2:$C$4127, 3, FALSE))</f>
        <v/>
      </c>
      <c r="AA601" s="262"/>
      <c r="AB601" s="249">
        <f t="shared" si="637"/>
        <v>0</v>
      </c>
      <c r="AC601" s="210"/>
      <c r="AD601" s="236">
        <f t="shared" si="625"/>
        <v>1</v>
      </c>
      <c r="AE601" s="236">
        <f t="shared" si="626"/>
        <v>1</v>
      </c>
      <c r="AF601" s="236">
        <f t="shared" si="627"/>
        <v>0</v>
      </c>
      <c r="AG601" s="236">
        <v>1</v>
      </c>
      <c r="AH601" s="236">
        <v>0</v>
      </c>
      <c r="AI601" s="236">
        <f t="shared" si="603"/>
        <v>-100</v>
      </c>
      <c r="AJ601" s="210"/>
      <c r="AK601" s="254"/>
      <c r="AL601" s="254"/>
      <c r="AM601" s="255"/>
      <c r="AN601" s="255"/>
      <c r="AO601" s="255"/>
      <c r="AP601" s="255"/>
      <c r="AQ601" s="255"/>
      <c r="AR601" s="255"/>
      <c r="AS601" s="255"/>
      <c r="AT601" s="255"/>
      <c r="AU601" s="255"/>
      <c r="AV601" s="255"/>
      <c r="AW601" s="255"/>
      <c r="AX601" s="210"/>
      <c r="AY601" s="236" cm="1">
        <f t="array" ref="AY601">INDEX(Use, $AD601, 4)</f>
        <v>7</v>
      </c>
      <c r="AZ601" s="236">
        <f t="shared" si="604"/>
        <v>32</v>
      </c>
      <c r="BA601" s="236">
        <f t="shared" si="629"/>
        <v>13</v>
      </c>
      <c r="BB601" s="236">
        <f t="shared" si="630"/>
        <v>0</v>
      </c>
      <c r="BC601" s="252" cm="1">
        <f t="array" ref="BC601">K601/IF($L601&gt;0, INDEX($AO$23:$AU$77, $L601+20, $AD601), 1)</f>
        <v>0</v>
      </c>
      <c r="BD601" s="237">
        <f t="shared" si="605"/>
        <v>0</v>
      </c>
      <c r="BE601" s="236">
        <v>35</v>
      </c>
      <c r="BF601" s="237">
        <f t="shared" si="606"/>
        <v>52.55</v>
      </c>
      <c r="BG601" s="253">
        <f t="shared" si="607"/>
        <v>2.7676728869374316</v>
      </c>
      <c r="BH601" s="253" cm="1">
        <f t="array" ref="BH601">$BC601 * SUMPRODUCT(INDEX($AL$77:$AN$82,,$AE601),INDEX($AO$77:$AU$82,,$AD601), N($AK$77:$AK$82&gt;$AI601)) / BG601 / 1000</f>
        <v>0</v>
      </c>
      <c r="BI601" s="250">
        <f t="shared" si="631"/>
        <v>30</v>
      </c>
      <c r="BJ601" s="237">
        <f t="shared" si="608"/>
        <v>46.033333333333331</v>
      </c>
      <c r="BK601" s="253">
        <f t="shared" si="609"/>
        <v>3.2297395388556791</v>
      </c>
      <c r="BL601" s="253" cm="1">
        <f t="array" ref="BL601">$BC601 * IF($AD601&lt;=2,
SUMPRODUCT(INDEX($AL$72:$AN$76,,$AE601), INDEX($AO$72:$AU$76,,$AD601), 1 / ($AV$72:$AV$76*BK601 + (1-$AV$72:$AV$76)*BG601), N($AK$72:$AK$76&gt;$AI601)),
SUMPRODUCT(INDEX($AL$67:$AN$76,,$AE601), INDEX($AO$67:$AU$76,,$AD601), 1 / ($AW$67:$AW$76*BK601 + (1-$AW$67:$AW$76)*BG601), N($AK$67:$AK$76&gt;$AI601))
) / 1000</f>
        <v>0</v>
      </c>
      <c r="BM601" s="250">
        <f t="shared" si="632"/>
        <v>25</v>
      </c>
      <c r="BN601" s="237">
        <f t="shared" si="610"/>
        <v>39.516666666666666</v>
      </c>
      <c r="BO601" s="253">
        <f t="shared" si="611"/>
        <v>3.877011788826243</v>
      </c>
      <c r="BP601" s="253" cm="1">
        <f t="array" ref="BP601">$BC601 * IF($AD601&lt;=2,
SUMPRODUCT(INDEX($AL$67:$AN$71,,$AE601), INDEX($AO$67:$AU$71,,$AD601), 1 / ($AV$67:$AV$71*BO601 + (1-$AV$67:$AV$71)*BK601), N($AK$67:$AK$71&gt;$AI601)),
SUMPRODUCT(INDEX($AL$57:$AN$66,,$AE601), INDEX($AO$57:$AU$66,,$AD601), 1 / ($AW$57:$AW$66*BO601 + (1-$AW$57:$AW$66)*BK601), N($AK$57:$AK$66&gt;$AI601))
) / 1000</f>
        <v>0</v>
      </c>
      <c r="BQ601" s="250">
        <f t="shared" si="633"/>
        <v>20</v>
      </c>
      <c r="BR601" s="237">
        <f t="shared" si="612"/>
        <v>33</v>
      </c>
      <c r="BS601" s="253">
        <f t="shared" si="613"/>
        <v>4.8487499999999999</v>
      </c>
      <c r="BT601" s="253" cm="1">
        <f t="array" ref="BT601">$BC601 * IF($AD601&lt;=2,
SUMPRODUCT(INDEX($AL$62:$AN$66,,$AE601), INDEX($AO$62:$AU$66,,$AD601), 1 / ($AV$62:$AV$66*BS601 + (1-$AV$62:$AV$66)*BO601), N($AK$62:$AK$66&gt;$AI601)),
SUMPRODUCT(INDEX($AL$47:$AN$56,,$AE601), INDEX($AO$47:$AU$56,,$AD601), 1 / ($AW$47:$AW$56*BS601 + (1-$AW$47:$AW$56)*BO601), N($AK$47:$AK$56&gt;$AI601))
) / 1000</f>
        <v>0</v>
      </c>
      <c r="BU601" s="253" cm="1">
        <f t="array" ref="BU601">$BC601 * IF($AD601&lt;=2,
SUMPRODUCT(INDEX($AL$23:$AN$61,,$AE601), INDEX($AO$23:$AU$61,,$AD601), 1 / ($AV$23:$AV$61*BS601), N($AK$23:$AK$61&gt;$AI601)),
SUMPRODUCT(INDEX($AL$23:$AN$46,,$AE601), INDEX($AO$23:$AU$46,,$AD601), 1 / ($AW$23:$AW$46*BS601), N($AK$23:$AK$46&gt;$AI601))
) / 1000</f>
        <v>0</v>
      </c>
      <c r="BV601" s="237">
        <f t="shared" si="614"/>
        <v>0</v>
      </c>
      <c r="BW601" s="210"/>
      <c r="BX601" s="237">
        <f t="shared" si="615"/>
        <v>0</v>
      </c>
      <c r="BY601" s="236">
        <v>35</v>
      </c>
      <c r="BZ601" s="237">
        <f t="shared" si="616"/>
        <v>48</v>
      </c>
      <c r="CA601" s="253">
        <f t="shared" si="617"/>
        <v>3.0748170731707316</v>
      </c>
      <c r="CB601" s="253" cm="1">
        <f t="array" ref="CB601">$BC601 * SUMPRODUCT(INDEX($AL$77:$AN$82,,$AE601),INDEX($AO$77:$AU$82,,$AD601), N($AK$77:$AK$82&gt;$AI601)) / CA601 / 1000</f>
        <v>0</v>
      </c>
      <c r="CC601" s="250">
        <f t="shared" si="634"/>
        <v>30</v>
      </c>
      <c r="CD601" s="237">
        <f t="shared" si="618"/>
        <v>43</v>
      </c>
      <c r="CE601" s="253">
        <f t="shared" si="619"/>
        <v>3.5018750000000001</v>
      </c>
      <c r="CF601" s="253" cm="1">
        <f t="array" ref="CF601">$BC601 * IF($AD601&lt;=2,
SUMPRODUCT(INDEX($AL$72:$AN$76,,$AE601), INDEX($AO$72:$AU$76,,$AD601), 1 / ($AV$72:$AV$76*CE601 + (1-$AV$72:$AV$76)*CA601), N($AK$72:$AK$76&gt;$AI601)),
SUMPRODUCT(INDEX($AL$67:$AN$76,,$AE601), INDEX($AO$67:$AU$76,,$AD601), 1 / ($AW$67:$AW$76*CE601 + (1-$AW$67:$AW$76)*CA601), N($AK$67:$AK$76&gt;$AI601))
) / 1000</f>
        <v>0</v>
      </c>
      <c r="CG601" s="250">
        <f t="shared" si="635"/>
        <v>25</v>
      </c>
      <c r="CH601" s="237">
        <f t="shared" si="620"/>
        <v>38</v>
      </c>
      <c r="CI601" s="253">
        <f t="shared" si="621"/>
        <v>4.0666935483870965</v>
      </c>
      <c r="CJ601" s="253" cm="1">
        <f t="array" ref="CJ601">$BC601 * IF($AD601&lt;=2,
SUMPRODUCT(INDEX($AL$67:$AN$71,,$AE601), INDEX($AO$67:$AU$71,,$AD601), 1 / ($AV$67:$AV$71*CI601 + (1-$AV$67:$AV$71)*CE601), N($AK$67:$AK$71&gt;$AI601)),
SUMPRODUCT(INDEX($AL$57:$AN$66,,$AE601), INDEX($AO$57:$AU$66,,$AD601), 1 / ($AW$57:$AW$66*CI601 + (1-$AW$57:$AW$66)*CE601), N($AK$57:$AK$66&gt;$AI601))
) / 1000</f>
        <v>0</v>
      </c>
      <c r="CK601" s="250">
        <f t="shared" si="636"/>
        <v>20</v>
      </c>
      <c r="CL601" s="237">
        <f t="shared" si="622"/>
        <v>33</v>
      </c>
      <c r="CM601" s="253">
        <f t="shared" si="623"/>
        <v>4.8487499999999999</v>
      </c>
      <c r="CN601" s="253" cm="1">
        <f t="array" ref="CN601">$BC601 * IF($AD601&lt;=2,
SUMPRODUCT(INDEX($AL$62:$AN$66,,$AE601), INDEX($AO$62:$AU$66,,$AD601), 1 / ($AV$62:$AV$66*CM601 + (1-$AV$62:$AV$66)*CI601), N($AK$62:$AK$66&gt;$AI601)),
SUMPRODUCT(INDEX($AL$47:$AN$56,,$AE601), INDEX($AO$47:$AU$56,,$AD601), 1 / ($AW$47:$AW$56*CM601 + (1-$AW$47:$AW$56)*CI601), N($AK$47:$AK$56&gt;$AI601))
) / 1000</f>
        <v>0</v>
      </c>
      <c r="CO601" s="253" cm="1">
        <f t="array" ref="CO601">$BC601 * IF($AD601&lt;=2,
SUMPRODUCT(INDEX($AL$23:$AN$61,,$AE601), INDEX($AO$23:$AU$61,,$AD601), 1 / ($AV$23:$AV$61*CM601), N($AK$23:$AK$61&gt;$AI601)),
SUMPRODUCT(INDEX($AL$23:$AN$46,,$AE601), INDEX($AO$23:$AU$46,,$AD601), 1 / ($AW$23:$AW$46*CM601), N($AK$23:$AK$46&gt;$AI601))
) / 1000</f>
        <v>0</v>
      </c>
      <c r="CP601" s="237">
        <f t="shared" si="624"/>
        <v>0</v>
      </c>
      <c r="CQ601" s="210"/>
    </row>
    <row r="602" spans="1:95" s="76" customFormat="1" ht="14.25" customHeight="1" x14ac:dyDescent="0.2">
      <c r="A602" s="238" t="b">
        <f t="shared" si="628"/>
        <v>0</v>
      </c>
      <c r="B602" s="239">
        <v>580</v>
      </c>
      <c r="C602" s="258"/>
      <c r="D602" s="258"/>
      <c r="E602" s="240"/>
      <c r="F602" s="241" t="str">
        <f>IF(ISBLANK(E602), "", VLOOKUP(E602, Z!$A$2:$C$4127, 3, FALSE))</f>
        <v/>
      </c>
      <c r="G602" s="242"/>
      <c r="H602" s="242"/>
      <c r="I602" s="243"/>
      <c r="J602" s="244"/>
      <c r="K602" s="259"/>
      <c r="L602" s="260"/>
      <c r="M602" s="247" t="str" cm="1">
        <f t="array" ref="M602">IF($K602&gt;0, INDEX(Clean,1+AG602,$C$1), "")</f>
        <v/>
      </c>
      <c r="N602" s="245"/>
      <c r="O602" s="245"/>
      <c r="P602" s="246"/>
      <c r="Q602" s="248">
        <f t="shared" si="601"/>
        <v>0</v>
      </c>
      <c r="R602" s="247" t="str" cm="1">
        <f t="array" ref="R602">IF($K602&gt;0, INDEX(Clean,1+AH602,$C$1), "")</f>
        <v/>
      </c>
      <c r="S602" s="245"/>
      <c r="T602" s="245"/>
      <c r="U602" s="246"/>
      <c r="V602" s="248">
        <f t="shared" si="602"/>
        <v>0</v>
      </c>
      <c r="W602" s="261"/>
      <c r="X602" s="258"/>
      <c r="Y602" s="240"/>
      <c r="Z602" s="241" t="str">
        <f>IF(ISBLANK(Y602), "", VLOOKUP(Y602, Z!$A$2:$C$4127, 3, FALSE))</f>
        <v/>
      </c>
      <c r="AA602" s="262"/>
      <c r="AB602" s="249">
        <f t="shared" si="637"/>
        <v>0</v>
      </c>
      <c r="AC602" s="210"/>
      <c r="AD602" s="236">
        <f t="shared" si="625"/>
        <v>1</v>
      </c>
      <c r="AE602" s="236">
        <f t="shared" si="626"/>
        <v>1</v>
      </c>
      <c r="AF602" s="236">
        <f t="shared" si="627"/>
        <v>0</v>
      </c>
      <c r="AG602" s="236">
        <v>1</v>
      </c>
      <c r="AH602" s="236">
        <v>0</v>
      </c>
      <c r="AI602" s="236">
        <f t="shared" si="603"/>
        <v>-100</v>
      </c>
      <c r="AJ602" s="210"/>
      <c r="AK602" s="254"/>
      <c r="AL602" s="254"/>
      <c r="AM602" s="255"/>
      <c r="AN602" s="255"/>
      <c r="AO602" s="255"/>
      <c r="AP602" s="255"/>
      <c r="AQ602" s="255"/>
      <c r="AR602" s="255"/>
      <c r="AS602" s="255"/>
      <c r="AT602" s="255"/>
      <c r="AU602" s="255"/>
      <c r="AV602" s="255"/>
      <c r="AW602" s="255"/>
      <c r="AX602" s="210"/>
      <c r="AY602" s="236" cm="1">
        <f t="array" ref="AY602">INDEX(Use, $AD602, 4)</f>
        <v>7</v>
      </c>
      <c r="AZ602" s="236">
        <f t="shared" si="604"/>
        <v>32</v>
      </c>
      <c r="BA602" s="236">
        <f t="shared" si="629"/>
        <v>13</v>
      </c>
      <c r="BB602" s="236">
        <f t="shared" si="630"/>
        <v>0</v>
      </c>
      <c r="BC602" s="252" cm="1">
        <f t="array" ref="BC602">K602/IF($L602&gt;0, INDEX($AO$23:$AU$77, $L602+20, $AD602), 1)</f>
        <v>0</v>
      </c>
      <c r="BD602" s="237">
        <f t="shared" si="605"/>
        <v>0</v>
      </c>
      <c r="BE602" s="236">
        <v>35</v>
      </c>
      <c r="BF602" s="237">
        <f t="shared" si="606"/>
        <v>52.55</v>
      </c>
      <c r="BG602" s="253">
        <f t="shared" si="607"/>
        <v>2.7676728869374316</v>
      </c>
      <c r="BH602" s="253" cm="1">
        <f t="array" ref="BH602">$BC602 * SUMPRODUCT(INDEX($AL$77:$AN$82,,$AE602),INDEX($AO$77:$AU$82,,$AD602), N($AK$77:$AK$82&gt;$AI602)) / BG602 / 1000</f>
        <v>0</v>
      </c>
      <c r="BI602" s="250">
        <f t="shared" si="631"/>
        <v>30</v>
      </c>
      <c r="BJ602" s="237">
        <f t="shared" si="608"/>
        <v>46.033333333333331</v>
      </c>
      <c r="BK602" s="253">
        <f t="shared" si="609"/>
        <v>3.2297395388556791</v>
      </c>
      <c r="BL602" s="253" cm="1">
        <f t="array" ref="BL602">$BC602 * IF($AD602&lt;=2,
SUMPRODUCT(INDEX($AL$72:$AN$76,,$AE602), INDEX($AO$72:$AU$76,,$AD602), 1 / ($AV$72:$AV$76*BK602 + (1-$AV$72:$AV$76)*BG602), N($AK$72:$AK$76&gt;$AI602)),
SUMPRODUCT(INDEX($AL$67:$AN$76,,$AE602), INDEX($AO$67:$AU$76,,$AD602), 1 / ($AW$67:$AW$76*BK602 + (1-$AW$67:$AW$76)*BG602), N($AK$67:$AK$76&gt;$AI602))
) / 1000</f>
        <v>0</v>
      </c>
      <c r="BM602" s="250">
        <f t="shared" si="632"/>
        <v>25</v>
      </c>
      <c r="BN602" s="237">
        <f t="shared" si="610"/>
        <v>39.516666666666666</v>
      </c>
      <c r="BO602" s="253">
        <f t="shared" si="611"/>
        <v>3.877011788826243</v>
      </c>
      <c r="BP602" s="253" cm="1">
        <f t="array" ref="BP602">$BC602 * IF($AD602&lt;=2,
SUMPRODUCT(INDEX($AL$67:$AN$71,,$AE602), INDEX($AO$67:$AU$71,,$AD602), 1 / ($AV$67:$AV$71*BO602 + (1-$AV$67:$AV$71)*BK602), N($AK$67:$AK$71&gt;$AI602)),
SUMPRODUCT(INDEX($AL$57:$AN$66,,$AE602), INDEX($AO$57:$AU$66,,$AD602), 1 / ($AW$57:$AW$66*BO602 + (1-$AW$57:$AW$66)*BK602), N($AK$57:$AK$66&gt;$AI602))
) / 1000</f>
        <v>0</v>
      </c>
      <c r="BQ602" s="250">
        <f t="shared" si="633"/>
        <v>20</v>
      </c>
      <c r="BR602" s="237">
        <f t="shared" si="612"/>
        <v>33</v>
      </c>
      <c r="BS602" s="253">
        <f t="shared" si="613"/>
        <v>4.8487499999999999</v>
      </c>
      <c r="BT602" s="253" cm="1">
        <f t="array" ref="BT602">$BC602 * IF($AD602&lt;=2,
SUMPRODUCT(INDEX($AL$62:$AN$66,,$AE602), INDEX($AO$62:$AU$66,,$AD602), 1 / ($AV$62:$AV$66*BS602 + (1-$AV$62:$AV$66)*BO602), N($AK$62:$AK$66&gt;$AI602)),
SUMPRODUCT(INDEX($AL$47:$AN$56,,$AE602), INDEX($AO$47:$AU$56,,$AD602), 1 / ($AW$47:$AW$56*BS602 + (1-$AW$47:$AW$56)*BO602), N($AK$47:$AK$56&gt;$AI602))
) / 1000</f>
        <v>0</v>
      </c>
      <c r="BU602" s="253" cm="1">
        <f t="array" ref="BU602">$BC602 * IF($AD602&lt;=2,
SUMPRODUCT(INDEX($AL$23:$AN$61,,$AE602), INDEX($AO$23:$AU$61,,$AD602), 1 / ($AV$23:$AV$61*BS602), N($AK$23:$AK$61&gt;$AI602)),
SUMPRODUCT(INDEX($AL$23:$AN$46,,$AE602), INDEX($AO$23:$AU$46,,$AD602), 1 / ($AW$23:$AW$46*BS602), N($AK$23:$AK$46&gt;$AI602))
) / 1000</f>
        <v>0</v>
      </c>
      <c r="BV602" s="237">
        <f t="shared" si="614"/>
        <v>0</v>
      </c>
      <c r="BW602" s="210"/>
      <c r="BX602" s="237">
        <f t="shared" si="615"/>
        <v>0</v>
      </c>
      <c r="BY602" s="236">
        <v>35</v>
      </c>
      <c r="BZ602" s="237">
        <f t="shared" si="616"/>
        <v>48</v>
      </c>
      <c r="CA602" s="253">
        <f t="shared" si="617"/>
        <v>3.0748170731707316</v>
      </c>
      <c r="CB602" s="253" cm="1">
        <f t="array" ref="CB602">$BC602 * SUMPRODUCT(INDEX($AL$77:$AN$82,,$AE602),INDEX($AO$77:$AU$82,,$AD602), N($AK$77:$AK$82&gt;$AI602)) / CA602 / 1000</f>
        <v>0</v>
      </c>
      <c r="CC602" s="250">
        <f t="shared" si="634"/>
        <v>30</v>
      </c>
      <c r="CD602" s="237">
        <f t="shared" si="618"/>
        <v>43</v>
      </c>
      <c r="CE602" s="253">
        <f t="shared" si="619"/>
        <v>3.5018750000000001</v>
      </c>
      <c r="CF602" s="253" cm="1">
        <f t="array" ref="CF602">$BC602 * IF($AD602&lt;=2,
SUMPRODUCT(INDEX($AL$72:$AN$76,,$AE602), INDEX($AO$72:$AU$76,,$AD602), 1 / ($AV$72:$AV$76*CE602 + (1-$AV$72:$AV$76)*CA602), N($AK$72:$AK$76&gt;$AI602)),
SUMPRODUCT(INDEX($AL$67:$AN$76,,$AE602), INDEX($AO$67:$AU$76,,$AD602), 1 / ($AW$67:$AW$76*CE602 + (1-$AW$67:$AW$76)*CA602), N($AK$67:$AK$76&gt;$AI602))
) / 1000</f>
        <v>0</v>
      </c>
      <c r="CG602" s="250">
        <f t="shared" si="635"/>
        <v>25</v>
      </c>
      <c r="CH602" s="237">
        <f t="shared" si="620"/>
        <v>38</v>
      </c>
      <c r="CI602" s="253">
        <f t="shared" si="621"/>
        <v>4.0666935483870965</v>
      </c>
      <c r="CJ602" s="253" cm="1">
        <f t="array" ref="CJ602">$BC602 * IF($AD602&lt;=2,
SUMPRODUCT(INDEX($AL$67:$AN$71,,$AE602), INDEX($AO$67:$AU$71,,$AD602), 1 / ($AV$67:$AV$71*CI602 + (1-$AV$67:$AV$71)*CE602), N($AK$67:$AK$71&gt;$AI602)),
SUMPRODUCT(INDEX($AL$57:$AN$66,,$AE602), INDEX($AO$57:$AU$66,,$AD602), 1 / ($AW$57:$AW$66*CI602 + (1-$AW$57:$AW$66)*CE602), N($AK$57:$AK$66&gt;$AI602))
) / 1000</f>
        <v>0</v>
      </c>
      <c r="CK602" s="250">
        <f t="shared" si="636"/>
        <v>20</v>
      </c>
      <c r="CL602" s="237">
        <f t="shared" si="622"/>
        <v>33</v>
      </c>
      <c r="CM602" s="253">
        <f t="shared" si="623"/>
        <v>4.8487499999999999</v>
      </c>
      <c r="CN602" s="253" cm="1">
        <f t="array" ref="CN602">$BC602 * IF($AD602&lt;=2,
SUMPRODUCT(INDEX($AL$62:$AN$66,,$AE602), INDEX($AO$62:$AU$66,,$AD602), 1 / ($AV$62:$AV$66*CM602 + (1-$AV$62:$AV$66)*CI602), N($AK$62:$AK$66&gt;$AI602)),
SUMPRODUCT(INDEX($AL$47:$AN$56,,$AE602), INDEX($AO$47:$AU$56,,$AD602), 1 / ($AW$47:$AW$56*CM602 + (1-$AW$47:$AW$56)*CI602), N($AK$47:$AK$56&gt;$AI602))
) / 1000</f>
        <v>0</v>
      </c>
      <c r="CO602" s="253" cm="1">
        <f t="array" ref="CO602">$BC602 * IF($AD602&lt;=2,
SUMPRODUCT(INDEX($AL$23:$AN$61,,$AE602), INDEX($AO$23:$AU$61,,$AD602), 1 / ($AV$23:$AV$61*CM602), N($AK$23:$AK$61&gt;$AI602)),
SUMPRODUCT(INDEX($AL$23:$AN$46,,$AE602), INDEX($AO$23:$AU$46,,$AD602), 1 / ($AW$23:$AW$46*CM602), N($AK$23:$AK$46&gt;$AI602))
) / 1000</f>
        <v>0</v>
      </c>
      <c r="CP602" s="237">
        <f t="shared" si="624"/>
        <v>0</v>
      </c>
      <c r="CQ602" s="210"/>
    </row>
    <row r="603" spans="1:95" s="76" customFormat="1" ht="14.25" customHeight="1" x14ac:dyDescent="0.2">
      <c r="A603" s="238" t="b">
        <f t="shared" si="628"/>
        <v>0</v>
      </c>
      <c r="B603" s="239">
        <v>581</v>
      </c>
      <c r="C603" s="258"/>
      <c r="D603" s="258"/>
      <c r="E603" s="240"/>
      <c r="F603" s="241" t="str">
        <f>IF(ISBLANK(E603), "", VLOOKUP(E603, Z!$A$2:$C$4127, 3, FALSE))</f>
        <v/>
      </c>
      <c r="G603" s="242"/>
      <c r="H603" s="242"/>
      <c r="I603" s="243"/>
      <c r="J603" s="244"/>
      <c r="K603" s="259"/>
      <c r="L603" s="260"/>
      <c r="M603" s="247" t="str" cm="1">
        <f t="array" ref="M603">IF($K603&gt;0, INDEX(Clean,1+AG603,$C$1), "")</f>
        <v/>
      </c>
      <c r="N603" s="245"/>
      <c r="O603" s="245"/>
      <c r="P603" s="246"/>
      <c r="Q603" s="248">
        <f t="shared" si="601"/>
        <v>0</v>
      </c>
      <c r="R603" s="247" t="str" cm="1">
        <f t="array" ref="R603">IF($K603&gt;0, INDEX(Clean,1+AH603,$C$1), "")</f>
        <v/>
      </c>
      <c r="S603" s="245"/>
      <c r="T603" s="245"/>
      <c r="U603" s="246"/>
      <c r="V603" s="248">
        <f t="shared" si="602"/>
        <v>0</v>
      </c>
      <c r="W603" s="261"/>
      <c r="X603" s="258"/>
      <c r="Y603" s="240"/>
      <c r="Z603" s="241" t="str">
        <f>IF(ISBLANK(Y603), "", VLOOKUP(Y603, Z!$A$2:$C$4127, 3, FALSE))</f>
        <v/>
      </c>
      <c r="AA603" s="262"/>
      <c r="AB603" s="249">
        <f t="shared" si="637"/>
        <v>0</v>
      </c>
      <c r="AC603" s="210"/>
      <c r="AD603" s="236">
        <f t="shared" si="625"/>
        <v>1</v>
      </c>
      <c r="AE603" s="236">
        <f t="shared" si="626"/>
        <v>1</v>
      </c>
      <c r="AF603" s="236">
        <f t="shared" si="627"/>
        <v>0</v>
      </c>
      <c r="AG603" s="236">
        <v>1</v>
      </c>
      <c r="AH603" s="236">
        <v>0</v>
      </c>
      <c r="AI603" s="236">
        <f t="shared" si="603"/>
        <v>-100</v>
      </c>
      <c r="AJ603" s="210"/>
      <c r="AK603" s="254"/>
      <c r="AL603" s="254"/>
      <c r="AM603" s="255"/>
      <c r="AN603" s="255"/>
      <c r="AO603" s="255"/>
      <c r="AP603" s="255"/>
      <c r="AQ603" s="255"/>
      <c r="AR603" s="255"/>
      <c r="AS603" s="255"/>
      <c r="AT603" s="255"/>
      <c r="AU603" s="255"/>
      <c r="AV603" s="255"/>
      <c r="AW603" s="255"/>
      <c r="AX603" s="210"/>
      <c r="AY603" s="236" cm="1">
        <f t="array" ref="AY603">INDEX(Use, $AD603, 4)</f>
        <v>7</v>
      </c>
      <c r="AZ603" s="236">
        <f t="shared" si="604"/>
        <v>32</v>
      </c>
      <c r="BA603" s="236">
        <f t="shared" si="629"/>
        <v>13</v>
      </c>
      <c r="BB603" s="236">
        <f t="shared" si="630"/>
        <v>0</v>
      </c>
      <c r="BC603" s="252" cm="1">
        <f t="array" ref="BC603">K603/IF($L603&gt;0, INDEX($AO$23:$AU$77, $L603+20, $AD603), 1)</f>
        <v>0</v>
      </c>
      <c r="BD603" s="237">
        <f t="shared" si="605"/>
        <v>0</v>
      </c>
      <c r="BE603" s="236">
        <v>35</v>
      </c>
      <c r="BF603" s="237">
        <f t="shared" si="606"/>
        <v>52.55</v>
      </c>
      <c r="BG603" s="253">
        <f t="shared" si="607"/>
        <v>2.7676728869374316</v>
      </c>
      <c r="BH603" s="253" cm="1">
        <f t="array" ref="BH603">$BC603 * SUMPRODUCT(INDEX($AL$77:$AN$82,,$AE603),INDEX($AO$77:$AU$82,,$AD603), N($AK$77:$AK$82&gt;$AI603)) / BG603 / 1000</f>
        <v>0</v>
      </c>
      <c r="BI603" s="250">
        <f t="shared" si="631"/>
        <v>30</v>
      </c>
      <c r="BJ603" s="237">
        <f t="shared" si="608"/>
        <v>46.033333333333331</v>
      </c>
      <c r="BK603" s="253">
        <f t="shared" si="609"/>
        <v>3.2297395388556791</v>
      </c>
      <c r="BL603" s="253" cm="1">
        <f t="array" ref="BL603">$BC603 * IF($AD603&lt;=2,
SUMPRODUCT(INDEX($AL$72:$AN$76,,$AE603), INDEX($AO$72:$AU$76,,$AD603), 1 / ($AV$72:$AV$76*BK603 + (1-$AV$72:$AV$76)*BG603), N($AK$72:$AK$76&gt;$AI603)),
SUMPRODUCT(INDEX($AL$67:$AN$76,,$AE603), INDEX($AO$67:$AU$76,,$AD603), 1 / ($AW$67:$AW$76*BK603 + (1-$AW$67:$AW$76)*BG603), N($AK$67:$AK$76&gt;$AI603))
) / 1000</f>
        <v>0</v>
      </c>
      <c r="BM603" s="250">
        <f t="shared" si="632"/>
        <v>25</v>
      </c>
      <c r="BN603" s="237">
        <f t="shared" si="610"/>
        <v>39.516666666666666</v>
      </c>
      <c r="BO603" s="253">
        <f t="shared" si="611"/>
        <v>3.877011788826243</v>
      </c>
      <c r="BP603" s="253" cm="1">
        <f t="array" ref="BP603">$BC603 * IF($AD603&lt;=2,
SUMPRODUCT(INDEX($AL$67:$AN$71,,$AE603), INDEX($AO$67:$AU$71,,$AD603), 1 / ($AV$67:$AV$71*BO603 + (1-$AV$67:$AV$71)*BK603), N($AK$67:$AK$71&gt;$AI603)),
SUMPRODUCT(INDEX($AL$57:$AN$66,,$AE603), INDEX($AO$57:$AU$66,,$AD603), 1 / ($AW$57:$AW$66*BO603 + (1-$AW$57:$AW$66)*BK603), N($AK$57:$AK$66&gt;$AI603))
) / 1000</f>
        <v>0</v>
      </c>
      <c r="BQ603" s="250">
        <f t="shared" si="633"/>
        <v>20</v>
      </c>
      <c r="BR603" s="237">
        <f t="shared" si="612"/>
        <v>33</v>
      </c>
      <c r="BS603" s="253">
        <f t="shared" si="613"/>
        <v>4.8487499999999999</v>
      </c>
      <c r="BT603" s="253" cm="1">
        <f t="array" ref="BT603">$BC603 * IF($AD603&lt;=2,
SUMPRODUCT(INDEX($AL$62:$AN$66,,$AE603), INDEX($AO$62:$AU$66,,$AD603), 1 / ($AV$62:$AV$66*BS603 + (1-$AV$62:$AV$66)*BO603), N($AK$62:$AK$66&gt;$AI603)),
SUMPRODUCT(INDEX($AL$47:$AN$56,,$AE603), INDEX($AO$47:$AU$56,,$AD603), 1 / ($AW$47:$AW$56*BS603 + (1-$AW$47:$AW$56)*BO603), N($AK$47:$AK$56&gt;$AI603))
) / 1000</f>
        <v>0</v>
      </c>
      <c r="BU603" s="253" cm="1">
        <f t="array" ref="BU603">$BC603 * IF($AD603&lt;=2,
SUMPRODUCT(INDEX($AL$23:$AN$61,,$AE603), INDEX($AO$23:$AU$61,,$AD603), 1 / ($AV$23:$AV$61*BS603), N($AK$23:$AK$61&gt;$AI603)),
SUMPRODUCT(INDEX($AL$23:$AN$46,,$AE603), INDEX($AO$23:$AU$46,,$AD603), 1 / ($AW$23:$AW$46*BS603), N($AK$23:$AK$46&gt;$AI603))
) / 1000</f>
        <v>0</v>
      </c>
      <c r="BV603" s="237">
        <f t="shared" si="614"/>
        <v>0</v>
      </c>
      <c r="BW603" s="210"/>
      <c r="BX603" s="237">
        <f t="shared" si="615"/>
        <v>0</v>
      </c>
      <c r="BY603" s="236">
        <v>35</v>
      </c>
      <c r="BZ603" s="237">
        <f t="shared" si="616"/>
        <v>48</v>
      </c>
      <c r="CA603" s="253">
        <f t="shared" si="617"/>
        <v>3.0748170731707316</v>
      </c>
      <c r="CB603" s="253" cm="1">
        <f t="array" ref="CB603">$BC603 * SUMPRODUCT(INDEX($AL$77:$AN$82,,$AE603),INDEX($AO$77:$AU$82,,$AD603), N($AK$77:$AK$82&gt;$AI603)) / CA603 / 1000</f>
        <v>0</v>
      </c>
      <c r="CC603" s="250">
        <f t="shared" si="634"/>
        <v>30</v>
      </c>
      <c r="CD603" s="237">
        <f t="shared" si="618"/>
        <v>43</v>
      </c>
      <c r="CE603" s="253">
        <f t="shared" si="619"/>
        <v>3.5018750000000001</v>
      </c>
      <c r="CF603" s="253" cm="1">
        <f t="array" ref="CF603">$BC603 * IF($AD603&lt;=2,
SUMPRODUCT(INDEX($AL$72:$AN$76,,$AE603), INDEX($AO$72:$AU$76,,$AD603), 1 / ($AV$72:$AV$76*CE603 + (1-$AV$72:$AV$76)*CA603), N($AK$72:$AK$76&gt;$AI603)),
SUMPRODUCT(INDEX($AL$67:$AN$76,,$AE603), INDEX($AO$67:$AU$76,,$AD603), 1 / ($AW$67:$AW$76*CE603 + (1-$AW$67:$AW$76)*CA603), N($AK$67:$AK$76&gt;$AI603))
) / 1000</f>
        <v>0</v>
      </c>
      <c r="CG603" s="250">
        <f t="shared" si="635"/>
        <v>25</v>
      </c>
      <c r="CH603" s="237">
        <f t="shared" si="620"/>
        <v>38</v>
      </c>
      <c r="CI603" s="253">
        <f t="shared" si="621"/>
        <v>4.0666935483870965</v>
      </c>
      <c r="CJ603" s="253" cm="1">
        <f t="array" ref="CJ603">$BC603 * IF($AD603&lt;=2,
SUMPRODUCT(INDEX($AL$67:$AN$71,,$AE603), INDEX($AO$67:$AU$71,,$AD603), 1 / ($AV$67:$AV$71*CI603 + (1-$AV$67:$AV$71)*CE603), N($AK$67:$AK$71&gt;$AI603)),
SUMPRODUCT(INDEX($AL$57:$AN$66,,$AE603), INDEX($AO$57:$AU$66,,$AD603), 1 / ($AW$57:$AW$66*CI603 + (1-$AW$57:$AW$66)*CE603), N($AK$57:$AK$66&gt;$AI603))
) / 1000</f>
        <v>0</v>
      </c>
      <c r="CK603" s="250">
        <f t="shared" si="636"/>
        <v>20</v>
      </c>
      <c r="CL603" s="237">
        <f t="shared" si="622"/>
        <v>33</v>
      </c>
      <c r="CM603" s="253">
        <f t="shared" si="623"/>
        <v>4.8487499999999999</v>
      </c>
      <c r="CN603" s="253" cm="1">
        <f t="array" ref="CN603">$BC603 * IF($AD603&lt;=2,
SUMPRODUCT(INDEX($AL$62:$AN$66,,$AE603), INDEX($AO$62:$AU$66,,$AD603), 1 / ($AV$62:$AV$66*CM603 + (1-$AV$62:$AV$66)*CI603), N($AK$62:$AK$66&gt;$AI603)),
SUMPRODUCT(INDEX($AL$47:$AN$56,,$AE603), INDEX($AO$47:$AU$56,,$AD603), 1 / ($AW$47:$AW$56*CM603 + (1-$AW$47:$AW$56)*CI603), N($AK$47:$AK$56&gt;$AI603))
) / 1000</f>
        <v>0</v>
      </c>
      <c r="CO603" s="253" cm="1">
        <f t="array" ref="CO603">$BC603 * IF($AD603&lt;=2,
SUMPRODUCT(INDEX($AL$23:$AN$61,,$AE603), INDEX($AO$23:$AU$61,,$AD603), 1 / ($AV$23:$AV$61*CM603), N($AK$23:$AK$61&gt;$AI603)),
SUMPRODUCT(INDEX($AL$23:$AN$46,,$AE603), INDEX($AO$23:$AU$46,,$AD603), 1 / ($AW$23:$AW$46*CM603), N($AK$23:$AK$46&gt;$AI603))
) / 1000</f>
        <v>0</v>
      </c>
      <c r="CP603" s="237">
        <f t="shared" si="624"/>
        <v>0</v>
      </c>
      <c r="CQ603" s="210"/>
    </row>
    <row r="604" spans="1:95" s="76" customFormat="1" ht="14.25" customHeight="1" x14ac:dyDescent="0.2">
      <c r="A604" s="238" t="b">
        <f t="shared" si="628"/>
        <v>0</v>
      </c>
      <c r="B604" s="239">
        <v>582</v>
      </c>
      <c r="C604" s="258"/>
      <c r="D604" s="258"/>
      <c r="E604" s="240"/>
      <c r="F604" s="241" t="str">
        <f>IF(ISBLANK(E604), "", VLOOKUP(E604, Z!$A$2:$C$4127, 3, FALSE))</f>
        <v/>
      </c>
      <c r="G604" s="242"/>
      <c r="H604" s="242"/>
      <c r="I604" s="243"/>
      <c r="J604" s="244"/>
      <c r="K604" s="259"/>
      <c r="L604" s="260"/>
      <c r="M604" s="247" t="str" cm="1">
        <f t="array" ref="M604">IF($K604&gt;0, INDEX(Clean,1+AG604,$C$1), "")</f>
        <v/>
      </c>
      <c r="N604" s="245"/>
      <c r="O604" s="245"/>
      <c r="P604" s="246"/>
      <c r="Q604" s="248">
        <f t="shared" si="601"/>
        <v>0</v>
      </c>
      <c r="R604" s="247" t="str" cm="1">
        <f t="array" ref="R604">IF($K604&gt;0, INDEX(Clean,1+AH604,$C$1), "")</f>
        <v/>
      </c>
      <c r="S604" s="245"/>
      <c r="T604" s="245"/>
      <c r="U604" s="246"/>
      <c r="V604" s="248">
        <f t="shared" si="602"/>
        <v>0</v>
      </c>
      <c r="W604" s="261"/>
      <c r="X604" s="258"/>
      <c r="Y604" s="240"/>
      <c r="Z604" s="241" t="str">
        <f>IF(ISBLANK(Y604), "", VLOOKUP(Y604, Z!$A$2:$C$4127, 3, FALSE))</f>
        <v/>
      </c>
      <c r="AA604" s="262"/>
      <c r="AB604" s="249">
        <f t="shared" si="637"/>
        <v>0</v>
      </c>
      <c r="AC604" s="210"/>
      <c r="AD604" s="236">
        <f t="shared" si="625"/>
        <v>1</v>
      </c>
      <c r="AE604" s="236">
        <f t="shared" si="626"/>
        <v>1</v>
      </c>
      <c r="AF604" s="236">
        <f t="shared" si="627"/>
        <v>0</v>
      </c>
      <c r="AG604" s="236">
        <v>1</v>
      </c>
      <c r="AH604" s="236">
        <v>0</v>
      </c>
      <c r="AI604" s="236">
        <f t="shared" si="603"/>
        <v>-100</v>
      </c>
      <c r="AJ604" s="210"/>
      <c r="AK604" s="254"/>
      <c r="AL604" s="254"/>
      <c r="AM604" s="255"/>
      <c r="AN604" s="255"/>
      <c r="AO604" s="255"/>
      <c r="AP604" s="255"/>
      <c r="AQ604" s="255"/>
      <c r="AR604" s="255"/>
      <c r="AS604" s="255"/>
      <c r="AT604" s="255"/>
      <c r="AU604" s="255"/>
      <c r="AV604" s="255"/>
      <c r="AW604" s="255"/>
      <c r="AX604" s="210"/>
      <c r="AY604" s="236" cm="1">
        <f t="array" ref="AY604">INDEX(Use, $AD604, 4)</f>
        <v>7</v>
      </c>
      <c r="AZ604" s="236">
        <f t="shared" si="604"/>
        <v>32</v>
      </c>
      <c r="BA604" s="236">
        <f t="shared" si="629"/>
        <v>13</v>
      </c>
      <c r="BB604" s="236">
        <f t="shared" si="630"/>
        <v>0</v>
      </c>
      <c r="BC604" s="252" cm="1">
        <f t="array" ref="BC604">K604/IF($L604&gt;0, INDEX($AO$23:$AU$77, $L604+20, $AD604), 1)</f>
        <v>0</v>
      </c>
      <c r="BD604" s="237">
        <f t="shared" si="605"/>
        <v>0</v>
      </c>
      <c r="BE604" s="236">
        <v>35</v>
      </c>
      <c r="BF604" s="237">
        <f t="shared" si="606"/>
        <v>52.55</v>
      </c>
      <c r="BG604" s="253">
        <f t="shared" si="607"/>
        <v>2.7676728869374316</v>
      </c>
      <c r="BH604" s="253" cm="1">
        <f t="array" ref="BH604">$BC604 * SUMPRODUCT(INDEX($AL$77:$AN$82,,$AE604),INDEX($AO$77:$AU$82,,$AD604), N($AK$77:$AK$82&gt;$AI604)) / BG604 / 1000</f>
        <v>0</v>
      </c>
      <c r="BI604" s="250">
        <f t="shared" si="631"/>
        <v>30</v>
      </c>
      <c r="BJ604" s="237">
        <f t="shared" si="608"/>
        <v>46.033333333333331</v>
      </c>
      <c r="BK604" s="253">
        <f t="shared" si="609"/>
        <v>3.2297395388556791</v>
      </c>
      <c r="BL604" s="253" cm="1">
        <f t="array" ref="BL604">$BC604 * IF($AD604&lt;=2,
SUMPRODUCT(INDEX($AL$72:$AN$76,,$AE604), INDEX($AO$72:$AU$76,,$AD604), 1 / ($AV$72:$AV$76*BK604 + (1-$AV$72:$AV$76)*BG604), N($AK$72:$AK$76&gt;$AI604)),
SUMPRODUCT(INDEX($AL$67:$AN$76,,$AE604), INDEX($AO$67:$AU$76,,$AD604), 1 / ($AW$67:$AW$76*BK604 + (1-$AW$67:$AW$76)*BG604), N($AK$67:$AK$76&gt;$AI604))
) / 1000</f>
        <v>0</v>
      </c>
      <c r="BM604" s="250">
        <f t="shared" si="632"/>
        <v>25</v>
      </c>
      <c r="BN604" s="237">
        <f t="shared" si="610"/>
        <v>39.516666666666666</v>
      </c>
      <c r="BO604" s="253">
        <f t="shared" si="611"/>
        <v>3.877011788826243</v>
      </c>
      <c r="BP604" s="253" cm="1">
        <f t="array" ref="BP604">$BC604 * IF($AD604&lt;=2,
SUMPRODUCT(INDEX($AL$67:$AN$71,,$AE604), INDEX($AO$67:$AU$71,,$AD604), 1 / ($AV$67:$AV$71*BO604 + (1-$AV$67:$AV$71)*BK604), N($AK$67:$AK$71&gt;$AI604)),
SUMPRODUCT(INDEX($AL$57:$AN$66,,$AE604), INDEX($AO$57:$AU$66,,$AD604), 1 / ($AW$57:$AW$66*BO604 + (1-$AW$57:$AW$66)*BK604), N($AK$57:$AK$66&gt;$AI604))
) / 1000</f>
        <v>0</v>
      </c>
      <c r="BQ604" s="250">
        <f t="shared" si="633"/>
        <v>20</v>
      </c>
      <c r="BR604" s="237">
        <f t="shared" si="612"/>
        <v>33</v>
      </c>
      <c r="BS604" s="253">
        <f t="shared" si="613"/>
        <v>4.8487499999999999</v>
      </c>
      <c r="BT604" s="253" cm="1">
        <f t="array" ref="BT604">$BC604 * IF($AD604&lt;=2,
SUMPRODUCT(INDEX($AL$62:$AN$66,,$AE604), INDEX($AO$62:$AU$66,,$AD604), 1 / ($AV$62:$AV$66*BS604 + (1-$AV$62:$AV$66)*BO604), N($AK$62:$AK$66&gt;$AI604)),
SUMPRODUCT(INDEX($AL$47:$AN$56,,$AE604), INDEX($AO$47:$AU$56,,$AD604), 1 / ($AW$47:$AW$56*BS604 + (1-$AW$47:$AW$56)*BO604), N($AK$47:$AK$56&gt;$AI604))
) / 1000</f>
        <v>0</v>
      </c>
      <c r="BU604" s="253" cm="1">
        <f t="array" ref="BU604">$BC604 * IF($AD604&lt;=2,
SUMPRODUCT(INDEX($AL$23:$AN$61,,$AE604), INDEX($AO$23:$AU$61,,$AD604), 1 / ($AV$23:$AV$61*BS604), N($AK$23:$AK$61&gt;$AI604)),
SUMPRODUCT(INDEX($AL$23:$AN$46,,$AE604), INDEX($AO$23:$AU$46,,$AD604), 1 / ($AW$23:$AW$46*BS604), N($AK$23:$AK$46&gt;$AI604))
) / 1000</f>
        <v>0</v>
      </c>
      <c r="BV604" s="237">
        <f t="shared" si="614"/>
        <v>0</v>
      </c>
      <c r="BW604" s="210"/>
      <c r="BX604" s="237">
        <f t="shared" si="615"/>
        <v>0</v>
      </c>
      <c r="BY604" s="236">
        <v>35</v>
      </c>
      <c r="BZ604" s="237">
        <f t="shared" si="616"/>
        <v>48</v>
      </c>
      <c r="CA604" s="253">
        <f t="shared" si="617"/>
        <v>3.0748170731707316</v>
      </c>
      <c r="CB604" s="253" cm="1">
        <f t="array" ref="CB604">$BC604 * SUMPRODUCT(INDEX($AL$77:$AN$82,,$AE604),INDEX($AO$77:$AU$82,,$AD604), N($AK$77:$AK$82&gt;$AI604)) / CA604 / 1000</f>
        <v>0</v>
      </c>
      <c r="CC604" s="250">
        <f t="shared" si="634"/>
        <v>30</v>
      </c>
      <c r="CD604" s="237">
        <f t="shared" si="618"/>
        <v>43</v>
      </c>
      <c r="CE604" s="253">
        <f t="shared" si="619"/>
        <v>3.5018750000000001</v>
      </c>
      <c r="CF604" s="253" cm="1">
        <f t="array" ref="CF604">$BC604 * IF($AD604&lt;=2,
SUMPRODUCT(INDEX($AL$72:$AN$76,,$AE604), INDEX($AO$72:$AU$76,,$AD604), 1 / ($AV$72:$AV$76*CE604 + (1-$AV$72:$AV$76)*CA604), N($AK$72:$AK$76&gt;$AI604)),
SUMPRODUCT(INDEX($AL$67:$AN$76,,$AE604), INDEX($AO$67:$AU$76,,$AD604), 1 / ($AW$67:$AW$76*CE604 + (1-$AW$67:$AW$76)*CA604), N($AK$67:$AK$76&gt;$AI604))
) / 1000</f>
        <v>0</v>
      </c>
      <c r="CG604" s="250">
        <f t="shared" si="635"/>
        <v>25</v>
      </c>
      <c r="CH604" s="237">
        <f t="shared" si="620"/>
        <v>38</v>
      </c>
      <c r="CI604" s="253">
        <f t="shared" si="621"/>
        <v>4.0666935483870965</v>
      </c>
      <c r="CJ604" s="253" cm="1">
        <f t="array" ref="CJ604">$BC604 * IF($AD604&lt;=2,
SUMPRODUCT(INDEX($AL$67:$AN$71,,$AE604), INDEX($AO$67:$AU$71,,$AD604), 1 / ($AV$67:$AV$71*CI604 + (1-$AV$67:$AV$71)*CE604), N($AK$67:$AK$71&gt;$AI604)),
SUMPRODUCT(INDEX($AL$57:$AN$66,,$AE604), INDEX($AO$57:$AU$66,,$AD604), 1 / ($AW$57:$AW$66*CI604 + (1-$AW$57:$AW$66)*CE604), N($AK$57:$AK$66&gt;$AI604))
) / 1000</f>
        <v>0</v>
      </c>
      <c r="CK604" s="250">
        <f t="shared" si="636"/>
        <v>20</v>
      </c>
      <c r="CL604" s="237">
        <f t="shared" si="622"/>
        <v>33</v>
      </c>
      <c r="CM604" s="253">
        <f t="shared" si="623"/>
        <v>4.8487499999999999</v>
      </c>
      <c r="CN604" s="253" cm="1">
        <f t="array" ref="CN604">$BC604 * IF($AD604&lt;=2,
SUMPRODUCT(INDEX($AL$62:$AN$66,,$AE604), INDEX($AO$62:$AU$66,,$AD604), 1 / ($AV$62:$AV$66*CM604 + (1-$AV$62:$AV$66)*CI604), N($AK$62:$AK$66&gt;$AI604)),
SUMPRODUCT(INDEX($AL$47:$AN$56,,$AE604), INDEX($AO$47:$AU$56,,$AD604), 1 / ($AW$47:$AW$56*CM604 + (1-$AW$47:$AW$56)*CI604), N($AK$47:$AK$56&gt;$AI604))
) / 1000</f>
        <v>0</v>
      </c>
      <c r="CO604" s="253" cm="1">
        <f t="array" ref="CO604">$BC604 * IF($AD604&lt;=2,
SUMPRODUCT(INDEX($AL$23:$AN$61,,$AE604), INDEX($AO$23:$AU$61,,$AD604), 1 / ($AV$23:$AV$61*CM604), N($AK$23:$AK$61&gt;$AI604)),
SUMPRODUCT(INDEX($AL$23:$AN$46,,$AE604), INDEX($AO$23:$AU$46,,$AD604), 1 / ($AW$23:$AW$46*CM604), N($AK$23:$AK$46&gt;$AI604))
) / 1000</f>
        <v>0</v>
      </c>
      <c r="CP604" s="237">
        <f t="shared" si="624"/>
        <v>0</v>
      </c>
      <c r="CQ604" s="210"/>
    </row>
    <row r="605" spans="1:95" s="76" customFormat="1" ht="14.25" customHeight="1" x14ac:dyDescent="0.2">
      <c r="A605" s="238" t="b">
        <f t="shared" si="628"/>
        <v>0</v>
      </c>
      <c r="B605" s="239">
        <v>583</v>
      </c>
      <c r="C605" s="258"/>
      <c r="D605" s="258"/>
      <c r="E605" s="240"/>
      <c r="F605" s="241" t="str">
        <f>IF(ISBLANK(E605), "", VLOOKUP(E605, Z!$A$2:$C$4127, 3, FALSE))</f>
        <v/>
      </c>
      <c r="G605" s="242"/>
      <c r="H605" s="242"/>
      <c r="I605" s="243"/>
      <c r="J605" s="244"/>
      <c r="K605" s="259"/>
      <c r="L605" s="260"/>
      <c r="M605" s="247" t="str" cm="1">
        <f t="array" ref="M605">IF($K605&gt;0, INDEX(Clean,1+AG605,$C$1), "")</f>
        <v/>
      </c>
      <c r="N605" s="245"/>
      <c r="O605" s="245"/>
      <c r="P605" s="246"/>
      <c r="Q605" s="248">
        <f t="shared" si="601"/>
        <v>0</v>
      </c>
      <c r="R605" s="247" t="str" cm="1">
        <f t="array" ref="R605">IF($K605&gt;0, INDEX(Clean,1+AH605,$C$1), "")</f>
        <v/>
      </c>
      <c r="S605" s="245"/>
      <c r="T605" s="245"/>
      <c r="U605" s="246"/>
      <c r="V605" s="248">
        <f t="shared" si="602"/>
        <v>0</v>
      </c>
      <c r="W605" s="261"/>
      <c r="X605" s="258"/>
      <c r="Y605" s="240"/>
      <c r="Z605" s="241" t="str">
        <f>IF(ISBLANK(Y605), "", VLOOKUP(Y605, Z!$A$2:$C$4127, 3, FALSE))</f>
        <v/>
      </c>
      <c r="AA605" s="262"/>
      <c r="AB605" s="249">
        <f t="shared" si="637"/>
        <v>0</v>
      </c>
      <c r="AC605" s="210"/>
      <c r="AD605" s="236">
        <f t="shared" si="625"/>
        <v>1</v>
      </c>
      <c r="AE605" s="236">
        <f t="shared" si="626"/>
        <v>1</v>
      </c>
      <c r="AF605" s="236">
        <f t="shared" si="627"/>
        <v>0</v>
      </c>
      <c r="AG605" s="236">
        <v>1</v>
      </c>
      <c r="AH605" s="236">
        <v>0</v>
      </c>
      <c r="AI605" s="236">
        <f t="shared" si="603"/>
        <v>-100</v>
      </c>
      <c r="AJ605" s="210"/>
      <c r="AK605" s="254"/>
      <c r="AL605" s="254"/>
      <c r="AM605" s="255"/>
      <c r="AN605" s="255"/>
      <c r="AO605" s="255"/>
      <c r="AP605" s="255"/>
      <c r="AQ605" s="255"/>
      <c r="AR605" s="255"/>
      <c r="AS605" s="255"/>
      <c r="AT605" s="255"/>
      <c r="AU605" s="255"/>
      <c r="AV605" s="255"/>
      <c r="AW605" s="255"/>
      <c r="AX605" s="210"/>
      <c r="AY605" s="236" cm="1">
        <f t="array" ref="AY605">INDEX(Use, $AD605, 4)</f>
        <v>7</v>
      </c>
      <c r="AZ605" s="236">
        <f t="shared" si="604"/>
        <v>32</v>
      </c>
      <c r="BA605" s="236">
        <f t="shared" si="629"/>
        <v>13</v>
      </c>
      <c r="BB605" s="236">
        <f t="shared" si="630"/>
        <v>0</v>
      </c>
      <c r="BC605" s="252" cm="1">
        <f t="array" ref="BC605">K605/IF($L605&gt;0, INDEX($AO$23:$AU$77, $L605+20, $AD605), 1)</f>
        <v>0</v>
      </c>
      <c r="BD605" s="237">
        <f t="shared" si="605"/>
        <v>0</v>
      </c>
      <c r="BE605" s="236">
        <v>35</v>
      </c>
      <c r="BF605" s="237">
        <f t="shared" si="606"/>
        <v>52.55</v>
      </c>
      <c r="BG605" s="253">
        <f t="shared" si="607"/>
        <v>2.7676728869374316</v>
      </c>
      <c r="BH605" s="253" cm="1">
        <f t="array" ref="BH605">$BC605 * SUMPRODUCT(INDEX($AL$77:$AN$82,,$AE605),INDEX($AO$77:$AU$82,,$AD605), N($AK$77:$AK$82&gt;$AI605)) / BG605 / 1000</f>
        <v>0</v>
      </c>
      <c r="BI605" s="250">
        <f t="shared" si="631"/>
        <v>30</v>
      </c>
      <c r="BJ605" s="237">
        <f t="shared" si="608"/>
        <v>46.033333333333331</v>
      </c>
      <c r="BK605" s="253">
        <f t="shared" si="609"/>
        <v>3.2297395388556791</v>
      </c>
      <c r="BL605" s="253" cm="1">
        <f t="array" ref="BL605">$BC605 * IF($AD605&lt;=2,
SUMPRODUCT(INDEX($AL$72:$AN$76,,$AE605), INDEX($AO$72:$AU$76,,$AD605), 1 / ($AV$72:$AV$76*BK605 + (1-$AV$72:$AV$76)*BG605), N($AK$72:$AK$76&gt;$AI605)),
SUMPRODUCT(INDEX($AL$67:$AN$76,,$AE605), INDEX($AO$67:$AU$76,,$AD605), 1 / ($AW$67:$AW$76*BK605 + (1-$AW$67:$AW$76)*BG605), N($AK$67:$AK$76&gt;$AI605))
) / 1000</f>
        <v>0</v>
      </c>
      <c r="BM605" s="250">
        <f t="shared" si="632"/>
        <v>25</v>
      </c>
      <c r="BN605" s="237">
        <f t="shared" si="610"/>
        <v>39.516666666666666</v>
      </c>
      <c r="BO605" s="253">
        <f t="shared" si="611"/>
        <v>3.877011788826243</v>
      </c>
      <c r="BP605" s="253" cm="1">
        <f t="array" ref="BP605">$BC605 * IF($AD605&lt;=2,
SUMPRODUCT(INDEX($AL$67:$AN$71,,$AE605), INDEX($AO$67:$AU$71,,$AD605), 1 / ($AV$67:$AV$71*BO605 + (1-$AV$67:$AV$71)*BK605), N($AK$67:$AK$71&gt;$AI605)),
SUMPRODUCT(INDEX($AL$57:$AN$66,,$AE605), INDEX($AO$57:$AU$66,,$AD605), 1 / ($AW$57:$AW$66*BO605 + (1-$AW$57:$AW$66)*BK605), N($AK$57:$AK$66&gt;$AI605))
) / 1000</f>
        <v>0</v>
      </c>
      <c r="BQ605" s="250">
        <f t="shared" si="633"/>
        <v>20</v>
      </c>
      <c r="BR605" s="237">
        <f t="shared" si="612"/>
        <v>33</v>
      </c>
      <c r="BS605" s="253">
        <f t="shared" si="613"/>
        <v>4.8487499999999999</v>
      </c>
      <c r="BT605" s="253" cm="1">
        <f t="array" ref="BT605">$BC605 * IF($AD605&lt;=2,
SUMPRODUCT(INDEX($AL$62:$AN$66,,$AE605), INDEX($AO$62:$AU$66,,$AD605), 1 / ($AV$62:$AV$66*BS605 + (1-$AV$62:$AV$66)*BO605), N($AK$62:$AK$66&gt;$AI605)),
SUMPRODUCT(INDEX($AL$47:$AN$56,,$AE605), INDEX($AO$47:$AU$56,,$AD605), 1 / ($AW$47:$AW$56*BS605 + (1-$AW$47:$AW$56)*BO605), N($AK$47:$AK$56&gt;$AI605))
) / 1000</f>
        <v>0</v>
      </c>
      <c r="BU605" s="253" cm="1">
        <f t="array" ref="BU605">$BC605 * IF($AD605&lt;=2,
SUMPRODUCT(INDEX($AL$23:$AN$61,,$AE605), INDEX($AO$23:$AU$61,,$AD605), 1 / ($AV$23:$AV$61*BS605), N($AK$23:$AK$61&gt;$AI605)),
SUMPRODUCT(INDEX($AL$23:$AN$46,,$AE605), INDEX($AO$23:$AU$46,,$AD605), 1 / ($AW$23:$AW$46*BS605), N($AK$23:$AK$46&gt;$AI605))
) / 1000</f>
        <v>0</v>
      </c>
      <c r="BV605" s="237">
        <f t="shared" si="614"/>
        <v>0</v>
      </c>
      <c r="BW605" s="210"/>
      <c r="BX605" s="237">
        <f t="shared" si="615"/>
        <v>0</v>
      </c>
      <c r="BY605" s="236">
        <v>35</v>
      </c>
      <c r="BZ605" s="237">
        <f t="shared" si="616"/>
        <v>48</v>
      </c>
      <c r="CA605" s="253">
        <f t="shared" si="617"/>
        <v>3.0748170731707316</v>
      </c>
      <c r="CB605" s="253" cm="1">
        <f t="array" ref="CB605">$BC605 * SUMPRODUCT(INDEX($AL$77:$AN$82,,$AE605),INDEX($AO$77:$AU$82,,$AD605), N($AK$77:$AK$82&gt;$AI605)) / CA605 / 1000</f>
        <v>0</v>
      </c>
      <c r="CC605" s="250">
        <f t="shared" si="634"/>
        <v>30</v>
      </c>
      <c r="CD605" s="237">
        <f t="shared" si="618"/>
        <v>43</v>
      </c>
      <c r="CE605" s="253">
        <f t="shared" si="619"/>
        <v>3.5018750000000001</v>
      </c>
      <c r="CF605" s="253" cm="1">
        <f t="array" ref="CF605">$BC605 * IF($AD605&lt;=2,
SUMPRODUCT(INDEX($AL$72:$AN$76,,$AE605), INDEX($AO$72:$AU$76,,$AD605), 1 / ($AV$72:$AV$76*CE605 + (1-$AV$72:$AV$76)*CA605), N($AK$72:$AK$76&gt;$AI605)),
SUMPRODUCT(INDEX($AL$67:$AN$76,,$AE605), INDEX($AO$67:$AU$76,,$AD605), 1 / ($AW$67:$AW$76*CE605 + (1-$AW$67:$AW$76)*CA605), N($AK$67:$AK$76&gt;$AI605))
) / 1000</f>
        <v>0</v>
      </c>
      <c r="CG605" s="250">
        <f t="shared" si="635"/>
        <v>25</v>
      </c>
      <c r="CH605" s="237">
        <f t="shared" si="620"/>
        <v>38</v>
      </c>
      <c r="CI605" s="253">
        <f t="shared" si="621"/>
        <v>4.0666935483870965</v>
      </c>
      <c r="CJ605" s="253" cm="1">
        <f t="array" ref="CJ605">$BC605 * IF($AD605&lt;=2,
SUMPRODUCT(INDEX($AL$67:$AN$71,,$AE605), INDEX($AO$67:$AU$71,,$AD605), 1 / ($AV$67:$AV$71*CI605 + (1-$AV$67:$AV$71)*CE605), N($AK$67:$AK$71&gt;$AI605)),
SUMPRODUCT(INDEX($AL$57:$AN$66,,$AE605), INDEX($AO$57:$AU$66,,$AD605), 1 / ($AW$57:$AW$66*CI605 + (1-$AW$57:$AW$66)*CE605), N($AK$57:$AK$66&gt;$AI605))
) / 1000</f>
        <v>0</v>
      </c>
      <c r="CK605" s="250">
        <f t="shared" si="636"/>
        <v>20</v>
      </c>
      <c r="CL605" s="237">
        <f t="shared" si="622"/>
        <v>33</v>
      </c>
      <c r="CM605" s="253">
        <f t="shared" si="623"/>
        <v>4.8487499999999999</v>
      </c>
      <c r="CN605" s="253" cm="1">
        <f t="array" ref="CN605">$BC605 * IF($AD605&lt;=2,
SUMPRODUCT(INDEX($AL$62:$AN$66,,$AE605), INDEX($AO$62:$AU$66,,$AD605), 1 / ($AV$62:$AV$66*CM605 + (1-$AV$62:$AV$66)*CI605), N($AK$62:$AK$66&gt;$AI605)),
SUMPRODUCT(INDEX($AL$47:$AN$56,,$AE605), INDEX($AO$47:$AU$56,,$AD605), 1 / ($AW$47:$AW$56*CM605 + (1-$AW$47:$AW$56)*CI605), N($AK$47:$AK$56&gt;$AI605))
) / 1000</f>
        <v>0</v>
      </c>
      <c r="CO605" s="253" cm="1">
        <f t="array" ref="CO605">$BC605 * IF($AD605&lt;=2,
SUMPRODUCT(INDEX($AL$23:$AN$61,,$AE605), INDEX($AO$23:$AU$61,,$AD605), 1 / ($AV$23:$AV$61*CM605), N($AK$23:$AK$61&gt;$AI605)),
SUMPRODUCT(INDEX($AL$23:$AN$46,,$AE605), INDEX($AO$23:$AU$46,,$AD605), 1 / ($AW$23:$AW$46*CM605), N($AK$23:$AK$46&gt;$AI605))
) / 1000</f>
        <v>0</v>
      </c>
      <c r="CP605" s="237">
        <f t="shared" si="624"/>
        <v>0</v>
      </c>
      <c r="CQ605" s="210"/>
    </row>
    <row r="606" spans="1:95" s="76" customFormat="1" ht="14.25" customHeight="1" x14ac:dyDescent="0.2">
      <c r="A606" s="238" t="b">
        <f t="shared" si="628"/>
        <v>0</v>
      </c>
      <c r="B606" s="239">
        <v>584</v>
      </c>
      <c r="C606" s="258"/>
      <c r="D606" s="258"/>
      <c r="E606" s="240"/>
      <c r="F606" s="241" t="str">
        <f>IF(ISBLANK(E606), "", VLOOKUP(E606, Z!$A$2:$C$4127, 3, FALSE))</f>
        <v/>
      </c>
      <c r="G606" s="242"/>
      <c r="H606" s="242"/>
      <c r="I606" s="243"/>
      <c r="J606" s="244"/>
      <c r="K606" s="259"/>
      <c r="L606" s="260"/>
      <c r="M606" s="247" t="str" cm="1">
        <f t="array" ref="M606">IF($K606&gt;0, INDEX(Clean,1+AG606,$C$1), "")</f>
        <v/>
      </c>
      <c r="N606" s="245"/>
      <c r="O606" s="245"/>
      <c r="P606" s="246"/>
      <c r="Q606" s="248">
        <f t="shared" si="601"/>
        <v>0</v>
      </c>
      <c r="R606" s="247" t="str" cm="1">
        <f t="array" ref="R606">IF($K606&gt;0, INDEX(Clean,1+AH606,$C$1), "")</f>
        <v/>
      </c>
      <c r="S606" s="245"/>
      <c r="T606" s="245"/>
      <c r="U606" s="246"/>
      <c r="V606" s="248">
        <f t="shared" si="602"/>
        <v>0</v>
      </c>
      <c r="W606" s="261"/>
      <c r="X606" s="258"/>
      <c r="Y606" s="240"/>
      <c r="Z606" s="241" t="str">
        <f>IF(ISBLANK(Y606), "", VLOOKUP(Y606, Z!$A$2:$C$4127, 3, FALSE))</f>
        <v/>
      </c>
      <c r="AA606" s="262"/>
      <c r="AB606" s="249">
        <f t="shared" si="637"/>
        <v>0</v>
      </c>
      <c r="AC606" s="210"/>
      <c r="AD606" s="236">
        <f t="shared" si="625"/>
        <v>1</v>
      </c>
      <c r="AE606" s="236">
        <f t="shared" si="626"/>
        <v>1</v>
      </c>
      <c r="AF606" s="236">
        <f t="shared" si="627"/>
        <v>0</v>
      </c>
      <c r="AG606" s="236">
        <v>1</v>
      </c>
      <c r="AH606" s="236">
        <v>0</v>
      </c>
      <c r="AI606" s="236">
        <f t="shared" si="603"/>
        <v>-100</v>
      </c>
      <c r="AJ606" s="210"/>
      <c r="AK606" s="254"/>
      <c r="AL606" s="254"/>
      <c r="AM606" s="255"/>
      <c r="AN606" s="255"/>
      <c r="AO606" s="255"/>
      <c r="AP606" s="255"/>
      <c r="AQ606" s="255"/>
      <c r="AR606" s="255"/>
      <c r="AS606" s="255"/>
      <c r="AT606" s="255"/>
      <c r="AU606" s="255"/>
      <c r="AV606" s="255"/>
      <c r="AW606" s="255"/>
      <c r="AX606" s="210"/>
      <c r="AY606" s="236" cm="1">
        <f t="array" ref="AY606">INDEX(Use, $AD606, 4)</f>
        <v>7</v>
      </c>
      <c r="AZ606" s="236">
        <f t="shared" si="604"/>
        <v>32</v>
      </c>
      <c r="BA606" s="236">
        <f t="shared" si="629"/>
        <v>13</v>
      </c>
      <c r="BB606" s="236">
        <f t="shared" si="630"/>
        <v>0</v>
      </c>
      <c r="BC606" s="252" cm="1">
        <f t="array" ref="BC606">K606/IF($L606&gt;0, INDEX($AO$23:$AU$77, $L606+20, $AD606), 1)</f>
        <v>0</v>
      </c>
      <c r="BD606" s="237">
        <f t="shared" si="605"/>
        <v>0</v>
      </c>
      <c r="BE606" s="236">
        <v>35</v>
      </c>
      <c r="BF606" s="237">
        <f t="shared" si="606"/>
        <v>52.55</v>
      </c>
      <c r="BG606" s="253">
        <f t="shared" si="607"/>
        <v>2.7676728869374316</v>
      </c>
      <c r="BH606" s="253" cm="1">
        <f t="array" ref="BH606">$BC606 * SUMPRODUCT(INDEX($AL$77:$AN$82,,$AE606),INDEX($AO$77:$AU$82,,$AD606), N($AK$77:$AK$82&gt;$AI606)) / BG606 / 1000</f>
        <v>0</v>
      </c>
      <c r="BI606" s="250">
        <f t="shared" si="631"/>
        <v>30</v>
      </c>
      <c r="BJ606" s="237">
        <f t="shared" si="608"/>
        <v>46.033333333333331</v>
      </c>
      <c r="BK606" s="253">
        <f t="shared" si="609"/>
        <v>3.2297395388556791</v>
      </c>
      <c r="BL606" s="253" cm="1">
        <f t="array" ref="BL606">$BC606 * IF($AD606&lt;=2,
SUMPRODUCT(INDEX($AL$72:$AN$76,,$AE606), INDEX($AO$72:$AU$76,,$AD606), 1 / ($AV$72:$AV$76*BK606 + (1-$AV$72:$AV$76)*BG606), N($AK$72:$AK$76&gt;$AI606)),
SUMPRODUCT(INDEX($AL$67:$AN$76,,$AE606), INDEX($AO$67:$AU$76,,$AD606), 1 / ($AW$67:$AW$76*BK606 + (1-$AW$67:$AW$76)*BG606), N($AK$67:$AK$76&gt;$AI606))
) / 1000</f>
        <v>0</v>
      </c>
      <c r="BM606" s="250">
        <f t="shared" si="632"/>
        <v>25</v>
      </c>
      <c r="BN606" s="237">
        <f t="shared" si="610"/>
        <v>39.516666666666666</v>
      </c>
      <c r="BO606" s="253">
        <f t="shared" si="611"/>
        <v>3.877011788826243</v>
      </c>
      <c r="BP606" s="253" cm="1">
        <f t="array" ref="BP606">$BC606 * IF($AD606&lt;=2,
SUMPRODUCT(INDEX($AL$67:$AN$71,,$AE606), INDEX($AO$67:$AU$71,,$AD606), 1 / ($AV$67:$AV$71*BO606 + (1-$AV$67:$AV$71)*BK606), N($AK$67:$AK$71&gt;$AI606)),
SUMPRODUCT(INDEX($AL$57:$AN$66,,$AE606), INDEX($AO$57:$AU$66,,$AD606), 1 / ($AW$57:$AW$66*BO606 + (1-$AW$57:$AW$66)*BK606), N($AK$57:$AK$66&gt;$AI606))
) / 1000</f>
        <v>0</v>
      </c>
      <c r="BQ606" s="250">
        <f t="shared" si="633"/>
        <v>20</v>
      </c>
      <c r="BR606" s="237">
        <f t="shared" si="612"/>
        <v>33</v>
      </c>
      <c r="BS606" s="253">
        <f t="shared" si="613"/>
        <v>4.8487499999999999</v>
      </c>
      <c r="BT606" s="253" cm="1">
        <f t="array" ref="BT606">$BC606 * IF($AD606&lt;=2,
SUMPRODUCT(INDEX($AL$62:$AN$66,,$AE606), INDEX($AO$62:$AU$66,,$AD606), 1 / ($AV$62:$AV$66*BS606 + (1-$AV$62:$AV$66)*BO606), N($AK$62:$AK$66&gt;$AI606)),
SUMPRODUCT(INDEX($AL$47:$AN$56,,$AE606), INDEX($AO$47:$AU$56,,$AD606), 1 / ($AW$47:$AW$56*BS606 + (1-$AW$47:$AW$56)*BO606), N($AK$47:$AK$56&gt;$AI606))
) / 1000</f>
        <v>0</v>
      </c>
      <c r="BU606" s="253" cm="1">
        <f t="array" ref="BU606">$BC606 * IF($AD606&lt;=2,
SUMPRODUCT(INDEX($AL$23:$AN$61,,$AE606), INDEX($AO$23:$AU$61,,$AD606), 1 / ($AV$23:$AV$61*BS606), N($AK$23:$AK$61&gt;$AI606)),
SUMPRODUCT(INDEX($AL$23:$AN$46,,$AE606), INDEX($AO$23:$AU$46,,$AD606), 1 / ($AW$23:$AW$46*BS606), N($AK$23:$AK$46&gt;$AI606))
) / 1000</f>
        <v>0</v>
      </c>
      <c r="BV606" s="237">
        <f t="shared" si="614"/>
        <v>0</v>
      </c>
      <c r="BW606" s="210"/>
      <c r="BX606" s="237">
        <f t="shared" si="615"/>
        <v>0</v>
      </c>
      <c r="BY606" s="236">
        <v>35</v>
      </c>
      <c r="BZ606" s="237">
        <f t="shared" si="616"/>
        <v>48</v>
      </c>
      <c r="CA606" s="253">
        <f t="shared" si="617"/>
        <v>3.0748170731707316</v>
      </c>
      <c r="CB606" s="253" cm="1">
        <f t="array" ref="CB606">$BC606 * SUMPRODUCT(INDEX($AL$77:$AN$82,,$AE606),INDEX($AO$77:$AU$82,,$AD606), N($AK$77:$AK$82&gt;$AI606)) / CA606 / 1000</f>
        <v>0</v>
      </c>
      <c r="CC606" s="250">
        <f t="shared" si="634"/>
        <v>30</v>
      </c>
      <c r="CD606" s="237">
        <f t="shared" si="618"/>
        <v>43</v>
      </c>
      <c r="CE606" s="253">
        <f t="shared" si="619"/>
        <v>3.5018750000000001</v>
      </c>
      <c r="CF606" s="253" cm="1">
        <f t="array" ref="CF606">$BC606 * IF($AD606&lt;=2,
SUMPRODUCT(INDEX($AL$72:$AN$76,,$AE606), INDEX($AO$72:$AU$76,,$AD606), 1 / ($AV$72:$AV$76*CE606 + (1-$AV$72:$AV$76)*CA606), N($AK$72:$AK$76&gt;$AI606)),
SUMPRODUCT(INDEX($AL$67:$AN$76,,$AE606), INDEX($AO$67:$AU$76,,$AD606), 1 / ($AW$67:$AW$76*CE606 + (1-$AW$67:$AW$76)*CA606), N($AK$67:$AK$76&gt;$AI606))
) / 1000</f>
        <v>0</v>
      </c>
      <c r="CG606" s="250">
        <f t="shared" si="635"/>
        <v>25</v>
      </c>
      <c r="CH606" s="237">
        <f t="shared" si="620"/>
        <v>38</v>
      </c>
      <c r="CI606" s="253">
        <f t="shared" si="621"/>
        <v>4.0666935483870965</v>
      </c>
      <c r="CJ606" s="253" cm="1">
        <f t="array" ref="CJ606">$BC606 * IF($AD606&lt;=2,
SUMPRODUCT(INDEX($AL$67:$AN$71,,$AE606), INDEX($AO$67:$AU$71,,$AD606), 1 / ($AV$67:$AV$71*CI606 + (1-$AV$67:$AV$71)*CE606), N($AK$67:$AK$71&gt;$AI606)),
SUMPRODUCT(INDEX($AL$57:$AN$66,,$AE606), INDEX($AO$57:$AU$66,,$AD606), 1 / ($AW$57:$AW$66*CI606 + (1-$AW$57:$AW$66)*CE606), N($AK$57:$AK$66&gt;$AI606))
) / 1000</f>
        <v>0</v>
      </c>
      <c r="CK606" s="250">
        <f t="shared" si="636"/>
        <v>20</v>
      </c>
      <c r="CL606" s="237">
        <f t="shared" si="622"/>
        <v>33</v>
      </c>
      <c r="CM606" s="253">
        <f t="shared" si="623"/>
        <v>4.8487499999999999</v>
      </c>
      <c r="CN606" s="253" cm="1">
        <f t="array" ref="CN606">$BC606 * IF($AD606&lt;=2,
SUMPRODUCT(INDEX($AL$62:$AN$66,,$AE606), INDEX($AO$62:$AU$66,,$AD606), 1 / ($AV$62:$AV$66*CM606 + (1-$AV$62:$AV$66)*CI606), N($AK$62:$AK$66&gt;$AI606)),
SUMPRODUCT(INDEX($AL$47:$AN$56,,$AE606), INDEX($AO$47:$AU$56,,$AD606), 1 / ($AW$47:$AW$56*CM606 + (1-$AW$47:$AW$56)*CI606), N($AK$47:$AK$56&gt;$AI606))
) / 1000</f>
        <v>0</v>
      </c>
      <c r="CO606" s="253" cm="1">
        <f t="array" ref="CO606">$BC606 * IF($AD606&lt;=2,
SUMPRODUCT(INDEX($AL$23:$AN$61,,$AE606), INDEX($AO$23:$AU$61,,$AD606), 1 / ($AV$23:$AV$61*CM606), N($AK$23:$AK$61&gt;$AI606)),
SUMPRODUCT(INDEX($AL$23:$AN$46,,$AE606), INDEX($AO$23:$AU$46,,$AD606), 1 / ($AW$23:$AW$46*CM606), N($AK$23:$AK$46&gt;$AI606))
) / 1000</f>
        <v>0</v>
      </c>
      <c r="CP606" s="237">
        <f t="shared" si="624"/>
        <v>0</v>
      </c>
      <c r="CQ606" s="210"/>
    </row>
    <row r="607" spans="1:95" s="76" customFormat="1" ht="14.25" customHeight="1" x14ac:dyDescent="0.2">
      <c r="A607" s="238" t="b">
        <f t="shared" si="628"/>
        <v>0</v>
      </c>
      <c r="B607" s="239">
        <v>585</v>
      </c>
      <c r="C607" s="258"/>
      <c r="D607" s="258"/>
      <c r="E607" s="240"/>
      <c r="F607" s="241" t="str">
        <f>IF(ISBLANK(E607), "", VLOOKUP(E607, Z!$A$2:$C$4127, 3, FALSE))</f>
        <v/>
      </c>
      <c r="G607" s="242"/>
      <c r="H607" s="242"/>
      <c r="I607" s="243"/>
      <c r="J607" s="244"/>
      <c r="K607" s="259"/>
      <c r="L607" s="260"/>
      <c r="M607" s="247" t="str" cm="1">
        <f t="array" ref="M607">IF($K607&gt;0, INDEX(Clean,1+AG607,$C$1), "")</f>
        <v/>
      </c>
      <c r="N607" s="245"/>
      <c r="O607" s="245"/>
      <c r="P607" s="246"/>
      <c r="Q607" s="248">
        <f t="shared" si="601"/>
        <v>0</v>
      </c>
      <c r="R607" s="247" t="str" cm="1">
        <f t="array" ref="R607">IF($K607&gt;0, INDEX(Clean,1+AH607,$C$1), "")</f>
        <v/>
      </c>
      <c r="S607" s="245"/>
      <c r="T607" s="245"/>
      <c r="U607" s="246"/>
      <c r="V607" s="248">
        <f t="shared" si="602"/>
        <v>0</v>
      </c>
      <c r="W607" s="261"/>
      <c r="X607" s="258"/>
      <c r="Y607" s="240"/>
      <c r="Z607" s="241" t="str">
        <f>IF(ISBLANK(Y607), "", VLOOKUP(Y607, Z!$A$2:$C$4127, 3, FALSE))</f>
        <v/>
      </c>
      <c r="AA607" s="262"/>
      <c r="AB607" s="249">
        <f t="shared" si="637"/>
        <v>0</v>
      </c>
      <c r="AC607" s="210"/>
      <c r="AD607" s="236">
        <f t="shared" si="625"/>
        <v>1</v>
      </c>
      <c r="AE607" s="236">
        <f t="shared" si="626"/>
        <v>1</v>
      </c>
      <c r="AF607" s="236">
        <f t="shared" si="627"/>
        <v>0</v>
      </c>
      <c r="AG607" s="236">
        <v>1</v>
      </c>
      <c r="AH607" s="236">
        <v>0</v>
      </c>
      <c r="AI607" s="236">
        <f t="shared" si="603"/>
        <v>-100</v>
      </c>
      <c r="AJ607" s="210"/>
      <c r="AK607" s="254"/>
      <c r="AL607" s="254"/>
      <c r="AM607" s="255"/>
      <c r="AN607" s="255"/>
      <c r="AO607" s="255"/>
      <c r="AP607" s="255"/>
      <c r="AQ607" s="255"/>
      <c r="AR607" s="255"/>
      <c r="AS607" s="255"/>
      <c r="AT607" s="255"/>
      <c r="AU607" s="255"/>
      <c r="AV607" s="255"/>
      <c r="AW607" s="255"/>
      <c r="AX607" s="210"/>
      <c r="AY607" s="236" cm="1">
        <f t="array" ref="AY607">INDEX(Use, $AD607, 4)</f>
        <v>7</v>
      </c>
      <c r="AZ607" s="236">
        <f t="shared" si="604"/>
        <v>32</v>
      </c>
      <c r="BA607" s="236">
        <f t="shared" si="629"/>
        <v>13</v>
      </c>
      <c r="BB607" s="236">
        <f t="shared" si="630"/>
        <v>0</v>
      </c>
      <c r="BC607" s="252" cm="1">
        <f t="array" ref="BC607">K607/IF($L607&gt;0, INDEX($AO$23:$AU$77, $L607+20, $AD607), 1)</f>
        <v>0</v>
      </c>
      <c r="BD607" s="237">
        <f t="shared" si="605"/>
        <v>0</v>
      </c>
      <c r="BE607" s="236">
        <v>35</v>
      </c>
      <c r="BF607" s="237">
        <f t="shared" si="606"/>
        <v>52.55</v>
      </c>
      <c r="BG607" s="253">
        <f t="shared" si="607"/>
        <v>2.7676728869374316</v>
      </c>
      <c r="BH607" s="253" cm="1">
        <f t="array" ref="BH607">$BC607 * SUMPRODUCT(INDEX($AL$77:$AN$82,,$AE607),INDEX($AO$77:$AU$82,,$AD607), N($AK$77:$AK$82&gt;$AI607)) / BG607 / 1000</f>
        <v>0</v>
      </c>
      <c r="BI607" s="250">
        <f t="shared" si="631"/>
        <v>30</v>
      </c>
      <c r="BJ607" s="237">
        <f t="shared" si="608"/>
        <v>46.033333333333331</v>
      </c>
      <c r="BK607" s="253">
        <f t="shared" si="609"/>
        <v>3.2297395388556791</v>
      </c>
      <c r="BL607" s="253" cm="1">
        <f t="array" ref="BL607">$BC607 * IF($AD607&lt;=2,
SUMPRODUCT(INDEX($AL$72:$AN$76,,$AE607), INDEX($AO$72:$AU$76,,$AD607), 1 / ($AV$72:$AV$76*BK607 + (1-$AV$72:$AV$76)*BG607), N($AK$72:$AK$76&gt;$AI607)),
SUMPRODUCT(INDEX($AL$67:$AN$76,,$AE607), INDEX($AO$67:$AU$76,,$AD607), 1 / ($AW$67:$AW$76*BK607 + (1-$AW$67:$AW$76)*BG607), N($AK$67:$AK$76&gt;$AI607))
) / 1000</f>
        <v>0</v>
      </c>
      <c r="BM607" s="250">
        <f t="shared" si="632"/>
        <v>25</v>
      </c>
      <c r="BN607" s="237">
        <f t="shared" si="610"/>
        <v>39.516666666666666</v>
      </c>
      <c r="BO607" s="253">
        <f t="shared" si="611"/>
        <v>3.877011788826243</v>
      </c>
      <c r="BP607" s="253" cm="1">
        <f t="array" ref="BP607">$BC607 * IF($AD607&lt;=2,
SUMPRODUCT(INDEX($AL$67:$AN$71,,$AE607), INDEX($AO$67:$AU$71,,$AD607), 1 / ($AV$67:$AV$71*BO607 + (1-$AV$67:$AV$71)*BK607), N($AK$67:$AK$71&gt;$AI607)),
SUMPRODUCT(INDEX($AL$57:$AN$66,,$AE607), INDEX($AO$57:$AU$66,,$AD607), 1 / ($AW$57:$AW$66*BO607 + (1-$AW$57:$AW$66)*BK607), N($AK$57:$AK$66&gt;$AI607))
) / 1000</f>
        <v>0</v>
      </c>
      <c r="BQ607" s="250">
        <f t="shared" si="633"/>
        <v>20</v>
      </c>
      <c r="BR607" s="237">
        <f t="shared" si="612"/>
        <v>33</v>
      </c>
      <c r="BS607" s="253">
        <f t="shared" si="613"/>
        <v>4.8487499999999999</v>
      </c>
      <c r="BT607" s="253" cm="1">
        <f t="array" ref="BT607">$BC607 * IF($AD607&lt;=2,
SUMPRODUCT(INDEX($AL$62:$AN$66,,$AE607), INDEX($AO$62:$AU$66,,$AD607), 1 / ($AV$62:$AV$66*BS607 + (1-$AV$62:$AV$66)*BO607), N($AK$62:$AK$66&gt;$AI607)),
SUMPRODUCT(INDEX($AL$47:$AN$56,,$AE607), INDEX($AO$47:$AU$56,,$AD607), 1 / ($AW$47:$AW$56*BS607 + (1-$AW$47:$AW$56)*BO607), N($AK$47:$AK$56&gt;$AI607))
) / 1000</f>
        <v>0</v>
      </c>
      <c r="BU607" s="253" cm="1">
        <f t="array" ref="BU607">$BC607 * IF($AD607&lt;=2,
SUMPRODUCT(INDEX($AL$23:$AN$61,,$AE607), INDEX($AO$23:$AU$61,,$AD607), 1 / ($AV$23:$AV$61*BS607), N($AK$23:$AK$61&gt;$AI607)),
SUMPRODUCT(INDEX($AL$23:$AN$46,,$AE607), INDEX($AO$23:$AU$46,,$AD607), 1 / ($AW$23:$AW$46*BS607), N($AK$23:$AK$46&gt;$AI607))
) / 1000</f>
        <v>0</v>
      </c>
      <c r="BV607" s="237">
        <f t="shared" si="614"/>
        <v>0</v>
      </c>
      <c r="BW607" s="210"/>
      <c r="BX607" s="237">
        <f t="shared" si="615"/>
        <v>0</v>
      </c>
      <c r="BY607" s="236">
        <v>35</v>
      </c>
      <c r="BZ607" s="237">
        <f t="shared" si="616"/>
        <v>48</v>
      </c>
      <c r="CA607" s="253">
        <f t="shared" si="617"/>
        <v>3.0748170731707316</v>
      </c>
      <c r="CB607" s="253" cm="1">
        <f t="array" ref="CB607">$BC607 * SUMPRODUCT(INDEX($AL$77:$AN$82,,$AE607),INDEX($AO$77:$AU$82,,$AD607), N($AK$77:$AK$82&gt;$AI607)) / CA607 / 1000</f>
        <v>0</v>
      </c>
      <c r="CC607" s="250">
        <f t="shared" si="634"/>
        <v>30</v>
      </c>
      <c r="CD607" s="237">
        <f t="shared" si="618"/>
        <v>43</v>
      </c>
      <c r="CE607" s="253">
        <f t="shared" si="619"/>
        <v>3.5018750000000001</v>
      </c>
      <c r="CF607" s="253" cm="1">
        <f t="array" ref="CF607">$BC607 * IF($AD607&lt;=2,
SUMPRODUCT(INDEX($AL$72:$AN$76,,$AE607), INDEX($AO$72:$AU$76,,$AD607), 1 / ($AV$72:$AV$76*CE607 + (1-$AV$72:$AV$76)*CA607), N($AK$72:$AK$76&gt;$AI607)),
SUMPRODUCT(INDEX($AL$67:$AN$76,,$AE607), INDEX($AO$67:$AU$76,,$AD607), 1 / ($AW$67:$AW$76*CE607 + (1-$AW$67:$AW$76)*CA607), N($AK$67:$AK$76&gt;$AI607))
) / 1000</f>
        <v>0</v>
      </c>
      <c r="CG607" s="250">
        <f t="shared" si="635"/>
        <v>25</v>
      </c>
      <c r="CH607" s="237">
        <f t="shared" si="620"/>
        <v>38</v>
      </c>
      <c r="CI607" s="253">
        <f t="shared" si="621"/>
        <v>4.0666935483870965</v>
      </c>
      <c r="CJ607" s="253" cm="1">
        <f t="array" ref="CJ607">$BC607 * IF($AD607&lt;=2,
SUMPRODUCT(INDEX($AL$67:$AN$71,,$AE607), INDEX($AO$67:$AU$71,,$AD607), 1 / ($AV$67:$AV$71*CI607 + (1-$AV$67:$AV$71)*CE607), N($AK$67:$AK$71&gt;$AI607)),
SUMPRODUCT(INDEX($AL$57:$AN$66,,$AE607), INDEX($AO$57:$AU$66,,$AD607), 1 / ($AW$57:$AW$66*CI607 + (1-$AW$57:$AW$66)*CE607), N($AK$57:$AK$66&gt;$AI607))
) / 1000</f>
        <v>0</v>
      </c>
      <c r="CK607" s="250">
        <f t="shared" si="636"/>
        <v>20</v>
      </c>
      <c r="CL607" s="237">
        <f t="shared" si="622"/>
        <v>33</v>
      </c>
      <c r="CM607" s="253">
        <f t="shared" si="623"/>
        <v>4.8487499999999999</v>
      </c>
      <c r="CN607" s="253" cm="1">
        <f t="array" ref="CN607">$BC607 * IF($AD607&lt;=2,
SUMPRODUCT(INDEX($AL$62:$AN$66,,$AE607), INDEX($AO$62:$AU$66,,$AD607), 1 / ($AV$62:$AV$66*CM607 + (1-$AV$62:$AV$66)*CI607), N($AK$62:$AK$66&gt;$AI607)),
SUMPRODUCT(INDEX($AL$47:$AN$56,,$AE607), INDEX($AO$47:$AU$56,,$AD607), 1 / ($AW$47:$AW$56*CM607 + (1-$AW$47:$AW$56)*CI607), N($AK$47:$AK$56&gt;$AI607))
) / 1000</f>
        <v>0</v>
      </c>
      <c r="CO607" s="253" cm="1">
        <f t="array" ref="CO607">$BC607 * IF($AD607&lt;=2,
SUMPRODUCT(INDEX($AL$23:$AN$61,,$AE607), INDEX($AO$23:$AU$61,,$AD607), 1 / ($AV$23:$AV$61*CM607), N($AK$23:$AK$61&gt;$AI607)),
SUMPRODUCT(INDEX($AL$23:$AN$46,,$AE607), INDEX($AO$23:$AU$46,,$AD607), 1 / ($AW$23:$AW$46*CM607), N($AK$23:$AK$46&gt;$AI607))
) / 1000</f>
        <v>0</v>
      </c>
      <c r="CP607" s="237">
        <f t="shared" si="624"/>
        <v>0</v>
      </c>
      <c r="CQ607" s="210"/>
    </row>
    <row r="608" spans="1:95" s="76" customFormat="1" ht="14.25" customHeight="1" x14ac:dyDescent="0.2">
      <c r="A608" s="238" t="b">
        <f t="shared" si="628"/>
        <v>0</v>
      </c>
      <c r="B608" s="239">
        <v>586</v>
      </c>
      <c r="C608" s="258"/>
      <c r="D608" s="258"/>
      <c r="E608" s="240"/>
      <c r="F608" s="241" t="str">
        <f>IF(ISBLANK(E608), "", VLOOKUP(E608, Z!$A$2:$C$4127, 3, FALSE))</f>
        <v/>
      </c>
      <c r="G608" s="242"/>
      <c r="H608" s="242"/>
      <c r="I608" s="243"/>
      <c r="J608" s="244"/>
      <c r="K608" s="259"/>
      <c r="L608" s="260"/>
      <c r="M608" s="247" t="str" cm="1">
        <f t="array" ref="M608">IF($K608&gt;0, INDEX(Clean,1+AG608,$C$1), "")</f>
        <v/>
      </c>
      <c r="N608" s="245"/>
      <c r="O608" s="245"/>
      <c r="P608" s="246"/>
      <c r="Q608" s="248">
        <f t="shared" si="601"/>
        <v>0</v>
      </c>
      <c r="R608" s="247" t="str" cm="1">
        <f t="array" ref="R608">IF($K608&gt;0, INDEX(Clean,1+AH608,$C$1), "")</f>
        <v/>
      </c>
      <c r="S608" s="245"/>
      <c r="T608" s="245"/>
      <c r="U608" s="246"/>
      <c r="V608" s="248">
        <f t="shared" si="602"/>
        <v>0</v>
      </c>
      <c r="W608" s="261"/>
      <c r="X608" s="258"/>
      <c r="Y608" s="240"/>
      <c r="Z608" s="241" t="str">
        <f>IF(ISBLANK(Y608), "", VLOOKUP(Y608, Z!$A$2:$C$4127, 3, FALSE))</f>
        <v/>
      </c>
      <c r="AA608" s="262"/>
      <c r="AB608" s="249">
        <f t="shared" si="637"/>
        <v>0</v>
      </c>
      <c r="AC608" s="210"/>
      <c r="AD608" s="236">
        <f t="shared" si="625"/>
        <v>1</v>
      </c>
      <c r="AE608" s="236">
        <f t="shared" si="626"/>
        <v>1</v>
      </c>
      <c r="AF608" s="236">
        <f t="shared" si="627"/>
        <v>0</v>
      </c>
      <c r="AG608" s="236">
        <v>1</v>
      </c>
      <c r="AH608" s="236">
        <v>0</v>
      </c>
      <c r="AI608" s="236">
        <f t="shared" si="603"/>
        <v>-100</v>
      </c>
      <c r="AJ608" s="210"/>
      <c r="AK608" s="254"/>
      <c r="AL608" s="254"/>
      <c r="AM608" s="255"/>
      <c r="AN608" s="255"/>
      <c r="AO608" s="255"/>
      <c r="AP608" s="255"/>
      <c r="AQ608" s="255"/>
      <c r="AR608" s="255"/>
      <c r="AS608" s="255"/>
      <c r="AT608" s="255"/>
      <c r="AU608" s="255"/>
      <c r="AV608" s="255"/>
      <c r="AW608" s="255"/>
      <c r="AX608" s="210"/>
      <c r="AY608" s="236" cm="1">
        <f t="array" ref="AY608">INDEX(Use, $AD608, 4)</f>
        <v>7</v>
      </c>
      <c r="AZ608" s="236">
        <f t="shared" si="604"/>
        <v>32</v>
      </c>
      <c r="BA608" s="236">
        <f t="shared" si="629"/>
        <v>13</v>
      </c>
      <c r="BB608" s="236">
        <f t="shared" si="630"/>
        <v>0</v>
      </c>
      <c r="BC608" s="252" cm="1">
        <f t="array" ref="BC608">K608/IF($L608&gt;0, INDEX($AO$23:$AU$77, $L608+20, $AD608), 1)</f>
        <v>0</v>
      </c>
      <c r="BD608" s="237">
        <f t="shared" si="605"/>
        <v>0</v>
      </c>
      <c r="BE608" s="236">
        <v>35</v>
      </c>
      <c r="BF608" s="237">
        <f t="shared" si="606"/>
        <v>52.55</v>
      </c>
      <c r="BG608" s="253">
        <f t="shared" si="607"/>
        <v>2.7676728869374316</v>
      </c>
      <c r="BH608" s="253" cm="1">
        <f t="array" ref="BH608">$BC608 * SUMPRODUCT(INDEX($AL$77:$AN$82,,$AE608),INDEX($AO$77:$AU$82,,$AD608), N($AK$77:$AK$82&gt;$AI608)) / BG608 / 1000</f>
        <v>0</v>
      </c>
      <c r="BI608" s="250">
        <f t="shared" si="631"/>
        <v>30</v>
      </c>
      <c r="BJ608" s="237">
        <f t="shared" si="608"/>
        <v>46.033333333333331</v>
      </c>
      <c r="BK608" s="253">
        <f t="shared" si="609"/>
        <v>3.2297395388556791</v>
      </c>
      <c r="BL608" s="253" cm="1">
        <f t="array" ref="BL608">$BC608 * IF($AD608&lt;=2,
SUMPRODUCT(INDEX($AL$72:$AN$76,,$AE608), INDEX($AO$72:$AU$76,,$AD608), 1 / ($AV$72:$AV$76*BK608 + (1-$AV$72:$AV$76)*BG608), N($AK$72:$AK$76&gt;$AI608)),
SUMPRODUCT(INDEX($AL$67:$AN$76,,$AE608), INDEX($AO$67:$AU$76,,$AD608), 1 / ($AW$67:$AW$76*BK608 + (1-$AW$67:$AW$76)*BG608), N($AK$67:$AK$76&gt;$AI608))
) / 1000</f>
        <v>0</v>
      </c>
      <c r="BM608" s="250">
        <f t="shared" si="632"/>
        <v>25</v>
      </c>
      <c r="BN608" s="237">
        <f t="shared" si="610"/>
        <v>39.516666666666666</v>
      </c>
      <c r="BO608" s="253">
        <f t="shared" si="611"/>
        <v>3.877011788826243</v>
      </c>
      <c r="BP608" s="253" cm="1">
        <f t="array" ref="BP608">$BC608 * IF($AD608&lt;=2,
SUMPRODUCT(INDEX($AL$67:$AN$71,,$AE608), INDEX($AO$67:$AU$71,,$AD608), 1 / ($AV$67:$AV$71*BO608 + (1-$AV$67:$AV$71)*BK608), N($AK$67:$AK$71&gt;$AI608)),
SUMPRODUCT(INDEX($AL$57:$AN$66,,$AE608), INDEX($AO$57:$AU$66,,$AD608), 1 / ($AW$57:$AW$66*BO608 + (1-$AW$57:$AW$66)*BK608), N($AK$57:$AK$66&gt;$AI608))
) / 1000</f>
        <v>0</v>
      </c>
      <c r="BQ608" s="250">
        <f t="shared" si="633"/>
        <v>20</v>
      </c>
      <c r="BR608" s="237">
        <f t="shared" si="612"/>
        <v>33</v>
      </c>
      <c r="BS608" s="253">
        <f t="shared" si="613"/>
        <v>4.8487499999999999</v>
      </c>
      <c r="BT608" s="253" cm="1">
        <f t="array" ref="BT608">$BC608 * IF($AD608&lt;=2,
SUMPRODUCT(INDEX($AL$62:$AN$66,,$AE608), INDEX($AO$62:$AU$66,,$AD608), 1 / ($AV$62:$AV$66*BS608 + (1-$AV$62:$AV$66)*BO608), N($AK$62:$AK$66&gt;$AI608)),
SUMPRODUCT(INDEX($AL$47:$AN$56,,$AE608), INDEX($AO$47:$AU$56,,$AD608), 1 / ($AW$47:$AW$56*BS608 + (1-$AW$47:$AW$56)*BO608), N($AK$47:$AK$56&gt;$AI608))
) / 1000</f>
        <v>0</v>
      </c>
      <c r="BU608" s="253" cm="1">
        <f t="array" ref="BU608">$BC608 * IF($AD608&lt;=2,
SUMPRODUCT(INDEX($AL$23:$AN$61,,$AE608), INDEX($AO$23:$AU$61,,$AD608), 1 / ($AV$23:$AV$61*BS608), N($AK$23:$AK$61&gt;$AI608)),
SUMPRODUCT(INDEX($AL$23:$AN$46,,$AE608), INDEX($AO$23:$AU$46,,$AD608), 1 / ($AW$23:$AW$46*BS608), N($AK$23:$AK$46&gt;$AI608))
) / 1000</f>
        <v>0</v>
      </c>
      <c r="BV608" s="237">
        <f t="shared" si="614"/>
        <v>0</v>
      </c>
      <c r="BW608" s="210"/>
      <c r="BX608" s="237">
        <f t="shared" si="615"/>
        <v>0</v>
      </c>
      <c r="BY608" s="236">
        <v>35</v>
      </c>
      <c r="BZ608" s="237">
        <f t="shared" si="616"/>
        <v>48</v>
      </c>
      <c r="CA608" s="253">
        <f t="shared" si="617"/>
        <v>3.0748170731707316</v>
      </c>
      <c r="CB608" s="253" cm="1">
        <f t="array" ref="CB608">$BC608 * SUMPRODUCT(INDEX($AL$77:$AN$82,,$AE608),INDEX($AO$77:$AU$82,,$AD608), N($AK$77:$AK$82&gt;$AI608)) / CA608 / 1000</f>
        <v>0</v>
      </c>
      <c r="CC608" s="250">
        <f t="shared" si="634"/>
        <v>30</v>
      </c>
      <c r="CD608" s="237">
        <f t="shared" si="618"/>
        <v>43</v>
      </c>
      <c r="CE608" s="253">
        <f t="shared" si="619"/>
        <v>3.5018750000000001</v>
      </c>
      <c r="CF608" s="253" cm="1">
        <f t="array" ref="CF608">$BC608 * IF($AD608&lt;=2,
SUMPRODUCT(INDEX($AL$72:$AN$76,,$AE608), INDEX($AO$72:$AU$76,,$AD608), 1 / ($AV$72:$AV$76*CE608 + (1-$AV$72:$AV$76)*CA608), N($AK$72:$AK$76&gt;$AI608)),
SUMPRODUCT(INDEX($AL$67:$AN$76,,$AE608), INDEX($AO$67:$AU$76,,$AD608), 1 / ($AW$67:$AW$76*CE608 + (1-$AW$67:$AW$76)*CA608), N($AK$67:$AK$76&gt;$AI608))
) / 1000</f>
        <v>0</v>
      </c>
      <c r="CG608" s="250">
        <f t="shared" si="635"/>
        <v>25</v>
      </c>
      <c r="CH608" s="237">
        <f t="shared" si="620"/>
        <v>38</v>
      </c>
      <c r="CI608" s="253">
        <f t="shared" si="621"/>
        <v>4.0666935483870965</v>
      </c>
      <c r="CJ608" s="253" cm="1">
        <f t="array" ref="CJ608">$BC608 * IF($AD608&lt;=2,
SUMPRODUCT(INDEX($AL$67:$AN$71,,$AE608), INDEX($AO$67:$AU$71,,$AD608), 1 / ($AV$67:$AV$71*CI608 + (1-$AV$67:$AV$71)*CE608), N($AK$67:$AK$71&gt;$AI608)),
SUMPRODUCT(INDEX($AL$57:$AN$66,,$AE608), INDEX($AO$57:$AU$66,,$AD608), 1 / ($AW$57:$AW$66*CI608 + (1-$AW$57:$AW$66)*CE608), N($AK$57:$AK$66&gt;$AI608))
) / 1000</f>
        <v>0</v>
      </c>
      <c r="CK608" s="250">
        <f t="shared" si="636"/>
        <v>20</v>
      </c>
      <c r="CL608" s="237">
        <f t="shared" si="622"/>
        <v>33</v>
      </c>
      <c r="CM608" s="253">
        <f t="shared" si="623"/>
        <v>4.8487499999999999</v>
      </c>
      <c r="CN608" s="253" cm="1">
        <f t="array" ref="CN608">$BC608 * IF($AD608&lt;=2,
SUMPRODUCT(INDEX($AL$62:$AN$66,,$AE608), INDEX($AO$62:$AU$66,,$AD608), 1 / ($AV$62:$AV$66*CM608 + (1-$AV$62:$AV$66)*CI608), N($AK$62:$AK$66&gt;$AI608)),
SUMPRODUCT(INDEX($AL$47:$AN$56,,$AE608), INDEX($AO$47:$AU$56,,$AD608), 1 / ($AW$47:$AW$56*CM608 + (1-$AW$47:$AW$56)*CI608), N($AK$47:$AK$56&gt;$AI608))
) / 1000</f>
        <v>0</v>
      </c>
      <c r="CO608" s="253" cm="1">
        <f t="array" ref="CO608">$BC608 * IF($AD608&lt;=2,
SUMPRODUCT(INDEX($AL$23:$AN$61,,$AE608), INDEX($AO$23:$AU$61,,$AD608), 1 / ($AV$23:$AV$61*CM608), N($AK$23:$AK$61&gt;$AI608)),
SUMPRODUCT(INDEX($AL$23:$AN$46,,$AE608), INDEX($AO$23:$AU$46,,$AD608), 1 / ($AW$23:$AW$46*CM608), N($AK$23:$AK$46&gt;$AI608))
) / 1000</f>
        <v>0</v>
      </c>
      <c r="CP608" s="237">
        <f t="shared" si="624"/>
        <v>0</v>
      </c>
      <c r="CQ608" s="210"/>
    </row>
    <row r="609" spans="1:95" s="76" customFormat="1" ht="14.25" customHeight="1" x14ac:dyDescent="0.2">
      <c r="A609" s="238" t="b">
        <f t="shared" si="628"/>
        <v>0</v>
      </c>
      <c r="B609" s="239">
        <v>587</v>
      </c>
      <c r="C609" s="258"/>
      <c r="D609" s="258"/>
      <c r="E609" s="240"/>
      <c r="F609" s="241" t="str">
        <f>IF(ISBLANK(E609), "", VLOOKUP(E609, Z!$A$2:$C$4127, 3, FALSE))</f>
        <v/>
      </c>
      <c r="G609" s="242"/>
      <c r="H609" s="242"/>
      <c r="I609" s="243"/>
      <c r="J609" s="244"/>
      <c r="K609" s="259"/>
      <c r="L609" s="260"/>
      <c r="M609" s="247" t="str" cm="1">
        <f t="array" ref="M609">IF($K609&gt;0, INDEX(Clean,1+AG609,$C$1), "")</f>
        <v/>
      </c>
      <c r="N609" s="245"/>
      <c r="O609" s="245"/>
      <c r="P609" s="246"/>
      <c r="Q609" s="248">
        <f t="shared" si="601"/>
        <v>0</v>
      </c>
      <c r="R609" s="247" t="str" cm="1">
        <f t="array" ref="R609">IF($K609&gt;0, INDEX(Clean,1+AH609,$C$1), "")</f>
        <v/>
      </c>
      <c r="S609" s="245"/>
      <c r="T609" s="245"/>
      <c r="U609" s="246"/>
      <c r="V609" s="248">
        <f t="shared" si="602"/>
        <v>0</v>
      </c>
      <c r="W609" s="261"/>
      <c r="X609" s="258"/>
      <c r="Y609" s="240"/>
      <c r="Z609" s="241" t="str">
        <f>IF(ISBLANK(Y609), "", VLOOKUP(Y609, Z!$A$2:$C$4127, 3, FALSE))</f>
        <v/>
      </c>
      <c r="AA609" s="262"/>
      <c r="AB609" s="249">
        <f t="shared" si="637"/>
        <v>0</v>
      </c>
      <c r="AC609" s="210"/>
      <c r="AD609" s="236">
        <f t="shared" si="625"/>
        <v>1</v>
      </c>
      <c r="AE609" s="236">
        <f t="shared" si="626"/>
        <v>1</v>
      </c>
      <c r="AF609" s="236">
        <f t="shared" si="627"/>
        <v>0</v>
      </c>
      <c r="AG609" s="236">
        <v>1</v>
      </c>
      <c r="AH609" s="236">
        <v>0</v>
      </c>
      <c r="AI609" s="236">
        <f t="shared" si="603"/>
        <v>-100</v>
      </c>
      <c r="AJ609" s="210"/>
      <c r="AK609" s="254"/>
      <c r="AL609" s="254"/>
      <c r="AM609" s="255"/>
      <c r="AN609" s="255"/>
      <c r="AO609" s="255"/>
      <c r="AP609" s="255"/>
      <c r="AQ609" s="255"/>
      <c r="AR609" s="255"/>
      <c r="AS609" s="255"/>
      <c r="AT609" s="255"/>
      <c r="AU609" s="255"/>
      <c r="AV609" s="255"/>
      <c r="AW609" s="255"/>
      <c r="AX609" s="210"/>
      <c r="AY609" s="236" cm="1">
        <f t="array" ref="AY609">INDEX(Use, $AD609, 4)</f>
        <v>7</v>
      </c>
      <c r="AZ609" s="236">
        <f t="shared" si="604"/>
        <v>32</v>
      </c>
      <c r="BA609" s="236">
        <f t="shared" si="629"/>
        <v>13</v>
      </c>
      <c r="BB609" s="236">
        <f t="shared" si="630"/>
        <v>0</v>
      </c>
      <c r="BC609" s="252" cm="1">
        <f t="array" ref="BC609">K609/IF($L609&gt;0, INDEX($AO$23:$AU$77, $L609+20, $AD609), 1)</f>
        <v>0</v>
      </c>
      <c r="BD609" s="237">
        <f t="shared" si="605"/>
        <v>0</v>
      </c>
      <c r="BE609" s="236">
        <v>35</v>
      </c>
      <c r="BF609" s="237">
        <f t="shared" si="606"/>
        <v>52.55</v>
      </c>
      <c r="BG609" s="253">
        <f t="shared" si="607"/>
        <v>2.7676728869374316</v>
      </c>
      <c r="BH609" s="253" cm="1">
        <f t="array" ref="BH609">$BC609 * SUMPRODUCT(INDEX($AL$77:$AN$82,,$AE609),INDEX($AO$77:$AU$82,,$AD609), N($AK$77:$AK$82&gt;$AI609)) / BG609 / 1000</f>
        <v>0</v>
      </c>
      <c r="BI609" s="250">
        <f t="shared" si="631"/>
        <v>30</v>
      </c>
      <c r="BJ609" s="237">
        <f t="shared" si="608"/>
        <v>46.033333333333331</v>
      </c>
      <c r="BK609" s="253">
        <f t="shared" si="609"/>
        <v>3.2297395388556791</v>
      </c>
      <c r="BL609" s="253" cm="1">
        <f t="array" ref="BL609">$BC609 * IF($AD609&lt;=2,
SUMPRODUCT(INDEX($AL$72:$AN$76,,$AE609), INDEX($AO$72:$AU$76,,$AD609), 1 / ($AV$72:$AV$76*BK609 + (1-$AV$72:$AV$76)*BG609), N($AK$72:$AK$76&gt;$AI609)),
SUMPRODUCT(INDEX($AL$67:$AN$76,,$AE609), INDEX($AO$67:$AU$76,,$AD609), 1 / ($AW$67:$AW$76*BK609 + (1-$AW$67:$AW$76)*BG609), N($AK$67:$AK$76&gt;$AI609))
) / 1000</f>
        <v>0</v>
      </c>
      <c r="BM609" s="250">
        <f t="shared" si="632"/>
        <v>25</v>
      </c>
      <c r="BN609" s="237">
        <f t="shared" si="610"/>
        <v>39.516666666666666</v>
      </c>
      <c r="BO609" s="253">
        <f t="shared" si="611"/>
        <v>3.877011788826243</v>
      </c>
      <c r="BP609" s="253" cm="1">
        <f t="array" ref="BP609">$BC609 * IF($AD609&lt;=2,
SUMPRODUCT(INDEX($AL$67:$AN$71,,$AE609), INDEX($AO$67:$AU$71,,$AD609), 1 / ($AV$67:$AV$71*BO609 + (1-$AV$67:$AV$71)*BK609), N($AK$67:$AK$71&gt;$AI609)),
SUMPRODUCT(INDEX($AL$57:$AN$66,,$AE609), INDEX($AO$57:$AU$66,,$AD609), 1 / ($AW$57:$AW$66*BO609 + (1-$AW$57:$AW$66)*BK609), N($AK$57:$AK$66&gt;$AI609))
) / 1000</f>
        <v>0</v>
      </c>
      <c r="BQ609" s="250">
        <f t="shared" si="633"/>
        <v>20</v>
      </c>
      <c r="BR609" s="237">
        <f t="shared" si="612"/>
        <v>33</v>
      </c>
      <c r="BS609" s="253">
        <f t="shared" si="613"/>
        <v>4.8487499999999999</v>
      </c>
      <c r="BT609" s="253" cm="1">
        <f t="array" ref="BT609">$BC609 * IF($AD609&lt;=2,
SUMPRODUCT(INDEX($AL$62:$AN$66,,$AE609), INDEX($AO$62:$AU$66,,$AD609), 1 / ($AV$62:$AV$66*BS609 + (1-$AV$62:$AV$66)*BO609), N($AK$62:$AK$66&gt;$AI609)),
SUMPRODUCT(INDEX($AL$47:$AN$56,,$AE609), INDEX($AO$47:$AU$56,,$AD609), 1 / ($AW$47:$AW$56*BS609 + (1-$AW$47:$AW$56)*BO609), N($AK$47:$AK$56&gt;$AI609))
) / 1000</f>
        <v>0</v>
      </c>
      <c r="BU609" s="253" cm="1">
        <f t="array" ref="BU609">$BC609 * IF($AD609&lt;=2,
SUMPRODUCT(INDEX($AL$23:$AN$61,,$AE609), INDEX($AO$23:$AU$61,,$AD609), 1 / ($AV$23:$AV$61*BS609), N($AK$23:$AK$61&gt;$AI609)),
SUMPRODUCT(INDEX($AL$23:$AN$46,,$AE609), INDEX($AO$23:$AU$46,,$AD609), 1 / ($AW$23:$AW$46*BS609), N($AK$23:$AK$46&gt;$AI609))
) / 1000</f>
        <v>0</v>
      </c>
      <c r="BV609" s="237">
        <f t="shared" si="614"/>
        <v>0</v>
      </c>
      <c r="BW609" s="210"/>
      <c r="BX609" s="237">
        <f t="shared" si="615"/>
        <v>0</v>
      </c>
      <c r="BY609" s="236">
        <v>35</v>
      </c>
      <c r="BZ609" s="237">
        <f t="shared" si="616"/>
        <v>48</v>
      </c>
      <c r="CA609" s="253">
        <f t="shared" si="617"/>
        <v>3.0748170731707316</v>
      </c>
      <c r="CB609" s="253" cm="1">
        <f t="array" ref="CB609">$BC609 * SUMPRODUCT(INDEX($AL$77:$AN$82,,$AE609),INDEX($AO$77:$AU$82,,$AD609), N($AK$77:$AK$82&gt;$AI609)) / CA609 / 1000</f>
        <v>0</v>
      </c>
      <c r="CC609" s="250">
        <f t="shared" si="634"/>
        <v>30</v>
      </c>
      <c r="CD609" s="237">
        <f t="shared" si="618"/>
        <v>43</v>
      </c>
      <c r="CE609" s="253">
        <f t="shared" si="619"/>
        <v>3.5018750000000001</v>
      </c>
      <c r="CF609" s="253" cm="1">
        <f t="array" ref="CF609">$BC609 * IF($AD609&lt;=2,
SUMPRODUCT(INDEX($AL$72:$AN$76,,$AE609), INDEX($AO$72:$AU$76,,$AD609), 1 / ($AV$72:$AV$76*CE609 + (1-$AV$72:$AV$76)*CA609), N($AK$72:$AK$76&gt;$AI609)),
SUMPRODUCT(INDEX($AL$67:$AN$76,,$AE609), INDEX($AO$67:$AU$76,,$AD609), 1 / ($AW$67:$AW$76*CE609 + (1-$AW$67:$AW$76)*CA609), N($AK$67:$AK$76&gt;$AI609))
) / 1000</f>
        <v>0</v>
      </c>
      <c r="CG609" s="250">
        <f t="shared" si="635"/>
        <v>25</v>
      </c>
      <c r="CH609" s="237">
        <f t="shared" si="620"/>
        <v>38</v>
      </c>
      <c r="CI609" s="253">
        <f t="shared" si="621"/>
        <v>4.0666935483870965</v>
      </c>
      <c r="CJ609" s="253" cm="1">
        <f t="array" ref="CJ609">$BC609 * IF($AD609&lt;=2,
SUMPRODUCT(INDEX($AL$67:$AN$71,,$AE609), INDEX($AO$67:$AU$71,,$AD609), 1 / ($AV$67:$AV$71*CI609 + (1-$AV$67:$AV$71)*CE609), N($AK$67:$AK$71&gt;$AI609)),
SUMPRODUCT(INDEX($AL$57:$AN$66,,$AE609), INDEX($AO$57:$AU$66,,$AD609), 1 / ($AW$57:$AW$66*CI609 + (1-$AW$57:$AW$66)*CE609), N($AK$57:$AK$66&gt;$AI609))
) / 1000</f>
        <v>0</v>
      </c>
      <c r="CK609" s="250">
        <f t="shared" si="636"/>
        <v>20</v>
      </c>
      <c r="CL609" s="237">
        <f t="shared" si="622"/>
        <v>33</v>
      </c>
      <c r="CM609" s="253">
        <f t="shared" si="623"/>
        <v>4.8487499999999999</v>
      </c>
      <c r="CN609" s="253" cm="1">
        <f t="array" ref="CN609">$BC609 * IF($AD609&lt;=2,
SUMPRODUCT(INDEX($AL$62:$AN$66,,$AE609), INDEX($AO$62:$AU$66,,$AD609), 1 / ($AV$62:$AV$66*CM609 + (1-$AV$62:$AV$66)*CI609), N($AK$62:$AK$66&gt;$AI609)),
SUMPRODUCT(INDEX($AL$47:$AN$56,,$AE609), INDEX($AO$47:$AU$56,,$AD609), 1 / ($AW$47:$AW$56*CM609 + (1-$AW$47:$AW$56)*CI609), N($AK$47:$AK$56&gt;$AI609))
) / 1000</f>
        <v>0</v>
      </c>
      <c r="CO609" s="253" cm="1">
        <f t="array" ref="CO609">$BC609 * IF($AD609&lt;=2,
SUMPRODUCT(INDEX($AL$23:$AN$61,,$AE609), INDEX($AO$23:$AU$61,,$AD609), 1 / ($AV$23:$AV$61*CM609), N($AK$23:$AK$61&gt;$AI609)),
SUMPRODUCT(INDEX($AL$23:$AN$46,,$AE609), INDEX($AO$23:$AU$46,,$AD609), 1 / ($AW$23:$AW$46*CM609), N($AK$23:$AK$46&gt;$AI609))
) / 1000</f>
        <v>0</v>
      </c>
      <c r="CP609" s="237">
        <f t="shared" si="624"/>
        <v>0</v>
      </c>
      <c r="CQ609" s="210"/>
    </row>
    <row r="610" spans="1:95" s="76" customFormat="1" ht="14.25" customHeight="1" x14ac:dyDescent="0.2">
      <c r="A610" s="238" t="b">
        <f t="shared" si="628"/>
        <v>0</v>
      </c>
      <c r="B610" s="239">
        <v>588</v>
      </c>
      <c r="C610" s="258"/>
      <c r="D610" s="258"/>
      <c r="E610" s="240"/>
      <c r="F610" s="241" t="str">
        <f>IF(ISBLANK(E610), "", VLOOKUP(E610, Z!$A$2:$C$4127, 3, FALSE))</f>
        <v/>
      </c>
      <c r="G610" s="242"/>
      <c r="H610" s="242"/>
      <c r="I610" s="243"/>
      <c r="J610" s="244"/>
      <c r="K610" s="259"/>
      <c r="L610" s="260"/>
      <c r="M610" s="247" t="str" cm="1">
        <f t="array" ref="M610">IF($K610&gt;0, INDEX(Clean,1+AG610,$C$1), "")</f>
        <v/>
      </c>
      <c r="N610" s="245"/>
      <c r="O610" s="245"/>
      <c r="P610" s="246"/>
      <c r="Q610" s="248">
        <f t="shared" si="601"/>
        <v>0</v>
      </c>
      <c r="R610" s="247" t="str" cm="1">
        <f t="array" ref="R610">IF($K610&gt;0, INDEX(Clean,1+AH610,$C$1), "")</f>
        <v/>
      </c>
      <c r="S610" s="245"/>
      <c r="T610" s="245"/>
      <c r="U610" s="246"/>
      <c r="V610" s="248">
        <f t="shared" si="602"/>
        <v>0</v>
      </c>
      <c r="W610" s="261"/>
      <c r="X610" s="258"/>
      <c r="Y610" s="240"/>
      <c r="Z610" s="241" t="str">
        <f>IF(ISBLANK(Y610), "", VLOOKUP(Y610, Z!$A$2:$C$4127, 3, FALSE))</f>
        <v/>
      </c>
      <c r="AA610" s="262"/>
      <c r="AB610" s="249">
        <f t="shared" si="637"/>
        <v>0</v>
      </c>
      <c r="AC610" s="210"/>
      <c r="AD610" s="236">
        <f t="shared" si="625"/>
        <v>1</v>
      </c>
      <c r="AE610" s="236">
        <f t="shared" si="626"/>
        <v>1</v>
      </c>
      <c r="AF610" s="236">
        <f t="shared" si="627"/>
        <v>0</v>
      </c>
      <c r="AG610" s="236">
        <v>1</v>
      </c>
      <c r="AH610" s="236">
        <v>0</v>
      </c>
      <c r="AI610" s="236">
        <f t="shared" si="603"/>
        <v>-100</v>
      </c>
      <c r="AJ610" s="210"/>
      <c r="AK610" s="254"/>
      <c r="AL610" s="254"/>
      <c r="AM610" s="255"/>
      <c r="AN610" s="255"/>
      <c r="AO610" s="255"/>
      <c r="AP610" s="255"/>
      <c r="AQ610" s="255"/>
      <c r="AR610" s="255"/>
      <c r="AS610" s="255"/>
      <c r="AT610" s="255"/>
      <c r="AU610" s="255"/>
      <c r="AV610" s="255"/>
      <c r="AW610" s="255"/>
      <c r="AX610" s="210"/>
      <c r="AY610" s="236" cm="1">
        <f t="array" ref="AY610">INDEX(Use, $AD610, 4)</f>
        <v>7</v>
      </c>
      <c r="AZ610" s="236">
        <f t="shared" si="604"/>
        <v>32</v>
      </c>
      <c r="BA610" s="236">
        <f t="shared" si="629"/>
        <v>13</v>
      </c>
      <c r="BB610" s="236">
        <f t="shared" si="630"/>
        <v>0</v>
      </c>
      <c r="BC610" s="252" cm="1">
        <f t="array" ref="BC610">K610/IF($L610&gt;0, INDEX($AO$23:$AU$77, $L610+20, $AD610), 1)</f>
        <v>0</v>
      </c>
      <c r="BD610" s="237">
        <f t="shared" si="605"/>
        <v>0</v>
      </c>
      <c r="BE610" s="236">
        <v>35</v>
      </c>
      <c r="BF610" s="237">
        <f t="shared" si="606"/>
        <v>52.55</v>
      </c>
      <c r="BG610" s="253">
        <f t="shared" si="607"/>
        <v>2.7676728869374316</v>
      </c>
      <c r="BH610" s="253" cm="1">
        <f t="array" ref="BH610">$BC610 * SUMPRODUCT(INDEX($AL$77:$AN$82,,$AE610),INDEX($AO$77:$AU$82,,$AD610), N($AK$77:$AK$82&gt;$AI610)) / BG610 / 1000</f>
        <v>0</v>
      </c>
      <c r="BI610" s="250">
        <f t="shared" si="631"/>
        <v>30</v>
      </c>
      <c r="BJ610" s="237">
        <f t="shared" si="608"/>
        <v>46.033333333333331</v>
      </c>
      <c r="BK610" s="253">
        <f t="shared" si="609"/>
        <v>3.2297395388556791</v>
      </c>
      <c r="BL610" s="253" cm="1">
        <f t="array" ref="BL610">$BC610 * IF($AD610&lt;=2,
SUMPRODUCT(INDEX($AL$72:$AN$76,,$AE610), INDEX($AO$72:$AU$76,,$AD610), 1 / ($AV$72:$AV$76*BK610 + (1-$AV$72:$AV$76)*BG610), N($AK$72:$AK$76&gt;$AI610)),
SUMPRODUCT(INDEX($AL$67:$AN$76,,$AE610), INDEX($AO$67:$AU$76,,$AD610), 1 / ($AW$67:$AW$76*BK610 + (1-$AW$67:$AW$76)*BG610), N($AK$67:$AK$76&gt;$AI610))
) / 1000</f>
        <v>0</v>
      </c>
      <c r="BM610" s="250">
        <f t="shared" si="632"/>
        <v>25</v>
      </c>
      <c r="BN610" s="237">
        <f t="shared" si="610"/>
        <v>39.516666666666666</v>
      </c>
      <c r="BO610" s="253">
        <f t="shared" si="611"/>
        <v>3.877011788826243</v>
      </c>
      <c r="BP610" s="253" cm="1">
        <f t="array" ref="BP610">$BC610 * IF($AD610&lt;=2,
SUMPRODUCT(INDEX($AL$67:$AN$71,,$AE610), INDEX($AO$67:$AU$71,,$AD610), 1 / ($AV$67:$AV$71*BO610 + (1-$AV$67:$AV$71)*BK610), N($AK$67:$AK$71&gt;$AI610)),
SUMPRODUCT(INDEX($AL$57:$AN$66,,$AE610), INDEX($AO$57:$AU$66,,$AD610), 1 / ($AW$57:$AW$66*BO610 + (1-$AW$57:$AW$66)*BK610), N($AK$57:$AK$66&gt;$AI610))
) / 1000</f>
        <v>0</v>
      </c>
      <c r="BQ610" s="250">
        <f t="shared" si="633"/>
        <v>20</v>
      </c>
      <c r="BR610" s="237">
        <f t="shared" si="612"/>
        <v>33</v>
      </c>
      <c r="BS610" s="253">
        <f t="shared" si="613"/>
        <v>4.8487499999999999</v>
      </c>
      <c r="BT610" s="253" cm="1">
        <f t="array" ref="BT610">$BC610 * IF($AD610&lt;=2,
SUMPRODUCT(INDEX($AL$62:$AN$66,,$AE610), INDEX($AO$62:$AU$66,,$AD610), 1 / ($AV$62:$AV$66*BS610 + (1-$AV$62:$AV$66)*BO610), N($AK$62:$AK$66&gt;$AI610)),
SUMPRODUCT(INDEX($AL$47:$AN$56,,$AE610), INDEX($AO$47:$AU$56,,$AD610), 1 / ($AW$47:$AW$56*BS610 + (1-$AW$47:$AW$56)*BO610), N($AK$47:$AK$56&gt;$AI610))
) / 1000</f>
        <v>0</v>
      </c>
      <c r="BU610" s="253" cm="1">
        <f t="array" ref="BU610">$BC610 * IF($AD610&lt;=2,
SUMPRODUCT(INDEX($AL$23:$AN$61,,$AE610), INDEX($AO$23:$AU$61,,$AD610), 1 / ($AV$23:$AV$61*BS610), N($AK$23:$AK$61&gt;$AI610)),
SUMPRODUCT(INDEX($AL$23:$AN$46,,$AE610), INDEX($AO$23:$AU$46,,$AD610), 1 / ($AW$23:$AW$46*BS610), N($AK$23:$AK$46&gt;$AI610))
) / 1000</f>
        <v>0</v>
      </c>
      <c r="BV610" s="237">
        <f t="shared" si="614"/>
        <v>0</v>
      </c>
      <c r="BW610" s="210"/>
      <c r="BX610" s="237">
        <f t="shared" si="615"/>
        <v>0</v>
      </c>
      <c r="BY610" s="236">
        <v>35</v>
      </c>
      <c r="BZ610" s="237">
        <f t="shared" si="616"/>
        <v>48</v>
      </c>
      <c r="CA610" s="253">
        <f t="shared" si="617"/>
        <v>3.0748170731707316</v>
      </c>
      <c r="CB610" s="253" cm="1">
        <f t="array" ref="CB610">$BC610 * SUMPRODUCT(INDEX($AL$77:$AN$82,,$AE610),INDEX($AO$77:$AU$82,,$AD610), N($AK$77:$AK$82&gt;$AI610)) / CA610 / 1000</f>
        <v>0</v>
      </c>
      <c r="CC610" s="250">
        <f t="shared" si="634"/>
        <v>30</v>
      </c>
      <c r="CD610" s="237">
        <f t="shared" si="618"/>
        <v>43</v>
      </c>
      <c r="CE610" s="253">
        <f t="shared" si="619"/>
        <v>3.5018750000000001</v>
      </c>
      <c r="CF610" s="253" cm="1">
        <f t="array" ref="CF610">$BC610 * IF($AD610&lt;=2,
SUMPRODUCT(INDEX($AL$72:$AN$76,,$AE610), INDEX($AO$72:$AU$76,,$AD610), 1 / ($AV$72:$AV$76*CE610 + (1-$AV$72:$AV$76)*CA610), N($AK$72:$AK$76&gt;$AI610)),
SUMPRODUCT(INDEX($AL$67:$AN$76,,$AE610), INDEX($AO$67:$AU$76,,$AD610), 1 / ($AW$67:$AW$76*CE610 + (1-$AW$67:$AW$76)*CA610), N($AK$67:$AK$76&gt;$AI610))
) / 1000</f>
        <v>0</v>
      </c>
      <c r="CG610" s="250">
        <f t="shared" si="635"/>
        <v>25</v>
      </c>
      <c r="CH610" s="237">
        <f t="shared" si="620"/>
        <v>38</v>
      </c>
      <c r="CI610" s="253">
        <f t="shared" si="621"/>
        <v>4.0666935483870965</v>
      </c>
      <c r="CJ610" s="253" cm="1">
        <f t="array" ref="CJ610">$BC610 * IF($AD610&lt;=2,
SUMPRODUCT(INDEX($AL$67:$AN$71,,$AE610), INDEX($AO$67:$AU$71,,$AD610), 1 / ($AV$67:$AV$71*CI610 + (1-$AV$67:$AV$71)*CE610), N($AK$67:$AK$71&gt;$AI610)),
SUMPRODUCT(INDEX($AL$57:$AN$66,,$AE610), INDEX($AO$57:$AU$66,,$AD610), 1 / ($AW$57:$AW$66*CI610 + (1-$AW$57:$AW$66)*CE610), N($AK$57:$AK$66&gt;$AI610))
) / 1000</f>
        <v>0</v>
      </c>
      <c r="CK610" s="250">
        <f t="shared" si="636"/>
        <v>20</v>
      </c>
      <c r="CL610" s="237">
        <f t="shared" si="622"/>
        <v>33</v>
      </c>
      <c r="CM610" s="253">
        <f t="shared" si="623"/>
        <v>4.8487499999999999</v>
      </c>
      <c r="CN610" s="253" cm="1">
        <f t="array" ref="CN610">$BC610 * IF($AD610&lt;=2,
SUMPRODUCT(INDEX($AL$62:$AN$66,,$AE610), INDEX($AO$62:$AU$66,,$AD610), 1 / ($AV$62:$AV$66*CM610 + (1-$AV$62:$AV$66)*CI610), N($AK$62:$AK$66&gt;$AI610)),
SUMPRODUCT(INDEX($AL$47:$AN$56,,$AE610), INDEX($AO$47:$AU$56,,$AD610), 1 / ($AW$47:$AW$56*CM610 + (1-$AW$47:$AW$56)*CI610), N($AK$47:$AK$56&gt;$AI610))
) / 1000</f>
        <v>0</v>
      </c>
      <c r="CO610" s="253" cm="1">
        <f t="array" ref="CO610">$BC610 * IF($AD610&lt;=2,
SUMPRODUCT(INDEX($AL$23:$AN$61,,$AE610), INDEX($AO$23:$AU$61,,$AD610), 1 / ($AV$23:$AV$61*CM610), N($AK$23:$AK$61&gt;$AI610)),
SUMPRODUCT(INDEX($AL$23:$AN$46,,$AE610), INDEX($AO$23:$AU$46,,$AD610), 1 / ($AW$23:$AW$46*CM610), N($AK$23:$AK$46&gt;$AI610))
) / 1000</f>
        <v>0</v>
      </c>
      <c r="CP610" s="237">
        <f t="shared" si="624"/>
        <v>0</v>
      </c>
      <c r="CQ610" s="210"/>
    </row>
    <row r="611" spans="1:95" s="76" customFormat="1" ht="14.25" customHeight="1" x14ac:dyDescent="0.2">
      <c r="A611" s="238" t="b">
        <f t="shared" si="628"/>
        <v>0</v>
      </c>
      <c r="B611" s="239">
        <v>589</v>
      </c>
      <c r="C611" s="258"/>
      <c r="D611" s="258"/>
      <c r="E611" s="240"/>
      <c r="F611" s="241" t="str">
        <f>IF(ISBLANK(E611), "", VLOOKUP(E611, Z!$A$2:$C$4127, 3, FALSE))</f>
        <v/>
      </c>
      <c r="G611" s="242"/>
      <c r="H611" s="242"/>
      <c r="I611" s="243"/>
      <c r="J611" s="244"/>
      <c r="K611" s="259"/>
      <c r="L611" s="260"/>
      <c r="M611" s="247" t="str" cm="1">
        <f t="array" ref="M611">IF($K611&gt;0, INDEX(Clean,1+AG611,$C$1), "")</f>
        <v/>
      </c>
      <c r="N611" s="245"/>
      <c r="O611" s="245"/>
      <c r="P611" s="246"/>
      <c r="Q611" s="248">
        <f t="shared" si="601"/>
        <v>0</v>
      </c>
      <c r="R611" s="247" t="str" cm="1">
        <f t="array" ref="R611">IF($K611&gt;0, INDEX(Clean,1+AH611,$C$1), "")</f>
        <v/>
      </c>
      <c r="S611" s="245"/>
      <c r="T611" s="245"/>
      <c r="U611" s="246"/>
      <c r="V611" s="248">
        <f t="shared" si="602"/>
        <v>0</v>
      </c>
      <c r="W611" s="261"/>
      <c r="X611" s="258"/>
      <c r="Y611" s="240"/>
      <c r="Z611" s="241" t="str">
        <f>IF(ISBLANK(Y611), "", VLOOKUP(Y611, Z!$A$2:$C$4127, 3, FALSE))</f>
        <v/>
      </c>
      <c r="AA611" s="262"/>
      <c r="AB611" s="249">
        <f t="shared" si="637"/>
        <v>0</v>
      </c>
      <c r="AC611" s="210"/>
      <c r="AD611" s="236">
        <f t="shared" si="625"/>
        <v>1</v>
      </c>
      <c r="AE611" s="236">
        <f t="shared" si="626"/>
        <v>1</v>
      </c>
      <c r="AF611" s="236">
        <f t="shared" si="627"/>
        <v>0</v>
      </c>
      <c r="AG611" s="236">
        <v>1</v>
      </c>
      <c r="AH611" s="236">
        <v>0</v>
      </c>
      <c r="AI611" s="236">
        <f t="shared" si="603"/>
        <v>-100</v>
      </c>
      <c r="AJ611" s="210"/>
      <c r="AK611" s="254"/>
      <c r="AL611" s="254"/>
      <c r="AM611" s="255"/>
      <c r="AN611" s="255"/>
      <c r="AO611" s="255"/>
      <c r="AP611" s="255"/>
      <c r="AQ611" s="255"/>
      <c r="AR611" s="255"/>
      <c r="AS611" s="255"/>
      <c r="AT611" s="255"/>
      <c r="AU611" s="255"/>
      <c r="AV611" s="255"/>
      <c r="AW611" s="255"/>
      <c r="AX611" s="210"/>
      <c r="AY611" s="236" cm="1">
        <f t="array" ref="AY611">INDEX(Use, $AD611, 4)</f>
        <v>7</v>
      </c>
      <c r="AZ611" s="236">
        <f t="shared" si="604"/>
        <v>32</v>
      </c>
      <c r="BA611" s="236">
        <f t="shared" si="629"/>
        <v>13</v>
      </c>
      <c r="BB611" s="236">
        <f t="shared" si="630"/>
        <v>0</v>
      </c>
      <c r="BC611" s="252" cm="1">
        <f t="array" ref="BC611">K611/IF($L611&gt;0, INDEX($AO$23:$AU$77, $L611+20, $AD611), 1)</f>
        <v>0</v>
      </c>
      <c r="BD611" s="237">
        <f t="shared" si="605"/>
        <v>0</v>
      </c>
      <c r="BE611" s="236">
        <v>35</v>
      </c>
      <c r="BF611" s="237">
        <f t="shared" si="606"/>
        <v>52.55</v>
      </c>
      <c r="BG611" s="253">
        <f t="shared" si="607"/>
        <v>2.7676728869374316</v>
      </c>
      <c r="BH611" s="253" cm="1">
        <f t="array" ref="BH611">$BC611 * SUMPRODUCT(INDEX($AL$77:$AN$82,,$AE611),INDEX($AO$77:$AU$82,,$AD611), N($AK$77:$AK$82&gt;$AI611)) / BG611 / 1000</f>
        <v>0</v>
      </c>
      <c r="BI611" s="250">
        <f t="shared" si="631"/>
        <v>30</v>
      </c>
      <c r="BJ611" s="237">
        <f t="shared" si="608"/>
        <v>46.033333333333331</v>
      </c>
      <c r="BK611" s="253">
        <f t="shared" si="609"/>
        <v>3.2297395388556791</v>
      </c>
      <c r="BL611" s="253" cm="1">
        <f t="array" ref="BL611">$BC611 * IF($AD611&lt;=2,
SUMPRODUCT(INDEX($AL$72:$AN$76,,$AE611), INDEX($AO$72:$AU$76,,$AD611), 1 / ($AV$72:$AV$76*BK611 + (1-$AV$72:$AV$76)*BG611), N($AK$72:$AK$76&gt;$AI611)),
SUMPRODUCT(INDEX($AL$67:$AN$76,,$AE611), INDEX($AO$67:$AU$76,,$AD611), 1 / ($AW$67:$AW$76*BK611 + (1-$AW$67:$AW$76)*BG611), N($AK$67:$AK$76&gt;$AI611))
) / 1000</f>
        <v>0</v>
      </c>
      <c r="BM611" s="250">
        <f t="shared" si="632"/>
        <v>25</v>
      </c>
      <c r="BN611" s="237">
        <f t="shared" si="610"/>
        <v>39.516666666666666</v>
      </c>
      <c r="BO611" s="253">
        <f t="shared" si="611"/>
        <v>3.877011788826243</v>
      </c>
      <c r="BP611" s="253" cm="1">
        <f t="array" ref="BP611">$BC611 * IF($AD611&lt;=2,
SUMPRODUCT(INDEX($AL$67:$AN$71,,$AE611), INDEX($AO$67:$AU$71,,$AD611), 1 / ($AV$67:$AV$71*BO611 + (1-$AV$67:$AV$71)*BK611), N($AK$67:$AK$71&gt;$AI611)),
SUMPRODUCT(INDEX($AL$57:$AN$66,,$AE611), INDEX($AO$57:$AU$66,,$AD611), 1 / ($AW$57:$AW$66*BO611 + (1-$AW$57:$AW$66)*BK611), N($AK$57:$AK$66&gt;$AI611))
) / 1000</f>
        <v>0</v>
      </c>
      <c r="BQ611" s="250">
        <f t="shared" si="633"/>
        <v>20</v>
      </c>
      <c r="BR611" s="237">
        <f t="shared" si="612"/>
        <v>33</v>
      </c>
      <c r="BS611" s="253">
        <f t="shared" si="613"/>
        <v>4.8487499999999999</v>
      </c>
      <c r="BT611" s="253" cm="1">
        <f t="array" ref="BT611">$BC611 * IF($AD611&lt;=2,
SUMPRODUCT(INDEX($AL$62:$AN$66,,$AE611), INDEX($AO$62:$AU$66,,$AD611), 1 / ($AV$62:$AV$66*BS611 + (1-$AV$62:$AV$66)*BO611), N($AK$62:$AK$66&gt;$AI611)),
SUMPRODUCT(INDEX($AL$47:$AN$56,,$AE611), INDEX($AO$47:$AU$56,,$AD611), 1 / ($AW$47:$AW$56*BS611 + (1-$AW$47:$AW$56)*BO611), N($AK$47:$AK$56&gt;$AI611))
) / 1000</f>
        <v>0</v>
      </c>
      <c r="BU611" s="253" cm="1">
        <f t="array" ref="BU611">$BC611 * IF($AD611&lt;=2,
SUMPRODUCT(INDEX($AL$23:$AN$61,,$AE611), INDEX($AO$23:$AU$61,,$AD611), 1 / ($AV$23:$AV$61*BS611), N($AK$23:$AK$61&gt;$AI611)),
SUMPRODUCT(INDEX($AL$23:$AN$46,,$AE611), INDEX($AO$23:$AU$46,,$AD611), 1 / ($AW$23:$AW$46*BS611), N($AK$23:$AK$46&gt;$AI611))
) / 1000</f>
        <v>0</v>
      </c>
      <c r="BV611" s="237">
        <f t="shared" si="614"/>
        <v>0</v>
      </c>
      <c r="BW611" s="210"/>
      <c r="BX611" s="237">
        <f t="shared" si="615"/>
        <v>0</v>
      </c>
      <c r="BY611" s="236">
        <v>35</v>
      </c>
      <c r="BZ611" s="237">
        <f t="shared" si="616"/>
        <v>48</v>
      </c>
      <c r="CA611" s="253">
        <f t="shared" si="617"/>
        <v>3.0748170731707316</v>
      </c>
      <c r="CB611" s="253" cm="1">
        <f t="array" ref="CB611">$BC611 * SUMPRODUCT(INDEX($AL$77:$AN$82,,$AE611),INDEX($AO$77:$AU$82,,$AD611), N($AK$77:$AK$82&gt;$AI611)) / CA611 / 1000</f>
        <v>0</v>
      </c>
      <c r="CC611" s="250">
        <f t="shared" si="634"/>
        <v>30</v>
      </c>
      <c r="CD611" s="237">
        <f t="shared" si="618"/>
        <v>43</v>
      </c>
      <c r="CE611" s="253">
        <f t="shared" si="619"/>
        <v>3.5018750000000001</v>
      </c>
      <c r="CF611" s="253" cm="1">
        <f t="array" ref="CF611">$BC611 * IF($AD611&lt;=2,
SUMPRODUCT(INDEX($AL$72:$AN$76,,$AE611), INDEX($AO$72:$AU$76,,$AD611), 1 / ($AV$72:$AV$76*CE611 + (1-$AV$72:$AV$76)*CA611), N($AK$72:$AK$76&gt;$AI611)),
SUMPRODUCT(INDEX($AL$67:$AN$76,,$AE611), INDEX($AO$67:$AU$76,,$AD611), 1 / ($AW$67:$AW$76*CE611 + (1-$AW$67:$AW$76)*CA611), N($AK$67:$AK$76&gt;$AI611))
) / 1000</f>
        <v>0</v>
      </c>
      <c r="CG611" s="250">
        <f t="shared" si="635"/>
        <v>25</v>
      </c>
      <c r="CH611" s="237">
        <f t="shared" si="620"/>
        <v>38</v>
      </c>
      <c r="CI611" s="253">
        <f t="shared" si="621"/>
        <v>4.0666935483870965</v>
      </c>
      <c r="CJ611" s="253" cm="1">
        <f t="array" ref="CJ611">$BC611 * IF($AD611&lt;=2,
SUMPRODUCT(INDEX($AL$67:$AN$71,,$AE611), INDEX($AO$67:$AU$71,,$AD611), 1 / ($AV$67:$AV$71*CI611 + (1-$AV$67:$AV$71)*CE611), N($AK$67:$AK$71&gt;$AI611)),
SUMPRODUCT(INDEX($AL$57:$AN$66,,$AE611), INDEX($AO$57:$AU$66,,$AD611), 1 / ($AW$57:$AW$66*CI611 + (1-$AW$57:$AW$66)*CE611), N($AK$57:$AK$66&gt;$AI611))
) / 1000</f>
        <v>0</v>
      </c>
      <c r="CK611" s="250">
        <f t="shared" si="636"/>
        <v>20</v>
      </c>
      <c r="CL611" s="237">
        <f t="shared" si="622"/>
        <v>33</v>
      </c>
      <c r="CM611" s="253">
        <f t="shared" si="623"/>
        <v>4.8487499999999999</v>
      </c>
      <c r="CN611" s="253" cm="1">
        <f t="array" ref="CN611">$BC611 * IF($AD611&lt;=2,
SUMPRODUCT(INDEX($AL$62:$AN$66,,$AE611), INDEX($AO$62:$AU$66,,$AD611), 1 / ($AV$62:$AV$66*CM611 + (1-$AV$62:$AV$66)*CI611), N($AK$62:$AK$66&gt;$AI611)),
SUMPRODUCT(INDEX($AL$47:$AN$56,,$AE611), INDEX($AO$47:$AU$56,,$AD611), 1 / ($AW$47:$AW$56*CM611 + (1-$AW$47:$AW$56)*CI611), N($AK$47:$AK$56&gt;$AI611))
) / 1000</f>
        <v>0</v>
      </c>
      <c r="CO611" s="253" cm="1">
        <f t="array" ref="CO611">$BC611 * IF($AD611&lt;=2,
SUMPRODUCT(INDEX($AL$23:$AN$61,,$AE611), INDEX($AO$23:$AU$61,,$AD611), 1 / ($AV$23:$AV$61*CM611), N($AK$23:$AK$61&gt;$AI611)),
SUMPRODUCT(INDEX($AL$23:$AN$46,,$AE611), INDEX($AO$23:$AU$46,,$AD611), 1 / ($AW$23:$AW$46*CM611), N($AK$23:$AK$46&gt;$AI611))
) / 1000</f>
        <v>0</v>
      </c>
      <c r="CP611" s="237">
        <f t="shared" si="624"/>
        <v>0</v>
      </c>
      <c r="CQ611" s="210"/>
    </row>
    <row r="612" spans="1:95" s="76" customFormat="1" ht="14.25" customHeight="1" x14ac:dyDescent="0.2">
      <c r="A612" s="238" t="b">
        <f t="shared" si="628"/>
        <v>0</v>
      </c>
      <c r="B612" s="239">
        <v>590</v>
      </c>
      <c r="C612" s="258"/>
      <c r="D612" s="258"/>
      <c r="E612" s="240"/>
      <c r="F612" s="241" t="str">
        <f>IF(ISBLANK(E612), "", VLOOKUP(E612, Z!$A$2:$C$4127, 3, FALSE))</f>
        <v/>
      </c>
      <c r="G612" s="242"/>
      <c r="H612" s="242"/>
      <c r="I612" s="243"/>
      <c r="J612" s="244"/>
      <c r="K612" s="259"/>
      <c r="L612" s="260"/>
      <c r="M612" s="247" t="str" cm="1">
        <f t="array" ref="M612">IF($K612&gt;0, INDEX(Clean,1+AG612,$C$1), "")</f>
        <v/>
      </c>
      <c r="N612" s="245"/>
      <c r="O612" s="245"/>
      <c r="P612" s="246"/>
      <c r="Q612" s="248">
        <f t="shared" si="601"/>
        <v>0</v>
      </c>
      <c r="R612" s="247" t="str" cm="1">
        <f t="array" ref="R612">IF($K612&gt;0, INDEX(Clean,1+AH612,$C$1), "")</f>
        <v/>
      </c>
      <c r="S612" s="245"/>
      <c r="T612" s="245"/>
      <c r="U612" s="246"/>
      <c r="V612" s="248">
        <f t="shared" si="602"/>
        <v>0</v>
      </c>
      <c r="W612" s="261"/>
      <c r="X612" s="258"/>
      <c r="Y612" s="240"/>
      <c r="Z612" s="241" t="str">
        <f>IF(ISBLANK(Y612), "", VLOOKUP(Y612, Z!$A$2:$C$4127, 3, FALSE))</f>
        <v/>
      </c>
      <c r="AA612" s="262"/>
      <c r="AB612" s="249">
        <f t="shared" si="637"/>
        <v>0</v>
      </c>
      <c r="AC612" s="210"/>
      <c r="AD612" s="236">
        <f t="shared" si="625"/>
        <v>1</v>
      </c>
      <c r="AE612" s="236">
        <f t="shared" si="626"/>
        <v>1</v>
      </c>
      <c r="AF612" s="236">
        <f t="shared" si="627"/>
        <v>0</v>
      </c>
      <c r="AG612" s="236">
        <v>1</v>
      </c>
      <c r="AH612" s="236">
        <v>0</v>
      </c>
      <c r="AI612" s="236">
        <f t="shared" si="603"/>
        <v>-100</v>
      </c>
      <c r="AJ612" s="210"/>
      <c r="AK612" s="254"/>
      <c r="AL612" s="254"/>
      <c r="AM612" s="255"/>
      <c r="AN612" s="255"/>
      <c r="AO612" s="255"/>
      <c r="AP612" s="255"/>
      <c r="AQ612" s="255"/>
      <c r="AR612" s="255"/>
      <c r="AS612" s="255"/>
      <c r="AT612" s="255"/>
      <c r="AU612" s="255"/>
      <c r="AV612" s="255"/>
      <c r="AW612" s="255"/>
      <c r="AX612" s="210"/>
      <c r="AY612" s="236" cm="1">
        <f t="array" ref="AY612">INDEX(Use, $AD612, 4)</f>
        <v>7</v>
      </c>
      <c r="AZ612" s="236">
        <f t="shared" si="604"/>
        <v>32</v>
      </c>
      <c r="BA612" s="236">
        <f t="shared" si="629"/>
        <v>13</v>
      </c>
      <c r="BB612" s="236">
        <f t="shared" si="630"/>
        <v>0</v>
      </c>
      <c r="BC612" s="252" cm="1">
        <f t="array" ref="BC612">K612/IF($L612&gt;0, INDEX($AO$23:$AU$77, $L612+20, $AD612), 1)</f>
        <v>0</v>
      </c>
      <c r="BD612" s="237">
        <f t="shared" si="605"/>
        <v>0</v>
      </c>
      <c r="BE612" s="236">
        <v>35</v>
      </c>
      <c r="BF612" s="237">
        <f t="shared" si="606"/>
        <v>52.55</v>
      </c>
      <c r="BG612" s="253">
        <f t="shared" si="607"/>
        <v>2.7676728869374316</v>
      </c>
      <c r="BH612" s="253" cm="1">
        <f t="array" ref="BH612">$BC612 * SUMPRODUCT(INDEX($AL$77:$AN$82,,$AE612),INDEX($AO$77:$AU$82,,$AD612), N($AK$77:$AK$82&gt;$AI612)) / BG612 / 1000</f>
        <v>0</v>
      </c>
      <c r="BI612" s="250">
        <f t="shared" si="631"/>
        <v>30</v>
      </c>
      <c r="BJ612" s="237">
        <f t="shared" si="608"/>
        <v>46.033333333333331</v>
      </c>
      <c r="BK612" s="253">
        <f t="shared" si="609"/>
        <v>3.2297395388556791</v>
      </c>
      <c r="BL612" s="253" cm="1">
        <f t="array" ref="BL612">$BC612 * IF($AD612&lt;=2,
SUMPRODUCT(INDEX($AL$72:$AN$76,,$AE612), INDEX($AO$72:$AU$76,,$AD612), 1 / ($AV$72:$AV$76*BK612 + (1-$AV$72:$AV$76)*BG612), N($AK$72:$AK$76&gt;$AI612)),
SUMPRODUCT(INDEX($AL$67:$AN$76,,$AE612), INDEX($AO$67:$AU$76,,$AD612), 1 / ($AW$67:$AW$76*BK612 + (1-$AW$67:$AW$76)*BG612), N($AK$67:$AK$76&gt;$AI612))
) / 1000</f>
        <v>0</v>
      </c>
      <c r="BM612" s="250">
        <f t="shared" si="632"/>
        <v>25</v>
      </c>
      <c r="BN612" s="237">
        <f t="shared" si="610"/>
        <v>39.516666666666666</v>
      </c>
      <c r="BO612" s="253">
        <f t="shared" si="611"/>
        <v>3.877011788826243</v>
      </c>
      <c r="BP612" s="253" cm="1">
        <f t="array" ref="BP612">$BC612 * IF($AD612&lt;=2,
SUMPRODUCT(INDEX($AL$67:$AN$71,,$AE612), INDEX($AO$67:$AU$71,,$AD612), 1 / ($AV$67:$AV$71*BO612 + (1-$AV$67:$AV$71)*BK612), N($AK$67:$AK$71&gt;$AI612)),
SUMPRODUCT(INDEX($AL$57:$AN$66,,$AE612), INDEX($AO$57:$AU$66,,$AD612), 1 / ($AW$57:$AW$66*BO612 + (1-$AW$57:$AW$66)*BK612), N($AK$57:$AK$66&gt;$AI612))
) / 1000</f>
        <v>0</v>
      </c>
      <c r="BQ612" s="250">
        <f t="shared" si="633"/>
        <v>20</v>
      </c>
      <c r="BR612" s="237">
        <f t="shared" si="612"/>
        <v>33</v>
      </c>
      <c r="BS612" s="253">
        <f t="shared" si="613"/>
        <v>4.8487499999999999</v>
      </c>
      <c r="BT612" s="253" cm="1">
        <f t="array" ref="BT612">$BC612 * IF($AD612&lt;=2,
SUMPRODUCT(INDEX($AL$62:$AN$66,,$AE612), INDEX($AO$62:$AU$66,,$AD612), 1 / ($AV$62:$AV$66*BS612 + (1-$AV$62:$AV$66)*BO612), N($AK$62:$AK$66&gt;$AI612)),
SUMPRODUCT(INDEX($AL$47:$AN$56,,$AE612), INDEX($AO$47:$AU$56,,$AD612), 1 / ($AW$47:$AW$56*BS612 + (1-$AW$47:$AW$56)*BO612), N($AK$47:$AK$56&gt;$AI612))
) / 1000</f>
        <v>0</v>
      </c>
      <c r="BU612" s="253" cm="1">
        <f t="array" ref="BU612">$BC612 * IF($AD612&lt;=2,
SUMPRODUCT(INDEX($AL$23:$AN$61,,$AE612), INDEX($AO$23:$AU$61,,$AD612), 1 / ($AV$23:$AV$61*BS612), N($AK$23:$AK$61&gt;$AI612)),
SUMPRODUCT(INDEX($AL$23:$AN$46,,$AE612), INDEX($AO$23:$AU$46,,$AD612), 1 / ($AW$23:$AW$46*BS612), N($AK$23:$AK$46&gt;$AI612))
) / 1000</f>
        <v>0</v>
      </c>
      <c r="BV612" s="237">
        <f t="shared" si="614"/>
        <v>0</v>
      </c>
      <c r="BW612" s="210"/>
      <c r="BX612" s="237">
        <f t="shared" si="615"/>
        <v>0</v>
      </c>
      <c r="BY612" s="236">
        <v>35</v>
      </c>
      <c r="BZ612" s="237">
        <f t="shared" si="616"/>
        <v>48</v>
      </c>
      <c r="CA612" s="253">
        <f t="shared" si="617"/>
        <v>3.0748170731707316</v>
      </c>
      <c r="CB612" s="253" cm="1">
        <f t="array" ref="CB612">$BC612 * SUMPRODUCT(INDEX($AL$77:$AN$82,,$AE612),INDEX($AO$77:$AU$82,,$AD612), N($AK$77:$AK$82&gt;$AI612)) / CA612 / 1000</f>
        <v>0</v>
      </c>
      <c r="CC612" s="250">
        <f t="shared" si="634"/>
        <v>30</v>
      </c>
      <c r="CD612" s="237">
        <f t="shared" si="618"/>
        <v>43</v>
      </c>
      <c r="CE612" s="253">
        <f t="shared" si="619"/>
        <v>3.5018750000000001</v>
      </c>
      <c r="CF612" s="253" cm="1">
        <f t="array" ref="CF612">$BC612 * IF($AD612&lt;=2,
SUMPRODUCT(INDEX($AL$72:$AN$76,,$AE612), INDEX($AO$72:$AU$76,,$AD612), 1 / ($AV$72:$AV$76*CE612 + (1-$AV$72:$AV$76)*CA612), N($AK$72:$AK$76&gt;$AI612)),
SUMPRODUCT(INDEX($AL$67:$AN$76,,$AE612), INDEX($AO$67:$AU$76,,$AD612), 1 / ($AW$67:$AW$76*CE612 + (1-$AW$67:$AW$76)*CA612), N($AK$67:$AK$76&gt;$AI612))
) / 1000</f>
        <v>0</v>
      </c>
      <c r="CG612" s="250">
        <f t="shared" si="635"/>
        <v>25</v>
      </c>
      <c r="CH612" s="237">
        <f t="shared" si="620"/>
        <v>38</v>
      </c>
      <c r="CI612" s="253">
        <f t="shared" si="621"/>
        <v>4.0666935483870965</v>
      </c>
      <c r="CJ612" s="253" cm="1">
        <f t="array" ref="CJ612">$BC612 * IF($AD612&lt;=2,
SUMPRODUCT(INDEX($AL$67:$AN$71,,$AE612), INDEX($AO$67:$AU$71,,$AD612), 1 / ($AV$67:$AV$71*CI612 + (1-$AV$67:$AV$71)*CE612), N($AK$67:$AK$71&gt;$AI612)),
SUMPRODUCT(INDEX($AL$57:$AN$66,,$AE612), INDEX($AO$57:$AU$66,,$AD612), 1 / ($AW$57:$AW$66*CI612 + (1-$AW$57:$AW$66)*CE612), N($AK$57:$AK$66&gt;$AI612))
) / 1000</f>
        <v>0</v>
      </c>
      <c r="CK612" s="250">
        <f t="shared" si="636"/>
        <v>20</v>
      </c>
      <c r="CL612" s="237">
        <f t="shared" si="622"/>
        <v>33</v>
      </c>
      <c r="CM612" s="253">
        <f t="shared" si="623"/>
        <v>4.8487499999999999</v>
      </c>
      <c r="CN612" s="253" cm="1">
        <f t="array" ref="CN612">$BC612 * IF($AD612&lt;=2,
SUMPRODUCT(INDEX($AL$62:$AN$66,,$AE612), INDEX($AO$62:$AU$66,,$AD612), 1 / ($AV$62:$AV$66*CM612 + (1-$AV$62:$AV$66)*CI612), N($AK$62:$AK$66&gt;$AI612)),
SUMPRODUCT(INDEX($AL$47:$AN$56,,$AE612), INDEX($AO$47:$AU$56,,$AD612), 1 / ($AW$47:$AW$56*CM612 + (1-$AW$47:$AW$56)*CI612), N($AK$47:$AK$56&gt;$AI612))
) / 1000</f>
        <v>0</v>
      </c>
      <c r="CO612" s="253" cm="1">
        <f t="array" ref="CO612">$BC612 * IF($AD612&lt;=2,
SUMPRODUCT(INDEX($AL$23:$AN$61,,$AE612), INDEX($AO$23:$AU$61,,$AD612), 1 / ($AV$23:$AV$61*CM612), N($AK$23:$AK$61&gt;$AI612)),
SUMPRODUCT(INDEX($AL$23:$AN$46,,$AE612), INDEX($AO$23:$AU$46,,$AD612), 1 / ($AW$23:$AW$46*CM612), N($AK$23:$AK$46&gt;$AI612))
) / 1000</f>
        <v>0</v>
      </c>
      <c r="CP612" s="237">
        <f t="shared" si="624"/>
        <v>0</v>
      </c>
      <c r="CQ612" s="210"/>
    </row>
    <row r="613" spans="1:95" s="76" customFormat="1" ht="14.25" customHeight="1" x14ac:dyDescent="0.2">
      <c r="A613" s="238" t="b">
        <f t="shared" si="628"/>
        <v>0</v>
      </c>
      <c r="B613" s="239">
        <v>591</v>
      </c>
      <c r="C613" s="258"/>
      <c r="D613" s="258"/>
      <c r="E613" s="240"/>
      <c r="F613" s="241" t="str">
        <f>IF(ISBLANK(E613), "", VLOOKUP(E613, Z!$A$2:$C$4127, 3, FALSE))</f>
        <v/>
      </c>
      <c r="G613" s="242"/>
      <c r="H613" s="242"/>
      <c r="I613" s="243"/>
      <c r="J613" s="244"/>
      <c r="K613" s="259"/>
      <c r="L613" s="260"/>
      <c r="M613" s="247" t="str" cm="1">
        <f t="array" ref="M613">IF($K613&gt;0, INDEX(Clean,1+AG613,$C$1), "")</f>
        <v/>
      </c>
      <c r="N613" s="245"/>
      <c r="O613" s="245"/>
      <c r="P613" s="246"/>
      <c r="Q613" s="248">
        <f t="shared" si="601"/>
        <v>0</v>
      </c>
      <c r="R613" s="247" t="str" cm="1">
        <f t="array" ref="R613">IF($K613&gt;0, INDEX(Clean,1+AH613,$C$1), "")</f>
        <v/>
      </c>
      <c r="S613" s="245"/>
      <c r="T613" s="245"/>
      <c r="U613" s="246"/>
      <c r="V613" s="248">
        <f t="shared" si="602"/>
        <v>0</v>
      </c>
      <c r="W613" s="261"/>
      <c r="X613" s="258"/>
      <c r="Y613" s="240"/>
      <c r="Z613" s="241" t="str">
        <f>IF(ISBLANK(Y613), "", VLOOKUP(Y613, Z!$A$2:$C$4127, 3, FALSE))</f>
        <v/>
      </c>
      <c r="AA613" s="262"/>
      <c r="AB613" s="249">
        <f t="shared" si="637"/>
        <v>0</v>
      </c>
      <c r="AC613" s="210"/>
      <c r="AD613" s="236">
        <f t="shared" si="625"/>
        <v>1</v>
      </c>
      <c r="AE613" s="236">
        <f t="shared" si="626"/>
        <v>1</v>
      </c>
      <c r="AF613" s="236">
        <f t="shared" si="627"/>
        <v>0</v>
      </c>
      <c r="AG613" s="236">
        <v>1</v>
      </c>
      <c r="AH613" s="236">
        <v>0</v>
      </c>
      <c r="AI613" s="236">
        <f t="shared" si="603"/>
        <v>-100</v>
      </c>
      <c r="AJ613" s="210"/>
      <c r="AK613" s="254"/>
      <c r="AL613" s="254"/>
      <c r="AM613" s="255"/>
      <c r="AN613" s="255"/>
      <c r="AO613" s="255"/>
      <c r="AP613" s="255"/>
      <c r="AQ613" s="255"/>
      <c r="AR613" s="255"/>
      <c r="AS613" s="255"/>
      <c r="AT613" s="255"/>
      <c r="AU613" s="255"/>
      <c r="AV613" s="255"/>
      <c r="AW613" s="255"/>
      <c r="AX613" s="210"/>
      <c r="AY613" s="236" cm="1">
        <f t="array" ref="AY613">INDEX(Use, $AD613, 4)</f>
        <v>7</v>
      </c>
      <c r="AZ613" s="236">
        <f t="shared" si="604"/>
        <v>32</v>
      </c>
      <c r="BA613" s="236">
        <f t="shared" si="629"/>
        <v>13</v>
      </c>
      <c r="BB613" s="236">
        <f t="shared" si="630"/>
        <v>0</v>
      </c>
      <c r="BC613" s="252" cm="1">
        <f t="array" ref="BC613">K613/IF($L613&gt;0, INDEX($AO$23:$AU$77, $L613+20, $AD613), 1)</f>
        <v>0</v>
      </c>
      <c r="BD613" s="237">
        <f t="shared" si="605"/>
        <v>0</v>
      </c>
      <c r="BE613" s="236">
        <v>35</v>
      </c>
      <c r="BF613" s="237">
        <f t="shared" si="606"/>
        <v>52.55</v>
      </c>
      <c r="BG613" s="253">
        <f t="shared" si="607"/>
        <v>2.7676728869374316</v>
      </c>
      <c r="BH613" s="253" cm="1">
        <f t="array" ref="BH613">$BC613 * SUMPRODUCT(INDEX($AL$77:$AN$82,,$AE613),INDEX($AO$77:$AU$82,,$AD613), N($AK$77:$AK$82&gt;$AI613)) / BG613 / 1000</f>
        <v>0</v>
      </c>
      <c r="BI613" s="250">
        <f t="shared" si="631"/>
        <v>30</v>
      </c>
      <c r="BJ613" s="237">
        <f t="shared" si="608"/>
        <v>46.033333333333331</v>
      </c>
      <c r="BK613" s="253">
        <f t="shared" si="609"/>
        <v>3.2297395388556791</v>
      </c>
      <c r="BL613" s="253" cm="1">
        <f t="array" ref="BL613">$BC613 * IF($AD613&lt;=2,
SUMPRODUCT(INDEX($AL$72:$AN$76,,$AE613), INDEX($AO$72:$AU$76,,$AD613), 1 / ($AV$72:$AV$76*BK613 + (1-$AV$72:$AV$76)*BG613), N($AK$72:$AK$76&gt;$AI613)),
SUMPRODUCT(INDEX($AL$67:$AN$76,,$AE613), INDEX($AO$67:$AU$76,,$AD613), 1 / ($AW$67:$AW$76*BK613 + (1-$AW$67:$AW$76)*BG613), N($AK$67:$AK$76&gt;$AI613))
) / 1000</f>
        <v>0</v>
      </c>
      <c r="BM613" s="250">
        <f t="shared" si="632"/>
        <v>25</v>
      </c>
      <c r="BN613" s="237">
        <f t="shared" si="610"/>
        <v>39.516666666666666</v>
      </c>
      <c r="BO613" s="253">
        <f t="shared" si="611"/>
        <v>3.877011788826243</v>
      </c>
      <c r="BP613" s="253" cm="1">
        <f t="array" ref="BP613">$BC613 * IF($AD613&lt;=2,
SUMPRODUCT(INDEX($AL$67:$AN$71,,$AE613), INDEX($AO$67:$AU$71,,$AD613), 1 / ($AV$67:$AV$71*BO613 + (1-$AV$67:$AV$71)*BK613), N($AK$67:$AK$71&gt;$AI613)),
SUMPRODUCT(INDEX($AL$57:$AN$66,,$AE613), INDEX($AO$57:$AU$66,,$AD613), 1 / ($AW$57:$AW$66*BO613 + (1-$AW$57:$AW$66)*BK613), N($AK$57:$AK$66&gt;$AI613))
) / 1000</f>
        <v>0</v>
      </c>
      <c r="BQ613" s="250">
        <f t="shared" si="633"/>
        <v>20</v>
      </c>
      <c r="BR613" s="237">
        <f t="shared" si="612"/>
        <v>33</v>
      </c>
      <c r="BS613" s="253">
        <f t="shared" si="613"/>
        <v>4.8487499999999999</v>
      </c>
      <c r="BT613" s="253" cm="1">
        <f t="array" ref="BT613">$BC613 * IF($AD613&lt;=2,
SUMPRODUCT(INDEX($AL$62:$AN$66,,$AE613), INDEX($AO$62:$AU$66,,$AD613), 1 / ($AV$62:$AV$66*BS613 + (1-$AV$62:$AV$66)*BO613), N($AK$62:$AK$66&gt;$AI613)),
SUMPRODUCT(INDEX($AL$47:$AN$56,,$AE613), INDEX($AO$47:$AU$56,,$AD613), 1 / ($AW$47:$AW$56*BS613 + (1-$AW$47:$AW$56)*BO613), N($AK$47:$AK$56&gt;$AI613))
) / 1000</f>
        <v>0</v>
      </c>
      <c r="BU613" s="253" cm="1">
        <f t="array" ref="BU613">$BC613 * IF($AD613&lt;=2,
SUMPRODUCT(INDEX($AL$23:$AN$61,,$AE613), INDEX($AO$23:$AU$61,,$AD613), 1 / ($AV$23:$AV$61*BS613), N($AK$23:$AK$61&gt;$AI613)),
SUMPRODUCT(INDEX($AL$23:$AN$46,,$AE613), INDEX($AO$23:$AU$46,,$AD613), 1 / ($AW$23:$AW$46*BS613), N($AK$23:$AK$46&gt;$AI613))
) / 1000</f>
        <v>0</v>
      </c>
      <c r="BV613" s="237">
        <f t="shared" si="614"/>
        <v>0</v>
      </c>
      <c r="BW613" s="210"/>
      <c r="BX613" s="237">
        <f t="shared" si="615"/>
        <v>0</v>
      </c>
      <c r="BY613" s="236">
        <v>35</v>
      </c>
      <c r="BZ613" s="237">
        <f t="shared" si="616"/>
        <v>48</v>
      </c>
      <c r="CA613" s="253">
        <f t="shared" si="617"/>
        <v>3.0748170731707316</v>
      </c>
      <c r="CB613" s="253" cm="1">
        <f t="array" ref="CB613">$BC613 * SUMPRODUCT(INDEX($AL$77:$AN$82,,$AE613),INDEX($AO$77:$AU$82,,$AD613), N($AK$77:$AK$82&gt;$AI613)) / CA613 / 1000</f>
        <v>0</v>
      </c>
      <c r="CC613" s="250">
        <f t="shared" si="634"/>
        <v>30</v>
      </c>
      <c r="CD613" s="237">
        <f t="shared" si="618"/>
        <v>43</v>
      </c>
      <c r="CE613" s="253">
        <f t="shared" si="619"/>
        <v>3.5018750000000001</v>
      </c>
      <c r="CF613" s="253" cm="1">
        <f t="array" ref="CF613">$BC613 * IF($AD613&lt;=2,
SUMPRODUCT(INDEX($AL$72:$AN$76,,$AE613), INDEX($AO$72:$AU$76,,$AD613), 1 / ($AV$72:$AV$76*CE613 + (1-$AV$72:$AV$76)*CA613), N($AK$72:$AK$76&gt;$AI613)),
SUMPRODUCT(INDEX($AL$67:$AN$76,,$AE613), INDEX($AO$67:$AU$76,,$AD613), 1 / ($AW$67:$AW$76*CE613 + (1-$AW$67:$AW$76)*CA613), N($AK$67:$AK$76&gt;$AI613))
) / 1000</f>
        <v>0</v>
      </c>
      <c r="CG613" s="250">
        <f t="shared" si="635"/>
        <v>25</v>
      </c>
      <c r="CH613" s="237">
        <f t="shared" si="620"/>
        <v>38</v>
      </c>
      <c r="CI613" s="253">
        <f t="shared" si="621"/>
        <v>4.0666935483870965</v>
      </c>
      <c r="CJ613" s="253" cm="1">
        <f t="array" ref="CJ613">$BC613 * IF($AD613&lt;=2,
SUMPRODUCT(INDEX($AL$67:$AN$71,,$AE613), INDEX($AO$67:$AU$71,,$AD613), 1 / ($AV$67:$AV$71*CI613 + (1-$AV$67:$AV$71)*CE613), N($AK$67:$AK$71&gt;$AI613)),
SUMPRODUCT(INDEX($AL$57:$AN$66,,$AE613), INDEX($AO$57:$AU$66,,$AD613), 1 / ($AW$57:$AW$66*CI613 + (1-$AW$57:$AW$66)*CE613), N($AK$57:$AK$66&gt;$AI613))
) / 1000</f>
        <v>0</v>
      </c>
      <c r="CK613" s="250">
        <f t="shared" si="636"/>
        <v>20</v>
      </c>
      <c r="CL613" s="237">
        <f t="shared" si="622"/>
        <v>33</v>
      </c>
      <c r="CM613" s="253">
        <f t="shared" si="623"/>
        <v>4.8487499999999999</v>
      </c>
      <c r="CN613" s="253" cm="1">
        <f t="array" ref="CN613">$BC613 * IF($AD613&lt;=2,
SUMPRODUCT(INDEX($AL$62:$AN$66,,$AE613), INDEX($AO$62:$AU$66,,$AD613), 1 / ($AV$62:$AV$66*CM613 + (1-$AV$62:$AV$66)*CI613), N($AK$62:$AK$66&gt;$AI613)),
SUMPRODUCT(INDEX($AL$47:$AN$56,,$AE613), INDEX($AO$47:$AU$56,,$AD613), 1 / ($AW$47:$AW$56*CM613 + (1-$AW$47:$AW$56)*CI613), N($AK$47:$AK$56&gt;$AI613))
) / 1000</f>
        <v>0</v>
      </c>
      <c r="CO613" s="253" cm="1">
        <f t="array" ref="CO613">$BC613 * IF($AD613&lt;=2,
SUMPRODUCT(INDEX($AL$23:$AN$61,,$AE613), INDEX($AO$23:$AU$61,,$AD613), 1 / ($AV$23:$AV$61*CM613), N($AK$23:$AK$61&gt;$AI613)),
SUMPRODUCT(INDEX($AL$23:$AN$46,,$AE613), INDEX($AO$23:$AU$46,,$AD613), 1 / ($AW$23:$AW$46*CM613), N($AK$23:$AK$46&gt;$AI613))
) / 1000</f>
        <v>0</v>
      </c>
      <c r="CP613" s="237">
        <f t="shared" si="624"/>
        <v>0</v>
      </c>
      <c r="CQ613" s="210"/>
    </row>
    <row r="614" spans="1:95" s="76" customFormat="1" ht="14.25" customHeight="1" x14ac:dyDescent="0.2">
      <c r="A614" s="238" t="b">
        <f t="shared" si="628"/>
        <v>0</v>
      </c>
      <c r="B614" s="239">
        <v>592</v>
      </c>
      <c r="C614" s="258"/>
      <c r="D614" s="258"/>
      <c r="E614" s="240"/>
      <c r="F614" s="241" t="str">
        <f>IF(ISBLANK(E614), "", VLOOKUP(E614, Z!$A$2:$C$4127, 3, FALSE))</f>
        <v/>
      </c>
      <c r="G614" s="242"/>
      <c r="H614" s="242"/>
      <c r="I614" s="243"/>
      <c r="J614" s="244"/>
      <c r="K614" s="259"/>
      <c r="L614" s="260"/>
      <c r="M614" s="247" t="str" cm="1">
        <f t="array" ref="M614">IF($K614&gt;0, INDEX(Clean,1+AG614,$C$1), "")</f>
        <v/>
      </c>
      <c r="N614" s="245"/>
      <c r="O614" s="245"/>
      <c r="P614" s="246"/>
      <c r="Q614" s="248">
        <f t="shared" si="601"/>
        <v>0</v>
      </c>
      <c r="R614" s="247" t="str" cm="1">
        <f t="array" ref="R614">IF($K614&gt;0, INDEX(Clean,1+AH614,$C$1), "")</f>
        <v/>
      </c>
      <c r="S614" s="245"/>
      <c r="T614" s="245"/>
      <c r="U614" s="246"/>
      <c r="V614" s="248">
        <f t="shared" si="602"/>
        <v>0</v>
      </c>
      <c r="W614" s="261"/>
      <c r="X614" s="258"/>
      <c r="Y614" s="240"/>
      <c r="Z614" s="241" t="str">
        <f>IF(ISBLANK(Y614), "", VLOOKUP(Y614, Z!$A$2:$C$4127, 3, FALSE))</f>
        <v/>
      </c>
      <c r="AA614" s="262"/>
      <c r="AB614" s="249">
        <f t="shared" si="637"/>
        <v>0</v>
      </c>
      <c r="AC614" s="210"/>
      <c r="AD614" s="236">
        <f t="shared" si="625"/>
        <v>1</v>
      </c>
      <c r="AE614" s="236">
        <f t="shared" si="626"/>
        <v>1</v>
      </c>
      <c r="AF614" s="236">
        <f t="shared" si="627"/>
        <v>0</v>
      </c>
      <c r="AG614" s="236">
        <v>1</v>
      </c>
      <c r="AH614" s="236">
        <v>0</v>
      </c>
      <c r="AI614" s="236">
        <f t="shared" si="603"/>
        <v>-100</v>
      </c>
      <c r="AJ614" s="210"/>
      <c r="AK614" s="254"/>
      <c r="AL614" s="254"/>
      <c r="AM614" s="255"/>
      <c r="AN614" s="255"/>
      <c r="AO614" s="255"/>
      <c r="AP614" s="255"/>
      <c r="AQ614" s="255"/>
      <c r="AR614" s="255"/>
      <c r="AS614" s="255"/>
      <c r="AT614" s="255"/>
      <c r="AU614" s="255"/>
      <c r="AV614" s="255"/>
      <c r="AW614" s="255"/>
      <c r="AX614" s="210"/>
      <c r="AY614" s="236" cm="1">
        <f t="array" ref="AY614">INDEX(Use, $AD614, 4)</f>
        <v>7</v>
      </c>
      <c r="AZ614" s="236">
        <f t="shared" si="604"/>
        <v>32</v>
      </c>
      <c r="BA614" s="236">
        <f t="shared" si="629"/>
        <v>13</v>
      </c>
      <c r="BB614" s="236">
        <f t="shared" si="630"/>
        <v>0</v>
      </c>
      <c r="BC614" s="252" cm="1">
        <f t="array" ref="BC614">K614/IF($L614&gt;0, INDEX($AO$23:$AU$77, $L614+20, $AD614), 1)</f>
        <v>0</v>
      </c>
      <c r="BD614" s="237">
        <f t="shared" si="605"/>
        <v>0</v>
      </c>
      <c r="BE614" s="236">
        <v>35</v>
      </c>
      <c r="BF614" s="237">
        <f t="shared" si="606"/>
        <v>52.55</v>
      </c>
      <c r="BG614" s="253">
        <f t="shared" si="607"/>
        <v>2.7676728869374316</v>
      </c>
      <c r="BH614" s="253" cm="1">
        <f t="array" ref="BH614">$BC614 * SUMPRODUCT(INDEX($AL$77:$AN$82,,$AE614),INDEX($AO$77:$AU$82,,$AD614), N($AK$77:$AK$82&gt;$AI614)) / BG614 / 1000</f>
        <v>0</v>
      </c>
      <c r="BI614" s="250">
        <f t="shared" si="631"/>
        <v>30</v>
      </c>
      <c r="BJ614" s="237">
        <f t="shared" si="608"/>
        <v>46.033333333333331</v>
      </c>
      <c r="BK614" s="253">
        <f t="shared" si="609"/>
        <v>3.2297395388556791</v>
      </c>
      <c r="BL614" s="253" cm="1">
        <f t="array" ref="BL614">$BC614 * IF($AD614&lt;=2,
SUMPRODUCT(INDEX($AL$72:$AN$76,,$AE614), INDEX($AO$72:$AU$76,,$AD614), 1 / ($AV$72:$AV$76*BK614 + (1-$AV$72:$AV$76)*BG614), N($AK$72:$AK$76&gt;$AI614)),
SUMPRODUCT(INDEX($AL$67:$AN$76,,$AE614), INDEX($AO$67:$AU$76,,$AD614), 1 / ($AW$67:$AW$76*BK614 + (1-$AW$67:$AW$76)*BG614), N($AK$67:$AK$76&gt;$AI614))
) / 1000</f>
        <v>0</v>
      </c>
      <c r="BM614" s="250">
        <f t="shared" si="632"/>
        <v>25</v>
      </c>
      <c r="BN614" s="237">
        <f t="shared" si="610"/>
        <v>39.516666666666666</v>
      </c>
      <c r="BO614" s="253">
        <f t="shared" si="611"/>
        <v>3.877011788826243</v>
      </c>
      <c r="BP614" s="253" cm="1">
        <f t="array" ref="BP614">$BC614 * IF($AD614&lt;=2,
SUMPRODUCT(INDEX($AL$67:$AN$71,,$AE614), INDEX($AO$67:$AU$71,,$AD614), 1 / ($AV$67:$AV$71*BO614 + (1-$AV$67:$AV$71)*BK614), N($AK$67:$AK$71&gt;$AI614)),
SUMPRODUCT(INDEX($AL$57:$AN$66,,$AE614), INDEX($AO$57:$AU$66,,$AD614), 1 / ($AW$57:$AW$66*BO614 + (1-$AW$57:$AW$66)*BK614), N($AK$57:$AK$66&gt;$AI614))
) / 1000</f>
        <v>0</v>
      </c>
      <c r="BQ614" s="250">
        <f t="shared" si="633"/>
        <v>20</v>
      </c>
      <c r="BR614" s="237">
        <f t="shared" si="612"/>
        <v>33</v>
      </c>
      <c r="BS614" s="253">
        <f t="shared" si="613"/>
        <v>4.8487499999999999</v>
      </c>
      <c r="BT614" s="253" cm="1">
        <f t="array" ref="BT614">$BC614 * IF($AD614&lt;=2,
SUMPRODUCT(INDEX($AL$62:$AN$66,,$AE614), INDEX($AO$62:$AU$66,,$AD614), 1 / ($AV$62:$AV$66*BS614 + (1-$AV$62:$AV$66)*BO614), N($AK$62:$AK$66&gt;$AI614)),
SUMPRODUCT(INDEX($AL$47:$AN$56,,$AE614), INDEX($AO$47:$AU$56,,$AD614), 1 / ($AW$47:$AW$56*BS614 + (1-$AW$47:$AW$56)*BO614), N($AK$47:$AK$56&gt;$AI614))
) / 1000</f>
        <v>0</v>
      </c>
      <c r="BU614" s="253" cm="1">
        <f t="array" ref="BU614">$BC614 * IF($AD614&lt;=2,
SUMPRODUCT(INDEX($AL$23:$AN$61,,$AE614), INDEX($AO$23:$AU$61,,$AD614), 1 / ($AV$23:$AV$61*BS614), N($AK$23:$AK$61&gt;$AI614)),
SUMPRODUCT(INDEX($AL$23:$AN$46,,$AE614), INDEX($AO$23:$AU$46,,$AD614), 1 / ($AW$23:$AW$46*BS614), N($AK$23:$AK$46&gt;$AI614))
) / 1000</f>
        <v>0</v>
      </c>
      <c r="BV614" s="237">
        <f t="shared" si="614"/>
        <v>0</v>
      </c>
      <c r="BW614" s="210"/>
      <c r="BX614" s="237">
        <f t="shared" si="615"/>
        <v>0</v>
      </c>
      <c r="BY614" s="236">
        <v>35</v>
      </c>
      <c r="BZ614" s="237">
        <f t="shared" si="616"/>
        <v>48</v>
      </c>
      <c r="CA614" s="253">
        <f t="shared" si="617"/>
        <v>3.0748170731707316</v>
      </c>
      <c r="CB614" s="253" cm="1">
        <f t="array" ref="CB614">$BC614 * SUMPRODUCT(INDEX($AL$77:$AN$82,,$AE614),INDEX($AO$77:$AU$82,,$AD614), N($AK$77:$AK$82&gt;$AI614)) / CA614 / 1000</f>
        <v>0</v>
      </c>
      <c r="CC614" s="250">
        <f t="shared" si="634"/>
        <v>30</v>
      </c>
      <c r="CD614" s="237">
        <f t="shared" si="618"/>
        <v>43</v>
      </c>
      <c r="CE614" s="253">
        <f t="shared" si="619"/>
        <v>3.5018750000000001</v>
      </c>
      <c r="CF614" s="253" cm="1">
        <f t="array" ref="CF614">$BC614 * IF($AD614&lt;=2,
SUMPRODUCT(INDEX($AL$72:$AN$76,,$AE614), INDEX($AO$72:$AU$76,,$AD614), 1 / ($AV$72:$AV$76*CE614 + (1-$AV$72:$AV$76)*CA614), N($AK$72:$AK$76&gt;$AI614)),
SUMPRODUCT(INDEX($AL$67:$AN$76,,$AE614), INDEX($AO$67:$AU$76,,$AD614), 1 / ($AW$67:$AW$76*CE614 + (1-$AW$67:$AW$76)*CA614), N($AK$67:$AK$76&gt;$AI614))
) / 1000</f>
        <v>0</v>
      </c>
      <c r="CG614" s="250">
        <f t="shared" si="635"/>
        <v>25</v>
      </c>
      <c r="CH614" s="237">
        <f t="shared" si="620"/>
        <v>38</v>
      </c>
      <c r="CI614" s="253">
        <f t="shared" si="621"/>
        <v>4.0666935483870965</v>
      </c>
      <c r="CJ614" s="253" cm="1">
        <f t="array" ref="CJ614">$BC614 * IF($AD614&lt;=2,
SUMPRODUCT(INDEX($AL$67:$AN$71,,$AE614), INDEX($AO$67:$AU$71,,$AD614), 1 / ($AV$67:$AV$71*CI614 + (1-$AV$67:$AV$71)*CE614), N($AK$67:$AK$71&gt;$AI614)),
SUMPRODUCT(INDEX($AL$57:$AN$66,,$AE614), INDEX($AO$57:$AU$66,,$AD614), 1 / ($AW$57:$AW$66*CI614 + (1-$AW$57:$AW$66)*CE614), N($AK$57:$AK$66&gt;$AI614))
) / 1000</f>
        <v>0</v>
      </c>
      <c r="CK614" s="250">
        <f t="shared" si="636"/>
        <v>20</v>
      </c>
      <c r="CL614" s="237">
        <f t="shared" si="622"/>
        <v>33</v>
      </c>
      <c r="CM614" s="253">
        <f t="shared" si="623"/>
        <v>4.8487499999999999</v>
      </c>
      <c r="CN614" s="253" cm="1">
        <f t="array" ref="CN614">$BC614 * IF($AD614&lt;=2,
SUMPRODUCT(INDEX($AL$62:$AN$66,,$AE614), INDEX($AO$62:$AU$66,,$AD614), 1 / ($AV$62:$AV$66*CM614 + (1-$AV$62:$AV$66)*CI614), N($AK$62:$AK$66&gt;$AI614)),
SUMPRODUCT(INDEX($AL$47:$AN$56,,$AE614), INDEX($AO$47:$AU$56,,$AD614), 1 / ($AW$47:$AW$56*CM614 + (1-$AW$47:$AW$56)*CI614), N($AK$47:$AK$56&gt;$AI614))
) / 1000</f>
        <v>0</v>
      </c>
      <c r="CO614" s="253" cm="1">
        <f t="array" ref="CO614">$BC614 * IF($AD614&lt;=2,
SUMPRODUCT(INDEX($AL$23:$AN$61,,$AE614), INDEX($AO$23:$AU$61,,$AD614), 1 / ($AV$23:$AV$61*CM614), N($AK$23:$AK$61&gt;$AI614)),
SUMPRODUCT(INDEX($AL$23:$AN$46,,$AE614), INDEX($AO$23:$AU$46,,$AD614), 1 / ($AW$23:$AW$46*CM614), N($AK$23:$AK$46&gt;$AI614))
) / 1000</f>
        <v>0</v>
      </c>
      <c r="CP614" s="237">
        <f t="shared" si="624"/>
        <v>0</v>
      </c>
      <c r="CQ614" s="210"/>
    </row>
    <row r="615" spans="1:95" s="76" customFormat="1" ht="14.25" customHeight="1" x14ac:dyDescent="0.2">
      <c r="A615" s="238" t="b">
        <f t="shared" si="628"/>
        <v>0</v>
      </c>
      <c r="B615" s="239">
        <v>593</v>
      </c>
      <c r="C615" s="258"/>
      <c r="D615" s="258"/>
      <c r="E615" s="240"/>
      <c r="F615" s="241" t="str">
        <f>IF(ISBLANK(E615), "", VLOOKUP(E615, Z!$A$2:$C$4127, 3, FALSE))</f>
        <v/>
      </c>
      <c r="G615" s="242"/>
      <c r="H615" s="242"/>
      <c r="I615" s="243"/>
      <c r="J615" s="244"/>
      <c r="K615" s="259"/>
      <c r="L615" s="260"/>
      <c r="M615" s="247" t="str" cm="1">
        <f t="array" ref="M615">IF($K615&gt;0, INDEX(Clean,1+AG615,$C$1), "")</f>
        <v/>
      </c>
      <c r="N615" s="245"/>
      <c r="O615" s="245"/>
      <c r="P615" s="246"/>
      <c r="Q615" s="248">
        <f t="shared" si="601"/>
        <v>0</v>
      </c>
      <c r="R615" s="247" t="str" cm="1">
        <f t="array" ref="R615">IF($K615&gt;0, INDEX(Clean,1+AH615,$C$1), "")</f>
        <v/>
      </c>
      <c r="S615" s="245"/>
      <c r="T615" s="245"/>
      <c r="U615" s="246"/>
      <c r="V615" s="248">
        <f t="shared" si="602"/>
        <v>0</v>
      </c>
      <c r="W615" s="261"/>
      <c r="X615" s="258"/>
      <c r="Y615" s="240"/>
      <c r="Z615" s="241" t="str">
        <f>IF(ISBLANK(Y615), "", VLOOKUP(Y615, Z!$A$2:$C$4127, 3, FALSE))</f>
        <v/>
      </c>
      <c r="AA615" s="262"/>
      <c r="AB615" s="249">
        <f t="shared" si="637"/>
        <v>0</v>
      </c>
      <c r="AC615" s="210"/>
      <c r="AD615" s="236">
        <f t="shared" si="625"/>
        <v>1</v>
      </c>
      <c r="AE615" s="236">
        <f t="shared" si="626"/>
        <v>1</v>
      </c>
      <c r="AF615" s="236">
        <f t="shared" si="627"/>
        <v>0</v>
      </c>
      <c r="AG615" s="236">
        <v>1</v>
      </c>
      <c r="AH615" s="236">
        <v>0</v>
      </c>
      <c r="AI615" s="236">
        <f t="shared" si="603"/>
        <v>-100</v>
      </c>
      <c r="AJ615" s="210"/>
      <c r="AK615" s="254"/>
      <c r="AL615" s="254"/>
      <c r="AM615" s="255"/>
      <c r="AN615" s="255"/>
      <c r="AO615" s="255"/>
      <c r="AP615" s="255"/>
      <c r="AQ615" s="255"/>
      <c r="AR615" s="255"/>
      <c r="AS615" s="255"/>
      <c r="AT615" s="255"/>
      <c r="AU615" s="255"/>
      <c r="AV615" s="255"/>
      <c r="AW615" s="255"/>
      <c r="AX615" s="210"/>
      <c r="AY615" s="236" cm="1">
        <f t="array" ref="AY615">INDEX(Use, $AD615, 4)</f>
        <v>7</v>
      </c>
      <c r="AZ615" s="236">
        <f t="shared" si="604"/>
        <v>32</v>
      </c>
      <c r="BA615" s="236">
        <f t="shared" si="629"/>
        <v>13</v>
      </c>
      <c r="BB615" s="236">
        <f t="shared" si="630"/>
        <v>0</v>
      </c>
      <c r="BC615" s="252" cm="1">
        <f t="array" ref="BC615">K615/IF($L615&gt;0, INDEX($AO$23:$AU$77, $L615+20, $AD615), 1)</f>
        <v>0</v>
      </c>
      <c r="BD615" s="237">
        <f t="shared" si="605"/>
        <v>0</v>
      </c>
      <c r="BE615" s="236">
        <v>35</v>
      </c>
      <c r="BF615" s="237">
        <f t="shared" si="606"/>
        <v>52.55</v>
      </c>
      <c r="BG615" s="253">
        <f t="shared" si="607"/>
        <v>2.7676728869374316</v>
      </c>
      <c r="BH615" s="253" cm="1">
        <f t="array" ref="BH615">$BC615 * SUMPRODUCT(INDEX($AL$77:$AN$82,,$AE615),INDEX($AO$77:$AU$82,,$AD615), N($AK$77:$AK$82&gt;$AI615)) / BG615 / 1000</f>
        <v>0</v>
      </c>
      <c r="BI615" s="250">
        <f t="shared" si="631"/>
        <v>30</v>
      </c>
      <c r="BJ615" s="237">
        <f t="shared" si="608"/>
        <v>46.033333333333331</v>
      </c>
      <c r="BK615" s="253">
        <f t="shared" si="609"/>
        <v>3.2297395388556791</v>
      </c>
      <c r="BL615" s="253" cm="1">
        <f t="array" ref="BL615">$BC615 * IF($AD615&lt;=2,
SUMPRODUCT(INDEX($AL$72:$AN$76,,$AE615), INDEX($AO$72:$AU$76,,$AD615), 1 / ($AV$72:$AV$76*BK615 + (1-$AV$72:$AV$76)*BG615), N($AK$72:$AK$76&gt;$AI615)),
SUMPRODUCT(INDEX($AL$67:$AN$76,,$AE615), INDEX($AO$67:$AU$76,,$AD615), 1 / ($AW$67:$AW$76*BK615 + (1-$AW$67:$AW$76)*BG615), N($AK$67:$AK$76&gt;$AI615))
) / 1000</f>
        <v>0</v>
      </c>
      <c r="BM615" s="250">
        <f t="shared" si="632"/>
        <v>25</v>
      </c>
      <c r="BN615" s="237">
        <f t="shared" si="610"/>
        <v>39.516666666666666</v>
      </c>
      <c r="BO615" s="253">
        <f t="shared" si="611"/>
        <v>3.877011788826243</v>
      </c>
      <c r="BP615" s="253" cm="1">
        <f t="array" ref="BP615">$BC615 * IF($AD615&lt;=2,
SUMPRODUCT(INDEX($AL$67:$AN$71,,$AE615), INDEX($AO$67:$AU$71,,$AD615), 1 / ($AV$67:$AV$71*BO615 + (1-$AV$67:$AV$71)*BK615), N($AK$67:$AK$71&gt;$AI615)),
SUMPRODUCT(INDEX($AL$57:$AN$66,,$AE615), INDEX($AO$57:$AU$66,,$AD615), 1 / ($AW$57:$AW$66*BO615 + (1-$AW$57:$AW$66)*BK615), N($AK$57:$AK$66&gt;$AI615))
) / 1000</f>
        <v>0</v>
      </c>
      <c r="BQ615" s="250">
        <f t="shared" si="633"/>
        <v>20</v>
      </c>
      <c r="BR615" s="237">
        <f t="shared" si="612"/>
        <v>33</v>
      </c>
      <c r="BS615" s="253">
        <f t="shared" si="613"/>
        <v>4.8487499999999999</v>
      </c>
      <c r="BT615" s="253" cm="1">
        <f t="array" ref="BT615">$BC615 * IF($AD615&lt;=2,
SUMPRODUCT(INDEX($AL$62:$AN$66,,$AE615), INDEX($AO$62:$AU$66,,$AD615), 1 / ($AV$62:$AV$66*BS615 + (1-$AV$62:$AV$66)*BO615), N($AK$62:$AK$66&gt;$AI615)),
SUMPRODUCT(INDEX($AL$47:$AN$56,,$AE615), INDEX($AO$47:$AU$56,,$AD615), 1 / ($AW$47:$AW$56*BS615 + (1-$AW$47:$AW$56)*BO615), N($AK$47:$AK$56&gt;$AI615))
) / 1000</f>
        <v>0</v>
      </c>
      <c r="BU615" s="253" cm="1">
        <f t="array" ref="BU615">$BC615 * IF($AD615&lt;=2,
SUMPRODUCT(INDEX($AL$23:$AN$61,,$AE615), INDEX($AO$23:$AU$61,,$AD615), 1 / ($AV$23:$AV$61*BS615), N($AK$23:$AK$61&gt;$AI615)),
SUMPRODUCT(INDEX($AL$23:$AN$46,,$AE615), INDEX($AO$23:$AU$46,,$AD615), 1 / ($AW$23:$AW$46*BS615), N($AK$23:$AK$46&gt;$AI615))
) / 1000</f>
        <v>0</v>
      </c>
      <c r="BV615" s="237">
        <f t="shared" si="614"/>
        <v>0</v>
      </c>
      <c r="BW615" s="210"/>
      <c r="BX615" s="237">
        <f t="shared" si="615"/>
        <v>0</v>
      </c>
      <c r="BY615" s="236">
        <v>35</v>
      </c>
      <c r="BZ615" s="237">
        <f t="shared" si="616"/>
        <v>48</v>
      </c>
      <c r="CA615" s="253">
        <f t="shared" si="617"/>
        <v>3.0748170731707316</v>
      </c>
      <c r="CB615" s="253" cm="1">
        <f t="array" ref="CB615">$BC615 * SUMPRODUCT(INDEX($AL$77:$AN$82,,$AE615),INDEX($AO$77:$AU$82,,$AD615), N($AK$77:$AK$82&gt;$AI615)) / CA615 / 1000</f>
        <v>0</v>
      </c>
      <c r="CC615" s="250">
        <f t="shared" si="634"/>
        <v>30</v>
      </c>
      <c r="CD615" s="237">
        <f t="shared" si="618"/>
        <v>43</v>
      </c>
      <c r="CE615" s="253">
        <f t="shared" si="619"/>
        <v>3.5018750000000001</v>
      </c>
      <c r="CF615" s="253" cm="1">
        <f t="array" ref="CF615">$BC615 * IF($AD615&lt;=2,
SUMPRODUCT(INDEX($AL$72:$AN$76,,$AE615), INDEX($AO$72:$AU$76,,$AD615), 1 / ($AV$72:$AV$76*CE615 + (1-$AV$72:$AV$76)*CA615), N($AK$72:$AK$76&gt;$AI615)),
SUMPRODUCT(INDEX($AL$67:$AN$76,,$AE615), INDEX($AO$67:$AU$76,,$AD615), 1 / ($AW$67:$AW$76*CE615 + (1-$AW$67:$AW$76)*CA615), N($AK$67:$AK$76&gt;$AI615))
) / 1000</f>
        <v>0</v>
      </c>
      <c r="CG615" s="250">
        <f t="shared" si="635"/>
        <v>25</v>
      </c>
      <c r="CH615" s="237">
        <f t="shared" si="620"/>
        <v>38</v>
      </c>
      <c r="CI615" s="253">
        <f t="shared" si="621"/>
        <v>4.0666935483870965</v>
      </c>
      <c r="CJ615" s="253" cm="1">
        <f t="array" ref="CJ615">$BC615 * IF($AD615&lt;=2,
SUMPRODUCT(INDEX($AL$67:$AN$71,,$AE615), INDEX($AO$67:$AU$71,,$AD615), 1 / ($AV$67:$AV$71*CI615 + (1-$AV$67:$AV$71)*CE615), N($AK$67:$AK$71&gt;$AI615)),
SUMPRODUCT(INDEX($AL$57:$AN$66,,$AE615), INDEX($AO$57:$AU$66,,$AD615), 1 / ($AW$57:$AW$66*CI615 + (1-$AW$57:$AW$66)*CE615), N($AK$57:$AK$66&gt;$AI615))
) / 1000</f>
        <v>0</v>
      </c>
      <c r="CK615" s="250">
        <f t="shared" si="636"/>
        <v>20</v>
      </c>
      <c r="CL615" s="237">
        <f t="shared" si="622"/>
        <v>33</v>
      </c>
      <c r="CM615" s="253">
        <f t="shared" si="623"/>
        <v>4.8487499999999999</v>
      </c>
      <c r="CN615" s="253" cm="1">
        <f t="array" ref="CN615">$BC615 * IF($AD615&lt;=2,
SUMPRODUCT(INDEX($AL$62:$AN$66,,$AE615), INDEX($AO$62:$AU$66,,$AD615), 1 / ($AV$62:$AV$66*CM615 + (1-$AV$62:$AV$66)*CI615), N($AK$62:$AK$66&gt;$AI615)),
SUMPRODUCT(INDEX($AL$47:$AN$56,,$AE615), INDEX($AO$47:$AU$56,,$AD615), 1 / ($AW$47:$AW$56*CM615 + (1-$AW$47:$AW$56)*CI615), N($AK$47:$AK$56&gt;$AI615))
) / 1000</f>
        <v>0</v>
      </c>
      <c r="CO615" s="253" cm="1">
        <f t="array" ref="CO615">$BC615 * IF($AD615&lt;=2,
SUMPRODUCT(INDEX($AL$23:$AN$61,,$AE615), INDEX($AO$23:$AU$61,,$AD615), 1 / ($AV$23:$AV$61*CM615), N($AK$23:$AK$61&gt;$AI615)),
SUMPRODUCT(INDEX($AL$23:$AN$46,,$AE615), INDEX($AO$23:$AU$46,,$AD615), 1 / ($AW$23:$AW$46*CM615), N($AK$23:$AK$46&gt;$AI615))
) / 1000</f>
        <v>0</v>
      </c>
      <c r="CP615" s="237">
        <f t="shared" si="624"/>
        <v>0</v>
      </c>
      <c r="CQ615" s="210"/>
    </row>
    <row r="616" spans="1:95" s="76" customFormat="1" ht="14.25" customHeight="1" x14ac:dyDescent="0.2">
      <c r="A616" s="238" t="b">
        <f t="shared" si="628"/>
        <v>0</v>
      </c>
      <c r="B616" s="239">
        <v>594</v>
      </c>
      <c r="C616" s="258"/>
      <c r="D616" s="258"/>
      <c r="E616" s="240"/>
      <c r="F616" s="241" t="str">
        <f>IF(ISBLANK(E616), "", VLOOKUP(E616, Z!$A$2:$C$4127, 3, FALSE))</f>
        <v/>
      </c>
      <c r="G616" s="242"/>
      <c r="H616" s="242"/>
      <c r="I616" s="243"/>
      <c r="J616" s="244"/>
      <c r="K616" s="259"/>
      <c r="L616" s="260"/>
      <c r="M616" s="247" t="str" cm="1">
        <f t="array" ref="M616">IF($K616&gt;0, INDEX(Clean,1+AG616,$C$1), "")</f>
        <v/>
      </c>
      <c r="N616" s="245"/>
      <c r="O616" s="245"/>
      <c r="P616" s="246"/>
      <c r="Q616" s="248">
        <f t="shared" si="601"/>
        <v>0</v>
      </c>
      <c r="R616" s="247" t="str" cm="1">
        <f t="array" ref="R616">IF($K616&gt;0, INDEX(Clean,1+AH616,$C$1), "")</f>
        <v/>
      </c>
      <c r="S616" s="245"/>
      <c r="T616" s="245"/>
      <c r="U616" s="246"/>
      <c r="V616" s="248">
        <f t="shared" si="602"/>
        <v>0</v>
      </c>
      <c r="W616" s="261"/>
      <c r="X616" s="258"/>
      <c r="Y616" s="240"/>
      <c r="Z616" s="241" t="str">
        <f>IF(ISBLANK(Y616), "", VLOOKUP(Y616, Z!$A$2:$C$4127, 3, FALSE))</f>
        <v/>
      </c>
      <c r="AA616" s="262"/>
      <c r="AB616" s="249">
        <f t="shared" si="637"/>
        <v>0</v>
      </c>
      <c r="AC616" s="210"/>
      <c r="AD616" s="236">
        <f t="shared" si="625"/>
        <v>1</v>
      </c>
      <c r="AE616" s="236">
        <f t="shared" si="626"/>
        <v>1</v>
      </c>
      <c r="AF616" s="236">
        <f t="shared" si="627"/>
        <v>0</v>
      </c>
      <c r="AG616" s="236">
        <v>1</v>
      </c>
      <c r="AH616" s="236">
        <v>0</v>
      </c>
      <c r="AI616" s="236">
        <f t="shared" si="603"/>
        <v>-100</v>
      </c>
      <c r="AJ616" s="210"/>
      <c r="AK616" s="254"/>
      <c r="AL616" s="254"/>
      <c r="AM616" s="255"/>
      <c r="AN616" s="255"/>
      <c r="AO616" s="255"/>
      <c r="AP616" s="255"/>
      <c r="AQ616" s="255"/>
      <c r="AR616" s="255"/>
      <c r="AS616" s="255"/>
      <c r="AT616" s="255"/>
      <c r="AU616" s="255"/>
      <c r="AV616" s="255"/>
      <c r="AW616" s="255"/>
      <c r="AX616" s="210"/>
      <c r="AY616" s="236" cm="1">
        <f t="array" ref="AY616">INDEX(Use, $AD616, 4)</f>
        <v>7</v>
      </c>
      <c r="AZ616" s="236">
        <f t="shared" si="604"/>
        <v>32</v>
      </c>
      <c r="BA616" s="236">
        <f t="shared" si="629"/>
        <v>13</v>
      </c>
      <c r="BB616" s="236">
        <f t="shared" si="630"/>
        <v>0</v>
      </c>
      <c r="BC616" s="252" cm="1">
        <f t="array" ref="BC616">K616/IF($L616&gt;0, INDEX($AO$23:$AU$77, $L616+20, $AD616), 1)</f>
        <v>0</v>
      </c>
      <c r="BD616" s="237">
        <f t="shared" si="605"/>
        <v>0</v>
      </c>
      <c r="BE616" s="236">
        <v>35</v>
      </c>
      <c r="BF616" s="237">
        <f t="shared" si="606"/>
        <v>52.55</v>
      </c>
      <c r="BG616" s="253">
        <f t="shared" si="607"/>
        <v>2.7676728869374316</v>
      </c>
      <c r="BH616" s="253" cm="1">
        <f t="array" ref="BH616">$BC616 * SUMPRODUCT(INDEX($AL$77:$AN$82,,$AE616),INDEX($AO$77:$AU$82,,$AD616), N($AK$77:$AK$82&gt;$AI616)) / BG616 / 1000</f>
        <v>0</v>
      </c>
      <c r="BI616" s="250">
        <f t="shared" si="631"/>
        <v>30</v>
      </c>
      <c r="BJ616" s="237">
        <f t="shared" si="608"/>
        <v>46.033333333333331</v>
      </c>
      <c r="BK616" s="253">
        <f t="shared" si="609"/>
        <v>3.2297395388556791</v>
      </c>
      <c r="BL616" s="253" cm="1">
        <f t="array" ref="BL616">$BC616 * IF($AD616&lt;=2,
SUMPRODUCT(INDEX($AL$72:$AN$76,,$AE616), INDEX($AO$72:$AU$76,,$AD616), 1 / ($AV$72:$AV$76*BK616 + (1-$AV$72:$AV$76)*BG616), N($AK$72:$AK$76&gt;$AI616)),
SUMPRODUCT(INDEX($AL$67:$AN$76,,$AE616), INDEX($AO$67:$AU$76,,$AD616), 1 / ($AW$67:$AW$76*BK616 + (1-$AW$67:$AW$76)*BG616), N($AK$67:$AK$76&gt;$AI616))
) / 1000</f>
        <v>0</v>
      </c>
      <c r="BM616" s="250">
        <f t="shared" si="632"/>
        <v>25</v>
      </c>
      <c r="BN616" s="237">
        <f t="shared" si="610"/>
        <v>39.516666666666666</v>
      </c>
      <c r="BO616" s="253">
        <f t="shared" si="611"/>
        <v>3.877011788826243</v>
      </c>
      <c r="BP616" s="253" cm="1">
        <f t="array" ref="BP616">$BC616 * IF($AD616&lt;=2,
SUMPRODUCT(INDEX($AL$67:$AN$71,,$AE616), INDEX($AO$67:$AU$71,,$AD616), 1 / ($AV$67:$AV$71*BO616 + (1-$AV$67:$AV$71)*BK616), N($AK$67:$AK$71&gt;$AI616)),
SUMPRODUCT(INDEX($AL$57:$AN$66,,$AE616), INDEX($AO$57:$AU$66,,$AD616), 1 / ($AW$57:$AW$66*BO616 + (1-$AW$57:$AW$66)*BK616), N($AK$57:$AK$66&gt;$AI616))
) / 1000</f>
        <v>0</v>
      </c>
      <c r="BQ616" s="250">
        <f t="shared" si="633"/>
        <v>20</v>
      </c>
      <c r="BR616" s="237">
        <f t="shared" si="612"/>
        <v>33</v>
      </c>
      <c r="BS616" s="253">
        <f t="shared" si="613"/>
        <v>4.8487499999999999</v>
      </c>
      <c r="BT616" s="253" cm="1">
        <f t="array" ref="BT616">$BC616 * IF($AD616&lt;=2,
SUMPRODUCT(INDEX($AL$62:$AN$66,,$AE616), INDEX($AO$62:$AU$66,,$AD616), 1 / ($AV$62:$AV$66*BS616 + (1-$AV$62:$AV$66)*BO616), N($AK$62:$AK$66&gt;$AI616)),
SUMPRODUCT(INDEX($AL$47:$AN$56,,$AE616), INDEX($AO$47:$AU$56,,$AD616), 1 / ($AW$47:$AW$56*BS616 + (1-$AW$47:$AW$56)*BO616), N($AK$47:$AK$56&gt;$AI616))
) / 1000</f>
        <v>0</v>
      </c>
      <c r="BU616" s="253" cm="1">
        <f t="array" ref="BU616">$BC616 * IF($AD616&lt;=2,
SUMPRODUCT(INDEX($AL$23:$AN$61,,$AE616), INDEX($AO$23:$AU$61,,$AD616), 1 / ($AV$23:$AV$61*BS616), N($AK$23:$AK$61&gt;$AI616)),
SUMPRODUCT(INDEX($AL$23:$AN$46,,$AE616), INDEX($AO$23:$AU$46,,$AD616), 1 / ($AW$23:$AW$46*BS616), N($AK$23:$AK$46&gt;$AI616))
) / 1000</f>
        <v>0</v>
      </c>
      <c r="BV616" s="237">
        <f t="shared" si="614"/>
        <v>0</v>
      </c>
      <c r="BW616" s="210"/>
      <c r="BX616" s="237">
        <f t="shared" si="615"/>
        <v>0</v>
      </c>
      <c r="BY616" s="236">
        <v>35</v>
      </c>
      <c r="BZ616" s="237">
        <f t="shared" si="616"/>
        <v>48</v>
      </c>
      <c r="CA616" s="253">
        <f t="shared" si="617"/>
        <v>3.0748170731707316</v>
      </c>
      <c r="CB616" s="253" cm="1">
        <f t="array" ref="CB616">$BC616 * SUMPRODUCT(INDEX($AL$77:$AN$82,,$AE616),INDEX($AO$77:$AU$82,,$AD616), N($AK$77:$AK$82&gt;$AI616)) / CA616 / 1000</f>
        <v>0</v>
      </c>
      <c r="CC616" s="250">
        <f t="shared" si="634"/>
        <v>30</v>
      </c>
      <c r="CD616" s="237">
        <f t="shared" si="618"/>
        <v>43</v>
      </c>
      <c r="CE616" s="253">
        <f t="shared" si="619"/>
        <v>3.5018750000000001</v>
      </c>
      <c r="CF616" s="253" cm="1">
        <f t="array" ref="CF616">$BC616 * IF($AD616&lt;=2,
SUMPRODUCT(INDEX($AL$72:$AN$76,,$AE616), INDEX($AO$72:$AU$76,,$AD616), 1 / ($AV$72:$AV$76*CE616 + (1-$AV$72:$AV$76)*CA616), N($AK$72:$AK$76&gt;$AI616)),
SUMPRODUCT(INDEX($AL$67:$AN$76,,$AE616), INDEX($AO$67:$AU$76,,$AD616), 1 / ($AW$67:$AW$76*CE616 + (1-$AW$67:$AW$76)*CA616), N($AK$67:$AK$76&gt;$AI616))
) / 1000</f>
        <v>0</v>
      </c>
      <c r="CG616" s="250">
        <f t="shared" si="635"/>
        <v>25</v>
      </c>
      <c r="CH616" s="237">
        <f t="shared" si="620"/>
        <v>38</v>
      </c>
      <c r="CI616" s="253">
        <f t="shared" si="621"/>
        <v>4.0666935483870965</v>
      </c>
      <c r="CJ616" s="253" cm="1">
        <f t="array" ref="CJ616">$BC616 * IF($AD616&lt;=2,
SUMPRODUCT(INDEX($AL$67:$AN$71,,$AE616), INDEX($AO$67:$AU$71,,$AD616), 1 / ($AV$67:$AV$71*CI616 + (1-$AV$67:$AV$71)*CE616), N($AK$67:$AK$71&gt;$AI616)),
SUMPRODUCT(INDEX($AL$57:$AN$66,,$AE616), INDEX($AO$57:$AU$66,,$AD616), 1 / ($AW$57:$AW$66*CI616 + (1-$AW$57:$AW$66)*CE616), N($AK$57:$AK$66&gt;$AI616))
) / 1000</f>
        <v>0</v>
      </c>
      <c r="CK616" s="250">
        <f t="shared" si="636"/>
        <v>20</v>
      </c>
      <c r="CL616" s="237">
        <f t="shared" si="622"/>
        <v>33</v>
      </c>
      <c r="CM616" s="253">
        <f t="shared" si="623"/>
        <v>4.8487499999999999</v>
      </c>
      <c r="CN616" s="253" cm="1">
        <f t="array" ref="CN616">$BC616 * IF($AD616&lt;=2,
SUMPRODUCT(INDEX($AL$62:$AN$66,,$AE616), INDEX($AO$62:$AU$66,,$AD616), 1 / ($AV$62:$AV$66*CM616 + (1-$AV$62:$AV$66)*CI616), N($AK$62:$AK$66&gt;$AI616)),
SUMPRODUCT(INDEX($AL$47:$AN$56,,$AE616), INDEX($AO$47:$AU$56,,$AD616), 1 / ($AW$47:$AW$56*CM616 + (1-$AW$47:$AW$56)*CI616), N($AK$47:$AK$56&gt;$AI616))
) / 1000</f>
        <v>0</v>
      </c>
      <c r="CO616" s="253" cm="1">
        <f t="array" ref="CO616">$BC616 * IF($AD616&lt;=2,
SUMPRODUCT(INDEX($AL$23:$AN$61,,$AE616), INDEX($AO$23:$AU$61,,$AD616), 1 / ($AV$23:$AV$61*CM616), N($AK$23:$AK$61&gt;$AI616)),
SUMPRODUCT(INDEX($AL$23:$AN$46,,$AE616), INDEX($AO$23:$AU$46,,$AD616), 1 / ($AW$23:$AW$46*CM616), N($AK$23:$AK$46&gt;$AI616))
) / 1000</f>
        <v>0</v>
      </c>
      <c r="CP616" s="237">
        <f t="shared" si="624"/>
        <v>0</v>
      </c>
      <c r="CQ616" s="210"/>
    </row>
    <row r="617" spans="1:95" s="76" customFormat="1" ht="14.25" customHeight="1" x14ac:dyDescent="0.2">
      <c r="A617" s="238" t="b">
        <f t="shared" si="628"/>
        <v>0</v>
      </c>
      <c r="B617" s="239">
        <v>595</v>
      </c>
      <c r="C617" s="258"/>
      <c r="D617" s="258"/>
      <c r="E617" s="240"/>
      <c r="F617" s="241" t="str">
        <f>IF(ISBLANK(E617), "", VLOOKUP(E617, Z!$A$2:$C$4127, 3, FALSE))</f>
        <v/>
      </c>
      <c r="G617" s="242"/>
      <c r="H617" s="242"/>
      <c r="I617" s="243"/>
      <c r="J617" s="244"/>
      <c r="K617" s="259"/>
      <c r="L617" s="260"/>
      <c r="M617" s="247" t="str" cm="1">
        <f t="array" ref="M617">IF($K617&gt;0, INDEX(Clean,1+AG617,$C$1), "")</f>
        <v/>
      </c>
      <c r="N617" s="245"/>
      <c r="O617" s="245"/>
      <c r="P617" s="246"/>
      <c r="Q617" s="248">
        <f t="shared" si="601"/>
        <v>0</v>
      </c>
      <c r="R617" s="247" t="str" cm="1">
        <f t="array" ref="R617">IF($K617&gt;0, INDEX(Clean,1+AH617,$C$1), "")</f>
        <v/>
      </c>
      <c r="S617" s="245"/>
      <c r="T617" s="245"/>
      <c r="U617" s="246"/>
      <c r="V617" s="248">
        <f t="shared" si="602"/>
        <v>0</v>
      </c>
      <c r="W617" s="261"/>
      <c r="X617" s="258"/>
      <c r="Y617" s="240"/>
      <c r="Z617" s="241" t="str">
        <f>IF(ISBLANK(Y617), "", VLOOKUP(Y617, Z!$A$2:$C$4127, 3, FALSE))</f>
        <v/>
      </c>
      <c r="AA617" s="262"/>
      <c r="AB617" s="249">
        <f t="shared" si="637"/>
        <v>0</v>
      </c>
      <c r="AC617" s="210"/>
      <c r="AD617" s="236">
        <f t="shared" si="625"/>
        <v>1</v>
      </c>
      <c r="AE617" s="236">
        <f t="shared" si="626"/>
        <v>1</v>
      </c>
      <c r="AF617" s="236">
        <f t="shared" si="627"/>
        <v>0</v>
      </c>
      <c r="AG617" s="236">
        <v>1</v>
      </c>
      <c r="AH617" s="236">
        <v>0</v>
      </c>
      <c r="AI617" s="236">
        <f t="shared" si="603"/>
        <v>-100</v>
      </c>
      <c r="AJ617" s="210"/>
      <c r="AK617" s="254"/>
      <c r="AL617" s="254"/>
      <c r="AM617" s="255"/>
      <c r="AN617" s="255"/>
      <c r="AO617" s="255"/>
      <c r="AP617" s="255"/>
      <c r="AQ617" s="255"/>
      <c r="AR617" s="255"/>
      <c r="AS617" s="255"/>
      <c r="AT617" s="255"/>
      <c r="AU617" s="255"/>
      <c r="AV617" s="255"/>
      <c r="AW617" s="255"/>
      <c r="AX617" s="210"/>
      <c r="AY617" s="236" cm="1">
        <f t="array" ref="AY617">INDEX(Use, $AD617, 4)</f>
        <v>7</v>
      </c>
      <c r="AZ617" s="236">
        <f t="shared" si="604"/>
        <v>32</v>
      </c>
      <c r="BA617" s="236">
        <f t="shared" si="629"/>
        <v>13</v>
      </c>
      <c r="BB617" s="236">
        <f t="shared" si="630"/>
        <v>0</v>
      </c>
      <c r="BC617" s="252" cm="1">
        <f t="array" ref="BC617">K617/IF($L617&gt;0, INDEX($AO$23:$AU$77, $L617+20, $AD617), 1)</f>
        <v>0</v>
      </c>
      <c r="BD617" s="237">
        <f t="shared" si="605"/>
        <v>0</v>
      </c>
      <c r="BE617" s="236">
        <v>35</v>
      </c>
      <c r="BF617" s="237">
        <f t="shared" si="606"/>
        <v>52.55</v>
      </c>
      <c r="BG617" s="253">
        <f t="shared" si="607"/>
        <v>2.7676728869374316</v>
      </c>
      <c r="BH617" s="253" cm="1">
        <f t="array" ref="BH617">$BC617 * SUMPRODUCT(INDEX($AL$77:$AN$82,,$AE617),INDEX($AO$77:$AU$82,,$AD617), N($AK$77:$AK$82&gt;$AI617)) / BG617 / 1000</f>
        <v>0</v>
      </c>
      <c r="BI617" s="250">
        <f t="shared" si="631"/>
        <v>30</v>
      </c>
      <c r="BJ617" s="237">
        <f t="shared" si="608"/>
        <v>46.033333333333331</v>
      </c>
      <c r="BK617" s="253">
        <f t="shared" si="609"/>
        <v>3.2297395388556791</v>
      </c>
      <c r="BL617" s="253" cm="1">
        <f t="array" ref="BL617">$BC617 * IF($AD617&lt;=2,
SUMPRODUCT(INDEX($AL$72:$AN$76,,$AE617), INDEX($AO$72:$AU$76,,$AD617), 1 / ($AV$72:$AV$76*BK617 + (1-$AV$72:$AV$76)*BG617), N($AK$72:$AK$76&gt;$AI617)),
SUMPRODUCT(INDEX($AL$67:$AN$76,,$AE617), INDEX($AO$67:$AU$76,,$AD617), 1 / ($AW$67:$AW$76*BK617 + (1-$AW$67:$AW$76)*BG617), N($AK$67:$AK$76&gt;$AI617))
) / 1000</f>
        <v>0</v>
      </c>
      <c r="BM617" s="250">
        <f t="shared" si="632"/>
        <v>25</v>
      </c>
      <c r="BN617" s="237">
        <f t="shared" si="610"/>
        <v>39.516666666666666</v>
      </c>
      <c r="BO617" s="253">
        <f t="shared" si="611"/>
        <v>3.877011788826243</v>
      </c>
      <c r="BP617" s="253" cm="1">
        <f t="array" ref="BP617">$BC617 * IF($AD617&lt;=2,
SUMPRODUCT(INDEX($AL$67:$AN$71,,$AE617), INDEX($AO$67:$AU$71,,$AD617), 1 / ($AV$67:$AV$71*BO617 + (1-$AV$67:$AV$71)*BK617), N($AK$67:$AK$71&gt;$AI617)),
SUMPRODUCT(INDEX($AL$57:$AN$66,,$AE617), INDEX($AO$57:$AU$66,,$AD617), 1 / ($AW$57:$AW$66*BO617 + (1-$AW$57:$AW$66)*BK617), N($AK$57:$AK$66&gt;$AI617))
) / 1000</f>
        <v>0</v>
      </c>
      <c r="BQ617" s="250">
        <f t="shared" si="633"/>
        <v>20</v>
      </c>
      <c r="BR617" s="237">
        <f t="shared" si="612"/>
        <v>33</v>
      </c>
      <c r="BS617" s="253">
        <f t="shared" si="613"/>
        <v>4.8487499999999999</v>
      </c>
      <c r="BT617" s="253" cm="1">
        <f t="array" ref="BT617">$BC617 * IF($AD617&lt;=2,
SUMPRODUCT(INDEX($AL$62:$AN$66,,$AE617), INDEX($AO$62:$AU$66,,$AD617), 1 / ($AV$62:$AV$66*BS617 + (1-$AV$62:$AV$66)*BO617), N($AK$62:$AK$66&gt;$AI617)),
SUMPRODUCT(INDEX($AL$47:$AN$56,,$AE617), INDEX($AO$47:$AU$56,,$AD617), 1 / ($AW$47:$AW$56*BS617 + (1-$AW$47:$AW$56)*BO617), N($AK$47:$AK$56&gt;$AI617))
) / 1000</f>
        <v>0</v>
      </c>
      <c r="BU617" s="253" cm="1">
        <f t="array" ref="BU617">$BC617 * IF($AD617&lt;=2,
SUMPRODUCT(INDEX($AL$23:$AN$61,,$AE617), INDEX($AO$23:$AU$61,,$AD617), 1 / ($AV$23:$AV$61*BS617), N($AK$23:$AK$61&gt;$AI617)),
SUMPRODUCT(INDEX($AL$23:$AN$46,,$AE617), INDEX($AO$23:$AU$46,,$AD617), 1 / ($AW$23:$AW$46*BS617), N($AK$23:$AK$46&gt;$AI617))
) / 1000</f>
        <v>0</v>
      </c>
      <c r="BV617" s="237">
        <f t="shared" si="614"/>
        <v>0</v>
      </c>
      <c r="BW617" s="210"/>
      <c r="BX617" s="237">
        <f t="shared" si="615"/>
        <v>0</v>
      </c>
      <c r="BY617" s="236">
        <v>35</v>
      </c>
      <c r="BZ617" s="237">
        <f t="shared" si="616"/>
        <v>48</v>
      </c>
      <c r="CA617" s="253">
        <f t="shared" si="617"/>
        <v>3.0748170731707316</v>
      </c>
      <c r="CB617" s="253" cm="1">
        <f t="array" ref="CB617">$BC617 * SUMPRODUCT(INDEX($AL$77:$AN$82,,$AE617),INDEX($AO$77:$AU$82,,$AD617), N($AK$77:$AK$82&gt;$AI617)) / CA617 / 1000</f>
        <v>0</v>
      </c>
      <c r="CC617" s="250">
        <f t="shared" si="634"/>
        <v>30</v>
      </c>
      <c r="CD617" s="237">
        <f t="shared" si="618"/>
        <v>43</v>
      </c>
      <c r="CE617" s="253">
        <f t="shared" si="619"/>
        <v>3.5018750000000001</v>
      </c>
      <c r="CF617" s="253" cm="1">
        <f t="array" ref="CF617">$BC617 * IF($AD617&lt;=2,
SUMPRODUCT(INDEX($AL$72:$AN$76,,$AE617), INDEX($AO$72:$AU$76,,$AD617), 1 / ($AV$72:$AV$76*CE617 + (1-$AV$72:$AV$76)*CA617), N($AK$72:$AK$76&gt;$AI617)),
SUMPRODUCT(INDEX($AL$67:$AN$76,,$AE617), INDEX($AO$67:$AU$76,,$AD617), 1 / ($AW$67:$AW$76*CE617 + (1-$AW$67:$AW$76)*CA617), N($AK$67:$AK$76&gt;$AI617))
) / 1000</f>
        <v>0</v>
      </c>
      <c r="CG617" s="250">
        <f t="shared" si="635"/>
        <v>25</v>
      </c>
      <c r="CH617" s="237">
        <f t="shared" si="620"/>
        <v>38</v>
      </c>
      <c r="CI617" s="253">
        <f t="shared" si="621"/>
        <v>4.0666935483870965</v>
      </c>
      <c r="CJ617" s="253" cm="1">
        <f t="array" ref="CJ617">$BC617 * IF($AD617&lt;=2,
SUMPRODUCT(INDEX($AL$67:$AN$71,,$AE617), INDEX($AO$67:$AU$71,,$AD617), 1 / ($AV$67:$AV$71*CI617 + (1-$AV$67:$AV$71)*CE617), N($AK$67:$AK$71&gt;$AI617)),
SUMPRODUCT(INDEX($AL$57:$AN$66,,$AE617), INDEX($AO$57:$AU$66,,$AD617), 1 / ($AW$57:$AW$66*CI617 + (1-$AW$57:$AW$66)*CE617), N($AK$57:$AK$66&gt;$AI617))
) / 1000</f>
        <v>0</v>
      </c>
      <c r="CK617" s="250">
        <f t="shared" si="636"/>
        <v>20</v>
      </c>
      <c r="CL617" s="237">
        <f t="shared" si="622"/>
        <v>33</v>
      </c>
      <c r="CM617" s="253">
        <f t="shared" si="623"/>
        <v>4.8487499999999999</v>
      </c>
      <c r="CN617" s="253" cm="1">
        <f t="array" ref="CN617">$BC617 * IF($AD617&lt;=2,
SUMPRODUCT(INDEX($AL$62:$AN$66,,$AE617), INDEX($AO$62:$AU$66,,$AD617), 1 / ($AV$62:$AV$66*CM617 + (1-$AV$62:$AV$66)*CI617), N($AK$62:$AK$66&gt;$AI617)),
SUMPRODUCT(INDEX($AL$47:$AN$56,,$AE617), INDEX($AO$47:$AU$56,,$AD617), 1 / ($AW$47:$AW$56*CM617 + (1-$AW$47:$AW$56)*CI617), N($AK$47:$AK$56&gt;$AI617))
) / 1000</f>
        <v>0</v>
      </c>
      <c r="CO617" s="253" cm="1">
        <f t="array" ref="CO617">$BC617 * IF($AD617&lt;=2,
SUMPRODUCT(INDEX($AL$23:$AN$61,,$AE617), INDEX($AO$23:$AU$61,,$AD617), 1 / ($AV$23:$AV$61*CM617), N($AK$23:$AK$61&gt;$AI617)),
SUMPRODUCT(INDEX($AL$23:$AN$46,,$AE617), INDEX($AO$23:$AU$46,,$AD617), 1 / ($AW$23:$AW$46*CM617), N($AK$23:$AK$46&gt;$AI617))
) / 1000</f>
        <v>0</v>
      </c>
      <c r="CP617" s="237">
        <f t="shared" si="624"/>
        <v>0</v>
      </c>
      <c r="CQ617" s="210"/>
    </row>
    <row r="618" spans="1:95" s="76" customFormat="1" ht="14.25" customHeight="1" x14ac:dyDescent="0.2">
      <c r="A618" s="238" t="b">
        <f t="shared" si="628"/>
        <v>0</v>
      </c>
      <c r="B618" s="239">
        <v>596</v>
      </c>
      <c r="C618" s="258"/>
      <c r="D618" s="258"/>
      <c r="E618" s="240"/>
      <c r="F618" s="241" t="str">
        <f>IF(ISBLANK(E618), "", VLOOKUP(E618, Z!$A$2:$C$4127, 3, FALSE))</f>
        <v/>
      </c>
      <c r="G618" s="242"/>
      <c r="H618" s="242"/>
      <c r="I618" s="243"/>
      <c r="J618" s="244"/>
      <c r="K618" s="259"/>
      <c r="L618" s="260"/>
      <c r="M618" s="247" t="str" cm="1">
        <f t="array" ref="M618">IF($K618&gt;0, INDEX(Clean,1+AG618,$C$1), "")</f>
        <v/>
      </c>
      <c r="N618" s="245"/>
      <c r="O618" s="245"/>
      <c r="P618" s="246"/>
      <c r="Q618" s="248">
        <f t="shared" si="601"/>
        <v>0</v>
      </c>
      <c r="R618" s="247" t="str" cm="1">
        <f t="array" ref="R618">IF($K618&gt;0, INDEX(Clean,1+AH618,$C$1), "")</f>
        <v/>
      </c>
      <c r="S618" s="245"/>
      <c r="T618" s="245"/>
      <c r="U618" s="246"/>
      <c r="V618" s="248">
        <f t="shared" si="602"/>
        <v>0</v>
      </c>
      <c r="W618" s="261"/>
      <c r="X618" s="258"/>
      <c r="Y618" s="240"/>
      <c r="Z618" s="241" t="str">
        <f>IF(ISBLANK(Y618), "", VLOOKUP(Y618, Z!$A$2:$C$4127, 3, FALSE))</f>
        <v/>
      </c>
      <c r="AA618" s="262"/>
      <c r="AB618" s="249">
        <f t="shared" si="637"/>
        <v>0</v>
      </c>
      <c r="AC618" s="210"/>
      <c r="AD618" s="236">
        <f t="shared" si="625"/>
        <v>1</v>
      </c>
      <c r="AE618" s="236">
        <f t="shared" si="626"/>
        <v>1</v>
      </c>
      <c r="AF618" s="236">
        <f t="shared" si="627"/>
        <v>0</v>
      </c>
      <c r="AG618" s="236">
        <v>1</v>
      </c>
      <c r="AH618" s="236">
        <v>0</v>
      </c>
      <c r="AI618" s="236">
        <f t="shared" si="603"/>
        <v>-100</v>
      </c>
      <c r="AJ618" s="210"/>
      <c r="AK618" s="254"/>
      <c r="AL618" s="254"/>
      <c r="AM618" s="255"/>
      <c r="AN618" s="255"/>
      <c r="AO618" s="255"/>
      <c r="AP618" s="255"/>
      <c r="AQ618" s="255"/>
      <c r="AR618" s="255"/>
      <c r="AS618" s="255"/>
      <c r="AT618" s="255"/>
      <c r="AU618" s="255"/>
      <c r="AV618" s="255"/>
      <c r="AW618" s="255"/>
      <c r="AX618" s="210"/>
      <c r="AY618" s="236" cm="1">
        <f t="array" ref="AY618">INDEX(Use, $AD618, 4)</f>
        <v>7</v>
      </c>
      <c r="AZ618" s="236">
        <f t="shared" si="604"/>
        <v>32</v>
      </c>
      <c r="BA618" s="236">
        <f t="shared" si="629"/>
        <v>13</v>
      </c>
      <c r="BB618" s="236">
        <f t="shared" si="630"/>
        <v>0</v>
      </c>
      <c r="BC618" s="252" cm="1">
        <f t="array" ref="BC618">K618/IF($L618&gt;0, INDEX($AO$23:$AU$77, $L618+20, $AD618), 1)</f>
        <v>0</v>
      </c>
      <c r="BD618" s="237">
        <f t="shared" si="605"/>
        <v>0</v>
      </c>
      <c r="BE618" s="236">
        <v>35</v>
      </c>
      <c r="BF618" s="237">
        <f t="shared" si="606"/>
        <v>52.55</v>
      </c>
      <c r="BG618" s="253">
        <f t="shared" si="607"/>
        <v>2.7676728869374316</v>
      </c>
      <c r="BH618" s="253" cm="1">
        <f t="array" ref="BH618">$BC618 * SUMPRODUCT(INDEX($AL$77:$AN$82,,$AE618),INDEX($AO$77:$AU$82,,$AD618), N($AK$77:$AK$82&gt;$AI618)) / BG618 / 1000</f>
        <v>0</v>
      </c>
      <c r="BI618" s="250">
        <f t="shared" si="631"/>
        <v>30</v>
      </c>
      <c r="BJ618" s="237">
        <f t="shared" si="608"/>
        <v>46.033333333333331</v>
      </c>
      <c r="BK618" s="253">
        <f t="shared" si="609"/>
        <v>3.2297395388556791</v>
      </c>
      <c r="BL618" s="253" cm="1">
        <f t="array" ref="BL618">$BC618 * IF($AD618&lt;=2,
SUMPRODUCT(INDEX($AL$72:$AN$76,,$AE618), INDEX($AO$72:$AU$76,,$AD618), 1 / ($AV$72:$AV$76*BK618 + (1-$AV$72:$AV$76)*BG618), N($AK$72:$AK$76&gt;$AI618)),
SUMPRODUCT(INDEX($AL$67:$AN$76,,$AE618), INDEX($AO$67:$AU$76,,$AD618), 1 / ($AW$67:$AW$76*BK618 + (1-$AW$67:$AW$76)*BG618), N($AK$67:$AK$76&gt;$AI618))
) / 1000</f>
        <v>0</v>
      </c>
      <c r="BM618" s="250">
        <f t="shared" si="632"/>
        <v>25</v>
      </c>
      <c r="BN618" s="237">
        <f t="shared" si="610"/>
        <v>39.516666666666666</v>
      </c>
      <c r="BO618" s="253">
        <f t="shared" si="611"/>
        <v>3.877011788826243</v>
      </c>
      <c r="BP618" s="253" cm="1">
        <f t="array" ref="BP618">$BC618 * IF($AD618&lt;=2,
SUMPRODUCT(INDEX($AL$67:$AN$71,,$AE618), INDEX($AO$67:$AU$71,,$AD618), 1 / ($AV$67:$AV$71*BO618 + (1-$AV$67:$AV$71)*BK618), N($AK$67:$AK$71&gt;$AI618)),
SUMPRODUCT(INDEX($AL$57:$AN$66,,$AE618), INDEX($AO$57:$AU$66,,$AD618), 1 / ($AW$57:$AW$66*BO618 + (1-$AW$57:$AW$66)*BK618), N($AK$57:$AK$66&gt;$AI618))
) / 1000</f>
        <v>0</v>
      </c>
      <c r="BQ618" s="250">
        <f t="shared" si="633"/>
        <v>20</v>
      </c>
      <c r="BR618" s="237">
        <f t="shared" si="612"/>
        <v>33</v>
      </c>
      <c r="BS618" s="253">
        <f t="shared" si="613"/>
        <v>4.8487499999999999</v>
      </c>
      <c r="BT618" s="253" cm="1">
        <f t="array" ref="BT618">$BC618 * IF($AD618&lt;=2,
SUMPRODUCT(INDEX($AL$62:$AN$66,,$AE618), INDEX($AO$62:$AU$66,,$AD618), 1 / ($AV$62:$AV$66*BS618 + (1-$AV$62:$AV$66)*BO618), N($AK$62:$AK$66&gt;$AI618)),
SUMPRODUCT(INDEX($AL$47:$AN$56,,$AE618), INDEX($AO$47:$AU$56,,$AD618), 1 / ($AW$47:$AW$56*BS618 + (1-$AW$47:$AW$56)*BO618), N($AK$47:$AK$56&gt;$AI618))
) / 1000</f>
        <v>0</v>
      </c>
      <c r="BU618" s="253" cm="1">
        <f t="array" ref="BU618">$BC618 * IF($AD618&lt;=2,
SUMPRODUCT(INDEX($AL$23:$AN$61,,$AE618), INDEX($AO$23:$AU$61,,$AD618), 1 / ($AV$23:$AV$61*BS618), N($AK$23:$AK$61&gt;$AI618)),
SUMPRODUCT(INDEX($AL$23:$AN$46,,$AE618), INDEX($AO$23:$AU$46,,$AD618), 1 / ($AW$23:$AW$46*BS618), N($AK$23:$AK$46&gt;$AI618))
) / 1000</f>
        <v>0</v>
      </c>
      <c r="BV618" s="237">
        <f t="shared" si="614"/>
        <v>0</v>
      </c>
      <c r="BW618" s="210"/>
      <c r="BX618" s="237">
        <f t="shared" si="615"/>
        <v>0</v>
      </c>
      <c r="BY618" s="236">
        <v>35</v>
      </c>
      <c r="BZ618" s="237">
        <f t="shared" si="616"/>
        <v>48</v>
      </c>
      <c r="CA618" s="253">
        <f t="shared" si="617"/>
        <v>3.0748170731707316</v>
      </c>
      <c r="CB618" s="253" cm="1">
        <f t="array" ref="CB618">$BC618 * SUMPRODUCT(INDEX($AL$77:$AN$82,,$AE618),INDEX($AO$77:$AU$82,,$AD618), N($AK$77:$AK$82&gt;$AI618)) / CA618 / 1000</f>
        <v>0</v>
      </c>
      <c r="CC618" s="250">
        <f t="shared" si="634"/>
        <v>30</v>
      </c>
      <c r="CD618" s="237">
        <f t="shared" si="618"/>
        <v>43</v>
      </c>
      <c r="CE618" s="253">
        <f t="shared" si="619"/>
        <v>3.5018750000000001</v>
      </c>
      <c r="CF618" s="253" cm="1">
        <f t="array" ref="CF618">$BC618 * IF($AD618&lt;=2,
SUMPRODUCT(INDEX($AL$72:$AN$76,,$AE618), INDEX($AO$72:$AU$76,,$AD618), 1 / ($AV$72:$AV$76*CE618 + (1-$AV$72:$AV$76)*CA618), N($AK$72:$AK$76&gt;$AI618)),
SUMPRODUCT(INDEX($AL$67:$AN$76,,$AE618), INDEX($AO$67:$AU$76,,$AD618), 1 / ($AW$67:$AW$76*CE618 + (1-$AW$67:$AW$76)*CA618), N($AK$67:$AK$76&gt;$AI618))
) / 1000</f>
        <v>0</v>
      </c>
      <c r="CG618" s="250">
        <f t="shared" si="635"/>
        <v>25</v>
      </c>
      <c r="CH618" s="237">
        <f t="shared" si="620"/>
        <v>38</v>
      </c>
      <c r="CI618" s="253">
        <f t="shared" si="621"/>
        <v>4.0666935483870965</v>
      </c>
      <c r="CJ618" s="253" cm="1">
        <f t="array" ref="CJ618">$BC618 * IF($AD618&lt;=2,
SUMPRODUCT(INDEX($AL$67:$AN$71,,$AE618), INDEX($AO$67:$AU$71,,$AD618), 1 / ($AV$67:$AV$71*CI618 + (1-$AV$67:$AV$71)*CE618), N($AK$67:$AK$71&gt;$AI618)),
SUMPRODUCT(INDEX($AL$57:$AN$66,,$AE618), INDEX($AO$57:$AU$66,,$AD618), 1 / ($AW$57:$AW$66*CI618 + (1-$AW$57:$AW$66)*CE618), N($AK$57:$AK$66&gt;$AI618))
) / 1000</f>
        <v>0</v>
      </c>
      <c r="CK618" s="250">
        <f t="shared" si="636"/>
        <v>20</v>
      </c>
      <c r="CL618" s="237">
        <f t="shared" si="622"/>
        <v>33</v>
      </c>
      <c r="CM618" s="253">
        <f t="shared" si="623"/>
        <v>4.8487499999999999</v>
      </c>
      <c r="CN618" s="253" cm="1">
        <f t="array" ref="CN618">$BC618 * IF($AD618&lt;=2,
SUMPRODUCT(INDEX($AL$62:$AN$66,,$AE618), INDEX($AO$62:$AU$66,,$AD618), 1 / ($AV$62:$AV$66*CM618 + (1-$AV$62:$AV$66)*CI618), N($AK$62:$AK$66&gt;$AI618)),
SUMPRODUCT(INDEX($AL$47:$AN$56,,$AE618), INDEX($AO$47:$AU$56,,$AD618), 1 / ($AW$47:$AW$56*CM618 + (1-$AW$47:$AW$56)*CI618), N($AK$47:$AK$56&gt;$AI618))
) / 1000</f>
        <v>0</v>
      </c>
      <c r="CO618" s="253" cm="1">
        <f t="array" ref="CO618">$BC618 * IF($AD618&lt;=2,
SUMPRODUCT(INDEX($AL$23:$AN$61,,$AE618), INDEX($AO$23:$AU$61,,$AD618), 1 / ($AV$23:$AV$61*CM618), N($AK$23:$AK$61&gt;$AI618)),
SUMPRODUCT(INDEX($AL$23:$AN$46,,$AE618), INDEX($AO$23:$AU$46,,$AD618), 1 / ($AW$23:$AW$46*CM618), N($AK$23:$AK$46&gt;$AI618))
) / 1000</f>
        <v>0</v>
      </c>
      <c r="CP618" s="237">
        <f t="shared" si="624"/>
        <v>0</v>
      </c>
      <c r="CQ618" s="210"/>
    </row>
    <row r="619" spans="1:95" s="76" customFormat="1" ht="14.25" customHeight="1" x14ac:dyDescent="0.2">
      <c r="A619" s="238" t="b">
        <f t="shared" si="628"/>
        <v>0</v>
      </c>
      <c r="B619" s="239">
        <v>597</v>
      </c>
      <c r="C619" s="258"/>
      <c r="D619" s="258"/>
      <c r="E619" s="240"/>
      <c r="F619" s="241" t="str">
        <f>IF(ISBLANK(E619), "", VLOOKUP(E619, Z!$A$2:$C$4127, 3, FALSE))</f>
        <v/>
      </c>
      <c r="G619" s="242"/>
      <c r="H619" s="242"/>
      <c r="I619" s="243"/>
      <c r="J619" s="244"/>
      <c r="K619" s="259"/>
      <c r="L619" s="260"/>
      <c r="M619" s="247" t="str" cm="1">
        <f t="array" ref="M619">IF($K619&gt;0, INDEX(Clean,1+AG619,$C$1), "")</f>
        <v/>
      </c>
      <c r="N619" s="245"/>
      <c r="O619" s="245"/>
      <c r="P619" s="246"/>
      <c r="Q619" s="248">
        <f t="shared" si="601"/>
        <v>0</v>
      </c>
      <c r="R619" s="247" t="str" cm="1">
        <f t="array" ref="R619">IF($K619&gt;0, INDEX(Clean,1+AH619,$C$1), "")</f>
        <v/>
      </c>
      <c r="S619" s="245"/>
      <c r="T619" s="245"/>
      <c r="U619" s="246"/>
      <c r="V619" s="248">
        <f t="shared" si="602"/>
        <v>0</v>
      </c>
      <c r="W619" s="261"/>
      <c r="X619" s="258"/>
      <c r="Y619" s="240"/>
      <c r="Z619" s="241" t="str">
        <f>IF(ISBLANK(Y619), "", VLOOKUP(Y619, Z!$A$2:$C$4127, 3, FALSE))</f>
        <v/>
      </c>
      <c r="AA619" s="262"/>
      <c r="AB619" s="249">
        <f t="shared" si="637"/>
        <v>0</v>
      </c>
      <c r="AC619" s="210"/>
      <c r="AD619" s="236">
        <f t="shared" si="625"/>
        <v>1</v>
      </c>
      <c r="AE619" s="236">
        <f t="shared" si="626"/>
        <v>1</v>
      </c>
      <c r="AF619" s="236">
        <f t="shared" si="627"/>
        <v>0</v>
      </c>
      <c r="AG619" s="236">
        <v>1</v>
      </c>
      <c r="AH619" s="236">
        <v>0</v>
      </c>
      <c r="AI619" s="236">
        <f t="shared" si="603"/>
        <v>-100</v>
      </c>
      <c r="AJ619" s="210"/>
      <c r="AK619" s="254"/>
      <c r="AL619" s="254"/>
      <c r="AM619" s="255"/>
      <c r="AN619" s="255"/>
      <c r="AO619" s="255"/>
      <c r="AP619" s="255"/>
      <c r="AQ619" s="255"/>
      <c r="AR619" s="255"/>
      <c r="AS619" s="255"/>
      <c r="AT619" s="255"/>
      <c r="AU619" s="255"/>
      <c r="AV619" s="255"/>
      <c r="AW619" s="255"/>
      <c r="AX619" s="210"/>
      <c r="AY619" s="236" cm="1">
        <f t="array" ref="AY619">INDEX(Use, $AD619, 4)</f>
        <v>7</v>
      </c>
      <c r="AZ619" s="236">
        <f t="shared" si="604"/>
        <v>32</v>
      </c>
      <c r="BA619" s="236">
        <f t="shared" si="629"/>
        <v>13</v>
      </c>
      <c r="BB619" s="236">
        <f t="shared" si="630"/>
        <v>0</v>
      </c>
      <c r="BC619" s="252" cm="1">
        <f t="array" ref="BC619">K619/IF($L619&gt;0, INDEX($AO$23:$AU$77, $L619+20, $AD619), 1)</f>
        <v>0</v>
      </c>
      <c r="BD619" s="237">
        <f t="shared" si="605"/>
        <v>0</v>
      </c>
      <c r="BE619" s="236">
        <v>35</v>
      </c>
      <c r="BF619" s="237">
        <f t="shared" si="606"/>
        <v>52.55</v>
      </c>
      <c r="BG619" s="253">
        <f t="shared" si="607"/>
        <v>2.7676728869374316</v>
      </c>
      <c r="BH619" s="253" cm="1">
        <f t="array" ref="BH619">$BC619 * SUMPRODUCT(INDEX($AL$77:$AN$82,,$AE619),INDEX($AO$77:$AU$82,,$AD619), N($AK$77:$AK$82&gt;$AI619)) / BG619 / 1000</f>
        <v>0</v>
      </c>
      <c r="BI619" s="250">
        <f t="shared" si="631"/>
        <v>30</v>
      </c>
      <c r="BJ619" s="237">
        <f t="shared" si="608"/>
        <v>46.033333333333331</v>
      </c>
      <c r="BK619" s="253">
        <f t="shared" si="609"/>
        <v>3.2297395388556791</v>
      </c>
      <c r="BL619" s="253" cm="1">
        <f t="array" ref="BL619">$BC619 * IF($AD619&lt;=2,
SUMPRODUCT(INDEX($AL$72:$AN$76,,$AE619), INDEX($AO$72:$AU$76,,$AD619), 1 / ($AV$72:$AV$76*BK619 + (1-$AV$72:$AV$76)*BG619), N($AK$72:$AK$76&gt;$AI619)),
SUMPRODUCT(INDEX($AL$67:$AN$76,,$AE619), INDEX($AO$67:$AU$76,,$AD619), 1 / ($AW$67:$AW$76*BK619 + (1-$AW$67:$AW$76)*BG619), N($AK$67:$AK$76&gt;$AI619))
) / 1000</f>
        <v>0</v>
      </c>
      <c r="BM619" s="250">
        <f t="shared" si="632"/>
        <v>25</v>
      </c>
      <c r="BN619" s="237">
        <f t="shared" si="610"/>
        <v>39.516666666666666</v>
      </c>
      <c r="BO619" s="253">
        <f t="shared" si="611"/>
        <v>3.877011788826243</v>
      </c>
      <c r="BP619" s="253" cm="1">
        <f t="array" ref="BP619">$BC619 * IF($AD619&lt;=2,
SUMPRODUCT(INDEX($AL$67:$AN$71,,$AE619), INDEX($AO$67:$AU$71,,$AD619), 1 / ($AV$67:$AV$71*BO619 + (1-$AV$67:$AV$71)*BK619), N($AK$67:$AK$71&gt;$AI619)),
SUMPRODUCT(INDEX($AL$57:$AN$66,,$AE619), INDEX($AO$57:$AU$66,,$AD619), 1 / ($AW$57:$AW$66*BO619 + (1-$AW$57:$AW$66)*BK619), N($AK$57:$AK$66&gt;$AI619))
) / 1000</f>
        <v>0</v>
      </c>
      <c r="BQ619" s="250">
        <f t="shared" si="633"/>
        <v>20</v>
      </c>
      <c r="BR619" s="237">
        <f t="shared" si="612"/>
        <v>33</v>
      </c>
      <c r="BS619" s="253">
        <f t="shared" si="613"/>
        <v>4.8487499999999999</v>
      </c>
      <c r="BT619" s="253" cm="1">
        <f t="array" ref="BT619">$BC619 * IF($AD619&lt;=2,
SUMPRODUCT(INDEX($AL$62:$AN$66,,$AE619), INDEX($AO$62:$AU$66,,$AD619), 1 / ($AV$62:$AV$66*BS619 + (1-$AV$62:$AV$66)*BO619), N($AK$62:$AK$66&gt;$AI619)),
SUMPRODUCT(INDEX($AL$47:$AN$56,,$AE619), INDEX($AO$47:$AU$56,,$AD619), 1 / ($AW$47:$AW$56*BS619 + (1-$AW$47:$AW$56)*BO619), N($AK$47:$AK$56&gt;$AI619))
) / 1000</f>
        <v>0</v>
      </c>
      <c r="BU619" s="253" cm="1">
        <f t="array" ref="BU619">$BC619 * IF($AD619&lt;=2,
SUMPRODUCT(INDEX($AL$23:$AN$61,,$AE619), INDEX($AO$23:$AU$61,,$AD619), 1 / ($AV$23:$AV$61*BS619), N($AK$23:$AK$61&gt;$AI619)),
SUMPRODUCT(INDEX($AL$23:$AN$46,,$AE619), INDEX($AO$23:$AU$46,,$AD619), 1 / ($AW$23:$AW$46*BS619), N($AK$23:$AK$46&gt;$AI619))
) / 1000</f>
        <v>0</v>
      </c>
      <c r="BV619" s="237">
        <f t="shared" si="614"/>
        <v>0</v>
      </c>
      <c r="BW619" s="210"/>
      <c r="BX619" s="237">
        <f t="shared" si="615"/>
        <v>0</v>
      </c>
      <c r="BY619" s="236">
        <v>35</v>
      </c>
      <c r="BZ619" s="237">
        <f t="shared" si="616"/>
        <v>48</v>
      </c>
      <c r="CA619" s="253">
        <f t="shared" si="617"/>
        <v>3.0748170731707316</v>
      </c>
      <c r="CB619" s="253" cm="1">
        <f t="array" ref="CB619">$BC619 * SUMPRODUCT(INDEX($AL$77:$AN$82,,$AE619),INDEX($AO$77:$AU$82,,$AD619), N($AK$77:$AK$82&gt;$AI619)) / CA619 / 1000</f>
        <v>0</v>
      </c>
      <c r="CC619" s="250">
        <f t="shared" si="634"/>
        <v>30</v>
      </c>
      <c r="CD619" s="237">
        <f t="shared" si="618"/>
        <v>43</v>
      </c>
      <c r="CE619" s="253">
        <f t="shared" si="619"/>
        <v>3.5018750000000001</v>
      </c>
      <c r="CF619" s="253" cm="1">
        <f t="array" ref="CF619">$BC619 * IF($AD619&lt;=2,
SUMPRODUCT(INDEX($AL$72:$AN$76,,$AE619), INDEX($AO$72:$AU$76,,$AD619), 1 / ($AV$72:$AV$76*CE619 + (1-$AV$72:$AV$76)*CA619), N($AK$72:$AK$76&gt;$AI619)),
SUMPRODUCT(INDEX($AL$67:$AN$76,,$AE619), INDEX($AO$67:$AU$76,,$AD619), 1 / ($AW$67:$AW$76*CE619 + (1-$AW$67:$AW$76)*CA619), N($AK$67:$AK$76&gt;$AI619))
) / 1000</f>
        <v>0</v>
      </c>
      <c r="CG619" s="250">
        <f t="shared" si="635"/>
        <v>25</v>
      </c>
      <c r="CH619" s="237">
        <f t="shared" si="620"/>
        <v>38</v>
      </c>
      <c r="CI619" s="253">
        <f t="shared" si="621"/>
        <v>4.0666935483870965</v>
      </c>
      <c r="CJ619" s="253" cm="1">
        <f t="array" ref="CJ619">$BC619 * IF($AD619&lt;=2,
SUMPRODUCT(INDEX($AL$67:$AN$71,,$AE619), INDEX($AO$67:$AU$71,,$AD619), 1 / ($AV$67:$AV$71*CI619 + (1-$AV$67:$AV$71)*CE619), N($AK$67:$AK$71&gt;$AI619)),
SUMPRODUCT(INDEX($AL$57:$AN$66,,$AE619), INDEX($AO$57:$AU$66,,$AD619), 1 / ($AW$57:$AW$66*CI619 + (1-$AW$57:$AW$66)*CE619), N($AK$57:$AK$66&gt;$AI619))
) / 1000</f>
        <v>0</v>
      </c>
      <c r="CK619" s="250">
        <f t="shared" si="636"/>
        <v>20</v>
      </c>
      <c r="CL619" s="237">
        <f t="shared" si="622"/>
        <v>33</v>
      </c>
      <c r="CM619" s="253">
        <f t="shared" si="623"/>
        <v>4.8487499999999999</v>
      </c>
      <c r="CN619" s="253" cm="1">
        <f t="array" ref="CN619">$BC619 * IF($AD619&lt;=2,
SUMPRODUCT(INDEX($AL$62:$AN$66,,$AE619), INDEX($AO$62:$AU$66,,$AD619), 1 / ($AV$62:$AV$66*CM619 + (1-$AV$62:$AV$66)*CI619), N($AK$62:$AK$66&gt;$AI619)),
SUMPRODUCT(INDEX($AL$47:$AN$56,,$AE619), INDEX($AO$47:$AU$56,,$AD619), 1 / ($AW$47:$AW$56*CM619 + (1-$AW$47:$AW$56)*CI619), N($AK$47:$AK$56&gt;$AI619))
) / 1000</f>
        <v>0</v>
      </c>
      <c r="CO619" s="253" cm="1">
        <f t="array" ref="CO619">$BC619 * IF($AD619&lt;=2,
SUMPRODUCT(INDEX($AL$23:$AN$61,,$AE619), INDEX($AO$23:$AU$61,,$AD619), 1 / ($AV$23:$AV$61*CM619), N($AK$23:$AK$61&gt;$AI619)),
SUMPRODUCT(INDEX($AL$23:$AN$46,,$AE619), INDEX($AO$23:$AU$46,,$AD619), 1 / ($AW$23:$AW$46*CM619), N($AK$23:$AK$46&gt;$AI619))
) / 1000</f>
        <v>0</v>
      </c>
      <c r="CP619" s="237">
        <f t="shared" si="624"/>
        <v>0</v>
      </c>
      <c r="CQ619" s="210"/>
    </row>
    <row r="620" spans="1:95" s="76" customFormat="1" ht="14.25" customHeight="1" x14ac:dyDescent="0.2">
      <c r="A620" s="238" t="b">
        <f t="shared" si="628"/>
        <v>0</v>
      </c>
      <c r="B620" s="239">
        <v>598</v>
      </c>
      <c r="C620" s="258"/>
      <c r="D620" s="258"/>
      <c r="E620" s="240"/>
      <c r="F620" s="241" t="str">
        <f>IF(ISBLANK(E620), "", VLOOKUP(E620, Z!$A$2:$C$4127, 3, FALSE))</f>
        <v/>
      </c>
      <c r="G620" s="242"/>
      <c r="H620" s="242"/>
      <c r="I620" s="243"/>
      <c r="J620" s="244"/>
      <c r="K620" s="259"/>
      <c r="L620" s="260"/>
      <c r="M620" s="247" t="str" cm="1">
        <f t="array" ref="M620">IF($K620&gt;0, INDEX(Clean,1+AG620,$C$1), "")</f>
        <v/>
      </c>
      <c r="N620" s="245"/>
      <c r="O620" s="245"/>
      <c r="P620" s="246"/>
      <c r="Q620" s="248">
        <f t="shared" si="601"/>
        <v>0</v>
      </c>
      <c r="R620" s="247" t="str" cm="1">
        <f t="array" ref="R620">IF($K620&gt;0, INDEX(Clean,1+AH620,$C$1), "")</f>
        <v/>
      </c>
      <c r="S620" s="245"/>
      <c r="T620" s="245"/>
      <c r="U620" s="246"/>
      <c r="V620" s="248">
        <f t="shared" si="602"/>
        <v>0</v>
      </c>
      <c r="W620" s="261"/>
      <c r="X620" s="258"/>
      <c r="Y620" s="240"/>
      <c r="Z620" s="241" t="str">
        <f>IF(ISBLANK(Y620), "", VLOOKUP(Y620, Z!$A$2:$C$4127, 3, FALSE))</f>
        <v/>
      </c>
      <c r="AA620" s="262"/>
      <c r="AB620" s="249">
        <f t="shared" si="637"/>
        <v>0</v>
      </c>
      <c r="AC620" s="210"/>
      <c r="AD620" s="236">
        <f t="shared" si="625"/>
        <v>1</v>
      </c>
      <c r="AE620" s="236">
        <f t="shared" si="626"/>
        <v>1</v>
      </c>
      <c r="AF620" s="236">
        <f t="shared" si="627"/>
        <v>0</v>
      </c>
      <c r="AG620" s="236">
        <v>1</v>
      </c>
      <c r="AH620" s="236">
        <v>0</v>
      </c>
      <c r="AI620" s="236">
        <f t="shared" si="603"/>
        <v>-100</v>
      </c>
      <c r="AJ620" s="210"/>
      <c r="AK620" s="254"/>
      <c r="AL620" s="254"/>
      <c r="AM620" s="255"/>
      <c r="AN620" s="255"/>
      <c r="AO620" s="255"/>
      <c r="AP620" s="255"/>
      <c r="AQ620" s="255"/>
      <c r="AR620" s="255"/>
      <c r="AS620" s="255"/>
      <c r="AT620" s="255"/>
      <c r="AU620" s="255"/>
      <c r="AV620" s="255"/>
      <c r="AW620" s="255"/>
      <c r="AX620" s="210"/>
      <c r="AY620" s="236" cm="1">
        <f t="array" ref="AY620">INDEX(Use, $AD620, 4)</f>
        <v>7</v>
      </c>
      <c r="AZ620" s="236">
        <f t="shared" si="604"/>
        <v>32</v>
      </c>
      <c r="BA620" s="236">
        <f t="shared" si="629"/>
        <v>13</v>
      </c>
      <c r="BB620" s="236">
        <f t="shared" si="630"/>
        <v>0</v>
      </c>
      <c r="BC620" s="252" cm="1">
        <f t="array" ref="BC620">K620/IF($L620&gt;0, INDEX($AO$23:$AU$77, $L620+20, $AD620), 1)</f>
        <v>0</v>
      </c>
      <c r="BD620" s="237">
        <f t="shared" si="605"/>
        <v>0</v>
      </c>
      <c r="BE620" s="236">
        <v>35</v>
      </c>
      <c r="BF620" s="237">
        <f t="shared" si="606"/>
        <v>52.55</v>
      </c>
      <c r="BG620" s="253">
        <f t="shared" si="607"/>
        <v>2.7676728869374316</v>
      </c>
      <c r="BH620" s="253" cm="1">
        <f t="array" ref="BH620">$BC620 * SUMPRODUCT(INDEX($AL$77:$AN$82,,$AE620),INDEX($AO$77:$AU$82,,$AD620), N($AK$77:$AK$82&gt;$AI620)) / BG620 / 1000</f>
        <v>0</v>
      </c>
      <c r="BI620" s="250">
        <f t="shared" si="631"/>
        <v>30</v>
      </c>
      <c r="BJ620" s="237">
        <f t="shared" si="608"/>
        <v>46.033333333333331</v>
      </c>
      <c r="BK620" s="253">
        <f t="shared" si="609"/>
        <v>3.2297395388556791</v>
      </c>
      <c r="BL620" s="253" cm="1">
        <f t="array" ref="BL620">$BC620 * IF($AD620&lt;=2,
SUMPRODUCT(INDEX($AL$72:$AN$76,,$AE620), INDEX($AO$72:$AU$76,,$AD620), 1 / ($AV$72:$AV$76*BK620 + (1-$AV$72:$AV$76)*BG620), N($AK$72:$AK$76&gt;$AI620)),
SUMPRODUCT(INDEX($AL$67:$AN$76,,$AE620), INDEX($AO$67:$AU$76,,$AD620), 1 / ($AW$67:$AW$76*BK620 + (1-$AW$67:$AW$76)*BG620), N($AK$67:$AK$76&gt;$AI620))
) / 1000</f>
        <v>0</v>
      </c>
      <c r="BM620" s="250">
        <f t="shared" si="632"/>
        <v>25</v>
      </c>
      <c r="BN620" s="237">
        <f t="shared" si="610"/>
        <v>39.516666666666666</v>
      </c>
      <c r="BO620" s="253">
        <f t="shared" si="611"/>
        <v>3.877011788826243</v>
      </c>
      <c r="BP620" s="253" cm="1">
        <f t="array" ref="BP620">$BC620 * IF($AD620&lt;=2,
SUMPRODUCT(INDEX($AL$67:$AN$71,,$AE620), INDEX($AO$67:$AU$71,,$AD620), 1 / ($AV$67:$AV$71*BO620 + (1-$AV$67:$AV$71)*BK620), N($AK$67:$AK$71&gt;$AI620)),
SUMPRODUCT(INDEX($AL$57:$AN$66,,$AE620), INDEX($AO$57:$AU$66,,$AD620), 1 / ($AW$57:$AW$66*BO620 + (1-$AW$57:$AW$66)*BK620), N($AK$57:$AK$66&gt;$AI620))
) / 1000</f>
        <v>0</v>
      </c>
      <c r="BQ620" s="250">
        <f t="shared" si="633"/>
        <v>20</v>
      </c>
      <c r="BR620" s="237">
        <f t="shared" si="612"/>
        <v>33</v>
      </c>
      <c r="BS620" s="253">
        <f t="shared" si="613"/>
        <v>4.8487499999999999</v>
      </c>
      <c r="BT620" s="253" cm="1">
        <f t="array" ref="BT620">$BC620 * IF($AD620&lt;=2,
SUMPRODUCT(INDEX($AL$62:$AN$66,,$AE620), INDEX($AO$62:$AU$66,,$AD620), 1 / ($AV$62:$AV$66*BS620 + (1-$AV$62:$AV$66)*BO620), N($AK$62:$AK$66&gt;$AI620)),
SUMPRODUCT(INDEX($AL$47:$AN$56,,$AE620), INDEX($AO$47:$AU$56,,$AD620), 1 / ($AW$47:$AW$56*BS620 + (1-$AW$47:$AW$56)*BO620), N($AK$47:$AK$56&gt;$AI620))
) / 1000</f>
        <v>0</v>
      </c>
      <c r="BU620" s="253" cm="1">
        <f t="array" ref="BU620">$BC620 * IF($AD620&lt;=2,
SUMPRODUCT(INDEX($AL$23:$AN$61,,$AE620), INDEX($AO$23:$AU$61,,$AD620), 1 / ($AV$23:$AV$61*BS620), N($AK$23:$AK$61&gt;$AI620)),
SUMPRODUCT(INDEX($AL$23:$AN$46,,$AE620), INDEX($AO$23:$AU$46,,$AD620), 1 / ($AW$23:$AW$46*BS620), N($AK$23:$AK$46&gt;$AI620))
) / 1000</f>
        <v>0</v>
      </c>
      <c r="BV620" s="237">
        <f t="shared" si="614"/>
        <v>0</v>
      </c>
      <c r="BW620" s="210"/>
      <c r="BX620" s="237">
        <f t="shared" si="615"/>
        <v>0</v>
      </c>
      <c r="BY620" s="236">
        <v>35</v>
      </c>
      <c r="BZ620" s="237">
        <f t="shared" si="616"/>
        <v>48</v>
      </c>
      <c r="CA620" s="253">
        <f t="shared" si="617"/>
        <v>3.0748170731707316</v>
      </c>
      <c r="CB620" s="253" cm="1">
        <f t="array" ref="CB620">$BC620 * SUMPRODUCT(INDEX($AL$77:$AN$82,,$AE620),INDEX($AO$77:$AU$82,,$AD620), N($AK$77:$AK$82&gt;$AI620)) / CA620 / 1000</f>
        <v>0</v>
      </c>
      <c r="CC620" s="250">
        <f t="shared" si="634"/>
        <v>30</v>
      </c>
      <c r="CD620" s="237">
        <f t="shared" si="618"/>
        <v>43</v>
      </c>
      <c r="CE620" s="253">
        <f t="shared" si="619"/>
        <v>3.5018750000000001</v>
      </c>
      <c r="CF620" s="253" cm="1">
        <f t="array" ref="CF620">$BC620 * IF($AD620&lt;=2,
SUMPRODUCT(INDEX($AL$72:$AN$76,,$AE620), INDEX($AO$72:$AU$76,,$AD620), 1 / ($AV$72:$AV$76*CE620 + (1-$AV$72:$AV$76)*CA620), N($AK$72:$AK$76&gt;$AI620)),
SUMPRODUCT(INDEX($AL$67:$AN$76,,$AE620), INDEX($AO$67:$AU$76,,$AD620), 1 / ($AW$67:$AW$76*CE620 + (1-$AW$67:$AW$76)*CA620), N($AK$67:$AK$76&gt;$AI620))
) / 1000</f>
        <v>0</v>
      </c>
      <c r="CG620" s="250">
        <f t="shared" si="635"/>
        <v>25</v>
      </c>
      <c r="CH620" s="237">
        <f t="shared" si="620"/>
        <v>38</v>
      </c>
      <c r="CI620" s="253">
        <f t="shared" si="621"/>
        <v>4.0666935483870965</v>
      </c>
      <c r="CJ620" s="253" cm="1">
        <f t="array" ref="CJ620">$BC620 * IF($AD620&lt;=2,
SUMPRODUCT(INDEX($AL$67:$AN$71,,$AE620), INDEX($AO$67:$AU$71,,$AD620), 1 / ($AV$67:$AV$71*CI620 + (1-$AV$67:$AV$71)*CE620), N($AK$67:$AK$71&gt;$AI620)),
SUMPRODUCT(INDEX($AL$57:$AN$66,,$AE620), INDEX($AO$57:$AU$66,,$AD620), 1 / ($AW$57:$AW$66*CI620 + (1-$AW$57:$AW$66)*CE620), N($AK$57:$AK$66&gt;$AI620))
) / 1000</f>
        <v>0</v>
      </c>
      <c r="CK620" s="250">
        <f t="shared" si="636"/>
        <v>20</v>
      </c>
      <c r="CL620" s="237">
        <f t="shared" si="622"/>
        <v>33</v>
      </c>
      <c r="CM620" s="253">
        <f t="shared" si="623"/>
        <v>4.8487499999999999</v>
      </c>
      <c r="CN620" s="253" cm="1">
        <f t="array" ref="CN620">$BC620 * IF($AD620&lt;=2,
SUMPRODUCT(INDEX($AL$62:$AN$66,,$AE620), INDEX($AO$62:$AU$66,,$AD620), 1 / ($AV$62:$AV$66*CM620 + (1-$AV$62:$AV$66)*CI620), N($AK$62:$AK$66&gt;$AI620)),
SUMPRODUCT(INDEX($AL$47:$AN$56,,$AE620), INDEX($AO$47:$AU$56,,$AD620), 1 / ($AW$47:$AW$56*CM620 + (1-$AW$47:$AW$56)*CI620), N($AK$47:$AK$56&gt;$AI620))
) / 1000</f>
        <v>0</v>
      </c>
      <c r="CO620" s="253" cm="1">
        <f t="array" ref="CO620">$BC620 * IF($AD620&lt;=2,
SUMPRODUCT(INDEX($AL$23:$AN$61,,$AE620), INDEX($AO$23:$AU$61,,$AD620), 1 / ($AV$23:$AV$61*CM620), N($AK$23:$AK$61&gt;$AI620)),
SUMPRODUCT(INDEX($AL$23:$AN$46,,$AE620), INDEX($AO$23:$AU$46,,$AD620), 1 / ($AW$23:$AW$46*CM620), N($AK$23:$AK$46&gt;$AI620))
) / 1000</f>
        <v>0</v>
      </c>
      <c r="CP620" s="237">
        <f t="shared" si="624"/>
        <v>0</v>
      </c>
      <c r="CQ620" s="210"/>
    </row>
    <row r="621" spans="1:95" s="76" customFormat="1" ht="14.25" customHeight="1" x14ac:dyDescent="0.2">
      <c r="A621" s="238" t="b">
        <f t="shared" si="628"/>
        <v>0</v>
      </c>
      <c r="B621" s="239">
        <v>599</v>
      </c>
      <c r="C621" s="258"/>
      <c r="D621" s="258"/>
      <c r="E621" s="240"/>
      <c r="F621" s="241" t="str">
        <f>IF(ISBLANK(E621), "", VLOOKUP(E621, Z!$A$2:$C$4127, 3, FALSE))</f>
        <v/>
      </c>
      <c r="G621" s="242"/>
      <c r="H621" s="242"/>
      <c r="I621" s="243"/>
      <c r="J621" s="244"/>
      <c r="K621" s="259"/>
      <c r="L621" s="260"/>
      <c r="M621" s="247" t="str" cm="1">
        <f t="array" ref="M621">IF($K621&gt;0, INDEX(Clean,1+AG621,$C$1), "")</f>
        <v/>
      </c>
      <c r="N621" s="245"/>
      <c r="O621" s="245"/>
      <c r="P621" s="246"/>
      <c r="Q621" s="248">
        <f t="shared" si="601"/>
        <v>0</v>
      </c>
      <c r="R621" s="247" t="str" cm="1">
        <f t="array" ref="R621">IF($K621&gt;0, INDEX(Clean,1+AH621,$C$1), "")</f>
        <v/>
      </c>
      <c r="S621" s="245"/>
      <c r="T621" s="245"/>
      <c r="U621" s="246"/>
      <c r="V621" s="248">
        <f t="shared" si="602"/>
        <v>0</v>
      </c>
      <c r="W621" s="261"/>
      <c r="X621" s="258"/>
      <c r="Y621" s="240"/>
      <c r="Z621" s="241" t="str">
        <f>IF(ISBLANK(Y621), "", VLOOKUP(Y621, Z!$A$2:$C$4127, 3, FALSE))</f>
        <v/>
      </c>
      <c r="AA621" s="262"/>
      <c r="AB621" s="249">
        <f t="shared" si="637"/>
        <v>0</v>
      </c>
      <c r="AC621" s="210"/>
      <c r="AD621" s="236">
        <f t="shared" si="625"/>
        <v>1</v>
      </c>
      <c r="AE621" s="236">
        <f t="shared" si="626"/>
        <v>1</v>
      </c>
      <c r="AF621" s="236">
        <f t="shared" si="627"/>
        <v>0</v>
      </c>
      <c r="AG621" s="236">
        <v>1</v>
      </c>
      <c r="AH621" s="236">
        <v>0</v>
      </c>
      <c r="AI621" s="236">
        <f t="shared" si="603"/>
        <v>-100</v>
      </c>
      <c r="AJ621" s="210"/>
      <c r="AK621" s="254"/>
      <c r="AL621" s="254"/>
      <c r="AM621" s="255"/>
      <c r="AN621" s="255"/>
      <c r="AO621" s="255"/>
      <c r="AP621" s="255"/>
      <c r="AQ621" s="255"/>
      <c r="AR621" s="255"/>
      <c r="AS621" s="255"/>
      <c r="AT621" s="255"/>
      <c r="AU621" s="255"/>
      <c r="AV621" s="255"/>
      <c r="AW621" s="255"/>
      <c r="AX621" s="210"/>
      <c r="AY621" s="236" cm="1">
        <f t="array" ref="AY621">INDEX(Use, $AD621, 4)</f>
        <v>7</v>
      </c>
      <c r="AZ621" s="236">
        <f t="shared" si="604"/>
        <v>32</v>
      </c>
      <c r="BA621" s="236">
        <f t="shared" si="629"/>
        <v>13</v>
      </c>
      <c r="BB621" s="236">
        <f t="shared" si="630"/>
        <v>0</v>
      </c>
      <c r="BC621" s="252" cm="1">
        <f t="array" ref="BC621">K621/IF($L621&gt;0, INDEX($AO$23:$AU$77, $L621+20, $AD621), 1)</f>
        <v>0</v>
      </c>
      <c r="BD621" s="237">
        <f t="shared" si="605"/>
        <v>0</v>
      </c>
      <c r="BE621" s="236">
        <v>35</v>
      </c>
      <c r="BF621" s="237">
        <f t="shared" si="606"/>
        <v>52.55</v>
      </c>
      <c r="BG621" s="253">
        <f t="shared" si="607"/>
        <v>2.7676728869374316</v>
      </c>
      <c r="BH621" s="253" cm="1">
        <f t="array" ref="BH621">$BC621 * SUMPRODUCT(INDEX($AL$77:$AN$82,,$AE621),INDEX($AO$77:$AU$82,,$AD621), N($AK$77:$AK$82&gt;$AI621)) / BG621 / 1000</f>
        <v>0</v>
      </c>
      <c r="BI621" s="250">
        <f t="shared" si="631"/>
        <v>30</v>
      </c>
      <c r="BJ621" s="237">
        <f t="shared" si="608"/>
        <v>46.033333333333331</v>
      </c>
      <c r="BK621" s="253">
        <f t="shared" si="609"/>
        <v>3.2297395388556791</v>
      </c>
      <c r="BL621" s="253" cm="1">
        <f t="array" ref="BL621">$BC621 * IF($AD621&lt;=2,
SUMPRODUCT(INDEX($AL$72:$AN$76,,$AE621), INDEX($AO$72:$AU$76,,$AD621), 1 / ($AV$72:$AV$76*BK621 + (1-$AV$72:$AV$76)*BG621), N($AK$72:$AK$76&gt;$AI621)),
SUMPRODUCT(INDEX($AL$67:$AN$76,,$AE621), INDEX($AO$67:$AU$76,,$AD621), 1 / ($AW$67:$AW$76*BK621 + (1-$AW$67:$AW$76)*BG621), N($AK$67:$AK$76&gt;$AI621))
) / 1000</f>
        <v>0</v>
      </c>
      <c r="BM621" s="250">
        <f t="shared" si="632"/>
        <v>25</v>
      </c>
      <c r="BN621" s="237">
        <f t="shared" si="610"/>
        <v>39.516666666666666</v>
      </c>
      <c r="BO621" s="253">
        <f t="shared" si="611"/>
        <v>3.877011788826243</v>
      </c>
      <c r="BP621" s="253" cm="1">
        <f t="array" ref="BP621">$BC621 * IF($AD621&lt;=2,
SUMPRODUCT(INDEX($AL$67:$AN$71,,$AE621), INDEX($AO$67:$AU$71,,$AD621), 1 / ($AV$67:$AV$71*BO621 + (1-$AV$67:$AV$71)*BK621), N($AK$67:$AK$71&gt;$AI621)),
SUMPRODUCT(INDEX($AL$57:$AN$66,,$AE621), INDEX($AO$57:$AU$66,,$AD621), 1 / ($AW$57:$AW$66*BO621 + (1-$AW$57:$AW$66)*BK621), N($AK$57:$AK$66&gt;$AI621))
) / 1000</f>
        <v>0</v>
      </c>
      <c r="BQ621" s="250">
        <f t="shared" si="633"/>
        <v>20</v>
      </c>
      <c r="BR621" s="237">
        <f t="shared" si="612"/>
        <v>33</v>
      </c>
      <c r="BS621" s="253">
        <f t="shared" si="613"/>
        <v>4.8487499999999999</v>
      </c>
      <c r="BT621" s="253" cm="1">
        <f t="array" ref="BT621">$BC621 * IF($AD621&lt;=2,
SUMPRODUCT(INDEX($AL$62:$AN$66,,$AE621), INDEX($AO$62:$AU$66,,$AD621), 1 / ($AV$62:$AV$66*BS621 + (1-$AV$62:$AV$66)*BO621), N($AK$62:$AK$66&gt;$AI621)),
SUMPRODUCT(INDEX($AL$47:$AN$56,,$AE621), INDEX($AO$47:$AU$56,,$AD621), 1 / ($AW$47:$AW$56*BS621 + (1-$AW$47:$AW$56)*BO621), N($AK$47:$AK$56&gt;$AI621))
) / 1000</f>
        <v>0</v>
      </c>
      <c r="BU621" s="253" cm="1">
        <f t="array" ref="BU621">$BC621 * IF($AD621&lt;=2,
SUMPRODUCT(INDEX($AL$23:$AN$61,,$AE621), INDEX($AO$23:$AU$61,,$AD621), 1 / ($AV$23:$AV$61*BS621), N($AK$23:$AK$61&gt;$AI621)),
SUMPRODUCT(INDEX($AL$23:$AN$46,,$AE621), INDEX($AO$23:$AU$46,,$AD621), 1 / ($AW$23:$AW$46*BS621), N($AK$23:$AK$46&gt;$AI621))
) / 1000</f>
        <v>0</v>
      </c>
      <c r="BV621" s="237">
        <f t="shared" si="614"/>
        <v>0</v>
      </c>
      <c r="BW621" s="210"/>
      <c r="BX621" s="237">
        <f t="shared" si="615"/>
        <v>0</v>
      </c>
      <c r="BY621" s="236">
        <v>35</v>
      </c>
      <c r="BZ621" s="237">
        <f t="shared" si="616"/>
        <v>48</v>
      </c>
      <c r="CA621" s="253">
        <f t="shared" si="617"/>
        <v>3.0748170731707316</v>
      </c>
      <c r="CB621" s="253" cm="1">
        <f t="array" ref="CB621">$BC621 * SUMPRODUCT(INDEX($AL$77:$AN$82,,$AE621),INDEX($AO$77:$AU$82,,$AD621), N($AK$77:$AK$82&gt;$AI621)) / CA621 / 1000</f>
        <v>0</v>
      </c>
      <c r="CC621" s="250">
        <f t="shared" si="634"/>
        <v>30</v>
      </c>
      <c r="CD621" s="237">
        <f t="shared" si="618"/>
        <v>43</v>
      </c>
      <c r="CE621" s="253">
        <f t="shared" si="619"/>
        <v>3.5018750000000001</v>
      </c>
      <c r="CF621" s="253" cm="1">
        <f t="array" ref="CF621">$BC621 * IF($AD621&lt;=2,
SUMPRODUCT(INDEX($AL$72:$AN$76,,$AE621), INDEX($AO$72:$AU$76,,$AD621), 1 / ($AV$72:$AV$76*CE621 + (1-$AV$72:$AV$76)*CA621), N($AK$72:$AK$76&gt;$AI621)),
SUMPRODUCT(INDEX($AL$67:$AN$76,,$AE621), INDEX($AO$67:$AU$76,,$AD621), 1 / ($AW$67:$AW$76*CE621 + (1-$AW$67:$AW$76)*CA621), N($AK$67:$AK$76&gt;$AI621))
) / 1000</f>
        <v>0</v>
      </c>
      <c r="CG621" s="250">
        <f t="shared" si="635"/>
        <v>25</v>
      </c>
      <c r="CH621" s="237">
        <f t="shared" si="620"/>
        <v>38</v>
      </c>
      <c r="CI621" s="253">
        <f t="shared" si="621"/>
        <v>4.0666935483870965</v>
      </c>
      <c r="CJ621" s="253" cm="1">
        <f t="array" ref="CJ621">$BC621 * IF($AD621&lt;=2,
SUMPRODUCT(INDEX($AL$67:$AN$71,,$AE621), INDEX($AO$67:$AU$71,,$AD621), 1 / ($AV$67:$AV$71*CI621 + (1-$AV$67:$AV$71)*CE621), N($AK$67:$AK$71&gt;$AI621)),
SUMPRODUCT(INDEX($AL$57:$AN$66,,$AE621), INDEX($AO$57:$AU$66,,$AD621), 1 / ($AW$57:$AW$66*CI621 + (1-$AW$57:$AW$66)*CE621), N($AK$57:$AK$66&gt;$AI621))
) / 1000</f>
        <v>0</v>
      </c>
      <c r="CK621" s="250">
        <f t="shared" si="636"/>
        <v>20</v>
      </c>
      <c r="CL621" s="237">
        <f t="shared" si="622"/>
        <v>33</v>
      </c>
      <c r="CM621" s="253">
        <f t="shared" si="623"/>
        <v>4.8487499999999999</v>
      </c>
      <c r="CN621" s="253" cm="1">
        <f t="array" ref="CN621">$BC621 * IF($AD621&lt;=2,
SUMPRODUCT(INDEX($AL$62:$AN$66,,$AE621), INDEX($AO$62:$AU$66,,$AD621), 1 / ($AV$62:$AV$66*CM621 + (1-$AV$62:$AV$66)*CI621), N($AK$62:$AK$66&gt;$AI621)),
SUMPRODUCT(INDEX($AL$47:$AN$56,,$AE621), INDEX($AO$47:$AU$56,,$AD621), 1 / ($AW$47:$AW$56*CM621 + (1-$AW$47:$AW$56)*CI621), N($AK$47:$AK$56&gt;$AI621))
) / 1000</f>
        <v>0</v>
      </c>
      <c r="CO621" s="253" cm="1">
        <f t="array" ref="CO621">$BC621 * IF($AD621&lt;=2,
SUMPRODUCT(INDEX($AL$23:$AN$61,,$AE621), INDEX($AO$23:$AU$61,,$AD621), 1 / ($AV$23:$AV$61*CM621), N($AK$23:$AK$61&gt;$AI621)),
SUMPRODUCT(INDEX($AL$23:$AN$46,,$AE621), INDEX($AO$23:$AU$46,,$AD621), 1 / ($AW$23:$AW$46*CM621), N($AK$23:$AK$46&gt;$AI621))
) / 1000</f>
        <v>0</v>
      </c>
      <c r="CP621" s="237">
        <f t="shared" si="624"/>
        <v>0</v>
      </c>
      <c r="CQ621" s="210"/>
    </row>
    <row r="622" spans="1:95" s="76" customFormat="1" ht="14.25" customHeight="1" x14ac:dyDescent="0.2">
      <c r="A622" s="238" t="b">
        <f t="shared" si="628"/>
        <v>0</v>
      </c>
      <c r="B622" s="239">
        <v>600</v>
      </c>
      <c r="C622" s="258"/>
      <c r="D622" s="258"/>
      <c r="E622" s="240"/>
      <c r="F622" s="241" t="str">
        <f>IF(ISBLANK(E622), "", VLOOKUP(E622, Z!$A$2:$C$4127, 3, FALSE))</f>
        <v/>
      </c>
      <c r="G622" s="242"/>
      <c r="H622" s="242"/>
      <c r="I622" s="243"/>
      <c r="J622" s="244"/>
      <c r="K622" s="259"/>
      <c r="L622" s="260"/>
      <c r="M622" s="247" t="str" cm="1">
        <f t="array" ref="M622">IF($K622&gt;0, INDEX(Clean,1+AG622,$C$1), "")</f>
        <v/>
      </c>
      <c r="N622" s="245"/>
      <c r="O622" s="245"/>
      <c r="P622" s="246"/>
      <c r="Q622" s="248">
        <f t="shared" si="601"/>
        <v>0</v>
      </c>
      <c r="R622" s="247" t="str" cm="1">
        <f t="array" ref="R622">IF($K622&gt;0, INDEX(Clean,1+AH622,$C$1), "")</f>
        <v/>
      </c>
      <c r="S622" s="245"/>
      <c r="T622" s="245"/>
      <c r="U622" s="246"/>
      <c r="V622" s="248">
        <f t="shared" si="602"/>
        <v>0</v>
      </c>
      <c r="W622" s="261"/>
      <c r="X622" s="258"/>
      <c r="Y622" s="240"/>
      <c r="Z622" s="241" t="str">
        <f>IF(ISBLANK(Y622), "", VLOOKUP(Y622, Z!$A$2:$C$4127, 3, FALSE))</f>
        <v/>
      </c>
      <c r="AA622" s="262"/>
      <c r="AB622" s="249">
        <f t="shared" si="637"/>
        <v>0</v>
      </c>
      <c r="AC622" s="210"/>
      <c r="AD622" s="236">
        <f t="shared" si="625"/>
        <v>1</v>
      </c>
      <c r="AE622" s="236">
        <f t="shared" si="626"/>
        <v>1</v>
      </c>
      <c r="AF622" s="236">
        <f t="shared" si="627"/>
        <v>0</v>
      </c>
      <c r="AG622" s="236">
        <v>1</v>
      </c>
      <c r="AH622" s="236">
        <v>0</v>
      </c>
      <c r="AI622" s="236">
        <f t="shared" si="603"/>
        <v>-100</v>
      </c>
      <c r="AJ622" s="210"/>
      <c r="AK622" s="254"/>
      <c r="AL622" s="254"/>
      <c r="AM622" s="255"/>
      <c r="AN622" s="255"/>
      <c r="AO622" s="255"/>
      <c r="AP622" s="255"/>
      <c r="AQ622" s="255"/>
      <c r="AR622" s="255"/>
      <c r="AS622" s="255"/>
      <c r="AT622" s="255"/>
      <c r="AU622" s="255"/>
      <c r="AV622" s="255"/>
      <c r="AW622" s="255"/>
      <c r="AX622" s="210"/>
      <c r="AY622" s="236" cm="1">
        <f t="array" ref="AY622">INDEX(Use, $AD622, 4)</f>
        <v>7</v>
      </c>
      <c r="AZ622" s="236">
        <f t="shared" si="604"/>
        <v>32</v>
      </c>
      <c r="BA622" s="236">
        <f t="shared" si="629"/>
        <v>13</v>
      </c>
      <c r="BB622" s="236">
        <f t="shared" si="630"/>
        <v>0</v>
      </c>
      <c r="BC622" s="252" cm="1">
        <f t="array" ref="BC622">K622/IF($L622&gt;0, INDEX($AO$23:$AU$77, $L622+20, $AD622), 1)</f>
        <v>0</v>
      </c>
      <c r="BD622" s="237">
        <f t="shared" si="605"/>
        <v>0</v>
      </c>
      <c r="BE622" s="236">
        <v>35</v>
      </c>
      <c r="BF622" s="237">
        <f t="shared" si="606"/>
        <v>52.55</v>
      </c>
      <c r="BG622" s="253">
        <f t="shared" si="607"/>
        <v>2.7676728869374316</v>
      </c>
      <c r="BH622" s="253" cm="1">
        <f t="array" ref="BH622">$BC622 * SUMPRODUCT(INDEX($AL$77:$AN$82,,$AE622),INDEX($AO$77:$AU$82,,$AD622), N($AK$77:$AK$82&gt;$AI622)) / BG622 / 1000</f>
        <v>0</v>
      </c>
      <c r="BI622" s="250">
        <f t="shared" si="631"/>
        <v>30</v>
      </c>
      <c r="BJ622" s="237">
        <f t="shared" si="608"/>
        <v>46.033333333333331</v>
      </c>
      <c r="BK622" s="253">
        <f t="shared" si="609"/>
        <v>3.2297395388556791</v>
      </c>
      <c r="BL622" s="253" cm="1">
        <f t="array" ref="BL622">$BC622 * IF($AD622&lt;=2,
SUMPRODUCT(INDEX($AL$72:$AN$76,,$AE622), INDEX($AO$72:$AU$76,,$AD622), 1 / ($AV$72:$AV$76*BK622 + (1-$AV$72:$AV$76)*BG622), N($AK$72:$AK$76&gt;$AI622)),
SUMPRODUCT(INDEX($AL$67:$AN$76,,$AE622), INDEX($AO$67:$AU$76,,$AD622), 1 / ($AW$67:$AW$76*BK622 + (1-$AW$67:$AW$76)*BG622), N($AK$67:$AK$76&gt;$AI622))
) / 1000</f>
        <v>0</v>
      </c>
      <c r="BM622" s="250">
        <f t="shared" si="632"/>
        <v>25</v>
      </c>
      <c r="BN622" s="237">
        <f t="shared" si="610"/>
        <v>39.516666666666666</v>
      </c>
      <c r="BO622" s="253">
        <f t="shared" si="611"/>
        <v>3.877011788826243</v>
      </c>
      <c r="BP622" s="253" cm="1">
        <f t="array" ref="BP622">$BC622 * IF($AD622&lt;=2,
SUMPRODUCT(INDEX($AL$67:$AN$71,,$AE622), INDEX($AO$67:$AU$71,,$AD622), 1 / ($AV$67:$AV$71*BO622 + (1-$AV$67:$AV$71)*BK622), N($AK$67:$AK$71&gt;$AI622)),
SUMPRODUCT(INDEX($AL$57:$AN$66,,$AE622), INDEX($AO$57:$AU$66,,$AD622), 1 / ($AW$57:$AW$66*BO622 + (1-$AW$57:$AW$66)*BK622), N($AK$57:$AK$66&gt;$AI622))
) / 1000</f>
        <v>0</v>
      </c>
      <c r="BQ622" s="250">
        <f t="shared" si="633"/>
        <v>20</v>
      </c>
      <c r="BR622" s="237">
        <f t="shared" si="612"/>
        <v>33</v>
      </c>
      <c r="BS622" s="253">
        <f t="shared" si="613"/>
        <v>4.8487499999999999</v>
      </c>
      <c r="BT622" s="253" cm="1">
        <f t="array" ref="BT622">$BC622 * IF($AD622&lt;=2,
SUMPRODUCT(INDEX($AL$62:$AN$66,,$AE622), INDEX($AO$62:$AU$66,,$AD622), 1 / ($AV$62:$AV$66*BS622 + (1-$AV$62:$AV$66)*BO622), N($AK$62:$AK$66&gt;$AI622)),
SUMPRODUCT(INDEX($AL$47:$AN$56,,$AE622), INDEX($AO$47:$AU$56,,$AD622), 1 / ($AW$47:$AW$56*BS622 + (1-$AW$47:$AW$56)*BO622), N($AK$47:$AK$56&gt;$AI622))
) / 1000</f>
        <v>0</v>
      </c>
      <c r="BU622" s="253" cm="1">
        <f t="array" ref="BU622">$BC622 * IF($AD622&lt;=2,
SUMPRODUCT(INDEX($AL$23:$AN$61,,$AE622), INDEX($AO$23:$AU$61,,$AD622), 1 / ($AV$23:$AV$61*BS622), N($AK$23:$AK$61&gt;$AI622)),
SUMPRODUCT(INDEX($AL$23:$AN$46,,$AE622), INDEX($AO$23:$AU$46,,$AD622), 1 / ($AW$23:$AW$46*BS622), N($AK$23:$AK$46&gt;$AI622))
) / 1000</f>
        <v>0</v>
      </c>
      <c r="BV622" s="237">
        <f t="shared" si="614"/>
        <v>0</v>
      </c>
      <c r="BW622" s="210"/>
      <c r="BX622" s="237">
        <f t="shared" si="615"/>
        <v>0</v>
      </c>
      <c r="BY622" s="236">
        <v>35</v>
      </c>
      <c r="BZ622" s="237">
        <f t="shared" si="616"/>
        <v>48</v>
      </c>
      <c r="CA622" s="253">
        <f t="shared" si="617"/>
        <v>3.0748170731707316</v>
      </c>
      <c r="CB622" s="253" cm="1">
        <f t="array" ref="CB622">$BC622 * SUMPRODUCT(INDEX($AL$77:$AN$82,,$AE622),INDEX($AO$77:$AU$82,,$AD622), N($AK$77:$AK$82&gt;$AI622)) / CA622 / 1000</f>
        <v>0</v>
      </c>
      <c r="CC622" s="250">
        <f t="shared" si="634"/>
        <v>30</v>
      </c>
      <c r="CD622" s="237">
        <f t="shared" si="618"/>
        <v>43</v>
      </c>
      <c r="CE622" s="253">
        <f t="shared" si="619"/>
        <v>3.5018750000000001</v>
      </c>
      <c r="CF622" s="253" cm="1">
        <f t="array" ref="CF622">$BC622 * IF($AD622&lt;=2,
SUMPRODUCT(INDEX($AL$72:$AN$76,,$AE622), INDEX($AO$72:$AU$76,,$AD622), 1 / ($AV$72:$AV$76*CE622 + (1-$AV$72:$AV$76)*CA622), N($AK$72:$AK$76&gt;$AI622)),
SUMPRODUCT(INDEX($AL$67:$AN$76,,$AE622), INDEX($AO$67:$AU$76,,$AD622), 1 / ($AW$67:$AW$76*CE622 + (1-$AW$67:$AW$76)*CA622), N($AK$67:$AK$76&gt;$AI622))
) / 1000</f>
        <v>0</v>
      </c>
      <c r="CG622" s="250">
        <f t="shared" si="635"/>
        <v>25</v>
      </c>
      <c r="CH622" s="237">
        <f t="shared" si="620"/>
        <v>38</v>
      </c>
      <c r="CI622" s="253">
        <f t="shared" si="621"/>
        <v>4.0666935483870965</v>
      </c>
      <c r="CJ622" s="253" cm="1">
        <f t="array" ref="CJ622">$BC622 * IF($AD622&lt;=2,
SUMPRODUCT(INDEX($AL$67:$AN$71,,$AE622), INDEX($AO$67:$AU$71,,$AD622), 1 / ($AV$67:$AV$71*CI622 + (1-$AV$67:$AV$71)*CE622), N($AK$67:$AK$71&gt;$AI622)),
SUMPRODUCT(INDEX($AL$57:$AN$66,,$AE622), INDEX($AO$57:$AU$66,,$AD622), 1 / ($AW$57:$AW$66*CI622 + (1-$AW$57:$AW$66)*CE622), N($AK$57:$AK$66&gt;$AI622))
) / 1000</f>
        <v>0</v>
      </c>
      <c r="CK622" s="250">
        <f t="shared" si="636"/>
        <v>20</v>
      </c>
      <c r="CL622" s="237">
        <f t="shared" si="622"/>
        <v>33</v>
      </c>
      <c r="CM622" s="253">
        <f t="shared" si="623"/>
        <v>4.8487499999999999</v>
      </c>
      <c r="CN622" s="253" cm="1">
        <f t="array" ref="CN622">$BC622 * IF($AD622&lt;=2,
SUMPRODUCT(INDEX($AL$62:$AN$66,,$AE622), INDEX($AO$62:$AU$66,,$AD622), 1 / ($AV$62:$AV$66*CM622 + (1-$AV$62:$AV$66)*CI622), N($AK$62:$AK$66&gt;$AI622)),
SUMPRODUCT(INDEX($AL$47:$AN$56,,$AE622), INDEX($AO$47:$AU$56,,$AD622), 1 / ($AW$47:$AW$56*CM622 + (1-$AW$47:$AW$56)*CI622), N($AK$47:$AK$56&gt;$AI622))
) / 1000</f>
        <v>0</v>
      </c>
      <c r="CO622" s="253" cm="1">
        <f t="array" ref="CO622">$BC622 * IF($AD622&lt;=2,
SUMPRODUCT(INDEX($AL$23:$AN$61,,$AE622), INDEX($AO$23:$AU$61,,$AD622), 1 / ($AV$23:$AV$61*CM622), N($AK$23:$AK$61&gt;$AI622)),
SUMPRODUCT(INDEX($AL$23:$AN$46,,$AE622), INDEX($AO$23:$AU$46,,$AD622), 1 / ($AW$23:$AW$46*CM622), N($AK$23:$AK$46&gt;$AI622))
) / 1000</f>
        <v>0</v>
      </c>
      <c r="CP622" s="237">
        <f t="shared" si="624"/>
        <v>0</v>
      </c>
      <c r="CQ622" s="210"/>
    </row>
    <row r="623" spans="1:95" s="76" customFormat="1" ht="14.25" customHeight="1" x14ac:dyDescent="0.2">
      <c r="A623" s="238" t="b">
        <f t="shared" si="628"/>
        <v>0</v>
      </c>
      <c r="B623" s="239">
        <v>601</v>
      </c>
      <c r="C623" s="258"/>
      <c r="D623" s="258"/>
      <c r="E623" s="240"/>
      <c r="F623" s="241" t="str">
        <f>IF(ISBLANK(E623), "", VLOOKUP(E623, Z!$A$2:$C$4127, 3, FALSE))</f>
        <v/>
      </c>
      <c r="G623" s="242"/>
      <c r="H623" s="242"/>
      <c r="I623" s="243"/>
      <c r="J623" s="244"/>
      <c r="K623" s="259"/>
      <c r="L623" s="260"/>
      <c r="M623" s="247" t="str" cm="1">
        <f t="array" ref="M623">IF($K623&gt;0, INDEX(Clean,1+AG623,$C$1), "")</f>
        <v/>
      </c>
      <c r="N623" s="245"/>
      <c r="O623" s="245"/>
      <c r="P623" s="246"/>
      <c r="Q623" s="248">
        <f t="shared" si="601"/>
        <v>0</v>
      </c>
      <c r="R623" s="247" t="str" cm="1">
        <f t="array" ref="R623">IF($K623&gt;0, INDEX(Clean,1+AH623,$C$1), "")</f>
        <v/>
      </c>
      <c r="S623" s="245"/>
      <c r="T623" s="245"/>
      <c r="U623" s="246"/>
      <c r="V623" s="248">
        <f t="shared" si="602"/>
        <v>0</v>
      </c>
      <c r="W623" s="261"/>
      <c r="X623" s="258"/>
      <c r="Y623" s="240"/>
      <c r="Z623" s="241" t="str">
        <f>IF(ISBLANK(Y623), "", VLOOKUP(Y623, Z!$A$2:$C$4127, 3, FALSE))</f>
        <v/>
      </c>
      <c r="AA623" s="262"/>
      <c r="AB623" s="249">
        <f t="shared" si="637"/>
        <v>0</v>
      </c>
      <c r="AC623" s="210"/>
      <c r="AD623" s="236">
        <f t="shared" si="625"/>
        <v>1</v>
      </c>
      <c r="AE623" s="236">
        <f t="shared" si="626"/>
        <v>1</v>
      </c>
      <c r="AF623" s="236">
        <f t="shared" si="627"/>
        <v>0</v>
      </c>
      <c r="AG623" s="236">
        <v>1</v>
      </c>
      <c r="AH623" s="236">
        <v>0</v>
      </c>
      <c r="AI623" s="236">
        <f t="shared" si="603"/>
        <v>-100</v>
      </c>
      <c r="AJ623" s="210"/>
      <c r="AK623" s="254"/>
      <c r="AL623" s="254"/>
      <c r="AM623" s="255"/>
      <c r="AN623" s="255"/>
      <c r="AO623" s="255"/>
      <c r="AP623" s="255"/>
      <c r="AQ623" s="255"/>
      <c r="AR623" s="255"/>
      <c r="AS623" s="255"/>
      <c r="AT623" s="255"/>
      <c r="AU623" s="255"/>
      <c r="AV623" s="255"/>
      <c r="AW623" s="255"/>
      <c r="AX623" s="210"/>
      <c r="AY623" s="236" cm="1">
        <f t="array" ref="AY623">INDEX(Use, $AD623, 4)</f>
        <v>7</v>
      </c>
      <c r="AZ623" s="236">
        <f t="shared" si="604"/>
        <v>32</v>
      </c>
      <c r="BA623" s="236">
        <f t="shared" si="629"/>
        <v>13</v>
      </c>
      <c r="BB623" s="236">
        <f t="shared" si="630"/>
        <v>0</v>
      </c>
      <c r="BC623" s="252" cm="1">
        <f t="array" ref="BC623">K623/IF($L623&gt;0, INDEX($AO$23:$AU$77, $L623+20, $AD623), 1)</f>
        <v>0</v>
      </c>
      <c r="BD623" s="237">
        <f t="shared" si="605"/>
        <v>0</v>
      </c>
      <c r="BE623" s="236">
        <v>35</v>
      </c>
      <c r="BF623" s="237">
        <f t="shared" si="606"/>
        <v>52.55</v>
      </c>
      <c r="BG623" s="253">
        <f t="shared" si="607"/>
        <v>2.7676728869374316</v>
      </c>
      <c r="BH623" s="253" cm="1">
        <f t="array" ref="BH623">$BC623 * SUMPRODUCT(INDEX($AL$77:$AN$82,,$AE623),INDEX($AO$77:$AU$82,,$AD623), N($AK$77:$AK$82&gt;$AI623)) / BG623 / 1000</f>
        <v>0</v>
      </c>
      <c r="BI623" s="250">
        <f t="shared" si="631"/>
        <v>30</v>
      </c>
      <c r="BJ623" s="237">
        <f t="shared" si="608"/>
        <v>46.033333333333331</v>
      </c>
      <c r="BK623" s="253">
        <f t="shared" si="609"/>
        <v>3.2297395388556791</v>
      </c>
      <c r="BL623" s="253" cm="1">
        <f t="array" ref="BL623">$BC623 * IF($AD623&lt;=2,
SUMPRODUCT(INDEX($AL$72:$AN$76,,$AE623), INDEX($AO$72:$AU$76,,$AD623), 1 / ($AV$72:$AV$76*BK623 + (1-$AV$72:$AV$76)*BG623), N($AK$72:$AK$76&gt;$AI623)),
SUMPRODUCT(INDEX($AL$67:$AN$76,,$AE623), INDEX($AO$67:$AU$76,,$AD623), 1 / ($AW$67:$AW$76*BK623 + (1-$AW$67:$AW$76)*BG623), N($AK$67:$AK$76&gt;$AI623))
) / 1000</f>
        <v>0</v>
      </c>
      <c r="BM623" s="250">
        <f t="shared" si="632"/>
        <v>25</v>
      </c>
      <c r="BN623" s="237">
        <f t="shared" si="610"/>
        <v>39.516666666666666</v>
      </c>
      <c r="BO623" s="253">
        <f t="shared" si="611"/>
        <v>3.877011788826243</v>
      </c>
      <c r="BP623" s="253" cm="1">
        <f t="array" ref="BP623">$BC623 * IF($AD623&lt;=2,
SUMPRODUCT(INDEX($AL$67:$AN$71,,$AE623), INDEX($AO$67:$AU$71,,$AD623), 1 / ($AV$67:$AV$71*BO623 + (1-$AV$67:$AV$71)*BK623), N($AK$67:$AK$71&gt;$AI623)),
SUMPRODUCT(INDEX($AL$57:$AN$66,,$AE623), INDEX($AO$57:$AU$66,,$AD623), 1 / ($AW$57:$AW$66*BO623 + (1-$AW$57:$AW$66)*BK623), N($AK$57:$AK$66&gt;$AI623))
) / 1000</f>
        <v>0</v>
      </c>
      <c r="BQ623" s="250">
        <f t="shared" si="633"/>
        <v>20</v>
      </c>
      <c r="BR623" s="237">
        <f t="shared" si="612"/>
        <v>33</v>
      </c>
      <c r="BS623" s="253">
        <f t="shared" si="613"/>
        <v>4.8487499999999999</v>
      </c>
      <c r="BT623" s="253" cm="1">
        <f t="array" ref="BT623">$BC623 * IF($AD623&lt;=2,
SUMPRODUCT(INDEX($AL$62:$AN$66,,$AE623), INDEX($AO$62:$AU$66,,$AD623), 1 / ($AV$62:$AV$66*BS623 + (1-$AV$62:$AV$66)*BO623), N($AK$62:$AK$66&gt;$AI623)),
SUMPRODUCT(INDEX($AL$47:$AN$56,,$AE623), INDEX($AO$47:$AU$56,,$AD623), 1 / ($AW$47:$AW$56*BS623 + (1-$AW$47:$AW$56)*BO623), N($AK$47:$AK$56&gt;$AI623))
) / 1000</f>
        <v>0</v>
      </c>
      <c r="BU623" s="253" cm="1">
        <f t="array" ref="BU623">$BC623 * IF($AD623&lt;=2,
SUMPRODUCT(INDEX($AL$23:$AN$61,,$AE623), INDEX($AO$23:$AU$61,,$AD623), 1 / ($AV$23:$AV$61*BS623), N($AK$23:$AK$61&gt;$AI623)),
SUMPRODUCT(INDEX($AL$23:$AN$46,,$AE623), INDEX($AO$23:$AU$46,,$AD623), 1 / ($AW$23:$AW$46*BS623), N($AK$23:$AK$46&gt;$AI623))
) / 1000</f>
        <v>0</v>
      </c>
      <c r="BV623" s="237">
        <f t="shared" si="614"/>
        <v>0</v>
      </c>
      <c r="BW623" s="210"/>
      <c r="BX623" s="237">
        <f t="shared" si="615"/>
        <v>0</v>
      </c>
      <c r="BY623" s="236">
        <v>35</v>
      </c>
      <c r="BZ623" s="237">
        <f t="shared" si="616"/>
        <v>48</v>
      </c>
      <c r="CA623" s="253">
        <f t="shared" si="617"/>
        <v>3.0748170731707316</v>
      </c>
      <c r="CB623" s="253" cm="1">
        <f t="array" ref="CB623">$BC623 * SUMPRODUCT(INDEX($AL$77:$AN$82,,$AE623),INDEX($AO$77:$AU$82,,$AD623), N($AK$77:$AK$82&gt;$AI623)) / CA623 / 1000</f>
        <v>0</v>
      </c>
      <c r="CC623" s="250">
        <f t="shared" si="634"/>
        <v>30</v>
      </c>
      <c r="CD623" s="237">
        <f t="shared" si="618"/>
        <v>43</v>
      </c>
      <c r="CE623" s="253">
        <f t="shared" si="619"/>
        <v>3.5018750000000001</v>
      </c>
      <c r="CF623" s="253" cm="1">
        <f t="array" ref="CF623">$BC623 * IF($AD623&lt;=2,
SUMPRODUCT(INDEX($AL$72:$AN$76,,$AE623), INDEX($AO$72:$AU$76,,$AD623), 1 / ($AV$72:$AV$76*CE623 + (1-$AV$72:$AV$76)*CA623), N($AK$72:$AK$76&gt;$AI623)),
SUMPRODUCT(INDEX($AL$67:$AN$76,,$AE623), INDEX($AO$67:$AU$76,,$AD623), 1 / ($AW$67:$AW$76*CE623 + (1-$AW$67:$AW$76)*CA623), N($AK$67:$AK$76&gt;$AI623))
) / 1000</f>
        <v>0</v>
      </c>
      <c r="CG623" s="250">
        <f t="shared" si="635"/>
        <v>25</v>
      </c>
      <c r="CH623" s="237">
        <f t="shared" si="620"/>
        <v>38</v>
      </c>
      <c r="CI623" s="253">
        <f t="shared" si="621"/>
        <v>4.0666935483870965</v>
      </c>
      <c r="CJ623" s="253" cm="1">
        <f t="array" ref="CJ623">$BC623 * IF($AD623&lt;=2,
SUMPRODUCT(INDEX($AL$67:$AN$71,,$AE623), INDEX($AO$67:$AU$71,,$AD623), 1 / ($AV$67:$AV$71*CI623 + (1-$AV$67:$AV$71)*CE623), N($AK$67:$AK$71&gt;$AI623)),
SUMPRODUCT(INDEX($AL$57:$AN$66,,$AE623), INDEX($AO$57:$AU$66,,$AD623), 1 / ($AW$57:$AW$66*CI623 + (1-$AW$57:$AW$66)*CE623), N($AK$57:$AK$66&gt;$AI623))
) / 1000</f>
        <v>0</v>
      </c>
      <c r="CK623" s="250">
        <f t="shared" si="636"/>
        <v>20</v>
      </c>
      <c r="CL623" s="237">
        <f t="shared" si="622"/>
        <v>33</v>
      </c>
      <c r="CM623" s="253">
        <f t="shared" si="623"/>
        <v>4.8487499999999999</v>
      </c>
      <c r="CN623" s="253" cm="1">
        <f t="array" ref="CN623">$BC623 * IF($AD623&lt;=2,
SUMPRODUCT(INDEX($AL$62:$AN$66,,$AE623), INDEX($AO$62:$AU$66,,$AD623), 1 / ($AV$62:$AV$66*CM623 + (1-$AV$62:$AV$66)*CI623), N($AK$62:$AK$66&gt;$AI623)),
SUMPRODUCT(INDEX($AL$47:$AN$56,,$AE623), INDEX($AO$47:$AU$56,,$AD623), 1 / ($AW$47:$AW$56*CM623 + (1-$AW$47:$AW$56)*CI623), N($AK$47:$AK$56&gt;$AI623))
) / 1000</f>
        <v>0</v>
      </c>
      <c r="CO623" s="253" cm="1">
        <f t="array" ref="CO623">$BC623 * IF($AD623&lt;=2,
SUMPRODUCT(INDEX($AL$23:$AN$61,,$AE623), INDEX($AO$23:$AU$61,,$AD623), 1 / ($AV$23:$AV$61*CM623), N($AK$23:$AK$61&gt;$AI623)),
SUMPRODUCT(INDEX($AL$23:$AN$46,,$AE623), INDEX($AO$23:$AU$46,,$AD623), 1 / ($AW$23:$AW$46*CM623), N($AK$23:$AK$46&gt;$AI623))
) / 1000</f>
        <v>0</v>
      </c>
      <c r="CP623" s="237">
        <f t="shared" si="624"/>
        <v>0</v>
      </c>
      <c r="CQ623" s="210"/>
    </row>
    <row r="624" spans="1:95" s="76" customFormat="1" ht="14.25" customHeight="1" x14ac:dyDescent="0.2">
      <c r="A624" s="238" t="b">
        <f t="shared" si="628"/>
        <v>0</v>
      </c>
      <c r="B624" s="239">
        <v>602</v>
      </c>
      <c r="C624" s="258"/>
      <c r="D624" s="258"/>
      <c r="E624" s="240"/>
      <c r="F624" s="241" t="str">
        <f>IF(ISBLANK(E624), "", VLOOKUP(E624, Z!$A$2:$C$4127, 3, FALSE))</f>
        <v/>
      </c>
      <c r="G624" s="242"/>
      <c r="H624" s="242"/>
      <c r="I624" s="243"/>
      <c r="J624" s="244"/>
      <c r="K624" s="259"/>
      <c r="L624" s="260"/>
      <c r="M624" s="247" t="str" cm="1">
        <f t="array" ref="M624">IF($K624&gt;0, INDEX(Clean,1+AG624,$C$1), "")</f>
        <v/>
      </c>
      <c r="N624" s="245"/>
      <c r="O624" s="245"/>
      <c r="P624" s="246"/>
      <c r="Q624" s="248">
        <f t="shared" si="601"/>
        <v>0</v>
      </c>
      <c r="R624" s="247" t="str" cm="1">
        <f t="array" ref="R624">IF($K624&gt;0, INDEX(Clean,1+AH624,$C$1), "")</f>
        <v/>
      </c>
      <c r="S624" s="245"/>
      <c r="T624" s="245"/>
      <c r="U624" s="246"/>
      <c r="V624" s="248">
        <f t="shared" si="602"/>
        <v>0</v>
      </c>
      <c r="W624" s="261"/>
      <c r="X624" s="258"/>
      <c r="Y624" s="240"/>
      <c r="Z624" s="241" t="str">
        <f>IF(ISBLANK(Y624), "", VLOOKUP(Y624, Z!$A$2:$C$4127, 3, FALSE))</f>
        <v/>
      </c>
      <c r="AA624" s="262"/>
      <c r="AB624" s="249">
        <f t="shared" si="637"/>
        <v>0</v>
      </c>
      <c r="AC624" s="210"/>
      <c r="AD624" s="236">
        <f t="shared" si="625"/>
        <v>1</v>
      </c>
      <c r="AE624" s="236">
        <f t="shared" si="626"/>
        <v>1</v>
      </c>
      <c r="AF624" s="236">
        <f t="shared" si="627"/>
        <v>0</v>
      </c>
      <c r="AG624" s="236">
        <v>1</v>
      </c>
      <c r="AH624" s="236">
        <v>0</v>
      </c>
      <c r="AI624" s="236">
        <f t="shared" si="603"/>
        <v>-100</v>
      </c>
      <c r="AJ624" s="210"/>
      <c r="AK624" s="254"/>
      <c r="AL624" s="254"/>
      <c r="AM624" s="255"/>
      <c r="AN624" s="255"/>
      <c r="AO624" s="255"/>
      <c r="AP624" s="255"/>
      <c r="AQ624" s="255"/>
      <c r="AR624" s="255"/>
      <c r="AS624" s="255"/>
      <c r="AT624" s="255"/>
      <c r="AU624" s="255"/>
      <c r="AV624" s="255"/>
      <c r="AW624" s="255"/>
      <c r="AX624" s="210"/>
      <c r="AY624" s="236" cm="1">
        <f t="array" ref="AY624">INDEX(Use, $AD624, 4)</f>
        <v>7</v>
      </c>
      <c r="AZ624" s="236">
        <f t="shared" si="604"/>
        <v>32</v>
      </c>
      <c r="BA624" s="236">
        <f t="shared" si="629"/>
        <v>13</v>
      </c>
      <c r="BB624" s="236">
        <f t="shared" si="630"/>
        <v>0</v>
      </c>
      <c r="BC624" s="252" cm="1">
        <f t="array" ref="BC624">K624/IF($L624&gt;0, INDEX($AO$23:$AU$77, $L624+20, $AD624), 1)</f>
        <v>0</v>
      </c>
      <c r="BD624" s="237">
        <f t="shared" si="605"/>
        <v>0</v>
      </c>
      <c r="BE624" s="236">
        <v>35</v>
      </c>
      <c r="BF624" s="237">
        <f t="shared" si="606"/>
        <v>52.55</v>
      </c>
      <c r="BG624" s="253">
        <f t="shared" si="607"/>
        <v>2.7676728869374316</v>
      </c>
      <c r="BH624" s="253" cm="1">
        <f t="array" ref="BH624">$BC624 * SUMPRODUCT(INDEX($AL$77:$AN$82,,$AE624),INDEX($AO$77:$AU$82,,$AD624), N($AK$77:$AK$82&gt;$AI624)) / BG624 / 1000</f>
        <v>0</v>
      </c>
      <c r="BI624" s="250">
        <f t="shared" si="631"/>
        <v>30</v>
      </c>
      <c r="BJ624" s="237">
        <f t="shared" si="608"/>
        <v>46.033333333333331</v>
      </c>
      <c r="BK624" s="253">
        <f t="shared" si="609"/>
        <v>3.2297395388556791</v>
      </c>
      <c r="BL624" s="253" cm="1">
        <f t="array" ref="BL624">$BC624 * IF($AD624&lt;=2,
SUMPRODUCT(INDEX($AL$72:$AN$76,,$AE624), INDEX($AO$72:$AU$76,,$AD624), 1 / ($AV$72:$AV$76*BK624 + (1-$AV$72:$AV$76)*BG624), N($AK$72:$AK$76&gt;$AI624)),
SUMPRODUCT(INDEX($AL$67:$AN$76,,$AE624), INDEX($AO$67:$AU$76,,$AD624), 1 / ($AW$67:$AW$76*BK624 + (1-$AW$67:$AW$76)*BG624), N($AK$67:$AK$76&gt;$AI624))
) / 1000</f>
        <v>0</v>
      </c>
      <c r="BM624" s="250">
        <f t="shared" si="632"/>
        <v>25</v>
      </c>
      <c r="BN624" s="237">
        <f t="shared" si="610"/>
        <v>39.516666666666666</v>
      </c>
      <c r="BO624" s="253">
        <f t="shared" si="611"/>
        <v>3.877011788826243</v>
      </c>
      <c r="BP624" s="253" cm="1">
        <f t="array" ref="BP624">$BC624 * IF($AD624&lt;=2,
SUMPRODUCT(INDEX($AL$67:$AN$71,,$AE624), INDEX($AO$67:$AU$71,,$AD624), 1 / ($AV$67:$AV$71*BO624 + (1-$AV$67:$AV$71)*BK624), N($AK$67:$AK$71&gt;$AI624)),
SUMPRODUCT(INDEX($AL$57:$AN$66,,$AE624), INDEX($AO$57:$AU$66,,$AD624), 1 / ($AW$57:$AW$66*BO624 + (1-$AW$57:$AW$66)*BK624), N($AK$57:$AK$66&gt;$AI624))
) / 1000</f>
        <v>0</v>
      </c>
      <c r="BQ624" s="250">
        <f t="shared" si="633"/>
        <v>20</v>
      </c>
      <c r="BR624" s="237">
        <f t="shared" si="612"/>
        <v>33</v>
      </c>
      <c r="BS624" s="253">
        <f t="shared" si="613"/>
        <v>4.8487499999999999</v>
      </c>
      <c r="BT624" s="253" cm="1">
        <f t="array" ref="BT624">$BC624 * IF($AD624&lt;=2,
SUMPRODUCT(INDEX($AL$62:$AN$66,,$AE624), INDEX($AO$62:$AU$66,,$AD624), 1 / ($AV$62:$AV$66*BS624 + (1-$AV$62:$AV$66)*BO624), N($AK$62:$AK$66&gt;$AI624)),
SUMPRODUCT(INDEX($AL$47:$AN$56,,$AE624), INDEX($AO$47:$AU$56,,$AD624), 1 / ($AW$47:$AW$56*BS624 + (1-$AW$47:$AW$56)*BO624), N($AK$47:$AK$56&gt;$AI624))
) / 1000</f>
        <v>0</v>
      </c>
      <c r="BU624" s="253" cm="1">
        <f t="array" ref="BU624">$BC624 * IF($AD624&lt;=2,
SUMPRODUCT(INDEX($AL$23:$AN$61,,$AE624), INDEX($AO$23:$AU$61,,$AD624), 1 / ($AV$23:$AV$61*BS624), N($AK$23:$AK$61&gt;$AI624)),
SUMPRODUCT(INDEX($AL$23:$AN$46,,$AE624), INDEX($AO$23:$AU$46,,$AD624), 1 / ($AW$23:$AW$46*BS624), N($AK$23:$AK$46&gt;$AI624))
) / 1000</f>
        <v>0</v>
      </c>
      <c r="BV624" s="237">
        <f t="shared" si="614"/>
        <v>0</v>
      </c>
      <c r="BW624" s="210"/>
      <c r="BX624" s="237">
        <f t="shared" si="615"/>
        <v>0</v>
      </c>
      <c r="BY624" s="236">
        <v>35</v>
      </c>
      <c r="BZ624" s="237">
        <f t="shared" si="616"/>
        <v>48</v>
      </c>
      <c r="CA624" s="253">
        <f t="shared" si="617"/>
        <v>3.0748170731707316</v>
      </c>
      <c r="CB624" s="253" cm="1">
        <f t="array" ref="CB624">$BC624 * SUMPRODUCT(INDEX($AL$77:$AN$82,,$AE624),INDEX($AO$77:$AU$82,,$AD624), N($AK$77:$AK$82&gt;$AI624)) / CA624 / 1000</f>
        <v>0</v>
      </c>
      <c r="CC624" s="250">
        <f t="shared" si="634"/>
        <v>30</v>
      </c>
      <c r="CD624" s="237">
        <f t="shared" si="618"/>
        <v>43</v>
      </c>
      <c r="CE624" s="253">
        <f t="shared" si="619"/>
        <v>3.5018750000000001</v>
      </c>
      <c r="CF624" s="253" cm="1">
        <f t="array" ref="CF624">$BC624 * IF($AD624&lt;=2,
SUMPRODUCT(INDEX($AL$72:$AN$76,,$AE624), INDEX($AO$72:$AU$76,,$AD624), 1 / ($AV$72:$AV$76*CE624 + (1-$AV$72:$AV$76)*CA624), N($AK$72:$AK$76&gt;$AI624)),
SUMPRODUCT(INDEX($AL$67:$AN$76,,$AE624), INDEX($AO$67:$AU$76,,$AD624), 1 / ($AW$67:$AW$76*CE624 + (1-$AW$67:$AW$76)*CA624), N($AK$67:$AK$76&gt;$AI624))
) / 1000</f>
        <v>0</v>
      </c>
      <c r="CG624" s="250">
        <f t="shared" si="635"/>
        <v>25</v>
      </c>
      <c r="CH624" s="237">
        <f t="shared" si="620"/>
        <v>38</v>
      </c>
      <c r="CI624" s="253">
        <f t="shared" si="621"/>
        <v>4.0666935483870965</v>
      </c>
      <c r="CJ624" s="253" cm="1">
        <f t="array" ref="CJ624">$BC624 * IF($AD624&lt;=2,
SUMPRODUCT(INDEX($AL$67:$AN$71,,$AE624), INDEX($AO$67:$AU$71,,$AD624), 1 / ($AV$67:$AV$71*CI624 + (1-$AV$67:$AV$71)*CE624), N($AK$67:$AK$71&gt;$AI624)),
SUMPRODUCT(INDEX($AL$57:$AN$66,,$AE624), INDEX($AO$57:$AU$66,,$AD624), 1 / ($AW$57:$AW$66*CI624 + (1-$AW$57:$AW$66)*CE624), N($AK$57:$AK$66&gt;$AI624))
) / 1000</f>
        <v>0</v>
      </c>
      <c r="CK624" s="250">
        <f t="shared" si="636"/>
        <v>20</v>
      </c>
      <c r="CL624" s="237">
        <f t="shared" si="622"/>
        <v>33</v>
      </c>
      <c r="CM624" s="253">
        <f t="shared" si="623"/>
        <v>4.8487499999999999</v>
      </c>
      <c r="CN624" s="253" cm="1">
        <f t="array" ref="CN624">$BC624 * IF($AD624&lt;=2,
SUMPRODUCT(INDEX($AL$62:$AN$66,,$AE624), INDEX($AO$62:$AU$66,,$AD624), 1 / ($AV$62:$AV$66*CM624 + (1-$AV$62:$AV$66)*CI624), N($AK$62:$AK$66&gt;$AI624)),
SUMPRODUCT(INDEX($AL$47:$AN$56,,$AE624), INDEX($AO$47:$AU$56,,$AD624), 1 / ($AW$47:$AW$56*CM624 + (1-$AW$47:$AW$56)*CI624), N($AK$47:$AK$56&gt;$AI624))
) / 1000</f>
        <v>0</v>
      </c>
      <c r="CO624" s="253" cm="1">
        <f t="array" ref="CO624">$BC624 * IF($AD624&lt;=2,
SUMPRODUCT(INDEX($AL$23:$AN$61,,$AE624), INDEX($AO$23:$AU$61,,$AD624), 1 / ($AV$23:$AV$61*CM624), N($AK$23:$AK$61&gt;$AI624)),
SUMPRODUCT(INDEX($AL$23:$AN$46,,$AE624), INDEX($AO$23:$AU$46,,$AD624), 1 / ($AW$23:$AW$46*CM624), N($AK$23:$AK$46&gt;$AI624))
) / 1000</f>
        <v>0</v>
      </c>
      <c r="CP624" s="237">
        <f t="shared" si="624"/>
        <v>0</v>
      </c>
      <c r="CQ624" s="210"/>
    </row>
    <row r="625" spans="1:95" s="76" customFormat="1" ht="14.25" customHeight="1" x14ac:dyDescent="0.2">
      <c r="A625" s="238" t="b">
        <f t="shared" si="628"/>
        <v>0</v>
      </c>
      <c r="B625" s="239">
        <v>603</v>
      </c>
      <c r="C625" s="258"/>
      <c r="D625" s="258"/>
      <c r="E625" s="240"/>
      <c r="F625" s="241" t="str">
        <f>IF(ISBLANK(E625), "", VLOOKUP(E625, Z!$A$2:$C$4127, 3, FALSE))</f>
        <v/>
      </c>
      <c r="G625" s="242"/>
      <c r="H625" s="242"/>
      <c r="I625" s="243"/>
      <c r="J625" s="244"/>
      <c r="K625" s="259"/>
      <c r="L625" s="260"/>
      <c r="M625" s="247" t="str" cm="1">
        <f t="array" ref="M625">IF($K625&gt;0, INDEX(Clean,1+AG625,$C$1), "")</f>
        <v/>
      </c>
      <c r="N625" s="245"/>
      <c r="O625" s="245"/>
      <c r="P625" s="246"/>
      <c r="Q625" s="248">
        <f t="shared" si="601"/>
        <v>0</v>
      </c>
      <c r="R625" s="247" t="str" cm="1">
        <f t="array" ref="R625">IF($K625&gt;0, INDEX(Clean,1+AH625,$C$1), "")</f>
        <v/>
      </c>
      <c r="S625" s="245"/>
      <c r="T625" s="245"/>
      <c r="U625" s="246"/>
      <c r="V625" s="248">
        <f t="shared" si="602"/>
        <v>0</v>
      </c>
      <c r="W625" s="261"/>
      <c r="X625" s="258"/>
      <c r="Y625" s="240"/>
      <c r="Z625" s="241" t="str">
        <f>IF(ISBLANK(Y625), "", VLOOKUP(Y625, Z!$A$2:$C$4127, 3, FALSE))</f>
        <v/>
      </c>
      <c r="AA625" s="262"/>
      <c r="AB625" s="249">
        <f t="shared" si="637"/>
        <v>0</v>
      </c>
      <c r="AC625" s="210"/>
      <c r="AD625" s="236">
        <f t="shared" si="625"/>
        <v>1</v>
      </c>
      <c r="AE625" s="236">
        <f t="shared" si="626"/>
        <v>1</v>
      </c>
      <c r="AF625" s="236">
        <f t="shared" si="627"/>
        <v>0</v>
      </c>
      <c r="AG625" s="236">
        <v>1</v>
      </c>
      <c r="AH625" s="236">
        <v>0</v>
      </c>
      <c r="AI625" s="236">
        <f t="shared" si="603"/>
        <v>-100</v>
      </c>
      <c r="AJ625" s="210"/>
      <c r="AK625" s="254"/>
      <c r="AL625" s="254"/>
      <c r="AM625" s="255"/>
      <c r="AN625" s="255"/>
      <c r="AO625" s="255"/>
      <c r="AP625" s="255"/>
      <c r="AQ625" s="255"/>
      <c r="AR625" s="255"/>
      <c r="AS625" s="255"/>
      <c r="AT625" s="255"/>
      <c r="AU625" s="255"/>
      <c r="AV625" s="255"/>
      <c r="AW625" s="255"/>
      <c r="AX625" s="210"/>
      <c r="AY625" s="236" cm="1">
        <f t="array" ref="AY625">INDEX(Use, $AD625, 4)</f>
        <v>7</v>
      </c>
      <c r="AZ625" s="236">
        <f t="shared" si="604"/>
        <v>32</v>
      </c>
      <c r="BA625" s="236">
        <f t="shared" si="629"/>
        <v>13</v>
      </c>
      <c r="BB625" s="236">
        <f t="shared" si="630"/>
        <v>0</v>
      </c>
      <c r="BC625" s="252" cm="1">
        <f t="array" ref="BC625">K625/IF($L625&gt;0, INDEX($AO$23:$AU$77, $L625+20, $AD625), 1)</f>
        <v>0</v>
      </c>
      <c r="BD625" s="237">
        <f t="shared" si="605"/>
        <v>0</v>
      </c>
      <c r="BE625" s="236">
        <v>35</v>
      </c>
      <c r="BF625" s="237">
        <f t="shared" si="606"/>
        <v>52.55</v>
      </c>
      <c r="BG625" s="253">
        <f t="shared" si="607"/>
        <v>2.7676728869374316</v>
      </c>
      <c r="BH625" s="253" cm="1">
        <f t="array" ref="BH625">$BC625 * SUMPRODUCT(INDEX($AL$77:$AN$82,,$AE625),INDEX($AO$77:$AU$82,,$AD625), N($AK$77:$AK$82&gt;$AI625)) / BG625 / 1000</f>
        <v>0</v>
      </c>
      <c r="BI625" s="250">
        <f t="shared" si="631"/>
        <v>30</v>
      </c>
      <c r="BJ625" s="237">
        <f t="shared" si="608"/>
        <v>46.033333333333331</v>
      </c>
      <c r="BK625" s="253">
        <f t="shared" si="609"/>
        <v>3.2297395388556791</v>
      </c>
      <c r="BL625" s="253" cm="1">
        <f t="array" ref="BL625">$BC625 * IF($AD625&lt;=2,
SUMPRODUCT(INDEX($AL$72:$AN$76,,$AE625), INDEX($AO$72:$AU$76,,$AD625), 1 / ($AV$72:$AV$76*BK625 + (1-$AV$72:$AV$76)*BG625), N($AK$72:$AK$76&gt;$AI625)),
SUMPRODUCT(INDEX($AL$67:$AN$76,,$AE625), INDEX($AO$67:$AU$76,,$AD625), 1 / ($AW$67:$AW$76*BK625 + (1-$AW$67:$AW$76)*BG625), N($AK$67:$AK$76&gt;$AI625))
) / 1000</f>
        <v>0</v>
      </c>
      <c r="BM625" s="250">
        <f t="shared" si="632"/>
        <v>25</v>
      </c>
      <c r="BN625" s="237">
        <f t="shared" si="610"/>
        <v>39.516666666666666</v>
      </c>
      <c r="BO625" s="253">
        <f t="shared" si="611"/>
        <v>3.877011788826243</v>
      </c>
      <c r="BP625" s="253" cm="1">
        <f t="array" ref="BP625">$BC625 * IF($AD625&lt;=2,
SUMPRODUCT(INDEX($AL$67:$AN$71,,$AE625), INDEX($AO$67:$AU$71,,$AD625), 1 / ($AV$67:$AV$71*BO625 + (1-$AV$67:$AV$71)*BK625), N($AK$67:$AK$71&gt;$AI625)),
SUMPRODUCT(INDEX($AL$57:$AN$66,,$AE625), INDEX($AO$57:$AU$66,,$AD625), 1 / ($AW$57:$AW$66*BO625 + (1-$AW$57:$AW$66)*BK625), N($AK$57:$AK$66&gt;$AI625))
) / 1000</f>
        <v>0</v>
      </c>
      <c r="BQ625" s="250">
        <f t="shared" si="633"/>
        <v>20</v>
      </c>
      <c r="BR625" s="237">
        <f t="shared" si="612"/>
        <v>33</v>
      </c>
      <c r="BS625" s="253">
        <f t="shared" si="613"/>
        <v>4.8487499999999999</v>
      </c>
      <c r="BT625" s="253" cm="1">
        <f t="array" ref="BT625">$BC625 * IF($AD625&lt;=2,
SUMPRODUCT(INDEX($AL$62:$AN$66,,$AE625), INDEX($AO$62:$AU$66,,$AD625), 1 / ($AV$62:$AV$66*BS625 + (1-$AV$62:$AV$66)*BO625), N($AK$62:$AK$66&gt;$AI625)),
SUMPRODUCT(INDEX($AL$47:$AN$56,,$AE625), INDEX($AO$47:$AU$56,,$AD625), 1 / ($AW$47:$AW$56*BS625 + (1-$AW$47:$AW$56)*BO625), N($AK$47:$AK$56&gt;$AI625))
) / 1000</f>
        <v>0</v>
      </c>
      <c r="BU625" s="253" cm="1">
        <f t="array" ref="BU625">$BC625 * IF($AD625&lt;=2,
SUMPRODUCT(INDEX($AL$23:$AN$61,,$AE625), INDEX($AO$23:$AU$61,,$AD625), 1 / ($AV$23:$AV$61*BS625), N($AK$23:$AK$61&gt;$AI625)),
SUMPRODUCT(INDEX($AL$23:$AN$46,,$AE625), INDEX($AO$23:$AU$46,,$AD625), 1 / ($AW$23:$AW$46*BS625), N($AK$23:$AK$46&gt;$AI625))
) / 1000</f>
        <v>0</v>
      </c>
      <c r="BV625" s="237">
        <f t="shared" si="614"/>
        <v>0</v>
      </c>
      <c r="BW625" s="210"/>
      <c r="BX625" s="237">
        <f t="shared" si="615"/>
        <v>0</v>
      </c>
      <c r="BY625" s="236">
        <v>35</v>
      </c>
      <c r="BZ625" s="237">
        <f t="shared" si="616"/>
        <v>48</v>
      </c>
      <c r="CA625" s="253">
        <f t="shared" si="617"/>
        <v>3.0748170731707316</v>
      </c>
      <c r="CB625" s="253" cm="1">
        <f t="array" ref="CB625">$BC625 * SUMPRODUCT(INDEX($AL$77:$AN$82,,$AE625),INDEX($AO$77:$AU$82,,$AD625), N($AK$77:$AK$82&gt;$AI625)) / CA625 / 1000</f>
        <v>0</v>
      </c>
      <c r="CC625" s="250">
        <f t="shared" si="634"/>
        <v>30</v>
      </c>
      <c r="CD625" s="237">
        <f t="shared" si="618"/>
        <v>43</v>
      </c>
      <c r="CE625" s="253">
        <f t="shared" si="619"/>
        <v>3.5018750000000001</v>
      </c>
      <c r="CF625" s="253" cm="1">
        <f t="array" ref="CF625">$BC625 * IF($AD625&lt;=2,
SUMPRODUCT(INDEX($AL$72:$AN$76,,$AE625), INDEX($AO$72:$AU$76,,$AD625), 1 / ($AV$72:$AV$76*CE625 + (1-$AV$72:$AV$76)*CA625), N($AK$72:$AK$76&gt;$AI625)),
SUMPRODUCT(INDEX($AL$67:$AN$76,,$AE625), INDEX($AO$67:$AU$76,,$AD625), 1 / ($AW$67:$AW$76*CE625 + (1-$AW$67:$AW$76)*CA625), N($AK$67:$AK$76&gt;$AI625))
) / 1000</f>
        <v>0</v>
      </c>
      <c r="CG625" s="250">
        <f t="shared" si="635"/>
        <v>25</v>
      </c>
      <c r="CH625" s="237">
        <f t="shared" si="620"/>
        <v>38</v>
      </c>
      <c r="CI625" s="253">
        <f t="shared" si="621"/>
        <v>4.0666935483870965</v>
      </c>
      <c r="CJ625" s="253" cm="1">
        <f t="array" ref="CJ625">$BC625 * IF($AD625&lt;=2,
SUMPRODUCT(INDEX($AL$67:$AN$71,,$AE625), INDEX($AO$67:$AU$71,,$AD625), 1 / ($AV$67:$AV$71*CI625 + (1-$AV$67:$AV$71)*CE625), N($AK$67:$AK$71&gt;$AI625)),
SUMPRODUCT(INDEX($AL$57:$AN$66,,$AE625), INDEX($AO$57:$AU$66,,$AD625), 1 / ($AW$57:$AW$66*CI625 + (1-$AW$57:$AW$66)*CE625), N($AK$57:$AK$66&gt;$AI625))
) / 1000</f>
        <v>0</v>
      </c>
      <c r="CK625" s="250">
        <f t="shared" si="636"/>
        <v>20</v>
      </c>
      <c r="CL625" s="237">
        <f t="shared" si="622"/>
        <v>33</v>
      </c>
      <c r="CM625" s="253">
        <f t="shared" si="623"/>
        <v>4.8487499999999999</v>
      </c>
      <c r="CN625" s="253" cm="1">
        <f t="array" ref="CN625">$BC625 * IF($AD625&lt;=2,
SUMPRODUCT(INDEX($AL$62:$AN$66,,$AE625), INDEX($AO$62:$AU$66,,$AD625), 1 / ($AV$62:$AV$66*CM625 + (1-$AV$62:$AV$66)*CI625), N($AK$62:$AK$66&gt;$AI625)),
SUMPRODUCT(INDEX($AL$47:$AN$56,,$AE625), INDEX($AO$47:$AU$56,,$AD625), 1 / ($AW$47:$AW$56*CM625 + (1-$AW$47:$AW$56)*CI625), N($AK$47:$AK$56&gt;$AI625))
) / 1000</f>
        <v>0</v>
      </c>
      <c r="CO625" s="253" cm="1">
        <f t="array" ref="CO625">$BC625 * IF($AD625&lt;=2,
SUMPRODUCT(INDEX($AL$23:$AN$61,,$AE625), INDEX($AO$23:$AU$61,,$AD625), 1 / ($AV$23:$AV$61*CM625), N($AK$23:$AK$61&gt;$AI625)),
SUMPRODUCT(INDEX($AL$23:$AN$46,,$AE625), INDEX($AO$23:$AU$46,,$AD625), 1 / ($AW$23:$AW$46*CM625), N($AK$23:$AK$46&gt;$AI625))
) / 1000</f>
        <v>0</v>
      </c>
      <c r="CP625" s="237">
        <f t="shared" si="624"/>
        <v>0</v>
      </c>
      <c r="CQ625" s="210"/>
    </row>
    <row r="626" spans="1:95" s="76" customFormat="1" ht="14.25" customHeight="1" x14ac:dyDescent="0.2">
      <c r="A626" s="238" t="b">
        <f t="shared" si="628"/>
        <v>0</v>
      </c>
      <c r="B626" s="239">
        <v>604</v>
      </c>
      <c r="C626" s="258"/>
      <c r="D626" s="258"/>
      <c r="E626" s="240"/>
      <c r="F626" s="241" t="str">
        <f>IF(ISBLANK(E626), "", VLOOKUP(E626, Z!$A$2:$C$4127, 3, FALSE))</f>
        <v/>
      </c>
      <c r="G626" s="242"/>
      <c r="H626" s="242"/>
      <c r="I626" s="243"/>
      <c r="J626" s="244"/>
      <c r="K626" s="259"/>
      <c r="L626" s="260"/>
      <c r="M626" s="247" t="str" cm="1">
        <f t="array" ref="M626">IF($K626&gt;0, INDEX(Clean,1+AG626,$C$1), "")</f>
        <v/>
      </c>
      <c r="N626" s="245"/>
      <c r="O626" s="245"/>
      <c r="P626" s="246"/>
      <c r="Q626" s="248">
        <f t="shared" si="601"/>
        <v>0</v>
      </c>
      <c r="R626" s="247" t="str" cm="1">
        <f t="array" ref="R626">IF($K626&gt;0, INDEX(Clean,1+AH626,$C$1), "")</f>
        <v/>
      </c>
      <c r="S626" s="245"/>
      <c r="T626" s="245"/>
      <c r="U626" s="246"/>
      <c r="V626" s="248">
        <f t="shared" si="602"/>
        <v>0</v>
      </c>
      <c r="W626" s="261"/>
      <c r="X626" s="258"/>
      <c r="Y626" s="240"/>
      <c r="Z626" s="241" t="str">
        <f>IF(ISBLANK(Y626), "", VLOOKUP(Y626, Z!$A$2:$C$4127, 3, FALSE))</f>
        <v/>
      </c>
      <c r="AA626" s="262"/>
      <c r="AB626" s="249">
        <f t="shared" si="637"/>
        <v>0</v>
      </c>
      <c r="AC626" s="210"/>
      <c r="AD626" s="236">
        <f t="shared" si="625"/>
        <v>1</v>
      </c>
      <c r="AE626" s="236">
        <f t="shared" si="626"/>
        <v>1</v>
      </c>
      <c r="AF626" s="236">
        <f t="shared" si="627"/>
        <v>0</v>
      </c>
      <c r="AG626" s="236">
        <v>1</v>
      </c>
      <c r="AH626" s="236">
        <v>0</v>
      </c>
      <c r="AI626" s="236">
        <f t="shared" si="603"/>
        <v>-100</v>
      </c>
      <c r="AJ626" s="210"/>
      <c r="AK626" s="254"/>
      <c r="AL626" s="254"/>
      <c r="AM626" s="255"/>
      <c r="AN626" s="255"/>
      <c r="AO626" s="255"/>
      <c r="AP626" s="255"/>
      <c r="AQ626" s="255"/>
      <c r="AR626" s="255"/>
      <c r="AS626" s="255"/>
      <c r="AT626" s="255"/>
      <c r="AU626" s="255"/>
      <c r="AV626" s="255"/>
      <c r="AW626" s="255"/>
      <c r="AX626" s="210"/>
      <c r="AY626" s="236" cm="1">
        <f t="array" ref="AY626">INDEX(Use, $AD626, 4)</f>
        <v>7</v>
      </c>
      <c r="AZ626" s="236">
        <f t="shared" si="604"/>
        <v>32</v>
      </c>
      <c r="BA626" s="236">
        <f t="shared" si="629"/>
        <v>13</v>
      </c>
      <c r="BB626" s="236">
        <f t="shared" si="630"/>
        <v>0</v>
      </c>
      <c r="BC626" s="252" cm="1">
        <f t="array" ref="BC626">K626/IF($L626&gt;0, INDEX($AO$23:$AU$77, $L626+20, $AD626), 1)</f>
        <v>0</v>
      </c>
      <c r="BD626" s="237">
        <f t="shared" si="605"/>
        <v>0</v>
      </c>
      <c r="BE626" s="236">
        <v>35</v>
      </c>
      <c r="BF626" s="237">
        <f t="shared" si="606"/>
        <v>52.55</v>
      </c>
      <c r="BG626" s="253">
        <f t="shared" si="607"/>
        <v>2.7676728869374316</v>
      </c>
      <c r="BH626" s="253" cm="1">
        <f t="array" ref="BH626">$BC626 * SUMPRODUCT(INDEX($AL$77:$AN$82,,$AE626),INDEX($AO$77:$AU$82,,$AD626), N($AK$77:$AK$82&gt;$AI626)) / BG626 / 1000</f>
        <v>0</v>
      </c>
      <c r="BI626" s="250">
        <f t="shared" si="631"/>
        <v>30</v>
      </c>
      <c r="BJ626" s="237">
        <f t="shared" si="608"/>
        <v>46.033333333333331</v>
      </c>
      <c r="BK626" s="253">
        <f t="shared" si="609"/>
        <v>3.2297395388556791</v>
      </c>
      <c r="BL626" s="253" cm="1">
        <f t="array" ref="BL626">$BC626 * IF($AD626&lt;=2,
SUMPRODUCT(INDEX($AL$72:$AN$76,,$AE626), INDEX($AO$72:$AU$76,,$AD626), 1 / ($AV$72:$AV$76*BK626 + (1-$AV$72:$AV$76)*BG626), N($AK$72:$AK$76&gt;$AI626)),
SUMPRODUCT(INDEX($AL$67:$AN$76,,$AE626), INDEX($AO$67:$AU$76,,$AD626), 1 / ($AW$67:$AW$76*BK626 + (1-$AW$67:$AW$76)*BG626), N($AK$67:$AK$76&gt;$AI626))
) / 1000</f>
        <v>0</v>
      </c>
      <c r="BM626" s="250">
        <f t="shared" si="632"/>
        <v>25</v>
      </c>
      <c r="BN626" s="237">
        <f t="shared" si="610"/>
        <v>39.516666666666666</v>
      </c>
      <c r="BO626" s="253">
        <f t="shared" si="611"/>
        <v>3.877011788826243</v>
      </c>
      <c r="BP626" s="253" cm="1">
        <f t="array" ref="BP626">$BC626 * IF($AD626&lt;=2,
SUMPRODUCT(INDEX($AL$67:$AN$71,,$AE626), INDEX($AO$67:$AU$71,,$AD626), 1 / ($AV$67:$AV$71*BO626 + (1-$AV$67:$AV$71)*BK626), N($AK$67:$AK$71&gt;$AI626)),
SUMPRODUCT(INDEX($AL$57:$AN$66,,$AE626), INDEX($AO$57:$AU$66,,$AD626), 1 / ($AW$57:$AW$66*BO626 + (1-$AW$57:$AW$66)*BK626), N($AK$57:$AK$66&gt;$AI626))
) / 1000</f>
        <v>0</v>
      </c>
      <c r="BQ626" s="250">
        <f t="shared" si="633"/>
        <v>20</v>
      </c>
      <c r="BR626" s="237">
        <f t="shared" si="612"/>
        <v>33</v>
      </c>
      <c r="BS626" s="253">
        <f t="shared" si="613"/>
        <v>4.8487499999999999</v>
      </c>
      <c r="BT626" s="253" cm="1">
        <f t="array" ref="BT626">$BC626 * IF($AD626&lt;=2,
SUMPRODUCT(INDEX($AL$62:$AN$66,,$AE626), INDEX($AO$62:$AU$66,,$AD626), 1 / ($AV$62:$AV$66*BS626 + (1-$AV$62:$AV$66)*BO626), N($AK$62:$AK$66&gt;$AI626)),
SUMPRODUCT(INDEX($AL$47:$AN$56,,$AE626), INDEX($AO$47:$AU$56,,$AD626), 1 / ($AW$47:$AW$56*BS626 + (1-$AW$47:$AW$56)*BO626), N($AK$47:$AK$56&gt;$AI626))
) / 1000</f>
        <v>0</v>
      </c>
      <c r="BU626" s="253" cm="1">
        <f t="array" ref="BU626">$BC626 * IF($AD626&lt;=2,
SUMPRODUCT(INDEX($AL$23:$AN$61,,$AE626), INDEX($AO$23:$AU$61,,$AD626), 1 / ($AV$23:$AV$61*BS626), N($AK$23:$AK$61&gt;$AI626)),
SUMPRODUCT(INDEX($AL$23:$AN$46,,$AE626), INDEX($AO$23:$AU$46,,$AD626), 1 / ($AW$23:$AW$46*BS626), N($AK$23:$AK$46&gt;$AI626))
) / 1000</f>
        <v>0</v>
      </c>
      <c r="BV626" s="237">
        <f t="shared" si="614"/>
        <v>0</v>
      </c>
      <c r="BW626" s="210"/>
      <c r="BX626" s="237">
        <f t="shared" si="615"/>
        <v>0</v>
      </c>
      <c r="BY626" s="236">
        <v>35</v>
      </c>
      <c r="BZ626" s="237">
        <f t="shared" si="616"/>
        <v>48</v>
      </c>
      <c r="CA626" s="253">
        <f t="shared" si="617"/>
        <v>3.0748170731707316</v>
      </c>
      <c r="CB626" s="253" cm="1">
        <f t="array" ref="CB626">$BC626 * SUMPRODUCT(INDEX($AL$77:$AN$82,,$AE626),INDEX($AO$77:$AU$82,,$AD626), N($AK$77:$AK$82&gt;$AI626)) / CA626 / 1000</f>
        <v>0</v>
      </c>
      <c r="CC626" s="250">
        <f t="shared" si="634"/>
        <v>30</v>
      </c>
      <c r="CD626" s="237">
        <f t="shared" si="618"/>
        <v>43</v>
      </c>
      <c r="CE626" s="253">
        <f t="shared" si="619"/>
        <v>3.5018750000000001</v>
      </c>
      <c r="CF626" s="253" cm="1">
        <f t="array" ref="CF626">$BC626 * IF($AD626&lt;=2,
SUMPRODUCT(INDEX($AL$72:$AN$76,,$AE626), INDEX($AO$72:$AU$76,,$AD626), 1 / ($AV$72:$AV$76*CE626 + (1-$AV$72:$AV$76)*CA626), N($AK$72:$AK$76&gt;$AI626)),
SUMPRODUCT(INDEX($AL$67:$AN$76,,$AE626), INDEX($AO$67:$AU$76,,$AD626), 1 / ($AW$67:$AW$76*CE626 + (1-$AW$67:$AW$76)*CA626), N($AK$67:$AK$76&gt;$AI626))
) / 1000</f>
        <v>0</v>
      </c>
      <c r="CG626" s="250">
        <f t="shared" si="635"/>
        <v>25</v>
      </c>
      <c r="CH626" s="237">
        <f t="shared" si="620"/>
        <v>38</v>
      </c>
      <c r="CI626" s="253">
        <f t="shared" si="621"/>
        <v>4.0666935483870965</v>
      </c>
      <c r="CJ626" s="253" cm="1">
        <f t="array" ref="CJ626">$BC626 * IF($AD626&lt;=2,
SUMPRODUCT(INDEX($AL$67:$AN$71,,$AE626), INDEX($AO$67:$AU$71,,$AD626), 1 / ($AV$67:$AV$71*CI626 + (1-$AV$67:$AV$71)*CE626), N($AK$67:$AK$71&gt;$AI626)),
SUMPRODUCT(INDEX($AL$57:$AN$66,,$AE626), INDEX($AO$57:$AU$66,,$AD626), 1 / ($AW$57:$AW$66*CI626 + (1-$AW$57:$AW$66)*CE626), N($AK$57:$AK$66&gt;$AI626))
) / 1000</f>
        <v>0</v>
      </c>
      <c r="CK626" s="250">
        <f t="shared" si="636"/>
        <v>20</v>
      </c>
      <c r="CL626" s="237">
        <f t="shared" si="622"/>
        <v>33</v>
      </c>
      <c r="CM626" s="253">
        <f t="shared" si="623"/>
        <v>4.8487499999999999</v>
      </c>
      <c r="CN626" s="253" cm="1">
        <f t="array" ref="CN626">$BC626 * IF($AD626&lt;=2,
SUMPRODUCT(INDEX($AL$62:$AN$66,,$AE626), INDEX($AO$62:$AU$66,,$AD626), 1 / ($AV$62:$AV$66*CM626 + (1-$AV$62:$AV$66)*CI626), N($AK$62:$AK$66&gt;$AI626)),
SUMPRODUCT(INDEX($AL$47:$AN$56,,$AE626), INDEX($AO$47:$AU$56,,$AD626), 1 / ($AW$47:$AW$56*CM626 + (1-$AW$47:$AW$56)*CI626), N($AK$47:$AK$56&gt;$AI626))
) / 1000</f>
        <v>0</v>
      </c>
      <c r="CO626" s="253" cm="1">
        <f t="array" ref="CO626">$BC626 * IF($AD626&lt;=2,
SUMPRODUCT(INDEX($AL$23:$AN$61,,$AE626), INDEX($AO$23:$AU$61,,$AD626), 1 / ($AV$23:$AV$61*CM626), N($AK$23:$AK$61&gt;$AI626)),
SUMPRODUCT(INDEX($AL$23:$AN$46,,$AE626), INDEX($AO$23:$AU$46,,$AD626), 1 / ($AW$23:$AW$46*CM626), N($AK$23:$AK$46&gt;$AI626))
) / 1000</f>
        <v>0</v>
      </c>
      <c r="CP626" s="237">
        <f t="shared" si="624"/>
        <v>0</v>
      </c>
      <c r="CQ626" s="210"/>
    </row>
    <row r="627" spans="1:95" s="76" customFormat="1" ht="14.25" customHeight="1" x14ac:dyDescent="0.2">
      <c r="A627" s="238" t="b">
        <f t="shared" si="628"/>
        <v>0</v>
      </c>
      <c r="B627" s="239">
        <v>605</v>
      </c>
      <c r="C627" s="258"/>
      <c r="D627" s="258"/>
      <c r="E627" s="240"/>
      <c r="F627" s="241" t="str">
        <f>IF(ISBLANK(E627), "", VLOOKUP(E627, Z!$A$2:$C$4127, 3, FALSE))</f>
        <v/>
      </c>
      <c r="G627" s="242"/>
      <c r="H627" s="242"/>
      <c r="I627" s="243"/>
      <c r="J627" s="244"/>
      <c r="K627" s="259"/>
      <c r="L627" s="260"/>
      <c r="M627" s="247" t="str" cm="1">
        <f t="array" ref="M627">IF($K627&gt;0, INDEX(Clean,1+AG627,$C$1), "")</f>
        <v/>
      </c>
      <c r="N627" s="245"/>
      <c r="O627" s="245"/>
      <c r="P627" s="246"/>
      <c r="Q627" s="248">
        <f t="shared" si="601"/>
        <v>0</v>
      </c>
      <c r="R627" s="247" t="str" cm="1">
        <f t="array" ref="R627">IF($K627&gt;0, INDEX(Clean,1+AH627,$C$1), "")</f>
        <v/>
      </c>
      <c r="S627" s="245"/>
      <c r="T627" s="245"/>
      <c r="U627" s="246"/>
      <c r="V627" s="248">
        <f t="shared" si="602"/>
        <v>0</v>
      </c>
      <c r="W627" s="261"/>
      <c r="X627" s="258"/>
      <c r="Y627" s="240"/>
      <c r="Z627" s="241" t="str">
        <f>IF(ISBLANK(Y627), "", VLOOKUP(Y627, Z!$A$2:$C$4127, 3, FALSE))</f>
        <v/>
      </c>
      <c r="AA627" s="262"/>
      <c r="AB627" s="249">
        <f t="shared" si="637"/>
        <v>0</v>
      </c>
      <c r="AC627" s="210"/>
      <c r="AD627" s="236">
        <f t="shared" si="625"/>
        <v>1</v>
      </c>
      <c r="AE627" s="236">
        <f t="shared" si="626"/>
        <v>1</v>
      </c>
      <c r="AF627" s="236">
        <f t="shared" si="627"/>
        <v>0</v>
      </c>
      <c r="AG627" s="236">
        <v>1</v>
      </c>
      <c r="AH627" s="236">
        <v>0</v>
      </c>
      <c r="AI627" s="236">
        <f t="shared" si="603"/>
        <v>-100</v>
      </c>
      <c r="AJ627" s="210"/>
      <c r="AK627" s="254"/>
      <c r="AL627" s="254"/>
      <c r="AM627" s="255"/>
      <c r="AN627" s="255"/>
      <c r="AO627" s="255"/>
      <c r="AP627" s="255"/>
      <c r="AQ627" s="255"/>
      <c r="AR627" s="255"/>
      <c r="AS627" s="255"/>
      <c r="AT627" s="255"/>
      <c r="AU627" s="255"/>
      <c r="AV627" s="255"/>
      <c r="AW627" s="255"/>
      <c r="AX627" s="210"/>
      <c r="AY627" s="236" cm="1">
        <f t="array" ref="AY627">INDEX(Use, $AD627, 4)</f>
        <v>7</v>
      </c>
      <c r="AZ627" s="236">
        <f t="shared" si="604"/>
        <v>32</v>
      </c>
      <c r="BA627" s="236">
        <f t="shared" si="629"/>
        <v>13</v>
      </c>
      <c r="BB627" s="236">
        <f t="shared" si="630"/>
        <v>0</v>
      </c>
      <c r="BC627" s="252" cm="1">
        <f t="array" ref="BC627">K627/IF($L627&gt;0, INDEX($AO$23:$AU$77, $L627+20, $AD627), 1)</f>
        <v>0</v>
      </c>
      <c r="BD627" s="237">
        <f t="shared" si="605"/>
        <v>0</v>
      </c>
      <c r="BE627" s="236">
        <v>35</v>
      </c>
      <c r="BF627" s="237">
        <f t="shared" si="606"/>
        <v>52.55</v>
      </c>
      <c r="BG627" s="253">
        <f t="shared" si="607"/>
        <v>2.7676728869374316</v>
      </c>
      <c r="BH627" s="253" cm="1">
        <f t="array" ref="BH627">$BC627 * SUMPRODUCT(INDEX($AL$77:$AN$82,,$AE627),INDEX($AO$77:$AU$82,,$AD627), N($AK$77:$AK$82&gt;$AI627)) / BG627 / 1000</f>
        <v>0</v>
      </c>
      <c r="BI627" s="250">
        <f t="shared" si="631"/>
        <v>30</v>
      </c>
      <c r="BJ627" s="237">
        <f t="shared" si="608"/>
        <v>46.033333333333331</v>
      </c>
      <c r="BK627" s="253">
        <f t="shared" si="609"/>
        <v>3.2297395388556791</v>
      </c>
      <c r="BL627" s="253" cm="1">
        <f t="array" ref="BL627">$BC627 * IF($AD627&lt;=2,
SUMPRODUCT(INDEX($AL$72:$AN$76,,$AE627), INDEX($AO$72:$AU$76,,$AD627), 1 / ($AV$72:$AV$76*BK627 + (1-$AV$72:$AV$76)*BG627), N($AK$72:$AK$76&gt;$AI627)),
SUMPRODUCT(INDEX($AL$67:$AN$76,,$AE627), INDEX($AO$67:$AU$76,,$AD627), 1 / ($AW$67:$AW$76*BK627 + (1-$AW$67:$AW$76)*BG627), N($AK$67:$AK$76&gt;$AI627))
) / 1000</f>
        <v>0</v>
      </c>
      <c r="BM627" s="250">
        <f t="shared" si="632"/>
        <v>25</v>
      </c>
      <c r="BN627" s="237">
        <f t="shared" si="610"/>
        <v>39.516666666666666</v>
      </c>
      <c r="BO627" s="253">
        <f t="shared" si="611"/>
        <v>3.877011788826243</v>
      </c>
      <c r="BP627" s="253" cm="1">
        <f t="array" ref="BP627">$BC627 * IF($AD627&lt;=2,
SUMPRODUCT(INDEX($AL$67:$AN$71,,$AE627), INDEX($AO$67:$AU$71,,$AD627), 1 / ($AV$67:$AV$71*BO627 + (1-$AV$67:$AV$71)*BK627), N($AK$67:$AK$71&gt;$AI627)),
SUMPRODUCT(INDEX($AL$57:$AN$66,,$AE627), INDEX($AO$57:$AU$66,,$AD627), 1 / ($AW$57:$AW$66*BO627 + (1-$AW$57:$AW$66)*BK627), N($AK$57:$AK$66&gt;$AI627))
) / 1000</f>
        <v>0</v>
      </c>
      <c r="BQ627" s="250">
        <f t="shared" si="633"/>
        <v>20</v>
      </c>
      <c r="BR627" s="237">
        <f t="shared" si="612"/>
        <v>33</v>
      </c>
      <c r="BS627" s="253">
        <f t="shared" si="613"/>
        <v>4.8487499999999999</v>
      </c>
      <c r="BT627" s="253" cm="1">
        <f t="array" ref="BT627">$BC627 * IF($AD627&lt;=2,
SUMPRODUCT(INDEX($AL$62:$AN$66,,$AE627), INDEX($AO$62:$AU$66,,$AD627), 1 / ($AV$62:$AV$66*BS627 + (1-$AV$62:$AV$66)*BO627), N($AK$62:$AK$66&gt;$AI627)),
SUMPRODUCT(INDEX($AL$47:$AN$56,,$AE627), INDEX($AO$47:$AU$56,,$AD627), 1 / ($AW$47:$AW$56*BS627 + (1-$AW$47:$AW$56)*BO627), N($AK$47:$AK$56&gt;$AI627))
) / 1000</f>
        <v>0</v>
      </c>
      <c r="BU627" s="253" cm="1">
        <f t="array" ref="BU627">$BC627 * IF($AD627&lt;=2,
SUMPRODUCT(INDEX($AL$23:$AN$61,,$AE627), INDEX($AO$23:$AU$61,,$AD627), 1 / ($AV$23:$AV$61*BS627), N($AK$23:$AK$61&gt;$AI627)),
SUMPRODUCT(INDEX($AL$23:$AN$46,,$AE627), INDEX($AO$23:$AU$46,,$AD627), 1 / ($AW$23:$AW$46*BS627), N($AK$23:$AK$46&gt;$AI627))
) / 1000</f>
        <v>0</v>
      </c>
      <c r="BV627" s="237">
        <f t="shared" si="614"/>
        <v>0</v>
      </c>
      <c r="BW627" s="210"/>
      <c r="BX627" s="237">
        <f t="shared" si="615"/>
        <v>0</v>
      </c>
      <c r="BY627" s="236">
        <v>35</v>
      </c>
      <c r="BZ627" s="237">
        <f t="shared" si="616"/>
        <v>48</v>
      </c>
      <c r="CA627" s="253">
        <f t="shared" si="617"/>
        <v>3.0748170731707316</v>
      </c>
      <c r="CB627" s="253" cm="1">
        <f t="array" ref="CB627">$BC627 * SUMPRODUCT(INDEX($AL$77:$AN$82,,$AE627),INDEX($AO$77:$AU$82,,$AD627), N($AK$77:$AK$82&gt;$AI627)) / CA627 / 1000</f>
        <v>0</v>
      </c>
      <c r="CC627" s="250">
        <f t="shared" si="634"/>
        <v>30</v>
      </c>
      <c r="CD627" s="237">
        <f t="shared" si="618"/>
        <v>43</v>
      </c>
      <c r="CE627" s="253">
        <f t="shared" si="619"/>
        <v>3.5018750000000001</v>
      </c>
      <c r="CF627" s="253" cm="1">
        <f t="array" ref="CF627">$BC627 * IF($AD627&lt;=2,
SUMPRODUCT(INDEX($AL$72:$AN$76,,$AE627), INDEX($AO$72:$AU$76,,$AD627), 1 / ($AV$72:$AV$76*CE627 + (1-$AV$72:$AV$76)*CA627), N($AK$72:$AK$76&gt;$AI627)),
SUMPRODUCT(INDEX($AL$67:$AN$76,,$AE627), INDEX($AO$67:$AU$76,,$AD627), 1 / ($AW$67:$AW$76*CE627 + (1-$AW$67:$AW$76)*CA627), N($AK$67:$AK$76&gt;$AI627))
) / 1000</f>
        <v>0</v>
      </c>
      <c r="CG627" s="250">
        <f t="shared" si="635"/>
        <v>25</v>
      </c>
      <c r="CH627" s="237">
        <f t="shared" si="620"/>
        <v>38</v>
      </c>
      <c r="CI627" s="253">
        <f t="shared" si="621"/>
        <v>4.0666935483870965</v>
      </c>
      <c r="CJ627" s="253" cm="1">
        <f t="array" ref="CJ627">$BC627 * IF($AD627&lt;=2,
SUMPRODUCT(INDEX($AL$67:$AN$71,,$AE627), INDEX($AO$67:$AU$71,,$AD627), 1 / ($AV$67:$AV$71*CI627 + (1-$AV$67:$AV$71)*CE627), N($AK$67:$AK$71&gt;$AI627)),
SUMPRODUCT(INDEX($AL$57:$AN$66,,$AE627), INDEX($AO$57:$AU$66,,$AD627), 1 / ($AW$57:$AW$66*CI627 + (1-$AW$57:$AW$66)*CE627), N($AK$57:$AK$66&gt;$AI627))
) / 1000</f>
        <v>0</v>
      </c>
      <c r="CK627" s="250">
        <f t="shared" si="636"/>
        <v>20</v>
      </c>
      <c r="CL627" s="237">
        <f t="shared" si="622"/>
        <v>33</v>
      </c>
      <c r="CM627" s="253">
        <f t="shared" si="623"/>
        <v>4.8487499999999999</v>
      </c>
      <c r="CN627" s="253" cm="1">
        <f t="array" ref="CN627">$BC627 * IF($AD627&lt;=2,
SUMPRODUCT(INDEX($AL$62:$AN$66,,$AE627), INDEX($AO$62:$AU$66,,$AD627), 1 / ($AV$62:$AV$66*CM627 + (1-$AV$62:$AV$66)*CI627), N($AK$62:$AK$66&gt;$AI627)),
SUMPRODUCT(INDEX($AL$47:$AN$56,,$AE627), INDEX($AO$47:$AU$56,,$AD627), 1 / ($AW$47:$AW$56*CM627 + (1-$AW$47:$AW$56)*CI627), N($AK$47:$AK$56&gt;$AI627))
) / 1000</f>
        <v>0</v>
      </c>
      <c r="CO627" s="253" cm="1">
        <f t="array" ref="CO627">$BC627 * IF($AD627&lt;=2,
SUMPRODUCT(INDEX($AL$23:$AN$61,,$AE627), INDEX($AO$23:$AU$61,,$AD627), 1 / ($AV$23:$AV$61*CM627), N($AK$23:$AK$61&gt;$AI627)),
SUMPRODUCT(INDEX($AL$23:$AN$46,,$AE627), INDEX($AO$23:$AU$46,,$AD627), 1 / ($AW$23:$AW$46*CM627), N($AK$23:$AK$46&gt;$AI627))
) / 1000</f>
        <v>0</v>
      </c>
      <c r="CP627" s="237">
        <f t="shared" si="624"/>
        <v>0</v>
      </c>
      <c r="CQ627" s="210"/>
    </row>
    <row r="628" spans="1:95" s="76" customFormat="1" ht="14.25" customHeight="1" x14ac:dyDescent="0.2">
      <c r="A628" s="238" t="b">
        <f t="shared" si="628"/>
        <v>0</v>
      </c>
      <c r="B628" s="239">
        <v>606</v>
      </c>
      <c r="C628" s="258"/>
      <c r="D628" s="258"/>
      <c r="E628" s="240"/>
      <c r="F628" s="241" t="str">
        <f>IF(ISBLANK(E628), "", VLOOKUP(E628, Z!$A$2:$C$4127, 3, FALSE))</f>
        <v/>
      </c>
      <c r="G628" s="242"/>
      <c r="H628" s="242"/>
      <c r="I628" s="243"/>
      <c r="J628" s="244"/>
      <c r="K628" s="259"/>
      <c r="L628" s="260"/>
      <c r="M628" s="247" t="str" cm="1">
        <f t="array" ref="M628">IF($K628&gt;0, INDEX(Clean,1+AG628,$C$1), "")</f>
        <v/>
      </c>
      <c r="N628" s="245"/>
      <c r="O628" s="245"/>
      <c r="P628" s="246"/>
      <c r="Q628" s="248">
        <f t="shared" si="601"/>
        <v>0</v>
      </c>
      <c r="R628" s="247" t="str" cm="1">
        <f t="array" ref="R628">IF($K628&gt;0, INDEX(Clean,1+AH628,$C$1), "")</f>
        <v/>
      </c>
      <c r="S628" s="245"/>
      <c r="T628" s="245"/>
      <c r="U628" s="246"/>
      <c r="V628" s="248">
        <f t="shared" si="602"/>
        <v>0</v>
      </c>
      <c r="W628" s="261"/>
      <c r="X628" s="258"/>
      <c r="Y628" s="240"/>
      <c r="Z628" s="241" t="str">
        <f>IF(ISBLANK(Y628), "", VLOOKUP(Y628, Z!$A$2:$C$4127, 3, FALSE))</f>
        <v/>
      </c>
      <c r="AA628" s="262"/>
      <c r="AB628" s="249">
        <f t="shared" si="637"/>
        <v>0</v>
      </c>
      <c r="AC628" s="210"/>
      <c r="AD628" s="236">
        <f t="shared" si="625"/>
        <v>1</v>
      </c>
      <c r="AE628" s="236">
        <f t="shared" si="626"/>
        <v>1</v>
      </c>
      <c r="AF628" s="236">
        <f t="shared" si="627"/>
        <v>0</v>
      </c>
      <c r="AG628" s="236">
        <v>1</v>
      </c>
      <c r="AH628" s="236">
        <v>0</v>
      </c>
      <c r="AI628" s="236">
        <f t="shared" si="603"/>
        <v>-100</v>
      </c>
      <c r="AJ628" s="210"/>
      <c r="AK628" s="254"/>
      <c r="AL628" s="254"/>
      <c r="AM628" s="255"/>
      <c r="AN628" s="255"/>
      <c r="AO628" s="255"/>
      <c r="AP628" s="255"/>
      <c r="AQ628" s="255"/>
      <c r="AR628" s="255"/>
      <c r="AS628" s="255"/>
      <c r="AT628" s="255"/>
      <c r="AU628" s="255"/>
      <c r="AV628" s="255"/>
      <c r="AW628" s="255"/>
      <c r="AX628" s="210"/>
      <c r="AY628" s="236" cm="1">
        <f t="array" ref="AY628">INDEX(Use, $AD628, 4)</f>
        <v>7</v>
      </c>
      <c r="AZ628" s="236">
        <f t="shared" si="604"/>
        <v>32</v>
      </c>
      <c r="BA628" s="236">
        <f t="shared" si="629"/>
        <v>13</v>
      </c>
      <c r="BB628" s="236">
        <f t="shared" si="630"/>
        <v>0</v>
      </c>
      <c r="BC628" s="252" cm="1">
        <f t="array" ref="BC628">K628/IF($L628&gt;0, INDEX($AO$23:$AU$77, $L628+20, $AD628), 1)</f>
        <v>0</v>
      </c>
      <c r="BD628" s="237">
        <f t="shared" si="605"/>
        <v>0</v>
      </c>
      <c r="BE628" s="236">
        <v>35</v>
      </c>
      <c r="BF628" s="237">
        <f t="shared" si="606"/>
        <v>52.55</v>
      </c>
      <c r="BG628" s="253">
        <f t="shared" si="607"/>
        <v>2.7676728869374316</v>
      </c>
      <c r="BH628" s="253" cm="1">
        <f t="array" ref="BH628">$BC628 * SUMPRODUCT(INDEX($AL$77:$AN$82,,$AE628),INDEX($AO$77:$AU$82,,$AD628), N($AK$77:$AK$82&gt;$AI628)) / BG628 / 1000</f>
        <v>0</v>
      </c>
      <c r="BI628" s="250">
        <f t="shared" si="631"/>
        <v>30</v>
      </c>
      <c r="BJ628" s="237">
        <f t="shared" si="608"/>
        <v>46.033333333333331</v>
      </c>
      <c r="BK628" s="253">
        <f t="shared" si="609"/>
        <v>3.2297395388556791</v>
      </c>
      <c r="BL628" s="253" cm="1">
        <f t="array" ref="BL628">$BC628 * IF($AD628&lt;=2,
SUMPRODUCT(INDEX($AL$72:$AN$76,,$AE628), INDEX($AO$72:$AU$76,,$AD628), 1 / ($AV$72:$AV$76*BK628 + (1-$AV$72:$AV$76)*BG628), N($AK$72:$AK$76&gt;$AI628)),
SUMPRODUCT(INDEX($AL$67:$AN$76,,$AE628), INDEX($AO$67:$AU$76,,$AD628), 1 / ($AW$67:$AW$76*BK628 + (1-$AW$67:$AW$76)*BG628), N($AK$67:$AK$76&gt;$AI628))
) / 1000</f>
        <v>0</v>
      </c>
      <c r="BM628" s="250">
        <f t="shared" si="632"/>
        <v>25</v>
      </c>
      <c r="BN628" s="237">
        <f t="shared" si="610"/>
        <v>39.516666666666666</v>
      </c>
      <c r="BO628" s="253">
        <f t="shared" si="611"/>
        <v>3.877011788826243</v>
      </c>
      <c r="BP628" s="253" cm="1">
        <f t="array" ref="BP628">$BC628 * IF($AD628&lt;=2,
SUMPRODUCT(INDEX($AL$67:$AN$71,,$AE628), INDEX($AO$67:$AU$71,,$AD628), 1 / ($AV$67:$AV$71*BO628 + (1-$AV$67:$AV$71)*BK628), N($AK$67:$AK$71&gt;$AI628)),
SUMPRODUCT(INDEX($AL$57:$AN$66,,$AE628), INDEX($AO$57:$AU$66,,$AD628), 1 / ($AW$57:$AW$66*BO628 + (1-$AW$57:$AW$66)*BK628), N($AK$57:$AK$66&gt;$AI628))
) / 1000</f>
        <v>0</v>
      </c>
      <c r="BQ628" s="250">
        <f t="shared" si="633"/>
        <v>20</v>
      </c>
      <c r="BR628" s="237">
        <f t="shared" si="612"/>
        <v>33</v>
      </c>
      <c r="BS628" s="253">
        <f t="shared" si="613"/>
        <v>4.8487499999999999</v>
      </c>
      <c r="BT628" s="253" cm="1">
        <f t="array" ref="BT628">$BC628 * IF($AD628&lt;=2,
SUMPRODUCT(INDEX($AL$62:$AN$66,,$AE628), INDEX($AO$62:$AU$66,,$AD628), 1 / ($AV$62:$AV$66*BS628 + (1-$AV$62:$AV$66)*BO628), N($AK$62:$AK$66&gt;$AI628)),
SUMPRODUCT(INDEX($AL$47:$AN$56,,$AE628), INDEX($AO$47:$AU$56,,$AD628), 1 / ($AW$47:$AW$56*BS628 + (1-$AW$47:$AW$56)*BO628), N($AK$47:$AK$56&gt;$AI628))
) / 1000</f>
        <v>0</v>
      </c>
      <c r="BU628" s="253" cm="1">
        <f t="array" ref="BU628">$BC628 * IF($AD628&lt;=2,
SUMPRODUCT(INDEX($AL$23:$AN$61,,$AE628), INDEX($AO$23:$AU$61,,$AD628), 1 / ($AV$23:$AV$61*BS628), N($AK$23:$AK$61&gt;$AI628)),
SUMPRODUCT(INDEX($AL$23:$AN$46,,$AE628), INDEX($AO$23:$AU$46,,$AD628), 1 / ($AW$23:$AW$46*BS628), N($AK$23:$AK$46&gt;$AI628))
) / 1000</f>
        <v>0</v>
      </c>
      <c r="BV628" s="237">
        <f t="shared" si="614"/>
        <v>0</v>
      </c>
      <c r="BW628" s="210"/>
      <c r="BX628" s="237">
        <f t="shared" si="615"/>
        <v>0</v>
      </c>
      <c r="BY628" s="236">
        <v>35</v>
      </c>
      <c r="BZ628" s="237">
        <f t="shared" si="616"/>
        <v>48</v>
      </c>
      <c r="CA628" s="253">
        <f t="shared" si="617"/>
        <v>3.0748170731707316</v>
      </c>
      <c r="CB628" s="253" cm="1">
        <f t="array" ref="CB628">$BC628 * SUMPRODUCT(INDEX($AL$77:$AN$82,,$AE628),INDEX($AO$77:$AU$82,,$AD628), N($AK$77:$AK$82&gt;$AI628)) / CA628 / 1000</f>
        <v>0</v>
      </c>
      <c r="CC628" s="250">
        <f t="shared" si="634"/>
        <v>30</v>
      </c>
      <c r="CD628" s="237">
        <f t="shared" si="618"/>
        <v>43</v>
      </c>
      <c r="CE628" s="253">
        <f t="shared" si="619"/>
        <v>3.5018750000000001</v>
      </c>
      <c r="CF628" s="253" cm="1">
        <f t="array" ref="CF628">$BC628 * IF($AD628&lt;=2,
SUMPRODUCT(INDEX($AL$72:$AN$76,,$AE628), INDEX($AO$72:$AU$76,,$AD628), 1 / ($AV$72:$AV$76*CE628 + (1-$AV$72:$AV$76)*CA628), N($AK$72:$AK$76&gt;$AI628)),
SUMPRODUCT(INDEX($AL$67:$AN$76,,$AE628), INDEX($AO$67:$AU$76,,$AD628), 1 / ($AW$67:$AW$76*CE628 + (1-$AW$67:$AW$76)*CA628), N($AK$67:$AK$76&gt;$AI628))
) / 1000</f>
        <v>0</v>
      </c>
      <c r="CG628" s="250">
        <f t="shared" si="635"/>
        <v>25</v>
      </c>
      <c r="CH628" s="237">
        <f t="shared" si="620"/>
        <v>38</v>
      </c>
      <c r="CI628" s="253">
        <f t="shared" si="621"/>
        <v>4.0666935483870965</v>
      </c>
      <c r="CJ628" s="253" cm="1">
        <f t="array" ref="CJ628">$BC628 * IF($AD628&lt;=2,
SUMPRODUCT(INDEX($AL$67:$AN$71,,$AE628), INDEX($AO$67:$AU$71,,$AD628), 1 / ($AV$67:$AV$71*CI628 + (1-$AV$67:$AV$71)*CE628), N($AK$67:$AK$71&gt;$AI628)),
SUMPRODUCT(INDEX($AL$57:$AN$66,,$AE628), INDEX($AO$57:$AU$66,,$AD628), 1 / ($AW$57:$AW$66*CI628 + (1-$AW$57:$AW$66)*CE628), N($AK$57:$AK$66&gt;$AI628))
) / 1000</f>
        <v>0</v>
      </c>
      <c r="CK628" s="250">
        <f t="shared" si="636"/>
        <v>20</v>
      </c>
      <c r="CL628" s="237">
        <f t="shared" si="622"/>
        <v>33</v>
      </c>
      <c r="CM628" s="253">
        <f t="shared" si="623"/>
        <v>4.8487499999999999</v>
      </c>
      <c r="CN628" s="253" cm="1">
        <f t="array" ref="CN628">$BC628 * IF($AD628&lt;=2,
SUMPRODUCT(INDEX($AL$62:$AN$66,,$AE628), INDEX($AO$62:$AU$66,,$AD628), 1 / ($AV$62:$AV$66*CM628 + (1-$AV$62:$AV$66)*CI628), N($AK$62:$AK$66&gt;$AI628)),
SUMPRODUCT(INDEX($AL$47:$AN$56,,$AE628), INDEX($AO$47:$AU$56,,$AD628), 1 / ($AW$47:$AW$56*CM628 + (1-$AW$47:$AW$56)*CI628), N($AK$47:$AK$56&gt;$AI628))
) / 1000</f>
        <v>0</v>
      </c>
      <c r="CO628" s="253" cm="1">
        <f t="array" ref="CO628">$BC628 * IF($AD628&lt;=2,
SUMPRODUCT(INDEX($AL$23:$AN$61,,$AE628), INDEX($AO$23:$AU$61,,$AD628), 1 / ($AV$23:$AV$61*CM628), N($AK$23:$AK$61&gt;$AI628)),
SUMPRODUCT(INDEX($AL$23:$AN$46,,$AE628), INDEX($AO$23:$AU$46,,$AD628), 1 / ($AW$23:$AW$46*CM628), N($AK$23:$AK$46&gt;$AI628))
) / 1000</f>
        <v>0</v>
      </c>
      <c r="CP628" s="237">
        <f t="shared" si="624"/>
        <v>0</v>
      </c>
      <c r="CQ628" s="210"/>
    </row>
    <row r="629" spans="1:95" s="76" customFormat="1" ht="14.25" customHeight="1" x14ac:dyDescent="0.2">
      <c r="A629" s="238" t="b">
        <f t="shared" si="628"/>
        <v>0</v>
      </c>
      <c r="B629" s="239">
        <v>607</v>
      </c>
      <c r="C629" s="258"/>
      <c r="D629" s="258"/>
      <c r="E629" s="240"/>
      <c r="F629" s="241" t="str">
        <f>IF(ISBLANK(E629), "", VLOOKUP(E629, Z!$A$2:$C$4127, 3, FALSE))</f>
        <v/>
      </c>
      <c r="G629" s="242"/>
      <c r="H629" s="242"/>
      <c r="I629" s="243"/>
      <c r="J629" s="244"/>
      <c r="K629" s="259"/>
      <c r="L629" s="260"/>
      <c r="M629" s="247" t="str" cm="1">
        <f t="array" ref="M629">IF($K629&gt;0, INDEX(Clean,1+AG629,$C$1), "")</f>
        <v/>
      </c>
      <c r="N629" s="245"/>
      <c r="O629" s="245"/>
      <c r="P629" s="246"/>
      <c r="Q629" s="248">
        <f t="shared" si="601"/>
        <v>0</v>
      </c>
      <c r="R629" s="247" t="str" cm="1">
        <f t="array" ref="R629">IF($K629&gt;0, INDEX(Clean,1+AH629,$C$1), "")</f>
        <v/>
      </c>
      <c r="S629" s="245"/>
      <c r="T629" s="245"/>
      <c r="U629" s="246"/>
      <c r="V629" s="248">
        <f t="shared" si="602"/>
        <v>0</v>
      </c>
      <c r="W629" s="261"/>
      <c r="X629" s="258"/>
      <c r="Y629" s="240"/>
      <c r="Z629" s="241" t="str">
        <f>IF(ISBLANK(Y629), "", VLOOKUP(Y629, Z!$A$2:$C$4127, 3, FALSE))</f>
        <v/>
      </c>
      <c r="AA629" s="262"/>
      <c r="AB629" s="249">
        <f t="shared" si="637"/>
        <v>0</v>
      </c>
      <c r="AC629" s="210"/>
      <c r="AD629" s="236">
        <f t="shared" si="625"/>
        <v>1</v>
      </c>
      <c r="AE629" s="236">
        <f t="shared" si="626"/>
        <v>1</v>
      </c>
      <c r="AF629" s="236">
        <f t="shared" si="627"/>
        <v>0</v>
      </c>
      <c r="AG629" s="236">
        <v>1</v>
      </c>
      <c r="AH629" s="236">
        <v>0</v>
      </c>
      <c r="AI629" s="236">
        <f t="shared" si="603"/>
        <v>-100</v>
      </c>
      <c r="AJ629" s="210"/>
      <c r="AK629" s="254"/>
      <c r="AL629" s="254"/>
      <c r="AM629" s="255"/>
      <c r="AN629" s="255"/>
      <c r="AO629" s="255"/>
      <c r="AP629" s="255"/>
      <c r="AQ629" s="255"/>
      <c r="AR629" s="255"/>
      <c r="AS629" s="255"/>
      <c r="AT629" s="255"/>
      <c r="AU629" s="255"/>
      <c r="AV629" s="255"/>
      <c r="AW629" s="255"/>
      <c r="AX629" s="210"/>
      <c r="AY629" s="236" cm="1">
        <f t="array" ref="AY629">INDEX(Use, $AD629, 4)</f>
        <v>7</v>
      </c>
      <c r="AZ629" s="236">
        <f t="shared" si="604"/>
        <v>32</v>
      </c>
      <c r="BA629" s="236">
        <f t="shared" si="629"/>
        <v>13</v>
      </c>
      <c r="BB629" s="236">
        <f t="shared" si="630"/>
        <v>0</v>
      </c>
      <c r="BC629" s="252" cm="1">
        <f t="array" ref="BC629">K629/IF($L629&gt;0, INDEX($AO$23:$AU$77, $L629+20, $AD629), 1)</f>
        <v>0</v>
      </c>
      <c r="BD629" s="237">
        <f t="shared" si="605"/>
        <v>0</v>
      </c>
      <c r="BE629" s="236">
        <v>35</v>
      </c>
      <c r="BF629" s="237">
        <f t="shared" si="606"/>
        <v>52.55</v>
      </c>
      <c r="BG629" s="253">
        <f t="shared" si="607"/>
        <v>2.7676728869374316</v>
      </c>
      <c r="BH629" s="253" cm="1">
        <f t="array" ref="BH629">$BC629 * SUMPRODUCT(INDEX($AL$77:$AN$82,,$AE629),INDEX($AO$77:$AU$82,,$AD629), N($AK$77:$AK$82&gt;$AI629)) / BG629 / 1000</f>
        <v>0</v>
      </c>
      <c r="BI629" s="250">
        <f t="shared" si="631"/>
        <v>30</v>
      </c>
      <c r="BJ629" s="237">
        <f t="shared" si="608"/>
        <v>46.033333333333331</v>
      </c>
      <c r="BK629" s="253">
        <f t="shared" si="609"/>
        <v>3.2297395388556791</v>
      </c>
      <c r="BL629" s="253" cm="1">
        <f t="array" ref="BL629">$BC629 * IF($AD629&lt;=2,
SUMPRODUCT(INDEX($AL$72:$AN$76,,$AE629), INDEX($AO$72:$AU$76,,$AD629), 1 / ($AV$72:$AV$76*BK629 + (1-$AV$72:$AV$76)*BG629), N($AK$72:$AK$76&gt;$AI629)),
SUMPRODUCT(INDEX($AL$67:$AN$76,,$AE629), INDEX($AO$67:$AU$76,,$AD629), 1 / ($AW$67:$AW$76*BK629 + (1-$AW$67:$AW$76)*BG629), N($AK$67:$AK$76&gt;$AI629))
) / 1000</f>
        <v>0</v>
      </c>
      <c r="BM629" s="250">
        <f t="shared" si="632"/>
        <v>25</v>
      </c>
      <c r="BN629" s="237">
        <f t="shared" si="610"/>
        <v>39.516666666666666</v>
      </c>
      <c r="BO629" s="253">
        <f t="shared" si="611"/>
        <v>3.877011788826243</v>
      </c>
      <c r="BP629" s="253" cm="1">
        <f t="array" ref="BP629">$BC629 * IF($AD629&lt;=2,
SUMPRODUCT(INDEX($AL$67:$AN$71,,$AE629), INDEX($AO$67:$AU$71,,$AD629), 1 / ($AV$67:$AV$71*BO629 + (1-$AV$67:$AV$71)*BK629), N($AK$67:$AK$71&gt;$AI629)),
SUMPRODUCT(INDEX($AL$57:$AN$66,,$AE629), INDEX($AO$57:$AU$66,,$AD629), 1 / ($AW$57:$AW$66*BO629 + (1-$AW$57:$AW$66)*BK629), N($AK$57:$AK$66&gt;$AI629))
) / 1000</f>
        <v>0</v>
      </c>
      <c r="BQ629" s="250">
        <f t="shared" si="633"/>
        <v>20</v>
      </c>
      <c r="BR629" s="237">
        <f t="shared" si="612"/>
        <v>33</v>
      </c>
      <c r="BS629" s="253">
        <f t="shared" si="613"/>
        <v>4.8487499999999999</v>
      </c>
      <c r="BT629" s="253" cm="1">
        <f t="array" ref="BT629">$BC629 * IF($AD629&lt;=2,
SUMPRODUCT(INDEX($AL$62:$AN$66,,$AE629), INDEX($AO$62:$AU$66,,$AD629), 1 / ($AV$62:$AV$66*BS629 + (1-$AV$62:$AV$66)*BO629), N($AK$62:$AK$66&gt;$AI629)),
SUMPRODUCT(INDEX($AL$47:$AN$56,,$AE629), INDEX($AO$47:$AU$56,,$AD629), 1 / ($AW$47:$AW$56*BS629 + (1-$AW$47:$AW$56)*BO629), N($AK$47:$AK$56&gt;$AI629))
) / 1000</f>
        <v>0</v>
      </c>
      <c r="BU629" s="253" cm="1">
        <f t="array" ref="BU629">$BC629 * IF($AD629&lt;=2,
SUMPRODUCT(INDEX($AL$23:$AN$61,,$AE629), INDEX($AO$23:$AU$61,,$AD629), 1 / ($AV$23:$AV$61*BS629), N($AK$23:$AK$61&gt;$AI629)),
SUMPRODUCT(INDEX($AL$23:$AN$46,,$AE629), INDEX($AO$23:$AU$46,,$AD629), 1 / ($AW$23:$AW$46*BS629), N($AK$23:$AK$46&gt;$AI629))
) / 1000</f>
        <v>0</v>
      </c>
      <c r="BV629" s="237">
        <f t="shared" si="614"/>
        <v>0</v>
      </c>
      <c r="BW629" s="210"/>
      <c r="BX629" s="237">
        <f t="shared" si="615"/>
        <v>0</v>
      </c>
      <c r="BY629" s="236">
        <v>35</v>
      </c>
      <c r="BZ629" s="237">
        <f t="shared" si="616"/>
        <v>48</v>
      </c>
      <c r="CA629" s="253">
        <f t="shared" si="617"/>
        <v>3.0748170731707316</v>
      </c>
      <c r="CB629" s="253" cm="1">
        <f t="array" ref="CB629">$BC629 * SUMPRODUCT(INDEX($AL$77:$AN$82,,$AE629),INDEX($AO$77:$AU$82,,$AD629), N($AK$77:$AK$82&gt;$AI629)) / CA629 / 1000</f>
        <v>0</v>
      </c>
      <c r="CC629" s="250">
        <f t="shared" si="634"/>
        <v>30</v>
      </c>
      <c r="CD629" s="237">
        <f t="shared" si="618"/>
        <v>43</v>
      </c>
      <c r="CE629" s="253">
        <f t="shared" si="619"/>
        <v>3.5018750000000001</v>
      </c>
      <c r="CF629" s="253" cm="1">
        <f t="array" ref="CF629">$BC629 * IF($AD629&lt;=2,
SUMPRODUCT(INDEX($AL$72:$AN$76,,$AE629), INDEX($AO$72:$AU$76,,$AD629), 1 / ($AV$72:$AV$76*CE629 + (1-$AV$72:$AV$76)*CA629), N($AK$72:$AK$76&gt;$AI629)),
SUMPRODUCT(INDEX($AL$67:$AN$76,,$AE629), INDEX($AO$67:$AU$76,,$AD629), 1 / ($AW$67:$AW$76*CE629 + (1-$AW$67:$AW$76)*CA629), N($AK$67:$AK$76&gt;$AI629))
) / 1000</f>
        <v>0</v>
      </c>
      <c r="CG629" s="250">
        <f t="shared" si="635"/>
        <v>25</v>
      </c>
      <c r="CH629" s="237">
        <f t="shared" si="620"/>
        <v>38</v>
      </c>
      <c r="CI629" s="253">
        <f t="shared" si="621"/>
        <v>4.0666935483870965</v>
      </c>
      <c r="CJ629" s="253" cm="1">
        <f t="array" ref="CJ629">$BC629 * IF($AD629&lt;=2,
SUMPRODUCT(INDEX($AL$67:$AN$71,,$AE629), INDEX($AO$67:$AU$71,,$AD629), 1 / ($AV$67:$AV$71*CI629 + (1-$AV$67:$AV$71)*CE629), N($AK$67:$AK$71&gt;$AI629)),
SUMPRODUCT(INDEX($AL$57:$AN$66,,$AE629), INDEX($AO$57:$AU$66,,$AD629), 1 / ($AW$57:$AW$66*CI629 + (1-$AW$57:$AW$66)*CE629), N($AK$57:$AK$66&gt;$AI629))
) / 1000</f>
        <v>0</v>
      </c>
      <c r="CK629" s="250">
        <f t="shared" si="636"/>
        <v>20</v>
      </c>
      <c r="CL629" s="237">
        <f t="shared" si="622"/>
        <v>33</v>
      </c>
      <c r="CM629" s="253">
        <f t="shared" si="623"/>
        <v>4.8487499999999999</v>
      </c>
      <c r="CN629" s="253" cm="1">
        <f t="array" ref="CN629">$BC629 * IF($AD629&lt;=2,
SUMPRODUCT(INDEX($AL$62:$AN$66,,$AE629), INDEX($AO$62:$AU$66,,$AD629), 1 / ($AV$62:$AV$66*CM629 + (1-$AV$62:$AV$66)*CI629), N($AK$62:$AK$66&gt;$AI629)),
SUMPRODUCT(INDEX($AL$47:$AN$56,,$AE629), INDEX($AO$47:$AU$56,,$AD629), 1 / ($AW$47:$AW$56*CM629 + (1-$AW$47:$AW$56)*CI629), N($AK$47:$AK$56&gt;$AI629))
) / 1000</f>
        <v>0</v>
      </c>
      <c r="CO629" s="253" cm="1">
        <f t="array" ref="CO629">$BC629 * IF($AD629&lt;=2,
SUMPRODUCT(INDEX($AL$23:$AN$61,,$AE629), INDEX($AO$23:$AU$61,,$AD629), 1 / ($AV$23:$AV$61*CM629), N($AK$23:$AK$61&gt;$AI629)),
SUMPRODUCT(INDEX($AL$23:$AN$46,,$AE629), INDEX($AO$23:$AU$46,,$AD629), 1 / ($AW$23:$AW$46*CM629), N($AK$23:$AK$46&gt;$AI629))
) / 1000</f>
        <v>0</v>
      </c>
      <c r="CP629" s="237">
        <f t="shared" si="624"/>
        <v>0</v>
      </c>
      <c r="CQ629" s="210"/>
    </row>
    <row r="630" spans="1:95" s="76" customFormat="1" ht="14.25" customHeight="1" x14ac:dyDescent="0.2">
      <c r="A630" s="238" t="b">
        <f t="shared" si="628"/>
        <v>0</v>
      </c>
      <c r="B630" s="239">
        <v>608</v>
      </c>
      <c r="C630" s="258"/>
      <c r="D630" s="258"/>
      <c r="E630" s="240"/>
      <c r="F630" s="241" t="str">
        <f>IF(ISBLANK(E630), "", VLOOKUP(E630, Z!$A$2:$C$4127, 3, FALSE))</f>
        <v/>
      </c>
      <c r="G630" s="242"/>
      <c r="H630" s="242"/>
      <c r="I630" s="243"/>
      <c r="J630" s="244"/>
      <c r="K630" s="259"/>
      <c r="L630" s="260"/>
      <c r="M630" s="247" t="str" cm="1">
        <f t="array" ref="M630">IF($K630&gt;0, INDEX(Clean,1+AG630,$C$1), "")</f>
        <v/>
      </c>
      <c r="N630" s="245"/>
      <c r="O630" s="245"/>
      <c r="P630" s="246"/>
      <c r="Q630" s="248">
        <f t="shared" si="601"/>
        <v>0</v>
      </c>
      <c r="R630" s="247" t="str" cm="1">
        <f t="array" ref="R630">IF($K630&gt;0, INDEX(Clean,1+AH630,$C$1), "")</f>
        <v/>
      </c>
      <c r="S630" s="245"/>
      <c r="T630" s="245"/>
      <c r="U630" s="246"/>
      <c r="V630" s="248">
        <f t="shared" si="602"/>
        <v>0</v>
      </c>
      <c r="W630" s="261"/>
      <c r="X630" s="258"/>
      <c r="Y630" s="240"/>
      <c r="Z630" s="241" t="str">
        <f>IF(ISBLANK(Y630), "", VLOOKUP(Y630, Z!$A$2:$C$4127, 3, FALSE))</f>
        <v/>
      </c>
      <c r="AA630" s="262"/>
      <c r="AB630" s="249">
        <f t="shared" si="637"/>
        <v>0</v>
      </c>
      <c r="AC630" s="210"/>
      <c r="AD630" s="236">
        <f t="shared" si="625"/>
        <v>1</v>
      </c>
      <c r="AE630" s="236">
        <f t="shared" si="626"/>
        <v>1</v>
      </c>
      <c r="AF630" s="236">
        <f t="shared" si="627"/>
        <v>0</v>
      </c>
      <c r="AG630" s="236">
        <v>1</v>
      </c>
      <c r="AH630" s="236">
        <v>0</v>
      </c>
      <c r="AI630" s="236">
        <f t="shared" si="603"/>
        <v>-100</v>
      </c>
      <c r="AJ630" s="210"/>
      <c r="AK630" s="254"/>
      <c r="AL630" s="254"/>
      <c r="AM630" s="255"/>
      <c r="AN630" s="255"/>
      <c r="AO630" s="255"/>
      <c r="AP630" s="255"/>
      <c r="AQ630" s="255"/>
      <c r="AR630" s="255"/>
      <c r="AS630" s="255"/>
      <c r="AT630" s="255"/>
      <c r="AU630" s="255"/>
      <c r="AV630" s="255"/>
      <c r="AW630" s="255"/>
      <c r="AX630" s="210"/>
      <c r="AY630" s="236" cm="1">
        <f t="array" ref="AY630">INDEX(Use, $AD630, 4)</f>
        <v>7</v>
      </c>
      <c r="AZ630" s="236">
        <f t="shared" si="604"/>
        <v>32</v>
      </c>
      <c r="BA630" s="236">
        <f t="shared" si="629"/>
        <v>13</v>
      </c>
      <c r="BB630" s="236">
        <f t="shared" si="630"/>
        <v>0</v>
      </c>
      <c r="BC630" s="252" cm="1">
        <f t="array" ref="BC630">K630/IF($L630&gt;0, INDEX($AO$23:$AU$77, $L630+20, $AD630), 1)</f>
        <v>0</v>
      </c>
      <c r="BD630" s="237">
        <f t="shared" si="605"/>
        <v>0</v>
      </c>
      <c r="BE630" s="236">
        <v>35</v>
      </c>
      <c r="BF630" s="237">
        <f t="shared" si="606"/>
        <v>52.55</v>
      </c>
      <c r="BG630" s="253">
        <f t="shared" si="607"/>
        <v>2.7676728869374316</v>
      </c>
      <c r="BH630" s="253" cm="1">
        <f t="array" ref="BH630">$BC630 * SUMPRODUCT(INDEX($AL$77:$AN$82,,$AE630),INDEX($AO$77:$AU$82,,$AD630), N($AK$77:$AK$82&gt;$AI630)) / BG630 / 1000</f>
        <v>0</v>
      </c>
      <c r="BI630" s="250">
        <f t="shared" si="631"/>
        <v>30</v>
      </c>
      <c r="BJ630" s="237">
        <f t="shared" si="608"/>
        <v>46.033333333333331</v>
      </c>
      <c r="BK630" s="253">
        <f t="shared" si="609"/>
        <v>3.2297395388556791</v>
      </c>
      <c r="BL630" s="253" cm="1">
        <f t="array" ref="BL630">$BC630 * IF($AD630&lt;=2,
SUMPRODUCT(INDEX($AL$72:$AN$76,,$AE630), INDEX($AO$72:$AU$76,,$AD630), 1 / ($AV$72:$AV$76*BK630 + (1-$AV$72:$AV$76)*BG630), N($AK$72:$AK$76&gt;$AI630)),
SUMPRODUCT(INDEX($AL$67:$AN$76,,$AE630), INDEX($AO$67:$AU$76,,$AD630), 1 / ($AW$67:$AW$76*BK630 + (1-$AW$67:$AW$76)*BG630), N($AK$67:$AK$76&gt;$AI630))
) / 1000</f>
        <v>0</v>
      </c>
      <c r="BM630" s="250">
        <f t="shared" si="632"/>
        <v>25</v>
      </c>
      <c r="BN630" s="237">
        <f t="shared" si="610"/>
        <v>39.516666666666666</v>
      </c>
      <c r="BO630" s="253">
        <f t="shared" si="611"/>
        <v>3.877011788826243</v>
      </c>
      <c r="BP630" s="253" cm="1">
        <f t="array" ref="BP630">$BC630 * IF($AD630&lt;=2,
SUMPRODUCT(INDEX($AL$67:$AN$71,,$AE630), INDEX($AO$67:$AU$71,,$AD630), 1 / ($AV$67:$AV$71*BO630 + (1-$AV$67:$AV$71)*BK630), N($AK$67:$AK$71&gt;$AI630)),
SUMPRODUCT(INDEX($AL$57:$AN$66,,$AE630), INDEX($AO$57:$AU$66,,$AD630), 1 / ($AW$57:$AW$66*BO630 + (1-$AW$57:$AW$66)*BK630), N($AK$57:$AK$66&gt;$AI630))
) / 1000</f>
        <v>0</v>
      </c>
      <c r="BQ630" s="250">
        <f t="shared" si="633"/>
        <v>20</v>
      </c>
      <c r="BR630" s="237">
        <f t="shared" si="612"/>
        <v>33</v>
      </c>
      <c r="BS630" s="253">
        <f t="shared" si="613"/>
        <v>4.8487499999999999</v>
      </c>
      <c r="BT630" s="253" cm="1">
        <f t="array" ref="BT630">$BC630 * IF($AD630&lt;=2,
SUMPRODUCT(INDEX($AL$62:$AN$66,,$AE630), INDEX($AO$62:$AU$66,,$AD630), 1 / ($AV$62:$AV$66*BS630 + (1-$AV$62:$AV$66)*BO630), N($AK$62:$AK$66&gt;$AI630)),
SUMPRODUCT(INDEX($AL$47:$AN$56,,$AE630), INDEX($AO$47:$AU$56,,$AD630), 1 / ($AW$47:$AW$56*BS630 + (1-$AW$47:$AW$56)*BO630), N($AK$47:$AK$56&gt;$AI630))
) / 1000</f>
        <v>0</v>
      </c>
      <c r="BU630" s="253" cm="1">
        <f t="array" ref="BU630">$BC630 * IF($AD630&lt;=2,
SUMPRODUCT(INDEX($AL$23:$AN$61,,$AE630), INDEX($AO$23:$AU$61,,$AD630), 1 / ($AV$23:$AV$61*BS630), N($AK$23:$AK$61&gt;$AI630)),
SUMPRODUCT(INDEX($AL$23:$AN$46,,$AE630), INDEX($AO$23:$AU$46,,$AD630), 1 / ($AW$23:$AW$46*BS630), N($AK$23:$AK$46&gt;$AI630))
) / 1000</f>
        <v>0</v>
      </c>
      <c r="BV630" s="237">
        <f t="shared" si="614"/>
        <v>0</v>
      </c>
      <c r="BW630" s="210"/>
      <c r="BX630" s="237">
        <f t="shared" si="615"/>
        <v>0</v>
      </c>
      <c r="BY630" s="236">
        <v>35</v>
      </c>
      <c r="BZ630" s="237">
        <f t="shared" si="616"/>
        <v>48</v>
      </c>
      <c r="CA630" s="253">
        <f t="shared" si="617"/>
        <v>3.0748170731707316</v>
      </c>
      <c r="CB630" s="253" cm="1">
        <f t="array" ref="CB630">$BC630 * SUMPRODUCT(INDEX($AL$77:$AN$82,,$AE630),INDEX($AO$77:$AU$82,,$AD630), N($AK$77:$AK$82&gt;$AI630)) / CA630 / 1000</f>
        <v>0</v>
      </c>
      <c r="CC630" s="250">
        <f t="shared" si="634"/>
        <v>30</v>
      </c>
      <c r="CD630" s="237">
        <f t="shared" si="618"/>
        <v>43</v>
      </c>
      <c r="CE630" s="253">
        <f t="shared" si="619"/>
        <v>3.5018750000000001</v>
      </c>
      <c r="CF630" s="253" cm="1">
        <f t="array" ref="CF630">$BC630 * IF($AD630&lt;=2,
SUMPRODUCT(INDEX($AL$72:$AN$76,,$AE630), INDEX($AO$72:$AU$76,,$AD630), 1 / ($AV$72:$AV$76*CE630 + (1-$AV$72:$AV$76)*CA630), N($AK$72:$AK$76&gt;$AI630)),
SUMPRODUCT(INDEX($AL$67:$AN$76,,$AE630), INDEX($AO$67:$AU$76,,$AD630), 1 / ($AW$67:$AW$76*CE630 + (1-$AW$67:$AW$76)*CA630), N($AK$67:$AK$76&gt;$AI630))
) / 1000</f>
        <v>0</v>
      </c>
      <c r="CG630" s="250">
        <f t="shared" si="635"/>
        <v>25</v>
      </c>
      <c r="CH630" s="237">
        <f t="shared" si="620"/>
        <v>38</v>
      </c>
      <c r="CI630" s="253">
        <f t="shared" si="621"/>
        <v>4.0666935483870965</v>
      </c>
      <c r="CJ630" s="253" cm="1">
        <f t="array" ref="CJ630">$BC630 * IF($AD630&lt;=2,
SUMPRODUCT(INDEX($AL$67:$AN$71,,$AE630), INDEX($AO$67:$AU$71,,$AD630), 1 / ($AV$67:$AV$71*CI630 + (1-$AV$67:$AV$71)*CE630), N($AK$67:$AK$71&gt;$AI630)),
SUMPRODUCT(INDEX($AL$57:$AN$66,,$AE630), INDEX($AO$57:$AU$66,,$AD630), 1 / ($AW$57:$AW$66*CI630 + (1-$AW$57:$AW$66)*CE630), N($AK$57:$AK$66&gt;$AI630))
) / 1000</f>
        <v>0</v>
      </c>
      <c r="CK630" s="250">
        <f t="shared" si="636"/>
        <v>20</v>
      </c>
      <c r="CL630" s="237">
        <f t="shared" si="622"/>
        <v>33</v>
      </c>
      <c r="CM630" s="253">
        <f t="shared" si="623"/>
        <v>4.8487499999999999</v>
      </c>
      <c r="CN630" s="253" cm="1">
        <f t="array" ref="CN630">$BC630 * IF($AD630&lt;=2,
SUMPRODUCT(INDEX($AL$62:$AN$66,,$AE630), INDEX($AO$62:$AU$66,,$AD630), 1 / ($AV$62:$AV$66*CM630 + (1-$AV$62:$AV$66)*CI630), N($AK$62:$AK$66&gt;$AI630)),
SUMPRODUCT(INDEX($AL$47:$AN$56,,$AE630), INDEX($AO$47:$AU$56,,$AD630), 1 / ($AW$47:$AW$56*CM630 + (1-$AW$47:$AW$56)*CI630), N($AK$47:$AK$56&gt;$AI630))
) / 1000</f>
        <v>0</v>
      </c>
      <c r="CO630" s="253" cm="1">
        <f t="array" ref="CO630">$BC630 * IF($AD630&lt;=2,
SUMPRODUCT(INDEX($AL$23:$AN$61,,$AE630), INDEX($AO$23:$AU$61,,$AD630), 1 / ($AV$23:$AV$61*CM630), N($AK$23:$AK$61&gt;$AI630)),
SUMPRODUCT(INDEX($AL$23:$AN$46,,$AE630), INDEX($AO$23:$AU$46,,$AD630), 1 / ($AW$23:$AW$46*CM630), N($AK$23:$AK$46&gt;$AI630))
) / 1000</f>
        <v>0</v>
      </c>
      <c r="CP630" s="237">
        <f t="shared" si="624"/>
        <v>0</v>
      </c>
      <c r="CQ630" s="210"/>
    </row>
    <row r="631" spans="1:95" s="76" customFormat="1" ht="14.25" customHeight="1" x14ac:dyDescent="0.2">
      <c r="A631" s="238" t="b">
        <f t="shared" si="628"/>
        <v>0</v>
      </c>
      <c r="B631" s="239">
        <v>609</v>
      </c>
      <c r="C631" s="258"/>
      <c r="D631" s="258"/>
      <c r="E631" s="240"/>
      <c r="F631" s="241" t="str">
        <f>IF(ISBLANK(E631), "", VLOOKUP(E631, Z!$A$2:$C$4127, 3, FALSE))</f>
        <v/>
      </c>
      <c r="G631" s="242"/>
      <c r="H631" s="242"/>
      <c r="I631" s="243"/>
      <c r="J631" s="244"/>
      <c r="K631" s="259"/>
      <c r="L631" s="260"/>
      <c r="M631" s="247" t="str" cm="1">
        <f t="array" ref="M631">IF($K631&gt;0, INDEX(Clean,1+AG631,$C$1), "")</f>
        <v/>
      </c>
      <c r="N631" s="245"/>
      <c r="O631" s="245"/>
      <c r="P631" s="246"/>
      <c r="Q631" s="248">
        <f t="shared" si="601"/>
        <v>0</v>
      </c>
      <c r="R631" s="247" t="str" cm="1">
        <f t="array" ref="R631">IF($K631&gt;0, INDEX(Clean,1+AH631,$C$1), "")</f>
        <v/>
      </c>
      <c r="S631" s="245"/>
      <c r="T631" s="245"/>
      <c r="U631" s="246"/>
      <c r="V631" s="248">
        <f t="shared" si="602"/>
        <v>0</v>
      </c>
      <c r="W631" s="261"/>
      <c r="X631" s="258"/>
      <c r="Y631" s="240"/>
      <c r="Z631" s="241" t="str">
        <f>IF(ISBLANK(Y631), "", VLOOKUP(Y631, Z!$A$2:$C$4127, 3, FALSE))</f>
        <v/>
      </c>
      <c r="AA631" s="262"/>
      <c r="AB631" s="249">
        <f t="shared" si="637"/>
        <v>0</v>
      </c>
      <c r="AC631" s="210"/>
      <c r="AD631" s="236">
        <f t="shared" si="625"/>
        <v>1</v>
      </c>
      <c r="AE631" s="236">
        <f t="shared" si="626"/>
        <v>1</v>
      </c>
      <c r="AF631" s="236">
        <f t="shared" si="627"/>
        <v>0</v>
      </c>
      <c r="AG631" s="236">
        <v>1</v>
      </c>
      <c r="AH631" s="236">
        <v>0</v>
      </c>
      <c r="AI631" s="236">
        <f t="shared" si="603"/>
        <v>-100</v>
      </c>
      <c r="AJ631" s="210"/>
      <c r="AK631" s="254"/>
      <c r="AL631" s="254"/>
      <c r="AM631" s="255"/>
      <c r="AN631" s="255"/>
      <c r="AO631" s="255"/>
      <c r="AP631" s="255"/>
      <c r="AQ631" s="255"/>
      <c r="AR631" s="255"/>
      <c r="AS631" s="255"/>
      <c r="AT631" s="255"/>
      <c r="AU631" s="255"/>
      <c r="AV631" s="255"/>
      <c r="AW631" s="255"/>
      <c r="AX631" s="210"/>
      <c r="AY631" s="236" cm="1">
        <f t="array" ref="AY631">INDEX(Use, $AD631, 4)</f>
        <v>7</v>
      </c>
      <c r="AZ631" s="236">
        <f t="shared" si="604"/>
        <v>32</v>
      </c>
      <c r="BA631" s="236">
        <f t="shared" si="629"/>
        <v>13</v>
      </c>
      <c r="BB631" s="236">
        <f t="shared" si="630"/>
        <v>0</v>
      </c>
      <c r="BC631" s="252" cm="1">
        <f t="array" ref="BC631">K631/IF($L631&gt;0, INDEX($AO$23:$AU$77, $L631+20, $AD631), 1)</f>
        <v>0</v>
      </c>
      <c r="BD631" s="237">
        <f t="shared" si="605"/>
        <v>0</v>
      </c>
      <c r="BE631" s="236">
        <v>35</v>
      </c>
      <c r="BF631" s="237">
        <f t="shared" si="606"/>
        <v>52.55</v>
      </c>
      <c r="BG631" s="253">
        <f t="shared" si="607"/>
        <v>2.7676728869374316</v>
      </c>
      <c r="BH631" s="253" cm="1">
        <f t="array" ref="BH631">$BC631 * SUMPRODUCT(INDEX($AL$77:$AN$82,,$AE631),INDEX($AO$77:$AU$82,,$AD631), N($AK$77:$AK$82&gt;$AI631)) / BG631 / 1000</f>
        <v>0</v>
      </c>
      <c r="BI631" s="250">
        <f t="shared" si="631"/>
        <v>30</v>
      </c>
      <c r="BJ631" s="237">
        <f t="shared" si="608"/>
        <v>46.033333333333331</v>
      </c>
      <c r="BK631" s="253">
        <f t="shared" si="609"/>
        <v>3.2297395388556791</v>
      </c>
      <c r="BL631" s="253" cm="1">
        <f t="array" ref="BL631">$BC631 * IF($AD631&lt;=2,
SUMPRODUCT(INDEX($AL$72:$AN$76,,$AE631), INDEX($AO$72:$AU$76,,$AD631), 1 / ($AV$72:$AV$76*BK631 + (1-$AV$72:$AV$76)*BG631), N($AK$72:$AK$76&gt;$AI631)),
SUMPRODUCT(INDEX($AL$67:$AN$76,,$AE631), INDEX($AO$67:$AU$76,,$AD631), 1 / ($AW$67:$AW$76*BK631 + (1-$AW$67:$AW$76)*BG631), N($AK$67:$AK$76&gt;$AI631))
) / 1000</f>
        <v>0</v>
      </c>
      <c r="BM631" s="250">
        <f t="shared" si="632"/>
        <v>25</v>
      </c>
      <c r="BN631" s="237">
        <f t="shared" si="610"/>
        <v>39.516666666666666</v>
      </c>
      <c r="BO631" s="253">
        <f t="shared" si="611"/>
        <v>3.877011788826243</v>
      </c>
      <c r="BP631" s="253" cm="1">
        <f t="array" ref="BP631">$BC631 * IF($AD631&lt;=2,
SUMPRODUCT(INDEX($AL$67:$AN$71,,$AE631), INDEX($AO$67:$AU$71,,$AD631), 1 / ($AV$67:$AV$71*BO631 + (1-$AV$67:$AV$71)*BK631), N($AK$67:$AK$71&gt;$AI631)),
SUMPRODUCT(INDEX($AL$57:$AN$66,,$AE631), INDEX($AO$57:$AU$66,,$AD631), 1 / ($AW$57:$AW$66*BO631 + (1-$AW$57:$AW$66)*BK631), N($AK$57:$AK$66&gt;$AI631))
) / 1000</f>
        <v>0</v>
      </c>
      <c r="BQ631" s="250">
        <f t="shared" si="633"/>
        <v>20</v>
      </c>
      <c r="BR631" s="237">
        <f t="shared" si="612"/>
        <v>33</v>
      </c>
      <c r="BS631" s="253">
        <f t="shared" si="613"/>
        <v>4.8487499999999999</v>
      </c>
      <c r="BT631" s="253" cm="1">
        <f t="array" ref="BT631">$BC631 * IF($AD631&lt;=2,
SUMPRODUCT(INDEX($AL$62:$AN$66,,$AE631), INDEX($AO$62:$AU$66,,$AD631), 1 / ($AV$62:$AV$66*BS631 + (1-$AV$62:$AV$66)*BO631), N($AK$62:$AK$66&gt;$AI631)),
SUMPRODUCT(INDEX($AL$47:$AN$56,,$AE631), INDEX($AO$47:$AU$56,,$AD631), 1 / ($AW$47:$AW$56*BS631 + (1-$AW$47:$AW$56)*BO631), N($AK$47:$AK$56&gt;$AI631))
) / 1000</f>
        <v>0</v>
      </c>
      <c r="BU631" s="253" cm="1">
        <f t="array" ref="BU631">$BC631 * IF($AD631&lt;=2,
SUMPRODUCT(INDEX($AL$23:$AN$61,,$AE631), INDEX($AO$23:$AU$61,,$AD631), 1 / ($AV$23:$AV$61*BS631), N($AK$23:$AK$61&gt;$AI631)),
SUMPRODUCT(INDEX($AL$23:$AN$46,,$AE631), INDEX($AO$23:$AU$46,,$AD631), 1 / ($AW$23:$AW$46*BS631), N($AK$23:$AK$46&gt;$AI631))
) / 1000</f>
        <v>0</v>
      </c>
      <c r="BV631" s="237">
        <f t="shared" si="614"/>
        <v>0</v>
      </c>
      <c r="BW631" s="210"/>
      <c r="BX631" s="237">
        <f t="shared" si="615"/>
        <v>0</v>
      </c>
      <c r="BY631" s="236">
        <v>35</v>
      </c>
      <c r="BZ631" s="237">
        <f t="shared" si="616"/>
        <v>48</v>
      </c>
      <c r="CA631" s="253">
        <f t="shared" si="617"/>
        <v>3.0748170731707316</v>
      </c>
      <c r="CB631" s="253" cm="1">
        <f t="array" ref="CB631">$BC631 * SUMPRODUCT(INDEX($AL$77:$AN$82,,$AE631),INDEX($AO$77:$AU$82,,$AD631), N($AK$77:$AK$82&gt;$AI631)) / CA631 / 1000</f>
        <v>0</v>
      </c>
      <c r="CC631" s="250">
        <f t="shared" si="634"/>
        <v>30</v>
      </c>
      <c r="CD631" s="237">
        <f t="shared" si="618"/>
        <v>43</v>
      </c>
      <c r="CE631" s="253">
        <f t="shared" si="619"/>
        <v>3.5018750000000001</v>
      </c>
      <c r="CF631" s="253" cm="1">
        <f t="array" ref="CF631">$BC631 * IF($AD631&lt;=2,
SUMPRODUCT(INDEX($AL$72:$AN$76,,$AE631), INDEX($AO$72:$AU$76,,$AD631), 1 / ($AV$72:$AV$76*CE631 + (1-$AV$72:$AV$76)*CA631), N($AK$72:$AK$76&gt;$AI631)),
SUMPRODUCT(INDEX($AL$67:$AN$76,,$AE631), INDEX($AO$67:$AU$76,,$AD631), 1 / ($AW$67:$AW$76*CE631 + (1-$AW$67:$AW$76)*CA631), N($AK$67:$AK$76&gt;$AI631))
) / 1000</f>
        <v>0</v>
      </c>
      <c r="CG631" s="250">
        <f t="shared" si="635"/>
        <v>25</v>
      </c>
      <c r="CH631" s="237">
        <f t="shared" si="620"/>
        <v>38</v>
      </c>
      <c r="CI631" s="253">
        <f t="shared" si="621"/>
        <v>4.0666935483870965</v>
      </c>
      <c r="CJ631" s="253" cm="1">
        <f t="array" ref="CJ631">$BC631 * IF($AD631&lt;=2,
SUMPRODUCT(INDEX($AL$67:$AN$71,,$AE631), INDEX($AO$67:$AU$71,,$AD631), 1 / ($AV$67:$AV$71*CI631 + (1-$AV$67:$AV$71)*CE631), N($AK$67:$AK$71&gt;$AI631)),
SUMPRODUCT(INDEX($AL$57:$AN$66,,$AE631), INDEX($AO$57:$AU$66,,$AD631), 1 / ($AW$57:$AW$66*CI631 + (1-$AW$57:$AW$66)*CE631), N($AK$57:$AK$66&gt;$AI631))
) / 1000</f>
        <v>0</v>
      </c>
      <c r="CK631" s="250">
        <f t="shared" si="636"/>
        <v>20</v>
      </c>
      <c r="CL631" s="237">
        <f t="shared" si="622"/>
        <v>33</v>
      </c>
      <c r="CM631" s="253">
        <f t="shared" si="623"/>
        <v>4.8487499999999999</v>
      </c>
      <c r="CN631" s="253" cm="1">
        <f t="array" ref="CN631">$BC631 * IF($AD631&lt;=2,
SUMPRODUCT(INDEX($AL$62:$AN$66,,$AE631), INDEX($AO$62:$AU$66,,$AD631), 1 / ($AV$62:$AV$66*CM631 + (1-$AV$62:$AV$66)*CI631), N($AK$62:$AK$66&gt;$AI631)),
SUMPRODUCT(INDEX($AL$47:$AN$56,,$AE631), INDEX($AO$47:$AU$56,,$AD631), 1 / ($AW$47:$AW$56*CM631 + (1-$AW$47:$AW$56)*CI631), N($AK$47:$AK$56&gt;$AI631))
) / 1000</f>
        <v>0</v>
      </c>
      <c r="CO631" s="253" cm="1">
        <f t="array" ref="CO631">$BC631 * IF($AD631&lt;=2,
SUMPRODUCT(INDEX($AL$23:$AN$61,,$AE631), INDEX($AO$23:$AU$61,,$AD631), 1 / ($AV$23:$AV$61*CM631), N($AK$23:$AK$61&gt;$AI631)),
SUMPRODUCT(INDEX($AL$23:$AN$46,,$AE631), INDEX($AO$23:$AU$46,,$AD631), 1 / ($AW$23:$AW$46*CM631), N($AK$23:$AK$46&gt;$AI631))
) / 1000</f>
        <v>0</v>
      </c>
      <c r="CP631" s="237">
        <f t="shared" si="624"/>
        <v>0</v>
      </c>
      <c r="CQ631" s="210"/>
    </row>
    <row r="632" spans="1:95" s="76" customFormat="1" ht="14.25" customHeight="1" x14ac:dyDescent="0.2">
      <c r="A632" s="238" t="b">
        <f t="shared" si="628"/>
        <v>0</v>
      </c>
      <c r="B632" s="239">
        <v>610</v>
      </c>
      <c r="C632" s="258"/>
      <c r="D632" s="258"/>
      <c r="E632" s="240"/>
      <c r="F632" s="241" t="str">
        <f>IF(ISBLANK(E632), "", VLOOKUP(E632, Z!$A$2:$C$4127, 3, FALSE))</f>
        <v/>
      </c>
      <c r="G632" s="242"/>
      <c r="H632" s="242"/>
      <c r="I632" s="243"/>
      <c r="J632" s="244"/>
      <c r="K632" s="259"/>
      <c r="L632" s="260"/>
      <c r="M632" s="247" t="str" cm="1">
        <f t="array" ref="M632">IF($K632&gt;0, INDEX(Clean,1+AG632,$C$1), "")</f>
        <v/>
      </c>
      <c r="N632" s="245"/>
      <c r="O632" s="245"/>
      <c r="P632" s="246"/>
      <c r="Q632" s="248">
        <f t="shared" si="601"/>
        <v>0</v>
      </c>
      <c r="R632" s="247" t="str" cm="1">
        <f t="array" ref="R632">IF($K632&gt;0, INDEX(Clean,1+AH632,$C$1), "")</f>
        <v/>
      </c>
      <c r="S632" s="245"/>
      <c r="T632" s="245"/>
      <c r="U632" s="246"/>
      <c r="V632" s="248">
        <f t="shared" si="602"/>
        <v>0</v>
      </c>
      <c r="W632" s="261"/>
      <c r="X632" s="258"/>
      <c r="Y632" s="240"/>
      <c r="Z632" s="241" t="str">
        <f>IF(ISBLANK(Y632), "", VLOOKUP(Y632, Z!$A$2:$C$4127, 3, FALSE))</f>
        <v/>
      </c>
      <c r="AA632" s="262"/>
      <c r="AB632" s="249">
        <f t="shared" si="637"/>
        <v>0</v>
      </c>
      <c r="AC632" s="210"/>
      <c r="AD632" s="236">
        <f t="shared" si="625"/>
        <v>1</v>
      </c>
      <c r="AE632" s="236">
        <f t="shared" si="626"/>
        <v>1</v>
      </c>
      <c r="AF632" s="236">
        <f t="shared" si="627"/>
        <v>0</v>
      </c>
      <c r="AG632" s="236">
        <v>1</v>
      </c>
      <c r="AH632" s="236">
        <v>0</v>
      </c>
      <c r="AI632" s="236">
        <f t="shared" si="603"/>
        <v>-100</v>
      </c>
      <c r="AJ632" s="210"/>
      <c r="AK632" s="254"/>
      <c r="AL632" s="254"/>
      <c r="AM632" s="255"/>
      <c r="AN632" s="255"/>
      <c r="AO632" s="255"/>
      <c r="AP632" s="255"/>
      <c r="AQ632" s="255"/>
      <c r="AR632" s="255"/>
      <c r="AS632" s="255"/>
      <c r="AT632" s="255"/>
      <c r="AU632" s="255"/>
      <c r="AV632" s="255"/>
      <c r="AW632" s="255"/>
      <c r="AX632" s="210"/>
      <c r="AY632" s="236" cm="1">
        <f t="array" ref="AY632">INDEX(Use, $AD632, 4)</f>
        <v>7</v>
      </c>
      <c r="AZ632" s="236">
        <f t="shared" si="604"/>
        <v>32</v>
      </c>
      <c r="BA632" s="236">
        <f t="shared" si="629"/>
        <v>13</v>
      </c>
      <c r="BB632" s="236">
        <f t="shared" si="630"/>
        <v>0</v>
      </c>
      <c r="BC632" s="252" cm="1">
        <f t="array" ref="BC632">K632/IF($L632&gt;0, INDEX($AO$23:$AU$77, $L632+20, $AD632), 1)</f>
        <v>0</v>
      </c>
      <c r="BD632" s="237">
        <f t="shared" si="605"/>
        <v>0</v>
      </c>
      <c r="BE632" s="236">
        <v>35</v>
      </c>
      <c r="BF632" s="237">
        <f t="shared" si="606"/>
        <v>52.55</v>
      </c>
      <c r="BG632" s="253">
        <f t="shared" si="607"/>
        <v>2.7676728869374316</v>
      </c>
      <c r="BH632" s="253" cm="1">
        <f t="array" ref="BH632">$BC632 * SUMPRODUCT(INDEX($AL$77:$AN$82,,$AE632),INDEX($AO$77:$AU$82,,$AD632), N($AK$77:$AK$82&gt;$AI632)) / BG632 / 1000</f>
        <v>0</v>
      </c>
      <c r="BI632" s="250">
        <f t="shared" si="631"/>
        <v>30</v>
      </c>
      <c r="BJ632" s="237">
        <f t="shared" si="608"/>
        <v>46.033333333333331</v>
      </c>
      <c r="BK632" s="253">
        <f t="shared" si="609"/>
        <v>3.2297395388556791</v>
      </c>
      <c r="BL632" s="253" cm="1">
        <f t="array" ref="BL632">$BC632 * IF($AD632&lt;=2,
SUMPRODUCT(INDEX($AL$72:$AN$76,,$AE632), INDEX($AO$72:$AU$76,,$AD632), 1 / ($AV$72:$AV$76*BK632 + (1-$AV$72:$AV$76)*BG632), N($AK$72:$AK$76&gt;$AI632)),
SUMPRODUCT(INDEX($AL$67:$AN$76,,$AE632), INDEX($AO$67:$AU$76,,$AD632), 1 / ($AW$67:$AW$76*BK632 + (1-$AW$67:$AW$76)*BG632), N($AK$67:$AK$76&gt;$AI632))
) / 1000</f>
        <v>0</v>
      </c>
      <c r="BM632" s="250">
        <f t="shared" si="632"/>
        <v>25</v>
      </c>
      <c r="BN632" s="237">
        <f t="shared" si="610"/>
        <v>39.516666666666666</v>
      </c>
      <c r="BO632" s="253">
        <f t="shared" si="611"/>
        <v>3.877011788826243</v>
      </c>
      <c r="BP632" s="253" cm="1">
        <f t="array" ref="BP632">$BC632 * IF($AD632&lt;=2,
SUMPRODUCT(INDEX($AL$67:$AN$71,,$AE632), INDEX($AO$67:$AU$71,,$AD632), 1 / ($AV$67:$AV$71*BO632 + (1-$AV$67:$AV$71)*BK632), N($AK$67:$AK$71&gt;$AI632)),
SUMPRODUCT(INDEX($AL$57:$AN$66,,$AE632), INDEX($AO$57:$AU$66,,$AD632), 1 / ($AW$57:$AW$66*BO632 + (1-$AW$57:$AW$66)*BK632), N($AK$57:$AK$66&gt;$AI632))
) / 1000</f>
        <v>0</v>
      </c>
      <c r="BQ632" s="250">
        <f t="shared" si="633"/>
        <v>20</v>
      </c>
      <c r="BR632" s="237">
        <f t="shared" si="612"/>
        <v>33</v>
      </c>
      <c r="BS632" s="253">
        <f t="shared" si="613"/>
        <v>4.8487499999999999</v>
      </c>
      <c r="BT632" s="253" cm="1">
        <f t="array" ref="BT632">$BC632 * IF($AD632&lt;=2,
SUMPRODUCT(INDEX($AL$62:$AN$66,,$AE632), INDEX($AO$62:$AU$66,,$AD632), 1 / ($AV$62:$AV$66*BS632 + (1-$AV$62:$AV$66)*BO632), N($AK$62:$AK$66&gt;$AI632)),
SUMPRODUCT(INDEX($AL$47:$AN$56,,$AE632), INDEX($AO$47:$AU$56,,$AD632), 1 / ($AW$47:$AW$56*BS632 + (1-$AW$47:$AW$56)*BO632), N($AK$47:$AK$56&gt;$AI632))
) / 1000</f>
        <v>0</v>
      </c>
      <c r="BU632" s="253" cm="1">
        <f t="array" ref="BU632">$BC632 * IF($AD632&lt;=2,
SUMPRODUCT(INDEX($AL$23:$AN$61,,$AE632), INDEX($AO$23:$AU$61,,$AD632), 1 / ($AV$23:$AV$61*BS632), N($AK$23:$AK$61&gt;$AI632)),
SUMPRODUCT(INDEX($AL$23:$AN$46,,$AE632), INDEX($AO$23:$AU$46,,$AD632), 1 / ($AW$23:$AW$46*BS632), N($AK$23:$AK$46&gt;$AI632))
) / 1000</f>
        <v>0</v>
      </c>
      <c r="BV632" s="237">
        <f t="shared" si="614"/>
        <v>0</v>
      </c>
      <c r="BW632" s="210"/>
      <c r="BX632" s="237">
        <f t="shared" si="615"/>
        <v>0</v>
      </c>
      <c r="BY632" s="236">
        <v>35</v>
      </c>
      <c r="BZ632" s="237">
        <f t="shared" si="616"/>
        <v>48</v>
      </c>
      <c r="CA632" s="253">
        <f t="shared" si="617"/>
        <v>3.0748170731707316</v>
      </c>
      <c r="CB632" s="253" cm="1">
        <f t="array" ref="CB632">$BC632 * SUMPRODUCT(INDEX($AL$77:$AN$82,,$AE632),INDEX($AO$77:$AU$82,,$AD632), N($AK$77:$AK$82&gt;$AI632)) / CA632 / 1000</f>
        <v>0</v>
      </c>
      <c r="CC632" s="250">
        <f t="shared" si="634"/>
        <v>30</v>
      </c>
      <c r="CD632" s="237">
        <f t="shared" si="618"/>
        <v>43</v>
      </c>
      <c r="CE632" s="253">
        <f t="shared" si="619"/>
        <v>3.5018750000000001</v>
      </c>
      <c r="CF632" s="253" cm="1">
        <f t="array" ref="CF632">$BC632 * IF($AD632&lt;=2,
SUMPRODUCT(INDEX($AL$72:$AN$76,,$AE632), INDEX($AO$72:$AU$76,,$AD632), 1 / ($AV$72:$AV$76*CE632 + (1-$AV$72:$AV$76)*CA632), N($AK$72:$AK$76&gt;$AI632)),
SUMPRODUCT(INDEX($AL$67:$AN$76,,$AE632), INDEX($AO$67:$AU$76,,$AD632), 1 / ($AW$67:$AW$76*CE632 + (1-$AW$67:$AW$76)*CA632), N($AK$67:$AK$76&gt;$AI632))
) / 1000</f>
        <v>0</v>
      </c>
      <c r="CG632" s="250">
        <f t="shared" si="635"/>
        <v>25</v>
      </c>
      <c r="CH632" s="237">
        <f t="shared" si="620"/>
        <v>38</v>
      </c>
      <c r="CI632" s="253">
        <f t="shared" si="621"/>
        <v>4.0666935483870965</v>
      </c>
      <c r="CJ632" s="253" cm="1">
        <f t="array" ref="CJ632">$BC632 * IF($AD632&lt;=2,
SUMPRODUCT(INDEX($AL$67:$AN$71,,$AE632), INDEX($AO$67:$AU$71,,$AD632), 1 / ($AV$67:$AV$71*CI632 + (1-$AV$67:$AV$71)*CE632), N($AK$67:$AK$71&gt;$AI632)),
SUMPRODUCT(INDEX($AL$57:$AN$66,,$AE632), INDEX($AO$57:$AU$66,,$AD632), 1 / ($AW$57:$AW$66*CI632 + (1-$AW$57:$AW$66)*CE632), N($AK$57:$AK$66&gt;$AI632))
) / 1000</f>
        <v>0</v>
      </c>
      <c r="CK632" s="250">
        <f t="shared" si="636"/>
        <v>20</v>
      </c>
      <c r="CL632" s="237">
        <f t="shared" si="622"/>
        <v>33</v>
      </c>
      <c r="CM632" s="253">
        <f t="shared" si="623"/>
        <v>4.8487499999999999</v>
      </c>
      <c r="CN632" s="253" cm="1">
        <f t="array" ref="CN632">$BC632 * IF($AD632&lt;=2,
SUMPRODUCT(INDEX($AL$62:$AN$66,,$AE632), INDEX($AO$62:$AU$66,,$AD632), 1 / ($AV$62:$AV$66*CM632 + (1-$AV$62:$AV$66)*CI632), N($AK$62:$AK$66&gt;$AI632)),
SUMPRODUCT(INDEX($AL$47:$AN$56,,$AE632), INDEX($AO$47:$AU$56,,$AD632), 1 / ($AW$47:$AW$56*CM632 + (1-$AW$47:$AW$56)*CI632), N($AK$47:$AK$56&gt;$AI632))
) / 1000</f>
        <v>0</v>
      </c>
      <c r="CO632" s="253" cm="1">
        <f t="array" ref="CO632">$BC632 * IF($AD632&lt;=2,
SUMPRODUCT(INDEX($AL$23:$AN$61,,$AE632), INDEX($AO$23:$AU$61,,$AD632), 1 / ($AV$23:$AV$61*CM632), N($AK$23:$AK$61&gt;$AI632)),
SUMPRODUCT(INDEX($AL$23:$AN$46,,$AE632), INDEX($AO$23:$AU$46,,$AD632), 1 / ($AW$23:$AW$46*CM632), N($AK$23:$AK$46&gt;$AI632))
) / 1000</f>
        <v>0</v>
      </c>
      <c r="CP632" s="237">
        <f t="shared" si="624"/>
        <v>0</v>
      </c>
      <c r="CQ632" s="210"/>
    </row>
    <row r="633" spans="1:95" s="76" customFormat="1" ht="14.25" customHeight="1" x14ac:dyDescent="0.2">
      <c r="A633" s="238" t="b">
        <f t="shared" si="628"/>
        <v>0</v>
      </c>
      <c r="B633" s="239">
        <v>611</v>
      </c>
      <c r="C633" s="258"/>
      <c r="D633" s="258"/>
      <c r="E633" s="240"/>
      <c r="F633" s="241" t="str">
        <f>IF(ISBLANK(E633), "", VLOOKUP(E633, Z!$A$2:$C$4127, 3, FALSE))</f>
        <v/>
      </c>
      <c r="G633" s="242"/>
      <c r="H633" s="242"/>
      <c r="I633" s="243"/>
      <c r="J633" s="244"/>
      <c r="K633" s="259"/>
      <c r="L633" s="260"/>
      <c r="M633" s="247" t="str" cm="1">
        <f t="array" ref="M633">IF($K633&gt;0, INDEX(Clean,1+AG633,$C$1), "")</f>
        <v/>
      </c>
      <c r="N633" s="245"/>
      <c r="O633" s="245"/>
      <c r="P633" s="246"/>
      <c r="Q633" s="248">
        <f t="shared" si="601"/>
        <v>0</v>
      </c>
      <c r="R633" s="247" t="str" cm="1">
        <f t="array" ref="R633">IF($K633&gt;0, INDEX(Clean,1+AH633,$C$1), "")</f>
        <v/>
      </c>
      <c r="S633" s="245"/>
      <c r="T633" s="245"/>
      <c r="U633" s="246"/>
      <c r="V633" s="248">
        <f t="shared" si="602"/>
        <v>0</v>
      </c>
      <c r="W633" s="261"/>
      <c r="X633" s="258"/>
      <c r="Y633" s="240"/>
      <c r="Z633" s="241" t="str">
        <f>IF(ISBLANK(Y633), "", VLOOKUP(Y633, Z!$A$2:$C$4127, 3, FALSE))</f>
        <v/>
      </c>
      <c r="AA633" s="262"/>
      <c r="AB633" s="249">
        <f t="shared" si="637"/>
        <v>0</v>
      </c>
      <c r="AC633" s="210"/>
      <c r="AD633" s="236">
        <f t="shared" si="625"/>
        <v>1</v>
      </c>
      <c r="AE633" s="236">
        <f t="shared" si="626"/>
        <v>1</v>
      </c>
      <c r="AF633" s="236">
        <f t="shared" si="627"/>
        <v>0</v>
      </c>
      <c r="AG633" s="236">
        <v>1</v>
      </c>
      <c r="AH633" s="236">
        <v>0</v>
      </c>
      <c r="AI633" s="236">
        <f t="shared" si="603"/>
        <v>-100</v>
      </c>
      <c r="AJ633" s="210"/>
      <c r="AK633" s="254"/>
      <c r="AL633" s="254"/>
      <c r="AM633" s="255"/>
      <c r="AN633" s="255"/>
      <c r="AO633" s="255"/>
      <c r="AP633" s="255"/>
      <c r="AQ633" s="255"/>
      <c r="AR633" s="255"/>
      <c r="AS633" s="255"/>
      <c r="AT633" s="255"/>
      <c r="AU633" s="255"/>
      <c r="AV633" s="255"/>
      <c r="AW633" s="255"/>
      <c r="AX633" s="210"/>
      <c r="AY633" s="236" cm="1">
        <f t="array" ref="AY633">INDEX(Use, $AD633, 4)</f>
        <v>7</v>
      </c>
      <c r="AZ633" s="236">
        <f t="shared" si="604"/>
        <v>32</v>
      </c>
      <c r="BA633" s="236">
        <f t="shared" si="629"/>
        <v>13</v>
      </c>
      <c r="BB633" s="236">
        <f t="shared" si="630"/>
        <v>0</v>
      </c>
      <c r="BC633" s="252" cm="1">
        <f t="array" ref="BC633">K633/IF($L633&gt;0, INDEX($AO$23:$AU$77, $L633+20, $AD633), 1)</f>
        <v>0</v>
      </c>
      <c r="BD633" s="237">
        <f t="shared" si="605"/>
        <v>0</v>
      </c>
      <c r="BE633" s="236">
        <v>35</v>
      </c>
      <c r="BF633" s="237">
        <f t="shared" si="606"/>
        <v>52.55</v>
      </c>
      <c r="BG633" s="253">
        <f t="shared" si="607"/>
        <v>2.7676728869374316</v>
      </c>
      <c r="BH633" s="253" cm="1">
        <f t="array" ref="BH633">$BC633 * SUMPRODUCT(INDEX($AL$77:$AN$82,,$AE633),INDEX($AO$77:$AU$82,,$AD633), N($AK$77:$AK$82&gt;$AI633)) / BG633 / 1000</f>
        <v>0</v>
      </c>
      <c r="BI633" s="250">
        <f t="shared" si="631"/>
        <v>30</v>
      </c>
      <c r="BJ633" s="237">
        <f t="shared" si="608"/>
        <v>46.033333333333331</v>
      </c>
      <c r="BK633" s="253">
        <f t="shared" si="609"/>
        <v>3.2297395388556791</v>
      </c>
      <c r="BL633" s="253" cm="1">
        <f t="array" ref="BL633">$BC633 * IF($AD633&lt;=2,
SUMPRODUCT(INDEX($AL$72:$AN$76,,$AE633), INDEX($AO$72:$AU$76,,$AD633), 1 / ($AV$72:$AV$76*BK633 + (1-$AV$72:$AV$76)*BG633), N($AK$72:$AK$76&gt;$AI633)),
SUMPRODUCT(INDEX($AL$67:$AN$76,,$AE633), INDEX($AO$67:$AU$76,,$AD633), 1 / ($AW$67:$AW$76*BK633 + (1-$AW$67:$AW$76)*BG633), N($AK$67:$AK$76&gt;$AI633))
) / 1000</f>
        <v>0</v>
      </c>
      <c r="BM633" s="250">
        <f t="shared" si="632"/>
        <v>25</v>
      </c>
      <c r="BN633" s="237">
        <f t="shared" si="610"/>
        <v>39.516666666666666</v>
      </c>
      <c r="BO633" s="253">
        <f t="shared" si="611"/>
        <v>3.877011788826243</v>
      </c>
      <c r="BP633" s="253" cm="1">
        <f t="array" ref="BP633">$BC633 * IF($AD633&lt;=2,
SUMPRODUCT(INDEX($AL$67:$AN$71,,$AE633), INDEX($AO$67:$AU$71,,$AD633), 1 / ($AV$67:$AV$71*BO633 + (1-$AV$67:$AV$71)*BK633), N($AK$67:$AK$71&gt;$AI633)),
SUMPRODUCT(INDEX($AL$57:$AN$66,,$AE633), INDEX($AO$57:$AU$66,,$AD633), 1 / ($AW$57:$AW$66*BO633 + (1-$AW$57:$AW$66)*BK633), N($AK$57:$AK$66&gt;$AI633))
) / 1000</f>
        <v>0</v>
      </c>
      <c r="BQ633" s="250">
        <f t="shared" si="633"/>
        <v>20</v>
      </c>
      <c r="BR633" s="237">
        <f t="shared" si="612"/>
        <v>33</v>
      </c>
      <c r="BS633" s="253">
        <f t="shared" si="613"/>
        <v>4.8487499999999999</v>
      </c>
      <c r="BT633" s="253" cm="1">
        <f t="array" ref="BT633">$BC633 * IF($AD633&lt;=2,
SUMPRODUCT(INDEX($AL$62:$AN$66,,$AE633), INDEX($AO$62:$AU$66,,$AD633), 1 / ($AV$62:$AV$66*BS633 + (1-$AV$62:$AV$66)*BO633), N($AK$62:$AK$66&gt;$AI633)),
SUMPRODUCT(INDEX($AL$47:$AN$56,,$AE633), INDEX($AO$47:$AU$56,,$AD633), 1 / ($AW$47:$AW$56*BS633 + (1-$AW$47:$AW$56)*BO633), N($AK$47:$AK$56&gt;$AI633))
) / 1000</f>
        <v>0</v>
      </c>
      <c r="BU633" s="253" cm="1">
        <f t="array" ref="BU633">$BC633 * IF($AD633&lt;=2,
SUMPRODUCT(INDEX($AL$23:$AN$61,,$AE633), INDEX($AO$23:$AU$61,,$AD633), 1 / ($AV$23:$AV$61*BS633), N($AK$23:$AK$61&gt;$AI633)),
SUMPRODUCT(INDEX($AL$23:$AN$46,,$AE633), INDEX($AO$23:$AU$46,,$AD633), 1 / ($AW$23:$AW$46*BS633), N($AK$23:$AK$46&gt;$AI633))
) / 1000</f>
        <v>0</v>
      </c>
      <c r="BV633" s="237">
        <f t="shared" si="614"/>
        <v>0</v>
      </c>
      <c r="BW633" s="210"/>
      <c r="BX633" s="237">
        <f t="shared" si="615"/>
        <v>0</v>
      </c>
      <c r="BY633" s="236">
        <v>35</v>
      </c>
      <c r="BZ633" s="237">
        <f t="shared" si="616"/>
        <v>48</v>
      </c>
      <c r="CA633" s="253">
        <f t="shared" si="617"/>
        <v>3.0748170731707316</v>
      </c>
      <c r="CB633" s="253" cm="1">
        <f t="array" ref="CB633">$BC633 * SUMPRODUCT(INDEX($AL$77:$AN$82,,$AE633),INDEX($AO$77:$AU$82,,$AD633), N($AK$77:$AK$82&gt;$AI633)) / CA633 / 1000</f>
        <v>0</v>
      </c>
      <c r="CC633" s="250">
        <f t="shared" si="634"/>
        <v>30</v>
      </c>
      <c r="CD633" s="237">
        <f t="shared" si="618"/>
        <v>43</v>
      </c>
      <c r="CE633" s="253">
        <f t="shared" si="619"/>
        <v>3.5018750000000001</v>
      </c>
      <c r="CF633" s="253" cm="1">
        <f t="array" ref="CF633">$BC633 * IF($AD633&lt;=2,
SUMPRODUCT(INDEX($AL$72:$AN$76,,$AE633), INDEX($AO$72:$AU$76,,$AD633), 1 / ($AV$72:$AV$76*CE633 + (1-$AV$72:$AV$76)*CA633), N($AK$72:$AK$76&gt;$AI633)),
SUMPRODUCT(INDEX($AL$67:$AN$76,,$AE633), INDEX($AO$67:$AU$76,,$AD633), 1 / ($AW$67:$AW$76*CE633 + (1-$AW$67:$AW$76)*CA633), N($AK$67:$AK$76&gt;$AI633))
) / 1000</f>
        <v>0</v>
      </c>
      <c r="CG633" s="250">
        <f t="shared" si="635"/>
        <v>25</v>
      </c>
      <c r="CH633" s="237">
        <f t="shared" si="620"/>
        <v>38</v>
      </c>
      <c r="CI633" s="253">
        <f t="shared" si="621"/>
        <v>4.0666935483870965</v>
      </c>
      <c r="CJ633" s="253" cm="1">
        <f t="array" ref="CJ633">$BC633 * IF($AD633&lt;=2,
SUMPRODUCT(INDEX($AL$67:$AN$71,,$AE633), INDEX($AO$67:$AU$71,,$AD633), 1 / ($AV$67:$AV$71*CI633 + (1-$AV$67:$AV$71)*CE633), N($AK$67:$AK$71&gt;$AI633)),
SUMPRODUCT(INDEX($AL$57:$AN$66,,$AE633), INDEX($AO$57:$AU$66,,$AD633), 1 / ($AW$57:$AW$66*CI633 + (1-$AW$57:$AW$66)*CE633), N($AK$57:$AK$66&gt;$AI633))
) / 1000</f>
        <v>0</v>
      </c>
      <c r="CK633" s="250">
        <f t="shared" si="636"/>
        <v>20</v>
      </c>
      <c r="CL633" s="237">
        <f t="shared" si="622"/>
        <v>33</v>
      </c>
      <c r="CM633" s="253">
        <f t="shared" si="623"/>
        <v>4.8487499999999999</v>
      </c>
      <c r="CN633" s="253" cm="1">
        <f t="array" ref="CN633">$BC633 * IF($AD633&lt;=2,
SUMPRODUCT(INDEX($AL$62:$AN$66,,$AE633), INDEX($AO$62:$AU$66,,$AD633), 1 / ($AV$62:$AV$66*CM633 + (1-$AV$62:$AV$66)*CI633), N($AK$62:$AK$66&gt;$AI633)),
SUMPRODUCT(INDEX($AL$47:$AN$56,,$AE633), INDEX($AO$47:$AU$56,,$AD633), 1 / ($AW$47:$AW$56*CM633 + (1-$AW$47:$AW$56)*CI633), N($AK$47:$AK$56&gt;$AI633))
) / 1000</f>
        <v>0</v>
      </c>
      <c r="CO633" s="253" cm="1">
        <f t="array" ref="CO633">$BC633 * IF($AD633&lt;=2,
SUMPRODUCT(INDEX($AL$23:$AN$61,,$AE633), INDEX($AO$23:$AU$61,,$AD633), 1 / ($AV$23:$AV$61*CM633), N($AK$23:$AK$61&gt;$AI633)),
SUMPRODUCT(INDEX($AL$23:$AN$46,,$AE633), INDEX($AO$23:$AU$46,,$AD633), 1 / ($AW$23:$AW$46*CM633), N($AK$23:$AK$46&gt;$AI633))
) / 1000</f>
        <v>0</v>
      </c>
      <c r="CP633" s="237">
        <f t="shared" si="624"/>
        <v>0</v>
      </c>
      <c r="CQ633" s="210"/>
    </row>
    <row r="634" spans="1:95" s="76" customFormat="1" ht="14.25" customHeight="1" x14ac:dyDescent="0.2">
      <c r="A634" s="238" t="b">
        <f t="shared" si="628"/>
        <v>0</v>
      </c>
      <c r="B634" s="239">
        <v>612</v>
      </c>
      <c r="C634" s="258"/>
      <c r="D634" s="258"/>
      <c r="E634" s="240"/>
      <c r="F634" s="241" t="str">
        <f>IF(ISBLANK(E634), "", VLOOKUP(E634, Z!$A$2:$C$4127, 3, FALSE))</f>
        <v/>
      </c>
      <c r="G634" s="242"/>
      <c r="H634" s="242"/>
      <c r="I634" s="243"/>
      <c r="J634" s="244"/>
      <c r="K634" s="259"/>
      <c r="L634" s="260"/>
      <c r="M634" s="247" t="str" cm="1">
        <f t="array" ref="M634">IF($K634&gt;0, INDEX(Clean,1+AG634,$C$1), "")</f>
        <v/>
      </c>
      <c r="N634" s="245"/>
      <c r="O634" s="245"/>
      <c r="P634" s="246"/>
      <c r="Q634" s="248">
        <f t="shared" si="601"/>
        <v>0</v>
      </c>
      <c r="R634" s="247" t="str" cm="1">
        <f t="array" ref="R634">IF($K634&gt;0, INDEX(Clean,1+AH634,$C$1), "")</f>
        <v/>
      </c>
      <c r="S634" s="245"/>
      <c r="T634" s="245"/>
      <c r="U634" s="246"/>
      <c r="V634" s="248">
        <f t="shared" si="602"/>
        <v>0</v>
      </c>
      <c r="W634" s="261"/>
      <c r="X634" s="258"/>
      <c r="Y634" s="240"/>
      <c r="Z634" s="241" t="str">
        <f>IF(ISBLANK(Y634), "", VLOOKUP(Y634, Z!$A$2:$C$4127, 3, FALSE))</f>
        <v/>
      </c>
      <c r="AA634" s="262"/>
      <c r="AB634" s="249">
        <f t="shared" si="637"/>
        <v>0</v>
      </c>
      <c r="AC634" s="210"/>
      <c r="AD634" s="236">
        <f t="shared" si="625"/>
        <v>1</v>
      </c>
      <c r="AE634" s="236">
        <f t="shared" si="626"/>
        <v>1</v>
      </c>
      <c r="AF634" s="236">
        <f t="shared" si="627"/>
        <v>0</v>
      </c>
      <c r="AG634" s="236">
        <v>1</v>
      </c>
      <c r="AH634" s="236">
        <v>0</v>
      </c>
      <c r="AI634" s="236">
        <f t="shared" si="603"/>
        <v>-100</v>
      </c>
      <c r="AJ634" s="210"/>
      <c r="AK634" s="254"/>
      <c r="AL634" s="254"/>
      <c r="AM634" s="255"/>
      <c r="AN634" s="255"/>
      <c r="AO634" s="255"/>
      <c r="AP634" s="255"/>
      <c r="AQ634" s="255"/>
      <c r="AR634" s="255"/>
      <c r="AS634" s="255"/>
      <c r="AT634" s="255"/>
      <c r="AU634" s="255"/>
      <c r="AV634" s="255"/>
      <c r="AW634" s="255"/>
      <c r="AX634" s="210"/>
      <c r="AY634" s="236" cm="1">
        <f t="array" ref="AY634">INDEX(Use, $AD634, 4)</f>
        <v>7</v>
      </c>
      <c r="AZ634" s="236">
        <f t="shared" si="604"/>
        <v>32</v>
      </c>
      <c r="BA634" s="236">
        <f t="shared" si="629"/>
        <v>13</v>
      </c>
      <c r="BB634" s="236">
        <f t="shared" si="630"/>
        <v>0</v>
      </c>
      <c r="BC634" s="252" cm="1">
        <f t="array" ref="BC634">K634/IF($L634&gt;0, INDEX($AO$23:$AU$77, $L634+20, $AD634), 1)</f>
        <v>0</v>
      </c>
      <c r="BD634" s="237">
        <f t="shared" si="605"/>
        <v>0</v>
      </c>
      <c r="BE634" s="236">
        <v>35</v>
      </c>
      <c r="BF634" s="237">
        <f t="shared" si="606"/>
        <v>52.55</v>
      </c>
      <c r="BG634" s="253">
        <f t="shared" si="607"/>
        <v>2.7676728869374316</v>
      </c>
      <c r="BH634" s="253" cm="1">
        <f t="array" ref="BH634">$BC634 * SUMPRODUCT(INDEX($AL$77:$AN$82,,$AE634),INDEX($AO$77:$AU$82,,$AD634), N($AK$77:$AK$82&gt;$AI634)) / BG634 / 1000</f>
        <v>0</v>
      </c>
      <c r="BI634" s="250">
        <f t="shared" si="631"/>
        <v>30</v>
      </c>
      <c r="BJ634" s="237">
        <f t="shared" si="608"/>
        <v>46.033333333333331</v>
      </c>
      <c r="BK634" s="253">
        <f t="shared" si="609"/>
        <v>3.2297395388556791</v>
      </c>
      <c r="BL634" s="253" cm="1">
        <f t="array" ref="BL634">$BC634 * IF($AD634&lt;=2,
SUMPRODUCT(INDEX($AL$72:$AN$76,,$AE634), INDEX($AO$72:$AU$76,,$AD634), 1 / ($AV$72:$AV$76*BK634 + (1-$AV$72:$AV$76)*BG634), N($AK$72:$AK$76&gt;$AI634)),
SUMPRODUCT(INDEX($AL$67:$AN$76,,$AE634), INDEX($AO$67:$AU$76,,$AD634), 1 / ($AW$67:$AW$76*BK634 + (1-$AW$67:$AW$76)*BG634), N($AK$67:$AK$76&gt;$AI634))
) / 1000</f>
        <v>0</v>
      </c>
      <c r="BM634" s="250">
        <f t="shared" si="632"/>
        <v>25</v>
      </c>
      <c r="BN634" s="237">
        <f t="shared" si="610"/>
        <v>39.516666666666666</v>
      </c>
      <c r="BO634" s="253">
        <f t="shared" si="611"/>
        <v>3.877011788826243</v>
      </c>
      <c r="BP634" s="253" cm="1">
        <f t="array" ref="BP634">$BC634 * IF($AD634&lt;=2,
SUMPRODUCT(INDEX($AL$67:$AN$71,,$AE634), INDEX($AO$67:$AU$71,,$AD634), 1 / ($AV$67:$AV$71*BO634 + (1-$AV$67:$AV$71)*BK634), N($AK$67:$AK$71&gt;$AI634)),
SUMPRODUCT(INDEX($AL$57:$AN$66,,$AE634), INDEX($AO$57:$AU$66,,$AD634), 1 / ($AW$57:$AW$66*BO634 + (1-$AW$57:$AW$66)*BK634), N($AK$57:$AK$66&gt;$AI634))
) / 1000</f>
        <v>0</v>
      </c>
      <c r="BQ634" s="250">
        <f t="shared" si="633"/>
        <v>20</v>
      </c>
      <c r="BR634" s="237">
        <f t="shared" si="612"/>
        <v>33</v>
      </c>
      <c r="BS634" s="253">
        <f t="shared" si="613"/>
        <v>4.8487499999999999</v>
      </c>
      <c r="BT634" s="253" cm="1">
        <f t="array" ref="BT634">$BC634 * IF($AD634&lt;=2,
SUMPRODUCT(INDEX($AL$62:$AN$66,,$AE634), INDEX($AO$62:$AU$66,,$AD634), 1 / ($AV$62:$AV$66*BS634 + (1-$AV$62:$AV$66)*BO634), N($AK$62:$AK$66&gt;$AI634)),
SUMPRODUCT(INDEX($AL$47:$AN$56,,$AE634), INDEX($AO$47:$AU$56,,$AD634), 1 / ($AW$47:$AW$56*BS634 + (1-$AW$47:$AW$56)*BO634), N($AK$47:$AK$56&gt;$AI634))
) / 1000</f>
        <v>0</v>
      </c>
      <c r="BU634" s="253" cm="1">
        <f t="array" ref="BU634">$BC634 * IF($AD634&lt;=2,
SUMPRODUCT(INDEX($AL$23:$AN$61,,$AE634), INDEX($AO$23:$AU$61,,$AD634), 1 / ($AV$23:$AV$61*BS634), N($AK$23:$AK$61&gt;$AI634)),
SUMPRODUCT(INDEX($AL$23:$AN$46,,$AE634), INDEX($AO$23:$AU$46,,$AD634), 1 / ($AW$23:$AW$46*BS634), N($AK$23:$AK$46&gt;$AI634))
) / 1000</f>
        <v>0</v>
      </c>
      <c r="BV634" s="237">
        <f t="shared" si="614"/>
        <v>0</v>
      </c>
      <c r="BW634" s="210"/>
      <c r="BX634" s="237">
        <f t="shared" si="615"/>
        <v>0</v>
      </c>
      <c r="BY634" s="236">
        <v>35</v>
      </c>
      <c r="BZ634" s="237">
        <f t="shared" si="616"/>
        <v>48</v>
      </c>
      <c r="CA634" s="253">
        <f t="shared" si="617"/>
        <v>3.0748170731707316</v>
      </c>
      <c r="CB634" s="253" cm="1">
        <f t="array" ref="CB634">$BC634 * SUMPRODUCT(INDEX($AL$77:$AN$82,,$AE634),INDEX($AO$77:$AU$82,,$AD634), N($AK$77:$AK$82&gt;$AI634)) / CA634 / 1000</f>
        <v>0</v>
      </c>
      <c r="CC634" s="250">
        <f t="shared" si="634"/>
        <v>30</v>
      </c>
      <c r="CD634" s="237">
        <f t="shared" si="618"/>
        <v>43</v>
      </c>
      <c r="CE634" s="253">
        <f t="shared" si="619"/>
        <v>3.5018750000000001</v>
      </c>
      <c r="CF634" s="253" cm="1">
        <f t="array" ref="CF634">$BC634 * IF($AD634&lt;=2,
SUMPRODUCT(INDEX($AL$72:$AN$76,,$AE634), INDEX($AO$72:$AU$76,,$AD634), 1 / ($AV$72:$AV$76*CE634 + (1-$AV$72:$AV$76)*CA634), N($AK$72:$AK$76&gt;$AI634)),
SUMPRODUCT(INDEX($AL$67:$AN$76,,$AE634), INDEX($AO$67:$AU$76,,$AD634), 1 / ($AW$67:$AW$76*CE634 + (1-$AW$67:$AW$76)*CA634), N($AK$67:$AK$76&gt;$AI634))
) / 1000</f>
        <v>0</v>
      </c>
      <c r="CG634" s="250">
        <f t="shared" si="635"/>
        <v>25</v>
      </c>
      <c r="CH634" s="237">
        <f t="shared" si="620"/>
        <v>38</v>
      </c>
      <c r="CI634" s="253">
        <f t="shared" si="621"/>
        <v>4.0666935483870965</v>
      </c>
      <c r="CJ634" s="253" cm="1">
        <f t="array" ref="CJ634">$BC634 * IF($AD634&lt;=2,
SUMPRODUCT(INDEX($AL$67:$AN$71,,$AE634), INDEX($AO$67:$AU$71,,$AD634), 1 / ($AV$67:$AV$71*CI634 + (1-$AV$67:$AV$71)*CE634), N($AK$67:$AK$71&gt;$AI634)),
SUMPRODUCT(INDEX($AL$57:$AN$66,,$AE634), INDEX($AO$57:$AU$66,,$AD634), 1 / ($AW$57:$AW$66*CI634 + (1-$AW$57:$AW$66)*CE634), N($AK$57:$AK$66&gt;$AI634))
) / 1000</f>
        <v>0</v>
      </c>
      <c r="CK634" s="250">
        <f t="shared" si="636"/>
        <v>20</v>
      </c>
      <c r="CL634" s="237">
        <f t="shared" si="622"/>
        <v>33</v>
      </c>
      <c r="CM634" s="253">
        <f t="shared" si="623"/>
        <v>4.8487499999999999</v>
      </c>
      <c r="CN634" s="253" cm="1">
        <f t="array" ref="CN634">$BC634 * IF($AD634&lt;=2,
SUMPRODUCT(INDEX($AL$62:$AN$66,,$AE634), INDEX($AO$62:$AU$66,,$AD634), 1 / ($AV$62:$AV$66*CM634 + (1-$AV$62:$AV$66)*CI634), N($AK$62:$AK$66&gt;$AI634)),
SUMPRODUCT(INDEX($AL$47:$AN$56,,$AE634), INDEX($AO$47:$AU$56,,$AD634), 1 / ($AW$47:$AW$56*CM634 + (1-$AW$47:$AW$56)*CI634), N($AK$47:$AK$56&gt;$AI634))
) / 1000</f>
        <v>0</v>
      </c>
      <c r="CO634" s="253" cm="1">
        <f t="array" ref="CO634">$BC634 * IF($AD634&lt;=2,
SUMPRODUCT(INDEX($AL$23:$AN$61,,$AE634), INDEX($AO$23:$AU$61,,$AD634), 1 / ($AV$23:$AV$61*CM634), N($AK$23:$AK$61&gt;$AI634)),
SUMPRODUCT(INDEX($AL$23:$AN$46,,$AE634), INDEX($AO$23:$AU$46,,$AD634), 1 / ($AW$23:$AW$46*CM634), N($AK$23:$AK$46&gt;$AI634))
) / 1000</f>
        <v>0</v>
      </c>
      <c r="CP634" s="237">
        <f t="shared" si="624"/>
        <v>0</v>
      </c>
      <c r="CQ634" s="210"/>
    </row>
    <row r="635" spans="1:95" s="76" customFormat="1" ht="14.25" customHeight="1" x14ac:dyDescent="0.2">
      <c r="A635" s="238" t="b">
        <f t="shared" si="628"/>
        <v>0</v>
      </c>
      <c r="B635" s="239">
        <v>613</v>
      </c>
      <c r="C635" s="258"/>
      <c r="D635" s="258"/>
      <c r="E635" s="240"/>
      <c r="F635" s="241" t="str">
        <f>IF(ISBLANK(E635), "", VLOOKUP(E635, Z!$A$2:$C$4127, 3, FALSE))</f>
        <v/>
      </c>
      <c r="G635" s="242"/>
      <c r="H635" s="242"/>
      <c r="I635" s="243"/>
      <c r="J635" s="244"/>
      <c r="K635" s="259"/>
      <c r="L635" s="260"/>
      <c r="M635" s="247" t="str" cm="1">
        <f t="array" ref="M635">IF($K635&gt;0, INDEX(Clean,1+AG635,$C$1), "")</f>
        <v/>
      </c>
      <c r="N635" s="245"/>
      <c r="O635" s="245"/>
      <c r="P635" s="246"/>
      <c r="Q635" s="248">
        <f t="shared" ref="Q635:Q698" si="638">BV635*1000</f>
        <v>0</v>
      </c>
      <c r="R635" s="247" t="str" cm="1">
        <f t="array" ref="R635">IF($K635&gt;0, INDEX(Clean,1+AH635,$C$1), "")</f>
        <v/>
      </c>
      <c r="S635" s="245"/>
      <c r="T635" s="245"/>
      <c r="U635" s="246"/>
      <c r="V635" s="248">
        <f t="shared" ref="V635:V698" si="639">CP635*1000</f>
        <v>0</v>
      </c>
      <c r="W635" s="261"/>
      <c r="X635" s="258"/>
      <c r="Y635" s="240"/>
      <c r="Z635" s="241" t="str">
        <f>IF(ISBLANK(Y635), "", VLOOKUP(Y635, Z!$A$2:$C$4127, 3, FALSE))</f>
        <v/>
      </c>
      <c r="AA635" s="262"/>
      <c r="AB635" s="249">
        <f t="shared" si="637"/>
        <v>0</v>
      </c>
      <c r="AC635" s="210"/>
      <c r="AD635" s="236">
        <f t="shared" si="625"/>
        <v>1</v>
      </c>
      <c r="AE635" s="236">
        <f t="shared" si="626"/>
        <v>1</v>
      </c>
      <c r="AF635" s="236">
        <f t="shared" si="627"/>
        <v>0</v>
      </c>
      <c r="AG635" s="236">
        <v>1</v>
      </c>
      <c r="AH635" s="236">
        <v>0</v>
      </c>
      <c r="AI635" s="236">
        <f t="shared" ref="AI635:AI698" si="640">IF(AND(J635="x", AD635=5), 11, IF(AND(J635="x", AD635=6), 19, -100))</f>
        <v>-100</v>
      </c>
      <c r="AJ635" s="210"/>
      <c r="AK635" s="254"/>
      <c r="AL635" s="254"/>
      <c r="AM635" s="255"/>
      <c r="AN635" s="255"/>
      <c r="AO635" s="255"/>
      <c r="AP635" s="255"/>
      <c r="AQ635" s="255"/>
      <c r="AR635" s="255"/>
      <c r="AS635" s="255"/>
      <c r="AT635" s="255"/>
      <c r="AU635" s="255"/>
      <c r="AV635" s="255"/>
      <c r="AW635" s="255"/>
      <c r="AX635" s="210"/>
      <c r="AY635" s="236" cm="1">
        <f t="array" ref="AY635">INDEX(Use, $AD635, 4)</f>
        <v>7</v>
      </c>
      <c r="AZ635" s="236">
        <f t="shared" ref="AZ635:AZ698" si="641">MAX(25, AY635+25)</f>
        <v>32</v>
      </c>
      <c r="BA635" s="236">
        <f t="shared" si="629"/>
        <v>13</v>
      </c>
      <c r="BB635" s="236">
        <f t="shared" si="630"/>
        <v>0</v>
      </c>
      <c r="BC635" s="252" cm="1">
        <f t="array" ref="BC635">K635/IF($L635&gt;0, INDEX($AO$23:$AU$77, $L635+20, $AD635), 1)</f>
        <v>0</v>
      </c>
      <c r="BD635" s="237">
        <f t="shared" ref="BD635:BD698" si="642">P635 /  IF(AD635&lt;=2, 0.7 + 0.3 * (O635-20)/(35-20), 0.4 + 0.6 * (O635-5)/(35-5))</f>
        <v>0</v>
      </c>
      <c r="BE635" s="236">
        <v>35</v>
      </c>
      <c r="BF635" s="237">
        <f t="shared" ref="BF635:BF698" si="643">MAX($N635, MAX($AZ635, $BE635 + $BA635 + $BB635 + 0.35*$AG635*$BA635 + BD635))</f>
        <v>52.55</v>
      </c>
      <c r="BG635" s="253">
        <f t="shared" ref="BG635:BG698" si="644">0.45*($AY635+273.15)/(BF635-$AY635)</f>
        <v>2.7676728869374316</v>
      </c>
      <c r="BH635" s="253" cm="1">
        <f t="array" ref="BH635">$BC635 * SUMPRODUCT(INDEX($AL$77:$AN$82,,$AE635),INDEX($AO$77:$AU$82,,$AD635), N($AK$77:$AK$82&gt;$AI635)) / BG635 / 1000</f>
        <v>0</v>
      </c>
      <c r="BI635" s="250">
        <f t="shared" si="631"/>
        <v>30</v>
      </c>
      <c r="BJ635" s="237">
        <f t="shared" ref="BJ635:BJ698" si="645">MAX($N635, MAX($AZ635, BI635 + $BA635 + $BB635 + IF($AD635&lt;=2, (BI635-20)/(35-20), 0.6+0.4*(BI635-5)/(35-5))*0.35*$AG635*$BA635) + IF($AD635&lt;=2,0.9,0.8)*$BD635)</f>
        <v>46.033333333333331</v>
      </c>
      <c r="BK635" s="253">
        <f t="shared" ref="BK635:BK698" si="646">0.45*($AY635+273.15)/(BJ635-$AY635)</f>
        <v>3.2297395388556791</v>
      </c>
      <c r="BL635" s="253" cm="1">
        <f t="array" ref="BL635">$BC635 * IF($AD635&lt;=2,
SUMPRODUCT(INDEX($AL$72:$AN$76,,$AE635), INDEX($AO$72:$AU$76,,$AD635), 1 / ($AV$72:$AV$76*BK635 + (1-$AV$72:$AV$76)*BG635), N($AK$72:$AK$76&gt;$AI635)),
SUMPRODUCT(INDEX($AL$67:$AN$76,,$AE635), INDEX($AO$67:$AU$76,,$AD635), 1 / ($AW$67:$AW$76*BK635 + (1-$AW$67:$AW$76)*BG635), N($AK$67:$AK$76&gt;$AI635))
) / 1000</f>
        <v>0</v>
      </c>
      <c r="BM635" s="250">
        <f t="shared" si="632"/>
        <v>25</v>
      </c>
      <c r="BN635" s="237">
        <f t="shared" ref="BN635:BN698" si="647">MAX($N635, MAX($AZ635, BM635 + $BA635 + $BB635 + IF($AD635&lt;=2, (BM635-20)/(35-20), 0.6+0.4*(BM635-5)/(35-5))*0.35*$AG635*$BA635) + IF($AD635&lt;=2,0.8,0.6)*$BD635)</f>
        <v>39.516666666666666</v>
      </c>
      <c r="BO635" s="253">
        <f t="shared" ref="BO635:BO698" si="648">0.45*($AY635+273.15)/(BN635-$AY635)</f>
        <v>3.877011788826243</v>
      </c>
      <c r="BP635" s="253" cm="1">
        <f t="array" ref="BP635">$BC635 * IF($AD635&lt;=2,
SUMPRODUCT(INDEX($AL$67:$AN$71,,$AE635), INDEX($AO$67:$AU$71,,$AD635), 1 / ($AV$67:$AV$71*BO635 + (1-$AV$67:$AV$71)*BK635), N($AK$67:$AK$71&gt;$AI635)),
SUMPRODUCT(INDEX($AL$57:$AN$66,,$AE635), INDEX($AO$57:$AU$66,,$AD635), 1 / ($AW$57:$AW$66*BO635 + (1-$AW$57:$AW$66)*BK635), N($AK$57:$AK$66&gt;$AI635))
) / 1000</f>
        <v>0</v>
      </c>
      <c r="BQ635" s="250">
        <f t="shared" si="633"/>
        <v>20</v>
      </c>
      <c r="BR635" s="237">
        <f t="shared" ref="BR635:BR698" si="649">MAX($N635, MAX($AZ635, BQ635 + $BA635 + $BB635 + IF($AD635&lt;=2, (BQ635-20)/(35-20), 0.6+0.4*(BQ635-5)/(35-5))*0.35*$AG635*$BA635) + IF($AD635&lt;=2,0.7,0.4)*$BD635)</f>
        <v>33</v>
      </c>
      <c r="BS635" s="253">
        <f t="shared" ref="BS635:BS698" si="650">0.45*($AY635+273.15)/(BR635-$AY635)</f>
        <v>4.8487499999999999</v>
      </c>
      <c r="BT635" s="253" cm="1">
        <f t="array" ref="BT635">$BC635 * IF($AD635&lt;=2,
SUMPRODUCT(INDEX($AL$62:$AN$66,,$AE635), INDEX($AO$62:$AU$66,,$AD635), 1 / ($AV$62:$AV$66*BS635 + (1-$AV$62:$AV$66)*BO635), N($AK$62:$AK$66&gt;$AI635)),
SUMPRODUCT(INDEX($AL$47:$AN$56,,$AE635), INDEX($AO$47:$AU$56,,$AD635), 1 / ($AW$47:$AW$56*BS635 + (1-$AW$47:$AW$56)*BO635), N($AK$47:$AK$56&gt;$AI635))
) / 1000</f>
        <v>0</v>
      </c>
      <c r="BU635" s="253" cm="1">
        <f t="array" ref="BU635">$BC635 * IF($AD635&lt;=2,
SUMPRODUCT(INDEX($AL$23:$AN$61,,$AE635), INDEX($AO$23:$AU$61,,$AD635), 1 / ($AV$23:$AV$61*BS635), N($AK$23:$AK$61&gt;$AI635)),
SUMPRODUCT(INDEX($AL$23:$AN$46,,$AE635), INDEX($AO$23:$AU$46,,$AD635), 1 / ($AW$23:$AW$46*BS635), N($AK$23:$AK$46&gt;$AI635))
) / 1000</f>
        <v>0</v>
      </c>
      <c r="BV635" s="237">
        <f t="shared" ref="BV635:BV698" si="651">BH635+BL635+BP635+BT635+BU635</f>
        <v>0</v>
      </c>
      <c r="BW635" s="210"/>
      <c r="BX635" s="237">
        <f t="shared" ref="BX635:BX698" si="652">U635 /  IF(AD635&lt;=2, 0.7 + 0.3 * (T635-20)/(35-20), 0.4 + 0.6 * (T635-5)/(35-5))</f>
        <v>0</v>
      </c>
      <c r="BY635" s="236">
        <v>35</v>
      </c>
      <c r="BZ635" s="237">
        <f t="shared" ref="BZ635:BZ698" si="653">MAX($S635, MAX($AZ635, $BE635 + $BA635 + $BB635 + 0.35*$AH635*$BA635 + BX635))</f>
        <v>48</v>
      </c>
      <c r="CA635" s="253">
        <f t="shared" ref="CA635:CA698" si="654">0.45*($AY635+273.15)/(BZ635-$AY635)</f>
        <v>3.0748170731707316</v>
      </c>
      <c r="CB635" s="253" cm="1">
        <f t="array" ref="CB635">$BC635 * SUMPRODUCT(INDEX($AL$77:$AN$82,,$AE635),INDEX($AO$77:$AU$82,,$AD635), N($AK$77:$AK$82&gt;$AI635)) / CA635 / 1000</f>
        <v>0</v>
      </c>
      <c r="CC635" s="250">
        <f t="shared" si="634"/>
        <v>30</v>
      </c>
      <c r="CD635" s="237">
        <f t="shared" ref="CD635:CD698" si="655">MAX($S635, MAX($AZ635, CC635 + $BA635 + $BB635 + IF($AD635&lt;=2, (CC635-20)/(35-20), 0.6+0.4*(CC635-5)/(35-5))*0.35*$AH635*$BA635) + IF($AD635&lt;=2,0.9,0.8)*$BX635)</f>
        <v>43</v>
      </c>
      <c r="CE635" s="253">
        <f t="shared" ref="CE635:CE698" si="656">0.45*($AY635+273.15)/(CD635-$AY635)</f>
        <v>3.5018750000000001</v>
      </c>
      <c r="CF635" s="253" cm="1">
        <f t="array" ref="CF635">$BC635 * IF($AD635&lt;=2,
SUMPRODUCT(INDEX($AL$72:$AN$76,,$AE635), INDEX($AO$72:$AU$76,,$AD635), 1 / ($AV$72:$AV$76*CE635 + (1-$AV$72:$AV$76)*CA635), N($AK$72:$AK$76&gt;$AI635)),
SUMPRODUCT(INDEX($AL$67:$AN$76,,$AE635), INDEX($AO$67:$AU$76,,$AD635), 1 / ($AW$67:$AW$76*CE635 + (1-$AW$67:$AW$76)*CA635), N($AK$67:$AK$76&gt;$AI635))
) / 1000</f>
        <v>0</v>
      </c>
      <c r="CG635" s="250">
        <f t="shared" si="635"/>
        <v>25</v>
      </c>
      <c r="CH635" s="237">
        <f t="shared" ref="CH635:CH698" si="657">MAX($S635, MAX($AZ635, CG635 + $BA635 + $BB635 + IF($AD635&lt;=2, (CG635-20)/(35-20), 0.6+0.4*(CG635-5)/(35-5))*0.35*$AH635*$BA635) + IF($AD635&lt;=2,0.8,0.6)*$BX635)</f>
        <v>38</v>
      </c>
      <c r="CI635" s="253">
        <f t="shared" ref="CI635:CI698" si="658">0.45*($AY635+273.15)/(CH635-$AY635)</f>
        <v>4.0666935483870965</v>
      </c>
      <c r="CJ635" s="253" cm="1">
        <f t="array" ref="CJ635">$BC635 * IF($AD635&lt;=2,
SUMPRODUCT(INDEX($AL$67:$AN$71,,$AE635), INDEX($AO$67:$AU$71,,$AD635), 1 / ($AV$67:$AV$71*CI635 + (1-$AV$67:$AV$71)*CE635), N($AK$67:$AK$71&gt;$AI635)),
SUMPRODUCT(INDEX($AL$57:$AN$66,,$AE635), INDEX($AO$57:$AU$66,,$AD635), 1 / ($AW$57:$AW$66*CI635 + (1-$AW$57:$AW$66)*CE635), N($AK$57:$AK$66&gt;$AI635))
) / 1000</f>
        <v>0</v>
      </c>
      <c r="CK635" s="250">
        <f t="shared" si="636"/>
        <v>20</v>
      </c>
      <c r="CL635" s="237">
        <f t="shared" ref="CL635:CL698" si="659">MAX($S635, MAX($AZ635, CK635 + $BA635 + $BB635 + IF($AD635&lt;=2, (CK635-20)/(35-20), 0.6+0.4*(CK635-5)/(35-5))*0.35*$AH635*$BA635) + IF($AD635&lt;=2,0.7,0.4)*$BX635)</f>
        <v>33</v>
      </c>
      <c r="CM635" s="253">
        <f t="shared" ref="CM635:CM698" si="660">0.45*($AY635+273.15)/(CL635-$AY635)</f>
        <v>4.8487499999999999</v>
      </c>
      <c r="CN635" s="253" cm="1">
        <f t="array" ref="CN635">$BC635 * IF($AD635&lt;=2,
SUMPRODUCT(INDEX($AL$62:$AN$66,,$AE635), INDEX($AO$62:$AU$66,,$AD635), 1 / ($AV$62:$AV$66*CM635 + (1-$AV$62:$AV$66)*CI635), N($AK$62:$AK$66&gt;$AI635)),
SUMPRODUCT(INDEX($AL$47:$AN$56,,$AE635), INDEX($AO$47:$AU$56,,$AD635), 1 / ($AW$47:$AW$56*CM635 + (1-$AW$47:$AW$56)*CI635), N($AK$47:$AK$56&gt;$AI635))
) / 1000</f>
        <v>0</v>
      </c>
      <c r="CO635" s="253" cm="1">
        <f t="array" ref="CO635">$BC635 * IF($AD635&lt;=2,
SUMPRODUCT(INDEX($AL$23:$AN$61,,$AE635), INDEX($AO$23:$AU$61,,$AD635), 1 / ($AV$23:$AV$61*CM635), N($AK$23:$AK$61&gt;$AI635)),
SUMPRODUCT(INDEX($AL$23:$AN$46,,$AE635), INDEX($AO$23:$AU$46,,$AD635), 1 / ($AW$23:$AW$46*CM635), N($AK$23:$AK$46&gt;$AI635))
) / 1000</f>
        <v>0</v>
      </c>
      <c r="CP635" s="237">
        <f t="shared" ref="CP635:CP698" si="661">CB635+CF635+CJ635+CN635+CO635</f>
        <v>0</v>
      </c>
      <c r="CQ635" s="210"/>
    </row>
    <row r="636" spans="1:95" s="76" customFormat="1" ht="14.25" customHeight="1" x14ac:dyDescent="0.2">
      <c r="A636" s="238" t="b">
        <f t="shared" si="628"/>
        <v>0</v>
      </c>
      <c r="B636" s="239">
        <v>614</v>
      </c>
      <c r="C636" s="258"/>
      <c r="D636" s="258"/>
      <c r="E636" s="240"/>
      <c r="F636" s="241" t="str">
        <f>IF(ISBLANK(E636), "", VLOOKUP(E636, Z!$A$2:$C$4127, 3, FALSE))</f>
        <v/>
      </c>
      <c r="G636" s="242"/>
      <c r="H636" s="242"/>
      <c r="I636" s="243"/>
      <c r="J636" s="244"/>
      <c r="K636" s="259"/>
      <c r="L636" s="260"/>
      <c r="M636" s="247" t="str" cm="1">
        <f t="array" ref="M636">IF($K636&gt;0, INDEX(Clean,1+AG636,$C$1), "")</f>
        <v/>
      </c>
      <c r="N636" s="245"/>
      <c r="O636" s="245"/>
      <c r="P636" s="246"/>
      <c r="Q636" s="248">
        <f t="shared" si="638"/>
        <v>0</v>
      </c>
      <c r="R636" s="247" t="str" cm="1">
        <f t="array" ref="R636">IF($K636&gt;0, INDEX(Clean,1+AH636,$C$1), "")</f>
        <v/>
      </c>
      <c r="S636" s="245"/>
      <c r="T636" s="245"/>
      <c r="U636" s="246"/>
      <c r="V636" s="248">
        <f t="shared" si="639"/>
        <v>0</v>
      </c>
      <c r="W636" s="261"/>
      <c r="X636" s="258"/>
      <c r="Y636" s="240"/>
      <c r="Z636" s="241" t="str">
        <f>IF(ISBLANK(Y636), "", VLOOKUP(Y636, Z!$A$2:$C$4127, 3, FALSE))</f>
        <v/>
      </c>
      <c r="AA636" s="262"/>
      <c r="AB636" s="249">
        <f t="shared" si="637"/>
        <v>0</v>
      </c>
      <c r="AC636" s="210"/>
      <c r="AD636" s="236">
        <f t="shared" ref="AD636:AD699" si="662">IF(ISBLANK(H636), 1, IFERROR(MATCH(H636, INDEX(Use,,1), 0), IFERROR(MATCH(H636, INDEX(Use,,2), 0), MATCH(H636, INDEX(Use,,3), 0))))</f>
        <v>1</v>
      </c>
      <c r="AE636" s="236">
        <f t="shared" ref="AE636:AE699" si="663">IF(ISBLANK(G636), 1, IFERROR(MATCH(G636, INDEX(Loc,,1), 0), IFERROR(MATCH(G636, INDEX(Loc,,2), 0), MATCH(G636, INDEX(Loc,,3), 0))))</f>
        <v>1</v>
      </c>
      <c r="AF636" s="236">
        <f t="shared" ref="AF636:AF699" si="664">_xlfn.IFNA(IF(IFERROR(MATCH(I636, INDEX(Medium,,1), 0), IFERROR(MATCH(I636, INDEX(Medium,,2), 0), MATCH(I636, INDEX(Medium,,3), 0))) = 2, 1, 0), 0)</f>
        <v>0</v>
      </c>
      <c r="AG636" s="236">
        <v>1</v>
      </c>
      <c r="AH636" s="236">
        <v>0</v>
      </c>
      <c r="AI636" s="236">
        <f t="shared" si="640"/>
        <v>-100</v>
      </c>
      <c r="AJ636" s="210"/>
      <c r="AK636" s="254"/>
      <c r="AL636" s="254"/>
      <c r="AM636" s="255"/>
      <c r="AN636" s="255"/>
      <c r="AO636" s="255"/>
      <c r="AP636" s="255"/>
      <c r="AQ636" s="255"/>
      <c r="AR636" s="255"/>
      <c r="AS636" s="255"/>
      <c r="AT636" s="255"/>
      <c r="AU636" s="255"/>
      <c r="AV636" s="255"/>
      <c r="AW636" s="255"/>
      <c r="AX636" s="210"/>
      <c r="AY636" s="236" cm="1">
        <f t="array" ref="AY636">INDEX(Use, $AD636, 4)</f>
        <v>7</v>
      </c>
      <c r="AZ636" s="236">
        <f t="shared" si="641"/>
        <v>32</v>
      </c>
      <c r="BA636" s="236">
        <f t="shared" si="629"/>
        <v>13</v>
      </c>
      <c r="BB636" s="236">
        <f t="shared" si="630"/>
        <v>0</v>
      </c>
      <c r="BC636" s="252" cm="1">
        <f t="array" ref="BC636">K636/IF($L636&gt;0, INDEX($AO$23:$AU$77, $L636+20, $AD636), 1)</f>
        <v>0</v>
      </c>
      <c r="BD636" s="237">
        <f t="shared" si="642"/>
        <v>0</v>
      </c>
      <c r="BE636" s="236">
        <v>35</v>
      </c>
      <c r="BF636" s="237">
        <f t="shared" si="643"/>
        <v>52.55</v>
      </c>
      <c r="BG636" s="253">
        <f t="shared" si="644"/>
        <v>2.7676728869374316</v>
      </c>
      <c r="BH636" s="253" cm="1">
        <f t="array" ref="BH636">$BC636 * SUMPRODUCT(INDEX($AL$77:$AN$82,,$AE636),INDEX($AO$77:$AU$82,,$AD636), N($AK$77:$AK$82&gt;$AI636)) / BG636 / 1000</f>
        <v>0</v>
      </c>
      <c r="BI636" s="250">
        <f t="shared" si="631"/>
        <v>30</v>
      </c>
      <c r="BJ636" s="237">
        <f t="shared" si="645"/>
        <v>46.033333333333331</v>
      </c>
      <c r="BK636" s="253">
        <f t="shared" si="646"/>
        <v>3.2297395388556791</v>
      </c>
      <c r="BL636" s="253" cm="1">
        <f t="array" ref="BL636">$BC636 * IF($AD636&lt;=2,
SUMPRODUCT(INDEX($AL$72:$AN$76,,$AE636), INDEX($AO$72:$AU$76,,$AD636), 1 / ($AV$72:$AV$76*BK636 + (1-$AV$72:$AV$76)*BG636), N($AK$72:$AK$76&gt;$AI636)),
SUMPRODUCT(INDEX($AL$67:$AN$76,,$AE636), INDEX($AO$67:$AU$76,,$AD636), 1 / ($AW$67:$AW$76*BK636 + (1-$AW$67:$AW$76)*BG636), N($AK$67:$AK$76&gt;$AI636))
) / 1000</f>
        <v>0</v>
      </c>
      <c r="BM636" s="250">
        <f t="shared" si="632"/>
        <v>25</v>
      </c>
      <c r="BN636" s="237">
        <f t="shared" si="647"/>
        <v>39.516666666666666</v>
      </c>
      <c r="BO636" s="253">
        <f t="shared" si="648"/>
        <v>3.877011788826243</v>
      </c>
      <c r="BP636" s="253" cm="1">
        <f t="array" ref="BP636">$BC636 * IF($AD636&lt;=2,
SUMPRODUCT(INDEX($AL$67:$AN$71,,$AE636), INDEX($AO$67:$AU$71,,$AD636), 1 / ($AV$67:$AV$71*BO636 + (1-$AV$67:$AV$71)*BK636), N($AK$67:$AK$71&gt;$AI636)),
SUMPRODUCT(INDEX($AL$57:$AN$66,,$AE636), INDEX($AO$57:$AU$66,,$AD636), 1 / ($AW$57:$AW$66*BO636 + (1-$AW$57:$AW$66)*BK636), N($AK$57:$AK$66&gt;$AI636))
) / 1000</f>
        <v>0</v>
      </c>
      <c r="BQ636" s="250">
        <f t="shared" si="633"/>
        <v>20</v>
      </c>
      <c r="BR636" s="237">
        <f t="shared" si="649"/>
        <v>33</v>
      </c>
      <c r="BS636" s="253">
        <f t="shared" si="650"/>
        <v>4.8487499999999999</v>
      </c>
      <c r="BT636" s="253" cm="1">
        <f t="array" ref="BT636">$BC636 * IF($AD636&lt;=2,
SUMPRODUCT(INDEX($AL$62:$AN$66,,$AE636), INDEX($AO$62:$AU$66,,$AD636), 1 / ($AV$62:$AV$66*BS636 + (1-$AV$62:$AV$66)*BO636), N($AK$62:$AK$66&gt;$AI636)),
SUMPRODUCT(INDEX($AL$47:$AN$56,,$AE636), INDEX($AO$47:$AU$56,,$AD636), 1 / ($AW$47:$AW$56*BS636 + (1-$AW$47:$AW$56)*BO636), N($AK$47:$AK$56&gt;$AI636))
) / 1000</f>
        <v>0</v>
      </c>
      <c r="BU636" s="253" cm="1">
        <f t="array" ref="BU636">$BC636 * IF($AD636&lt;=2,
SUMPRODUCT(INDEX($AL$23:$AN$61,,$AE636), INDEX($AO$23:$AU$61,,$AD636), 1 / ($AV$23:$AV$61*BS636), N($AK$23:$AK$61&gt;$AI636)),
SUMPRODUCT(INDEX($AL$23:$AN$46,,$AE636), INDEX($AO$23:$AU$46,,$AD636), 1 / ($AW$23:$AW$46*BS636), N($AK$23:$AK$46&gt;$AI636))
) / 1000</f>
        <v>0</v>
      </c>
      <c r="BV636" s="237">
        <f t="shared" si="651"/>
        <v>0</v>
      </c>
      <c r="BW636" s="210"/>
      <c r="BX636" s="237">
        <f t="shared" si="652"/>
        <v>0</v>
      </c>
      <c r="BY636" s="236">
        <v>35</v>
      </c>
      <c r="BZ636" s="237">
        <f t="shared" si="653"/>
        <v>48</v>
      </c>
      <c r="CA636" s="253">
        <f t="shared" si="654"/>
        <v>3.0748170731707316</v>
      </c>
      <c r="CB636" s="253" cm="1">
        <f t="array" ref="CB636">$BC636 * SUMPRODUCT(INDEX($AL$77:$AN$82,,$AE636),INDEX($AO$77:$AU$82,,$AD636), N($AK$77:$AK$82&gt;$AI636)) / CA636 / 1000</f>
        <v>0</v>
      </c>
      <c r="CC636" s="250">
        <f t="shared" si="634"/>
        <v>30</v>
      </c>
      <c r="CD636" s="237">
        <f t="shared" si="655"/>
        <v>43</v>
      </c>
      <c r="CE636" s="253">
        <f t="shared" si="656"/>
        <v>3.5018750000000001</v>
      </c>
      <c r="CF636" s="253" cm="1">
        <f t="array" ref="CF636">$BC636 * IF($AD636&lt;=2,
SUMPRODUCT(INDEX($AL$72:$AN$76,,$AE636), INDEX($AO$72:$AU$76,,$AD636), 1 / ($AV$72:$AV$76*CE636 + (1-$AV$72:$AV$76)*CA636), N($AK$72:$AK$76&gt;$AI636)),
SUMPRODUCT(INDEX($AL$67:$AN$76,,$AE636), INDEX($AO$67:$AU$76,,$AD636), 1 / ($AW$67:$AW$76*CE636 + (1-$AW$67:$AW$76)*CA636), N($AK$67:$AK$76&gt;$AI636))
) / 1000</f>
        <v>0</v>
      </c>
      <c r="CG636" s="250">
        <f t="shared" si="635"/>
        <v>25</v>
      </c>
      <c r="CH636" s="237">
        <f t="shared" si="657"/>
        <v>38</v>
      </c>
      <c r="CI636" s="253">
        <f t="shared" si="658"/>
        <v>4.0666935483870965</v>
      </c>
      <c r="CJ636" s="253" cm="1">
        <f t="array" ref="CJ636">$BC636 * IF($AD636&lt;=2,
SUMPRODUCT(INDEX($AL$67:$AN$71,,$AE636), INDEX($AO$67:$AU$71,,$AD636), 1 / ($AV$67:$AV$71*CI636 + (1-$AV$67:$AV$71)*CE636), N($AK$67:$AK$71&gt;$AI636)),
SUMPRODUCT(INDEX($AL$57:$AN$66,,$AE636), INDEX($AO$57:$AU$66,,$AD636), 1 / ($AW$57:$AW$66*CI636 + (1-$AW$57:$AW$66)*CE636), N($AK$57:$AK$66&gt;$AI636))
) / 1000</f>
        <v>0</v>
      </c>
      <c r="CK636" s="250">
        <f t="shared" si="636"/>
        <v>20</v>
      </c>
      <c r="CL636" s="237">
        <f t="shared" si="659"/>
        <v>33</v>
      </c>
      <c r="CM636" s="253">
        <f t="shared" si="660"/>
        <v>4.8487499999999999</v>
      </c>
      <c r="CN636" s="253" cm="1">
        <f t="array" ref="CN636">$BC636 * IF($AD636&lt;=2,
SUMPRODUCT(INDEX($AL$62:$AN$66,,$AE636), INDEX($AO$62:$AU$66,,$AD636), 1 / ($AV$62:$AV$66*CM636 + (1-$AV$62:$AV$66)*CI636), N($AK$62:$AK$66&gt;$AI636)),
SUMPRODUCT(INDEX($AL$47:$AN$56,,$AE636), INDEX($AO$47:$AU$56,,$AD636), 1 / ($AW$47:$AW$56*CM636 + (1-$AW$47:$AW$56)*CI636), N($AK$47:$AK$56&gt;$AI636))
) / 1000</f>
        <v>0</v>
      </c>
      <c r="CO636" s="253" cm="1">
        <f t="array" ref="CO636">$BC636 * IF($AD636&lt;=2,
SUMPRODUCT(INDEX($AL$23:$AN$61,,$AE636), INDEX($AO$23:$AU$61,,$AD636), 1 / ($AV$23:$AV$61*CM636), N($AK$23:$AK$61&gt;$AI636)),
SUMPRODUCT(INDEX($AL$23:$AN$46,,$AE636), INDEX($AO$23:$AU$46,,$AD636), 1 / ($AW$23:$AW$46*CM636), N($AK$23:$AK$46&gt;$AI636))
) / 1000</f>
        <v>0</v>
      </c>
      <c r="CP636" s="237">
        <f t="shared" si="661"/>
        <v>0</v>
      </c>
      <c r="CQ636" s="210"/>
    </row>
    <row r="637" spans="1:95" s="76" customFormat="1" ht="14.25" customHeight="1" x14ac:dyDescent="0.2">
      <c r="A637" s="238" t="b">
        <f t="shared" si="628"/>
        <v>0</v>
      </c>
      <c r="B637" s="239">
        <v>615</v>
      </c>
      <c r="C637" s="258"/>
      <c r="D637" s="258"/>
      <c r="E637" s="240"/>
      <c r="F637" s="241" t="str">
        <f>IF(ISBLANK(E637), "", VLOOKUP(E637, Z!$A$2:$C$4127, 3, FALSE))</f>
        <v/>
      </c>
      <c r="G637" s="242"/>
      <c r="H637" s="242"/>
      <c r="I637" s="243"/>
      <c r="J637" s="244"/>
      <c r="K637" s="259"/>
      <c r="L637" s="260"/>
      <c r="M637" s="247" t="str" cm="1">
        <f t="array" ref="M637">IF($K637&gt;0, INDEX(Clean,1+AG637,$C$1), "")</f>
        <v/>
      </c>
      <c r="N637" s="245"/>
      <c r="O637" s="245"/>
      <c r="P637" s="246"/>
      <c r="Q637" s="248">
        <f t="shared" si="638"/>
        <v>0</v>
      </c>
      <c r="R637" s="247" t="str" cm="1">
        <f t="array" ref="R637">IF($K637&gt;0, INDEX(Clean,1+AH637,$C$1), "")</f>
        <v/>
      </c>
      <c r="S637" s="245"/>
      <c r="T637" s="245"/>
      <c r="U637" s="246"/>
      <c r="V637" s="248">
        <f t="shared" si="639"/>
        <v>0</v>
      </c>
      <c r="W637" s="261"/>
      <c r="X637" s="258"/>
      <c r="Y637" s="240"/>
      <c r="Z637" s="241" t="str">
        <f>IF(ISBLANK(Y637), "", VLOOKUP(Y637, Z!$A$2:$C$4127, 3, FALSE))</f>
        <v/>
      </c>
      <c r="AA637" s="262"/>
      <c r="AB637" s="249">
        <f t="shared" si="637"/>
        <v>0</v>
      </c>
      <c r="AC637" s="210"/>
      <c r="AD637" s="236">
        <f t="shared" si="662"/>
        <v>1</v>
      </c>
      <c r="AE637" s="236">
        <f t="shared" si="663"/>
        <v>1</v>
      </c>
      <c r="AF637" s="236">
        <f t="shared" si="664"/>
        <v>0</v>
      </c>
      <c r="AG637" s="236">
        <v>1</v>
      </c>
      <c r="AH637" s="236">
        <v>0</v>
      </c>
      <c r="AI637" s="236">
        <f t="shared" si="640"/>
        <v>-100</v>
      </c>
      <c r="AJ637" s="210"/>
      <c r="AK637" s="254"/>
      <c r="AL637" s="254"/>
      <c r="AM637" s="255"/>
      <c r="AN637" s="255"/>
      <c r="AO637" s="255"/>
      <c r="AP637" s="255"/>
      <c r="AQ637" s="255"/>
      <c r="AR637" s="255"/>
      <c r="AS637" s="255"/>
      <c r="AT637" s="255"/>
      <c r="AU637" s="255"/>
      <c r="AV637" s="255"/>
      <c r="AW637" s="255"/>
      <c r="AX637" s="210"/>
      <c r="AY637" s="236" cm="1">
        <f t="array" ref="AY637">INDEX(Use, $AD637, 4)</f>
        <v>7</v>
      </c>
      <c r="AZ637" s="236">
        <f t="shared" si="641"/>
        <v>32</v>
      </c>
      <c r="BA637" s="236">
        <f t="shared" si="629"/>
        <v>13</v>
      </c>
      <c r="BB637" s="236">
        <f t="shared" si="630"/>
        <v>0</v>
      </c>
      <c r="BC637" s="252" cm="1">
        <f t="array" ref="BC637">K637/IF($L637&gt;0, INDEX($AO$23:$AU$77, $L637+20, $AD637), 1)</f>
        <v>0</v>
      </c>
      <c r="BD637" s="237">
        <f t="shared" si="642"/>
        <v>0</v>
      </c>
      <c r="BE637" s="236">
        <v>35</v>
      </c>
      <c r="BF637" s="237">
        <f t="shared" si="643"/>
        <v>52.55</v>
      </c>
      <c r="BG637" s="253">
        <f t="shared" si="644"/>
        <v>2.7676728869374316</v>
      </c>
      <c r="BH637" s="253" cm="1">
        <f t="array" ref="BH637">$BC637 * SUMPRODUCT(INDEX($AL$77:$AN$82,,$AE637),INDEX($AO$77:$AU$82,,$AD637), N($AK$77:$AK$82&gt;$AI637)) / BG637 / 1000</f>
        <v>0</v>
      </c>
      <c r="BI637" s="250">
        <f t="shared" si="631"/>
        <v>30</v>
      </c>
      <c r="BJ637" s="237">
        <f t="shared" si="645"/>
        <v>46.033333333333331</v>
      </c>
      <c r="BK637" s="253">
        <f t="shared" si="646"/>
        <v>3.2297395388556791</v>
      </c>
      <c r="BL637" s="253" cm="1">
        <f t="array" ref="BL637">$BC637 * IF($AD637&lt;=2,
SUMPRODUCT(INDEX($AL$72:$AN$76,,$AE637), INDEX($AO$72:$AU$76,,$AD637), 1 / ($AV$72:$AV$76*BK637 + (1-$AV$72:$AV$76)*BG637), N($AK$72:$AK$76&gt;$AI637)),
SUMPRODUCT(INDEX($AL$67:$AN$76,,$AE637), INDEX($AO$67:$AU$76,,$AD637), 1 / ($AW$67:$AW$76*BK637 + (1-$AW$67:$AW$76)*BG637), N($AK$67:$AK$76&gt;$AI637))
) / 1000</f>
        <v>0</v>
      </c>
      <c r="BM637" s="250">
        <f t="shared" si="632"/>
        <v>25</v>
      </c>
      <c r="BN637" s="237">
        <f t="shared" si="647"/>
        <v>39.516666666666666</v>
      </c>
      <c r="BO637" s="253">
        <f t="shared" si="648"/>
        <v>3.877011788826243</v>
      </c>
      <c r="BP637" s="253" cm="1">
        <f t="array" ref="BP637">$BC637 * IF($AD637&lt;=2,
SUMPRODUCT(INDEX($AL$67:$AN$71,,$AE637), INDEX($AO$67:$AU$71,,$AD637), 1 / ($AV$67:$AV$71*BO637 + (1-$AV$67:$AV$71)*BK637), N($AK$67:$AK$71&gt;$AI637)),
SUMPRODUCT(INDEX($AL$57:$AN$66,,$AE637), INDEX($AO$57:$AU$66,,$AD637), 1 / ($AW$57:$AW$66*BO637 + (1-$AW$57:$AW$66)*BK637), N($AK$57:$AK$66&gt;$AI637))
) / 1000</f>
        <v>0</v>
      </c>
      <c r="BQ637" s="250">
        <f t="shared" si="633"/>
        <v>20</v>
      </c>
      <c r="BR637" s="237">
        <f t="shared" si="649"/>
        <v>33</v>
      </c>
      <c r="BS637" s="253">
        <f t="shared" si="650"/>
        <v>4.8487499999999999</v>
      </c>
      <c r="BT637" s="253" cm="1">
        <f t="array" ref="BT637">$BC637 * IF($AD637&lt;=2,
SUMPRODUCT(INDEX($AL$62:$AN$66,,$AE637), INDEX($AO$62:$AU$66,,$AD637), 1 / ($AV$62:$AV$66*BS637 + (1-$AV$62:$AV$66)*BO637), N($AK$62:$AK$66&gt;$AI637)),
SUMPRODUCT(INDEX($AL$47:$AN$56,,$AE637), INDEX($AO$47:$AU$56,,$AD637), 1 / ($AW$47:$AW$56*BS637 + (1-$AW$47:$AW$56)*BO637), N($AK$47:$AK$56&gt;$AI637))
) / 1000</f>
        <v>0</v>
      </c>
      <c r="BU637" s="253" cm="1">
        <f t="array" ref="BU637">$BC637 * IF($AD637&lt;=2,
SUMPRODUCT(INDEX($AL$23:$AN$61,,$AE637), INDEX($AO$23:$AU$61,,$AD637), 1 / ($AV$23:$AV$61*BS637), N($AK$23:$AK$61&gt;$AI637)),
SUMPRODUCT(INDEX($AL$23:$AN$46,,$AE637), INDEX($AO$23:$AU$46,,$AD637), 1 / ($AW$23:$AW$46*BS637), N($AK$23:$AK$46&gt;$AI637))
) / 1000</f>
        <v>0</v>
      </c>
      <c r="BV637" s="237">
        <f t="shared" si="651"/>
        <v>0</v>
      </c>
      <c r="BW637" s="210"/>
      <c r="BX637" s="237">
        <f t="shared" si="652"/>
        <v>0</v>
      </c>
      <c r="BY637" s="236">
        <v>35</v>
      </c>
      <c r="BZ637" s="237">
        <f t="shared" si="653"/>
        <v>48</v>
      </c>
      <c r="CA637" s="253">
        <f t="shared" si="654"/>
        <v>3.0748170731707316</v>
      </c>
      <c r="CB637" s="253" cm="1">
        <f t="array" ref="CB637">$BC637 * SUMPRODUCT(INDEX($AL$77:$AN$82,,$AE637),INDEX($AO$77:$AU$82,,$AD637), N($AK$77:$AK$82&gt;$AI637)) / CA637 / 1000</f>
        <v>0</v>
      </c>
      <c r="CC637" s="250">
        <f t="shared" si="634"/>
        <v>30</v>
      </c>
      <c r="CD637" s="237">
        <f t="shared" si="655"/>
        <v>43</v>
      </c>
      <c r="CE637" s="253">
        <f t="shared" si="656"/>
        <v>3.5018750000000001</v>
      </c>
      <c r="CF637" s="253" cm="1">
        <f t="array" ref="CF637">$BC637 * IF($AD637&lt;=2,
SUMPRODUCT(INDEX($AL$72:$AN$76,,$AE637), INDEX($AO$72:$AU$76,,$AD637), 1 / ($AV$72:$AV$76*CE637 + (1-$AV$72:$AV$76)*CA637), N($AK$72:$AK$76&gt;$AI637)),
SUMPRODUCT(INDEX($AL$67:$AN$76,,$AE637), INDEX($AO$67:$AU$76,,$AD637), 1 / ($AW$67:$AW$76*CE637 + (1-$AW$67:$AW$76)*CA637), N($AK$67:$AK$76&gt;$AI637))
) / 1000</f>
        <v>0</v>
      </c>
      <c r="CG637" s="250">
        <f t="shared" si="635"/>
        <v>25</v>
      </c>
      <c r="CH637" s="237">
        <f t="shared" si="657"/>
        <v>38</v>
      </c>
      <c r="CI637" s="253">
        <f t="shared" si="658"/>
        <v>4.0666935483870965</v>
      </c>
      <c r="CJ637" s="253" cm="1">
        <f t="array" ref="CJ637">$BC637 * IF($AD637&lt;=2,
SUMPRODUCT(INDEX($AL$67:$AN$71,,$AE637), INDEX($AO$67:$AU$71,,$AD637), 1 / ($AV$67:$AV$71*CI637 + (1-$AV$67:$AV$71)*CE637), N($AK$67:$AK$71&gt;$AI637)),
SUMPRODUCT(INDEX($AL$57:$AN$66,,$AE637), INDEX($AO$57:$AU$66,,$AD637), 1 / ($AW$57:$AW$66*CI637 + (1-$AW$57:$AW$66)*CE637), N($AK$57:$AK$66&gt;$AI637))
) / 1000</f>
        <v>0</v>
      </c>
      <c r="CK637" s="250">
        <f t="shared" si="636"/>
        <v>20</v>
      </c>
      <c r="CL637" s="237">
        <f t="shared" si="659"/>
        <v>33</v>
      </c>
      <c r="CM637" s="253">
        <f t="shared" si="660"/>
        <v>4.8487499999999999</v>
      </c>
      <c r="CN637" s="253" cm="1">
        <f t="array" ref="CN637">$BC637 * IF($AD637&lt;=2,
SUMPRODUCT(INDEX($AL$62:$AN$66,,$AE637), INDEX($AO$62:$AU$66,,$AD637), 1 / ($AV$62:$AV$66*CM637 + (1-$AV$62:$AV$66)*CI637), N($AK$62:$AK$66&gt;$AI637)),
SUMPRODUCT(INDEX($AL$47:$AN$56,,$AE637), INDEX($AO$47:$AU$56,,$AD637), 1 / ($AW$47:$AW$56*CM637 + (1-$AW$47:$AW$56)*CI637), N($AK$47:$AK$56&gt;$AI637))
) / 1000</f>
        <v>0</v>
      </c>
      <c r="CO637" s="253" cm="1">
        <f t="array" ref="CO637">$BC637 * IF($AD637&lt;=2,
SUMPRODUCT(INDEX($AL$23:$AN$61,,$AE637), INDEX($AO$23:$AU$61,,$AD637), 1 / ($AV$23:$AV$61*CM637), N($AK$23:$AK$61&gt;$AI637)),
SUMPRODUCT(INDEX($AL$23:$AN$46,,$AE637), INDEX($AO$23:$AU$46,,$AD637), 1 / ($AW$23:$AW$46*CM637), N($AK$23:$AK$46&gt;$AI637))
) / 1000</f>
        <v>0</v>
      </c>
      <c r="CP637" s="237">
        <f t="shared" si="661"/>
        <v>0</v>
      </c>
      <c r="CQ637" s="210"/>
    </row>
    <row r="638" spans="1:95" s="76" customFormat="1" ht="14.25" customHeight="1" x14ac:dyDescent="0.2">
      <c r="A638" s="238" t="b">
        <f t="shared" si="628"/>
        <v>0</v>
      </c>
      <c r="B638" s="239">
        <v>616</v>
      </c>
      <c r="C638" s="258"/>
      <c r="D638" s="258"/>
      <c r="E638" s="240"/>
      <c r="F638" s="241" t="str">
        <f>IF(ISBLANK(E638), "", VLOOKUP(E638, Z!$A$2:$C$4127, 3, FALSE))</f>
        <v/>
      </c>
      <c r="G638" s="242"/>
      <c r="H638" s="242"/>
      <c r="I638" s="243"/>
      <c r="J638" s="244"/>
      <c r="K638" s="259"/>
      <c r="L638" s="260"/>
      <c r="M638" s="247" t="str" cm="1">
        <f t="array" ref="M638">IF($K638&gt;0, INDEX(Clean,1+AG638,$C$1), "")</f>
        <v/>
      </c>
      <c r="N638" s="245"/>
      <c r="O638" s="245"/>
      <c r="P638" s="246"/>
      <c r="Q638" s="248">
        <f t="shared" si="638"/>
        <v>0</v>
      </c>
      <c r="R638" s="247" t="str" cm="1">
        <f t="array" ref="R638">IF($K638&gt;0, INDEX(Clean,1+AH638,$C$1), "")</f>
        <v/>
      </c>
      <c r="S638" s="245"/>
      <c r="T638" s="245"/>
      <c r="U638" s="246"/>
      <c r="V638" s="248">
        <f t="shared" si="639"/>
        <v>0</v>
      </c>
      <c r="W638" s="261"/>
      <c r="X638" s="258"/>
      <c r="Y638" s="240"/>
      <c r="Z638" s="241" t="str">
        <f>IF(ISBLANK(Y638), "", VLOOKUP(Y638, Z!$A$2:$C$4127, 3, FALSE))</f>
        <v/>
      </c>
      <c r="AA638" s="262"/>
      <c r="AB638" s="249">
        <f t="shared" si="637"/>
        <v>0</v>
      </c>
      <c r="AC638" s="210"/>
      <c r="AD638" s="236">
        <f t="shared" si="662"/>
        <v>1</v>
      </c>
      <c r="AE638" s="236">
        <f t="shared" si="663"/>
        <v>1</v>
      </c>
      <c r="AF638" s="236">
        <f t="shared" si="664"/>
        <v>0</v>
      </c>
      <c r="AG638" s="236">
        <v>1</v>
      </c>
      <c r="AH638" s="236">
        <v>0</v>
      </c>
      <c r="AI638" s="236">
        <f t="shared" si="640"/>
        <v>-100</v>
      </c>
      <c r="AJ638" s="210"/>
      <c r="AK638" s="254"/>
      <c r="AL638" s="254"/>
      <c r="AM638" s="255"/>
      <c r="AN638" s="255"/>
      <c r="AO638" s="255"/>
      <c r="AP638" s="255"/>
      <c r="AQ638" s="255"/>
      <c r="AR638" s="255"/>
      <c r="AS638" s="255"/>
      <c r="AT638" s="255"/>
      <c r="AU638" s="255"/>
      <c r="AV638" s="255"/>
      <c r="AW638" s="255"/>
      <c r="AX638" s="210"/>
      <c r="AY638" s="236" cm="1">
        <f t="array" ref="AY638">INDEX(Use, $AD638, 4)</f>
        <v>7</v>
      </c>
      <c r="AZ638" s="236">
        <f t="shared" si="641"/>
        <v>32</v>
      </c>
      <c r="BA638" s="236">
        <f t="shared" si="629"/>
        <v>13</v>
      </c>
      <c r="BB638" s="236">
        <f t="shared" si="630"/>
        <v>0</v>
      </c>
      <c r="BC638" s="252" cm="1">
        <f t="array" ref="BC638">K638/IF($L638&gt;0, INDEX($AO$23:$AU$77, $L638+20, $AD638), 1)</f>
        <v>0</v>
      </c>
      <c r="BD638" s="237">
        <f t="shared" si="642"/>
        <v>0</v>
      </c>
      <c r="BE638" s="236">
        <v>35</v>
      </c>
      <c r="BF638" s="237">
        <f t="shared" si="643"/>
        <v>52.55</v>
      </c>
      <c r="BG638" s="253">
        <f t="shared" si="644"/>
        <v>2.7676728869374316</v>
      </c>
      <c r="BH638" s="253" cm="1">
        <f t="array" ref="BH638">$BC638 * SUMPRODUCT(INDEX($AL$77:$AN$82,,$AE638),INDEX($AO$77:$AU$82,,$AD638), N($AK$77:$AK$82&gt;$AI638)) / BG638 / 1000</f>
        <v>0</v>
      </c>
      <c r="BI638" s="250">
        <f t="shared" si="631"/>
        <v>30</v>
      </c>
      <c r="BJ638" s="237">
        <f t="shared" si="645"/>
        <v>46.033333333333331</v>
      </c>
      <c r="BK638" s="253">
        <f t="shared" si="646"/>
        <v>3.2297395388556791</v>
      </c>
      <c r="BL638" s="253" cm="1">
        <f t="array" ref="BL638">$BC638 * IF($AD638&lt;=2,
SUMPRODUCT(INDEX($AL$72:$AN$76,,$AE638), INDEX($AO$72:$AU$76,,$AD638), 1 / ($AV$72:$AV$76*BK638 + (1-$AV$72:$AV$76)*BG638), N($AK$72:$AK$76&gt;$AI638)),
SUMPRODUCT(INDEX($AL$67:$AN$76,,$AE638), INDEX($AO$67:$AU$76,,$AD638), 1 / ($AW$67:$AW$76*BK638 + (1-$AW$67:$AW$76)*BG638), N($AK$67:$AK$76&gt;$AI638))
) / 1000</f>
        <v>0</v>
      </c>
      <c r="BM638" s="250">
        <f t="shared" si="632"/>
        <v>25</v>
      </c>
      <c r="BN638" s="237">
        <f t="shared" si="647"/>
        <v>39.516666666666666</v>
      </c>
      <c r="BO638" s="253">
        <f t="shared" si="648"/>
        <v>3.877011788826243</v>
      </c>
      <c r="BP638" s="253" cm="1">
        <f t="array" ref="BP638">$BC638 * IF($AD638&lt;=2,
SUMPRODUCT(INDEX($AL$67:$AN$71,,$AE638), INDEX($AO$67:$AU$71,,$AD638), 1 / ($AV$67:$AV$71*BO638 + (1-$AV$67:$AV$71)*BK638), N($AK$67:$AK$71&gt;$AI638)),
SUMPRODUCT(INDEX($AL$57:$AN$66,,$AE638), INDEX($AO$57:$AU$66,,$AD638), 1 / ($AW$57:$AW$66*BO638 + (1-$AW$57:$AW$66)*BK638), N($AK$57:$AK$66&gt;$AI638))
) / 1000</f>
        <v>0</v>
      </c>
      <c r="BQ638" s="250">
        <f t="shared" si="633"/>
        <v>20</v>
      </c>
      <c r="BR638" s="237">
        <f t="shared" si="649"/>
        <v>33</v>
      </c>
      <c r="BS638" s="253">
        <f t="shared" si="650"/>
        <v>4.8487499999999999</v>
      </c>
      <c r="BT638" s="253" cm="1">
        <f t="array" ref="BT638">$BC638 * IF($AD638&lt;=2,
SUMPRODUCT(INDEX($AL$62:$AN$66,,$AE638), INDEX($AO$62:$AU$66,,$AD638), 1 / ($AV$62:$AV$66*BS638 + (1-$AV$62:$AV$66)*BO638), N($AK$62:$AK$66&gt;$AI638)),
SUMPRODUCT(INDEX($AL$47:$AN$56,,$AE638), INDEX($AO$47:$AU$56,,$AD638), 1 / ($AW$47:$AW$56*BS638 + (1-$AW$47:$AW$56)*BO638), N($AK$47:$AK$56&gt;$AI638))
) / 1000</f>
        <v>0</v>
      </c>
      <c r="BU638" s="253" cm="1">
        <f t="array" ref="BU638">$BC638 * IF($AD638&lt;=2,
SUMPRODUCT(INDEX($AL$23:$AN$61,,$AE638), INDEX($AO$23:$AU$61,,$AD638), 1 / ($AV$23:$AV$61*BS638), N($AK$23:$AK$61&gt;$AI638)),
SUMPRODUCT(INDEX($AL$23:$AN$46,,$AE638), INDEX($AO$23:$AU$46,,$AD638), 1 / ($AW$23:$AW$46*BS638), N($AK$23:$AK$46&gt;$AI638))
) / 1000</f>
        <v>0</v>
      </c>
      <c r="BV638" s="237">
        <f t="shared" si="651"/>
        <v>0</v>
      </c>
      <c r="BW638" s="210"/>
      <c r="BX638" s="237">
        <f t="shared" si="652"/>
        <v>0</v>
      </c>
      <c r="BY638" s="236">
        <v>35</v>
      </c>
      <c r="BZ638" s="237">
        <f t="shared" si="653"/>
        <v>48</v>
      </c>
      <c r="CA638" s="253">
        <f t="shared" si="654"/>
        <v>3.0748170731707316</v>
      </c>
      <c r="CB638" s="253" cm="1">
        <f t="array" ref="CB638">$BC638 * SUMPRODUCT(INDEX($AL$77:$AN$82,,$AE638),INDEX($AO$77:$AU$82,,$AD638), N($AK$77:$AK$82&gt;$AI638)) / CA638 / 1000</f>
        <v>0</v>
      </c>
      <c r="CC638" s="250">
        <f t="shared" si="634"/>
        <v>30</v>
      </c>
      <c r="CD638" s="237">
        <f t="shared" si="655"/>
        <v>43</v>
      </c>
      <c r="CE638" s="253">
        <f t="shared" si="656"/>
        <v>3.5018750000000001</v>
      </c>
      <c r="CF638" s="253" cm="1">
        <f t="array" ref="CF638">$BC638 * IF($AD638&lt;=2,
SUMPRODUCT(INDEX($AL$72:$AN$76,,$AE638), INDEX($AO$72:$AU$76,,$AD638), 1 / ($AV$72:$AV$76*CE638 + (1-$AV$72:$AV$76)*CA638), N($AK$72:$AK$76&gt;$AI638)),
SUMPRODUCT(INDEX($AL$67:$AN$76,,$AE638), INDEX($AO$67:$AU$76,,$AD638), 1 / ($AW$67:$AW$76*CE638 + (1-$AW$67:$AW$76)*CA638), N($AK$67:$AK$76&gt;$AI638))
) / 1000</f>
        <v>0</v>
      </c>
      <c r="CG638" s="250">
        <f t="shared" si="635"/>
        <v>25</v>
      </c>
      <c r="CH638" s="237">
        <f t="shared" si="657"/>
        <v>38</v>
      </c>
      <c r="CI638" s="253">
        <f t="shared" si="658"/>
        <v>4.0666935483870965</v>
      </c>
      <c r="CJ638" s="253" cm="1">
        <f t="array" ref="CJ638">$BC638 * IF($AD638&lt;=2,
SUMPRODUCT(INDEX($AL$67:$AN$71,,$AE638), INDEX($AO$67:$AU$71,,$AD638), 1 / ($AV$67:$AV$71*CI638 + (1-$AV$67:$AV$71)*CE638), N($AK$67:$AK$71&gt;$AI638)),
SUMPRODUCT(INDEX($AL$57:$AN$66,,$AE638), INDEX($AO$57:$AU$66,,$AD638), 1 / ($AW$57:$AW$66*CI638 + (1-$AW$57:$AW$66)*CE638), N($AK$57:$AK$66&gt;$AI638))
) / 1000</f>
        <v>0</v>
      </c>
      <c r="CK638" s="250">
        <f t="shared" si="636"/>
        <v>20</v>
      </c>
      <c r="CL638" s="237">
        <f t="shared" si="659"/>
        <v>33</v>
      </c>
      <c r="CM638" s="253">
        <f t="shared" si="660"/>
        <v>4.8487499999999999</v>
      </c>
      <c r="CN638" s="253" cm="1">
        <f t="array" ref="CN638">$BC638 * IF($AD638&lt;=2,
SUMPRODUCT(INDEX($AL$62:$AN$66,,$AE638), INDEX($AO$62:$AU$66,,$AD638), 1 / ($AV$62:$AV$66*CM638 + (1-$AV$62:$AV$66)*CI638), N($AK$62:$AK$66&gt;$AI638)),
SUMPRODUCT(INDEX($AL$47:$AN$56,,$AE638), INDEX($AO$47:$AU$56,,$AD638), 1 / ($AW$47:$AW$56*CM638 + (1-$AW$47:$AW$56)*CI638), N($AK$47:$AK$56&gt;$AI638))
) / 1000</f>
        <v>0</v>
      </c>
      <c r="CO638" s="253" cm="1">
        <f t="array" ref="CO638">$BC638 * IF($AD638&lt;=2,
SUMPRODUCT(INDEX($AL$23:$AN$61,,$AE638), INDEX($AO$23:$AU$61,,$AD638), 1 / ($AV$23:$AV$61*CM638), N($AK$23:$AK$61&gt;$AI638)),
SUMPRODUCT(INDEX($AL$23:$AN$46,,$AE638), INDEX($AO$23:$AU$46,,$AD638), 1 / ($AW$23:$AW$46*CM638), N($AK$23:$AK$46&gt;$AI638))
) / 1000</f>
        <v>0</v>
      </c>
      <c r="CP638" s="237">
        <f t="shared" si="661"/>
        <v>0</v>
      </c>
      <c r="CQ638" s="210"/>
    </row>
    <row r="639" spans="1:95" s="76" customFormat="1" ht="14.25" customHeight="1" x14ac:dyDescent="0.2">
      <c r="A639" s="238" t="b">
        <f t="shared" si="628"/>
        <v>0</v>
      </c>
      <c r="B639" s="239">
        <v>617</v>
      </c>
      <c r="C639" s="258"/>
      <c r="D639" s="258"/>
      <c r="E639" s="240"/>
      <c r="F639" s="241" t="str">
        <f>IF(ISBLANK(E639), "", VLOOKUP(E639, Z!$A$2:$C$4127, 3, FALSE))</f>
        <v/>
      </c>
      <c r="G639" s="242"/>
      <c r="H639" s="242"/>
      <c r="I639" s="243"/>
      <c r="J639" s="244"/>
      <c r="K639" s="259"/>
      <c r="L639" s="260"/>
      <c r="M639" s="247" t="str" cm="1">
        <f t="array" ref="M639">IF($K639&gt;0, INDEX(Clean,1+AG639,$C$1), "")</f>
        <v/>
      </c>
      <c r="N639" s="245"/>
      <c r="O639" s="245"/>
      <c r="P639" s="246"/>
      <c r="Q639" s="248">
        <f t="shared" si="638"/>
        <v>0</v>
      </c>
      <c r="R639" s="247" t="str" cm="1">
        <f t="array" ref="R639">IF($K639&gt;0, INDEX(Clean,1+AH639,$C$1), "")</f>
        <v/>
      </c>
      <c r="S639" s="245"/>
      <c r="T639" s="245"/>
      <c r="U639" s="246"/>
      <c r="V639" s="248">
        <f t="shared" si="639"/>
        <v>0</v>
      </c>
      <c r="W639" s="261"/>
      <c r="X639" s="258"/>
      <c r="Y639" s="240"/>
      <c r="Z639" s="241" t="str">
        <f>IF(ISBLANK(Y639), "", VLOOKUP(Y639, Z!$A$2:$C$4127, 3, FALSE))</f>
        <v/>
      </c>
      <c r="AA639" s="262"/>
      <c r="AB639" s="249">
        <f t="shared" si="637"/>
        <v>0</v>
      </c>
      <c r="AC639" s="210"/>
      <c r="AD639" s="236">
        <f t="shared" si="662"/>
        <v>1</v>
      </c>
      <c r="AE639" s="236">
        <f t="shared" si="663"/>
        <v>1</v>
      </c>
      <c r="AF639" s="236">
        <f t="shared" si="664"/>
        <v>0</v>
      </c>
      <c r="AG639" s="236">
        <v>1</v>
      </c>
      <c r="AH639" s="236">
        <v>0</v>
      </c>
      <c r="AI639" s="236">
        <f t="shared" si="640"/>
        <v>-100</v>
      </c>
      <c r="AJ639" s="210"/>
      <c r="AK639" s="254"/>
      <c r="AL639" s="254"/>
      <c r="AM639" s="255"/>
      <c r="AN639" s="255"/>
      <c r="AO639" s="255"/>
      <c r="AP639" s="255"/>
      <c r="AQ639" s="255"/>
      <c r="AR639" s="255"/>
      <c r="AS639" s="255"/>
      <c r="AT639" s="255"/>
      <c r="AU639" s="255"/>
      <c r="AV639" s="255"/>
      <c r="AW639" s="255"/>
      <c r="AX639" s="210"/>
      <c r="AY639" s="236" cm="1">
        <f t="array" ref="AY639">INDEX(Use, $AD639, 4)</f>
        <v>7</v>
      </c>
      <c r="AZ639" s="236">
        <f t="shared" si="641"/>
        <v>32</v>
      </c>
      <c r="BA639" s="236">
        <f t="shared" si="629"/>
        <v>13</v>
      </c>
      <c r="BB639" s="236">
        <f t="shared" si="630"/>
        <v>0</v>
      </c>
      <c r="BC639" s="252" cm="1">
        <f t="array" ref="BC639">K639/IF($L639&gt;0, INDEX($AO$23:$AU$77, $L639+20, $AD639), 1)</f>
        <v>0</v>
      </c>
      <c r="BD639" s="237">
        <f t="shared" si="642"/>
        <v>0</v>
      </c>
      <c r="BE639" s="236">
        <v>35</v>
      </c>
      <c r="BF639" s="237">
        <f t="shared" si="643"/>
        <v>52.55</v>
      </c>
      <c r="BG639" s="253">
        <f t="shared" si="644"/>
        <v>2.7676728869374316</v>
      </c>
      <c r="BH639" s="253" cm="1">
        <f t="array" ref="BH639">$BC639 * SUMPRODUCT(INDEX($AL$77:$AN$82,,$AE639),INDEX($AO$77:$AU$82,,$AD639), N($AK$77:$AK$82&gt;$AI639)) / BG639 / 1000</f>
        <v>0</v>
      </c>
      <c r="BI639" s="250">
        <f t="shared" si="631"/>
        <v>30</v>
      </c>
      <c r="BJ639" s="237">
        <f t="shared" si="645"/>
        <v>46.033333333333331</v>
      </c>
      <c r="BK639" s="253">
        <f t="shared" si="646"/>
        <v>3.2297395388556791</v>
      </c>
      <c r="BL639" s="253" cm="1">
        <f t="array" ref="BL639">$BC639 * IF($AD639&lt;=2,
SUMPRODUCT(INDEX($AL$72:$AN$76,,$AE639), INDEX($AO$72:$AU$76,,$AD639), 1 / ($AV$72:$AV$76*BK639 + (1-$AV$72:$AV$76)*BG639), N($AK$72:$AK$76&gt;$AI639)),
SUMPRODUCT(INDEX($AL$67:$AN$76,,$AE639), INDEX($AO$67:$AU$76,,$AD639), 1 / ($AW$67:$AW$76*BK639 + (1-$AW$67:$AW$76)*BG639), N($AK$67:$AK$76&gt;$AI639))
) / 1000</f>
        <v>0</v>
      </c>
      <c r="BM639" s="250">
        <f t="shared" si="632"/>
        <v>25</v>
      </c>
      <c r="BN639" s="237">
        <f t="shared" si="647"/>
        <v>39.516666666666666</v>
      </c>
      <c r="BO639" s="253">
        <f t="shared" si="648"/>
        <v>3.877011788826243</v>
      </c>
      <c r="BP639" s="253" cm="1">
        <f t="array" ref="BP639">$BC639 * IF($AD639&lt;=2,
SUMPRODUCT(INDEX($AL$67:$AN$71,,$AE639), INDEX($AO$67:$AU$71,,$AD639), 1 / ($AV$67:$AV$71*BO639 + (1-$AV$67:$AV$71)*BK639), N($AK$67:$AK$71&gt;$AI639)),
SUMPRODUCT(INDEX($AL$57:$AN$66,,$AE639), INDEX($AO$57:$AU$66,,$AD639), 1 / ($AW$57:$AW$66*BO639 + (1-$AW$57:$AW$66)*BK639), N($AK$57:$AK$66&gt;$AI639))
) / 1000</f>
        <v>0</v>
      </c>
      <c r="BQ639" s="250">
        <f t="shared" si="633"/>
        <v>20</v>
      </c>
      <c r="BR639" s="237">
        <f t="shared" si="649"/>
        <v>33</v>
      </c>
      <c r="BS639" s="253">
        <f t="shared" si="650"/>
        <v>4.8487499999999999</v>
      </c>
      <c r="BT639" s="253" cm="1">
        <f t="array" ref="BT639">$BC639 * IF($AD639&lt;=2,
SUMPRODUCT(INDEX($AL$62:$AN$66,,$AE639), INDEX($AO$62:$AU$66,,$AD639), 1 / ($AV$62:$AV$66*BS639 + (1-$AV$62:$AV$66)*BO639), N($AK$62:$AK$66&gt;$AI639)),
SUMPRODUCT(INDEX($AL$47:$AN$56,,$AE639), INDEX($AO$47:$AU$56,,$AD639), 1 / ($AW$47:$AW$56*BS639 + (1-$AW$47:$AW$56)*BO639), N($AK$47:$AK$56&gt;$AI639))
) / 1000</f>
        <v>0</v>
      </c>
      <c r="BU639" s="253" cm="1">
        <f t="array" ref="BU639">$BC639 * IF($AD639&lt;=2,
SUMPRODUCT(INDEX($AL$23:$AN$61,,$AE639), INDEX($AO$23:$AU$61,,$AD639), 1 / ($AV$23:$AV$61*BS639), N($AK$23:$AK$61&gt;$AI639)),
SUMPRODUCT(INDEX($AL$23:$AN$46,,$AE639), INDEX($AO$23:$AU$46,,$AD639), 1 / ($AW$23:$AW$46*BS639), N($AK$23:$AK$46&gt;$AI639))
) / 1000</f>
        <v>0</v>
      </c>
      <c r="BV639" s="237">
        <f t="shared" si="651"/>
        <v>0</v>
      </c>
      <c r="BW639" s="210"/>
      <c r="BX639" s="237">
        <f t="shared" si="652"/>
        <v>0</v>
      </c>
      <c r="BY639" s="236">
        <v>35</v>
      </c>
      <c r="BZ639" s="237">
        <f t="shared" si="653"/>
        <v>48</v>
      </c>
      <c r="CA639" s="253">
        <f t="shared" si="654"/>
        <v>3.0748170731707316</v>
      </c>
      <c r="CB639" s="253" cm="1">
        <f t="array" ref="CB639">$BC639 * SUMPRODUCT(INDEX($AL$77:$AN$82,,$AE639),INDEX($AO$77:$AU$82,,$AD639), N($AK$77:$AK$82&gt;$AI639)) / CA639 / 1000</f>
        <v>0</v>
      </c>
      <c r="CC639" s="250">
        <f t="shared" si="634"/>
        <v>30</v>
      </c>
      <c r="CD639" s="237">
        <f t="shared" si="655"/>
        <v>43</v>
      </c>
      <c r="CE639" s="253">
        <f t="shared" si="656"/>
        <v>3.5018750000000001</v>
      </c>
      <c r="CF639" s="253" cm="1">
        <f t="array" ref="CF639">$BC639 * IF($AD639&lt;=2,
SUMPRODUCT(INDEX($AL$72:$AN$76,,$AE639), INDEX($AO$72:$AU$76,,$AD639), 1 / ($AV$72:$AV$76*CE639 + (1-$AV$72:$AV$76)*CA639), N($AK$72:$AK$76&gt;$AI639)),
SUMPRODUCT(INDEX($AL$67:$AN$76,,$AE639), INDEX($AO$67:$AU$76,,$AD639), 1 / ($AW$67:$AW$76*CE639 + (1-$AW$67:$AW$76)*CA639), N($AK$67:$AK$76&gt;$AI639))
) / 1000</f>
        <v>0</v>
      </c>
      <c r="CG639" s="250">
        <f t="shared" si="635"/>
        <v>25</v>
      </c>
      <c r="CH639" s="237">
        <f t="shared" si="657"/>
        <v>38</v>
      </c>
      <c r="CI639" s="253">
        <f t="shared" si="658"/>
        <v>4.0666935483870965</v>
      </c>
      <c r="CJ639" s="253" cm="1">
        <f t="array" ref="CJ639">$BC639 * IF($AD639&lt;=2,
SUMPRODUCT(INDEX($AL$67:$AN$71,,$AE639), INDEX($AO$67:$AU$71,,$AD639), 1 / ($AV$67:$AV$71*CI639 + (1-$AV$67:$AV$71)*CE639), N($AK$67:$AK$71&gt;$AI639)),
SUMPRODUCT(INDEX($AL$57:$AN$66,,$AE639), INDEX($AO$57:$AU$66,,$AD639), 1 / ($AW$57:$AW$66*CI639 + (1-$AW$57:$AW$66)*CE639), N($AK$57:$AK$66&gt;$AI639))
) / 1000</f>
        <v>0</v>
      </c>
      <c r="CK639" s="250">
        <f t="shared" si="636"/>
        <v>20</v>
      </c>
      <c r="CL639" s="237">
        <f t="shared" si="659"/>
        <v>33</v>
      </c>
      <c r="CM639" s="253">
        <f t="shared" si="660"/>
        <v>4.8487499999999999</v>
      </c>
      <c r="CN639" s="253" cm="1">
        <f t="array" ref="CN639">$BC639 * IF($AD639&lt;=2,
SUMPRODUCT(INDEX($AL$62:$AN$66,,$AE639), INDEX($AO$62:$AU$66,,$AD639), 1 / ($AV$62:$AV$66*CM639 + (1-$AV$62:$AV$66)*CI639), N($AK$62:$AK$66&gt;$AI639)),
SUMPRODUCT(INDEX($AL$47:$AN$56,,$AE639), INDEX($AO$47:$AU$56,,$AD639), 1 / ($AW$47:$AW$56*CM639 + (1-$AW$47:$AW$56)*CI639), N($AK$47:$AK$56&gt;$AI639))
) / 1000</f>
        <v>0</v>
      </c>
      <c r="CO639" s="253" cm="1">
        <f t="array" ref="CO639">$BC639 * IF($AD639&lt;=2,
SUMPRODUCT(INDEX($AL$23:$AN$61,,$AE639), INDEX($AO$23:$AU$61,,$AD639), 1 / ($AV$23:$AV$61*CM639), N($AK$23:$AK$61&gt;$AI639)),
SUMPRODUCT(INDEX($AL$23:$AN$46,,$AE639), INDEX($AO$23:$AU$46,,$AD639), 1 / ($AW$23:$AW$46*CM639), N($AK$23:$AK$46&gt;$AI639))
) / 1000</f>
        <v>0</v>
      </c>
      <c r="CP639" s="237">
        <f t="shared" si="661"/>
        <v>0</v>
      </c>
      <c r="CQ639" s="210"/>
    </row>
    <row r="640" spans="1:95" s="76" customFormat="1" ht="14.25" customHeight="1" x14ac:dyDescent="0.2">
      <c r="A640" s="238" t="b">
        <f t="shared" si="628"/>
        <v>0</v>
      </c>
      <c r="B640" s="239">
        <v>618</v>
      </c>
      <c r="C640" s="258"/>
      <c r="D640" s="258"/>
      <c r="E640" s="240"/>
      <c r="F640" s="241" t="str">
        <f>IF(ISBLANK(E640), "", VLOOKUP(E640, Z!$A$2:$C$4127, 3, FALSE))</f>
        <v/>
      </c>
      <c r="G640" s="242"/>
      <c r="H640" s="242"/>
      <c r="I640" s="243"/>
      <c r="J640" s="244"/>
      <c r="K640" s="259"/>
      <c r="L640" s="260"/>
      <c r="M640" s="247" t="str" cm="1">
        <f t="array" ref="M640">IF($K640&gt;0, INDEX(Clean,1+AG640,$C$1), "")</f>
        <v/>
      </c>
      <c r="N640" s="245"/>
      <c r="O640" s="245"/>
      <c r="P640" s="246"/>
      <c r="Q640" s="248">
        <f t="shared" si="638"/>
        <v>0</v>
      </c>
      <c r="R640" s="247" t="str" cm="1">
        <f t="array" ref="R640">IF($K640&gt;0, INDEX(Clean,1+AH640,$C$1), "")</f>
        <v/>
      </c>
      <c r="S640" s="245"/>
      <c r="T640" s="245"/>
      <c r="U640" s="246"/>
      <c r="V640" s="248">
        <f t="shared" si="639"/>
        <v>0</v>
      </c>
      <c r="W640" s="261"/>
      <c r="X640" s="258"/>
      <c r="Y640" s="240"/>
      <c r="Z640" s="241" t="str">
        <f>IF(ISBLANK(Y640), "", VLOOKUP(Y640, Z!$A$2:$C$4127, 3, FALSE))</f>
        <v/>
      </c>
      <c r="AA640" s="262"/>
      <c r="AB640" s="249">
        <f t="shared" si="637"/>
        <v>0</v>
      </c>
      <c r="AC640" s="210"/>
      <c r="AD640" s="236">
        <f t="shared" si="662"/>
        <v>1</v>
      </c>
      <c r="AE640" s="236">
        <f t="shared" si="663"/>
        <v>1</v>
      </c>
      <c r="AF640" s="236">
        <f t="shared" si="664"/>
        <v>0</v>
      </c>
      <c r="AG640" s="236">
        <v>1</v>
      </c>
      <c r="AH640" s="236">
        <v>0</v>
      </c>
      <c r="AI640" s="236">
        <f t="shared" si="640"/>
        <v>-100</v>
      </c>
      <c r="AJ640" s="210"/>
      <c r="AK640" s="254"/>
      <c r="AL640" s="254"/>
      <c r="AM640" s="255"/>
      <c r="AN640" s="255"/>
      <c r="AO640" s="255"/>
      <c r="AP640" s="255"/>
      <c r="AQ640" s="255"/>
      <c r="AR640" s="255"/>
      <c r="AS640" s="255"/>
      <c r="AT640" s="255"/>
      <c r="AU640" s="255"/>
      <c r="AV640" s="255"/>
      <c r="AW640" s="255"/>
      <c r="AX640" s="210"/>
      <c r="AY640" s="236" cm="1">
        <f t="array" ref="AY640">INDEX(Use, $AD640, 4)</f>
        <v>7</v>
      </c>
      <c r="AZ640" s="236">
        <f t="shared" si="641"/>
        <v>32</v>
      </c>
      <c r="BA640" s="236">
        <f t="shared" si="629"/>
        <v>13</v>
      </c>
      <c r="BB640" s="236">
        <f t="shared" si="630"/>
        <v>0</v>
      </c>
      <c r="BC640" s="252" cm="1">
        <f t="array" ref="BC640">K640/IF($L640&gt;0, INDEX($AO$23:$AU$77, $L640+20, $AD640), 1)</f>
        <v>0</v>
      </c>
      <c r="BD640" s="237">
        <f t="shared" si="642"/>
        <v>0</v>
      </c>
      <c r="BE640" s="236">
        <v>35</v>
      </c>
      <c r="BF640" s="237">
        <f t="shared" si="643"/>
        <v>52.55</v>
      </c>
      <c r="BG640" s="253">
        <f t="shared" si="644"/>
        <v>2.7676728869374316</v>
      </c>
      <c r="BH640" s="253" cm="1">
        <f t="array" ref="BH640">$BC640 * SUMPRODUCT(INDEX($AL$77:$AN$82,,$AE640),INDEX($AO$77:$AU$82,,$AD640), N($AK$77:$AK$82&gt;$AI640)) / BG640 / 1000</f>
        <v>0</v>
      </c>
      <c r="BI640" s="250">
        <f t="shared" si="631"/>
        <v>30</v>
      </c>
      <c r="BJ640" s="237">
        <f t="shared" si="645"/>
        <v>46.033333333333331</v>
      </c>
      <c r="BK640" s="253">
        <f t="shared" si="646"/>
        <v>3.2297395388556791</v>
      </c>
      <c r="BL640" s="253" cm="1">
        <f t="array" ref="BL640">$BC640 * IF($AD640&lt;=2,
SUMPRODUCT(INDEX($AL$72:$AN$76,,$AE640), INDEX($AO$72:$AU$76,,$AD640), 1 / ($AV$72:$AV$76*BK640 + (1-$AV$72:$AV$76)*BG640), N($AK$72:$AK$76&gt;$AI640)),
SUMPRODUCT(INDEX($AL$67:$AN$76,,$AE640), INDEX($AO$67:$AU$76,,$AD640), 1 / ($AW$67:$AW$76*BK640 + (1-$AW$67:$AW$76)*BG640), N($AK$67:$AK$76&gt;$AI640))
) / 1000</f>
        <v>0</v>
      </c>
      <c r="BM640" s="250">
        <f t="shared" si="632"/>
        <v>25</v>
      </c>
      <c r="BN640" s="237">
        <f t="shared" si="647"/>
        <v>39.516666666666666</v>
      </c>
      <c r="BO640" s="253">
        <f t="shared" si="648"/>
        <v>3.877011788826243</v>
      </c>
      <c r="BP640" s="253" cm="1">
        <f t="array" ref="BP640">$BC640 * IF($AD640&lt;=2,
SUMPRODUCT(INDEX($AL$67:$AN$71,,$AE640), INDEX($AO$67:$AU$71,,$AD640), 1 / ($AV$67:$AV$71*BO640 + (1-$AV$67:$AV$71)*BK640), N($AK$67:$AK$71&gt;$AI640)),
SUMPRODUCT(INDEX($AL$57:$AN$66,,$AE640), INDEX($AO$57:$AU$66,,$AD640), 1 / ($AW$57:$AW$66*BO640 + (1-$AW$57:$AW$66)*BK640), N($AK$57:$AK$66&gt;$AI640))
) / 1000</f>
        <v>0</v>
      </c>
      <c r="BQ640" s="250">
        <f t="shared" si="633"/>
        <v>20</v>
      </c>
      <c r="BR640" s="237">
        <f t="shared" si="649"/>
        <v>33</v>
      </c>
      <c r="BS640" s="253">
        <f t="shared" si="650"/>
        <v>4.8487499999999999</v>
      </c>
      <c r="BT640" s="253" cm="1">
        <f t="array" ref="BT640">$BC640 * IF($AD640&lt;=2,
SUMPRODUCT(INDEX($AL$62:$AN$66,,$AE640), INDEX($AO$62:$AU$66,,$AD640), 1 / ($AV$62:$AV$66*BS640 + (1-$AV$62:$AV$66)*BO640), N($AK$62:$AK$66&gt;$AI640)),
SUMPRODUCT(INDEX($AL$47:$AN$56,,$AE640), INDEX($AO$47:$AU$56,,$AD640), 1 / ($AW$47:$AW$56*BS640 + (1-$AW$47:$AW$56)*BO640), N($AK$47:$AK$56&gt;$AI640))
) / 1000</f>
        <v>0</v>
      </c>
      <c r="BU640" s="253" cm="1">
        <f t="array" ref="BU640">$BC640 * IF($AD640&lt;=2,
SUMPRODUCT(INDEX($AL$23:$AN$61,,$AE640), INDEX($AO$23:$AU$61,,$AD640), 1 / ($AV$23:$AV$61*BS640), N($AK$23:$AK$61&gt;$AI640)),
SUMPRODUCT(INDEX($AL$23:$AN$46,,$AE640), INDEX($AO$23:$AU$46,,$AD640), 1 / ($AW$23:$AW$46*BS640), N($AK$23:$AK$46&gt;$AI640))
) / 1000</f>
        <v>0</v>
      </c>
      <c r="BV640" s="237">
        <f t="shared" si="651"/>
        <v>0</v>
      </c>
      <c r="BW640" s="210"/>
      <c r="BX640" s="237">
        <f t="shared" si="652"/>
        <v>0</v>
      </c>
      <c r="BY640" s="236">
        <v>35</v>
      </c>
      <c r="BZ640" s="237">
        <f t="shared" si="653"/>
        <v>48</v>
      </c>
      <c r="CA640" s="253">
        <f t="shared" si="654"/>
        <v>3.0748170731707316</v>
      </c>
      <c r="CB640" s="253" cm="1">
        <f t="array" ref="CB640">$BC640 * SUMPRODUCT(INDEX($AL$77:$AN$82,,$AE640),INDEX($AO$77:$AU$82,,$AD640), N($AK$77:$AK$82&gt;$AI640)) / CA640 / 1000</f>
        <v>0</v>
      </c>
      <c r="CC640" s="250">
        <f t="shared" si="634"/>
        <v>30</v>
      </c>
      <c r="CD640" s="237">
        <f t="shared" si="655"/>
        <v>43</v>
      </c>
      <c r="CE640" s="253">
        <f t="shared" si="656"/>
        <v>3.5018750000000001</v>
      </c>
      <c r="CF640" s="253" cm="1">
        <f t="array" ref="CF640">$BC640 * IF($AD640&lt;=2,
SUMPRODUCT(INDEX($AL$72:$AN$76,,$AE640), INDEX($AO$72:$AU$76,,$AD640), 1 / ($AV$72:$AV$76*CE640 + (1-$AV$72:$AV$76)*CA640), N($AK$72:$AK$76&gt;$AI640)),
SUMPRODUCT(INDEX($AL$67:$AN$76,,$AE640), INDEX($AO$67:$AU$76,,$AD640), 1 / ($AW$67:$AW$76*CE640 + (1-$AW$67:$AW$76)*CA640), N($AK$67:$AK$76&gt;$AI640))
) / 1000</f>
        <v>0</v>
      </c>
      <c r="CG640" s="250">
        <f t="shared" si="635"/>
        <v>25</v>
      </c>
      <c r="CH640" s="237">
        <f t="shared" si="657"/>
        <v>38</v>
      </c>
      <c r="CI640" s="253">
        <f t="shared" si="658"/>
        <v>4.0666935483870965</v>
      </c>
      <c r="CJ640" s="253" cm="1">
        <f t="array" ref="CJ640">$BC640 * IF($AD640&lt;=2,
SUMPRODUCT(INDEX($AL$67:$AN$71,,$AE640), INDEX($AO$67:$AU$71,,$AD640), 1 / ($AV$67:$AV$71*CI640 + (1-$AV$67:$AV$71)*CE640), N($AK$67:$AK$71&gt;$AI640)),
SUMPRODUCT(INDEX($AL$57:$AN$66,,$AE640), INDEX($AO$57:$AU$66,,$AD640), 1 / ($AW$57:$AW$66*CI640 + (1-$AW$57:$AW$66)*CE640), N($AK$57:$AK$66&gt;$AI640))
) / 1000</f>
        <v>0</v>
      </c>
      <c r="CK640" s="250">
        <f t="shared" si="636"/>
        <v>20</v>
      </c>
      <c r="CL640" s="237">
        <f t="shared" si="659"/>
        <v>33</v>
      </c>
      <c r="CM640" s="253">
        <f t="shared" si="660"/>
        <v>4.8487499999999999</v>
      </c>
      <c r="CN640" s="253" cm="1">
        <f t="array" ref="CN640">$BC640 * IF($AD640&lt;=2,
SUMPRODUCT(INDEX($AL$62:$AN$66,,$AE640), INDEX($AO$62:$AU$66,,$AD640), 1 / ($AV$62:$AV$66*CM640 + (1-$AV$62:$AV$66)*CI640), N($AK$62:$AK$66&gt;$AI640)),
SUMPRODUCT(INDEX($AL$47:$AN$56,,$AE640), INDEX($AO$47:$AU$56,,$AD640), 1 / ($AW$47:$AW$56*CM640 + (1-$AW$47:$AW$56)*CI640), N($AK$47:$AK$56&gt;$AI640))
) / 1000</f>
        <v>0</v>
      </c>
      <c r="CO640" s="253" cm="1">
        <f t="array" ref="CO640">$BC640 * IF($AD640&lt;=2,
SUMPRODUCT(INDEX($AL$23:$AN$61,,$AE640), INDEX($AO$23:$AU$61,,$AD640), 1 / ($AV$23:$AV$61*CM640), N($AK$23:$AK$61&gt;$AI640)),
SUMPRODUCT(INDEX($AL$23:$AN$46,,$AE640), INDEX($AO$23:$AU$46,,$AD640), 1 / ($AW$23:$AW$46*CM640), N($AK$23:$AK$46&gt;$AI640))
) / 1000</f>
        <v>0</v>
      </c>
      <c r="CP640" s="237">
        <f t="shared" si="661"/>
        <v>0</v>
      </c>
      <c r="CQ640" s="210"/>
    </row>
    <row r="641" spans="1:95" s="76" customFormat="1" ht="14.25" customHeight="1" x14ac:dyDescent="0.2">
      <c r="A641" s="238" t="b">
        <f t="shared" si="628"/>
        <v>0</v>
      </c>
      <c r="B641" s="239">
        <v>619</v>
      </c>
      <c r="C641" s="258"/>
      <c r="D641" s="258"/>
      <c r="E641" s="240"/>
      <c r="F641" s="241" t="str">
        <f>IF(ISBLANK(E641), "", VLOOKUP(E641, Z!$A$2:$C$4127, 3, FALSE))</f>
        <v/>
      </c>
      <c r="G641" s="242"/>
      <c r="H641" s="242"/>
      <c r="I641" s="243"/>
      <c r="J641" s="244"/>
      <c r="K641" s="259"/>
      <c r="L641" s="260"/>
      <c r="M641" s="247" t="str" cm="1">
        <f t="array" ref="M641">IF($K641&gt;0, INDEX(Clean,1+AG641,$C$1), "")</f>
        <v/>
      </c>
      <c r="N641" s="245"/>
      <c r="O641" s="245"/>
      <c r="P641" s="246"/>
      <c r="Q641" s="248">
        <f t="shared" si="638"/>
        <v>0</v>
      </c>
      <c r="R641" s="247" t="str" cm="1">
        <f t="array" ref="R641">IF($K641&gt;0, INDEX(Clean,1+AH641,$C$1), "")</f>
        <v/>
      </c>
      <c r="S641" s="245"/>
      <c r="T641" s="245"/>
      <c r="U641" s="246"/>
      <c r="V641" s="248">
        <f t="shared" si="639"/>
        <v>0</v>
      </c>
      <c r="W641" s="261"/>
      <c r="X641" s="258"/>
      <c r="Y641" s="240"/>
      <c r="Z641" s="241" t="str">
        <f>IF(ISBLANK(Y641), "", VLOOKUP(Y641, Z!$A$2:$C$4127, 3, FALSE))</f>
        <v/>
      </c>
      <c r="AA641" s="262"/>
      <c r="AB641" s="249">
        <f t="shared" si="637"/>
        <v>0</v>
      </c>
      <c r="AC641" s="210"/>
      <c r="AD641" s="236">
        <f t="shared" si="662"/>
        <v>1</v>
      </c>
      <c r="AE641" s="236">
        <f t="shared" si="663"/>
        <v>1</v>
      </c>
      <c r="AF641" s="236">
        <f t="shared" si="664"/>
        <v>0</v>
      </c>
      <c r="AG641" s="236">
        <v>1</v>
      </c>
      <c r="AH641" s="236">
        <v>0</v>
      </c>
      <c r="AI641" s="236">
        <f t="shared" si="640"/>
        <v>-100</v>
      </c>
      <c r="AJ641" s="210"/>
      <c r="AK641" s="254"/>
      <c r="AL641" s="254"/>
      <c r="AM641" s="255"/>
      <c r="AN641" s="255"/>
      <c r="AO641" s="255"/>
      <c r="AP641" s="255"/>
      <c r="AQ641" s="255"/>
      <c r="AR641" s="255"/>
      <c r="AS641" s="255"/>
      <c r="AT641" s="255"/>
      <c r="AU641" s="255"/>
      <c r="AV641" s="255"/>
      <c r="AW641" s="255"/>
      <c r="AX641" s="210"/>
      <c r="AY641" s="236" cm="1">
        <f t="array" ref="AY641">INDEX(Use, $AD641, 4)</f>
        <v>7</v>
      </c>
      <c r="AZ641" s="236">
        <f t="shared" si="641"/>
        <v>32</v>
      </c>
      <c r="BA641" s="236">
        <f t="shared" si="629"/>
        <v>13</v>
      </c>
      <c r="BB641" s="236">
        <f t="shared" si="630"/>
        <v>0</v>
      </c>
      <c r="BC641" s="252" cm="1">
        <f t="array" ref="BC641">K641/IF($L641&gt;0, INDEX($AO$23:$AU$77, $L641+20, $AD641), 1)</f>
        <v>0</v>
      </c>
      <c r="BD641" s="237">
        <f t="shared" si="642"/>
        <v>0</v>
      </c>
      <c r="BE641" s="236">
        <v>35</v>
      </c>
      <c r="BF641" s="237">
        <f t="shared" si="643"/>
        <v>52.55</v>
      </c>
      <c r="BG641" s="253">
        <f t="shared" si="644"/>
        <v>2.7676728869374316</v>
      </c>
      <c r="BH641" s="253" cm="1">
        <f t="array" ref="BH641">$BC641 * SUMPRODUCT(INDEX($AL$77:$AN$82,,$AE641),INDEX($AO$77:$AU$82,,$AD641), N($AK$77:$AK$82&gt;$AI641)) / BG641 / 1000</f>
        <v>0</v>
      </c>
      <c r="BI641" s="250">
        <f t="shared" si="631"/>
        <v>30</v>
      </c>
      <c r="BJ641" s="237">
        <f t="shared" si="645"/>
        <v>46.033333333333331</v>
      </c>
      <c r="BK641" s="253">
        <f t="shared" si="646"/>
        <v>3.2297395388556791</v>
      </c>
      <c r="BL641" s="253" cm="1">
        <f t="array" ref="BL641">$BC641 * IF($AD641&lt;=2,
SUMPRODUCT(INDEX($AL$72:$AN$76,,$AE641), INDEX($AO$72:$AU$76,,$AD641), 1 / ($AV$72:$AV$76*BK641 + (1-$AV$72:$AV$76)*BG641), N($AK$72:$AK$76&gt;$AI641)),
SUMPRODUCT(INDEX($AL$67:$AN$76,,$AE641), INDEX($AO$67:$AU$76,,$AD641), 1 / ($AW$67:$AW$76*BK641 + (1-$AW$67:$AW$76)*BG641), N($AK$67:$AK$76&gt;$AI641))
) / 1000</f>
        <v>0</v>
      </c>
      <c r="BM641" s="250">
        <f t="shared" si="632"/>
        <v>25</v>
      </c>
      <c r="BN641" s="237">
        <f t="shared" si="647"/>
        <v>39.516666666666666</v>
      </c>
      <c r="BO641" s="253">
        <f t="shared" si="648"/>
        <v>3.877011788826243</v>
      </c>
      <c r="BP641" s="253" cm="1">
        <f t="array" ref="BP641">$BC641 * IF($AD641&lt;=2,
SUMPRODUCT(INDEX($AL$67:$AN$71,,$AE641), INDEX($AO$67:$AU$71,,$AD641), 1 / ($AV$67:$AV$71*BO641 + (1-$AV$67:$AV$71)*BK641), N($AK$67:$AK$71&gt;$AI641)),
SUMPRODUCT(INDEX($AL$57:$AN$66,,$AE641), INDEX($AO$57:$AU$66,,$AD641), 1 / ($AW$57:$AW$66*BO641 + (1-$AW$57:$AW$66)*BK641), N($AK$57:$AK$66&gt;$AI641))
) / 1000</f>
        <v>0</v>
      </c>
      <c r="BQ641" s="250">
        <f t="shared" si="633"/>
        <v>20</v>
      </c>
      <c r="BR641" s="237">
        <f t="shared" si="649"/>
        <v>33</v>
      </c>
      <c r="BS641" s="253">
        <f t="shared" si="650"/>
        <v>4.8487499999999999</v>
      </c>
      <c r="BT641" s="253" cm="1">
        <f t="array" ref="BT641">$BC641 * IF($AD641&lt;=2,
SUMPRODUCT(INDEX($AL$62:$AN$66,,$AE641), INDEX($AO$62:$AU$66,,$AD641), 1 / ($AV$62:$AV$66*BS641 + (1-$AV$62:$AV$66)*BO641), N($AK$62:$AK$66&gt;$AI641)),
SUMPRODUCT(INDEX($AL$47:$AN$56,,$AE641), INDEX($AO$47:$AU$56,,$AD641), 1 / ($AW$47:$AW$56*BS641 + (1-$AW$47:$AW$56)*BO641), N($AK$47:$AK$56&gt;$AI641))
) / 1000</f>
        <v>0</v>
      </c>
      <c r="BU641" s="253" cm="1">
        <f t="array" ref="BU641">$BC641 * IF($AD641&lt;=2,
SUMPRODUCT(INDEX($AL$23:$AN$61,,$AE641), INDEX($AO$23:$AU$61,,$AD641), 1 / ($AV$23:$AV$61*BS641), N($AK$23:$AK$61&gt;$AI641)),
SUMPRODUCT(INDEX($AL$23:$AN$46,,$AE641), INDEX($AO$23:$AU$46,,$AD641), 1 / ($AW$23:$AW$46*BS641), N($AK$23:$AK$46&gt;$AI641))
) / 1000</f>
        <v>0</v>
      </c>
      <c r="BV641" s="237">
        <f t="shared" si="651"/>
        <v>0</v>
      </c>
      <c r="BW641" s="210"/>
      <c r="BX641" s="237">
        <f t="shared" si="652"/>
        <v>0</v>
      </c>
      <c r="BY641" s="236">
        <v>35</v>
      </c>
      <c r="BZ641" s="237">
        <f t="shared" si="653"/>
        <v>48</v>
      </c>
      <c r="CA641" s="253">
        <f t="shared" si="654"/>
        <v>3.0748170731707316</v>
      </c>
      <c r="CB641" s="253" cm="1">
        <f t="array" ref="CB641">$BC641 * SUMPRODUCT(INDEX($AL$77:$AN$82,,$AE641),INDEX($AO$77:$AU$82,,$AD641), N($AK$77:$AK$82&gt;$AI641)) / CA641 / 1000</f>
        <v>0</v>
      </c>
      <c r="CC641" s="250">
        <f t="shared" si="634"/>
        <v>30</v>
      </c>
      <c r="CD641" s="237">
        <f t="shared" si="655"/>
        <v>43</v>
      </c>
      <c r="CE641" s="253">
        <f t="shared" si="656"/>
        <v>3.5018750000000001</v>
      </c>
      <c r="CF641" s="253" cm="1">
        <f t="array" ref="CF641">$BC641 * IF($AD641&lt;=2,
SUMPRODUCT(INDEX($AL$72:$AN$76,,$AE641), INDEX($AO$72:$AU$76,,$AD641), 1 / ($AV$72:$AV$76*CE641 + (1-$AV$72:$AV$76)*CA641), N($AK$72:$AK$76&gt;$AI641)),
SUMPRODUCT(INDEX($AL$67:$AN$76,,$AE641), INDEX($AO$67:$AU$76,,$AD641), 1 / ($AW$67:$AW$76*CE641 + (1-$AW$67:$AW$76)*CA641), N($AK$67:$AK$76&gt;$AI641))
) / 1000</f>
        <v>0</v>
      </c>
      <c r="CG641" s="250">
        <f t="shared" si="635"/>
        <v>25</v>
      </c>
      <c r="CH641" s="237">
        <f t="shared" si="657"/>
        <v>38</v>
      </c>
      <c r="CI641" s="253">
        <f t="shared" si="658"/>
        <v>4.0666935483870965</v>
      </c>
      <c r="CJ641" s="253" cm="1">
        <f t="array" ref="CJ641">$BC641 * IF($AD641&lt;=2,
SUMPRODUCT(INDEX($AL$67:$AN$71,,$AE641), INDEX($AO$67:$AU$71,,$AD641), 1 / ($AV$67:$AV$71*CI641 + (1-$AV$67:$AV$71)*CE641), N($AK$67:$AK$71&gt;$AI641)),
SUMPRODUCT(INDEX($AL$57:$AN$66,,$AE641), INDEX($AO$57:$AU$66,,$AD641), 1 / ($AW$57:$AW$66*CI641 + (1-$AW$57:$AW$66)*CE641), N($AK$57:$AK$66&gt;$AI641))
) / 1000</f>
        <v>0</v>
      </c>
      <c r="CK641" s="250">
        <f t="shared" si="636"/>
        <v>20</v>
      </c>
      <c r="CL641" s="237">
        <f t="shared" si="659"/>
        <v>33</v>
      </c>
      <c r="CM641" s="253">
        <f t="shared" si="660"/>
        <v>4.8487499999999999</v>
      </c>
      <c r="CN641" s="253" cm="1">
        <f t="array" ref="CN641">$BC641 * IF($AD641&lt;=2,
SUMPRODUCT(INDEX($AL$62:$AN$66,,$AE641), INDEX($AO$62:$AU$66,,$AD641), 1 / ($AV$62:$AV$66*CM641 + (1-$AV$62:$AV$66)*CI641), N($AK$62:$AK$66&gt;$AI641)),
SUMPRODUCT(INDEX($AL$47:$AN$56,,$AE641), INDEX($AO$47:$AU$56,,$AD641), 1 / ($AW$47:$AW$56*CM641 + (1-$AW$47:$AW$56)*CI641), N($AK$47:$AK$56&gt;$AI641))
) / 1000</f>
        <v>0</v>
      </c>
      <c r="CO641" s="253" cm="1">
        <f t="array" ref="CO641">$BC641 * IF($AD641&lt;=2,
SUMPRODUCT(INDEX($AL$23:$AN$61,,$AE641), INDEX($AO$23:$AU$61,,$AD641), 1 / ($AV$23:$AV$61*CM641), N($AK$23:$AK$61&gt;$AI641)),
SUMPRODUCT(INDEX($AL$23:$AN$46,,$AE641), INDEX($AO$23:$AU$46,,$AD641), 1 / ($AW$23:$AW$46*CM641), N($AK$23:$AK$46&gt;$AI641))
) / 1000</f>
        <v>0</v>
      </c>
      <c r="CP641" s="237">
        <f t="shared" si="661"/>
        <v>0</v>
      </c>
      <c r="CQ641" s="210"/>
    </row>
    <row r="642" spans="1:95" s="76" customFormat="1" ht="14.25" customHeight="1" x14ac:dyDescent="0.2">
      <c r="A642" s="238" t="b">
        <f t="shared" si="628"/>
        <v>0</v>
      </c>
      <c r="B642" s="239">
        <v>620</v>
      </c>
      <c r="C642" s="258"/>
      <c r="D642" s="258"/>
      <c r="E642" s="240"/>
      <c r="F642" s="241" t="str">
        <f>IF(ISBLANK(E642), "", VLOOKUP(E642, Z!$A$2:$C$4127, 3, FALSE))</f>
        <v/>
      </c>
      <c r="G642" s="242"/>
      <c r="H642" s="242"/>
      <c r="I642" s="243"/>
      <c r="J642" s="244"/>
      <c r="K642" s="259"/>
      <c r="L642" s="260"/>
      <c r="M642" s="247" t="str" cm="1">
        <f t="array" ref="M642">IF($K642&gt;0, INDEX(Clean,1+AG642,$C$1), "")</f>
        <v/>
      </c>
      <c r="N642" s="245"/>
      <c r="O642" s="245"/>
      <c r="P642" s="246"/>
      <c r="Q642" s="248">
        <f t="shared" si="638"/>
        <v>0</v>
      </c>
      <c r="R642" s="247" t="str" cm="1">
        <f t="array" ref="R642">IF($K642&gt;0, INDEX(Clean,1+AH642,$C$1), "")</f>
        <v/>
      </c>
      <c r="S642" s="245"/>
      <c r="T642" s="245"/>
      <c r="U642" s="246"/>
      <c r="V642" s="248">
        <f t="shared" si="639"/>
        <v>0</v>
      </c>
      <c r="W642" s="261"/>
      <c r="X642" s="258"/>
      <c r="Y642" s="240"/>
      <c r="Z642" s="241" t="str">
        <f>IF(ISBLANK(Y642), "", VLOOKUP(Y642, Z!$A$2:$C$4127, 3, FALSE))</f>
        <v/>
      </c>
      <c r="AA642" s="262"/>
      <c r="AB642" s="249">
        <f t="shared" si="637"/>
        <v>0</v>
      </c>
      <c r="AC642" s="210"/>
      <c r="AD642" s="236">
        <f t="shared" si="662"/>
        <v>1</v>
      </c>
      <c r="AE642" s="236">
        <f t="shared" si="663"/>
        <v>1</v>
      </c>
      <c r="AF642" s="236">
        <f t="shared" si="664"/>
        <v>0</v>
      </c>
      <c r="AG642" s="236">
        <v>1</v>
      </c>
      <c r="AH642" s="236">
        <v>0</v>
      </c>
      <c r="AI642" s="236">
        <f t="shared" si="640"/>
        <v>-100</v>
      </c>
      <c r="AJ642" s="210"/>
      <c r="AK642" s="254"/>
      <c r="AL642" s="254"/>
      <c r="AM642" s="255"/>
      <c r="AN642" s="255"/>
      <c r="AO642" s="255"/>
      <c r="AP642" s="255"/>
      <c r="AQ642" s="255"/>
      <c r="AR642" s="255"/>
      <c r="AS642" s="255"/>
      <c r="AT642" s="255"/>
      <c r="AU642" s="255"/>
      <c r="AV642" s="255"/>
      <c r="AW642" s="255"/>
      <c r="AX642" s="210"/>
      <c r="AY642" s="236" cm="1">
        <f t="array" ref="AY642">INDEX(Use, $AD642, 4)</f>
        <v>7</v>
      </c>
      <c r="AZ642" s="236">
        <f t="shared" si="641"/>
        <v>32</v>
      </c>
      <c r="BA642" s="236">
        <f t="shared" si="629"/>
        <v>13</v>
      </c>
      <c r="BB642" s="236">
        <f t="shared" si="630"/>
        <v>0</v>
      </c>
      <c r="BC642" s="252" cm="1">
        <f t="array" ref="BC642">K642/IF($L642&gt;0, INDEX($AO$23:$AU$77, $L642+20, $AD642), 1)</f>
        <v>0</v>
      </c>
      <c r="BD642" s="237">
        <f t="shared" si="642"/>
        <v>0</v>
      </c>
      <c r="BE642" s="236">
        <v>35</v>
      </c>
      <c r="BF642" s="237">
        <f t="shared" si="643"/>
        <v>52.55</v>
      </c>
      <c r="BG642" s="253">
        <f t="shared" si="644"/>
        <v>2.7676728869374316</v>
      </c>
      <c r="BH642" s="253" cm="1">
        <f t="array" ref="BH642">$BC642 * SUMPRODUCT(INDEX($AL$77:$AN$82,,$AE642),INDEX($AO$77:$AU$82,,$AD642), N($AK$77:$AK$82&gt;$AI642)) / BG642 / 1000</f>
        <v>0</v>
      </c>
      <c r="BI642" s="250">
        <f t="shared" si="631"/>
        <v>30</v>
      </c>
      <c r="BJ642" s="237">
        <f t="shared" si="645"/>
        <v>46.033333333333331</v>
      </c>
      <c r="BK642" s="253">
        <f t="shared" si="646"/>
        <v>3.2297395388556791</v>
      </c>
      <c r="BL642" s="253" cm="1">
        <f t="array" ref="BL642">$BC642 * IF($AD642&lt;=2,
SUMPRODUCT(INDEX($AL$72:$AN$76,,$AE642), INDEX($AO$72:$AU$76,,$AD642), 1 / ($AV$72:$AV$76*BK642 + (1-$AV$72:$AV$76)*BG642), N($AK$72:$AK$76&gt;$AI642)),
SUMPRODUCT(INDEX($AL$67:$AN$76,,$AE642), INDEX($AO$67:$AU$76,,$AD642), 1 / ($AW$67:$AW$76*BK642 + (1-$AW$67:$AW$76)*BG642), N($AK$67:$AK$76&gt;$AI642))
) / 1000</f>
        <v>0</v>
      </c>
      <c r="BM642" s="250">
        <f t="shared" si="632"/>
        <v>25</v>
      </c>
      <c r="BN642" s="237">
        <f t="shared" si="647"/>
        <v>39.516666666666666</v>
      </c>
      <c r="BO642" s="253">
        <f t="shared" si="648"/>
        <v>3.877011788826243</v>
      </c>
      <c r="BP642" s="253" cm="1">
        <f t="array" ref="BP642">$BC642 * IF($AD642&lt;=2,
SUMPRODUCT(INDEX($AL$67:$AN$71,,$AE642), INDEX($AO$67:$AU$71,,$AD642), 1 / ($AV$67:$AV$71*BO642 + (1-$AV$67:$AV$71)*BK642), N($AK$67:$AK$71&gt;$AI642)),
SUMPRODUCT(INDEX($AL$57:$AN$66,,$AE642), INDEX($AO$57:$AU$66,,$AD642), 1 / ($AW$57:$AW$66*BO642 + (1-$AW$57:$AW$66)*BK642), N($AK$57:$AK$66&gt;$AI642))
) / 1000</f>
        <v>0</v>
      </c>
      <c r="BQ642" s="250">
        <f t="shared" si="633"/>
        <v>20</v>
      </c>
      <c r="BR642" s="237">
        <f t="shared" si="649"/>
        <v>33</v>
      </c>
      <c r="BS642" s="253">
        <f t="shared" si="650"/>
        <v>4.8487499999999999</v>
      </c>
      <c r="BT642" s="253" cm="1">
        <f t="array" ref="BT642">$BC642 * IF($AD642&lt;=2,
SUMPRODUCT(INDEX($AL$62:$AN$66,,$AE642), INDEX($AO$62:$AU$66,,$AD642), 1 / ($AV$62:$AV$66*BS642 + (1-$AV$62:$AV$66)*BO642), N($AK$62:$AK$66&gt;$AI642)),
SUMPRODUCT(INDEX($AL$47:$AN$56,,$AE642), INDEX($AO$47:$AU$56,,$AD642), 1 / ($AW$47:$AW$56*BS642 + (1-$AW$47:$AW$56)*BO642), N($AK$47:$AK$56&gt;$AI642))
) / 1000</f>
        <v>0</v>
      </c>
      <c r="BU642" s="253" cm="1">
        <f t="array" ref="BU642">$BC642 * IF($AD642&lt;=2,
SUMPRODUCT(INDEX($AL$23:$AN$61,,$AE642), INDEX($AO$23:$AU$61,,$AD642), 1 / ($AV$23:$AV$61*BS642), N($AK$23:$AK$61&gt;$AI642)),
SUMPRODUCT(INDEX($AL$23:$AN$46,,$AE642), INDEX($AO$23:$AU$46,,$AD642), 1 / ($AW$23:$AW$46*BS642), N($AK$23:$AK$46&gt;$AI642))
) / 1000</f>
        <v>0</v>
      </c>
      <c r="BV642" s="237">
        <f t="shared" si="651"/>
        <v>0</v>
      </c>
      <c r="BW642" s="210"/>
      <c r="BX642" s="237">
        <f t="shared" si="652"/>
        <v>0</v>
      </c>
      <c r="BY642" s="236">
        <v>35</v>
      </c>
      <c r="BZ642" s="237">
        <f t="shared" si="653"/>
        <v>48</v>
      </c>
      <c r="CA642" s="253">
        <f t="shared" si="654"/>
        <v>3.0748170731707316</v>
      </c>
      <c r="CB642" s="253" cm="1">
        <f t="array" ref="CB642">$BC642 * SUMPRODUCT(INDEX($AL$77:$AN$82,,$AE642),INDEX($AO$77:$AU$82,,$AD642), N($AK$77:$AK$82&gt;$AI642)) / CA642 / 1000</f>
        <v>0</v>
      </c>
      <c r="CC642" s="250">
        <f t="shared" si="634"/>
        <v>30</v>
      </c>
      <c r="CD642" s="237">
        <f t="shared" si="655"/>
        <v>43</v>
      </c>
      <c r="CE642" s="253">
        <f t="shared" si="656"/>
        <v>3.5018750000000001</v>
      </c>
      <c r="CF642" s="253" cm="1">
        <f t="array" ref="CF642">$BC642 * IF($AD642&lt;=2,
SUMPRODUCT(INDEX($AL$72:$AN$76,,$AE642), INDEX($AO$72:$AU$76,,$AD642), 1 / ($AV$72:$AV$76*CE642 + (1-$AV$72:$AV$76)*CA642), N($AK$72:$AK$76&gt;$AI642)),
SUMPRODUCT(INDEX($AL$67:$AN$76,,$AE642), INDEX($AO$67:$AU$76,,$AD642), 1 / ($AW$67:$AW$76*CE642 + (1-$AW$67:$AW$76)*CA642), N($AK$67:$AK$76&gt;$AI642))
) / 1000</f>
        <v>0</v>
      </c>
      <c r="CG642" s="250">
        <f t="shared" si="635"/>
        <v>25</v>
      </c>
      <c r="CH642" s="237">
        <f t="shared" si="657"/>
        <v>38</v>
      </c>
      <c r="CI642" s="253">
        <f t="shared" si="658"/>
        <v>4.0666935483870965</v>
      </c>
      <c r="CJ642" s="253" cm="1">
        <f t="array" ref="CJ642">$BC642 * IF($AD642&lt;=2,
SUMPRODUCT(INDEX($AL$67:$AN$71,,$AE642), INDEX($AO$67:$AU$71,,$AD642), 1 / ($AV$67:$AV$71*CI642 + (1-$AV$67:$AV$71)*CE642), N($AK$67:$AK$71&gt;$AI642)),
SUMPRODUCT(INDEX($AL$57:$AN$66,,$AE642), INDEX($AO$57:$AU$66,,$AD642), 1 / ($AW$57:$AW$66*CI642 + (1-$AW$57:$AW$66)*CE642), N($AK$57:$AK$66&gt;$AI642))
) / 1000</f>
        <v>0</v>
      </c>
      <c r="CK642" s="250">
        <f t="shared" si="636"/>
        <v>20</v>
      </c>
      <c r="CL642" s="237">
        <f t="shared" si="659"/>
        <v>33</v>
      </c>
      <c r="CM642" s="253">
        <f t="shared" si="660"/>
        <v>4.8487499999999999</v>
      </c>
      <c r="CN642" s="253" cm="1">
        <f t="array" ref="CN642">$BC642 * IF($AD642&lt;=2,
SUMPRODUCT(INDEX($AL$62:$AN$66,,$AE642), INDEX($AO$62:$AU$66,,$AD642), 1 / ($AV$62:$AV$66*CM642 + (1-$AV$62:$AV$66)*CI642), N($AK$62:$AK$66&gt;$AI642)),
SUMPRODUCT(INDEX($AL$47:$AN$56,,$AE642), INDEX($AO$47:$AU$56,,$AD642), 1 / ($AW$47:$AW$56*CM642 + (1-$AW$47:$AW$56)*CI642), N($AK$47:$AK$56&gt;$AI642))
) / 1000</f>
        <v>0</v>
      </c>
      <c r="CO642" s="253" cm="1">
        <f t="array" ref="CO642">$BC642 * IF($AD642&lt;=2,
SUMPRODUCT(INDEX($AL$23:$AN$61,,$AE642), INDEX($AO$23:$AU$61,,$AD642), 1 / ($AV$23:$AV$61*CM642), N($AK$23:$AK$61&gt;$AI642)),
SUMPRODUCT(INDEX($AL$23:$AN$46,,$AE642), INDEX($AO$23:$AU$46,,$AD642), 1 / ($AW$23:$AW$46*CM642), N($AK$23:$AK$46&gt;$AI642))
) / 1000</f>
        <v>0</v>
      </c>
      <c r="CP642" s="237">
        <f t="shared" si="661"/>
        <v>0</v>
      </c>
      <c r="CQ642" s="210"/>
    </row>
    <row r="643" spans="1:95" s="76" customFormat="1" ht="14.25" customHeight="1" x14ac:dyDescent="0.2">
      <c r="A643" s="238" t="b">
        <f t="shared" si="628"/>
        <v>0</v>
      </c>
      <c r="B643" s="239">
        <v>621</v>
      </c>
      <c r="C643" s="258"/>
      <c r="D643" s="258"/>
      <c r="E643" s="240"/>
      <c r="F643" s="241" t="str">
        <f>IF(ISBLANK(E643), "", VLOOKUP(E643, Z!$A$2:$C$4127, 3, FALSE))</f>
        <v/>
      </c>
      <c r="G643" s="242"/>
      <c r="H643" s="242"/>
      <c r="I643" s="243"/>
      <c r="J643" s="244"/>
      <c r="K643" s="259"/>
      <c r="L643" s="260"/>
      <c r="M643" s="247" t="str" cm="1">
        <f t="array" ref="M643">IF($K643&gt;0, INDEX(Clean,1+AG643,$C$1), "")</f>
        <v/>
      </c>
      <c r="N643" s="245"/>
      <c r="O643" s="245"/>
      <c r="P643" s="246"/>
      <c r="Q643" s="248">
        <f t="shared" si="638"/>
        <v>0</v>
      </c>
      <c r="R643" s="247" t="str" cm="1">
        <f t="array" ref="R643">IF($K643&gt;0, INDEX(Clean,1+AH643,$C$1), "")</f>
        <v/>
      </c>
      <c r="S643" s="245"/>
      <c r="T643" s="245"/>
      <c r="U643" s="246"/>
      <c r="V643" s="248">
        <f t="shared" si="639"/>
        <v>0</v>
      </c>
      <c r="W643" s="261"/>
      <c r="X643" s="258"/>
      <c r="Y643" s="240"/>
      <c r="Z643" s="241" t="str">
        <f>IF(ISBLANK(Y643), "", VLOOKUP(Y643, Z!$A$2:$C$4127, 3, FALSE))</f>
        <v/>
      </c>
      <c r="AA643" s="262"/>
      <c r="AB643" s="249">
        <f t="shared" si="637"/>
        <v>0</v>
      </c>
      <c r="AC643" s="210"/>
      <c r="AD643" s="236">
        <f t="shared" si="662"/>
        <v>1</v>
      </c>
      <c r="AE643" s="236">
        <f t="shared" si="663"/>
        <v>1</v>
      </c>
      <c r="AF643" s="236">
        <f t="shared" si="664"/>
        <v>0</v>
      </c>
      <c r="AG643" s="236">
        <v>1</v>
      </c>
      <c r="AH643" s="236">
        <v>0</v>
      </c>
      <c r="AI643" s="236">
        <f t="shared" si="640"/>
        <v>-100</v>
      </c>
      <c r="AJ643" s="210"/>
      <c r="AK643" s="254"/>
      <c r="AL643" s="254"/>
      <c r="AM643" s="255"/>
      <c r="AN643" s="255"/>
      <c r="AO643" s="255"/>
      <c r="AP643" s="255"/>
      <c r="AQ643" s="255"/>
      <c r="AR643" s="255"/>
      <c r="AS643" s="255"/>
      <c r="AT643" s="255"/>
      <c r="AU643" s="255"/>
      <c r="AV643" s="255"/>
      <c r="AW643" s="255"/>
      <c r="AX643" s="210"/>
      <c r="AY643" s="236" cm="1">
        <f t="array" ref="AY643">INDEX(Use, $AD643, 4)</f>
        <v>7</v>
      </c>
      <c r="AZ643" s="236">
        <f t="shared" si="641"/>
        <v>32</v>
      </c>
      <c r="BA643" s="236">
        <f t="shared" si="629"/>
        <v>13</v>
      </c>
      <c r="BB643" s="236">
        <f t="shared" si="630"/>
        <v>0</v>
      </c>
      <c r="BC643" s="252" cm="1">
        <f t="array" ref="BC643">K643/IF($L643&gt;0, INDEX($AO$23:$AU$77, $L643+20, $AD643), 1)</f>
        <v>0</v>
      </c>
      <c r="BD643" s="237">
        <f t="shared" si="642"/>
        <v>0</v>
      </c>
      <c r="BE643" s="236">
        <v>35</v>
      </c>
      <c r="BF643" s="237">
        <f t="shared" si="643"/>
        <v>52.55</v>
      </c>
      <c r="BG643" s="253">
        <f t="shared" si="644"/>
        <v>2.7676728869374316</v>
      </c>
      <c r="BH643" s="253" cm="1">
        <f t="array" ref="BH643">$BC643 * SUMPRODUCT(INDEX($AL$77:$AN$82,,$AE643),INDEX($AO$77:$AU$82,,$AD643), N($AK$77:$AK$82&gt;$AI643)) / BG643 / 1000</f>
        <v>0</v>
      </c>
      <c r="BI643" s="250">
        <f t="shared" si="631"/>
        <v>30</v>
      </c>
      <c r="BJ643" s="237">
        <f t="shared" si="645"/>
        <v>46.033333333333331</v>
      </c>
      <c r="BK643" s="253">
        <f t="shared" si="646"/>
        <v>3.2297395388556791</v>
      </c>
      <c r="BL643" s="253" cm="1">
        <f t="array" ref="BL643">$BC643 * IF($AD643&lt;=2,
SUMPRODUCT(INDEX($AL$72:$AN$76,,$AE643), INDEX($AO$72:$AU$76,,$AD643), 1 / ($AV$72:$AV$76*BK643 + (1-$AV$72:$AV$76)*BG643), N($AK$72:$AK$76&gt;$AI643)),
SUMPRODUCT(INDEX($AL$67:$AN$76,,$AE643), INDEX($AO$67:$AU$76,,$AD643), 1 / ($AW$67:$AW$76*BK643 + (1-$AW$67:$AW$76)*BG643), N($AK$67:$AK$76&gt;$AI643))
) / 1000</f>
        <v>0</v>
      </c>
      <c r="BM643" s="250">
        <f t="shared" si="632"/>
        <v>25</v>
      </c>
      <c r="BN643" s="237">
        <f t="shared" si="647"/>
        <v>39.516666666666666</v>
      </c>
      <c r="BO643" s="253">
        <f t="shared" si="648"/>
        <v>3.877011788826243</v>
      </c>
      <c r="BP643" s="253" cm="1">
        <f t="array" ref="BP643">$BC643 * IF($AD643&lt;=2,
SUMPRODUCT(INDEX($AL$67:$AN$71,,$AE643), INDEX($AO$67:$AU$71,,$AD643), 1 / ($AV$67:$AV$71*BO643 + (1-$AV$67:$AV$71)*BK643), N($AK$67:$AK$71&gt;$AI643)),
SUMPRODUCT(INDEX($AL$57:$AN$66,,$AE643), INDEX($AO$57:$AU$66,,$AD643), 1 / ($AW$57:$AW$66*BO643 + (1-$AW$57:$AW$66)*BK643), N($AK$57:$AK$66&gt;$AI643))
) / 1000</f>
        <v>0</v>
      </c>
      <c r="BQ643" s="250">
        <f t="shared" si="633"/>
        <v>20</v>
      </c>
      <c r="BR643" s="237">
        <f t="shared" si="649"/>
        <v>33</v>
      </c>
      <c r="BS643" s="253">
        <f t="shared" si="650"/>
        <v>4.8487499999999999</v>
      </c>
      <c r="BT643" s="253" cm="1">
        <f t="array" ref="BT643">$BC643 * IF($AD643&lt;=2,
SUMPRODUCT(INDEX($AL$62:$AN$66,,$AE643), INDEX($AO$62:$AU$66,,$AD643), 1 / ($AV$62:$AV$66*BS643 + (1-$AV$62:$AV$66)*BO643), N($AK$62:$AK$66&gt;$AI643)),
SUMPRODUCT(INDEX($AL$47:$AN$56,,$AE643), INDEX($AO$47:$AU$56,,$AD643), 1 / ($AW$47:$AW$56*BS643 + (1-$AW$47:$AW$56)*BO643), N($AK$47:$AK$56&gt;$AI643))
) / 1000</f>
        <v>0</v>
      </c>
      <c r="BU643" s="253" cm="1">
        <f t="array" ref="BU643">$BC643 * IF($AD643&lt;=2,
SUMPRODUCT(INDEX($AL$23:$AN$61,,$AE643), INDEX($AO$23:$AU$61,,$AD643), 1 / ($AV$23:$AV$61*BS643), N($AK$23:$AK$61&gt;$AI643)),
SUMPRODUCT(INDEX($AL$23:$AN$46,,$AE643), INDEX($AO$23:$AU$46,,$AD643), 1 / ($AW$23:$AW$46*BS643), N($AK$23:$AK$46&gt;$AI643))
) / 1000</f>
        <v>0</v>
      </c>
      <c r="BV643" s="237">
        <f t="shared" si="651"/>
        <v>0</v>
      </c>
      <c r="BW643" s="210"/>
      <c r="BX643" s="237">
        <f t="shared" si="652"/>
        <v>0</v>
      </c>
      <c r="BY643" s="236">
        <v>35</v>
      </c>
      <c r="BZ643" s="237">
        <f t="shared" si="653"/>
        <v>48</v>
      </c>
      <c r="CA643" s="253">
        <f t="shared" si="654"/>
        <v>3.0748170731707316</v>
      </c>
      <c r="CB643" s="253" cm="1">
        <f t="array" ref="CB643">$BC643 * SUMPRODUCT(INDEX($AL$77:$AN$82,,$AE643),INDEX($AO$77:$AU$82,,$AD643), N($AK$77:$AK$82&gt;$AI643)) / CA643 / 1000</f>
        <v>0</v>
      </c>
      <c r="CC643" s="250">
        <f t="shared" si="634"/>
        <v>30</v>
      </c>
      <c r="CD643" s="237">
        <f t="shared" si="655"/>
        <v>43</v>
      </c>
      <c r="CE643" s="253">
        <f t="shared" si="656"/>
        <v>3.5018750000000001</v>
      </c>
      <c r="CF643" s="253" cm="1">
        <f t="array" ref="CF643">$BC643 * IF($AD643&lt;=2,
SUMPRODUCT(INDEX($AL$72:$AN$76,,$AE643), INDEX($AO$72:$AU$76,,$AD643), 1 / ($AV$72:$AV$76*CE643 + (1-$AV$72:$AV$76)*CA643), N($AK$72:$AK$76&gt;$AI643)),
SUMPRODUCT(INDEX($AL$67:$AN$76,,$AE643), INDEX($AO$67:$AU$76,,$AD643), 1 / ($AW$67:$AW$76*CE643 + (1-$AW$67:$AW$76)*CA643), N($AK$67:$AK$76&gt;$AI643))
) / 1000</f>
        <v>0</v>
      </c>
      <c r="CG643" s="250">
        <f t="shared" si="635"/>
        <v>25</v>
      </c>
      <c r="CH643" s="237">
        <f t="shared" si="657"/>
        <v>38</v>
      </c>
      <c r="CI643" s="253">
        <f t="shared" si="658"/>
        <v>4.0666935483870965</v>
      </c>
      <c r="CJ643" s="253" cm="1">
        <f t="array" ref="CJ643">$BC643 * IF($AD643&lt;=2,
SUMPRODUCT(INDEX($AL$67:$AN$71,,$AE643), INDEX($AO$67:$AU$71,,$AD643), 1 / ($AV$67:$AV$71*CI643 + (1-$AV$67:$AV$71)*CE643), N($AK$67:$AK$71&gt;$AI643)),
SUMPRODUCT(INDEX($AL$57:$AN$66,,$AE643), INDEX($AO$57:$AU$66,,$AD643), 1 / ($AW$57:$AW$66*CI643 + (1-$AW$57:$AW$66)*CE643), N($AK$57:$AK$66&gt;$AI643))
) / 1000</f>
        <v>0</v>
      </c>
      <c r="CK643" s="250">
        <f t="shared" si="636"/>
        <v>20</v>
      </c>
      <c r="CL643" s="237">
        <f t="shared" si="659"/>
        <v>33</v>
      </c>
      <c r="CM643" s="253">
        <f t="shared" si="660"/>
        <v>4.8487499999999999</v>
      </c>
      <c r="CN643" s="253" cm="1">
        <f t="array" ref="CN643">$BC643 * IF($AD643&lt;=2,
SUMPRODUCT(INDEX($AL$62:$AN$66,,$AE643), INDEX($AO$62:$AU$66,,$AD643), 1 / ($AV$62:$AV$66*CM643 + (1-$AV$62:$AV$66)*CI643), N($AK$62:$AK$66&gt;$AI643)),
SUMPRODUCT(INDEX($AL$47:$AN$56,,$AE643), INDEX($AO$47:$AU$56,,$AD643), 1 / ($AW$47:$AW$56*CM643 + (1-$AW$47:$AW$56)*CI643), N($AK$47:$AK$56&gt;$AI643))
) / 1000</f>
        <v>0</v>
      </c>
      <c r="CO643" s="253" cm="1">
        <f t="array" ref="CO643">$BC643 * IF($AD643&lt;=2,
SUMPRODUCT(INDEX($AL$23:$AN$61,,$AE643), INDEX($AO$23:$AU$61,,$AD643), 1 / ($AV$23:$AV$61*CM643), N($AK$23:$AK$61&gt;$AI643)),
SUMPRODUCT(INDEX($AL$23:$AN$46,,$AE643), INDEX($AO$23:$AU$46,,$AD643), 1 / ($AW$23:$AW$46*CM643), N($AK$23:$AK$46&gt;$AI643))
) / 1000</f>
        <v>0</v>
      </c>
      <c r="CP643" s="237">
        <f t="shared" si="661"/>
        <v>0</v>
      </c>
      <c r="CQ643" s="210"/>
    </row>
    <row r="644" spans="1:95" s="76" customFormat="1" ht="14.25" customHeight="1" x14ac:dyDescent="0.2">
      <c r="A644" s="238" t="b">
        <f t="shared" si="628"/>
        <v>0</v>
      </c>
      <c r="B644" s="239">
        <v>622</v>
      </c>
      <c r="C644" s="258"/>
      <c r="D644" s="258"/>
      <c r="E644" s="240"/>
      <c r="F644" s="241" t="str">
        <f>IF(ISBLANK(E644), "", VLOOKUP(E644, Z!$A$2:$C$4127, 3, FALSE))</f>
        <v/>
      </c>
      <c r="G644" s="242"/>
      <c r="H644" s="242"/>
      <c r="I644" s="243"/>
      <c r="J644" s="244"/>
      <c r="K644" s="259"/>
      <c r="L644" s="260"/>
      <c r="M644" s="247" t="str" cm="1">
        <f t="array" ref="M644">IF($K644&gt;0, INDEX(Clean,1+AG644,$C$1), "")</f>
        <v/>
      </c>
      <c r="N644" s="245"/>
      <c r="O644" s="245"/>
      <c r="P644" s="246"/>
      <c r="Q644" s="248">
        <f t="shared" si="638"/>
        <v>0</v>
      </c>
      <c r="R644" s="247" t="str" cm="1">
        <f t="array" ref="R644">IF($K644&gt;0, INDEX(Clean,1+AH644,$C$1), "")</f>
        <v/>
      </c>
      <c r="S644" s="245"/>
      <c r="T644" s="245"/>
      <c r="U644" s="246"/>
      <c r="V644" s="248">
        <f t="shared" si="639"/>
        <v>0</v>
      </c>
      <c r="W644" s="261"/>
      <c r="X644" s="258"/>
      <c r="Y644" s="240"/>
      <c r="Z644" s="241" t="str">
        <f>IF(ISBLANK(Y644), "", VLOOKUP(Y644, Z!$A$2:$C$4127, 3, FALSE))</f>
        <v/>
      </c>
      <c r="AA644" s="262"/>
      <c r="AB644" s="249">
        <f t="shared" si="637"/>
        <v>0</v>
      </c>
      <c r="AC644" s="210"/>
      <c r="AD644" s="236">
        <f t="shared" si="662"/>
        <v>1</v>
      </c>
      <c r="AE644" s="236">
        <f t="shared" si="663"/>
        <v>1</v>
      </c>
      <c r="AF644" s="236">
        <f t="shared" si="664"/>
        <v>0</v>
      </c>
      <c r="AG644" s="236">
        <v>1</v>
      </c>
      <c r="AH644" s="236">
        <v>0</v>
      </c>
      <c r="AI644" s="236">
        <f t="shared" si="640"/>
        <v>-100</v>
      </c>
      <c r="AJ644" s="210"/>
      <c r="AK644" s="254"/>
      <c r="AL644" s="254"/>
      <c r="AM644" s="255"/>
      <c r="AN644" s="255"/>
      <c r="AO644" s="255"/>
      <c r="AP644" s="255"/>
      <c r="AQ644" s="255"/>
      <c r="AR644" s="255"/>
      <c r="AS644" s="255"/>
      <c r="AT644" s="255"/>
      <c r="AU644" s="255"/>
      <c r="AV644" s="255"/>
      <c r="AW644" s="255"/>
      <c r="AX644" s="210"/>
      <c r="AY644" s="236" cm="1">
        <f t="array" ref="AY644">INDEX(Use, $AD644, 4)</f>
        <v>7</v>
      </c>
      <c r="AZ644" s="236">
        <f t="shared" si="641"/>
        <v>32</v>
      </c>
      <c r="BA644" s="236">
        <f t="shared" si="629"/>
        <v>13</v>
      </c>
      <c r="BB644" s="236">
        <f t="shared" si="630"/>
        <v>0</v>
      </c>
      <c r="BC644" s="252" cm="1">
        <f t="array" ref="BC644">K644/IF($L644&gt;0, INDEX($AO$23:$AU$77, $L644+20, $AD644), 1)</f>
        <v>0</v>
      </c>
      <c r="BD644" s="237">
        <f t="shared" si="642"/>
        <v>0</v>
      </c>
      <c r="BE644" s="236">
        <v>35</v>
      </c>
      <c r="BF644" s="237">
        <f t="shared" si="643"/>
        <v>52.55</v>
      </c>
      <c r="BG644" s="253">
        <f t="shared" si="644"/>
        <v>2.7676728869374316</v>
      </c>
      <c r="BH644" s="253" cm="1">
        <f t="array" ref="BH644">$BC644 * SUMPRODUCT(INDEX($AL$77:$AN$82,,$AE644),INDEX($AO$77:$AU$82,,$AD644), N($AK$77:$AK$82&gt;$AI644)) / BG644 / 1000</f>
        <v>0</v>
      </c>
      <c r="BI644" s="250">
        <f t="shared" si="631"/>
        <v>30</v>
      </c>
      <c r="BJ644" s="237">
        <f t="shared" si="645"/>
        <v>46.033333333333331</v>
      </c>
      <c r="BK644" s="253">
        <f t="shared" si="646"/>
        <v>3.2297395388556791</v>
      </c>
      <c r="BL644" s="253" cm="1">
        <f t="array" ref="BL644">$BC644 * IF($AD644&lt;=2,
SUMPRODUCT(INDEX($AL$72:$AN$76,,$AE644), INDEX($AO$72:$AU$76,,$AD644), 1 / ($AV$72:$AV$76*BK644 + (1-$AV$72:$AV$76)*BG644), N($AK$72:$AK$76&gt;$AI644)),
SUMPRODUCT(INDEX($AL$67:$AN$76,,$AE644), INDEX($AO$67:$AU$76,,$AD644), 1 / ($AW$67:$AW$76*BK644 + (1-$AW$67:$AW$76)*BG644), N($AK$67:$AK$76&gt;$AI644))
) / 1000</f>
        <v>0</v>
      </c>
      <c r="BM644" s="250">
        <f t="shared" si="632"/>
        <v>25</v>
      </c>
      <c r="BN644" s="237">
        <f t="shared" si="647"/>
        <v>39.516666666666666</v>
      </c>
      <c r="BO644" s="253">
        <f t="shared" si="648"/>
        <v>3.877011788826243</v>
      </c>
      <c r="BP644" s="253" cm="1">
        <f t="array" ref="BP644">$BC644 * IF($AD644&lt;=2,
SUMPRODUCT(INDEX($AL$67:$AN$71,,$AE644), INDEX($AO$67:$AU$71,,$AD644), 1 / ($AV$67:$AV$71*BO644 + (1-$AV$67:$AV$71)*BK644), N($AK$67:$AK$71&gt;$AI644)),
SUMPRODUCT(INDEX($AL$57:$AN$66,,$AE644), INDEX($AO$57:$AU$66,,$AD644), 1 / ($AW$57:$AW$66*BO644 + (1-$AW$57:$AW$66)*BK644), N($AK$57:$AK$66&gt;$AI644))
) / 1000</f>
        <v>0</v>
      </c>
      <c r="BQ644" s="250">
        <f t="shared" si="633"/>
        <v>20</v>
      </c>
      <c r="BR644" s="237">
        <f t="shared" si="649"/>
        <v>33</v>
      </c>
      <c r="BS644" s="253">
        <f t="shared" si="650"/>
        <v>4.8487499999999999</v>
      </c>
      <c r="BT644" s="253" cm="1">
        <f t="array" ref="BT644">$BC644 * IF($AD644&lt;=2,
SUMPRODUCT(INDEX($AL$62:$AN$66,,$AE644), INDEX($AO$62:$AU$66,,$AD644), 1 / ($AV$62:$AV$66*BS644 + (1-$AV$62:$AV$66)*BO644), N($AK$62:$AK$66&gt;$AI644)),
SUMPRODUCT(INDEX($AL$47:$AN$56,,$AE644), INDEX($AO$47:$AU$56,,$AD644), 1 / ($AW$47:$AW$56*BS644 + (1-$AW$47:$AW$56)*BO644), N($AK$47:$AK$56&gt;$AI644))
) / 1000</f>
        <v>0</v>
      </c>
      <c r="BU644" s="253" cm="1">
        <f t="array" ref="BU644">$BC644 * IF($AD644&lt;=2,
SUMPRODUCT(INDEX($AL$23:$AN$61,,$AE644), INDEX($AO$23:$AU$61,,$AD644), 1 / ($AV$23:$AV$61*BS644), N($AK$23:$AK$61&gt;$AI644)),
SUMPRODUCT(INDEX($AL$23:$AN$46,,$AE644), INDEX($AO$23:$AU$46,,$AD644), 1 / ($AW$23:$AW$46*BS644), N($AK$23:$AK$46&gt;$AI644))
) / 1000</f>
        <v>0</v>
      </c>
      <c r="BV644" s="237">
        <f t="shared" si="651"/>
        <v>0</v>
      </c>
      <c r="BW644" s="210"/>
      <c r="BX644" s="237">
        <f t="shared" si="652"/>
        <v>0</v>
      </c>
      <c r="BY644" s="236">
        <v>35</v>
      </c>
      <c r="BZ644" s="237">
        <f t="shared" si="653"/>
        <v>48</v>
      </c>
      <c r="CA644" s="253">
        <f t="shared" si="654"/>
        <v>3.0748170731707316</v>
      </c>
      <c r="CB644" s="253" cm="1">
        <f t="array" ref="CB644">$BC644 * SUMPRODUCT(INDEX($AL$77:$AN$82,,$AE644),INDEX($AO$77:$AU$82,,$AD644), N($AK$77:$AK$82&gt;$AI644)) / CA644 / 1000</f>
        <v>0</v>
      </c>
      <c r="CC644" s="250">
        <f t="shared" si="634"/>
        <v>30</v>
      </c>
      <c r="CD644" s="237">
        <f t="shared" si="655"/>
        <v>43</v>
      </c>
      <c r="CE644" s="253">
        <f t="shared" si="656"/>
        <v>3.5018750000000001</v>
      </c>
      <c r="CF644" s="253" cm="1">
        <f t="array" ref="CF644">$BC644 * IF($AD644&lt;=2,
SUMPRODUCT(INDEX($AL$72:$AN$76,,$AE644), INDEX($AO$72:$AU$76,,$AD644), 1 / ($AV$72:$AV$76*CE644 + (1-$AV$72:$AV$76)*CA644), N($AK$72:$AK$76&gt;$AI644)),
SUMPRODUCT(INDEX($AL$67:$AN$76,,$AE644), INDEX($AO$67:$AU$76,,$AD644), 1 / ($AW$67:$AW$76*CE644 + (1-$AW$67:$AW$76)*CA644), N($AK$67:$AK$76&gt;$AI644))
) / 1000</f>
        <v>0</v>
      </c>
      <c r="CG644" s="250">
        <f t="shared" si="635"/>
        <v>25</v>
      </c>
      <c r="CH644" s="237">
        <f t="shared" si="657"/>
        <v>38</v>
      </c>
      <c r="CI644" s="253">
        <f t="shared" si="658"/>
        <v>4.0666935483870965</v>
      </c>
      <c r="CJ644" s="253" cm="1">
        <f t="array" ref="CJ644">$BC644 * IF($AD644&lt;=2,
SUMPRODUCT(INDEX($AL$67:$AN$71,,$AE644), INDEX($AO$67:$AU$71,,$AD644), 1 / ($AV$67:$AV$71*CI644 + (1-$AV$67:$AV$71)*CE644), N($AK$67:$AK$71&gt;$AI644)),
SUMPRODUCT(INDEX($AL$57:$AN$66,,$AE644), INDEX($AO$57:$AU$66,,$AD644), 1 / ($AW$57:$AW$66*CI644 + (1-$AW$57:$AW$66)*CE644), N($AK$57:$AK$66&gt;$AI644))
) / 1000</f>
        <v>0</v>
      </c>
      <c r="CK644" s="250">
        <f t="shared" si="636"/>
        <v>20</v>
      </c>
      <c r="CL644" s="237">
        <f t="shared" si="659"/>
        <v>33</v>
      </c>
      <c r="CM644" s="253">
        <f t="shared" si="660"/>
        <v>4.8487499999999999</v>
      </c>
      <c r="CN644" s="253" cm="1">
        <f t="array" ref="CN644">$BC644 * IF($AD644&lt;=2,
SUMPRODUCT(INDEX($AL$62:$AN$66,,$AE644), INDEX($AO$62:$AU$66,,$AD644), 1 / ($AV$62:$AV$66*CM644 + (1-$AV$62:$AV$66)*CI644), N($AK$62:$AK$66&gt;$AI644)),
SUMPRODUCT(INDEX($AL$47:$AN$56,,$AE644), INDEX($AO$47:$AU$56,,$AD644), 1 / ($AW$47:$AW$56*CM644 + (1-$AW$47:$AW$56)*CI644), N($AK$47:$AK$56&gt;$AI644))
) / 1000</f>
        <v>0</v>
      </c>
      <c r="CO644" s="253" cm="1">
        <f t="array" ref="CO644">$BC644 * IF($AD644&lt;=2,
SUMPRODUCT(INDEX($AL$23:$AN$61,,$AE644), INDEX($AO$23:$AU$61,,$AD644), 1 / ($AV$23:$AV$61*CM644), N($AK$23:$AK$61&gt;$AI644)),
SUMPRODUCT(INDEX($AL$23:$AN$46,,$AE644), INDEX($AO$23:$AU$46,,$AD644), 1 / ($AW$23:$AW$46*CM644), N($AK$23:$AK$46&gt;$AI644))
) / 1000</f>
        <v>0</v>
      </c>
      <c r="CP644" s="237">
        <f t="shared" si="661"/>
        <v>0</v>
      </c>
      <c r="CQ644" s="210"/>
    </row>
    <row r="645" spans="1:95" s="76" customFormat="1" ht="14.25" customHeight="1" x14ac:dyDescent="0.2">
      <c r="A645" s="238" t="b">
        <f t="shared" si="628"/>
        <v>0</v>
      </c>
      <c r="B645" s="239">
        <v>623</v>
      </c>
      <c r="C645" s="258"/>
      <c r="D645" s="258"/>
      <c r="E645" s="240"/>
      <c r="F645" s="241" t="str">
        <f>IF(ISBLANK(E645), "", VLOOKUP(E645, Z!$A$2:$C$4127, 3, FALSE))</f>
        <v/>
      </c>
      <c r="G645" s="242"/>
      <c r="H645" s="242"/>
      <c r="I645" s="243"/>
      <c r="J645" s="244"/>
      <c r="K645" s="259"/>
      <c r="L645" s="260"/>
      <c r="M645" s="247" t="str" cm="1">
        <f t="array" ref="M645">IF($K645&gt;0, INDEX(Clean,1+AG645,$C$1), "")</f>
        <v/>
      </c>
      <c r="N645" s="245"/>
      <c r="O645" s="245"/>
      <c r="P645" s="246"/>
      <c r="Q645" s="248">
        <f t="shared" si="638"/>
        <v>0</v>
      </c>
      <c r="R645" s="247" t="str" cm="1">
        <f t="array" ref="R645">IF($K645&gt;0, INDEX(Clean,1+AH645,$C$1), "")</f>
        <v/>
      </c>
      <c r="S645" s="245"/>
      <c r="T645" s="245"/>
      <c r="U645" s="246"/>
      <c r="V645" s="248">
        <f t="shared" si="639"/>
        <v>0</v>
      </c>
      <c r="W645" s="261"/>
      <c r="X645" s="258"/>
      <c r="Y645" s="240"/>
      <c r="Z645" s="241" t="str">
        <f>IF(ISBLANK(Y645), "", VLOOKUP(Y645, Z!$A$2:$C$4127, 3, FALSE))</f>
        <v/>
      </c>
      <c r="AA645" s="262"/>
      <c r="AB645" s="249">
        <f t="shared" si="637"/>
        <v>0</v>
      </c>
      <c r="AC645" s="210"/>
      <c r="AD645" s="236">
        <f t="shared" si="662"/>
        <v>1</v>
      </c>
      <c r="AE645" s="236">
        <f t="shared" si="663"/>
        <v>1</v>
      </c>
      <c r="AF645" s="236">
        <f t="shared" si="664"/>
        <v>0</v>
      </c>
      <c r="AG645" s="236">
        <v>1</v>
      </c>
      <c r="AH645" s="236">
        <v>0</v>
      </c>
      <c r="AI645" s="236">
        <f t="shared" si="640"/>
        <v>-100</v>
      </c>
      <c r="AJ645" s="210"/>
      <c r="AK645" s="254"/>
      <c r="AL645" s="254"/>
      <c r="AM645" s="255"/>
      <c r="AN645" s="255"/>
      <c r="AO645" s="255"/>
      <c r="AP645" s="255"/>
      <c r="AQ645" s="255"/>
      <c r="AR645" s="255"/>
      <c r="AS645" s="255"/>
      <c r="AT645" s="255"/>
      <c r="AU645" s="255"/>
      <c r="AV645" s="255"/>
      <c r="AW645" s="255"/>
      <c r="AX645" s="210"/>
      <c r="AY645" s="236" cm="1">
        <f t="array" ref="AY645">INDEX(Use, $AD645, 4)</f>
        <v>7</v>
      </c>
      <c r="AZ645" s="236">
        <f t="shared" si="641"/>
        <v>32</v>
      </c>
      <c r="BA645" s="236">
        <f t="shared" si="629"/>
        <v>13</v>
      </c>
      <c r="BB645" s="236">
        <f t="shared" si="630"/>
        <v>0</v>
      </c>
      <c r="BC645" s="252" cm="1">
        <f t="array" ref="BC645">K645/IF($L645&gt;0, INDEX($AO$23:$AU$77, $L645+20, $AD645), 1)</f>
        <v>0</v>
      </c>
      <c r="BD645" s="237">
        <f t="shared" si="642"/>
        <v>0</v>
      </c>
      <c r="BE645" s="236">
        <v>35</v>
      </c>
      <c r="BF645" s="237">
        <f t="shared" si="643"/>
        <v>52.55</v>
      </c>
      <c r="BG645" s="253">
        <f t="shared" si="644"/>
        <v>2.7676728869374316</v>
      </c>
      <c r="BH645" s="253" cm="1">
        <f t="array" ref="BH645">$BC645 * SUMPRODUCT(INDEX($AL$77:$AN$82,,$AE645),INDEX($AO$77:$AU$82,,$AD645), N($AK$77:$AK$82&gt;$AI645)) / BG645 / 1000</f>
        <v>0</v>
      </c>
      <c r="BI645" s="250">
        <f t="shared" si="631"/>
        <v>30</v>
      </c>
      <c r="BJ645" s="237">
        <f t="shared" si="645"/>
        <v>46.033333333333331</v>
      </c>
      <c r="BK645" s="253">
        <f t="shared" si="646"/>
        <v>3.2297395388556791</v>
      </c>
      <c r="BL645" s="253" cm="1">
        <f t="array" ref="BL645">$BC645 * IF($AD645&lt;=2,
SUMPRODUCT(INDEX($AL$72:$AN$76,,$AE645), INDEX($AO$72:$AU$76,,$AD645), 1 / ($AV$72:$AV$76*BK645 + (1-$AV$72:$AV$76)*BG645), N($AK$72:$AK$76&gt;$AI645)),
SUMPRODUCT(INDEX($AL$67:$AN$76,,$AE645), INDEX($AO$67:$AU$76,,$AD645), 1 / ($AW$67:$AW$76*BK645 + (1-$AW$67:$AW$76)*BG645), N($AK$67:$AK$76&gt;$AI645))
) / 1000</f>
        <v>0</v>
      </c>
      <c r="BM645" s="250">
        <f t="shared" si="632"/>
        <v>25</v>
      </c>
      <c r="BN645" s="237">
        <f t="shared" si="647"/>
        <v>39.516666666666666</v>
      </c>
      <c r="BO645" s="253">
        <f t="shared" si="648"/>
        <v>3.877011788826243</v>
      </c>
      <c r="BP645" s="253" cm="1">
        <f t="array" ref="BP645">$BC645 * IF($AD645&lt;=2,
SUMPRODUCT(INDEX($AL$67:$AN$71,,$AE645), INDEX($AO$67:$AU$71,,$AD645), 1 / ($AV$67:$AV$71*BO645 + (1-$AV$67:$AV$71)*BK645), N($AK$67:$AK$71&gt;$AI645)),
SUMPRODUCT(INDEX($AL$57:$AN$66,,$AE645), INDEX($AO$57:$AU$66,,$AD645), 1 / ($AW$57:$AW$66*BO645 + (1-$AW$57:$AW$66)*BK645), N($AK$57:$AK$66&gt;$AI645))
) / 1000</f>
        <v>0</v>
      </c>
      <c r="BQ645" s="250">
        <f t="shared" si="633"/>
        <v>20</v>
      </c>
      <c r="BR645" s="237">
        <f t="shared" si="649"/>
        <v>33</v>
      </c>
      <c r="BS645" s="253">
        <f t="shared" si="650"/>
        <v>4.8487499999999999</v>
      </c>
      <c r="BT645" s="253" cm="1">
        <f t="array" ref="BT645">$BC645 * IF($AD645&lt;=2,
SUMPRODUCT(INDEX($AL$62:$AN$66,,$AE645), INDEX($AO$62:$AU$66,,$AD645), 1 / ($AV$62:$AV$66*BS645 + (1-$AV$62:$AV$66)*BO645), N($AK$62:$AK$66&gt;$AI645)),
SUMPRODUCT(INDEX($AL$47:$AN$56,,$AE645), INDEX($AO$47:$AU$56,,$AD645), 1 / ($AW$47:$AW$56*BS645 + (1-$AW$47:$AW$56)*BO645), N($AK$47:$AK$56&gt;$AI645))
) / 1000</f>
        <v>0</v>
      </c>
      <c r="BU645" s="253" cm="1">
        <f t="array" ref="BU645">$BC645 * IF($AD645&lt;=2,
SUMPRODUCT(INDEX($AL$23:$AN$61,,$AE645), INDEX($AO$23:$AU$61,,$AD645), 1 / ($AV$23:$AV$61*BS645), N($AK$23:$AK$61&gt;$AI645)),
SUMPRODUCT(INDEX($AL$23:$AN$46,,$AE645), INDEX($AO$23:$AU$46,,$AD645), 1 / ($AW$23:$AW$46*BS645), N($AK$23:$AK$46&gt;$AI645))
) / 1000</f>
        <v>0</v>
      </c>
      <c r="BV645" s="237">
        <f t="shared" si="651"/>
        <v>0</v>
      </c>
      <c r="BW645" s="210"/>
      <c r="BX645" s="237">
        <f t="shared" si="652"/>
        <v>0</v>
      </c>
      <c r="BY645" s="236">
        <v>35</v>
      </c>
      <c r="BZ645" s="237">
        <f t="shared" si="653"/>
        <v>48</v>
      </c>
      <c r="CA645" s="253">
        <f t="shared" si="654"/>
        <v>3.0748170731707316</v>
      </c>
      <c r="CB645" s="253" cm="1">
        <f t="array" ref="CB645">$BC645 * SUMPRODUCT(INDEX($AL$77:$AN$82,,$AE645),INDEX($AO$77:$AU$82,,$AD645), N($AK$77:$AK$82&gt;$AI645)) / CA645 / 1000</f>
        <v>0</v>
      </c>
      <c r="CC645" s="250">
        <f t="shared" si="634"/>
        <v>30</v>
      </c>
      <c r="CD645" s="237">
        <f t="shared" si="655"/>
        <v>43</v>
      </c>
      <c r="CE645" s="253">
        <f t="shared" si="656"/>
        <v>3.5018750000000001</v>
      </c>
      <c r="CF645" s="253" cm="1">
        <f t="array" ref="CF645">$BC645 * IF($AD645&lt;=2,
SUMPRODUCT(INDEX($AL$72:$AN$76,,$AE645), INDEX($AO$72:$AU$76,,$AD645), 1 / ($AV$72:$AV$76*CE645 + (1-$AV$72:$AV$76)*CA645), N($AK$72:$AK$76&gt;$AI645)),
SUMPRODUCT(INDEX($AL$67:$AN$76,,$AE645), INDEX($AO$67:$AU$76,,$AD645), 1 / ($AW$67:$AW$76*CE645 + (1-$AW$67:$AW$76)*CA645), N($AK$67:$AK$76&gt;$AI645))
) / 1000</f>
        <v>0</v>
      </c>
      <c r="CG645" s="250">
        <f t="shared" si="635"/>
        <v>25</v>
      </c>
      <c r="CH645" s="237">
        <f t="shared" si="657"/>
        <v>38</v>
      </c>
      <c r="CI645" s="253">
        <f t="shared" si="658"/>
        <v>4.0666935483870965</v>
      </c>
      <c r="CJ645" s="253" cm="1">
        <f t="array" ref="CJ645">$BC645 * IF($AD645&lt;=2,
SUMPRODUCT(INDEX($AL$67:$AN$71,,$AE645), INDEX($AO$67:$AU$71,,$AD645), 1 / ($AV$67:$AV$71*CI645 + (1-$AV$67:$AV$71)*CE645), N($AK$67:$AK$71&gt;$AI645)),
SUMPRODUCT(INDEX($AL$57:$AN$66,,$AE645), INDEX($AO$57:$AU$66,,$AD645), 1 / ($AW$57:$AW$66*CI645 + (1-$AW$57:$AW$66)*CE645), N($AK$57:$AK$66&gt;$AI645))
) / 1000</f>
        <v>0</v>
      </c>
      <c r="CK645" s="250">
        <f t="shared" si="636"/>
        <v>20</v>
      </c>
      <c r="CL645" s="237">
        <f t="shared" si="659"/>
        <v>33</v>
      </c>
      <c r="CM645" s="253">
        <f t="shared" si="660"/>
        <v>4.8487499999999999</v>
      </c>
      <c r="CN645" s="253" cm="1">
        <f t="array" ref="CN645">$BC645 * IF($AD645&lt;=2,
SUMPRODUCT(INDEX($AL$62:$AN$66,,$AE645), INDEX($AO$62:$AU$66,,$AD645), 1 / ($AV$62:$AV$66*CM645 + (1-$AV$62:$AV$66)*CI645), N($AK$62:$AK$66&gt;$AI645)),
SUMPRODUCT(INDEX($AL$47:$AN$56,,$AE645), INDEX($AO$47:$AU$56,,$AD645), 1 / ($AW$47:$AW$56*CM645 + (1-$AW$47:$AW$56)*CI645), N($AK$47:$AK$56&gt;$AI645))
) / 1000</f>
        <v>0</v>
      </c>
      <c r="CO645" s="253" cm="1">
        <f t="array" ref="CO645">$BC645 * IF($AD645&lt;=2,
SUMPRODUCT(INDEX($AL$23:$AN$61,,$AE645), INDEX($AO$23:$AU$61,,$AD645), 1 / ($AV$23:$AV$61*CM645), N($AK$23:$AK$61&gt;$AI645)),
SUMPRODUCT(INDEX($AL$23:$AN$46,,$AE645), INDEX($AO$23:$AU$46,,$AD645), 1 / ($AW$23:$AW$46*CM645), N($AK$23:$AK$46&gt;$AI645))
) / 1000</f>
        <v>0</v>
      </c>
      <c r="CP645" s="237">
        <f t="shared" si="661"/>
        <v>0</v>
      </c>
      <c r="CQ645" s="210"/>
    </row>
    <row r="646" spans="1:95" s="76" customFormat="1" ht="14.25" customHeight="1" x14ac:dyDescent="0.2">
      <c r="A646" s="238" t="b">
        <f t="shared" si="628"/>
        <v>0</v>
      </c>
      <c r="B646" s="239">
        <v>624</v>
      </c>
      <c r="C646" s="258"/>
      <c r="D646" s="258"/>
      <c r="E646" s="240"/>
      <c r="F646" s="241" t="str">
        <f>IF(ISBLANK(E646), "", VLOOKUP(E646, Z!$A$2:$C$4127, 3, FALSE))</f>
        <v/>
      </c>
      <c r="G646" s="242"/>
      <c r="H646" s="242"/>
      <c r="I646" s="243"/>
      <c r="J646" s="244"/>
      <c r="K646" s="259"/>
      <c r="L646" s="260"/>
      <c r="M646" s="247" t="str" cm="1">
        <f t="array" ref="M646">IF($K646&gt;0, INDEX(Clean,1+AG646,$C$1), "")</f>
        <v/>
      </c>
      <c r="N646" s="245"/>
      <c r="O646" s="245"/>
      <c r="P646" s="246"/>
      <c r="Q646" s="248">
        <f t="shared" si="638"/>
        <v>0</v>
      </c>
      <c r="R646" s="247" t="str" cm="1">
        <f t="array" ref="R646">IF($K646&gt;0, INDEX(Clean,1+AH646,$C$1), "")</f>
        <v/>
      </c>
      <c r="S646" s="245"/>
      <c r="T646" s="245"/>
      <c r="U646" s="246"/>
      <c r="V646" s="248">
        <f t="shared" si="639"/>
        <v>0</v>
      </c>
      <c r="W646" s="261"/>
      <c r="X646" s="258"/>
      <c r="Y646" s="240"/>
      <c r="Z646" s="241" t="str">
        <f>IF(ISBLANK(Y646), "", VLOOKUP(Y646, Z!$A$2:$C$4127, 3, FALSE))</f>
        <v/>
      </c>
      <c r="AA646" s="262"/>
      <c r="AB646" s="249">
        <f t="shared" si="637"/>
        <v>0</v>
      </c>
      <c r="AC646" s="210"/>
      <c r="AD646" s="236">
        <f t="shared" si="662"/>
        <v>1</v>
      </c>
      <c r="AE646" s="236">
        <f t="shared" si="663"/>
        <v>1</v>
      </c>
      <c r="AF646" s="236">
        <f t="shared" si="664"/>
        <v>0</v>
      </c>
      <c r="AG646" s="236">
        <v>1</v>
      </c>
      <c r="AH646" s="236">
        <v>0</v>
      </c>
      <c r="AI646" s="236">
        <f t="shared" si="640"/>
        <v>-100</v>
      </c>
      <c r="AJ646" s="210"/>
      <c r="AK646" s="254"/>
      <c r="AL646" s="254"/>
      <c r="AM646" s="255"/>
      <c r="AN646" s="255"/>
      <c r="AO646" s="255"/>
      <c r="AP646" s="255"/>
      <c r="AQ646" s="255"/>
      <c r="AR646" s="255"/>
      <c r="AS646" s="255"/>
      <c r="AT646" s="255"/>
      <c r="AU646" s="255"/>
      <c r="AV646" s="255"/>
      <c r="AW646" s="255"/>
      <c r="AX646" s="210"/>
      <c r="AY646" s="236" cm="1">
        <f t="array" ref="AY646">INDEX(Use, $AD646, 4)</f>
        <v>7</v>
      </c>
      <c r="AZ646" s="236">
        <f t="shared" si="641"/>
        <v>32</v>
      </c>
      <c r="BA646" s="236">
        <f t="shared" si="629"/>
        <v>13</v>
      </c>
      <c r="BB646" s="236">
        <f t="shared" si="630"/>
        <v>0</v>
      </c>
      <c r="BC646" s="252" cm="1">
        <f t="array" ref="BC646">K646/IF($L646&gt;0, INDEX($AO$23:$AU$77, $L646+20, $AD646), 1)</f>
        <v>0</v>
      </c>
      <c r="BD646" s="237">
        <f t="shared" si="642"/>
        <v>0</v>
      </c>
      <c r="BE646" s="236">
        <v>35</v>
      </c>
      <c r="BF646" s="237">
        <f t="shared" si="643"/>
        <v>52.55</v>
      </c>
      <c r="BG646" s="253">
        <f t="shared" si="644"/>
        <v>2.7676728869374316</v>
      </c>
      <c r="BH646" s="253" cm="1">
        <f t="array" ref="BH646">$BC646 * SUMPRODUCT(INDEX($AL$77:$AN$82,,$AE646),INDEX($AO$77:$AU$82,,$AD646), N($AK$77:$AK$82&gt;$AI646)) / BG646 / 1000</f>
        <v>0</v>
      </c>
      <c r="BI646" s="250">
        <f t="shared" si="631"/>
        <v>30</v>
      </c>
      <c r="BJ646" s="237">
        <f t="shared" si="645"/>
        <v>46.033333333333331</v>
      </c>
      <c r="BK646" s="253">
        <f t="shared" si="646"/>
        <v>3.2297395388556791</v>
      </c>
      <c r="BL646" s="253" cm="1">
        <f t="array" ref="BL646">$BC646 * IF($AD646&lt;=2,
SUMPRODUCT(INDEX($AL$72:$AN$76,,$AE646), INDEX($AO$72:$AU$76,,$AD646), 1 / ($AV$72:$AV$76*BK646 + (1-$AV$72:$AV$76)*BG646), N($AK$72:$AK$76&gt;$AI646)),
SUMPRODUCT(INDEX($AL$67:$AN$76,,$AE646), INDEX($AO$67:$AU$76,,$AD646), 1 / ($AW$67:$AW$76*BK646 + (1-$AW$67:$AW$76)*BG646), N($AK$67:$AK$76&gt;$AI646))
) / 1000</f>
        <v>0</v>
      </c>
      <c r="BM646" s="250">
        <f t="shared" si="632"/>
        <v>25</v>
      </c>
      <c r="BN646" s="237">
        <f t="shared" si="647"/>
        <v>39.516666666666666</v>
      </c>
      <c r="BO646" s="253">
        <f t="shared" si="648"/>
        <v>3.877011788826243</v>
      </c>
      <c r="BP646" s="253" cm="1">
        <f t="array" ref="BP646">$BC646 * IF($AD646&lt;=2,
SUMPRODUCT(INDEX($AL$67:$AN$71,,$AE646), INDEX($AO$67:$AU$71,,$AD646), 1 / ($AV$67:$AV$71*BO646 + (1-$AV$67:$AV$71)*BK646), N($AK$67:$AK$71&gt;$AI646)),
SUMPRODUCT(INDEX($AL$57:$AN$66,,$AE646), INDEX($AO$57:$AU$66,,$AD646), 1 / ($AW$57:$AW$66*BO646 + (1-$AW$57:$AW$66)*BK646), N($AK$57:$AK$66&gt;$AI646))
) / 1000</f>
        <v>0</v>
      </c>
      <c r="BQ646" s="250">
        <f t="shared" si="633"/>
        <v>20</v>
      </c>
      <c r="BR646" s="237">
        <f t="shared" si="649"/>
        <v>33</v>
      </c>
      <c r="BS646" s="253">
        <f t="shared" si="650"/>
        <v>4.8487499999999999</v>
      </c>
      <c r="BT646" s="253" cm="1">
        <f t="array" ref="BT646">$BC646 * IF($AD646&lt;=2,
SUMPRODUCT(INDEX($AL$62:$AN$66,,$AE646), INDEX($AO$62:$AU$66,,$AD646), 1 / ($AV$62:$AV$66*BS646 + (1-$AV$62:$AV$66)*BO646), N($AK$62:$AK$66&gt;$AI646)),
SUMPRODUCT(INDEX($AL$47:$AN$56,,$AE646), INDEX($AO$47:$AU$56,,$AD646), 1 / ($AW$47:$AW$56*BS646 + (1-$AW$47:$AW$56)*BO646), N($AK$47:$AK$56&gt;$AI646))
) / 1000</f>
        <v>0</v>
      </c>
      <c r="BU646" s="253" cm="1">
        <f t="array" ref="BU646">$BC646 * IF($AD646&lt;=2,
SUMPRODUCT(INDEX($AL$23:$AN$61,,$AE646), INDEX($AO$23:$AU$61,,$AD646), 1 / ($AV$23:$AV$61*BS646), N($AK$23:$AK$61&gt;$AI646)),
SUMPRODUCT(INDEX($AL$23:$AN$46,,$AE646), INDEX($AO$23:$AU$46,,$AD646), 1 / ($AW$23:$AW$46*BS646), N($AK$23:$AK$46&gt;$AI646))
) / 1000</f>
        <v>0</v>
      </c>
      <c r="BV646" s="237">
        <f t="shared" si="651"/>
        <v>0</v>
      </c>
      <c r="BW646" s="210"/>
      <c r="BX646" s="237">
        <f t="shared" si="652"/>
        <v>0</v>
      </c>
      <c r="BY646" s="236">
        <v>35</v>
      </c>
      <c r="BZ646" s="237">
        <f t="shared" si="653"/>
        <v>48</v>
      </c>
      <c r="CA646" s="253">
        <f t="shared" si="654"/>
        <v>3.0748170731707316</v>
      </c>
      <c r="CB646" s="253" cm="1">
        <f t="array" ref="CB646">$BC646 * SUMPRODUCT(INDEX($AL$77:$AN$82,,$AE646),INDEX($AO$77:$AU$82,,$AD646), N($AK$77:$AK$82&gt;$AI646)) / CA646 / 1000</f>
        <v>0</v>
      </c>
      <c r="CC646" s="250">
        <f t="shared" si="634"/>
        <v>30</v>
      </c>
      <c r="CD646" s="237">
        <f t="shared" si="655"/>
        <v>43</v>
      </c>
      <c r="CE646" s="253">
        <f t="shared" si="656"/>
        <v>3.5018750000000001</v>
      </c>
      <c r="CF646" s="253" cm="1">
        <f t="array" ref="CF646">$BC646 * IF($AD646&lt;=2,
SUMPRODUCT(INDEX($AL$72:$AN$76,,$AE646), INDEX($AO$72:$AU$76,,$AD646), 1 / ($AV$72:$AV$76*CE646 + (1-$AV$72:$AV$76)*CA646), N($AK$72:$AK$76&gt;$AI646)),
SUMPRODUCT(INDEX($AL$67:$AN$76,,$AE646), INDEX($AO$67:$AU$76,,$AD646), 1 / ($AW$67:$AW$76*CE646 + (1-$AW$67:$AW$76)*CA646), N($AK$67:$AK$76&gt;$AI646))
) / 1000</f>
        <v>0</v>
      </c>
      <c r="CG646" s="250">
        <f t="shared" si="635"/>
        <v>25</v>
      </c>
      <c r="CH646" s="237">
        <f t="shared" si="657"/>
        <v>38</v>
      </c>
      <c r="CI646" s="253">
        <f t="shared" si="658"/>
        <v>4.0666935483870965</v>
      </c>
      <c r="CJ646" s="253" cm="1">
        <f t="array" ref="CJ646">$BC646 * IF($AD646&lt;=2,
SUMPRODUCT(INDEX($AL$67:$AN$71,,$AE646), INDEX($AO$67:$AU$71,,$AD646), 1 / ($AV$67:$AV$71*CI646 + (1-$AV$67:$AV$71)*CE646), N($AK$67:$AK$71&gt;$AI646)),
SUMPRODUCT(INDEX($AL$57:$AN$66,,$AE646), INDEX($AO$57:$AU$66,,$AD646), 1 / ($AW$57:$AW$66*CI646 + (1-$AW$57:$AW$66)*CE646), N($AK$57:$AK$66&gt;$AI646))
) / 1000</f>
        <v>0</v>
      </c>
      <c r="CK646" s="250">
        <f t="shared" si="636"/>
        <v>20</v>
      </c>
      <c r="CL646" s="237">
        <f t="shared" si="659"/>
        <v>33</v>
      </c>
      <c r="CM646" s="253">
        <f t="shared" si="660"/>
        <v>4.8487499999999999</v>
      </c>
      <c r="CN646" s="253" cm="1">
        <f t="array" ref="CN646">$BC646 * IF($AD646&lt;=2,
SUMPRODUCT(INDEX($AL$62:$AN$66,,$AE646), INDEX($AO$62:$AU$66,,$AD646), 1 / ($AV$62:$AV$66*CM646 + (1-$AV$62:$AV$66)*CI646), N($AK$62:$AK$66&gt;$AI646)),
SUMPRODUCT(INDEX($AL$47:$AN$56,,$AE646), INDEX($AO$47:$AU$56,,$AD646), 1 / ($AW$47:$AW$56*CM646 + (1-$AW$47:$AW$56)*CI646), N($AK$47:$AK$56&gt;$AI646))
) / 1000</f>
        <v>0</v>
      </c>
      <c r="CO646" s="253" cm="1">
        <f t="array" ref="CO646">$BC646 * IF($AD646&lt;=2,
SUMPRODUCT(INDEX($AL$23:$AN$61,,$AE646), INDEX($AO$23:$AU$61,,$AD646), 1 / ($AV$23:$AV$61*CM646), N($AK$23:$AK$61&gt;$AI646)),
SUMPRODUCT(INDEX($AL$23:$AN$46,,$AE646), INDEX($AO$23:$AU$46,,$AD646), 1 / ($AW$23:$AW$46*CM646), N($AK$23:$AK$46&gt;$AI646))
) / 1000</f>
        <v>0</v>
      </c>
      <c r="CP646" s="237">
        <f t="shared" si="661"/>
        <v>0</v>
      </c>
      <c r="CQ646" s="210"/>
    </row>
    <row r="647" spans="1:95" s="76" customFormat="1" ht="14.25" customHeight="1" x14ac:dyDescent="0.2">
      <c r="A647" s="238" t="b">
        <f t="shared" si="628"/>
        <v>0</v>
      </c>
      <c r="B647" s="239">
        <v>625</v>
      </c>
      <c r="C647" s="258"/>
      <c r="D647" s="258"/>
      <c r="E647" s="240"/>
      <c r="F647" s="241" t="str">
        <f>IF(ISBLANK(E647), "", VLOOKUP(E647, Z!$A$2:$C$4127, 3, FALSE))</f>
        <v/>
      </c>
      <c r="G647" s="242"/>
      <c r="H647" s="242"/>
      <c r="I647" s="243"/>
      <c r="J647" s="244"/>
      <c r="K647" s="259"/>
      <c r="L647" s="260"/>
      <c r="M647" s="247" t="str" cm="1">
        <f t="array" ref="M647">IF($K647&gt;0, INDEX(Clean,1+AG647,$C$1), "")</f>
        <v/>
      </c>
      <c r="N647" s="245"/>
      <c r="O647" s="245"/>
      <c r="P647" s="246"/>
      <c r="Q647" s="248">
        <f t="shared" si="638"/>
        <v>0</v>
      </c>
      <c r="R647" s="247" t="str" cm="1">
        <f t="array" ref="R647">IF($K647&gt;0, INDEX(Clean,1+AH647,$C$1), "")</f>
        <v/>
      </c>
      <c r="S647" s="245"/>
      <c r="T647" s="245"/>
      <c r="U647" s="246"/>
      <c r="V647" s="248">
        <f t="shared" si="639"/>
        <v>0</v>
      </c>
      <c r="W647" s="261"/>
      <c r="X647" s="258"/>
      <c r="Y647" s="240"/>
      <c r="Z647" s="241" t="str">
        <f>IF(ISBLANK(Y647), "", VLOOKUP(Y647, Z!$A$2:$C$4127, 3, FALSE))</f>
        <v/>
      </c>
      <c r="AA647" s="262"/>
      <c r="AB647" s="249">
        <f t="shared" si="637"/>
        <v>0</v>
      </c>
      <c r="AC647" s="210"/>
      <c r="AD647" s="236">
        <f t="shared" si="662"/>
        <v>1</v>
      </c>
      <c r="AE647" s="236">
        <f t="shared" si="663"/>
        <v>1</v>
      </c>
      <c r="AF647" s="236">
        <f t="shared" si="664"/>
        <v>0</v>
      </c>
      <c r="AG647" s="236">
        <v>1</v>
      </c>
      <c r="AH647" s="236">
        <v>0</v>
      </c>
      <c r="AI647" s="236">
        <f t="shared" si="640"/>
        <v>-100</v>
      </c>
      <c r="AJ647" s="210"/>
      <c r="AK647" s="254"/>
      <c r="AL647" s="254"/>
      <c r="AM647" s="255"/>
      <c r="AN647" s="255"/>
      <c r="AO647" s="255"/>
      <c r="AP647" s="255"/>
      <c r="AQ647" s="255"/>
      <c r="AR647" s="255"/>
      <c r="AS647" s="255"/>
      <c r="AT647" s="255"/>
      <c r="AU647" s="255"/>
      <c r="AV647" s="255"/>
      <c r="AW647" s="255"/>
      <c r="AX647" s="210"/>
      <c r="AY647" s="236" cm="1">
        <f t="array" ref="AY647">INDEX(Use, $AD647, 4)</f>
        <v>7</v>
      </c>
      <c r="AZ647" s="236">
        <f t="shared" si="641"/>
        <v>32</v>
      </c>
      <c r="BA647" s="236">
        <f t="shared" si="629"/>
        <v>13</v>
      </c>
      <c r="BB647" s="236">
        <f t="shared" si="630"/>
        <v>0</v>
      </c>
      <c r="BC647" s="252" cm="1">
        <f t="array" ref="BC647">K647/IF($L647&gt;0, INDEX($AO$23:$AU$77, $L647+20, $AD647), 1)</f>
        <v>0</v>
      </c>
      <c r="BD647" s="237">
        <f t="shared" si="642"/>
        <v>0</v>
      </c>
      <c r="BE647" s="236">
        <v>35</v>
      </c>
      <c r="BF647" s="237">
        <f t="shared" si="643"/>
        <v>52.55</v>
      </c>
      <c r="BG647" s="253">
        <f t="shared" si="644"/>
        <v>2.7676728869374316</v>
      </c>
      <c r="BH647" s="253" cm="1">
        <f t="array" ref="BH647">$BC647 * SUMPRODUCT(INDEX($AL$77:$AN$82,,$AE647),INDEX($AO$77:$AU$82,,$AD647), N($AK$77:$AK$82&gt;$AI647)) / BG647 / 1000</f>
        <v>0</v>
      </c>
      <c r="BI647" s="250">
        <f t="shared" si="631"/>
        <v>30</v>
      </c>
      <c r="BJ647" s="237">
        <f t="shared" si="645"/>
        <v>46.033333333333331</v>
      </c>
      <c r="BK647" s="253">
        <f t="shared" si="646"/>
        <v>3.2297395388556791</v>
      </c>
      <c r="BL647" s="253" cm="1">
        <f t="array" ref="BL647">$BC647 * IF($AD647&lt;=2,
SUMPRODUCT(INDEX($AL$72:$AN$76,,$AE647), INDEX($AO$72:$AU$76,,$AD647), 1 / ($AV$72:$AV$76*BK647 + (1-$AV$72:$AV$76)*BG647), N($AK$72:$AK$76&gt;$AI647)),
SUMPRODUCT(INDEX($AL$67:$AN$76,,$AE647), INDEX($AO$67:$AU$76,,$AD647), 1 / ($AW$67:$AW$76*BK647 + (1-$AW$67:$AW$76)*BG647), N($AK$67:$AK$76&gt;$AI647))
) / 1000</f>
        <v>0</v>
      </c>
      <c r="BM647" s="250">
        <f t="shared" si="632"/>
        <v>25</v>
      </c>
      <c r="BN647" s="237">
        <f t="shared" si="647"/>
        <v>39.516666666666666</v>
      </c>
      <c r="BO647" s="253">
        <f t="shared" si="648"/>
        <v>3.877011788826243</v>
      </c>
      <c r="BP647" s="253" cm="1">
        <f t="array" ref="BP647">$BC647 * IF($AD647&lt;=2,
SUMPRODUCT(INDEX($AL$67:$AN$71,,$AE647), INDEX($AO$67:$AU$71,,$AD647), 1 / ($AV$67:$AV$71*BO647 + (1-$AV$67:$AV$71)*BK647), N($AK$67:$AK$71&gt;$AI647)),
SUMPRODUCT(INDEX($AL$57:$AN$66,,$AE647), INDEX($AO$57:$AU$66,,$AD647), 1 / ($AW$57:$AW$66*BO647 + (1-$AW$57:$AW$66)*BK647), N($AK$57:$AK$66&gt;$AI647))
) / 1000</f>
        <v>0</v>
      </c>
      <c r="BQ647" s="250">
        <f t="shared" si="633"/>
        <v>20</v>
      </c>
      <c r="BR647" s="237">
        <f t="shared" si="649"/>
        <v>33</v>
      </c>
      <c r="BS647" s="253">
        <f t="shared" si="650"/>
        <v>4.8487499999999999</v>
      </c>
      <c r="BT647" s="253" cm="1">
        <f t="array" ref="BT647">$BC647 * IF($AD647&lt;=2,
SUMPRODUCT(INDEX($AL$62:$AN$66,,$AE647), INDEX($AO$62:$AU$66,,$AD647), 1 / ($AV$62:$AV$66*BS647 + (1-$AV$62:$AV$66)*BO647), N($AK$62:$AK$66&gt;$AI647)),
SUMPRODUCT(INDEX($AL$47:$AN$56,,$AE647), INDEX($AO$47:$AU$56,,$AD647), 1 / ($AW$47:$AW$56*BS647 + (1-$AW$47:$AW$56)*BO647), N($AK$47:$AK$56&gt;$AI647))
) / 1000</f>
        <v>0</v>
      </c>
      <c r="BU647" s="253" cm="1">
        <f t="array" ref="BU647">$BC647 * IF($AD647&lt;=2,
SUMPRODUCT(INDEX($AL$23:$AN$61,,$AE647), INDEX($AO$23:$AU$61,,$AD647), 1 / ($AV$23:$AV$61*BS647), N($AK$23:$AK$61&gt;$AI647)),
SUMPRODUCT(INDEX($AL$23:$AN$46,,$AE647), INDEX($AO$23:$AU$46,,$AD647), 1 / ($AW$23:$AW$46*BS647), N($AK$23:$AK$46&gt;$AI647))
) / 1000</f>
        <v>0</v>
      </c>
      <c r="BV647" s="237">
        <f t="shared" si="651"/>
        <v>0</v>
      </c>
      <c r="BW647" s="210"/>
      <c r="BX647" s="237">
        <f t="shared" si="652"/>
        <v>0</v>
      </c>
      <c r="BY647" s="236">
        <v>35</v>
      </c>
      <c r="BZ647" s="237">
        <f t="shared" si="653"/>
        <v>48</v>
      </c>
      <c r="CA647" s="253">
        <f t="shared" si="654"/>
        <v>3.0748170731707316</v>
      </c>
      <c r="CB647" s="253" cm="1">
        <f t="array" ref="CB647">$BC647 * SUMPRODUCT(INDEX($AL$77:$AN$82,,$AE647),INDEX($AO$77:$AU$82,,$AD647), N($AK$77:$AK$82&gt;$AI647)) / CA647 / 1000</f>
        <v>0</v>
      </c>
      <c r="CC647" s="250">
        <f t="shared" si="634"/>
        <v>30</v>
      </c>
      <c r="CD647" s="237">
        <f t="shared" si="655"/>
        <v>43</v>
      </c>
      <c r="CE647" s="253">
        <f t="shared" si="656"/>
        <v>3.5018750000000001</v>
      </c>
      <c r="CF647" s="253" cm="1">
        <f t="array" ref="CF647">$BC647 * IF($AD647&lt;=2,
SUMPRODUCT(INDEX($AL$72:$AN$76,,$AE647), INDEX($AO$72:$AU$76,,$AD647), 1 / ($AV$72:$AV$76*CE647 + (1-$AV$72:$AV$76)*CA647), N($AK$72:$AK$76&gt;$AI647)),
SUMPRODUCT(INDEX($AL$67:$AN$76,,$AE647), INDEX($AO$67:$AU$76,,$AD647), 1 / ($AW$67:$AW$76*CE647 + (1-$AW$67:$AW$76)*CA647), N($AK$67:$AK$76&gt;$AI647))
) / 1000</f>
        <v>0</v>
      </c>
      <c r="CG647" s="250">
        <f t="shared" si="635"/>
        <v>25</v>
      </c>
      <c r="CH647" s="237">
        <f t="shared" si="657"/>
        <v>38</v>
      </c>
      <c r="CI647" s="253">
        <f t="shared" si="658"/>
        <v>4.0666935483870965</v>
      </c>
      <c r="CJ647" s="253" cm="1">
        <f t="array" ref="CJ647">$BC647 * IF($AD647&lt;=2,
SUMPRODUCT(INDEX($AL$67:$AN$71,,$AE647), INDEX($AO$67:$AU$71,,$AD647), 1 / ($AV$67:$AV$71*CI647 + (1-$AV$67:$AV$71)*CE647), N($AK$67:$AK$71&gt;$AI647)),
SUMPRODUCT(INDEX($AL$57:$AN$66,,$AE647), INDEX($AO$57:$AU$66,,$AD647), 1 / ($AW$57:$AW$66*CI647 + (1-$AW$57:$AW$66)*CE647), N($AK$57:$AK$66&gt;$AI647))
) / 1000</f>
        <v>0</v>
      </c>
      <c r="CK647" s="250">
        <f t="shared" si="636"/>
        <v>20</v>
      </c>
      <c r="CL647" s="237">
        <f t="shared" si="659"/>
        <v>33</v>
      </c>
      <c r="CM647" s="253">
        <f t="shared" si="660"/>
        <v>4.8487499999999999</v>
      </c>
      <c r="CN647" s="253" cm="1">
        <f t="array" ref="CN647">$BC647 * IF($AD647&lt;=2,
SUMPRODUCT(INDEX($AL$62:$AN$66,,$AE647), INDEX($AO$62:$AU$66,,$AD647), 1 / ($AV$62:$AV$66*CM647 + (1-$AV$62:$AV$66)*CI647), N($AK$62:$AK$66&gt;$AI647)),
SUMPRODUCT(INDEX($AL$47:$AN$56,,$AE647), INDEX($AO$47:$AU$56,,$AD647), 1 / ($AW$47:$AW$56*CM647 + (1-$AW$47:$AW$56)*CI647), N($AK$47:$AK$56&gt;$AI647))
) / 1000</f>
        <v>0</v>
      </c>
      <c r="CO647" s="253" cm="1">
        <f t="array" ref="CO647">$BC647 * IF($AD647&lt;=2,
SUMPRODUCT(INDEX($AL$23:$AN$61,,$AE647), INDEX($AO$23:$AU$61,,$AD647), 1 / ($AV$23:$AV$61*CM647), N($AK$23:$AK$61&gt;$AI647)),
SUMPRODUCT(INDEX($AL$23:$AN$46,,$AE647), INDEX($AO$23:$AU$46,,$AD647), 1 / ($AW$23:$AW$46*CM647), N($AK$23:$AK$46&gt;$AI647))
) / 1000</f>
        <v>0</v>
      </c>
      <c r="CP647" s="237">
        <f t="shared" si="661"/>
        <v>0</v>
      </c>
      <c r="CQ647" s="210"/>
    </row>
    <row r="648" spans="1:95" s="76" customFormat="1" ht="14.25" customHeight="1" x14ac:dyDescent="0.2">
      <c r="A648" s="238" t="b">
        <f t="shared" si="628"/>
        <v>0</v>
      </c>
      <c r="B648" s="239">
        <v>626</v>
      </c>
      <c r="C648" s="258"/>
      <c r="D648" s="258"/>
      <c r="E648" s="240"/>
      <c r="F648" s="241" t="str">
        <f>IF(ISBLANK(E648), "", VLOOKUP(E648, Z!$A$2:$C$4127, 3, FALSE))</f>
        <v/>
      </c>
      <c r="G648" s="242"/>
      <c r="H648" s="242"/>
      <c r="I648" s="243"/>
      <c r="J648" s="244"/>
      <c r="K648" s="259"/>
      <c r="L648" s="260"/>
      <c r="M648" s="247" t="str" cm="1">
        <f t="array" ref="M648">IF($K648&gt;0, INDEX(Clean,1+AG648,$C$1), "")</f>
        <v/>
      </c>
      <c r="N648" s="245"/>
      <c r="O648" s="245"/>
      <c r="P648" s="246"/>
      <c r="Q648" s="248">
        <f t="shared" si="638"/>
        <v>0</v>
      </c>
      <c r="R648" s="247" t="str" cm="1">
        <f t="array" ref="R648">IF($K648&gt;0, INDEX(Clean,1+AH648,$C$1), "")</f>
        <v/>
      </c>
      <c r="S648" s="245"/>
      <c r="T648" s="245"/>
      <c r="U648" s="246"/>
      <c r="V648" s="248">
        <f t="shared" si="639"/>
        <v>0</v>
      </c>
      <c r="W648" s="261"/>
      <c r="X648" s="258"/>
      <c r="Y648" s="240"/>
      <c r="Z648" s="241" t="str">
        <f>IF(ISBLANK(Y648), "", VLOOKUP(Y648, Z!$A$2:$C$4127, 3, FALSE))</f>
        <v/>
      </c>
      <c r="AA648" s="262"/>
      <c r="AB648" s="249">
        <f t="shared" si="637"/>
        <v>0</v>
      </c>
      <c r="AC648" s="210"/>
      <c r="AD648" s="236">
        <f t="shared" si="662"/>
        <v>1</v>
      </c>
      <c r="AE648" s="236">
        <f t="shared" si="663"/>
        <v>1</v>
      </c>
      <c r="AF648" s="236">
        <f t="shared" si="664"/>
        <v>0</v>
      </c>
      <c r="AG648" s="236">
        <v>1</v>
      </c>
      <c r="AH648" s="236">
        <v>0</v>
      </c>
      <c r="AI648" s="236">
        <f t="shared" si="640"/>
        <v>-100</v>
      </c>
      <c r="AJ648" s="210"/>
      <c r="AK648" s="254"/>
      <c r="AL648" s="254"/>
      <c r="AM648" s="255"/>
      <c r="AN648" s="255"/>
      <c r="AO648" s="255"/>
      <c r="AP648" s="255"/>
      <c r="AQ648" s="255"/>
      <c r="AR648" s="255"/>
      <c r="AS648" s="255"/>
      <c r="AT648" s="255"/>
      <c r="AU648" s="255"/>
      <c r="AV648" s="255"/>
      <c r="AW648" s="255"/>
      <c r="AX648" s="210"/>
      <c r="AY648" s="236" cm="1">
        <f t="array" ref="AY648">INDEX(Use, $AD648, 4)</f>
        <v>7</v>
      </c>
      <c r="AZ648" s="236">
        <f t="shared" si="641"/>
        <v>32</v>
      </c>
      <c r="BA648" s="236">
        <f t="shared" si="629"/>
        <v>13</v>
      </c>
      <c r="BB648" s="236">
        <f t="shared" si="630"/>
        <v>0</v>
      </c>
      <c r="BC648" s="252" cm="1">
        <f t="array" ref="BC648">K648/IF($L648&gt;0, INDEX($AO$23:$AU$77, $L648+20, $AD648), 1)</f>
        <v>0</v>
      </c>
      <c r="BD648" s="237">
        <f t="shared" si="642"/>
        <v>0</v>
      </c>
      <c r="BE648" s="236">
        <v>35</v>
      </c>
      <c r="BF648" s="237">
        <f t="shared" si="643"/>
        <v>52.55</v>
      </c>
      <c r="BG648" s="253">
        <f t="shared" si="644"/>
        <v>2.7676728869374316</v>
      </c>
      <c r="BH648" s="253" cm="1">
        <f t="array" ref="BH648">$BC648 * SUMPRODUCT(INDEX($AL$77:$AN$82,,$AE648),INDEX($AO$77:$AU$82,,$AD648), N($AK$77:$AK$82&gt;$AI648)) / BG648 / 1000</f>
        <v>0</v>
      </c>
      <c r="BI648" s="250">
        <f t="shared" si="631"/>
        <v>30</v>
      </c>
      <c r="BJ648" s="237">
        <f t="shared" si="645"/>
        <v>46.033333333333331</v>
      </c>
      <c r="BK648" s="253">
        <f t="shared" si="646"/>
        <v>3.2297395388556791</v>
      </c>
      <c r="BL648" s="253" cm="1">
        <f t="array" ref="BL648">$BC648 * IF($AD648&lt;=2,
SUMPRODUCT(INDEX($AL$72:$AN$76,,$AE648), INDEX($AO$72:$AU$76,,$AD648), 1 / ($AV$72:$AV$76*BK648 + (1-$AV$72:$AV$76)*BG648), N($AK$72:$AK$76&gt;$AI648)),
SUMPRODUCT(INDEX($AL$67:$AN$76,,$AE648), INDEX($AO$67:$AU$76,,$AD648), 1 / ($AW$67:$AW$76*BK648 + (1-$AW$67:$AW$76)*BG648), N($AK$67:$AK$76&gt;$AI648))
) / 1000</f>
        <v>0</v>
      </c>
      <c r="BM648" s="250">
        <f t="shared" si="632"/>
        <v>25</v>
      </c>
      <c r="BN648" s="237">
        <f t="shared" si="647"/>
        <v>39.516666666666666</v>
      </c>
      <c r="BO648" s="253">
        <f t="shared" si="648"/>
        <v>3.877011788826243</v>
      </c>
      <c r="BP648" s="253" cm="1">
        <f t="array" ref="BP648">$BC648 * IF($AD648&lt;=2,
SUMPRODUCT(INDEX($AL$67:$AN$71,,$AE648), INDEX($AO$67:$AU$71,,$AD648), 1 / ($AV$67:$AV$71*BO648 + (1-$AV$67:$AV$71)*BK648), N($AK$67:$AK$71&gt;$AI648)),
SUMPRODUCT(INDEX($AL$57:$AN$66,,$AE648), INDEX($AO$57:$AU$66,,$AD648), 1 / ($AW$57:$AW$66*BO648 + (1-$AW$57:$AW$66)*BK648), N($AK$57:$AK$66&gt;$AI648))
) / 1000</f>
        <v>0</v>
      </c>
      <c r="BQ648" s="250">
        <f t="shared" si="633"/>
        <v>20</v>
      </c>
      <c r="BR648" s="237">
        <f t="shared" si="649"/>
        <v>33</v>
      </c>
      <c r="BS648" s="253">
        <f t="shared" si="650"/>
        <v>4.8487499999999999</v>
      </c>
      <c r="BT648" s="253" cm="1">
        <f t="array" ref="BT648">$BC648 * IF($AD648&lt;=2,
SUMPRODUCT(INDEX($AL$62:$AN$66,,$AE648), INDEX($AO$62:$AU$66,,$AD648), 1 / ($AV$62:$AV$66*BS648 + (1-$AV$62:$AV$66)*BO648), N($AK$62:$AK$66&gt;$AI648)),
SUMPRODUCT(INDEX($AL$47:$AN$56,,$AE648), INDEX($AO$47:$AU$56,,$AD648), 1 / ($AW$47:$AW$56*BS648 + (1-$AW$47:$AW$56)*BO648), N($AK$47:$AK$56&gt;$AI648))
) / 1000</f>
        <v>0</v>
      </c>
      <c r="BU648" s="253" cm="1">
        <f t="array" ref="BU648">$BC648 * IF($AD648&lt;=2,
SUMPRODUCT(INDEX($AL$23:$AN$61,,$AE648), INDEX($AO$23:$AU$61,,$AD648), 1 / ($AV$23:$AV$61*BS648), N($AK$23:$AK$61&gt;$AI648)),
SUMPRODUCT(INDEX($AL$23:$AN$46,,$AE648), INDEX($AO$23:$AU$46,,$AD648), 1 / ($AW$23:$AW$46*BS648), N($AK$23:$AK$46&gt;$AI648))
) / 1000</f>
        <v>0</v>
      </c>
      <c r="BV648" s="237">
        <f t="shared" si="651"/>
        <v>0</v>
      </c>
      <c r="BW648" s="210"/>
      <c r="BX648" s="237">
        <f t="shared" si="652"/>
        <v>0</v>
      </c>
      <c r="BY648" s="236">
        <v>35</v>
      </c>
      <c r="BZ648" s="237">
        <f t="shared" si="653"/>
        <v>48</v>
      </c>
      <c r="CA648" s="253">
        <f t="shared" si="654"/>
        <v>3.0748170731707316</v>
      </c>
      <c r="CB648" s="253" cm="1">
        <f t="array" ref="CB648">$BC648 * SUMPRODUCT(INDEX($AL$77:$AN$82,,$AE648),INDEX($AO$77:$AU$82,,$AD648), N($AK$77:$AK$82&gt;$AI648)) / CA648 / 1000</f>
        <v>0</v>
      </c>
      <c r="CC648" s="250">
        <f t="shared" si="634"/>
        <v>30</v>
      </c>
      <c r="CD648" s="237">
        <f t="shared" si="655"/>
        <v>43</v>
      </c>
      <c r="CE648" s="253">
        <f t="shared" si="656"/>
        <v>3.5018750000000001</v>
      </c>
      <c r="CF648" s="253" cm="1">
        <f t="array" ref="CF648">$BC648 * IF($AD648&lt;=2,
SUMPRODUCT(INDEX($AL$72:$AN$76,,$AE648), INDEX($AO$72:$AU$76,,$AD648), 1 / ($AV$72:$AV$76*CE648 + (1-$AV$72:$AV$76)*CA648), N($AK$72:$AK$76&gt;$AI648)),
SUMPRODUCT(INDEX($AL$67:$AN$76,,$AE648), INDEX($AO$67:$AU$76,,$AD648), 1 / ($AW$67:$AW$76*CE648 + (1-$AW$67:$AW$76)*CA648), N($AK$67:$AK$76&gt;$AI648))
) / 1000</f>
        <v>0</v>
      </c>
      <c r="CG648" s="250">
        <f t="shared" si="635"/>
        <v>25</v>
      </c>
      <c r="CH648" s="237">
        <f t="shared" si="657"/>
        <v>38</v>
      </c>
      <c r="CI648" s="253">
        <f t="shared" si="658"/>
        <v>4.0666935483870965</v>
      </c>
      <c r="CJ648" s="253" cm="1">
        <f t="array" ref="CJ648">$BC648 * IF($AD648&lt;=2,
SUMPRODUCT(INDEX($AL$67:$AN$71,,$AE648), INDEX($AO$67:$AU$71,,$AD648), 1 / ($AV$67:$AV$71*CI648 + (1-$AV$67:$AV$71)*CE648), N($AK$67:$AK$71&gt;$AI648)),
SUMPRODUCT(INDEX($AL$57:$AN$66,,$AE648), INDEX($AO$57:$AU$66,,$AD648), 1 / ($AW$57:$AW$66*CI648 + (1-$AW$57:$AW$66)*CE648), N($AK$57:$AK$66&gt;$AI648))
) / 1000</f>
        <v>0</v>
      </c>
      <c r="CK648" s="250">
        <f t="shared" si="636"/>
        <v>20</v>
      </c>
      <c r="CL648" s="237">
        <f t="shared" si="659"/>
        <v>33</v>
      </c>
      <c r="CM648" s="253">
        <f t="shared" si="660"/>
        <v>4.8487499999999999</v>
      </c>
      <c r="CN648" s="253" cm="1">
        <f t="array" ref="CN648">$BC648 * IF($AD648&lt;=2,
SUMPRODUCT(INDEX($AL$62:$AN$66,,$AE648), INDEX($AO$62:$AU$66,,$AD648), 1 / ($AV$62:$AV$66*CM648 + (1-$AV$62:$AV$66)*CI648), N($AK$62:$AK$66&gt;$AI648)),
SUMPRODUCT(INDEX($AL$47:$AN$56,,$AE648), INDEX($AO$47:$AU$56,,$AD648), 1 / ($AW$47:$AW$56*CM648 + (1-$AW$47:$AW$56)*CI648), N($AK$47:$AK$56&gt;$AI648))
) / 1000</f>
        <v>0</v>
      </c>
      <c r="CO648" s="253" cm="1">
        <f t="array" ref="CO648">$BC648 * IF($AD648&lt;=2,
SUMPRODUCT(INDEX($AL$23:$AN$61,,$AE648), INDEX($AO$23:$AU$61,,$AD648), 1 / ($AV$23:$AV$61*CM648), N($AK$23:$AK$61&gt;$AI648)),
SUMPRODUCT(INDEX($AL$23:$AN$46,,$AE648), INDEX($AO$23:$AU$46,,$AD648), 1 / ($AW$23:$AW$46*CM648), N($AK$23:$AK$46&gt;$AI648))
) / 1000</f>
        <v>0</v>
      </c>
      <c r="CP648" s="237">
        <f t="shared" si="661"/>
        <v>0</v>
      </c>
      <c r="CQ648" s="210"/>
    </row>
    <row r="649" spans="1:95" s="76" customFormat="1" ht="14.25" customHeight="1" x14ac:dyDescent="0.2">
      <c r="A649" s="238" t="b">
        <f t="shared" si="628"/>
        <v>0</v>
      </c>
      <c r="B649" s="239">
        <v>627</v>
      </c>
      <c r="C649" s="258"/>
      <c r="D649" s="258"/>
      <c r="E649" s="240"/>
      <c r="F649" s="241" t="str">
        <f>IF(ISBLANK(E649), "", VLOOKUP(E649, Z!$A$2:$C$4127, 3, FALSE))</f>
        <v/>
      </c>
      <c r="G649" s="242"/>
      <c r="H649" s="242"/>
      <c r="I649" s="243"/>
      <c r="J649" s="244"/>
      <c r="K649" s="259"/>
      <c r="L649" s="260"/>
      <c r="M649" s="247" t="str" cm="1">
        <f t="array" ref="M649">IF($K649&gt;0, INDEX(Clean,1+AG649,$C$1), "")</f>
        <v/>
      </c>
      <c r="N649" s="245"/>
      <c r="O649" s="245"/>
      <c r="P649" s="246"/>
      <c r="Q649" s="248">
        <f t="shared" si="638"/>
        <v>0</v>
      </c>
      <c r="R649" s="247" t="str" cm="1">
        <f t="array" ref="R649">IF($K649&gt;0, INDEX(Clean,1+AH649,$C$1), "")</f>
        <v/>
      </c>
      <c r="S649" s="245"/>
      <c r="T649" s="245"/>
      <c r="U649" s="246"/>
      <c r="V649" s="248">
        <f t="shared" si="639"/>
        <v>0</v>
      </c>
      <c r="W649" s="261"/>
      <c r="X649" s="258"/>
      <c r="Y649" s="240"/>
      <c r="Z649" s="241" t="str">
        <f>IF(ISBLANK(Y649), "", VLOOKUP(Y649, Z!$A$2:$C$4127, 3, FALSE))</f>
        <v/>
      </c>
      <c r="AA649" s="262"/>
      <c r="AB649" s="249">
        <f t="shared" si="637"/>
        <v>0</v>
      </c>
      <c r="AC649" s="210"/>
      <c r="AD649" s="236">
        <f t="shared" si="662"/>
        <v>1</v>
      </c>
      <c r="AE649" s="236">
        <f t="shared" si="663"/>
        <v>1</v>
      </c>
      <c r="AF649" s="236">
        <f t="shared" si="664"/>
        <v>0</v>
      </c>
      <c r="AG649" s="236">
        <v>1</v>
      </c>
      <c r="AH649" s="236">
        <v>0</v>
      </c>
      <c r="AI649" s="236">
        <f t="shared" si="640"/>
        <v>-100</v>
      </c>
      <c r="AJ649" s="210"/>
      <c r="AK649" s="254"/>
      <c r="AL649" s="254"/>
      <c r="AM649" s="255"/>
      <c r="AN649" s="255"/>
      <c r="AO649" s="255"/>
      <c r="AP649" s="255"/>
      <c r="AQ649" s="255"/>
      <c r="AR649" s="255"/>
      <c r="AS649" s="255"/>
      <c r="AT649" s="255"/>
      <c r="AU649" s="255"/>
      <c r="AV649" s="255"/>
      <c r="AW649" s="255"/>
      <c r="AX649" s="210"/>
      <c r="AY649" s="236" cm="1">
        <f t="array" ref="AY649">INDEX(Use, $AD649, 4)</f>
        <v>7</v>
      </c>
      <c r="AZ649" s="236">
        <f t="shared" si="641"/>
        <v>32</v>
      </c>
      <c r="BA649" s="236">
        <f t="shared" si="629"/>
        <v>13</v>
      </c>
      <c r="BB649" s="236">
        <f t="shared" si="630"/>
        <v>0</v>
      </c>
      <c r="BC649" s="252" cm="1">
        <f t="array" ref="BC649">K649/IF($L649&gt;0, INDEX($AO$23:$AU$77, $L649+20, $AD649), 1)</f>
        <v>0</v>
      </c>
      <c r="BD649" s="237">
        <f t="shared" si="642"/>
        <v>0</v>
      </c>
      <c r="BE649" s="236">
        <v>35</v>
      </c>
      <c r="BF649" s="237">
        <f t="shared" si="643"/>
        <v>52.55</v>
      </c>
      <c r="BG649" s="253">
        <f t="shared" si="644"/>
        <v>2.7676728869374316</v>
      </c>
      <c r="BH649" s="253" cm="1">
        <f t="array" ref="BH649">$BC649 * SUMPRODUCT(INDEX($AL$77:$AN$82,,$AE649),INDEX($AO$77:$AU$82,,$AD649), N($AK$77:$AK$82&gt;$AI649)) / BG649 / 1000</f>
        <v>0</v>
      </c>
      <c r="BI649" s="250">
        <f t="shared" si="631"/>
        <v>30</v>
      </c>
      <c r="BJ649" s="237">
        <f t="shared" si="645"/>
        <v>46.033333333333331</v>
      </c>
      <c r="BK649" s="253">
        <f t="shared" si="646"/>
        <v>3.2297395388556791</v>
      </c>
      <c r="BL649" s="253" cm="1">
        <f t="array" ref="BL649">$BC649 * IF($AD649&lt;=2,
SUMPRODUCT(INDEX($AL$72:$AN$76,,$AE649), INDEX($AO$72:$AU$76,,$AD649), 1 / ($AV$72:$AV$76*BK649 + (1-$AV$72:$AV$76)*BG649), N($AK$72:$AK$76&gt;$AI649)),
SUMPRODUCT(INDEX($AL$67:$AN$76,,$AE649), INDEX($AO$67:$AU$76,,$AD649), 1 / ($AW$67:$AW$76*BK649 + (1-$AW$67:$AW$76)*BG649), N($AK$67:$AK$76&gt;$AI649))
) / 1000</f>
        <v>0</v>
      </c>
      <c r="BM649" s="250">
        <f t="shared" si="632"/>
        <v>25</v>
      </c>
      <c r="BN649" s="237">
        <f t="shared" si="647"/>
        <v>39.516666666666666</v>
      </c>
      <c r="BO649" s="253">
        <f t="shared" si="648"/>
        <v>3.877011788826243</v>
      </c>
      <c r="BP649" s="253" cm="1">
        <f t="array" ref="BP649">$BC649 * IF($AD649&lt;=2,
SUMPRODUCT(INDEX($AL$67:$AN$71,,$AE649), INDEX($AO$67:$AU$71,,$AD649), 1 / ($AV$67:$AV$71*BO649 + (1-$AV$67:$AV$71)*BK649), N($AK$67:$AK$71&gt;$AI649)),
SUMPRODUCT(INDEX($AL$57:$AN$66,,$AE649), INDEX($AO$57:$AU$66,,$AD649), 1 / ($AW$57:$AW$66*BO649 + (1-$AW$57:$AW$66)*BK649), N($AK$57:$AK$66&gt;$AI649))
) / 1000</f>
        <v>0</v>
      </c>
      <c r="BQ649" s="250">
        <f t="shared" si="633"/>
        <v>20</v>
      </c>
      <c r="BR649" s="237">
        <f t="shared" si="649"/>
        <v>33</v>
      </c>
      <c r="BS649" s="253">
        <f t="shared" si="650"/>
        <v>4.8487499999999999</v>
      </c>
      <c r="BT649" s="253" cm="1">
        <f t="array" ref="BT649">$BC649 * IF($AD649&lt;=2,
SUMPRODUCT(INDEX($AL$62:$AN$66,,$AE649), INDEX($AO$62:$AU$66,,$AD649), 1 / ($AV$62:$AV$66*BS649 + (1-$AV$62:$AV$66)*BO649), N($AK$62:$AK$66&gt;$AI649)),
SUMPRODUCT(INDEX($AL$47:$AN$56,,$AE649), INDEX($AO$47:$AU$56,,$AD649), 1 / ($AW$47:$AW$56*BS649 + (1-$AW$47:$AW$56)*BO649), N($AK$47:$AK$56&gt;$AI649))
) / 1000</f>
        <v>0</v>
      </c>
      <c r="BU649" s="253" cm="1">
        <f t="array" ref="BU649">$BC649 * IF($AD649&lt;=2,
SUMPRODUCT(INDEX($AL$23:$AN$61,,$AE649), INDEX($AO$23:$AU$61,,$AD649), 1 / ($AV$23:$AV$61*BS649), N($AK$23:$AK$61&gt;$AI649)),
SUMPRODUCT(INDEX($AL$23:$AN$46,,$AE649), INDEX($AO$23:$AU$46,,$AD649), 1 / ($AW$23:$AW$46*BS649), N($AK$23:$AK$46&gt;$AI649))
) / 1000</f>
        <v>0</v>
      </c>
      <c r="BV649" s="237">
        <f t="shared" si="651"/>
        <v>0</v>
      </c>
      <c r="BW649" s="210"/>
      <c r="BX649" s="237">
        <f t="shared" si="652"/>
        <v>0</v>
      </c>
      <c r="BY649" s="236">
        <v>35</v>
      </c>
      <c r="BZ649" s="237">
        <f t="shared" si="653"/>
        <v>48</v>
      </c>
      <c r="CA649" s="253">
        <f t="shared" si="654"/>
        <v>3.0748170731707316</v>
      </c>
      <c r="CB649" s="253" cm="1">
        <f t="array" ref="CB649">$BC649 * SUMPRODUCT(INDEX($AL$77:$AN$82,,$AE649),INDEX($AO$77:$AU$82,,$AD649), N($AK$77:$AK$82&gt;$AI649)) / CA649 / 1000</f>
        <v>0</v>
      </c>
      <c r="CC649" s="250">
        <f t="shared" si="634"/>
        <v>30</v>
      </c>
      <c r="CD649" s="237">
        <f t="shared" si="655"/>
        <v>43</v>
      </c>
      <c r="CE649" s="253">
        <f t="shared" si="656"/>
        <v>3.5018750000000001</v>
      </c>
      <c r="CF649" s="253" cm="1">
        <f t="array" ref="CF649">$BC649 * IF($AD649&lt;=2,
SUMPRODUCT(INDEX($AL$72:$AN$76,,$AE649), INDEX($AO$72:$AU$76,,$AD649), 1 / ($AV$72:$AV$76*CE649 + (1-$AV$72:$AV$76)*CA649), N($AK$72:$AK$76&gt;$AI649)),
SUMPRODUCT(INDEX($AL$67:$AN$76,,$AE649), INDEX($AO$67:$AU$76,,$AD649), 1 / ($AW$67:$AW$76*CE649 + (1-$AW$67:$AW$76)*CA649), N($AK$67:$AK$76&gt;$AI649))
) / 1000</f>
        <v>0</v>
      </c>
      <c r="CG649" s="250">
        <f t="shared" si="635"/>
        <v>25</v>
      </c>
      <c r="CH649" s="237">
        <f t="shared" si="657"/>
        <v>38</v>
      </c>
      <c r="CI649" s="253">
        <f t="shared" si="658"/>
        <v>4.0666935483870965</v>
      </c>
      <c r="CJ649" s="253" cm="1">
        <f t="array" ref="CJ649">$BC649 * IF($AD649&lt;=2,
SUMPRODUCT(INDEX($AL$67:$AN$71,,$AE649), INDEX($AO$67:$AU$71,,$AD649), 1 / ($AV$67:$AV$71*CI649 + (1-$AV$67:$AV$71)*CE649), N($AK$67:$AK$71&gt;$AI649)),
SUMPRODUCT(INDEX($AL$57:$AN$66,,$AE649), INDEX($AO$57:$AU$66,,$AD649), 1 / ($AW$57:$AW$66*CI649 + (1-$AW$57:$AW$66)*CE649), N($AK$57:$AK$66&gt;$AI649))
) / 1000</f>
        <v>0</v>
      </c>
      <c r="CK649" s="250">
        <f t="shared" si="636"/>
        <v>20</v>
      </c>
      <c r="CL649" s="237">
        <f t="shared" si="659"/>
        <v>33</v>
      </c>
      <c r="CM649" s="253">
        <f t="shared" si="660"/>
        <v>4.8487499999999999</v>
      </c>
      <c r="CN649" s="253" cm="1">
        <f t="array" ref="CN649">$BC649 * IF($AD649&lt;=2,
SUMPRODUCT(INDEX($AL$62:$AN$66,,$AE649), INDEX($AO$62:$AU$66,,$AD649), 1 / ($AV$62:$AV$66*CM649 + (1-$AV$62:$AV$66)*CI649), N($AK$62:$AK$66&gt;$AI649)),
SUMPRODUCT(INDEX($AL$47:$AN$56,,$AE649), INDEX($AO$47:$AU$56,,$AD649), 1 / ($AW$47:$AW$56*CM649 + (1-$AW$47:$AW$56)*CI649), N($AK$47:$AK$56&gt;$AI649))
) / 1000</f>
        <v>0</v>
      </c>
      <c r="CO649" s="253" cm="1">
        <f t="array" ref="CO649">$BC649 * IF($AD649&lt;=2,
SUMPRODUCT(INDEX($AL$23:$AN$61,,$AE649), INDEX($AO$23:$AU$61,,$AD649), 1 / ($AV$23:$AV$61*CM649), N($AK$23:$AK$61&gt;$AI649)),
SUMPRODUCT(INDEX($AL$23:$AN$46,,$AE649), INDEX($AO$23:$AU$46,,$AD649), 1 / ($AW$23:$AW$46*CM649), N($AK$23:$AK$46&gt;$AI649))
) / 1000</f>
        <v>0</v>
      </c>
      <c r="CP649" s="237">
        <f t="shared" si="661"/>
        <v>0</v>
      </c>
      <c r="CQ649" s="210"/>
    </row>
    <row r="650" spans="1:95" s="76" customFormat="1" ht="14.25" customHeight="1" x14ac:dyDescent="0.2">
      <c r="A650" s="238" t="b">
        <f t="shared" si="628"/>
        <v>0</v>
      </c>
      <c r="B650" s="239">
        <v>628</v>
      </c>
      <c r="C650" s="258"/>
      <c r="D650" s="258"/>
      <c r="E650" s="240"/>
      <c r="F650" s="241" t="str">
        <f>IF(ISBLANK(E650), "", VLOOKUP(E650, Z!$A$2:$C$4127, 3, FALSE))</f>
        <v/>
      </c>
      <c r="G650" s="242"/>
      <c r="H650" s="242"/>
      <c r="I650" s="243"/>
      <c r="J650" s="244"/>
      <c r="K650" s="259"/>
      <c r="L650" s="260"/>
      <c r="M650" s="247" t="str" cm="1">
        <f t="array" ref="M650">IF($K650&gt;0, INDEX(Clean,1+AG650,$C$1), "")</f>
        <v/>
      </c>
      <c r="N650" s="245"/>
      <c r="O650" s="245"/>
      <c r="P650" s="246"/>
      <c r="Q650" s="248">
        <f t="shared" si="638"/>
        <v>0</v>
      </c>
      <c r="R650" s="247" t="str" cm="1">
        <f t="array" ref="R650">IF($K650&gt;0, INDEX(Clean,1+AH650,$C$1), "")</f>
        <v/>
      </c>
      <c r="S650" s="245"/>
      <c r="T650" s="245"/>
      <c r="U650" s="246"/>
      <c r="V650" s="248">
        <f t="shared" si="639"/>
        <v>0</v>
      </c>
      <c r="W650" s="261"/>
      <c r="X650" s="258"/>
      <c r="Y650" s="240"/>
      <c r="Z650" s="241" t="str">
        <f>IF(ISBLANK(Y650), "", VLOOKUP(Y650, Z!$A$2:$C$4127, 3, FALSE))</f>
        <v/>
      </c>
      <c r="AA650" s="262"/>
      <c r="AB650" s="249">
        <f t="shared" si="637"/>
        <v>0</v>
      </c>
      <c r="AC650" s="210"/>
      <c r="AD650" s="236">
        <f t="shared" si="662"/>
        <v>1</v>
      </c>
      <c r="AE650" s="236">
        <f t="shared" si="663"/>
        <v>1</v>
      </c>
      <c r="AF650" s="236">
        <f t="shared" si="664"/>
        <v>0</v>
      </c>
      <c r="AG650" s="236">
        <v>1</v>
      </c>
      <c r="AH650" s="236">
        <v>0</v>
      </c>
      <c r="AI650" s="236">
        <f t="shared" si="640"/>
        <v>-100</v>
      </c>
      <c r="AJ650" s="210"/>
      <c r="AK650" s="254"/>
      <c r="AL650" s="254"/>
      <c r="AM650" s="255"/>
      <c r="AN650" s="255"/>
      <c r="AO650" s="255"/>
      <c r="AP650" s="255"/>
      <c r="AQ650" s="255"/>
      <c r="AR650" s="255"/>
      <c r="AS650" s="255"/>
      <c r="AT650" s="255"/>
      <c r="AU650" s="255"/>
      <c r="AV650" s="255"/>
      <c r="AW650" s="255"/>
      <c r="AX650" s="210"/>
      <c r="AY650" s="236" cm="1">
        <f t="array" ref="AY650">INDEX(Use, $AD650, 4)</f>
        <v>7</v>
      </c>
      <c r="AZ650" s="236">
        <f t="shared" si="641"/>
        <v>32</v>
      </c>
      <c r="BA650" s="236">
        <f t="shared" si="629"/>
        <v>13</v>
      </c>
      <c r="BB650" s="236">
        <f t="shared" si="630"/>
        <v>0</v>
      </c>
      <c r="BC650" s="252" cm="1">
        <f t="array" ref="BC650">K650/IF($L650&gt;0, INDEX($AO$23:$AU$77, $L650+20, $AD650), 1)</f>
        <v>0</v>
      </c>
      <c r="BD650" s="237">
        <f t="shared" si="642"/>
        <v>0</v>
      </c>
      <c r="BE650" s="236">
        <v>35</v>
      </c>
      <c r="BF650" s="237">
        <f t="shared" si="643"/>
        <v>52.55</v>
      </c>
      <c r="BG650" s="253">
        <f t="shared" si="644"/>
        <v>2.7676728869374316</v>
      </c>
      <c r="BH650" s="253" cm="1">
        <f t="array" ref="BH650">$BC650 * SUMPRODUCT(INDEX($AL$77:$AN$82,,$AE650),INDEX($AO$77:$AU$82,,$AD650), N($AK$77:$AK$82&gt;$AI650)) / BG650 / 1000</f>
        <v>0</v>
      </c>
      <c r="BI650" s="250">
        <f t="shared" si="631"/>
        <v>30</v>
      </c>
      <c r="BJ650" s="237">
        <f t="shared" si="645"/>
        <v>46.033333333333331</v>
      </c>
      <c r="BK650" s="253">
        <f t="shared" si="646"/>
        <v>3.2297395388556791</v>
      </c>
      <c r="BL650" s="253" cm="1">
        <f t="array" ref="BL650">$BC650 * IF($AD650&lt;=2,
SUMPRODUCT(INDEX($AL$72:$AN$76,,$AE650), INDEX($AO$72:$AU$76,,$AD650), 1 / ($AV$72:$AV$76*BK650 + (1-$AV$72:$AV$76)*BG650), N($AK$72:$AK$76&gt;$AI650)),
SUMPRODUCT(INDEX($AL$67:$AN$76,,$AE650), INDEX($AO$67:$AU$76,,$AD650), 1 / ($AW$67:$AW$76*BK650 + (1-$AW$67:$AW$76)*BG650), N($AK$67:$AK$76&gt;$AI650))
) / 1000</f>
        <v>0</v>
      </c>
      <c r="BM650" s="250">
        <f t="shared" si="632"/>
        <v>25</v>
      </c>
      <c r="BN650" s="237">
        <f t="shared" si="647"/>
        <v>39.516666666666666</v>
      </c>
      <c r="BO650" s="253">
        <f t="shared" si="648"/>
        <v>3.877011788826243</v>
      </c>
      <c r="BP650" s="253" cm="1">
        <f t="array" ref="BP650">$BC650 * IF($AD650&lt;=2,
SUMPRODUCT(INDEX($AL$67:$AN$71,,$AE650), INDEX($AO$67:$AU$71,,$AD650), 1 / ($AV$67:$AV$71*BO650 + (1-$AV$67:$AV$71)*BK650), N($AK$67:$AK$71&gt;$AI650)),
SUMPRODUCT(INDEX($AL$57:$AN$66,,$AE650), INDEX($AO$57:$AU$66,,$AD650), 1 / ($AW$57:$AW$66*BO650 + (1-$AW$57:$AW$66)*BK650), N($AK$57:$AK$66&gt;$AI650))
) / 1000</f>
        <v>0</v>
      </c>
      <c r="BQ650" s="250">
        <f t="shared" si="633"/>
        <v>20</v>
      </c>
      <c r="BR650" s="237">
        <f t="shared" si="649"/>
        <v>33</v>
      </c>
      <c r="BS650" s="253">
        <f t="shared" si="650"/>
        <v>4.8487499999999999</v>
      </c>
      <c r="BT650" s="253" cm="1">
        <f t="array" ref="BT650">$BC650 * IF($AD650&lt;=2,
SUMPRODUCT(INDEX($AL$62:$AN$66,,$AE650), INDEX($AO$62:$AU$66,,$AD650), 1 / ($AV$62:$AV$66*BS650 + (1-$AV$62:$AV$66)*BO650), N($AK$62:$AK$66&gt;$AI650)),
SUMPRODUCT(INDEX($AL$47:$AN$56,,$AE650), INDEX($AO$47:$AU$56,,$AD650), 1 / ($AW$47:$AW$56*BS650 + (1-$AW$47:$AW$56)*BO650), N($AK$47:$AK$56&gt;$AI650))
) / 1000</f>
        <v>0</v>
      </c>
      <c r="BU650" s="253" cm="1">
        <f t="array" ref="BU650">$BC650 * IF($AD650&lt;=2,
SUMPRODUCT(INDEX($AL$23:$AN$61,,$AE650), INDEX($AO$23:$AU$61,,$AD650), 1 / ($AV$23:$AV$61*BS650), N($AK$23:$AK$61&gt;$AI650)),
SUMPRODUCT(INDEX($AL$23:$AN$46,,$AE650), INDEX($AO$23:$AU$46,,$AD650), 1 / ($AW$23:$AW$46*BS650), N($AK$23:$AK$46&gt;$AI650))
) / 1000</f>
        <v>0</v>
      </c>
      <c r="BV650" s="237">
        <f t="shared" si="651"/>
        <v>0</v>
      </c>
      <c r="BW650" s="210"/>
      <c r="BX650" s="237">
        <f t="shared" si="652"/>
        <v>0</v>
      </c>
      <c r="BY650" s="236">
        <v>35</v>
      </c>
      <c r="BZ650" s="237">
        <f t="shared" si="653"/>
        <v>48</v>
      </c>
      <c r="CA650" s="253">
        <f t="shared" si="654"/>
        <v>3.0748170731707316</v>
      </c>
      <c r="CB650" s="253" cm="1">
        <f t="array" ref="CB650">$BC650 * SUMPRODUCT(INDEX($AL$77:$AN$82,,$AE650),INDEX($AO$77:$AU$82,,$AD650), N($AK$77:$AK$82&gt;$AI650)) / CA650 / 1000</f>
        <v>0</v>
      </c>
      <c r="CC650" s="250">
        <f t="shared" si="634"/>
        <v>30</v>
      </c>
      <c r="CD650" s="237">
        <f t="shared" si="655"/>
        <v>43</v>
      </c>
      <c r="CE650" s="253">
        <f t="shared" si="656"/>
        <v>3.5018750000000001</v>
      </c>
      <c r="CF650" s="253" cm="1">
        <f t="array" ref="CF650">$BC650 * IF($AD650&lt;=2,
SUMPRODUCT(INDEX($AL$72:$AN$76,,$AE650), INDEX($AO$72:$AU$76,,$AD650), 1 / ($AV$72:$AV$76*CE650 + (1-$AV$72:$AV$76)*CA650), N($AK$72:$AK$76&gt;$AI650)),
SUMPRODUCT(INDEX($AL$67:$AN$76,,$AE650), INDEX($AO$67:$AU$76,,$AD650), 1 / ($AW$67:$AW$76*CE650 + (1-$AW$67:$AW$76)*CA650), N($AK$67:$AK$76&gt;$AI650))
) / 1000</f>
        <v>0</v>
      </c>
      <c r="CG650" s="250">
        <f t="shared" si="635"/>
        <v>25</v>
      </c>
      <c r="CH650" s="237">
        <f t="shared" si="657"/>
        <v>38</v>
      </c>
      <c r="CI650" s="253">
        <f t="shared" si="658"/>
        <v>4.0666935483870965</v>
      </c>
      <c r="CJ650" s="253" cm="1">
        <f t="array" ref="CJ650">$BC650 * IF($AD650&lt;=2,
SUMPRODUCT(INDEX($AL$67:$AN$71,,$AE650), INDEX($AO$67:$AU$71,,$AD650), 1 / ($AV$67:$AV$71*CI650 + (1-$AV$67:$AV$71)*CE650), N($AK$67:$AK$71&gt;$AI650)),
SUMPRODUCT(INDEX($AL$57:$AN$66,,$AE650), INDEX($AO$57:$AU$66,,$AD650), 1 / ($AW$57:$AW$66*CI650 + (1-$AW$57:$AW$66)*CE650), N($AK$57:$AK$66&gt;$AI650))
) / 1000</f>
        <v>0</v>
      </c>
      <c r="CK650" s="250">
        <f t="shared" si="636"/>
        <v>20</v>
      </c>
      <c r="CL650" s="237">
        <f t="shared" si="659"/>
        <v>33</v>
      </c>
      <c r="CM650" s="253">
        <f t="shared" si="660"/>
        <v>4.8487499999999999</v>
      </c>
      <c r="CN650" s="253" cm="1">
        <f t="array" ref="CN650">$BC650 * IF($AD650&lt;=2,
SUMPRODUCT(INDEX($AL$62:$AN$66,,$AE650), INDEX($AO$62:$AU$66,,$AD650), 1 / ($AV$62:$AV$66*CM650 + (1-$AV$62:$AV$66)*CI650), N($AK$62:$AK$66&gt;$AI650)),
SUMPRODUCT(INDEX($AL$47:$AN$56,,$AE650), INDEX($AO$47:$AU$56,,$AD650), 1 / ($AW$47:$AW$56*CM650 + (1-$AW$47:$AW$56)*CI650), N($AK$47:$AK$56&gt;$AI650))
) / 1000</f>
        <v>0</v>
      </c>
      <c r="CO650" s="253" cm="1">
        <f t="array" ref="CO650">$BC650 * IF($AD650&lt;=2,
SUMPRODUCT(INDEX($AL$23:$AN$61,,$AE650), INDEX($AO$23:$AU$61,,$AD650), 1 / ($AV$23:$AV$61*CM650), N($AK$23:$AK$61&gt;$AI650)),
SUMPRODUCT(INDEX($AL$23:$AN$46,,$AE650), INDEX($AO$23:$AU$46,,$AD650), 1 / ($AW$23:$AW$46*CM650), N($AK$23:$AK$46&gt;$AI650))
) / 1000</f>
        <v>0</v>
      </c>
      <c r="CP650" s="237">
        <f t="shared" si="661"/>
        <v>0</v>
      </c>
      <c r="CQ650" s="210"/>
    </row>
    <row r="651" spans="1:95" s="76" customFormat="1" ht="14.25" customHeight="1" x14ac:dyDescent="0.2">
      <c r="A651" s="238" t="b">
        <f t="shared" si="628"/>
        <v>0</v>
      </c>
      <c r="B651" s="239">
        <v>629</v>
      </c>
      <c r="C651" s="258"/>
      <c r="D651" s="258"/>
      <c r="E651" s="240"/>
      <c r="F651" s="241" t="str">
        <f>IF(ISBLANK(E651), "", VLOOKUP(E651, Z!$A$2:$C$4127, 3, FALSE))</f>
        <v/>
      </c>
      <c r="G651" s="242"/>
      <c r="H651" s="242"/>
      <c r="I651" s="243"/>
      <c r="J651" s="244"/>
      <c r="K651" s="259"/>
      <c r="L651" s="260"/>
      <c r="M651" s="247" t="str" cm="1">
        <f t="array" ref="M651">IF($K651&gt;0, INDEX(Clean,1+AG651,$C$1), "")</f>
        <v/>
      </c>
      <c r="N651" s="245"/>
      <c r="O651" s="245"/>
      <c r="P651" s="246"/>
      <c r="Q651" s="248">
        <f t="shared" si="638"/>
        <v>0</v>
      </c>
      <c r="R651" s="247" t="str" cm="1">
        <f t="array" ref="R651">IF($K651&gt;0, INDEX(Clean,1+AH651,$C$1), "")</f>
        <v/>
      </c>
      <c r="S651" s="245"/>
      <c r="T651" s="245"/>
      <c r="U651" s="246"/>
      <c r="V651" s="248">
        <f t="shared" si="639"/>
        <v>0</v>
      </c>
      <c r="W651" s="261"/>
      <c r="X651" s="258"/>
      <c r="Y651" s="240"/>
      <c r="Z651" s="241" t="str">
        <f>IF(ISBLANK(Y651), "", VLOOKUP(Y651, Z!$A$2:$C$4127, 3, FALSE))</f>
        <v/>
      </c>
      <c r="AA651" s="262"/>
      <c r="AB651" s="249">
        <f t="shared" si="637"/>
        <v>0</v>
      </c>
      <c r="AC651" s="210"/>
      <c r="AD651" s="236">
        <f t="shared" si="662"/>
        <v>1</v>
      </c>
      <c r="AE651" s="236">
        <f t="shared" si="663"/>
        <v>1</v>
      </c>
      <c r="AF651" s="236">
        <f t="shared" si="664"/>
        <v>0</v>
      </c>
      <c r="AG651" s="236">
        <v>1</v>
      </c>
      <c r="AH651" s="236">
        <v>0</v>
      </c>
      <c r="AI651" s="236">
        <f t="shared" si="640"/>
        <v>-100</v>
      </c>
      <c r="AJ651" s="210"/>
      <c r="AK651" s="254"/>
      <c r="AL651" s="254"/>
      <c r="AM651" s="255"/>
      <c r="AN651" s="255"/>
      <c r="AO651" s="255"/>
      <c r="AP651" s="255"/>
      <c r="AQ651" s="255"/>
      <c r="AR651" s="255"/>
      <c r="AS651" s="255"/>
      <c r="AT651" s="255"/>
      <c r="AU651" s="255"/>
      <c r="AV651" s="255"/>
      <c r="AW651" s="255"/>
      <c r="AX651" s="210"/>
      <c r="AY651" s="236" cm="1">
        <f t="array" ref="AY651">INDEX(Use, $AD651, 4)</f>
        <v>7</v>
      </c>
      <c r="AZ651" s="236">
        <f t="shared" si="641"/>
        <v>32</v>
      </c>
      <c r="BA651" s="236">
        <f t="shared" si="629"/>
        <v>13</v>
      </c>
      <c r="BB651" s="236">
        <f t="shared" si="630"/>
        <v>0</v>
      </c>
      <c r="BC651" s="252" cm="1">
        <f t="array" ref="BC651">K651/IF($L651&gt;0, INDEX($AO$23:$AU$77, $L651+20, $AD651), 1)</f>
        <v>0</v>
      </c>
      <c r="BD651" s="237">
        <f t="shared" si="642"/>
        <v>0</v>
      </c>
      <c r="BE651" s="236">
        <v>35</v>
      </c>
      <c r="BF651" s="237">
        <f t="shared" si="643"/>
        <v>52.55</v>
      </c>
      <c r="BG651" s="253">
        <f t="shared" si="644"/>
        <v>2.7676728869374316</v>
      </c>
      <c r="BH651" s="253" cm="1">
        <f t="array" ref="BH651">$BC651 * SUMPRODUCT(INDEX($AL$77:$AN$82,,$AE651),INDEX($AO$77:$AU$82,,$AD651), N($AK$77:$AK$82&gt;$AI651)) / BG651 / 1000</f>
        <v>0</v>
      </c>
      <c r="BI651" s="250">
        <f t="shared" si="631"/>
        <v>30</v>
      </c>
      <c r="BJ651" s="237">
        <f t="shared" si="645"/>
        <v>46.033333333333331</v>
      </c>
      <c r="BK651" s="253">
        <f t="shared" si="646"/>
        <v>3.2297395388556791</v>
      </c>
      <c r="BL651" s="253" cm="1">
        <f t="array" ref="BL651">$BC651 * IF($AD651&lt;=2,
SUMPRODUCT(INDEX($AL$72:$AN$76,,$AE651), INDEX($AO$72:$AU$76,,$AD651), 1 / ($AV$72:$AV$76*BK651 + (1-$AV$72:$AV$76)*BG651), N($AK$72:$AK$76&gt;$AI651)),
SUMPRODUCT(INDEX($AL$67:$AN$76,,$AE651), INDEX($AO$67:$AU$76,,$AD651), 1 / ($AW$67:$AW$76*BK651 + (1-$AW$67:$AW$76)*BG651), N($AK$67:$AK$76&gt;$AI651))
) / 1000</f>
        <v>0</v>
      </c>
      <c r="BM651" s="250">
        <f t="shared" si="632"/>
        <v>25</v>
      </c>
      <c r="BN651" s="237">
        <f t="shared" si="647"/>
        <v>39.516666666666666</v>
      </c>
      <c r="BO651" s="253">
        <f t="shared" si="648"/>
        <v>3.877011788826243</v>
      </c>
      <c r="BP651" s="253" cm="1">
        <f t="array" ref="BP651">$BC651 * IF($AD651&lt;=2,
SUMPRODUCT(INDEX($AL$67:$AN$71,,$AE651), INDEX($AO$67:$AU$71,,$AD651), 1 / ($AV$67:$AV$71*BO651 + (1-$AV$67:$AV$71)*BK651), N($AK$67:$AK$71&gt;$AI651)),
SUMPRODUCT(INDEX($AL$57:$AN$66,,$AE651), INDEX($AO$57:$AU$66,,$AD651), 1 / ($AW$57:$AW$66*BO651 + (1-$AW$57:$AW$66)*BK651), N($AK$57:$AK$66&gt;$AI651))
) / 1000</f>
        <v>0</v>
      </c>
      <c r="BQ651" s="250">
        <f t="shared" si="633"/>
        <v>20</v>
      </c>
      <c r="BR651" s="237">
        <f t="shared" si="649"/>
        <v>33</v>
      </c>
      <c r="BS651" s="253">
        <f t="shared" si="650"/>
        <v>4.8487499999999999</v>
      </c>
      <c r="BT651" s="253" cm="1">
        <f t="array" ref="BT651">$BC651 * IF($AD651&lt;=2,
SUMPRODUCT(INDEX($AL$62:$AN$66,,$AE651), INDEX($AO$62:$AU$66,,$AD651), 1 / ($AV$62:$AV$66*BS651 + (1-$AV$62:$AV$66)*BO651), N($AK$62:$AK$66&gt;$AI651)),
SUMPRODUCT(INDEX($AL$47:$AN$56,,$AE651), INDEX($AO$47:$AU$56,,$AD651), 1 / ($AW$47:$AW$56*BS651 + (1-$AW$47:$AW$56)*BO651), N($AK$47:$AK$56&gt;$AI651))
) / 1000</f>
        <v>0</v>
      </c>
      <c r="BU651" s="253" cm="1">
        <f t="array" ref="BU651">$BC651 * IF($AD651&lt;=2,
SUMPRODUCT(INDEX($AL$23:$AN$61,,$AE651), INDEX($AO$23:$AU$61,,$AD651), 1 / ($AV$23:$AV$61*BS651), N($AK$23:$AK$61&gt;$AI651)),
SUMPRODUCT(INDEX($AL$23:$AN$46,,$AE651), INDEX($AO$23:$AU$46,,$AD651), 1 / ($AW$23:$AW$46*BS651), N($AK$23:$AK$46&gt;$AI651))
) / 1000</f>
        <v>0</v>
      </c>
      <c r="BV651" s="237">
        <f t="shared" si="651"/>
        <v>0</v>
      </c>
      <c r="BW651" s="210"/>
      <c r="BX651" s="237">
        <f t="shared" si="652"/>
        <v>0</v>
      </c>
      <c r="BY651" s="236">
        <v>35</v>
      </c>
      <c r="BZ651" s="237">
        <f t="shared" si="653"/>
        <v>48</v>
      </c>
      <c r="CA651" s="253">
        <f t="shared" si="654"/>
        <v>3.0748170731707316</v>
      </c>
      <c r="CB651" s="253" cm="1">
        <f t="array" ref="CB651">$BC651 * SUMPRODUCT(INDEX($AL$77:$AN$82,,$AE651),INDEX($AO$77:$AU$82,,$AD651), N($AK$77:$AK$82&gt;$AI651)) / CA651 / 1000</f>
        <v>0</v>
      </c>
      <c r="CC651" s="250">
        <f t="shared" si="634"/>
        <v>30</v>
      </c>
      <c r="CD651" s="237">
        <f t="shared" si="655"/>
        <v>43</v>
      </c>
      <c r="CE651" s="253">
        <f t="shared" si="656"/>
        <v>3.5018750000000001</v>
      </c>
      <c r="CF651" s="253" cm="1">
        <f t="array" ref="CF651">$BC651 * IF($AD651&lt;=2,
SUMPRODUCT(INDEX($AL$72:$AN$76,,$AE651), INDEX($AO$72:$AU$76,,$AD651), 1 / ($AV$72:$AV$76*CE651 + (1-$AV$72:$AV$76)*CA651), N($AK$72:$AK$76&gt;$AI651)),
SUMPRODUCT(INDEX($AL$67:$AN$76,,$AE651), INDEX($AO$67:$AU$76,,$AD651), 1 / ($AW$67:$AW$76*CE651 + (1-$AW$67:$AW$76)*CA651), N($AK$67:$AK$76&gt;$AI651))
) / 1000</f>
        <v>0</v>
      </c>
      <c r="CG651" s="250">
        <f t="shared" si="635"/>
        <v>25</v>
      </c>
      <c r="CH651" s="237">
        <f t="shared" si="657"/>
        <v>38</v>
      </c>
      <c r="CI651" s="253">
        <f t="shared" si="658"/>
        <v>4.0666935483870965</v>
      </c>
      <c r="CJ651" s="253" cm="1">
        <f t="array" ref="CJ651">$BC651 * IF($AD651&lt;=2,
SUMPRODUCT(INDEX($AL$67:$AN$71,,$AE651), INDEX($AO$67:$AU$71,,$AD651), 1 / ($AV$67:$AV$71*CI651 + (1-$AV$67:$AV$71)*CE651), N($AK$67:$AK$71&gt;$AI651)),
SUMPRODUCT(INDEX($AL$57:$AN$66,,$AE651), INDEX($AO$57:$AU$66,,$AD651), 1 / ($AW$57:$AW$66*CI651 + (1-$AW$57:$AW$66)*CE651), N($AK$57:$AK$66&gt;$AI651))
) / 1000</f>
        <v>0</v>
      </c>
      <c r="CK651" s="250">
        <f t="shared" si="636"/>
        <v>20</v>
      </c>
      <c r="CL651" s="237">
        <f t="shared" si="659"/>
        <v>33</v>
      </c>
      <c r="CM651" s="253">
        <f t="shared" si="660"/>
        <v>4.8487499999999999</v>
      </c>
      <c r="CN651" s="253" cm="1">
        <f t="array" ref="CN651">$BC651 * IF($AD651&lt;=2,
SUMPRODUCT(INDEX($AL$62:$AN$66,,$AE651), INDEX($AO$62:$AU$66,,$AD651), 1 / ($AV$62:$AV$66*CM651 + (1-$AV$62:$AV$66)*CI651), N($AK$62:$AK$66&gt;$AI651)),
SUMPRODUCT(INDEX($AL$47:$AN$56,,$AE651), INDEX($AO$47:$AU$56,,$AD651), 1 / ($AW$47:$AW$56*CM651 + (1-$AW$47:$AW$56)*CI651), N($AK$47:$AK$56&gt;$AI651))
) / 1000</f>
        <v>0</v>
      </c>
      <c r="CO651" s="253" cm="1">
        <f t="array" ref="CO651">$BC651 * IF($AD651&lt;=2,
SUMPRODUCT(INDEX($AL$23:$AN$61,,$AE651), INDEX($AO$23:$AU$61,,$AD651), 1 / ($AV$23:$AV$61*CM651), N($AK$23:$AK$61&gt;$AI651)),
SUMPRODUCT(INDEX($AL$23:$AN$46,,$AE651), INDEX($AO$23:$AU$46,,$AD651), 1 / ($AW$23:$AW$46*CM651), N($AK$23:$AK$46&gt;$AI651))
) / 1000</f>
        <v>0</v>
      </c>
      <c r="CP651" s="237">
        <f t="shared" si="661"/>
        <v>0</v>
      </c>
      <c r="CQ651" s="210"/>
    </row>
    <row r="652" spans="1:95" s="76" customFormat="1" ht="14.25" customHeight="1" x14ac:dyDescent="0.2">
      <c r="A652" s="238" t="b">
        <f t="shared" si="628"/>
        <v>0</v>
      </c>
      <c r="B652" s="239">
        <v>630</v>
      </c>
      <c r="C652" s="258"/>
      <c r="D652" s="258"/>
      <c r="E652" s="240"/>
      <c r="F652" s="241" t="str">
        <f>IF(ISBLANK(E652), "", VLOOKUP(E652, Z!$A$2:$C$4127, 3, FALSE))</f>
        <v/>
      </c>
      <c r="G652" s="242"/>
      <c r="H652" s="242"/>
      <c r="I652" s="243"/>
      <c r="J652" s="244"/>
      <c r="K652" s="259"/>
      <c r="L652" s="260"/>
      <c r="M652" s="247" t="str" cm="1">
        <f t="array" ref="M652">IF($K652&gt;0, INDEX(Clean,1+AG652,$C$1), "")</f>
        <v/>
      </c>
      <c r="N652" s="245"/>
      <c r="O652" s="245"/>
      <c r="P652" s="246"/>
      <c r="Q652" s="248">
        <f t="shared" si="638"/>
        <v>0</v>
      </c>
      <c r="R652" s="247" t="str" cm="1">
        <f t="array" ref="R652">IF($K652&gt;0, INDEX(Clean,1+AH652,$C$1), "")</f>
        <v/>
      </c>
      <c r="S652" s="245"/>
      <c r="T652" s="245"/>
      <c r="U652" s="246"/>
      <c r="V652" s="248">
        <f t="shared" si="639"/>
        <v>0</v>
      </c>
      <c r="W652" s="261"/>
      <c r="X652" s="258"/>
      <c r="Y652" s="240"/>
      <c r="Z652" s="241" t="str">
        <f>IF(ISBLANK(Y652), "", VLOOKUP(Y652, Z!$A$2:$C$4127, 3, FALSE))</f>
        <v/>
      </c>
      <c r="AA652" s="262"/>
      <c r="AB652" s="249">
        <f t="shared" si="637"/>
        <v>0</v>
      </c>
      <c r="AC652" s="210"/>
      <c r="AD652" s="236">
        <f t="shared" si="662"/>
        <v>1</v>
      </c>
      <c r="AE652" s="236">
        <f t="shared" si="663"/>
        <v>1</v>
      </c>
      <c r="AF652" s="236">
        <f t="shared" si="664"/>
        <v>0</v>
      </c>
      <c r="AG652" s="236">
        <v>1</v>
      </c>
      <c r="AH652" s="236">
        <v>0</v>
      </c>
      <c r="AI652" s="236">
        <f t="shared" si="640"/>
        <v>-100</v>
      </c>
      <c r="AJ652" s="210"/>
      <c r="AK652" s="254"/>
      <c r="AL652" s="254"/>
      <c r="AM652" s="255"/>
      <c r="AN652" s="255"/>
      <c r="AO652" s="255"/>
      <c r="AP652" s="255"/>
      <c r="AQ652" s="255"/>
      <c r="AR652" s="255"/>
      <c r="AS652" s="255"/>
      <c r="AT652" s="255"/>
      <c r="AU652" s="255"/>
      <c r="AV652" s="255"/>
      <c r="AW652" s="255"/>
      <c r="AX652" s="210"/>
      <c r="AY652" s="236" cm="1">
        <f t="array" ref="AY652">INDEX(Use, $AD652, 4)</f>
        <v>7</v>
      </c>
      <c r="AZ652" s="236">
        <f t="shared" si="641"/>
        <v>32</v>
      </c>
      <c r="BA652" s="236">
        <f t="shared" si="629"/>
        <v>13</v>
      </c>
      <c r="BB652" s="236">
        <f t="shared" si="630"/>
        <v>0</v>
      </c>
      <c r="BC652" s="252" cm="1">
        <f t="array" ref="BC652">K652/IF($L652&gt;0, INDEX($AO$23:$AU$77, $L652+20, $AD652), 1)</f>
        <v>0</v>
      </c>
      <c r="BD652" s="237">
        <f t="shared" si="642"/>
        <v>0</v>
      </c>
      <c r="BE652" s="236">
        <v>35</v>
      </c>
      <c r="BF652" s="237">
        <f t="shared" si="643"/>
        <v>52.55</v>
      </c>
      <c r="BG652" s="253">
        <f t="shared" si="644"/>
        <v>2.7676728869374316</v>
      </c>
      <c r="BH652" s="253" cm="1">
        <f t="array" ref="BH652">$BC652 * SUMPRODUCT(INDEX($AL$77:$AN$82,,$AE652),INDEX($AO$77:$AU$82,,$AD652), N($AK$77:$AK$82&gt;$AI652)) / BG652 / 1000</f>
        <v>0</v>
      </c>
      <c r="BI652" s="250">
        <f t="shared" si="631"/>
        <v>30</v>
      </c>
      <c r="BJ652" s="237">
        <f t="shared" si="645"/>
        <v>46.033333333333331</v>
      </c>
      <c r="BK652" s="253">
        <f t="shared" si="646"/>
        <v>3.2297395388556791</v>
      </c>
      <c r="BL652" s="253" cm="1">
        <f t="array" ref="BL652">$BC652 * IF($AD652&lt;=2,
SUMPRODUCT(INDEX($AL$72:$AN$76,,$AE652), INDEX($AO$72:$AU$76,,$AD652), 1 / ($AV$72:$AV$76*BK652 + (1-$AV$72:$AV$76)*BG652), N($AK$72:$AK$76&gt;$AI652)),
SUMPRODUCT(INDEX($AL$67:$AN$76,,$AE652), INDEX($AO$67:$AU$76,,$AD652), 1 / ($AW$67:$AW$76*BK652 + (1-$AW$67:$AW$76)*BG652), N($AK$67:$AK$76&gt;$AI652))
) / 1000</f>
        <v>0</v>
      </c>
      <c r="BM652" s="250">
        <f t="shared" si="632"/>
        <v>25</v>
      </c>
      <c r="BN652" s="237">
        <f t="shared" si="647"/>
        <v>39.516666666666666</v>
      </c>
      <c r="BO652" s="253">
        <f t="shared" si="648"/>
        <v>3.877011788826243</v>
      </c>
      <c r="BP652" s="253" cm="1">
        <f t="array" ref="BP652">$BC652 * IF($AD652&lt;=2,
SUMPRODUCT(INDEX($AL$67:$AN$71,,$AE652), INDEX($AO$67:$AU$71,,$AD652), 1 / ($AV$67:$AV$71*BO652 + (1-$AV$67:$AV$71)*BK652), N($AK$67:$AK$71&gt;$AI652)),
SUMPRODUCT(INDEX($AL$57:$AN$66,,$AE652), INDEX($AO$57:$AU$66,,$AD652), 1 / ($AW$57:$AW$66*BO652 + (1-$AW$57:$AW$66)*BK652), N($AK$57:$AK$66&gt;$AI652))
) / 1000</f>
        <v>0</v>
      </c>
      <c r="BQ652" s="250">
        <f t="shared" si="633"/>
        <v>20</v>
      </c>
      <c r="BR652" s="237">
        <f t="shared" si="649"/>
        <v>33</v>
      </c>
      <c r="BS652" s="253">
        <f t="shared" si="650"/>
        <v>4.8487499999999999</v>
      </c>
      <c r="BT652" s="253" cm="1">
        <f t="array" ref="BT652">$BC652 * IF($AD652&lt;=2,
SUMPRODUCT(INDEX($AL$62:$AN$66,,$AE652), INDEX($AO$62:$AU$66,,$AD652), 1 / ($AV$62:$AV$66*BS652 + (1-$AV$62:$AV$66)*BO652), N($AK$62:$AK$66&gt;$AI652)),
SUMPRODUCT(INDEX($AL$47:$AN$56,,$AE652), INDEX($AO$47:$AU$56,,$AD652), 1 / ($AW$47:$AW$56*BS652 + (1-$AW$47:$AW$56)*BO652), N($AK$47:$AK$56&gt;$AI652))
) / 1000</f>
        <v>0</v>
      </c>
      <c r="BU652" s="253" cm="1">
        <f t="array" ref="BU652">$BC652 * IF($AD652&lt;=2,
SUMPRODUCT(INDEX($AL$23:$AN$61,,$AE652), INDEX($AO$23:$AU$61,,$AD652), 1 / ($AV$23:$AV$61*BS652), N($AK$23:$AK$61&gt;$AI652)),
SUMPRODUCT(INDEX($AL$23:$AN$46,,$AE652), INDEX($AO$23:$AU$46,,$AD652), 1 / ($AW$23:$AW$46*BS652), N($AK$23:$AK$46&gt;$AI652))
) / 1000</f>
        <v>0</v>
      </c>
      <c r="BV652" s="237">
        <f t="shared" si="651"/>
        <v>0</v>
      </c>
      <c r="BW652" s="210"/>
      <c r="BX652" s="237">
        <f t="shared" si="652"/>
        <v>0</v>
      </c>
      <c r="BY652" s="236">
        <v>35</v>
      </c>
      <c r="BZ652" s="237">
        <f t="shared" si="653"/>
        <v>48</v>
      </c>
      <c r="CA652" s="253">
        <f t="shared" si="654"/>
        <v>3.0748170731707316</v>
      </c>
      <c r="CB652" s="253" cm="1">
        <f t="array" ref="CB652">$BC652 * SUMPRODUCT(INDEX($AL$77:$AN$82,,$AE652),INDEX($AO$77:$AU$82,,$AD652), N($AK$77:$AK$82&gt;$AI652)) / CA652 / 1000</f>
        <v>0</v>
      </c>
      <c r="CC652" s="250">
        <f t="shared" si="634"/>
        <v>30</v>
      </c>
      <c r="CD652" s="237">
        <f t="shared" si="655"/>
        <v>43</v>
      </c>
      <c r="CE652" s="253">
        <f t="shared" si="656"/>
        <v>3.5018750000000001</v>
      </c>
      <c r="CF652" s="253" cm="1">
        <f t="array" ref="CF652">$BC652 * IF($AD652&lt;=2,
SUMPRODUCT(INDEX($AL$72:$AN$76,,$AE652), INDEX($AO$72:$AU$76,,$AD652), 1 / ($AV$72:$AV$76*CE652 + (1-$AV$72:$AV$76)*CA652), N($AK$72:$AK$76&gt;$AI652)),
SUMPRODUCT(INDEX($AL$67:$AN$76,,$AE652), INDEX($AO$67:$AU$76,,$AD652), 1 / ($AW$67:$AW$76*CE652 + (1-$AW$67:$AW$76)*CA652), N($AK$67:$AK$76&gt;$AI652))
) / 1000</f>
        <v>0</v>
      </c>
      <c r="CG652" s="250">
        <f t="shared" si="635"/>
        <v>25</v>
      </c>
      <c r="CH652" s="237">
        <f t="shared" si="657"/>
        <v>38</v>
      </c>
      <c r="CI652" s="253">
        <f t="shared" si="658"/>
        <v>4.0666935483870965</v>
      </c>
      <c r="CJ652" s="253" cm="1">
        <f t="array" ref="CJ652">$BC652 * IF($AD652&lt;=2,
SUMPRODUCT(INDEX($AL$67:$AN$71,,$AE652), INDEX($AO$67:$AU$71,,$AD652), 1 / ($AV$67:$AV$71*CI652 + (1-$AV$67:$AV$71)*CE652), N($AK$67:$AK$71&gt;$AI652)),
SUMPRODUCT(INDEX($AL$57:$AN$66,,$AE652), INDEX($AO$57:$AU$66,,$AD652), 1 / ($AW$57:$AW$66*CI652 + (1-$AW$57:$AW$66)*CE652), N($AK$57:$AK$66&gt;$AI652))
) / 1000</f>
        <v>0</v>
      </c>
      <c r="CK652" s="250">
        <f t="shared" si="636"/>
        <v>20</v>
      </c>
      <c r="CL652" s="237">
        <f t="shared" si="659"/>
        <v>33</v>
      </c>
      <c r="CM652" s="253">
        <f t="shared" si="660"/>
        <v>4.8487499999999999</v>
      </c>
      <c r="CN652" s="253" cm="1">
        <f t="array" ref="CN652">$BC652 * IF($AD652&lt;=2,
SUMPRODUCT(INDEX($AL$62:$AN$66,,$AE652), INDEX($AO$62:$AU$66,,$AD652), 1 / ($AV$62:$AV$66*CM652 + (1-$AV$62:$AV$66)*CI652), N($AK$62:$AK$66&gt;$AI652)),
SUMPRODUCT(INDEX($AL$47:$AN$56,,$AE652), INDEX($AO$47:$AU$56,,$AD652), 1 / ($AW$47:$AW$56*CM652 + (1-$AW$47:$AW$56)*CI652), N($AK$47:$AK$56&gt;$AI652))
) / 1000</f>
        <v>0</v>
      </c>
      <c r="CO652" s="253" cm="1">
        <f t="array" ref="CO652">$BC652 * IF($AD652&lt;=2,
SUMPRODUCT(INDEX($AL$23:$AN$61,,$AE652), INDEX($AO$23:$AU$61,,$AD652), 1 / ($AV$23:$AV$61*CM652), N($AK$23:$AK$61&gt;$AI652)),
SUMPRODUCT(INDEX($AL$23:$AN$46,,$AE652), INDEX($AO$23:$AU$46,,$AD652), 1 / ($AW$23:$AW$46*CM652), N($AK$23:$AK$46&gt;$AI652))
) / 1000</f>
        <v>0</v>
      </c>
      <c r="CP652" s="237">
        <f t="shared" si="661"/>
        <v>0</v>
      </c>
      <c r="CQ652" s="210"/>
    </row>
    <row r="653" spans="1:95" s="76" customFormat="1" ht="14.25" customHeight="1" x14ac:dyDescent="0.2">
      <c r="A653" s="238" t="b">
        <f t="shared" si="628"/>
        <v>0</v>
      </c>
      <c r="B653" s="239">
        <v>631</v>
      </c>
      <c r="C653" s="258"/>
      <c r="D653" s="258"/>
      <c r="E653" s="240"/>
      <c r="F653" s="241" t="str">
        <f>IF(ISBLANK(E653), "", VLOOKUP(E653, Z!$A$2:$C$4127, 3, FALSE))</f>
        <v/>
      </c>
      <c r="G653" s="242"/>
      <c r="H653" s="242"/>
      <c r="I653" s="243"/>
      <c r="J653" s="244"/>
      <c r="K653" s="259"/>
      <c r="L653" s="260"/>
      <c r="M653" s="247" t="str" cm="1">
        <f t="array" ref="M653">IF($K653&gt;0, INDEX(Clean,1+AG653,$C$1), "")</f>
        <v/>
      </c>
      <c r="N653" s="245"/>
      <c r="O653" s="245"/>
      <c r="P653" s="246"/>
      <c r="Q653" s="248">
        <f t="shared" si="638"/>
        <v>0</v>
      </c>
      <c r="R653" s="247" t="str" cm="1">
        <f t="array" ref="R653">IF($K653&gt;0, INDEX(Clean,1+AH653,$C$1), "")</f>
        <v/>
      </c>
      <c r="S653" s="245"/>
      <c r="T653" s="245"/>
      <c r="U653" s="246"/>
      <c r="V653" s="248">
        <f t="shared" si="639"/>
        <v>0</v>
      </c>
      <c r="W653" s="261"/>
      <c r="X653" s="258"/>
      <c r="Y653" s="240"/>
      <c r="Z653" s="241" t="str">
        <f>IF(ISBLANK(Y653), "", VLOOKUP(Y653, Z!$A$2:$C$4127, 3, FALSE))</f>
        <v/>
      </c>
      <c r="AA653" s="262"/>
      <c r="AB653" s="249">
        <f t="shared" si="637"/>
        <v>0</v>
      </c>
      <c r="AC653" s="210"/>
      <c r="AD653" s="236">
        <f t="shared" si="662"/>
        <v>1</v>
      </c>
      <c r="AE653" s="236">
        <f t="shared" si="663"/>
        <v>1</v>
      </c>
      <c r="AF653" s="236">
        <f t="shared" si="664"/>
        <v>0</v>
      </c>
      <c r="AG653" s="236">
        <v>1</v>
      </c>
      <c r="AH653" s="236">
        <v>0</v>
      </c>
      <c r="AI653" s="236">
        <f t="shared" si="640"/>
        <v>-100</v>
      </c>
      <c r="AJ653" s="210"/>
      <c r="AK653" s="254"/>
      <c r="AL653" s="254"/>
      <c r="AM653" s="255"/>
      <c r="AN653" s="255"/>
      <c r="AO653" s="255"/>
      <c r="AP653" s="255"/>
      <c r="AQ653" s="255"/>
      <c r="AR653" s="255"/>
      <c r="AS653" s="255"/>
      <c r="AT653" s="255"/>
      <c r="AU653" s="255"/>
      <c r="AV653" s="255"/>
      <c r="AW653" s="255"/>
      <c r="AX653" s="210"/>
      <c r="AY653" s="236" cm="1">
        <f t="array" ref="AY653">INDEX(Use, $AD653, 4)</f>
        <v>7</v>
      </c>
      <c r="AZ653" s="236">
        <f t="shared" si="641"/>
        <v>32</v>
      </c>
      <c r="BA653" s="236">
        <f t="shared" si="629"/>
        <v>13</v>
      </c>
      <c r="BB653" s="236">
        <f t="shared" si="630"/>
        <v>0</v>
      </c>
      <c r="BC653" s="252" cm="1">
        <f t="array" ref="BC653">K653/IF($L653&gt;0, INDEX($AO$23:$AU$77, $L653+20, $AD653), 1)</f>
        <v>0</v>
      </c>
      <c r="BD653" s="237">
        <f t="shared" si="642"/>
        <v>0</v>
      </c>
      <c r="BE653" s="236">
        <v>35</v>
      </c>
      <c r="BF653" s="237">
        <f t="shared" si="643"/>
        <v>52.55</v>
      </c>
      <c r="BG653" s="253">
        <f t="shared" si="644"/>
        <v>2.7676728869374316</v>
      </c>
      <c r="BH653" s="253" cm="1">
        <f t="array" ref="BH653">$BC653 * SUMPRODUCT(INDEX($AL$77:$AN$82,,$AE653),INDEX($AO$77:$AU$82,,$AD653), N($AK$77:$AK$82&gt;$AI653)) / BG653 / 1000</f>
        <v>0</v>
      </c>
      <c r="BI653" s="250">
        <f t="shared" si="631"/>
        <v>30</v>
      </c>
      <c r="BJ653" s="237">
        <f t="shared" si="645"/>
        <v>46.033333333333331</v>
      </c>
      <c r="BK653" s="253">
        <f t="shared" si="646"/>
        <v>3.2297395388556791</v>
      </c>
      <c r="BL653" s="253" cm="1">
        <f t="array" ref="BL653">$BC653 * IF($AD653&lt;=2,
SUMPRODUCT(INDEX($AL$72:$AN$76,,$AE653), INDEX($AO$72:$AU$76,,$AD653), 1 / ($AV$72:$AV$76*BK653 + (1-$AV$72:$AV$76)*BG653), N($AK$72:$AK$76&gt;$AI653)),
SUMPRODUCT(INDEX($AL$67:$AN$76,,$AE653), INDEX($AO$67:$AU$76,,$AD653), 1 / ($AW$67:$AW$76*BK653 + (1-$AW$67:$AW$76)*BG653), N($AK$67:$AK$76&gt;$AI653))
) / 1000</f>
        <v>0</v>
      </c>
      <c r="BM653" s="250">
        <f t="shared" si="632"/>
        <v>25</v>
      </c>
      <c r="BN653" s="237">
        <f t="shared" si="647"/>
        <v>39.516666666666666</v>
      </c>
      <c r="BO653" s="253">
        <f t="shared" si="648"/>
        <v>3.877011788826243</v>
      </c>
      <c r="BP653" s="253" cm="1">
        <f t="array" ref="BP653">$BC653 * IF($AD653&lt;=2,
SUMPRODUCT(INDEX($AL$67:$AN$71,,$AE653), INDEX($AO$67:$AU$71,,$AD653), 1 / ($AV$67:$AV$71*BO653 + (1-$AV$67:$AV$71)*BK653), N($AK$67:$AK$71&gt;$AI653)),
SUMPRODUCT(INDEX($AL$57:$AN$66,,$AE653), INDEX($AO$57:$AU$66,,$AD653), 1 / ($AW$57:$AW$66*BO653 + (1-$AW$57:$AW$66)*BK653), N($AK$57:$AK$66&gt;$AI653))
) / 1000</f>
        <v>0</v>
      </c>
      <c r="BQ653" s="250">
        <f t="shared" si="633"/>
        <v>20</v>
      </c>
      <c r="BR653" s="237">
        <f t="shared" si="649"/>
        <v>33</v>
      </c>
      <c r="BS653" s="253">
        <f t="shared" si="650"/>
        <v>4.8487499999999999</v>
      </c>
      <c r="BT653" s="253" cm="1">
        <f t="array" ref="BT653">$BC653 * IF($AD653&lt;=2,
SUMPRODUCT(INDEX($AL$62:$AN$66,,$AE653), INDEX($AO$62:$AU$66,,$AD653), 1 / ($AV$62:$AV$66*BS653 + (1-$AV$62:$AV$66)*BO653), N($AK$62:$AK$66&gt;$AI653)),
SUMPRODUCT(INDEX($AL$47:$AN$56,,$AE653), INDEX($AO$47:$AU$56,,$AD653), 1 / ($AW$47:$AW$56*BS653 + (1-$AW$47:$AW$56)*BO653), N($AK$47:$AK$56&gt;$AI653))
) / 1000</f>
        <v>0</v>
      </c>
      <c r="BU653" s="253" cm="1">
        <f t="array" ref="BU653">$BC653 * IF($AD653&lt;=2,
SUMPRODUCT(INDEX($AL$23:$AN$61,,$AE653), INDEX($AO$23:$AU$61,,$AD653), 1 / ($AV$23:$AV$61*BS653), N($AK$23:$AK$61&gt;$AI653)),
SUMPRODUCT(INDEX($AL$23:$AN$46,,$AE653), INDEX($AO$23:$AU$46,,$AD653), 1 / ($AW$23:$AW$46*BS653), N($AK$23:$AK$46&gt;$AI653))
) / 1000</f>
        <v>0</v>
      </c>
      <c r="BV653" s="237">
        <f t="shared" si="651"/>
        <v>0</v>
      </c>
      <c r="BW653" s="210"/>
      <c r="BX653" s="237">
        <f t="shared" si="652"/>
        <v>0</v>
      </c>
      <c r="BY653" s="236">
        <v>35</v>
      </c>
      <c r="BZ653" s="237">
        <f t="shared" si="653"/>
        <v>48</v>
      </c>
      <c r="CA653" s="253">
        <f t="shared" si="654"/>
        <v>3.0748170731707316</v>
      </c>
      <c r="CB653" s="253" cm="1">
        <f t="array" ref="CB653">$BC653 * SUMPRODUCT(INDEX($AL$77:$AN$82,,$AE653),INDEX($AO$77:$AU$82,,$AD653), N($AK$77:$AK$82&gt;$AI653)) / CA653 / 1000</f>
        <v>0</v>
      </c>
      <c r="CC653" s="250">
        <f t="shared" si="634"/>
        <v>30</v>
      </c>
      <c r="CD653" s="237">
        <f t="shared" si="655"/>
        <v>43</v>
      </c>
      <c r="CE653" s="253">
        <f t="shared" si="656"/>
        <v>3.5018750000000001</v>
      </c>
      <c r="CF653" s="253" cm="1">
        <f t="array" ref="CF653">$BC653 * IF($AD653&lt;=2,
SUMPRODUCT(INDEX($AL$72:$AN$76,,$AE653), INDEX($AO$72:$AU$76,,$AD653), 1 / ($AV$72:$AV$76*CE653 + (1-$AV$72:$AV$76)*CA653), N($AK$72:$AK$76&gt;$AI653)),
SUMPRODUCT(INDEX($AL$67:$AN$76,,$AE653), INDEX($AO$67:$AU$76,,$AD653), 1 / ($AW$67:$AW$76*CE653 + (1-$AW$67:$AW$76)*CA653), N($AK$67:$AK$76&gt;$AI653))
) / 1000</f>
        <v>0</v>
      </c>
      <c r="CG653" s="250">
        <f t="shared" si="635"/>
        <v>25</v>
      </c>
      <c r="CH653" s="237">
        <f t="shared" si="657"/>
        <v>38</v>
      </c>
      <c r="CI653" s="253">
        <f t="shared" si="658"/>
        <v>4.0666935483870965</v>
      </c>
      <c r="CJ653" s="253" cm="1">
        <f t="array" ref="CJ653">$BC653 * IF($AD653&lt;=2,
SUMPRODUCT(INDEX($AL$67:$AN$71,,$AE653), INDEX($AO$67:$AU$71,,$AD653), 1 / ($AV$67:$AV$71*CI653 + (1-$AV$67:$AV$71)*CE653), N($AK$67:$AK$71&gt;$AI653)),
SUMPRODUCT(INDEX($AL$57:$AN$66,,$AE653), INDEX($AO$57:$AU$66,,$AD653), 1 / ($AW$57:$AW$66*CI653 + (1-$AW$57:$AW$66)*CE653), N($AK$57:$AK$66&gt;$AI653))
) / 1000</f>
        <v>0</v>
      </c>
      <c r="CK653" s="250">
        <f t="shared" si="636"/>
        <v>20</v>
      </c>
      <c r="CL653" s="237">
        <f t="shared" si="659"/>
        <v>33</v>
      </c>
      <c r="CM653" s="253">
        <f t="shared" si="660"/>
        <v>4.8487499999999999</v>
      </c>
      <c r="CN653" s="253" cm="1">
        <f t="array" ref="CN653">$BC653 * IF($AD653&lt;=2,
SUMPRODUCT(INDEX($AL$62:$AN$66,,$AE653), INDEX($AO$62:$AU$66,,$AD653), 1 / ($AV$62:$AV$66*CM653 + (1-$AV$62:$AV$66)*CI653), N($AK$62:$AK$66&gt;$AI653)),
SUMPRODUCT(INDEX($AL$47:$AN$56,,$AE653), INDEX($AO$47:$AU$56,,$AD653), 1 / ($AW$47:$AW$56*CM653 + (1-$AW$47:$AW$56)*CI653), N($AK$47:$AK$56&gt;$AI653))
) / 1000</f>
        <v>0</v>
      </c>
      <c r="CO653" s="253" cm="1">
        <f t="array" ref="CO653">$BC653 * IF($AD653&lt;=2,
SUMPRODUCT(INDEX($AL$23:$AN$61,,$AE653), INDEX($AO$23:$AU$61,,$AD653), 1 / ($AV$23:$AV$61*CM653), N($AK$23:$AK$61&gt;$AI653)),
SUMPRODUCT(INDEX($AL$23:$AN$46,,$AE653), INDEX($AO$23:$AU$46,,$AD653), 1 / ($AW$23:$AW$46*CM653), N($AK$23:$AK$46&gt;$AI653))
) / 1000</f>
        <v>0</v>
      </c>
      <c r="CP653" s="237">
        <f t="shared" si="661"/>
        <v>0</v>
      </c>
      <c r="CQ653" s="210"/>
    </row>
    <row r="654" spans="1:95" s="76" customFormat="1" ht="14.25" customHeight="1" x14ac:dyDescent="0.2">
      <c r="A654" s="238" t="b">
        <f t="shared" si="628"/>
        <v>0</v>
      </c>
      <c r="B654" s="239">
        <v>632</v>
      </c>
      <c r="C654" s="258"/>
      <c r="D654" s="258"/>
      <c r="E654" s="240"/>
      <c r="F654" s="241" t="str">
        <f>IF(ISBLANK(E654), "", VLOOKUP(E654, Z!$A$2:$C$4127, 3, FALSE))</f>
        <v/>
      </c>
      <c r="G654" s="242"/>
      <c r="H654" s="242"/>
      <c r="I654" s="243"/>
      <c r="J654" s="244"/>
      <c r="K654" s="259"/>
      <c r="L654" s="260"/>
      <c r="M654" s="247" t="str" cm="1">
        <f t="array" ref="M654">IF($K654&gt;0, INDEX(Clean,1+AG654,$C$1), "")</f>
        <v/>
      </c>
      <c r="N654" s="245"/>
      <c r="O654" s="245"/>
      <c r="P654" s="246"/>
      <c r="Q654" s="248">
        <f t="shared" si="638"/>
        <v>0</v>
      </c>
      <c r="R654" s="247" t="str" cm="1">
        <f t="array" ref="R654">IF($K654&gt;0, INDEX(Clean,1+AH654,$C$1), "")</f>
        <v/>
      </c>
      <c r="S654" s="245"/>
      <c r="T654" s="245"/>
      <c r="U654" s="246"/>
      <c r="V654" s="248">
        <f t="shared" si="639"/>
        <v>0</v>
      </c>
      <c r="W654" s="261"/>
      <c r="X654" s="258"/>
      <c r="Y654" s="240"/>
      <c r="Z654" s="241" t="str">
        <f>IF(ISBLANK(Y654), "", VLOOKUP(Y654, Z!$A$2:$C$4127, 3, FALSE))</f>
        <v/>
      </c>
      <c r="AA654" s="262"/>
      <c r="AB654" s="249">
        <f t="shared" si="637"/>
        <v>0</v>
      </c>
      <c r="AC654" s="210"/>
      <c r="AD654" s="236">
        <f t="shared" si="662"/>
        <v>1</v>
      </c>
      <c r="AE654" s="236">
        <f t="shared" si="663"/>
        <v>1</v>
      </c>
      <c r="AF654" s="236">
        <f t="shared" si="664"/>
        <v>0</v>
      </c>
      <c r="AG654" s="236">
        <v>1</v>
      </c>
      <c r="AH654" s="236">
        <v>0</v>
      </c>
      <c r="AI654" s="236">
        <f t="shared" si="640"/>
        <v>-100</v>
      </c>
      <c r="AJ654" s="210"/>
      <c r="AK654" s="254"/>
      <c r="AL654" s="254"/>
      <c r="AM654" s="255"/>
      <c r="AN654" s="255"/>
      <c r="AO654" s="255"/>
      <c r="AP654" s="255"/>
      <c r="AQ654" s="255"/>
      <c r="AR654" s="255"/>
      <c r="AS654" s="255"/>
      <c r="AT654" s="255"/>
      <c r="AU654" s="255"/>
      <c r="AV654" s="255"/>
      <c r="AW654" s="255"/>
      <c r="AX654" s="210"/>
      <c r="AY654" s="236" cm="1">
        <f t="array" ref="AY654">INDEX(Use, $AD654, 4)</f>
        <v>7</v>
      </c>
      <c r="AZ654" s="236">
        <f t="shared" si="641"/>
        <v>32</v>
      </c>
      <c r="BA654" s="236">
        <f t="shared" si="629"/>
        <v>13</v>
      </c>
      <c r="BB654" s="236">
        <f t="shared" si="630"/>
        <v>0</v>
      </c>
      <c r="BC654" s="252" cm="1">
        <f t="array" ref="BC654">K654/IF($L654&gt;0, INDEX($AO$23:$AU$77, $L654+20, $AD654), 1)</f>
        <v>0</v>
      </c>
      <c r="BD654" s="237">
        <f t="shared" si="642"/>
        <v>0</v>
      </c>
      <c r="BE654" s="236">
        <v>35</v>
      </c>
      <c r="BF654" s="237">
        <f t="shared" si="643"/>
        <v>52.55</v>
      </c>
      <c r="BG654" s="253">
        <f t="shared" si="644"/>
        <v>2.7676728869374316</v>
      </c>
      <c r="BH654" s="253" cm="1">
        <f t="array" ref="BH654">$BC654 * SUMPRODUCT(INDEX($AL$77:$AN$82,,$AE654),INDEX($AO$77:$AU$82,,$AD654), N($AK$77:$AK$82&gt;$AI654)) / BG654 / 1000</f>
        <v>0</v>
      </c>
      <c r="BI654" s="250">
        <f t="shared" si="631"/>
        <v>30</v>
      </c>
      <c r="BJ654" s="237">
        <f t="shared" si="645"/>
        <v>46.033333333333331</v>
      </c>
      <c r="BK654" s="253">
        <f t="shared" si="646"/>
        <v>3.2297395388556791</v>
      </c>
      <c r="BL654" s="253" cm="1">
        <f t="array" ref="BL654">$BC654 * IF($AD654&lt;=2,
SUMPRODUCT(INDEX($AL$72:$AN$76,,$AE654), INDEX($AO$72:$AU$76,,$AD654), 1 / ($AV$72:$AV$76*BK654 + (1-$AV$72:$AV$76)*BG654), N($AK$72:$AK$76&gt;$AI654)),
SUMPRODUCT(INDEX($AL$67:$AN$76,,$AE654), INDEX($AO$67:$AU$76,,$AD654), 1 / ($AW$67:$AW$76*BK654 + (1-$AW$67:$AW$76)*BG654), N($AK$67:$AK$76&gt;$AI654))
) / 1000</f>
        <v>0</v>
      </c>
      <c r="BM654" s="250">
        <f t="shared" si="632"/>
        <v>25</v>
      </c>
      <c r="BN654" s="237">
        <f t="shared" si="647"/>
        <v>39.516666666666666</v>
      </c>
      <c r="BO654" s="253">
        <f t="shared" si="648"/>
        <v>3.877011788826243</v>
      </c>
      <c r="BP654" s="253" cm="1">
        <f t="array" ref="BP654">$BC654 * IF($AD654&lt;=2,
SUMPRODUCT(INDEX($AL$67:$AN$71,,$AE654), INDEX($AO$67:$AU$71,,$AD654), 1 / ($AV$67:$AV$71*BO654 + (1-$AV$67:$AV$71)*BK654), N($AK$67:$AK$71&gt;$AI654)),
SUMPRODUCT(INDEX($AL$57:$AN$66,,$AE654), INDEX($AO$57:$AU$66,,$AD654), 1 / ($AW$57:$AW$66*BO654 + (1-$AW$57:$AW$66)*BK654), N($AK$57:$AK$66&gt;$AI654))
) / 1000</f>
        <v>0</v>
      </c>
      <c r="BQ654" s="250">
        <f t="shared" si="633"/>
        <v>20</v>
      </c>
      <c r="BR654" s="237">
        <f t="shared" si="649"/>
        <v>33</v>
      </c>
      <c r="BS654" s="253">
        <f t="shared" si="650"/>
        <v>4.8487499999999999</v>
      </c>
      <c r="BT654" s="253" cm="1">
        <f t="array" ref="BT654">$BC654 * IF($AD654&lt;=2,
SUMPRODUCT(INDEX($AL$62:$AN$66,,$AE654), INDEX($AO$62:$AU$66,,$AD654), 1 / ($AV$62:$AV$66*BS654 + (1-$AV$62:$AV$66)*BO654), N($AK$62:$AK$66&gt;$AI654)),
SUMPRODUCT(INDEX($AL$47:$AN$56,,$AE654), INDEX($AO$47:$AU$56,,$AD654), 1 / ($AW$47:$AW$56*BS654 + (1-$AW$47:$AW$56)*BO654), N($AK$47:$AK$56&gt;$AI654))
) / 1000</f>
        <v>0</v>
      </c>
      <c r="BU654" s="253" cm="1">
        <f t="array" ref="BU654">$BC654 * IF($AD654&lt;=2,
SUMPRODUCT(INDEX($AL$23:$AN$61,,$AE654), INDEX($AO$23:$AU$61,,$AD654), 1 / ($AV$23:$AV$61*BS654), N($AK$23:$AK$61&gt;$AI654)),
SUMPRODUCT(INDEX($AL$23:$AN$46,,$AE654), INDEX($AO$23:$AU$46,,$AD654), 1 / ($AW$23:$AW$46*BS654), N($AK$23:$AK$46&gt;$AI654))
) / 1000</f>
        <v>0</v>
      </c>
      <c r="BV654" s="237">
        <f t="shared" si="651"/>
        <v>0</v>
      </c>
      <c r="BW654" s="210"/>
      <c r="BX654" s="237">
        <f t="shared" si="652"/>
        <v>0</v>
      </c>
      <c r="BY654" s="236">
        <v>35</v>
      </c>
      <c r="BZ654" s="237">
        <f t="shared" si="653"/>
        <v>48</v>
      </c>
      <c r="CA654" s="253">
        <f t="shared" si="654"/>
        <v>3.0748170731707316</v>
      </c>
      <c r="CB654" s="253" cm="1">
        <f t="array" ref="CB654">$BC654 * SUMPRODUCT(INDEX($AL$77:$AN$82,,$AE654),INDEX($AO$77:$AU$82,,$AD654), N($AK$77:$AK$82&gt;$AI654)) / CA654 / 1000</f>
        <v>0</v>
      </c>
      <c r="CC654" s="250">
        <f t="shared" si="634"/>
        <v>30</v>
      </c>
      <c r="CD654" s="237">
        <f t="shared" si="655"/>
        <v>43</v>
      </c>
      <c r="CE654" s="253">
        <f t="shared" si="656"/>
        <v>3.5018750000000001</v>
      </c>
      <c r="CF654" s="253" cm="1">
        <f t="array" ref="CF654">$BC654 * IF($AD654&lt;=2,
SUMPRODUCT(INDEX($AL$72:$AN$76,,$AE654), INDEX($AO$72:$AU$76,,$AD654), 1 / ($AV$72:$AV$76*CE654 + (1-$AV$72:$AV$76)*CA654), N($AK$72:$AK$76&gt;$AI654)),
SUMPRODUCT(INDEX($AL$67:$AN$76,,$AE654), INDEX($AO$67:$AU$76,,$AD654), 1 / ($AW$67:$AW$76*CE654 + (1-$AW$67:$AW$76)*CA654), N($AK$67:$AK$76&gt;$AI654))
) / 1000</f>
        <v>0</v>
      </c>
      <c r="CG654" s="250">
        <f t="shared" si="635"/>
        <v>25</v>
      </c>
      <c r="CH654" s="237">
        <f t="shared" si="657"/>
        <v>38</v>
      </c>
      <c r="CI654" s="253">
        <f t="shared" si="658"/>
        <v>4.0666935483870965</v>
      </c>
      <c r="CJ654" s="253" cm="1">
        <f t="array" ref="CJ654">$BC654 * IF($AD654&lt;=2,
SUMPRODUCT(INDEX($AL$67:$AN$71,,$AE654), INDEX($AO$67:$AU$71,,$AD654), 1 / ($AV$67:$AV$71*CI654 + (1-$AV$67:$AV$71)*CE654), N($AK$67:$AK$71&gt;$AI654)),
SUMPRODUCT(INDEX($AL$57:$AN$66,,$AE654), INDEX($AO$57:$AU$66,,$AD654), 1 / ($AW$57:$AW$66*CI654 + (1-$AW$57:$AW$66)*CE654), N($AK$57:$AK$66&gt;$AI654))
) / 1000</f>
        <v>0</v>
      </c>
      <c r="CK654" s="250">
        <f t="shared" si="636"/>
        <v>20</v>
      </c>
      <c r="CL654" s="237">
        <f t="shared" si="659"/>
        <v>33</v>
      </c>
      <c r="CM654" s="253">
        <f t="shared" si="660"/>
        <v>4.8487499999999999</v>
      </c>
      <c r="CN654" s="253" cm="1">
        <f t="array" ref="CN654">$BC654 * IF($AD654&lt;=2,
SUMPRODUCT(INDEX($AL$62:$AN$66,,$AE654), INDEX($AO$62:$AU$66,,$AD654), 1 / ($AV$62:$AV$66*CM654 + (1-$AV$62:$AV$66)*CI654), N($AK$62:$AK$66&gt;$AI654)),
SUMPRODUCT(INDEX($AL$47:$AN$56,,$AE654), INDEX($AO$47:$AU$56,,$AD654), 1 / ($AW$47:$AW$56*CM654 + (1-$AW$47:$AW$56)*CI654), N($AK$47:$AK$56&gt;$AI654))
) / 1000</f>
        <v>0</v>
      </c>
      <c r="CO654" s="253" cm="1">
        <f t="array" ref="CO654">$BC654 * IF($AD654&lt;=2,
SUMPRODUCT(INDEX($AL$23:$AN$61,,$AE654), INDEX($AO$23:$AU$61,,$AD654), 1 / ($AV$23:$AV$61*CM654), N($AK$23:$AK$61&gt;$AI654)),
SUMPRODUCT(INDEX($AL$23:$AN$46,,$AE654), INDEX($AO$23:$AU$46,,$AD654), 1 / ($AW$23:$AW$46*CM654), N($AK$23:$AK$46&gt;$AI654))
) / 1000</f>
        <v>0</v>
      </c>
      <c r="CP654" s="237">
        <f t="shared" si="661"/>
        <v>0</v>
      </c>
      <c r="CQ654" s="210"/>
    </row>
    <row r="655" spans="1:95" s="76" customFormat="1" ht="14.25" customHeight="1" x14ac:dyDescent="0.2">
      <c r="A655" s="238" t="b">
        <f t="shared" si="628"/>
        <v>0</v>
      </c>
      <c r="B655" s="239">
        <v>633</v>
      </c>
      <c r="C655" s="258"/>
      <c r="D655" s="258"/>
      <c r="E655" s="240"/>
      <c r="F655" s="241" t="str">
        <f>IF(ISBLANK(E655), "", VLOOKUP(E655, Z!$A$2:$C$4127, 3, FALSE))</f>
        <v/>
      </c>
      <c r="G655" s="242"/>
      <c r="H655" s="242"/>
      <c r="I655" s="243"/>
      <c r="J655" s="244"/>
      <c r="K655" s="259"/>
      <c r="L655" s="260"/>
      <c r="M655" s="247" t="str" cm="1">
        <f t="array" ref="M655">IF($K655&gt;0, INDEX(Clean,1+AG655,$C$1), "")</f>
        <v/>
      </c>
      <c r="N655" s="245"/>
      <c r="O655" s="245"/>
      <c r="P655" s="246"/>
      <c r="Q655" s="248">
        <f t="shared" si="638"/>
        <v>0</v>
      </c>
      <c r="R655" s="247" t="str" cm="1">
        <f t="array" ref="R655">IF($K655&gt;0, INDEX(Clean,1+AH655,$C$1), "")</f>
        <v/>
      </c>
      <c r="S655" s="245"/>
      <c r="T655" s="245"/>
      <c r="U655" s="246"/>
      <c r="V655" s="248">
        <f t="shared" si="639"/>
        <v>0</v>
      </c>
      <c r="W655" s="261"/>
      <c r="X655" s="258"/>
      <c r="Y655" s="240"/>
      <c r="Z655" s="241" t="str">
        <f>IF(ISBLANK(Y655), "", VLOOKUP(Y655, Z!$A$2:$C$4127, 3, FALSE))</f>
        <v/>
      </c>
      <c r="AA655" s="262"/>
      <c r="AB655" s="249">
        <f t="shared" si="637"/>
        <v>0</v>
      </c>
      <c r="AC655" s="210"/>
      <c r="AD655" s="236">
        <f t="shared" si="662"/>
        <v>1</v>
      </c>
      <c r="AE655" s="236">
        <f t="shared" si="663"/>
        <v>1</v>
      </c>
      <c r="AF655" s="236">
        <f t="shared" si="664"/>
        <v>0</v>
      </c>
      <c r="AG655" s="236">
        <v>1</v>
      </c>
      <c r="AH655" s="236">
        <v>0</v>
      </c>
      <c r="AI655" s="236">
        <f t="shared" si="640"/>
        <v>-100</v>
      </c>
      <c r="AJ655" s="210"/>
      <c r="AK655" s="254"/>
      <c r="AL655" s="254"/>
      <c r="AM655" s="255"/>
      <c r="AN655" s="255"/>
      <c r="AO655" s="255"/>
      <c r="AP655" s="255"/>
      <c r="AQ655" s="255"/>
      <c r="AR655" s="255"/>
      <c r="AS655" s="255"/>
      <c r="AT655" s="255"/>
      <c r="AU655" s="255"/>
      <c r="AV655" s="255"/>
      <c r="AW655" s="255"/>
      <c r="AX655" s="210"/>
      <c r="AY655" s="236" cm="1">
        <f t="array" ref="AY655">INDEX(Use, $AD655, 4)</f>
        <v>7</v>
      </c>
      <c r="AZ655" s="236">
        <f t="shared" si="641"/>
        <v>32</v>
      </c>
      <c r="BA655" s="236">
        <f t="shared" si="629"/>
        <v>13</v>
      </c>
      <c r="BB655" s="236">
        <f t="shared" si="630"/>
        <v>0</v>
      </c>
      <c r="BC655" s="252" cm="1">
        <f t="array" ref="BC655">K655/IF($L655&gt;0, INDEX($AO$23:$AU$77, $L655+20, $AD655), 1)</f>
        <v>0</v>
      </c>
      <c r="BD655" s="237">
        <f t="shared" si="642"/>
        <v>0</v>
      </c>
      <c r="BE655" s="236">
        <v>35</v>
      </c>
      <c r="BF655" s="237">
        <f t="shared" si="643"/>
        <v>52.55</v>
      </c>
      <c r="BG655" s="253">
        <f t="shared" si="644"/>
        <v>2.7676728869374316</v>
      </c>
      <c r="BH655" s="253" cm="1">
        <f t="array" ref="BH655">$BC655 * SUMPRODUCT(INDEX($AL$77:$AN$82,,$AE655),INDEX($AO$77:$AU$82,,$AD655), N($AK$77:$AK$82&gt;$AI655)) / BG655 / 1000</f>
        <v>0</v>
      </c>
      <c r="BI655" s="250">
        <f t="shared" si="631"/>
        <v>30</v>
      </c>
      <c r="BJ655" s="237">
        <f t="shared" si="645"/>
        <v>46.033333333333331</v>
      </c>
      <c r="BK655" s="253">
        <f t="shared" si="646"/>
        <v>3.2297395388556791</v>
      </c>
      <c r="BL655" s="253" cm="1">
        <f t="array" ref="BL655">$BC655 * IF($AD655&lt;=2,
SUMPRODUCT(INDEX($AL$72:$AN$76,,$AE655), INDEX($AO$72:$AU$76,,$AD655), 1 / ($AV$72:$AV$76*BK655 + (1-$AV$72:$AV$76)*BG655), N($AK$72:$AK$76&gt;$AI655)),
SUMPRODUCT(INDEX($AL$67:$AN$76,,$AE655), INDEX($AO$67:$AU$76,,$AD655), 1 / ($AW$67:$AW$76*BK655 + (1-$AW$67:$AW$76)*BG655), N($AK$67:$AK$76&gt;$AI655))
) / 1000</f>
        <v>0</v>
      </c>
      <c r="BM655" s="250">
        <f t="shared" si="632"/>
        <v>25</v>
      </c>
      <c r="BN655" s="237">
        <f t="shared" si="647"/>
        <v>39.516666666666666</v>
      </c>
      <c r="BO655" s="253">
        <f t="shared" si="648"/>
        <v>3.877011788826243</v>
      </c>
      <c r="BP655" s="253" cm="1">
        <f t="array" ref="BP655">$BC655 * IF($AD655&lt;=2,
SUMPRODUCT(INDEX($AL$67:$AN$71,,$AE655), INDEX($AO$67:$AU$71,,$AD655), 1 / ($AV$67:$AV$71*BO655 + (1-$AV$67:$AV$71)*BK655), N($AK$67:$AK$71&gt;$AI655)),
SUMPRODUCT(INDEX($AL$57:$AN$66,,$AE655), INDEX($AO$57:$AU$66,,$AD655), 1 / ($AW$57:$AW$66*BO655 + (1-$AW$57:$AW$66)*BK655), N($AK$57:$AK$66&gt;$AI655))
) / 1000</f>
        <v>0</v>
      </c>
      <c r="BQ655" s="250">
        <f t="shared" si="633"/>
        <v>20</v>
      </c>
      <c r="BR655" s="237">
        <f t="shared" si="649"/>
        <v>33</v>
      </c>
      <c r="BS655" s="253">
        <f t="shared" si="650"/>
        <v>4.8487499999999999</v>
      </c>
      <c r="BT655" s="253" cm="1">
        <f t="array" ref="BT655">$BC655 * IF($AD655&lt;=2,
SUMPRODUCT(INDEX($AL$62:$AN$66,,$AE655), INDEX($AO$62:$AU$66,,$AD655), 1 / ($AV$62:$AV$66*BS655 + (1-$AV$62:$AV$66)*BO655), N($AK$62:$AK$66&gt;$AI655)),
SUMPRODUCT(INDEX($AL$47:$AN$56,,$AE655), INDEX($AO$47:$AU$56,,$AD655), 1 / ($AW$47:$AW$56*BS655 + (1-$AW$47:$AW$56)*BO655), N($AK$47:$AK$56&gt;$AI655))
) / 1000</f>
        <v>0</v>
      </c>
      <c r="BU655" s="253" cm="1">
        <f t="array" ref="BU655">$BC655 * IF($AD655&lt;=2,
SUMPRODUCT(INDEX($AL$23:$AN$61,,$AE655), INDEX($AO$23:$AU$61,,$AD655), 1 / ($AV$23:$AV$61*BS655), N($AK$23:$AK$61&gt;$AI655)),
SUMPRODUCT(INDEX($AL$23:$AN$46,,$AE655), INDEX($AO$23:$AU$46,,$AD655), 1 / ($AW$23:$AW$46*BS655), N($AK$23:$AK$46&gt;$AI655))
) / 1000</f>
        <v>0</v>
      </c>
      <c r="BV655" s="237">
        <f t="shared" si="651"/>
        <v>0</v>
      </c>
      <c r="BW655" s="210"/>
      <c r="BX655" s="237">
        <f t="shared" si="652"/>
        <v>0</v>
      </c>
      <c r="BY655" s="236">
        <v>35</v>
      </c>
      <c r="BZ655" s="237">
        <f t="shared" si="653"/>
        <v>48</v>
      </c>
      <c r="CA655" s="253">
        <f t="shared" si="654"/>
        <v>3.0748170731707316</v>
      </c>
      <c r="CB655" s="253" cm="1">
        <f t="array" ref="CB655">$BC655 * SUMPRODUCT(INDEX($AL$77:$AN$82,,$AE655),INDEX($AO$77:$AU$82,,$AD655), N($AK$77:$AK$82&gt;$AI655)) / CA655 / 1000</f>
        <v>0</v>
      </c>
      <c r="CC655" s="250">
        <f t="shared" si="634"/>
        <v>30</v>
      </c>
      <c r="CD655" s="237">
        <f t="shared" si="655"/>
        <v>43</v>
      </c>
      <c r="CE655" s="253">
        <f t="shared" si="656"/>
        <v>3.5018750000000001</v>
      </c>
      <c r="CF655" s="253" cm="1">
        <f t="array" ref="CF655">$BC655 * IF($AD655&lt;=2,
SUMPRODUCT(INDEX($AL$72:$AN$76,,$AE655), INDEX($AO$72:$AU$76,,$AD655), 1 / ($AV$72:$AV$76*CE655 + (1-$AV$72:$AV$76)*CA655), N($AK$72:$AK$76&gt;$AI655)),
SUMPRODUCT(INDEX($AL$67:$AN$76,,$AE655), INDEX($AO$67:$AU$76,,$AD655), 1 / ($AW$67:$AW$76*CE655 + (1-$AW$67:$AW$76)*CA655), N($AK$67:$AK$76&gt;$AI655))
) / 1000</f>
        <v>0</v>
      </c>
      <c r="CG655" s="250">
        <f t="shared" si="635"/>
        <v>25</v>
      </c>
      <c r="CH655" s="237">
        <f t="shared" si="657"/>
        <v>38</v>
      </c>
      <c r="CI655" s="253">
        <f t="shared" si="658"/>
        <v>4.0666935483870965</v>
      </c>
      <c r="CJ655" s="253" cm="1">
        <f t="array" ref="CJ655">$BC655 * IF($AD655&lt;=2,
SUMPRODUCT(INDEX($AL$67:$AN$71,,$AE655), INDEX($AO$67:$AU$71,,$AD655), 1 / ($AV$67:$AV$71*CI655 + (1-$AV$67:$AV$71)*CE655), N($AK$67:$AK$71&gt;$AI655)),
SUMPRODUCT(INDEX($AL$57:$AN$66,,$AE655), INDEX($AO$57:$AU$66,,$AD655), 1 / ($AW$57:$AW$66*CI655 + (1-$AW$57:$AW$66)*CE655), N($AK$57:$AK$66&gt;$AI655))
) / 1000</f>
        <v>0</v>
      </c>
      <c r="CK655" s="250">
        <f t="shared" si="636"/>
        <v>20</v>
      </c>
      <c r="CL655" s="237">
        <f t="shared" si="659"/>
        <v>33</v>
      </c>
      <c r="CM655" s="253">
        <f t="shared" si="660"/>
        <v>4.8487499999999999</v>
      </c>
      <c r="CN655" s="253" cm="1">
        <f t="array" ref="CN655">$BC655 * IF($AD655&lt;=2,
SUMPRODUCT(INDEX($AL$62:$AN$66,,$AE655), INDEX($AO$62:$AU$66,,$AD655), 1 / ($AV$62:$AV$66*CM655 + (1-$AV$62:$AV$66)*CI655), N($AK$62:$AK$66&gt;$AI655)),
SUMPRODUCT(INDEX($AL$47:$AN$56,,$AE655), INDEX($AO$47:$AU$56,,$AD655), 1 / ($AW$47:$AW$56*CM655 + (1-$AW$47:$AW$56)*CI655), N($AK$47:$AK$56&gt;$AI655))
) / 1000</f>
        <v>0</v>
      </c>
      <c r="CO655" s="253" cm="1">
        <f t="array" ref="CO655">$BC655 * IF($AD655&lt;=2,
SUMPRODUCT(INDEX($AL$23:$AN$61,,$AE655), INDEX($AO$23:$AU$61,,$AD655), 1 / ($AV$23:$AV$61*CM655), N($AK$23:$AK$61&gt;$AI655)),
SUMPRODUCT(INDEX($AL$23:$AN$46,,$AE655), INDEX($AO$23:$AU$46,,$AD655), 1 / ($AW$23:$AW$46*CM655), N($AK$23:$AK$46&gt;$AI655))
) / 1000</f>
        <v>0</v>
      </c>
      <c r="CP655" s="237">
        <f t="shared" si="661"/>
        <v>0</v>
      </c>
      <c r="CQ655" s="210"/>
    </row>
    <row r="656" spans="1:95" s="76" customFormat="1" ht="14.25" customHeight="1" x14ac:dyDescent="0.2">
      <c r="A656" s="238" t="b">
        <f t="shared" si="628"/>
        <v>0</v>
      </c>
      <c r="B656" s="239">
        <v>634</v>
      </c>
      <c r="C656" s="258"/>
      <c r="D656" s="258"/>
      <c r="E656" s="240"/>
      <c r="F656" s="241" t="str">
        <f>IF(ISBLANK(E656), "", VLOOKUP(E656, Z!$A$2:$C$4127, 3, FALSE))</f>
        <v/>
      </c>
      <c r="G656" s="242"/>
      <c r="H656" s="242"/>
      <c r="I656" s="243"/>
      <c r="J656" s="244"/>
      <c r="K656" s="259"/>
      <c r="L656" s="260"/>
      <c r="M656" s="247" t="str" cm="1">
        <f t="array" ref="M656">IF($K656&gt;0, INDEX(Clean,1+AG656,$C$1), "")</f>
        <v/>
      </c>
      <c r="N656" s="245"/>
      <c r="O656" s="245"/>
      <c r="P656" s="246"/>
      <c r="Q656" s="248">
        <f t="shared" si="638"/>
        <v>0</v>
      </c>
      <c r="R656" s="247" t="str" cm="1">
        <f t="array" ref="R656">IF($K656&gt;0, INDEX(Clean,1+AH656,$C$1), "")</f>
        <v/>
      </c>
      <c r="S656" s="245"/>
      <c r="T656" s="245"/>
      <c r="U656" s="246"/>
      <c r="V656" s="248">
        <f t="shared" si="639"/>
        <v>0</v>
      </c>
      <c r="W656" s="261"/>
      <c r="X656" s="258"/>
      <c r="Y656" s="240"/>
      <c r="Z656" s="241" t="str">
        <f>IF(ISBLANK(Y656), "", VLOOKUP(Y656, Z!$A$2:$C$4127, 3, FALSE))</f>
        <v/>
      </c>
      <c r="AA656" s="262"/>
      <c r="AB656" s="249">
        <f t="shared" si="637"/>
        <v>0</v>
      </c>
      <c r="AC656" s="210"/>
      <c r="AD656" s="236">
        <f t="shared" si="662"/>
        <v>1</v>
      </c>
      <c r="AE656" s="236">
        <f t="shared" si="663"/>
        <v>1</v>
      </c>
      <c r="AF656" s="236">
        <f t="shared" si="664"/>
        <v>0</v>
      </c>
      <c r="AG656" s="236">
        <v>1</v>
      </c>
      <c r="AH656" s="236">
        <v>0</v>
      </c>
      <c r="AI656" s="236">
        <f t="shared" si="640"/>
        <v>-100</v>
      </c>
      <c r="AJ656" s="210"/>
      <c r="AK656" s="254"/>
      <c r="AL656" s="254"/>
      <c r="AM656" s="255"/>
      <c r="AN656" s="255"/>
      <c r="AO656" s="255"/>
      <c r="AP656" s="255"/>
      <c r="AQ656" s="255"/>
      <c r="AR656" s="255"/>
      <c r="AS656" s="255"/>
      <c r="AT656" s="255"/>
      <c r="AU656" s="255"/>
      <c r="AV656" s="255"/>
      <c r="AW656" s="255"/>
      <c r="AX656" s="210"/>
      <c r="AY656" s="236" cm="1">
        <f t="array" ref="AY656">INDEX(Use, $AD656, 4)</f>
        <v>7</v>
      </c>
      <c r="AZ656" s="236">
        <f t="shared" si="641"/>
        <v>32</v>
      </c>
      <c r="BA656" s="236">
        <f t="shared" si="629"/>
        <v>13</v>
      </c>
      <c r="BB656" s="236">
        <f t="shared" si="630"/>
        <v>0</v>
      </c>
      <c r="BC656" s="252" cm="1">
        <f t="array" ref="BC656">K656/IF($L656&gt;0, INDEX($AO$23:$AU$77, $L656+20, $AD656), 1)</f>
        <v>0</v>
      </c>
      <c r="BD656" s="237">
        <f t="shared" si="642"/>
        <v>0</v>
      </c>
      <c r="BE656" s="236">
        <v>35</v>
      </c>
      <c r="BF656" s="237">
        <f t="shared" si="643"/>
        <v>52.55</v>
      </c>
      <c r="BG656" s="253">
        <f t="shared" si="644"/>
        <v>2.7676728869374316</v>
      </c>
      <c r="BH656" s="253" cm="1">
        <f t="array" ref="BH656">$BC656 * SUMPRODUCT(INDEX($AL$77:$AN$82,,$AE656),INDEX($AO$77:$AU$82,,$AD656), N($AK$77:$AK$82&gt;$AI656)) / BG656 / 1000</f>
        <v>0</v>
      </c>
      <c r="BI656" s="250">
        <f t="shared" si="631"/>
        <v>30</v>
      </c>
      <c r="BJ656" s="237">
        <f t="shared" si="645"/>
        <v>46.033333333333331</v>
      </c>
      <c r="BK656" s="253">
        <f t="shared" si="646"/>
        <v>3.2297395388556791</v>
      </c>
      <c r="BL656" s="253" cm="1">
        <f t="array" ref="BL656">$BC656 * IF($AD656&lt;=2,
SUMPRODUCT(INDEX($AL$72:$AN$76,,$AE656), INDEX($AO$72:$AU$76,,$AD656), 1 / ($AV$72:$AV$76*BK656 + (1-$AV$72:$AV$76)*BG656), N($AK$72:$AK$76&gt;$AI656)),
SUMPRODUCT(INDEX($AL$67:$AN$76,,$AE656), INDEX($AO$67:$AU$76,,$AD656), 1 / ($AW$67:$AW$76*BK656 + (1-$AW$67:$AW$76)*BG656), N($AK$67:$AK$76&gt;$AI656))
) / 1000</f>
        <v>0</v>
      </c>
      <c r="BM656" s="250">
        <f t="shared" si="632"/>
        <v>25</v>
      </c>
      <c r="BN656" s="237">
        <f t="shared" si="647"/>
        <v>39.516666666666666</v>
      </c>
      <c r="BO656" s="253">
        <f t="shared" si="648"/>
        <v>3.877011788826243</v>
      </c>
      <c r="BP656" s="253" cm="1">
        <f t="array" ref="BP656">$BC656 * IF($AD656&lt;=2,
SUMPRODUCT(INDEX($AL$67:$AN$71,,$AE656), INDEX($AO$67:$AU$71,,$AD656), 1 / ($AV$67:$AV$71*BO656 + (1-$AV$67:$AV$71)*BK656), N($AK$67:$AK$71&gt;$AI656)),
SUMPRODUCT(INDEX($AL$57:$AN$66,,$AE656), INDEX($AO$57:$AU$66,,$AD656), 1 / ($AW$57:$AW$66*BO656 + (1-$AW$57:$AW$66)*BK656), N($AK$57:$AK$66&gt;$AI656))
) / 1000</f>
        <v>0</v>
      </c>
      <c r="BQ656" s="250">
        <f t="shared" si="633"/>
        <v>20</v>
      </c>
      <c r="BR656" s="237">
        <f t="shared" si="649"/>
        <v>33</v>
      </c>
      <c r="BS656" s="253">
        <f t="shared" si="650"/>
        <v>4.8487499999999999</v>
      </c>
      <c r="BT656" s="253" cm="1">
        <f t="array" ref="BT656">$BC656 * IF($AD656&lt;=2,
SUMPRODUCT(INDEX($AL$62:$AN$66,,$AE656), INDEX($AO$62:$AU$66,,$AD656), 1 / ($AV$62:$AV$66*BS656 + (1-$AV$62:$AV$66)*BO656), N($AK$62:$AK$66&gt;$AI656)),
SUMPRODUCT(INDEX($AL$47:$AN$56,,$AE656), INDEX($AO$47:$AU$56,,$AD656), 1 / ($AW$47:$AW$56*BS656 + (1-$AW$47:$AW$56)*BO656), N($AK$47:$AK$56&gt;$AI656))
) / 1000</f>
        <v>0</v>
      </c>
      <c r="BU656" s="253" cm="1">
        <f t="array" ref="BU656">$BC656 * IF($AD656&lt;=2,
SUMPRODUCT(INDEX($AL$23:$AN$61,,$AE656), INDEX($AO$23:$AU$61,,$AD656), 1 / ($AV$23:$AV$61*BS656), N($AK$23:$AK$61&gt;$AI656)),
SUMPRODUCT(INDEX($AL$23:$AN$46,,$AE656), INDEX($AO$23:$AU$46,,$AD656), 1 / ($AW$23:$AW$46*BS656), N($AK$23:$AK$46&gt;$AI656))
) / 1000</f>
        <v>0</v>
      </c>
      <c r="BV656" s="237">
        <f t="shared" si="651"/>
        <v>0</v>
      </c>
      <c r="BW656" s="210"/>
      <c r="BX656" s="237">
        <f t="shared" si="652"/>
        <v>0</v>
      </c>
      <c r="BY656" s="236">
        <v>35</v>
      </c>
      <c r="BZ656" s="237">
        <f t="shared" si="653"/>
        <v>48</v>
      </c>
      <c r="CA656" s="253">
        <f t="shared" si="654"/>
        <v>3.0748170731707316</v>
      </c>
      <c r="CB656" s="253" cm="1">
        <f t="array" ref="CB656">$BC656 * SUMPRODUCT(INDEX($AL$77:$AN$82,,$AE656),INDEX($AO$77:$AU$82,,$AD656), N($AK$77:$AK$82&gt;$AI656)) / CA656 / 1000</f>
        <v>0</v>
      </c>
      <c r="CC656" s="250">
        <f t="shared" si="634"/>
        <v>30</v>
      </c>
      <c r="CD656" s="237">
        <f t="shared" si="655"/>
        <v>43</v>
      </c>
      <c r="CE656" s="253">
        <f t="shared" si="656"/>
        <v>3.5018750000000001</v>
      </c>
      <c r="CF656" s="253" cm="1">
        <f t="array" ref="CF656">$BC656 * IF($AD656&lt;=2,
SUMPRODUCT(INDEX($AL$72:$AN$76,,$AE656), INDEX($AO$72:$AU$76,,$AD656), 1 / ($AV$72:$AV$76*CE656 + (1-$AV$72:$AV$76)*CA656), N($AK$72:$AK$76&gt;$AI656)),
SUMPRODUCT(INDEX($AL$67:$AN$76,,$AE656), INDEX($AO$67:$AU$76,,$AD656), 1 / ($AW$67:$AW$76*CE656 + (1-$AW$67:$AW$76)*CA656), N($AK$67:$AK$76&gt;$AI656))
) / 1000</f>
        <v>0</v>
      </c>
      <c r="CG656" s="250">
        <f t="shared" si="635"/>
        <v>25</v>
      </c>
      <c r="CH656" s="237">
        <f t="shared" si="657"/>
        <v>38</v>
      </c>
      <c r="CI656" s="253">
        <f t="shared" si="658"/>
        <v>4.0666935483870965</v>
      </c>
      <c r="CJ656" s="253" cm="1">
        <f t="array" ref="CJ656">$BC656 * IF($AD656&lt;=2,
SUMPRODUCT(INDEX($AL$67:$AN$71,,$AE656), INDEX($AO$67:$AU$71,,$AD656), 1 / ($AV$67:$AV$71*CI656 + (1-$AV$67:$AV$71)*CE656), N($AK$67:$AK$71&gt;$AI656)),
SUMPRODUCT(INDEX($AL$57:$AN$66,,$AE656), INDEX($AO$57:$AU$66,,$AD656), 1 / ($AW$57:$AW$66*CI656 + (1-$AW$57:$AW$66)*CE656), N($AK$57:$AK$66&gt;$AI656))
) / 1000</f>
        <v>0</v>
      </c>
      <c r="CK656" s="250">
        <f t="shared" si="636"/>
        <v>20</v>
      </c>
      <c r="CL656" s="237">
        <f t="shared" si="659"/>
        <v>33</v>
      </c>
      <c r="CM656" s="253">
        <f t="shared" si="660"/>
        <v>4.8487499999999999</v>
      </c>
      <c r="CN656" s="253" cm="1">
        <f t="array" ref="CN656">$BC656 * IF($AD656&lt;=2,
SUMPRODUCT(INDEX($AL$62:$AN$66,,$AE656), INDEX($AO$62:$AU$66,,$AD656), 1 / ($AV$62:$AV$66*CM656 + (1-$AV$62:$AV$66)*CI656), N($AK$62:$AK$66&gt;$AI656)),
SUMPRODUCT(INDEX($AL$47:$AN$56,,$AE656), INDEX($AO$47:$AU$56,,$AD656), 1 / ($AW$47:$AW$56*CM656 + (1-$AW$47:$AW$56)*CI656), N($AK$47:$AK$56&gt;$AI656))
) / 1000</f>
        <v>0</v>
      </c>
      <c r="CO656" s="253" cm="1">
        <f t="array" ref="CO656">$BC656 * IF($AD656&lt;=2,
SUMPRODUCT(INDEX($AL$23:$AN$61,,$AE656), INDEX($AO$23:$AU$61,,$AD656), 1 / ($AV$23:$AV$61*CM656), N($AK$23:$AK$61&gt;$AI656)),
SUMPRODUCT(INDEX($AL$23:$AN$46,,$AE656), INDEX($AO$23:$AU$46,,$AD656), 1 / ($AW$23:$AW$46*CM656), N($AK$23:$AK$46&gt;$AI656))
) / 1000</f>
        <v>0</v>
      </c>
      <c r="CP656" s="237">
        <f t="shared" si="661"/>
        <v>0</v>
      </c>
      <c r="CQ656" s="210"/>
    </row>
    <row r="657" spans="1:95" s="76" customFormat="1" ht="14.25" customHeight="1" x14ac:dyDescent="0.2">
      <c r="A657" s="238" t="b">
        <f t="shared" si="628"/>
        <v>0</v>
      </c>
      <c r="B657" s="239">
        <v>635</v>
      </c>
      <c r="C657" s="258"/>
      <c r="D657" s="258"/>
      <c r="E657" s="240"/>
      <c r="F657" s="241" t="str">
        <f>IF(ISBLANK(E657), "", VLOOKUP(E657, Z!$A$2:$C$4127, 3, FALSE))</f>
        <v/>
      </c>
      <c r="G657" s="242"/>
      <c r="H657" s="242"/>
      <c r="I657" s="243"/>
      <c r="J657" s="244"/>
      <c r="K657" s="259"/>
      <c r="L657" s="260"/>
      <c r="M657" s="247" t="str" cm="1">
        <f t="array" ref="M657">IF($K657&gt;0, INDEX(Clean,1+AG657,$C$1), "")</f>
        <v/>
      </c>
      <c r="N657" s="245"/>
      <c r="O657" s="245"/>
      <c r="P657" s="246"/>
      <c r="Q657" s="248">
        <f t="shared" si="638"/>
        <v>0</v>
      </c>
      <c r="R657" s="247" t="str" cm="1">
        <f t="array" ref="R657">IF($K657&gt;0, INDEX(Clean,1+AH657,$C$1), "")</f>
        <v/>
      </c>
      <c r="S657" s="245"/>
      <c r="T657" s="245"/>
      <c r="U657" s="246"/>
      <c r="V657" s="248">
        <f t="shared" si="639"/>
        <v>0</v>
      </c>
      <c r="W657" s="261"/>
      <c r="X657" s="258"/>
      <c r="Y657" s="240"/>
      <c r="Z657" s="241" t="str">
        <f>IF(ISBLANK(Y657), "", VLOOKUP(Y657, Z!$A$2:$C$4127, 3, FALSE))</f>
        <v/>
      </c>
      <c r="AA657" s="262"/>
      <c r="AB657" s="249">
        <f t="shared" si="637"/>
        <v>0</v>
      </c>
      <c r="AC657" s="210"/>
      <c r="AD657" s="236">
        <f t="shared" si="662"/>
        <v>1</v>
      </c>
      <c r="AE657" s="236">
        <f t="shared" si="663"/>
        <v>1</v>
      </c>
      <c r="AF657" s="236">
        <f t="shared" si="664"/>
        <v>0</v>
      </c>
      <c r="AG657" s="236">
        <v>1</v>
      </c>
      <c r="AH657" s="236">
        <v>0</v>
      </c>
      <c r="AI657" s="236">
        <f t="shared" si="640"/>
        <v>-100</v>
      </c>
      <c r="AJ657" s="210"/>
      <c r="AK657" s="254"/>
      <c r="AL657" s="254"/>
      <c r="AM657" s="255"/>
      <c r="AN657" s="255"/>
      <c r="AO657" s="255"/>
      <c r="AP657" s="255"/>
      <c r="AQ657" s="255"/>
      <c r="AR657" s="255"/>
      <c r="AS657" s="255"/>
      <c r="AT657" s="255"/>
      <c r="AU657" s="255"/>
      <c r="AV657" s="255"/>
      <c r="AW657" s="255"/>
      <c r="AX657" s="210"/>
      <c r="AY657" s="236" cm="1">
        <f t="array" ref="AY657">INDEX(Use, $AD657, 4)</f>
        <v>7</v>
      </c>
      <c r="AZ657" s="236">
        <f t="shared" si="641"/>
        <v>32</v>
      </c>
      <c r="BA657" s="236">
        <f t="shared" si="629"/>
        <v>13</v>
      </c>
      <c r="BB657" s="236">
        <f t="shared" si="630"/>
        <v>0</v>
      </c>
      <c r="BC657" s="252" cm="1">
        <f t="array" ref="BC657">K657/IF($L657&gt;0, INDEX($AO$23:$AU$77, $L657+20, $AD657), 1)</f>
        <v>0</v>
      </c>
      <c r="BD657" s="237">
        <f t="shared" si="642"/>
        <v>0</v>
      </c>
      <c r="BE657" s="236">
        <v>35</v>
      </c>
      <c r="BF657" s="237">
        <f t="shared" si="643"/>
        <v>52.55</v>
      </c>
      <c r="BG657" s="253">
        <f t="shared" si="644"/>
        <v>2.7676728869374316</v>
      </c>
      <c r="BH657" s="253" cm="1">
        <f t="array" ref="BH657">$BC657 * SUMPRODUCT(INDEX($AL$77:$AN$82,,$AE657),INDEX($AO$77:$AU$82,,$AD657), N($AK$77:$AK$82&gt;$AI657)) / BG657 / 1000</f>
        <v>0</v>
      </c>
      <c r="BI657" s="250">
        <f t="shared" si="631"/>
        <v>30</v>
      </c>
      <c r="BJ657" s="237">
        <f t="shared" si="645"/>
        <v>46.033333333333331</v>
      </c>
      <c r="BK657" s="253">
        <f t="shared" si="646"/>
        <v>3.2297395388556791</v>
      </c>
      <c r="BL657" s="253" cm="1">
        <f t="array" ref="BL657">$BC657 * IF($AD657&lt;=2,
SUMPRODUCT(INDEX($AL$72:$AN$76,,$AE657), INDEX($AO$72:$AU$76,,$AD657), 1 / ($AV$72:$AV$76*BK657 + (1-$AV$72:$AV$76)*BG657), N($AK$72:$AK$76&gt;$AI657)),
SUMPRODUCT(INDEX($AL$67:$AN$76,,$AE657), INDEX($AO$67:$AU$76,,$AD657), 1 / ($AW$67:$AW$76*BK657 + (1-$AW$67:$AW$76)*BG657), N($AK$67:$AK$76&gt;$AI657))
) / 1000</f>
        <v>0</v>
      </c>
      <c r="BM657" s="250">
        <f t="shared" si="632"/>
        <v>25</v>
      </c>
      <c r="BN657" s="237">
        <f t="shared" si="647"/>
        <v>39.516666666666666</v>
      </c>
      <c r="BO657" s="253">
        <f t="shared" si="648"/>
        <v>3.877011788826243</v>
      </c>
      <c r="BP657" s="253" cm="1">
        <f t="array" ref="BP657">$BC657 * IF($AD657&lt;=2,
SUMPRODUCT(INDEX($AL$67:$AN$71,,$AE657), INDEX($AO$67:$AU$71,,$AD657), 1 / ($AV$67:$AV$71*BO657 + (1-$AV$67:$AV$71)*BK657), N($AK$67:$AK$71&gt;$AI657)),
SUMPRODUCT(INDEX($AL$57:$AN$66,,$AE657), INDEX($AO$57:$AU$66,,$AD657), 1 / ($AW$57:$AW$66*BO657 + (1-$AW$57:$AW$66)*BK657), N($AK$57:$AK$66&gt;$AI657))
) / 1000</f>
        <v>0</v>
      </c>
      <c r="BQ657" s="250">
        <f t="shared" si="633"/>
        <v>20</v>
      </c>
      <c r="BR657" s="237">
        <f t="shared" si="649"/>
        <v>33</v>
      </c>
      <c r="BS657" s="253">
        <f t="shared" si="650"/>
        <v>4.8487499999999999</v>
      </c>
      <c r="BT657" s="253" cm="1">
        <f t="array" ref="BT657">$BC657 * IF($AD657&lt;=2,
SUMPRODUCT(INDEX($AL$62:$AN$66,,$AE657), INDEX($AO$62:$AU$66,,$AD657), 1 / ($AV$62:$AV$66*BS657 + (1-$AV$62:$AV$66)*BO657), N($AK$62:$AK$66&gt;$AI657)),
SUMPRODUCT(INDEX($AL$47:$AN$56,,$AE657), INDEX($AO$47:$AU$56,,$AD657), 1 / ($AW$47:$AW$56*BS657 + (1-$AW$47:$AW$56)*BO657), N($AK$47:$AK$56&gt;$AI657))
) / 1000</f>
        <v>0</v>
      </c>
      <c r="BU657" s="253" cm="1">
        <f t="array" ref="BU657">$BC657 * IF($AD657&lt;=2,
SUMPRODUCT(INDEX($AL$23:$AN$61,,$AE657), INDEX($AO$23:$AU$61,,$AD657), 1 / ($AV$23:$AV$61*BS657), N($AK$23:$AK$61&gt;$AI657)),
SUMPRODUCT(INDEX($AL$23:$AN$46,,$AE657), INDEX($AO$23:$AU$46,,$AD657), 1 / ($AW$23:$AW$46*BS657), N($AK$23:$AK$46&gt;$AI657))
) / 1000</f>
        <v>0</v>
      </c>
      <c r="BV657" s="237">
        <f t="shared" si="651"/>
        <v>0</v>
      </c>
      <c r="BW657" s="210"/>
      <c r="BX657" s="237">
        <f t="shared" si="652"/>
        <v>0</v>
      </c>
      <c r="BY657" s="236">
        <v>35</v>
      </c>
      <c r="BZ657" s="237">
        <f t="shared" si="653"/>
        <v>48</v>
      </c>
      <c r="CA657" s="253">
        <f t="shared" si="654"/>
        <v>3.0748170731707316</v>
      </c>
      <c r="CB657" s="253" cm="1">
        <f t="array" ref="CB657">$BC657 * SUMPRODUCT(INDEX($AL$77:$AN$82,,$AE657),INDEX($AO$77:$AU$82,,$AD657), N($AK$77:$AK$82&gt;$AI657)) / CA657 / 1000</f>
        <v>0</v>
      </c>
      <c r="CC657" s="250">
        <f t="shared" si="634"/>
        <v>30</v>
      </c>
      <c r="CD657" s="237">
        <f t="shared" si="655"/>
        <v>43</v>
      </c>
      <c r="CE657" s="253">
        <f t="shared" si="656"/>
        <v>3.5018750000000001</v>
      </c>
      <c r="CF657" s="253" cm="1">
        <f t="array" ref="CF657">$BC657 * IF($AD657&lt;=2,
SUMPRODUCT(INDEX($AL$72:$AN$76,,$AE657), INDEX($AO$72:$AU$76,,$AD657), 1 / ($AV$72:$AV$76*CE657 + (1-$AV$72:$AV$76)*CA657), N($AK$72:$AK$76&gt;$AI657)),
SUMPRODUCT(INDEX($AL$67:$AN$76,,$AE657), INDEX($AO$67:$AU$76,,$AD657), 1 / ($AW$67:$AW$76*CE657 + (1-$AW$67:$AW$76)*CA657), N($AK$67:$AK$76&gt;$AI657))
) / 1000</f>
        <v>0</v>
      </c>
      <c r="CG657" s="250">
        <f t="shared" si="635"/>
        <v>25</v>
      </c>
      <c r="CH657" s="237">
        <f t="shared" si="657"/>
        <v>38</v>
      </c>
      <c r="CI657" s="253">
        <f t="shared" si="658"/>
        <v>4.0666935483870965</v>
      </c>
      <c r="CJ657" s="253" cm="1">
        <f t="array" ref="CJ657">$BC657 * IF($AD657&lt;=2,
SUMPRODUCT(INDEX($AL$67:$AN$71,,$AE657), INDEX($AO$67:$AU$71,,$AD657), 1 / ($AV$67:$AV$71*CI657 + (1-$AV$67:$AV$71)*CE657), N($AK$67:$AK$71&gt;$AI657)),
SUMPRODUCT(INDEX($AL$57:$AN$66,,$AE657), INDEX($AO$57:$AU$66,,$AD657), 1 / ($AW$57:$AW$66*CI657 + (1-$AW$57:$AW$66)*CE657), N($AK$57:$AK$66&gt;$AI657))
) / 1000</f>
        <v>0</v>
      </c>
      <c r="CK657" s="250">
        <f t="shared" si="636"/>
        <v>20</v>
      </c>
      <c r="CL657" s="237">
        <f t="shared" si="659"/>
        <v>33</v>
      </c>
      <c r="CM657" s="253">
        <f t="shared" si="660"/>
        <v>4.8487499999999999</v>
      </c>
      <c r="CN657" s="253" cm="1">
        <f t="array" ref="CN657">$BC657 * IF($AD657&lt;=2,
SUMPRODUCT(INDEX($AL$62:$AN$66,,$AE657), INDEX($AO$62:$AU$66,,$AD657), 1 / ($AV$62:$AV$66*CM657 + (1-$AV$62:$AV$66)*CI657), N($AK$62:$AK$66&gt;$AI657)),
SUMPRODUCT(INDEX($AL$47:$AN$56,,$AE657), INDEX($AO$47:$AU$56,,$AD657), 1 / ($AW$47:$AW$56*CM657 + (1-$AW$47:$AW$56)*CI657), N($AK$47:$AK$56&gt;$AI657))
) / 1000</f>
        <v>0</v>
      </c>
      <c r="CO657" s="253" cm="1">
        <f t="array" ref="CO657">$BC657 * IF($AD657&lt;=2,
SUMPRODUCT(INDEX($AL$23:$AN$61,,$AE657), INDEX($AO$23:$AU$61,,$AD657), 1 / ($AV$23:$AV$61*CM657), N($AK$23:$AK$61&gt;$AI657)),
SUMPRODUCT(INDEX($AL$23:$AN$46,,$AE657), INDEX($AO$23:$AU$46,,$AD657), 1 / ($AW$23:$AW$46*CM657), N($AK$23:$AK$46&gt;$AI657))
) / 1000</f>
        <v>0</v>
      </c>
      <c r="CP657" s="237">
        <f t="shared" si="661"/>
        <v>0</v>
      </c>
      <c r="CQ657" s="210"/>
    </row>
    <row r="658" spans="1:95" s="76" customFormat="1" ht="14.25" customHeight="1" x14ac:dyDescent="0.2">
      <c r="A658" s="238" t="b">
        <f t="shared" si="628"/>
        <v>0</v>
      </c>
      <c r="B658" s="239">
        <v>636</v>
      </c>
      <c r="C658" s="258"/>
      <c r="D658" s="258"/>
      <c r="E658" s="240"/>
      <c r="F658" s="241" t="str">
        <f>IF(ISBLANK(E658), "", VLOOKUP(E658, Z!$A$2:$C$4127, 3, FALSE))</f>
        <v/>
      </c>
      <c r="G658" s="242"/>
      <c r="H658" s="242"/>
      <c r="I658" s="243"/>
      <c r="J658" s="244"/>
      <c r="K658" s="259"/>
      <c r="L658" s="260"/>
      <c r="M658" s="247" t="str" cm="1">
        <f t="array" ref="M658">IF($K658&gt;0, INDEX(Clean,1+AG658,$C$1), "")</f>
        <v/>
      </c>
      <c r="N658" s="245"/>
      <c r="O658" s="245"/>
      <c r="P658" s="246"/>
      <c r="Q658" s="248">
        <f t="shared" si="638"/>
        <v>0</v>
      </c>
      <c r="R658" s="247" t="str" cm="1">
        <f t="array" ref="R658">IF($K658&gt;0, INDEX(Clean,1+AH658,$C$1), "")</f>
        <v/>
      </c>
      <c r="S658" s="245"/>
      <c r="T658" s="245"/>
      <c r="U658" s="246"/>
      <c r="V658" s="248">
        <f t="shared" si="639"/>
        <v>0</v>
      </c>
      <c r="W658" s="261"/>
      <c r="X658" s="258"/>
      <c r="Y658" s="240"/>
      <c r="Z658" s="241" t="str">
        <f>IF(ISBLANK(Y658), "", VLOOKUP(Y658, Z!$A$2:$C$4127, 3, FALSE))</f>
        <v/>
      </c>
      <c r="AA658" s="262"/>
      <c r="AB658" s="249">
        <f t="shared" si="637"/>
        <v>0</v>
      </c>
      <c r="AC658" s="210"/>
      <c r="AD658" s="236">
        <f t="shared" si="662"/>
        <v>1</v>
      </c>
      <c r="AE658" s="236">
        <f t="shared" si="663"/>
        <v>1</v>
      </c>
      <c r="AF658" s="236">
        <f t="shared" si="664"/>
        <v>0</v>
      </c>
      <c r="AG658" s="236">
        <v>1</v>
      </c>
      <c r="AH658" s="236">
        <v>0</v>
      </c>
      <c r="AI658" s="236">
        <f t="shared" si="640"/>
        <v>-100</v>
      </c>
      <c r="AJ658" s="210"/>
      <c r="AK658" s="254"/>
      <c r="AL658" s="254"/>
      <c r="AM658" s="255"/>
      <c r="AN658" s="255"/>
      <c r="AO658" s="255"/>
      <c r="AP658" s="255"/>
      <c r="AQ658" s="255"/>
      <c r="AR658" s="255"/>
      <c r="AS658" s="255"/>
      <c r="AT658" s="255"/>
      <c r="AU658" s="255"/>
      <c r="AV658" s="255"/>
      <c r="AW658" s="255"/>
      <c r="AX658" s="210"/>
      <c r="AY658" s="236" cm="1">
        <f t="array" ref="AY658">INDEX(Use, $AD658, 4)</f>
        <v>7</v>
      </c>
      <c r="AZ658" s="236">
        <f t="shared" si="641"/>
        <v>32</v>
      </c>
      <c r="BA658" s="236">
        <f t="shared" si="629"/>
        <v>13</v>
      </c>
      <c r="BB658" s="236">
        <f t="shared" si="630"/>
        <v>0</v>
      </c>
      <c r="BC658" s="252" cm="1">
        <f t="array" ref="BC658">K658/IF($L658&gt;0, INDEX($AO$23:$AU$77, $L658+20, $AD658), 1)</f>
        <v>0</v>
      </c>
      <c r="BD658" s="237">
        <f t="shared" si="642"/>
        <v>0</v>
      </c>
      <c r="BE658" s="236">
        <v>35</v>
      </c>
      <c r="BF658" s="237">
        <f t="shared" si="643"/>
        <v>52.55</v>
      </c>
      <c r="BG658" s="253">
        <f t="shared" si="644"/>
        <v>2.7676728869374316</v>
      </c>
      <c r="BH658" s="253" cm="1">
        <f t="array" ref="BH658">$BC658 * SUMPRODUCT(INDEX($AL$77:$AN$82,,$AE658),INDEX($AO$77:$AU$82,,$AD658), N($AK$77:$AK$82&gt;$AI658)) / BG658 / 1000</f>
        <v>0</v>
      </c>
      <c r="BI658" s="250">
        <f t="shared" si="631"/>
        <v>30</v>
      </c>
      <c r="BJ658" s="237">
        <f t="shared" si="645"/>
        <v>46.033333333333331</v>
      </c>
      <c r="BK658" s="253">
        <f t="shared" si="646"/>
        <v>3.2297395388556791</v>
      </c>
      <c r="BL658" s="253" cm="1">
        <f t="array" ref="BL658">$BC658 * IF($AD658&lt;=2,
SUMPRODUCT(INDEX($AL$72:$AN$76,,$AE658), INDEX($AO$72:$AU$76,,$AD658), 1 / ($AV$72:$AV$76*BK658 + (1-$AV$72:$AV$76)*BG658), N($AK$72:$AK$76&gt;$AI658)),
SUMPRODUCT(INDEX($AL$67:$AN$76,,$AE658), INDEX($AO$67:$AU$76,,$AD658), 1 / ($AW$67:$AW$76*BK658 + (1-$AW$67:$AW$76)*BG658), N($AK$67:$AK$76&gt;$AI658))
) / 1000</f>
        <v>0</v>
      </c>
      <c r="BM658" s="250">
        <f t="shared" si="632"/>
        <v>25</v>
      </c>
      <c r="BN658" s="237">
        <f t="shared" si="647"/>
        <v>39.516666666666666</v>
      </c>
      <c r="BO658" s="253">
        <f t="shared" si="648"/>
        <v>3.877011788826243</v>
      </c>
      <c r="BP658" s="253" cm="1">
        <f t="array" ref="BP658">$BC658 * IF($AD658&lt;=2,
SUMPRODUCT(INDEX($AL$67:$AN$71,,$AE658), INDEX($AO$67:$AU$71,,$AD658), 1 / ($AV$67:$AV$71*BO658 + (1-$AV$67:$AV$71)*BK658), N($AK$67:$AK$71&gt;$AI658)),
SUMPRODUCT(INDEX($AL$57:$AN$66,,$AE658), INDEX($AO$57:$AU$66,,$AD658), 1 / ($AW$57:$AW$66*BO658 + (1-$AW$57:$AW$66)*BK658), N($AK$57:$AK$66&gt;$AI658))
) / 1000</f>
        <v>0</v>
      </c>
      <c r="BQ658" s="250">
        <f t="shared" si="633"/>
        <v>20</v>
      </c>
      <c r="BR658" s="237">
        <f t="shared" si="649"/>
        <v>33</v>
      </c>
      <c r="BS658" s="253">
        <f t="shared" si="650"/>
        <v>4.8487499999999999</v>
      </c>
      <c r="BT658" s="253" cm="1">
        <f t="array" ref="BT658">$BC658 * IF($AD658&lt;=2,
SUMPRODUCT(INDEX($AL$62:$AN$66,,$AE658), INDEX($AO$62:$AU$66,,$AD658), 1 / ($AV$62:$AV$66*BS658 + (1-$AV$62:$AV$66)*BO658), N($AK$62:$AK$66&gt;$AI658)),
SUMPRODUCT(INDEX($AL$47:$AN$56,,$AE658), INDEX($AO$47:$AU$56,,$AD658), 1 / ($AW$47:$AW$56*BS658 + (1-$AW$47:$AW$56)*BO658), N($AK$47:$AK$56&gt;$AI658))
) / 1000</f>
        <v>0</v>
      </c>
      <c r="BU658" s="253" cm="1">
        <f t="array" ref="BU658">$BC658 * IF($AD658&lt;=2,
SUMPRODUCT(INDEX($AL$23:$AN$61,,$AE658), INDEX($AO$23:$AU$61,,$AD658), 1 / ($AV$23:$AV$61*BS658), N($AK$23:$AK$61&gt;$AI658)),
SUMPRODUCT(INDEX($AL$23:$AN$46,,$AE658), INDEX($AO$23:$AU$46,,$AD658), 1 / ($AW$23:$AW$46*BS658), N($AK$23:$AK$46&gt;$AI658))
) / 1000</f>
        <v>0</v>
      </c>
      <c r="BV658" s="237">
        <f t="shared" si="651"/>
        <v>0</v>
      </c>
      <c r="BW658" s="210"/>
      <c r="BX658" s="237">
        <f t="shared" si="652"/>
        <v>0</v>
      </c>
      <c r="BY658" s="236">
        <v>35</v>
      </c>
      <c r="BZ658" s="237">
        <f t="shared" si="653"/>
        <v>48</v>
      </c>
      <c r="CA658" s="253">
        <f t="shared" si="654"/>
        <v>3.0748170731707316</v>
      </c>
      <c r="CB658" s="253" cm="1">
        <f t="array" ref="CB658">$BC658 * SUMPRODUCT(INDEX($AL$77:$AN$82,,$AE658),INDEX($AO$77:$AU$82,,$AD658), N($AK$77:$AK$82&gt;$AI658)) / CA658 / 1000</f>
        <v>0</v>
      </c>
      <c r="CC658" s="250">
        <f t="shared" si="634"/>
        <v>30</v>
      </c>
      <c r="CD658" s="237">
        <f t="shared" si="655"/>
        <v>43</v>
      </c>
      <c r="CE658" s="253">
        <f t="shared" si="656"/>
        <v>3.5018750000000001</v>
      </c>
      <c r="CF658" s="253" cm="1">
        <f t="array" ref="CF658">$BC658 * IF($AD658&lt;=2,
SUMPRODUCT(INDEX($AL$72:$AN$76,,$AE658), INDEX($AO$72:$AU$76,,$AD658), 1 / ($AV$72:$AV$76*CE658 + (1-$AV$72:$AV$76)*CA658), N($AK$72:$AK$76&gt;$AI658)),
SUMPRODUCT(INDEX($AL$67:$AN$76,,$AE658), INDEX($AO$67:$AU$76,,$AD658), 1 / ($AW$67:$AW$76*CE658 + (1-$AW$67:$AW$76)*CA658), N($AK$67:$AK$76&gt;$AI658))
) / 1000</f>
        <v>0</v>
      </c>
      <c r="CG658" s="250">
        <f t="shared" si="635"/>
        <v>25</v>
      </c>
      <c r="CH658" s="237">
        <f t="shared" si="657"/>
        <v>38</v>
      </c>
      <c r="CI658" s="253">
        <f t="shared" si="658"/>
        <v>4.0666935483870965</v>
      </c>
      <c r="CJ658" s="253" cm="1">
        <f t="array" ref="CJ658">$BC658 * IF($AD658&lt;=2,
SUMPRODUCT(INDEX($AL$67:$AN$71,,$AE658), INDEX($AO$67:$AU$71,,$AD658), 1 / ($AV$67:$AV$71*CI658 + (1-$AV$67:$AV$71)*CE658), N($AK$67:$AK$71&gt;$AI658)),
SUMPRODUCT(INDEX($AL$57:$AN$66,,$AE658), INDEX($AO$57:$AU$66,,$AD658), 1 / ($AW$57:$AW$66*CI658 + (1-$AW$57:$AW$66)*CE658), N($AK$57:$AK$66&gt;$AI658))
) / 1000</f>
        <v>0</v>
      </c>
      <c r="CK658" s="250">
        <f t="shared" si="636"/>
        <v>20</v>
      </c>
      <c r="CL658" s="237">
        <f t="shared" si="659"/>
        <v>33</v>
      </c>
      <c r="CM658" s="253">
        <f t="shared" si="660"/>
        <v>4.8487499999999999</v>
      </c>
      <c r="CN658" s="253" cm="1">
        <f t="array" ref="CN658">$BC658 * IF($AD658&lt;=2,
SUMPRODUCT(INDEX($AL$62:$AN$66,,$AE658), INDEX($AO$62:$AU$66,,$AD658), 1 / ($AV$62:$AV$66*CM658 + (1-$AV$62:$AV$66)*CI658), N($AK$62:$AK$66&gt;$AI658)),
SUMPRODUCT(INDEX($AL$47:$AN$56,,$AE658), INDEX($AO$47:$AU$56,,$AD658), 1 / ($AW$47:$AW$56*CM658 + (1-$AW$47:$AW$56)*CI658), N($AK$47:$AK$56&gt;$AI658))
) / 1000</f>
        <v>0</v>
      </c>
      <c r="CO658" s="253" cm="1">
        <f t="array" ref="CO658">$BC658 * IF($AD658&lt;=2,
SUMPRODUCT(INDEX($AL$23:$AN$61,,$AE658), INDEX($AO$23:$AU$61,,$AD658), 1 / ($AV$23:$AV$61*CM658), N($AK$23:$AK$61&gt;$AI658)),
SUMPRODUCT(INDEX($AL$23:$AN$46,,$AE658), INDEX($AO$23:$AU$46,,$AD658), 1 / ($AW$23:$AW$46*CM658), N($AK$23:$AK$46&gt;$AI658))
) / 1000</f>
        <v>0</v>
      </c>
      <c r="CP658" s="237">
        <f t="shared" si="661"/>
        <v>0</v>
      </c>
      <c r="CQ658" s="210"/>
    </row>
    <row r="659" spans="1:95" s="76" customFormat="1" ht="14.25" customHeight="1" x14ac:dyDescent="0.2">
      <c r="A659" s="238" t="b">
        <f t="shared" si="628"/>
        <v>0</v>
      </c>
      <c r="B659" s="239">
        <v>637</v>
      </c>
      <c r="C659" s="258"/>
      <c r="D659" s="258"/>
      <c r="E659" s="240"/>
      <c r="F659" s="241" t="str">
        <f>IF(ISBLANK(E659), "", VLOOKUP(E659, Z!$A$2:$C$4127, 3, FALSE))</f>
        <v/>
      </c>
      <c r="G659" s="242"/>
      <c r="H659" s="242"/>
      <c r="I659" s="243"/>
      <c r="J659" s="244"/>
      <c r="K659" s="259"/>
      <c r="L659" s="260"/>
      <c r="M659" s="247" t="str" cm="1">
        <f t="array" ref="M659">IF($K659&gt;0, INDEX(Clean,1+AG659,$C$1), "")</f>
        <v/>
      </c>
      <c r="N659" s="245"/>
      <c r="O659" s="245"/>
      <c r="P659" s="246"/>
      <c r="Q659" s="248">
        <f t="shared" si="638"/>
        <v>0</v>
      </c>
      <c r="R659" s="247" t="str" cm="1">
        <f t="array" ref="R659">IF($K659&gt;0, INDEX(Clean,1+AH659,$C$1), "")</f>
        <v/>
      </c>
      <c r="S659" s="245"/>
      <c r="T659" s="245"/>
      <c r="U659" s="246"/>
      <c r="V659" s="248">
        <f t="shared" si="639"/>
        <v>0</v>
      </c>
      <c r="W659" s="261"/>
      <c r="X659" s="258"/>
      <c r="Y659" s="240"/>
      <c r="Z659" s="241" t="str">
        <f>IF(ISBLANK(Y659), "", VLOOKUP(Y659, Z!$A$2:$C$4127, 3, FALSE))</f>
        <v/>
      </c>
      <c r="AA659" s="262"/>
      <c r="AB659" s="249">
        <f t="shared" si="637"/>
        <v>0</v>
      </c>
      <c r="AC659" s="210"/>
      <c r="AD659" s="236">
        <f t="shared" si="662"/>
        <v>1</v>
      </c>
      <c r="AE659" s="236">
        <f t="shared" si="663"/>
        <v>1</v>
      </c>
      <c r="AF659" s="236">
        <f t="shared" si="664"/>
        <v>0</v>
      </c>
      <c r="AG659" s="236">
        <v>1</v>
      </c>
      <c r="AH659" s="236">
        <v>0</v>
      </c>
      <c r="AI659" s="236">
        <f t="shared" si="640"/>
        <v>-100</v>
      </c>
      <c r="AJ659" s="210"/>
      <c r="AK659" s="254"/>
      <c r="AL659" s="254"/>
      <c r="AM659" s="255"/>
      <c r="AN659" s="255"/>
      <c r="AO659" s="255"/>
      <c r="AP659" s="255"/>
      <c r="AQ659" s="255"/>
      <c r="AR659" s="255"/>
      <c r="AS659" s="255"/>
      <c r="AT659" s="255"/>
      <c r="AU659" s="255"/>
      <c r="AV659" s="255"/>
      <c r="AW659" s="255"/>
      <c r="AX659" s="210"/>
      <c r="AY659" s="236" cm="1">
        <f t="array" ref="AY659">INDEX(Use, $AD659, 4)</f>
        <v>7</v>
      </c>
      <c r="AZ659" s="236">
        <f t="shared" si="641"/>
        <v>32</v>
      </c>
      <c r="BA659" s="236">
        <f t="shared" si="629"/>
        <v>13</v>
      </c>
      <c r="BB659" s="236">
        <f t="shared" si="630"/>
        <v>0</v>
      </c>
      <c r="BC659" s="252" cm="1">
        <f t="array" ref="BC659">K659/IF($L659&gt;0, INDEX($AO$23:$AU$77, $L659+20, $AD659), 1)</f>
        <v>0</v>
      </c>
      <c r="BD659" s="237">
        <f t="shared" si="642"/>
        <v>0</v>
      </c>
      <c r="BE659" s="236">
        <v>35</v>
      </c>
      <c r="BF659" s="237">
        <f t="shared" si="643"/>
        <v>52.55</v>
      </c>
      <c r="BG659" s="253">
        <f t="shared" si="644"/>
        <v>2.7676728869374316</v>
      </c>
      <c r="BH659" s="253" cm="1">
        <f t="array" ref="BH659">$BC659 * SUMPRODUCT(INDEX($AL$77:$AN$82,,$AE659),INDEX($AO$77:$AU$82,,$AD659), N($AK$77:$AK$82&gt;$AI659)) / BG659 / 1000</f>
        <v>0</v>
      </c>
      <c r="BI659" s="250">
        <f t="shared" si="631"/>
        <v>30</v>
      </c>
      <c r="BJ659" s="237">
        <f t="shared" si="645"/>
        <v>46.033333333333331</v>
      </c>
      <c r="BK659" s="253">
        <f t="shared" si="646"/>
        <v>3.2297395388556791</v>
      </c>
      <c r="BL659" s="253" cm="1">
        <f t="array" ref="BL659">$BC659 * IF($AD659&lt;=2,
SUMPRODUCT(INDEX($AL$72:$AN$76,,$AE659), INDEX($AO$72:$AU$76,,$AD659), 1 / ($AV$72:$AV$76*BK659 + (1-$AV$72:$AV$76)*BG659), N($AK$72:$AK$76&gt;$AI659)),
SUMPRODUCT(INDEX($AL$67:$AN$76,,$AE659), INDEX($AO$67:$AU$76,,$AD659), 1 / ($AW$67:$AW$76*BK659 + (1-$AW$67:$AW$76)*BG659), N($AK$67:$AK$76&gt;$AI659))
) / 1000</f>
        <v>0</v>
      </c>
      <c r="BM659" s="250">
        <f t="shared" si="632"/>
        <v>25</v>
      </c>
      <c r="BN659" s="237">
        <f t="shared" si="647"/>
        <v>39.516666666666666</v>
      </c>
      <c r="BO659" s="253">
        <f t="shared" si="648"/>
        <v>3.877011788826243</v>
      </c>
      <c r="BP659" s="253" cm="1">
        <f t="array" ref="BP659">$BC659 * IF($AD659&lt;=2,
SUMPRODUCT(INDEX($AL$67:$AN$71,,$AE659), INDEX($AO$67:$AU$71,,$AD659), 1 / ($AV$67:$AV$71*BO659 + (1-$AV$67:$AV$71)*BK659), N($AK$67:$AK$71&gt;$AI659)),
SUMPRODUCT(INDEX($AL$57:$AN$66,,$AE659), INDEX($AO$57:$AU$66,,$AD659), 1 / ($AW$57:$AW$66*BO659 + (1-$AW$57:$AW$66)*BK659), N($AK$57:$AK$66&gt;$AI659))
) / 1000</f>
        <v>0</v>
      </c>
      <c r="BQ659" s="250">
        <f t="shared" si="633"/>
        <v>20</v>
      </c>
      <c r="BR659" s="237">
        <f t="shared" si="649"/>
        <v>33</v>
      </c>
      <c r="BS659" s="253">
        <f t="shared" si="650"/>
        <v>4.8487499999999999</v>
      </c>
      <c r="BT659" s="253" cm="1">
        <f t="array" ref="BT659">$BC659 * IF($AD659&lt;=2,
SUMPRODUCT(INDEX($AL$62:$AN$66,,$AE659), INDEX($AO$62:$AU$66,,$AD659), 1 / ($AV$62:$AV$66*BS659 + (1-$AV$62:$AV$66)*BO659), N($AK$62:$AK$66&gt;$AI659)),
SUMPRODUCT(INDEX($AL$47:$AN$56,,$AE659), INDEX($AO$47:$AU$56,,$AD659), 1 / ($AW$47:$AW$56*BS659 + (1-$AW$47:$AW$56)*BO659), N($AK$47:$AK$56&gt;$AI659))
) / 1000</f>
        <v>0</v>
      </c>
      <c r="BU659" s="253" cm="1">
        <f t="array" ref="BU659">$BC659 * IF($AD659&lt;=2,
SUMPRODUCT(INDEX($AL$23:$AN$61,,$AE659), INDEX($AO$23:$AU$61,,$AD659), 1 / ($AV$23:$AV$61*BS659), N($AK$23:$AK$61&gt;$AI659)),
SUMPRODUCT(INDEX($AL$23:$AN$46,,$AE659), INDEX($AO$23:$AU$46,,$AD659), 1 / ($AW$23:$AW$46*BS659), N($AK$23:$AK$46&gt;$AI659))
) / 1000</f>
        <v>0</v>
      </c>
      <c r="BV659" s="237">
        <f t="shared" si="651"/>
        <v>0</v>
      </c>
      <c r="BW659" s="210"/>
      <c r="BX659" s="237">
        <f t="shared" si="652"/>
        <v>0</v>
      </c>
      <c r="BY659" s="236">
        <v>35</v>
      </c>
      <c r="BZ659" s="237">
        <f t="shared" si="653"/>
        <v>48</v>
      </c>
      <c r="CA659" s="253">
        <f t="shared" si="654"/>
        <v>3.0748170731707316</v>
      </c>
      <c r="CB659" s="253" cm="1">
        <f t="array" ref="CB659">$BC659 * SUMPRODUCT(INDEX($AL$77:$AN$82,,$AE659),INDEX($AO$77:$AU$82,,$AD659), N($AK$77:$AK$82&gt;$AI659)) / CA659 / 1000</f>
        <v>0</v>
      </c>
      <c r="CC659" s="250">
        <f t="shared" si="634"/>
        <v>30</v>
      </c>
      <c r="CD659" s="237">
        <f t="shared" si="655"/>
        <v>43</v>
      </c>
      <c r="CE659" s="253">
        <f t="shared" si="656"/>
        <v>3.5018750000000001</v>
      </c>
      <c r="CF659" s="253" cm="1">
        <f t="array" ref="CF659">$BC659 * IF($AD659&lt;=2,
SUMPRODUCT(INDEX($AL$72:$AN$76,,$AE659), INDEX($AO$72:$AU$76,,$AD659), 1 / ($AV$72:$AV$76*CE659 + (1-$AV$72:$AV$76)*CA659), N($AK$72:$AK$76&gt;$AI659)),
SUMPRODUCT(INDEX($AL$67:$AN$76,,$AE659), INDEX($AO$67:$AU$76,,$AD659), 1 / ($AW$67:$AW$76*CE659 + (1-$AW$67:$AW$76)*CA659), N($AK$67:$AK$76&gt;$AI659))
) / 1000</f>
        <v>0</v>
      </c>
      <c r="CG659" s="250">
        <f t="shared" si="635"/>
        <v>25</v>
      </c>
      <c r="CH659" s="237">
        <f t="shared" si="657"/>
        <v>38</v>
      </c>
      <c r="CI659" s="253">
        <f t="shared" si="658"/>
        <v>4.0666935483870965</v>
      </c>
      <c r="CJ659" s="253" cm="1">
        <f t="array" ref="CJ659">$BC659 * IF($AD659&lt;=2,
SUMPRODUCT(INDEX($AL$67:$AN$71,,$AE659), INDEX($AO$67:$AU$71,,$AD659), 1 / ($AV$67:$AV$71*CI659 + (1-$AV$67:$AV$71)*CE659), N($AK$67:$AK$71&gt;$AI659)),
SUMPRODUCT(INDEX($AL$57:$AN$66,,$AE659), INDEX($AO$57:$AU$66,,$AD659), 1 / ($AW$57:$AW$66*CI659 + (1-$AW$57:$AW$66)*CE659), N($AK$57:$AK$66&gt;$AI659))
) / 1000</f>
        <v>0</v>
      </c>
      <c r="CK659" s="250">
        <f t="shared" si="636"/>
        <v>20</v>
      </c>
      <c r="CL659" s="237">
        <f t="shared" si="659"/>
        <v>33</v>
      </c>
      <c r="CM659" s="253">
        <f t="shared" si="660"/>
        <v>4.8487499999999999</v>
      </c>
      <c r="CN659" s="253" cm="1">
        <f t="array" ref="CN659">$BC659 * IF($AD659&lt;=2,
SUMPRODUCT(INDEX($AL$62:$AN$66,,$AE659), INDEX($AO$62:$AU$66,,$AD659), 1 / ($AV$62:$AV$66*CM659 + (1-$AV$62:$AV$66)*CI659), N($AK$62:$AK$66&gt;$AI659)),
SUMPRODUCT(INDEX($AL$47:$AN$56,,$AE659), INDEX($AO$47:$AU$56,,$AD659), 1 / ($AW$47:$AW$56*CM659 + (1-$AW$47:$AW$56)*CI659), N($AK$47:$AK$56&gt;$AI659))
) / 1000</f>
        <v>0</v>
      </c>
      <c r="CO659" s="253" cm="1">
        <f t="array" ref="CO659">$BC659 * IF($AD659&lt;=2,
SUMPRODUCT(INDEX($AL$23:$AN$61,,$AE659), INDEX($AO$23:$AU$61,,$AD659), 1 / ($AV$23:$AV$61*CM659), N($AK$23:$AK$61&gt;$AI659)),
SUMPRODUCT(INDEX($AL$23:$AN$46,,$AE659), INDEX($AO$23:$AU$46,,$AD659), 1 / ($AW$23:$AW$46*CM659), N($AK$23:$AK$46&gt;$AI659))
) / 1000</f>
        <v>0</v>
      </c>
      <c r="CP659" s="237">
        <f t="shared" si="661"/>
        <v>0</v>
      </c>
      <c r="CQ659" s="210"/>
    </row>
    <row r="660" spans="1:95" s="76" customFormat="1" ht="14.25" customHeight="1" x14ac:dyDescent="0.2">
      <c r="A660" s="238" t="b">
        <f t="shared" si="628"/>
        <v>0</v>
      </c>
      <c r="B660" s="239">
        <v>638</v>
      </c>
      <c r="C660" s="258"/>
      <c r="D660" s="258"/>
      <c r="E660" s="240"/>
      <c r="F660" s="241" t="str">
        <f>IF(ISBLANK(E660), "", VLOOKUP(E660, Z!$A$2:$C$4127, 3, FALSE))</f>
        <v/>
      </c>
      <c r="G660" s="242"/>
      <c r="H660" s="242"/>
      <c r="I660" s="243"/>
      <c r="J660" s="244"/>
      <c r="K660" s="259"/>
      <c r="L660" s="260"/>
      <c r="M660" s="247" t="str" cm="1">
        <f t="array" ref="M660">IF($K660&gt;0, INDEX(Clean,1+AG660,$C$1), "")</f>
        <v/>
      </c>
      <c r="N660" s="245"/>
      <c r="O660" s="245"/>
      <c r="P660" s="246"/>
      <c r="Q660" s="248">
        <f t="shared" si="638"/>
        <v>0</v>
      </c>
      <c r="R660" s="247" t="str" cm="1">
        <f t="array" ref="R660">IF($K660&gt;0, INDEX(Clean,1+AH660,$C$1), "")</f>
        <v/>
      </c>
      <c r="S660" s="245"/>
      <c r="T660" s="245"/>
      <c r="U660" s="246"/>
      <c r="V660" s="248">
        <f t="shared" si="639"/>
        <v>0</v>
      </c>
      <c r="W660" s="261"/>
      <c r="X660" s="258"/>
      <c r="Y660" s="240"/>
      <c r="Z660" s="241" t="str">
        <f>IF(ISBLANK(Y660), "", VLOOKUP(Y660, Z!$A$2:$C$4127, 3, FALSE))</f>
        <v/>
      </c>
      <c r="AA660" s="262"/>
      <c r="AB660" s="249">
        <f t="shared" si="637"/>
        <v>0</v>
      </c>
      <c r="AC660" s="210"/>
      <c r="AD660" s="236">
        <f t="shared" si="662"/>
        <v>1</v>
      </c>
      <c r="AE660" s="236">
        <f t="shared" si="663"/>
        <v>1</v>
      </c>
      <c r="AF660" s="236">
        <f t="shared" si="664"/>
        <v>0</v>
      </c>
      <c r="AG660" s="236">
        <v>1</v>
      </c>
      <c r="AH660" s="236">
        <v>0</v>
      </c>
      <c r="AI660" s="236">
        <f t="shared" si="640"/>
        <v>-100</v>
      </c>
      <c r="AJ660" s="210"/>
      <c r="AK660" s="254"/>
      <c r="AL660" s="254"/>
      <c r="AM660" s="255"/>
      <c r="AN660" s="255"/>
      <c r="AO660" s="255"/>
      <c r="AP660" s="255"/>
      <c r="AQ660" s="255"/>
      <c r="AR660" s="255"/>
      <c r="AS660" s="255"/>
      <c r="AT660" s="255"/>
      <c r="AU660" s="255"/>
      <c r="AV660" s="255"/>
      <c r="AW660" s="255"/>
      <c r="AX660" s="210"/>
      <c r="AY660" s="236" cm="1">
        <f t="array" ref="AY660">INDEX(Use, $AD660, 4)</f>
        <v>7</v>
      </c>
      <c r="AZ660" s="236">
        <f t="shared" si="641"/>
        <v>32</v>
      </c>
      <c r="BA660" s="236">
        <f t="shared" si="629"/>
        <v>13</v>
      </c>
      <c r="BB660" s="236">
        <f t="shared" si="630"/>
        <v>0</v>
      </c>
      <c r="BC660" s="252" cm="1">
        <f t="array" ref="BC660">K660/IF($L660&gt;0, INDEX($AO$23:$AU$77, $L660+20, $AD660), 1)</f>
        <v>0</v>
      </c>
      <c r="BD660" s="237">
        <f t="shared" si="642"/>
        <v>0</v>
      </c>
      <c r="BE660" s="236">
        <v>35</v>
      </c>
      <c r="BF660" s="237">
        <f t="shared" si="643"/>
        <v>52.55</v>
      </c>
      <c r="BG660" s="253">
        <f t="shared" si="644"/>
        <v>2.7676728869374316</v>
      </c>
      <c r="BH660" s="253" cm="1">
        <f t="array" ref="BH660">$BC660 * SUMPRODUCT(INDEX($AL$77:$AN$82,,$AE660),INDEX($AO$77:$AU$82,,$AD660), N($AK$77:$AK$82&gt;$AI660)) / BG660 / 1000</f>
        <v>0</v>
      </c>
      <c r="BI660" s="250">
        <f t="shared" si="631"/>
        <v>30</v>
      </c>
      <c r="BJ660" s="237">
        <f t="shared" si="645"/>
        <v>46.033333333333331</v>
      </c>
      <c r="BK660" s="253">
        <f t="shared" si="646"/>
        <v>3.2297395388556791</v>
      </c>
      <c r="BL660" s="253" cm="1">
        <f t="array" ref="BL660">$BC660 * IF($AD660&lt;=2,
SUMPRODUCT(INDEX($AL$72:$AN$76,,$AE660), INDEX($AO$72:$AU$76,,$AD660), 1 / ($AV$72:$AV$76*BK660 + (1-$AV$72:$AV$76)*BG660), N($AK$72:$AK$76&gt;$AI660)),
SUMPRODUCT(INDEX($AL$67:$AN$76,,$AE660), INDEX($AO$67:$AU$76,,$AD660), 1 / ($AW$67:$AW$76*BK660 + (1-$AW$67:$AW$76)*BG660), N($AK$67:$AK$76&gt;$AI660))
) / 1000</f>
        <v>0</v>
      </c>
      <c r="BM660" s="250">
        <f t="shared" si="632"/>
        <v>25</v>
      </c>
      <c r="BN660" s="237">
        <f t="shared" si="647"/>
        <v>39.516666666666666</v>
      </c>
      <c r="BO660" s="253">
        <f t="shared" si="648"/>
        <v>3.877011788826243</v>
      </c>
      <c r="BP660" s="253" cm="1">
        <f t="array" ref="BP660">$BC660 * IF($AD660&lt;=2,
SUMPRODUCT(INDEX($AL$67:$AN$71,,$AE660), INDEX($AO$67:$AU$71,,$AD660), 1 / ($AV$67:$AV$71*BO660 + (1-$AV$67:$AV$71)*BK660), N($AK$67:$AK$71&gt;$AI660)),
SUMPRODUCT(INDEX($AL$57:$AN$66,,$AE660), INDEX($AO$57:$AU$66,,$AD660), 1 / ($AW$57:$AW$66*BO660 + (1-$AW$57:$AW$66)*BK660), N($AK$57:$AK$66&gt;$AI660))
) / 1000</f>
        <v>0</v>
      </c>
      <c r="BQ660" s="250">
        <f t="shared" si="633"/>
        <v>20</v>
      </c>
      <c r="BR660" s="237">
        <f t="shared" si="649"/>
        <v>33</v>
      </c>
      <c r="BS660" s="253">
        <f t="shared" si="650"/>
        <v>4.8487499999999999</v>
      </c>
      <c r="BT660" s="253" cm="1">
        <f t="array" ref="BT660">$BC660 * IF($AD660&lt;=2,
SUMPRODUCT(INDEX($AL$62:$AN$66,,$AE660), INDEX($AO$62:$AU$66,,$AD660), 1 / ($AV$62:$AV$66*BS660 + (1-$AV$62:$AV$66)*BO660), N($AK$62:$AK$66&gt;$AI660)),
SUMPRODUCT(INDEX($AL$47:$AN$56,,$AE660), INDEX($AO$47:$AU$56,,$AD660), 1 / ($AW$47:$AW$56*BS660 + (1-$AW$47:$AW$56)*BO660), N($AK$47:$AK$56&gt;$AI660))
) / 1000</f>
        <v>0</v>
      </c>
      <c r="BU660" s="253" cm="1">
        <f t="array" ref="BU660">$BC660 * IF($AD660&lt;=2,
SUMPRODUCT(INDEX($AL$23:$AN$61,,$AE660), INDEX($AO$23:$AU$61,,$AD660), 1 / ($AV$23:$AV$61*BS660), N($AK$23:$AK$61&gt;$AI660)),
SUMPRODUCT(INDEX($AL$23:$AN$46,,$AE660), INDEX($AO$23:$AU$46,,$AD660), 1 / ($AW$23:$AW$46*BS660), N($AK$23:$AK$46&gt;$AI660))
) / 1000</f>
        <v>0</v>
      </c>
      <c r="BV660" s="237">
        <f t="shared" si="651"/>
        <v>0</v>
      </c>
      <c r="BW660" s="210"/>
      <c r="BX660" s="237">
        <f t="shared" si="652"/>
        <v>0</v>
      </c>
      <c r="BY660" s="236">
        <v>35</v>
      </c>
      <c r="BZ660" s="237">
        <f t="shared" si="653"/>
        <v>48</v>
      </c>
      <c r="CA660" s="253">
        <f t="shared" si="654"/>
        <v>3.0748170731707316</v>
      </c>
      <c r="CB660" s="253" cm="1">
        <f t="array" ref="CB660">$BC660 * SUMPRODUCT(INDEX($AL$77:$AN$82,,$AE660),INDEX($AO$77:$AU$82,,$AD660), N($AK$77:$AK$82&gt;$AI660)) / CA660 / 1000</f>
        <v>0</v>
      </c>
      <c r="CC660" s="250">
        <f t="shared" si="634"/>
        <v>30</v>
      </c>
      <c r="CD660" s="237">
        <f t="shared" si="655"/>
        <v>43</v>
      </c>
      <c r="CE660" s="253">
        <f t="shared" si="656"/>
        <v>3.5018750000000001</v>
      </c>
      <c r="CF660" s="253" cm="1">
        <f t="array" ref="CF660">$BC660 * IF($AD660&lt;=2,
SUMPRODUCT(INDEX($AL$72:$AN$76,,$AE660), INDEX($AO$72:$AU$76,,$AD660), 1 / ($AV$72:$AV$76*CE660 + (1-$AV$72:$AV$76)*CA660), N($AK$72:$AK$76&gt;$AI660)),
SUMPRODUCT(INDEX($AL$67:$AN$76,,$AE660), INDEX($AO$67:$AU$76,,$AD660), 1 / ($AW$67:$AW$76*CE660 + (1-$AW$67:$AW$76)*CA660), N($AK$67:$AK$76&gt;$AI660))
) / 1000</f>
        <v>0</v>
      </c>
      <c r="CG660" s="250">
        <f t="shared" si="635"/>
        <v>25</v>
      </c>
      <c r="CH660" s="237">
        <f t="shared" si="657"/>
        <v>38</v>
      </c>
      <c r="CI660" s="253">
        <f t="shared" si="658"/>
        <v>4.0666935483870965</v>
      </c>
      <c r="CJ660" s="253" cm="1">
        <f t="array" ref="CJ660">$BC660 * IF($AD660&lt;=2,
SUMPRODUCT(INDEX($AL$67:$AN$71,,$AE660), INDEX($AO$67:$AU$71,,$AD660), 1 / ($AV$67:$AV$71*CI660 + (1-$AV$67:$AV$71)*CE660), N($AK$67:$AK$71&gt;$AI660)),
SUMPRODUCT(INDEX($AL$57:$AN$66,,$AE660), INDEX($AO$57:$AU$66,,$AD660), 1 / ($AW$57:$AW$66*CI660 + (1-$AW$57:$AW$66)*CE660), N($AK$57:$AK$66&gt;$AI660))
) / 1000</f>
        <v>0</v>
      </c>
      <c r="CK660" s="250">
        <f t="shared" si="636"/>
        <v>20</v>
      </c>
      <c r="CL660" s="237">
        <f t="shared" si="659"/>
        <v>33</v>
      </c>
      <c r="CM660" s="253">
        <f t="shared" si="660"/>
        <v>4.8487499999999999</v>
      </c>
      <c r="CN660" s="253" cm="1">
        <f t="array" ref="CN660">$BC660 * IF($AD660&lt;=2,
SUMPRODUCT(INDEX($AL$62:$AN$66,,$AE660), INDEX($AO$62:$AU$66,,$AD660), 1 / ($AV$62:$AV$66*CM660 + (1-$AV$62:$AV$66)*CI660), N($AK$62:$AK$66&gt;$AI660)),
SUMPRODUCT(INDEX($AL$47:$AN$56,,$AE660), INDEX($AO$47:$AU$56,,$AD660), 1 / ($AW$47:$AW$56*CM660 + (1-$AW$47:$AW$56)*CI660), N($AK$47:$AK$56&gt;$AI660))
) / 1000</f>
        <v>0</v>
      </c>
      <c r="CO660" s="253" cm="1">
        <f t="array" ref="CO660">$BC660 * IF($AD660&lt;=2,
SUMPRODUCT(INDEX($AL$23:$AN$61,,$AE660), INDEX($AO$23:$AU$61,,$AD660), 1 / ($AV$23:$AV$61*CM660), N($AK$23:$AK$61&gt;$AI660)),
SUMPRODUCT(INDEX($AL$23:$AN$46,,$AE660), INDEX($AO$23:$AU$46,,$AD660), 1 / ($AW$23:$AW$46*CM660), N($AK$23:$AK$46&gt;$AI660))
) / 1000</f>
        <v>0</v>
      </c>
      <c r="CP660" s="237">
        <f t="shared" si="661"/>
        <v>0</v>
      </c>
      <c r="CQ660" s="210"/>
    </row>
    <row r="661" spans="1:95" s="76" customFormat="1" ht="14.25" customHeight="1" x14ac:dyDescent="0.2">
      <c r="A661" s="238" t="b">
        <f t="shared" si="628"/>
        <v>0</v>
      </c>
      <c r="B661" s="239">
        <v>639</v>
      </c>
      <c r="C661" s="258"/>
      <c r="D661" s="258"/>
      <c r="E661" s="240"/>
      <c r="F661" s="241" t="str">
        <f>IF(ISBLANK(E661), "", VLOOKUP(E661, Z!$A$2:$C$4127, 3, FALSE))</f>
        <v/>
      </c>
      <c r="G661" s="242"/>
      <c r="H661" s="242"/>
      <c r="I661" s="243"/>
      <c r="J661" s="244"/>
      <c r="K661" s="259"/>
      <c r="L661" s="260"/>
      <c r="M661" s="247" t="str" cm="1">
        <f t="array" ref="M661">IF($K661&gt;0, INDEX(Clean,1+AG661,$C$1), "")</f>
        <v/>
      </c>
      <c r="N661" s="245"/>
      <c r="O661" s="245"/>
      <c r="P661" s="246"/>
      <c r="Q661" s="248">
        <f t="shared" si="638"/>
        <v>0</v>
      </c>
      <c r="R661" s="247" t="str" cm="1">
        <f t="array" ref="R661">IF($K661&gt;0, INDEX(Clean,1+AH661,$C$1), "")</f>
        <v/>
      </c>
      <c r="S661" s="245"/>
      <c r="T661" s="245"/>
      <c r="U661" s="246"/>
      <c r="V661" s="248">
        <f t="shared" si="639"/>
        <v>0</v>
      </c>
      <c r="W661" s="261"/>
      <c r="X661" s="258"/>
      <c r="Y661" s="240"/>
      <c r="Z661" s="241" t="str">
        <f>IF(ISBLANK(Y661), "", VLOOKUP(Y661, Z!$A$2:$C$4127, 3, FALSE))</f>
        <v/>
      </c>
      <c r="AA661" s="262"/>
      <c r="AB661" s="249">
        <f t="shared" si="637"/>
        <v>0</v>
      </c>
      <c r="AC661" s="210"/>
      <c r="AD661" s="236">
        <f t="shared" si="662"/>
        <v>1</v>
      </c>
      <c r="AE661" s="236">
        <f t="shared" si="663"/>
        <v>1</v>
      </c>
      <c r="AF661" s="236">
        <f t="shared" si="664"/>
        <v>0</v>
      </c>
      <c r="AG661" s="236">
        <v>1</v>
      </c>
      <c r="AH661" s="236">
        <v>0</v>
      </c>
      <c r="AI661" s="236">
        <f t="shared" si="640"/>
        <v>-100</v>
      </c>
      <c r="AJ661" s="210"/>
      <c r="AK661" s="254"/>
      <c r="AL661" s="254"/>
      <c r="AM661" s="255"/>
      <c r="AN661" s="255"/>
      <c r="AO661" s="255"/>
      <c r="AP661" s="255"/>
      <c r="AQ661" s="255"/>
      <c r="AR661" s="255"/>
      <c r="AS661" s="255"/>
      <c r="AT661" s="255"/>
      <c r="AU661" s="255"/>
      <c r="AV661" s="255"/>
      <c r="AW661" s="255"/>
      <c r="AX661" s="210"/>
      <c r="AY661" s="236" cm="1">
        <f t="array" ref="AY661">INDEX(Use, $AD661, 4)</f>
        <v>7</v>
      </c>
      <c r="AZ661" s="236">
        <f t="shared" si="641"/>
        <v>32</v>
      </c>
      <c r="BA661" s="236">
        <f t="shared" si="629"/>
        <v>13</v>
      </c>
      <c r="BB661" s="236">
        <f t="shared" si="630"/>
        <v>0</v>
      </c>
      <c r="BC661" s="252" cm="1">
        <f t="array" ref="BC661">K661/IF($L661&gt;0, INDEX($AO$23:$AU$77, $L661+20, $AD661), 1)</f>
        <v>0</v>
      </c>
      <c r="BD661" s="237">
        <f t="shared" si="642"/>
        <v>0</v>
      </c>
      <c r="BE661" s="236">
        <v>35</v>
      </c>
      <c r="BF661" s="237">
        <f t="shared" si="643"/>
        <v>52.55</v>
      </c>
      <c r="BG661" s="253">
        <f t="shared" si="644"/>
        <v>2.7676728869374316</v>
      </c>
      <c r="BH661" s="253" cm="1">
        <f t="array" ref="BH661">$BC661 * SUMPRODUCT(INDEX($AL$77:$AN$82,,$AE661),INDEX($AO$77:$AU$82,,$AD661), N($AK$77:$AK$82&gt;$AI661)) / BG661 / 1000</f>
        <v>0</v>
      </c>
      <c r="BI661" s="250">
        <f t="shared" si="631"/>
        <v>30</v>
      </c>
      <c r="BJ661" s="237">
        <f t="shared" si="645"/>
        <v>46.033333333333331</v>
      </c>
      <c r="BK661" s="253">
        <f t="shared" si="646"/>
        <v>3.2297395388556791</v>
      </c>
      <c r="BL661" s="253" cm="1">
        <f t="array" ref="BL661">$BC661 * IF($AD661&lt;=2,
SUMPRODUCT(INDEX($AL$72:$AN$76,,$AE661), INDEX($AO$72:$AU$76,,$AD661), 1 / ($AV$72:$AV$76*BK661 + (1-$AV$72:$AV$76)*BG661), N($AK$72:$AK$76&gt;$AI661)),
SUMPRODUCT(INDEX($AL$67:$AN$76,,$AE661), INDEX($AO$67:$AU$76,,$AD661), 1 / ($AW$67:$AW$76*BK661 + (1-$AW$67:$AW$76)*BG661), N($AK$67:$AK$76&gt;$AI661))
) / 1000</f>
        <v>0</v>
      </c>
      <c r="BM661" s="250">
        <f t="shared" si="632"/>
        <v>25</v>
      </c>
      <c r="BN661" s="237">
        <f t="shared" si="647"/>
        <v>39.516666666666666</v>
      </c>
      <c r="BO661" s="253">
        <f t="shared" si="648"/>
        <v>3.877011788826243</v>
      </c>
      <c r="BP661" s="253" cm="1">
        <f t="array" ref="BP661">$BC661 * IF($AD661&lt;=2,
SUMPRODUCT(INDEX($AL$67:$AN$71,,$AE661), INDEX($AO$67:$AU$71,,$AD661), 1 / ($AV$67:$AV$71*BO661 + (1-$AV$67:$AV$71)*BK661), N($AK$67:$AK$71&gt;$AI661)),
SUMPRODUCT(INDEX($AL$57:$AN$66,,$AE661), INDEX($AO$57:$AU$66,,$AD661), 1 / ($AW$57:$AW$66*BO661 + (1-$AW$57:$AW$66)*BK661), N($AK$57:$AK$66&gt;$AI661))
) / 1000</f>
        <v>0</v>
      </c>
      <c r="BQ661" s="250">
        <f t="shared" si="633"/>
        <v>20</v>
      </c>
      <c r="BR661" s="237">
        <f t="shared" si="649"/>
        <v>33</v>
      </c>
      <c r="BS661" s="253">
        <f t="shared" si="650"/>
        <v>4.8487499999999999</v>
      </c>
      <c r="BT661" s="253" cm="1">
        <f t="array" ref="BT661">$BC661 * IF($AD661&lt;=2,
SUMPRODUCT(INDEX($AL$62:$AN$66,,$AE661), INDEX($AO$62:$AU$66,,$AD661), 1 / ($AV$62:$AV$66*BS661 + (1-$AV$62:$AV$66)*BO661), N($AK$62:$AK$66&gt;$AI661)),
SUMPRODUCT(INDEX($AL$47:$AN$56,,$AE661), INDEX($AO$47:$AU$56,,$AD661), 1 / ($AW$47:$AW$56*BS661 + (1-$AW$47:$AW$56)*BO661), N($AK$47:$AK$56&gt;$AI661))
) / 1000</f>
        <v>0</v>
      </c>
      <c r="BU661" s="253" cm="1">
        <f t="array" ref="BU661">$BC661 * IF($AD661&lt;=2,
SUMPRODUCT(INDEX($AL$23:$AN$61,,$AE661), INDEX($AO$23:$AU$61,,$AD661), 1 / ($AV$23:$AV$61*BS661), N($AK$23:$AK$61&gt;$AI661)),
SUMPRODUCT(INDEX($AL$23:$AN$46,,$AE661), INDEX($AO$23:$AU$46,,$AD661), 1 / ($AW$23:$AW$46*BS661), N($AK$23:$AK$46&gt;$AI661))
) / 1000</f>
        <v>0</v>
      </c>
      <c r="BV661" s="237">
        <f t="shared" si="651"/>
        <v>0</v>
      </c>
      <c r="BW661" s="210"/>
      <c r="BX661" s="237">
        <f t="shared" si="652"/>
        <v>0</v>
      </c>
      <c r="BY661" s="236">
        <v>35</v>
      </c>
      <c r="BZ661" s="237">
        <f t="shared" si="653"/>
        <v>48</v>
      </c>
      <c r="CA661" s="253">
        <f t="shared" si="654"/>
        <v>3.0748170731707316</v>
      </c>
      <c r="CB661" s="253" cm="1">
        <f t="array" ref="CB661">$BC661 * SUMPRODUCT(INDEX($AL$77:$AN$82,,$AE661),INDEX($AO$77:$AU$82,,$AD661), N($AK$77:$AK$82&gt;$AI661)) / CA661 / 1000</f>
        <v>0</v>
      </c>
      <c r="CC661" s="250">
        <f t="shared" si="634"/>
        <v>30</v>
      </c>
      <c r="CD661" s="237">
        <f t="shared" si="655"/>
        <v>43</v>
      </c>
      <c r="CE661" s="253">
        <f t="shared" si="656"/>
        <v>3.5018750000000001</v>
      </c>
      <c r="CF661" s="253" cm="1">
        <f t="array" ref="CF661">$BC661 * IF($AD661&lt;=2,
SUMPRODUCT(INDEX($AL$72:$AN$76,,$AE661), INDEX($AO$72:$AU$76,,$AD661), 1 / ($AV$72:$AV$76*CE661 + (1-$AV$72:$AV$76)*CA661), N($AK$72:$AK$76&gt;$AI661)),
SUMPRODUCT(INDEX($AL$67:$AN$76,,$AE661), INDEX($AO$67:$AU$76,,$AD661), 1 / ($AW$67:$AW$76*CE661 + (1-$AW$67:$AW$76)*CA661), N($AK$67:$AK$76&gt;$AI661))
) / 1000</f>
        <v>0</v>
      </c>
      <c r="CG661" s="250">
        <f t="shared" si="635"/>
        <v>25</v>
      </c>
      <c r="CH661" s="237">
        <f t="shared" si="657"/>
        <v>38</v>
      </c>
      <c r="CI661" s="253">
        <f t="shared" si="658"/>
        <v>4.0666935483870965</v>
      </c>
      <c r="CJ661" s="253" cm="1">
        <f t="array" ref="CJ661">$BC661 * IF($AD661&lt;=2,
SUMPRODUCT(INDEX($AL$67:$AN$71,,$AE661), INDEX($AO$67:$AU$71,,$AD661), 1 / ($AV$67:$AV$71*CI661 + (1-$AV$67:$AV$71)*CE661), N($AK$67:$AK$71&gt;$AI661)),
SUMPRODUCT(INDEX($AL$57:$AN$66,,$AE661), INDEX($AO$57:$AU$66,,$AD661), 1 / ($AW$57:$AW$66*CI661 + (1-$AW$57:$AW$66)*CE661), N($AK$57:$AK$66&gt;$AI661))
) / 1000</f>
        <v>0</v>
      </c>
      <c r="CK661" s="250">
        <f t="shared" si="636"/>
        <v>20</v>
      </c>
      <c r="CL661" s="237">
        <f t="shared" si="659"/>
        <v>33</v>
      </c>
      <c r="CM661" s="253">
        <f t="shared" si="660"/>
        <v>4.8487499999999999</v>
      </c>
      <c r="CN661" s="253" cm="1">
        <f t="array" ref="CN661">$BC661 * IF($AD661&lt;=2,
SUMPRODUCT(INDEX($AL$62:$AN$66,,$AE661), INDEX($AO$62:$AU$66,,$AD661), 1 / ($AV$62:$AV$66*CM661 + (1-$AV$62:$AV$66)*CI661), N($AK$62:$AK$66&gt;$AI661)),
SUMPRODUCT(INDEX($AL$47:$AN$56,,$AE661), INDEX($AO$47:$AU$56,,$AD661), 1 / ($AW$47:$AW$56*CM661 + (1-$AW$47:$AW$56)*CI661), N($AK$47:$AK$56&gt;$AI661))
) / 1000</f>
        <v>0</v>
      </c>
      <c r="CO661" s="253" cm="1">
        <f t="array" ref="CO661">$BC661 * IF($AD661&lt;=2,
SUMPRODUCT(INDEX($AL$23:$AN$61,,$AE661), INDEX($AO$23:$AU$61,,$AD661), 1 / ($AV$23:$AV$61*CM661), N($AK$23:$AK$61&gt;$AI661)),
SUMPRODUCT(INDEX($AL$23:$AN$46,,$AE661), INDEX($AO$23:$AU$46,,$AD661), 1 / ($AW$23:$AW$46*CM661), N($AK$23:$AK$46&gt;$AI661))
) / 1000</f>
        <v>0</v>
      </c>
      <c r="CP661" s="237">
        <f t="shared" si="661"/>
        <v>0</v>
      </c>
      <c r="CQ661" s="210"/>
    </row>
    <row r="662" spans="1:95" s="76" customFormat="1" ht="14.25" customHeight="1" x14ac:dyDescent="0.2">
      <c r="A662" s="238" t="b">
        <f t="shared" ref="A662:A725" si="665">IF(OR(AND($K662&gt;80, $AD662=1), AND($K662&gt;40, $AD662=3), AND($K662&gt;30, $AD662=4),), TRUE, FALSE)</f>
        <v>0</v>
      </c>
      <c r="B662" s="239">
        <v>640</v>
      </c>
      <c r="C662" s="258"/>
      <c r="D662" s="258"/>
      <c r="E662" s="240"/>
      <c r="F662" s="241" t="str">
        <f>IF(ISBLANK(E662), "", VLOOKUP(E662, Z!$A$2:$C$4127, 3, FALSE))</f>
        <v/>
      </c>
      <c r="G662" s="242"/>
      <c r="H662" s="242"/>
      <c r="I662" s="243"/>
      <c r="J662" s="244"/>
      <c r="K662" s="259"/>
      <c r="L662" s="260"/>
      <c r="M662" s="247" t="str" cm="1">
        <f t="array" ref="M662">IF($K662&gt;0, INDEX(Clean,1+AG662,$C$1), "")</f>
        <v/>
      </c>
      <c r="N662" s="245"/>
      <c r="O662" s="245"/>
      <c r="P662" s="246"/>
      <c r="Q662" s="248">
        <f t="shared" si="638"/>
        <v>0</v>
      </c>
      <c r="R662" s="247" t="str" cm="1">
        <f t="array" ref="R662">IF($K662&gt;0, INDEX(Clean,1+AH662,$C$1), "")</f>
        <v/>
      </c>
      <c r="S662" s="245"/>
      <c r="T662" s="245"/>
      <c r="U662" s="246"/>
      <c r="V662" s="248">
        <f t="shared" si="639"/>
        <v>0</v>
      </c>
      <c r="W662" s="261"/>
      <c r="X662" s="258"/>
      <c r="Y662" s="240"/>
      <c r="Z662" s="241" t="str">
        <f>IF(ISBLANK(Y662), "", VLOOKUP(Y662, Z!$A$2:$C$4127, 3, FALSE))</f>
        <v/>
      </c>
      <c r="AA662" s="262"/>
      <c r="AB662" s="249">
        <f t="shared" si="637"/>
        <v>0</v>
      </c>
      <c r="AC662" s="210"/>
      <c r="AD662" s="236">
        <f t="shared" si="662"/>
        <v>1</v>
      </c>
      <c r="AE662" s="236">
        <f t="shared" si="663"/>
        <v>1</v>
      </c>
      <c r="AF662" s="236">
        <f t="shared" si="664"/>
        <v>0</v>
      </c>
      <c r="AG662" s="236">
        <v>1</v>
      </c>
      <c r="AH662" s="236">
        <v>0</v>
      </c>
      <c r="AI662" s="236">
        <f t="shared" si="640"/>
        <v>-100</v>
      </c>
      <c r="AJ662" s="210"/>
      <c r="AK662" s="254"/>
      <c r="AL662" s="254"/>
      <c r="AM662" s="255"/>
      <c r="AN662" s="255"/>
      <c r="AO662" s="255"/>
      <c r="AP662" s="255"/>
      <c r="AQ662" s="255"/>
      <c r="AR662" s="255"/>
      <c r="AS662" s="255"/>
      <c r="AT662" s="255"/>
      <c r="AU662" s="255"/>
      <c r="AV662" s="255"/>
      <c r="AW662" s="255"/>
      <c r="AX662" s="210"/>
      <c r="AY662" s="236" cm="1">
        <f t="array" ref="AY662">INDEX(Use, $AD662, 4)</f>
        <v>7</v>
      </c>
      <c r="AZ662" s="236">
        <f t="shared" si="641"/>
        <v>32</v>
      </c>
      <c r="BA662" s="236">
        <f t="shared" si="629"/>
        <v>13</v>
      </c>
      <c r="BB662" s="236">
        <f t="shared" si="630"/>
        <v>0</v>
      </c>
      <c r="BC662" s="252" cm="1">
        <f t="array" ref="BC662">K662/IF($L662&gt;0, INDEX($AO$23:$AU$77, $L662+20, $AD662), 1)</f>
        <v>0</v>
      </c>
      <c r="BD662" s="237">
        <f t="shared" si="642"/>
        <v>0</v>
      </c>
      <c r="BE662" s="236">
        <v>35</v>
      </c>
      <c r="BF662" s="237">
        <f t="shared" si="643"/>
        <v>52.55</v>
      </c>
      <c r="BG662" s="253">
        <f t="shared" si="644"/>
        <v>2.7676728869374316</v>
      </c>
      <c r="BH662" s="253" cm="1">
        <f t="array" ref="BH662">$BC662 * SUMPRODUCT(INDEX($AL$77:$AN$82,,$AE662),INDEX($AO$77:$AU$82,,$AD662), N($AK$77:$AK$82&gt;$AI662)) / BG662 / 1000</f>
        <v>0</v>
      </c>
      <c r="BI662" s="250">
        <f t="shared" si="631"/>
        <v>30</v>
      </c>
      <c r="BJ662" s="237">
        <f t="shared" si="645"/>
        <v>46.033333333333331</v>
      </c>
      <c r="BK662" s="253">
        <f t="shared" si="646"/>
        <v>3.2297395388556791</v>
      </c>
      <c r="BL662" s="253" cm="1">
        <f t="array" ref="BL662">$BC662 * IF($AD662&lt;=2,
SUMPRODUCT(INDEX($AL$72:$AN$76,,$AE662), INDEX($AO$72:$AU$76,,$AD662), 1 / ($AV$72:$AV$76*BK662 + (1-$AV$72:$AV$76)*BG662), N($AK$72:$AK$76&gt;$AI662)),
SUMPRODUCT(INDEX($AL$67:$AN$76,,$AE662), INDEX($AO$67:$AU$76,,$AD662), 1 / ($AW$67:$AW$76*BK662 + (1-$AW$67:$AW$76)*BG662), N($AK$67:$AK$76&gt;$AI662))
) / 1000</f>
        <v>0</v>
      </c>
      <c r="BM662" s="250">
        <f t="shared" si="632"/>
        <v>25</v>
      </c>
      <c r="BN662" s="237">
        <f t="shared" si="647"/>
        <v>39.516666666666666</v>
      </c>
      <c r="BO662" s="253">
        <f t="shared" si="648"/>
        <v>3.877011788826243</v>
      </c>
      <c r="BP662" s="253" cm="1">
        <f t="array" ref="BP662">$BC662 * IF($AD662&lt;=2,
SUMPRODUCT(INDEX($AL$67:$AN$71,,$AE662), INDEX($AO$67:$AU$71,,$AD662), 1 / ($AV$67:$AV$71*BO662 + (1-$AV$67:$AV$71)*BK662), N($AK$67:$AK$71&gt;$AI662)),
SUMPRODUCT(INDEX($AL$57:$AN$66,,$AE662), INDEX($AO$57:$AU$66,,$AD662), 1 / ($AW$57:$AW$66*BO662 + (1-$AW$57:$AW$66)*BK662), N($AK$57:$AK$66&gt;$AI662))
) / 1000</f>
        <v>0</v>
      </c>
      <c r="BQ662" s="250">
        <f t="shared" si="633"/>
        <v>20</v>
      </c>
      <c r="BR662" s="237">
        <f t="shared" si="649"/>
        <v>33</v>
      </c>
      <c r="BS662" s="253">
        <f t="shared" si="650"/>
        <v>4.8487499999999999</v>
      </c>
      <c r="BT662" s="253" cm="1">
        <f t="array" ref="BT662">$BC662 * IF($AD662&lt;=2,
SUMPRODUCT(INDEX($AL$62:$AN$66,,$AE662), INDEX($AO$62:$AU$66,,$AD662), 1 / ($AV$62:$AV$66*BS662 + (1-$AV$62:$AV$66)*BO662), N($AK$62:$AK$66&gt;$AI662)),
SUMPRODUCT(INDEX($AL$47:$AN$56,,$AE662), INDEX($AO$47:$AU$56,,$AD662), 1 / ($AW$47:$AW$56*BS662 + (1-$AW$47:$AW$56)*BO662), N($AK$47:$AK$56&gt;$AI662))
) / 1000</f>
        <v>0</v>
      </c>
      <c r="BU662" s="253" cm="1">
        <f t="array" ref="BU662">$BC662 * IF($AD662&lt;=2,
SUMPRODUCT(INDEX($AL$23:$AN$61,,$AE662), INDEX($AO$23:$AU$61,,$AD662), 1 / ($AV$23:$AV$61*BS662), N($AK$23:$AK$61&gt;$AI662)),
SUMPRODUCT(INDEX($AL$23:$AN$46,,$AE662), INDEX($AO$23:$AU$46,,$AD662), 1 / ($AW$23:$AW$46*BS662), N($AK$23:$AK$46&gt;$AI662))
) / 1000</f>
        <v>0</v>
      </c>
      <c r="BV662" s="237">
        <f t="shared" si="651"/>
        <v>0</v>
      </c>
      <c r="BW662" s="210"/>
      <c r="BX662" s="237">
        <f t="shared" si="652"/>
        <v>0</v>
      </c>
      <c r="BY662" s="236">
        <v>35</v>
      </c>
      <c r="BZ662" s="237">
        <f t="shared" si="653"/>
        <v>48</v>
      </c>
      <c r="CA662" s="253">
        <f t="shared" si="654"/>
        <v>3.0748170731707316</v>
      </c>
      <c r="CB662" s="253" cm="1">
        <f t="array" ref="CB662">$BC662 * SUMPRODUCT(INDEX($AL$77:$AN$82,,$AE662),INDEX($AO$77:$AU$82,,$AD662), N($AK$77:$AK$82&gt;$AI662)) / CA662 / 1000</f>
        <v>0</v>
      </c>
      <c r="CC662" s="250">
        <f t="shared" si="634"/>
        <v>30</v>
      </c>
      <c r="CD662" s="237">
        <f t="shared" si="655"/>
        <v>43</v>
      </c>
      <c r="CE662" s="253">
        <f t="shared" si="656"/>
        <v>3.5018750000000001</v>
      </c>
      <c r="CF662" s="253" cm="1">
        <f t="array" ref="CF662">$BC662 * IF($AD662&lt;=2,
SUMPRODUCT(INDEX($AL$72:$AN$76,,$AE662), INDEX($AO$72:$AU$76,,$AD662), 1 / ($AV$72:$AV$76*CE662 + (1-$AV$72:$AV$76)*CA662), N($AK$72:$AK$76&gt;$AI662)),
SUMPRODUCT(INDEX($AL$67:$AN$76,,$AE662), INDEX($AO$67:$AU$76,,$AD662), 1 / ($AW$67:$AW$76*CE662 + (1-$AW$67:$AW$76)*CA662), N($AK$67:$AK$76&gt;$AI662))
) / 1000</f>
        <v>0</v>
      </c>
      <c r="CG662" s="250">
        <f t="shared" si="635"/>
        <v>25</v>
      </c>
      <c r="CH662" s="237">
        <f t="shared" si="657"/>
        <v>38</v>
      </c>
      <c r="CI662" s="253">
        <f t="shared" si="658"/>
        <v>4.0666935483870965</v>
      </c>
      <c r="CJ662" s="253" cm="1">
        <f t="array" ref="CJ662">$BC662 * IF($AD662&lt;=2,
SUMPRODUCT(INDEX($AL$67:$AN$71,,$AE662), INDEX($AO$67:$AU$71,,$AD662), 1 / ($AV$67:$AV$71*CI662 + (1-$AV$67:$AV$71)*CE662), N($AK$67:$AK$71&gt;$AI662)),
SUMPRODUCT(INDEX($AL$57:$AN$66,,$AE662), INDEX($AO$57:$AU$66,,$AD662), 1 / ($AW$57:$AW$66*CI662 + (1-$AW$57:$AW$66)*CE662), N($AK$57:$AK$66&gt;$AI662))
) / 1000</f>
        <v>0</v>
      </c>
      <c r="CK662" s="250">
        <f t="shared" si="636"/>
        <v>20</v>
      </c>
      <c r="CL662" s="237">
        <f t="shared" si="659"/>
        <v>33</v>
      </c>
      <c r="CM662" s="253">
        <f t="shared" si="660"/>
        <v>4.8487499999999999</v>
      </c>
      <c r="CN662" s="253" cm="1">
        <f t="array" ref="CN662">$BC662 * IF($AD662&lt;=2,
SUMPRODUCT(INDEX($AL$62:$AN$66,,$AE662), INDEX($AO$62:$AU$66,,$AD662), 1 / ($AV$62:$AV$66*CM662 + (1-$AV$62:$AV$66)*CI662), N($AK$62:$AK$66&gt;$AI662)),
SUMPRODUCT(INDEX($AL$47:$AN$56,,$AE662), INDEX($AO$47:$AU$56,,$AD662), 1 / ($AW$47:$AW$56*CM662 + (1-$AW$47:$AW$56)*CI662), N($AK$47:$AK$56&gt;$AI662))
) / 1000</f>
        <v>0</v>
      </c>
      <c r="CO662" s="253" cm="1">
        <f t="array" ref="CO662">$BC662 * IF($AD662&lt;=2,
SUMPRODUCT(INDEX($AL$23:$AN$61,,$AE662), INDEX($AO$23:$AU$61,,$AD662), 1 / ($AV$23:$AV$61*CM662), N($AK$23:$AK$61&gt;$AI662)),
SUMPRODUCT(INDEX($AL$23:$AN$46,,$AE662), INDEX($AO$23:$AU$46,,$AD662), 1 / ($AW$23:$AW$46*CM662), N($AK$23:$AK$46&gt;$AI662))
) / 1000</f>
        <v>0</v>
      </c>
      <c r="CP662" s="237">
        <f t="shared" si="661"/>
        <v>0</v>
      </c>
      <c r="CQ662" s="210"/>
    </row>
    <row r="663" spans="1:95" s="76" customFormat="1" ht="14.25" customHeight="1" x14ac:dyDescent="0.2">
      <c r="A663" s="238" t="b">
        <f t="shared" si="665"/>
        <v>0</v>
      </c>
      <c r="B663" s="239">
        <v>641</v>
      </c>
      <c r="C663" s="258"/>
      <c r="D663" s="258"/>
      <c r="E663" s="240"/>
      <c r="F663" s="241" t="str">
        <f>IF(ISBLANK(E663), "", VLOOKUP(E663, Z!$A$2:$C$4127, 3, FALSE))</f>
        <v/>
      </c>
      <c r="G663" s="242"/>
      <c r="H663" s="242"/>
      <c r="I663" s="243"/>
      <c r="J663" s="244"/>
      <c r="K663" s="259"/>
      <c r="L663" s="260"/>
      <c r="M663" s="247" t="str" cm="1">
        <f t="array" ref="M663">IF($K663&gt;0, INDEX(Clean,1+AG663,$C$1), "")</f>
        <v/>
      </c>
      <c r="N663" s="245"/>
      <c r="O663" s="245"/>
      <c r="P663" s="246"/>
      <c r="Q663" s="248">
        <f t="shared" si="638"/>
        <v>0</v>
      </c>
      <c r="R663" s="247" t="str" cm="1">
        <f t="array" ref="R663">IF($K663&gt;0, INDEX(Clean,1+AH663,$C$1), "")</f>
        <v/>
      </c>
      <c r="S663" s="245"/>
      <c r="T663" s="245"/>
      <c r="U663" s="246"/>
      <c r="V663" s="248">
        <f t="shared" si="639"/>
        <v>0</v>
      </c>
      <c r="W663" s="261"/>
      <c r="X663" s="258"/>
      <c r="Y663" s="240"/>
      <c r="Z663" s="241" t="str">
        <f>IF(ISBLANK(Y663), "", VLOOKUP(Y663, Z!$A$2:$C$4127, 3, FALSE))</f>
        <v/>
      </c>
      <c r="AA663" s="262"/>
      <c r="AB663" s="249">
        <f t="shared" si="637"/>
        <v>0</v>
      </c>
      <c r="AC663" s="210"/>
      <c r="AD663" s="236">
        <f t="shared" si="662"/>
        <v>1</v>
      </c>
      <c r="AE663" s="236">
        <f t="shared" si="663"/>
        <v>1</v>
      </c>
      <c r="AF663" s="236">
        <f t="shared" si="664"/>
        <v>0</v>
      </c>
      <c r="AG663" s="236">
        <v>1</v>
      </c>
      <c r="AH663" s="236">
        <v>0</v>
      </c>
      <c r="AI663" s="236">
        <f t="shared" si="640"/>
        <v>-100</v>
      </c>
      <c r="AJ663" s="210"/>
      <c r="AK663" s="254"/>
      <c r="AL663" s="254"/>
      <c r="AM663" s="255"/>
      <c r="AN663" s="255"/>
      <c r="AO663" s="255"/>
      <c r="AP663" s="255"/>
      <c r="AQ663" s="255"/>
      <c r="AR663" s="255"/>
      <c r="AS663" s="255"/>
      <c r="AT663" s="255"/>
      <c r="AU663" s="255"/>
      <c r="AV663" s="255"/>
      <c r="AW663" s="255"/>
      <c r="AX663" s="210"/>
      <c r="AY663" s="236" cm="1">
        <f t="array" ref="AY663">INDEX(Use, $AD663, 4)</f>
        <v>7</v>
      </c>
      <c r="AZ663" s="236">
        <f t="shared" si="641"/>
        <v>32</v>
      </c>
      <c r="BA663" s="236">
        <f t="shared" ref="BA663:BA726" si="666">IF($AF663=1, 6, IF($AD663=4, 10, 13))</f>
        <v>13</v>
      </c>
      <c r="BB663" s="236">
        <f t="shared" ref="BB663:BB726" si="667">IF($AF663=1, 9, 0)</f>
        <v>0</v>
      </c>
      <c r="BC663" s="252" cm="1">
        <f t="array" ref="BC663">K663/IF($L663&gt;0, INDEX($AO$23:$AU$77, $L663+20, $AD663), 1)</f>
        <v>0</v>
      </c>
      <c r="BD663" s="237">
        <f t="shared" si="642"/>
        <v>0</v>
      </c>
      <c r="BE663" s="236">
        <v>35</v>
      </c>
      <c r="BF663" s="237">
        <f t="shared" si="643"/>
        <v>52.55</v>
      </c>
      <c r="BG663" s="253">
        <f t="shared" si="644"/>
        <v>2.7676728869374316</v>
      </c>
      <c r="BH663" s="253" cm="1">
        <f t="array" ref="BH663">$BC663 * SUMPRODUCT(INDEX($AL$77:$AN$82,,$AE663),INDEX($AO$77:$AU$82,,$AD663), N($AK$77:$AK$82&gt;$AI663)) / BG663 / 1000</f>
        <v>0</v>
      </c>
      <c r="BI663" s="250">
        <f t="shared" ref="BI663:BI726" si="668">IF($AD663&lt;=2, 30, 25)</f>
        <v>30</v>
      </c>
      <c r="BJ663" s="237">
        <f t="shared" si="645"/>
        <v>46.033333333333331</v>
      </c>
      <c r="BK663" s="253">
        <f t="shared" si="646"/>
        <v>3.2297395388556791</v>
      </c>
      <c r="BL663" s="253" cm="1">
        <f t="array" ref="BL663">$BC663 * IF($AD663&lt;=2,
SUMPRODUCT(INDEX($AL$72:$AN$76,,$AE663), INDEX($AO$72:$AU$76,,$AD663), 1 / ($AV$72:$AV$76*BK663 + (1-$AV$72:$AV$76)*BG663), N($AK$72:$AK$76&gt;$AI663)),
SUMPRODUCT(INDEX($AL$67:$AN$76,,$AE663), INDEX($AO$67:$AU$76,,$AD663), 1 / ($AW$67:$AW$76*BK663 + (1-$AW$67:$AW$76)*BG663), N($AK$67:$AK$76&gt;$AI663))
) / 1000</f>
        <v>0</v>
      </c>
      <c r="BM663" s="250">
        <f t="shared" ref="BM663:BM726" si="669">IF($AD663&lt;=2, 25, 15)</f>
        <v>25</v>
      </c>
      <c r="BN663" s="237">
        <f t="shared" si="647"/>
        <v>39.516666666666666</v>
      </c>
      <c r="BO663" s="253">
        <f t="shared" si="648"/>
        <v>3.877011788826243</v>
      </c>
      <c r="BP663" s="253" cm="1">
        <f t="array" ref="BP663">$BC663 * IF($AD663&lt;=2,
SUMPRODUCT(INDEX($AL$67:$AN$71,,$AE663), INDEX($AO$67:$AU$71,,$AD663), 1 / ($AV$67:$AV$71*BO663 + (1-$AV$67:$AV$71)*BK663), N($AK$67:$AK$71&gt;$AI663)),
SUMPRODUCT(INDEX($AL$57:$AN$66,,$AE663), INDEX($AO$57:$AU$66,,$AD663), 1 / ($AW$57:$AW$66*BO663 + (1-$AW$57:$AW$66)*BK663), N($AK$57:$AK$66&gt;$AI663))
) / 1000</f>
        <v>0</v>
      </c>
      <c r="BQ663" s="250">
        <f t="shared" ref="BQ663:BQ726" si="670">IF($AD663&lt;=2, 20, 5)</f>
        <v>20</v>
      </c>
      <c r="BR663" s="237">
        <f t="shared" si="649"/>
        <v>33</v>
      </c>
      <c r="BS663" s="253">
        <f t="shared" si="650"/>
        <v>4.8487499999999999</v>
      </c>
      <c r="BT663" s="253" cm="1">
        <f t="array" ref="BT663">$BC663 * IF($AD663&lt;=2,
SUMPRODUCT(INDEX($AL$62:$AN$66,,$AE663), INDEX($AO$62:$AU$66,,$AD663), 1 / ($AV$62:$AV$66*BS663 + (1-$AV$62:$AV$66)*BO663), N($AK$62:$AK$66&gt;$AI663)),
SUMPRODUCT(INDEX($AL$47:$AN$56,,$AE663), INDEX($AO$47:$AU$56,,$AD663), 1 / ($AW$47:$AW$56*BS663 + (1-$AW$47:$AW$56)*BO663), N($AK$47:$AK$56&gt;$AI663))
) / 1000</f>
        <v>0</v>
      </c>
      <c r="BU663" s="253" cm="1">
        <f t="array" ref="BU663">$BC663 * IF($AD663&lt;=2,
SUMPRODUCT(INDEX($AL$23:$AN$61,,$AE663), INDEX($AO$23:$AU$61,,$AD663), 1 / ($AV$23:$AV$61*BS663), N($AK$23:$AK$61&gt;$AI663)),
SUMPRODUCT(INDEX($AL$23:$AN$46,,$AE663), INDEX($AO$23:$AU$46,,$AD663), 1 / ($AW$23:$AW$46*BS663), N($AK$23:$AK$46&gt;$AI663))
) / 1000</f>
        <v>0</v>
      </c>
      <c r="BV663" s="237">
        <f t="shared" si="651"/>
        <v>0</v>
      </c>
      <c r="BW663" s="210"/>
      <c r="BX663" s="237">
        <f t="shared" si="652"/>
        <v>0</v>
      </c>
      <c r="BY663" s="236">
        <v>35</v>
      </c>
      <c r="BZ663" s="237">
        <f t="shared" si="653"/>
        <v>48</v>
      </c>
      <c r="CA663" s="253">
        <f t="shared" si="654"/>
        <v>3.0748170731707316</v>
      </c>
      <c r="CB663" s="253" cm="1">
        <f t="array" ref="CB663">$BC663 * SUMPRODUCT(INDEX($AL$77:$AN$82,,$AE663),INDEX($AO$77:$AU$82,,$AD663), N($AK$77:$AK$82&gt;$AI663)) / CA663 / 1000</f>
        <v>0</v>
      </c>
      <c r="CC663" s="250">
        <f t="shared" ref="CC663:CC726" si="671">IF($AD663&lt;=2, 30, 25)</f>
        <v>30</v>
      </c>
      <c r="CD663" s="237">
        <f t="shared" si="655"/>
        <v>43</v>
      </c>
      <c r="CE663" s="253">
        <f t="shared" si="656"/>
        <v>3.5018750000000001</v>
      </c>
      <c r="CF663" s="253" cm="1">
        <f t="array" ref="CF663">$BC663 * IF($AD663&lt;=2,
SUMPRODUCT(INDEX($AL$72:$AN$76,,$AE663), INDEX($AO$72:$AU$76,,$AD663), 1 / ($AV$72:$AV$76*CE663 + (1-$AV$72:$AV$76)*CA663), N($AK$72:$AK$76&gt;$AI663)),
SUMPRODUCT(INDEX($AL$67:$AN$76,,$AE663), INDEX($AO$67:$AU$76,,$AD663), 1 / ($AW$67:$AW$76*CE663 + (1-$AW$67:$AW$76)*CA663), N($AK$67:$AK$76&gt;$AI663))
) / 1000</f>
        <v>0</v>
      </c>
      <c r="CG663" s="250">
        <f t="shared" ref="CG663:CG726" si="672">IF($AD663&lt;=2, 25, 15)</f>
        <v>25</v>
      </c>
      <c r="CH663" s="237">
        <f t="shared" si="657"/>
        <v>38</v>
      </c>
      <c r="CI663" s="253">
        <f t="shared" si="658"/>
        <v>4.0666935483870965</v>
      </c>
      <c r="CJ663" s="253" cm="1">
        <f t="array" ref="CJ663">$BC663 * IF($AD663&lt;=2,
SUMPRODUCT(INDEX($AL$67:$AN$71,,$AE663), INDEX($AO$67:$AU$71,,$AD663), 1 / ($AV$67:$AV$71*CI663 + (1-$AV$67:$AV$71)*CE663), N($AK$67:$AK$71&gt;$AI663)),
SUMPRODUCT(INDEX($AL$57:$AN$66,,$AE663), INDEX($AO$57:$AU$66,,$AD663), 1 / ($AW$57:$AW$66*CI663 + (1-$AW$57:$AW$66)*CE663), N($AK$57:$AK$66&gt;$AI663))
) / 1000</f>
        <v>0</v>
      </c>
      <c r="CK663" s="250">
        <f t="shared" ref="CK663:CK726" si="673">IF($AD663&lt;=2, 20, 5)</f>
        <v>20</v>
      </c>
      <c r="CL663" s="237">
        <f t="shared" si="659"/>
        <v>33</v>
      </c>
      <c r="CM663" s="253">
        <f t="shared" si="660"/>
        <v>4.8487499999999999</v>
      </c>
      <c r="CN663" s="253" cm="1">
        <f t="array" ref="CN663">$BC663 * IF($AD663&lt;=2,
SUMPRODUCT(INDEX($AL$62:$AN$66,,$AE663), INDEX($AO$62:$AU$66,,$AD663), 1 / ($AV$62:$AV$66*CM663 + (1-$AV$62:$AV$66)*CI663), N($AK$62:$AK$66&gt;$AI663)),
SUMPRODUCT(INDEX($AL$47:$AN$56,,$AE663), INDEX($AO$47:$AU$56,,$AD663), 1 / ($AW$47:$AW$56*CM663 + (1-$AW$47:$AW$56)*CI663), N($AK$47:$AK$56&gt;$AI663))
) / 1000</f>
        <v>0</v>
      </c>
      <c r="CO663" s="253" cm="1">
        <f t="array" ref="CO663">$BC663 * IF($AD663&lt;=2,
SUMPRODUCT(INDEX($AL$23:$AN$61,,$AE663), INDEX($AO$23:$AU$61,,$AD663), 1 / ($AV$23:$AV$61*CM663), N($AK$23:$AK$61&gt;$AI663)),
SUMPRODUCT(INDEX($AL$23:$AN$46,,$AE663), INDEX($AO$23:$AU$46,,$AD663), 1 / ($AW$23:$AW$46*CM663), N($AK$23:$AK$46&gt;$AI663))
) / 1000</f>
        <v>0</v>
      </c>
      <c r="CP663" s="237">
        <f t="shared" si="661"/>
        <v>0</v>
      </c>
      <c r="CQ663" s="210"/>
    </row>
    <row r="664" spans="1:95" s="76" customFormat="1" ht="14.25" customHeight="1" x14ac:dyDescent="0.2">
      <c r="A664" s="238" t="b">
        <f t="shared" si="665"/>
        <v>0</v>
      </c>
      <c r="B664" s="239">
        <v>642</v>
      </c>
      <c r="C664" s="258"/>
      <c r="D664" s="258"/>
      <c r="E664" s="240"/>
      <c r="F664" s="241" t="str">
        <f>IF(ISBLANK(E664), "", VLOOKUP(E664, Z!$A$2:$C$4127, 3, FALSE))</f>
        <v/>
      </c>
      <c r="G664" s="242"/>
      <c r="H664" s="242"/>
      <c r="I664" s="243"/>
      <c r="J664" s="244"/>
      <c r="K664" s="259"/>
      <c r="L664" s="260"/>
      <c r="M664" s="247" t="str" cm="1">
        <f t="array" ref="M664">IF($K664&gt;0, INDEX(Clean,1+AG664,$C$1), "")</f>
        <v/>
      </c>
      <c r="N664" s="245"/>
      <c r="O664" s="245"/>
      <c r="P664" s="246"/>
      <c r="Q664" s="248">
        <f t="shared" si="638"/>
        <v>0</v>
      </c>
      <c r="R664" s="247" t="str" cm="1">
        <f t="array" ref="R664">IF($K664&gt;0, INDEX(Clean,1+AH664,$C$1), "")</f>
        <v/>
      </c>
      <c r="S664" s="245"/>
      <c r="T664" s="245"/>
      <c r="U664" s="246"/>
      <c r="V664" s="248">
        <f t="shared" si="639"/>
        <v>0</v>
      </c>
      <c r="W664" s="261"/>
      <c r="X664" s="258"/>
      <c r="Y664" s="240"/>
      <c r="Z664" s="241" t="str">
        <f>IF(ISBLANK(Y664), "", VLOOKUP(Y664, Z!$A$2:$C$4127, 3, FALSE))</f>
        <v/>
      </c>
      <c r="AA664" s="262"/>
      <c r="AB664" s="249">
        <f t="shared" ref="AB664:AB727" si="674">0.75*$AJ$22*(Q664-V664)</f>
        <v>0</v>
      </c>
      <c r="AC664" s="210"/>
      <c r="AD664" s="236">
        <f t="shared" si="662"/>
        <v>1</v>
      </c>
      <c r="AE664" s="236">
        <f t="shared" si="663"/>
        <v>1</v>
      </c>
      <c r="AF664" s="236">
        <f t="shared" si="664"/>
        <v>0</v>
      </c>
      <c r="AG664" s="236">
        <v>1</v>
      </c>
      <c r="AH664" s="236">
        <v>0</v>
      </c>
      <c r="AI664" s="236">
        <f t="shared" si="640"/>
        <v>-100</v>
      </c>
      <c r="AJ664" s="210"/>
      <c r="AK664" s="254"/>
      <c r="AL664" s="254"/>
      <c r="AM664" s="255"/>
      <c r="AN664" s="255"/>
      <c r="AO664" s="255"/>
      <c r="AP664" s="255"/>
      <c r="AQ664" s="255"/>
      <c r="AR664" s="255"/>
      <c r="AS664" s="255"/>
      <c r="AT664" s="255"/>
      <c r="AU664" s="255"/>
      <c r="AV664" s="255"/>
      <c r="AW664" s="255"/>
      <c r="AX664" s="210"/>
      <c r="AY664" s="236" cm="1">
        <f t="array" ref="AY664">INDEX(Use, $AD664, 4)</f>
        <v>7</v>
      </c>
      <c r="AZ664" s="236">
        <f t="shared" si="641"/>
        <v>32</v>
      </c>
      <c r="BA664" s="236">
        <f t="shared" si="666"/>
        <v>13</v>
      </c>
      <c r="BB664" s="236">
        <f t="shared" si="667"/>
        <v>0</v>
      </c>
      <c r="BC664" s="252" cm="1">
        <f t="array" ref="BC664">K664/IF($L664&gt;0, INDEX($AO$23:$AU$77, $L664+20, $AD664), 1)</f>
        <v>0</v>
      </c>
      <c r="BD664" s="237">
        <f t="shared" si="642"/>
        <v>0</v>
      </c>
      <c r="BE664" s="236">
        <v>35</v>
      </c>
      <c r="BF664" s="237">
        <f t="shared" si="643"/>
        <v>52.55</v>
      </c>
      <c r="BG664" s="253">
        <f t="shared" si="644"/>
        <v>2.7676728869374316</v>
      </c>
      <c r="BH664" s="253" cm="1">
        <f t="array" ref="BH664">$BC664 * SUMPRODUCT(INDEX($AL$77:$AN$82,,$AE664),INDEX($AO$77:$AU$82,,$AD664), N($AK$77:$AK$82&gt;$AI664)) / BG664 / 1000</f>
        <v>0</v>
      </c>
      <c r="BI664" s="250">
        <f t="shared" si="668"/>
        <v>30</v>
      </c>
      <c r="BJ664" s="237">
        <f t="shared" si="645"/>
        <v>46.033333333333331</v>
      </c>
      <c r="BK664" s="253">
        <f t="shared" si="646"/>
        <v>3.2297395388556791</v>
      </c>
      <c r="BL664" s="253" cm="1">
        <f t="array" ref="BL664">$BC664 * IF($AD664&lt;=2,
SUMPRODUCT(INDEX($AL$72:$AN$76,,$AE664), INDEX($AO$72:$AU$76,,$AD664), 1 / ($AV$72:$AV$76*BK664 + (1-$AV$72:$AV$76)*BG664), N($AK$72:$AK$76&gt;$AI664)),
SUMPRODUCT(INDEX($AL$67:$AN$76,,$AE664), INDEX($AO$67:$AU$76,,$AD664), 1 / ($AW$67:$AW$76*BK664 + (1-$AW$67:$AW$76)*BG664), N($AK$67:$AK$76&gt;$AI664))
) / 1000</f>
        <v>0</v>
      </c>
      <c r="BM664" s="250">
        <f t="shared" si="669"/>
        <v>25</v>
      </c>
      <c r="BN664" s="237">
        <f t="shared" si="647"/>
        <v>39.516666666666666</v>
      </c>
      <c r="BO664" s="253">
        <f t="shared" si="648"/>
        <v>3.877011788826243</v>
      </c>
      <c r="BP664" s="253" cm="1">
        <f t="array" ref="BP664">$BC664 * IF($AD664&lt;=2,
SUMPRODUCT(INDEX($AL$67:$AN$71,,$AE664), INDEX($AO$67:$AU$71,,$AD664), 1 / ($AV$67:$AV$71*BO664 + (1-$AV$67:$AV$71)*BK664), N($AK$67:$AK$71&gt;$AI664)),
SUMPRODUCT(INDEX($AL$57:$AN$66,,$AE664), INDEX($AO$57:$AU$66,,$AD664), 1 / ($AW$57:$AW$66*BO664 + (1-$AW$57:$AW$66)*BK664), N($AK$57:$AK$66&gt;$AI664))
) / 1000</f>
        <v>0</v>
      </c>
      <c r="BQ664" s="250">
        <f t="shared" si="670"/>
        <v>20</v>
      </c>
      <c r="BR664" s="237">
        <f t="shared" si="649"/>
        <v>33</v>
      </c>
      <c r="BS664" s="253">
        <f t="shared" si="650"/>
        <v>4.8487499999999999</v>
      </c>
      <c r="BT664" s="253" cm="1">
        <f t="array" ref="BT664">$BC664 * IF($AD664&lt;=2,
SUMPRODUCT(INDEX($AL$62:$AN$66,,$AE664), INDEX($AO$62:$AU$66,,$AD664), 1 / ($AV$62:$AV$66*BS664 + (1-$AV$62:$AV$66)*BO664), N($AK$62:$AK$66&gt;$AI664)),
SUMPRODUCT(INDEX($AL$47:$AN$56,,$AE664), INDEX($AO$47:$AU$56,,$AD664), 1 / ($AW$47:$AW$56*BS664 + (1-$AW$47:$AW$56)*BO664), N($AK$47:$AK$56&gt;$AI664))
) / 1000</f>
        <v>0</v>
      </c>
      <c r="BU664" s="253" cm="1">
        <f t="array" ref="BU664">$BC664 * IF($AD664&lt;=2,
SUMPRODUCT(INDEX($AL$23:$AN$61,,$AE664), INDEX($AO$23:$AU$61,,$AD664), 1 / ($AV$23:$AV$61*BS664), N($AK$23:$AK$61&gt;$AI664)),
SUMPRODUCT(INDEX($AL$23:$AN$46,,$AE664), INDEX($AO$23:$AU$46,,$AD664), 1 / ($AW$23:$AW$46*BS664), N($AK$23:$AK$46&gt;$AI664))
) / 1000</f>
        <v>0</v>
      </c>
      <c r="BV664" s="237">
        <f t="shared" si="651"/>
        <v>0</v>
      </c>
      <c r="BW664" s="210"/>
      <c r="BX664" s="237">
        <f t="shared" si="652"/>
        <v>0</v>
      </c>
      <c r="BY664" s="236">
        <v>35</v>
      </c>
      <c r="BZ664" s="237">
        <f t="shared" si="653"/>
        <v>48</v>
      </c>
      <c r="CA664" s="253">
        <f t="shared" si="654"/>
        <v>3.0748170731707316</v>
      </c>
      <c r="CB664" s="253" cm="1">
        <f t="array" ref="CB664">$BC664 * SUMPRODUCT(INDEX($AL$77:$AN$82,,$AE664),INDEX($AO$77:$AU$82,,$AD664), N($AK$77:$AK$82&gt;$AI664)) / CA664 / 1000</f>
        <v>0</v>
      </c>
      <c r="CC664" s="250">
        <f t="shared" si="671"/>
        <v>30</v>
      </c>
      <c r="CD664" s="237">
        <f t="shared" si="655"/>
        <v>43</v>
      </c>
      <c r="CE664" s="253">
        <f t="shared" si="656"/>
        <v>3.5018750000000001</v>
      </c>
      <c r="CF664" s="253" cm="1">
        <f t="array" ref="CF664">$BC664 * IF($AD664&lt;=2,
SUMPRODUCT(INDEX($AL$72:$AN$76,,$AE664), INDEX($AO$72:$AU$76,,$AD664), 1 / ($AV$72:$AV$76*CE664 + (1-$AV$72:$AV$76)*CA664), N($AK$72:$AK$76&gt;$AI664)),
SUMPRODUCT(INDEX($AL$67:$AN$76,,$AE664), INDEX($AO$67:$AU$76,,$AD664), 1 / ($AW$67:$AW$76*CE664 + (1-$AW$67:$AW$76)*CA664), N($AK$67:$AK$76&gt;$AI664))
) / 1000</f>
        <v>0</v>
      </c>
      <c r="CG664" s="250">
        <f t="shared" si="672"/>
        <v>25</v>
      </c>
      <c r="CH664" s="237">
        <f t="shared" si="657"/>
        <v>38</v>
      </c>
      <c r="CI664" s="253">
        <f t="shared" si="658"/>
        <v>4.0666935483870965</v>
      </c>
      <c r="CJ664" s="253" cm="1">
        <f t="array" ref="CJ664">$BC664 * IF($AD664&lt;=2,
SUMPRODUCT(INDEX($AL$67:$AN$71,,$AE664), INDEX($AO$67:$AU$71,,$AD664), 1 / ($AV$67:$AV$71*CI664 + (1-$AV$67:$AV$71)*CE664), N($AK$67:$AK$71&gt;$AI664)),
SUMPRODUCT(INDEX($AL$57:$AN$66,,$AE664), INDEX($AO$57:$AU$66,,$AD664), 1 / ($AW$57:$AW$66*CI664 + (1-$AW$57:$AW$66)*CE664), N($AK$57:$AK$66&gt;$AI664))
) / 1000</f>
        <v>0</v>
      </c>
      <c r="CK664" s="250">
        <f t="shared" si="673"/>
        <v>20</v>
      </c>
      <c r="CL664" s="237">
        <f t="shared" si="659"/>
        <v>33</v>
      </c>
      <c r="CM664" s="253">
        <f t="shared" si="660"/>
        <v>4.8487499999999999</v>
      </c>
      <c r="CN664" s="253" cm="1">
        <f t="array" ref="CN664">$BC664 * IF($AD664&lt;=2,
SUMPRODUCT(INDEX($AL$62:$AN$66,,$AE664), INDEX($AO$62:$AU$66,,$AD664), 1 / ($AV$62:$AV$66*CM664 + (1-$AV$62:$AV$66)*CI664), N($AK$62:$AK$66&gt;$AI664)),
SUMPRODUCT(INDEX($AL$47:$AN$56,,$AE664), INDEX($AO$47:$AU$56,,$AD664), 1 / ($AW$47:$AW$56*CM664 + (1-$AW$47:$AW$56)*CI664), N($AK$47:$AK$56&gt;$AI664))
) / 1000</f>
        <v>0</v>
      </c>
      <c r="CO664" s="253" cm="1">
        <f t="array" ref="CO664">$BC664 * IF($AD664&lt;=2,
SUMPRODUCT(INDEX($AL$23:$AN$61,,$AE664), INDEX($AO$23:$AU$61,,$AD664), 1 / ($AV$23:$AV$61*CM664), N($AK$23:$AK$61&gt;$AI664)),
SUMPRODUCT(INDEX($AL$23:$AN$46,,$AE664), INDEX($AO$23:$AU$46,,$AD664), 1 / ($AW$23:$AW$46*CM664), N($AK$23:$AK$46&gt;$AI664))
) / 1000</f>
        <v>0</v>
      </c>
      <c r="CP664" s="237">
        <f t="shared" si="661"/>
        <v>0</v>
      </c>
      <c r="CQ664" s="210"/>
    </row>
    <row r="665" spans="1:95" s="76" customFormat="1" ht="14.25" customHeight="1" x14ac:dyDescent="0.2">
      <c r="A665" s="238" t="b">
        <f t="shared" si="665"/>
        <v>0</v>
      </c>
      <c r="B665" s="239">
        <v>643</v>
      </c>
      <c r="C665" s="258"/>
      <c r="D665" s="258"/>
      <c r="E665" s="240"/>
      <c r="F665" s="241" t="str">
        <f>IF(ISBLANK(E665), "", VLOOKUP(E665, Z!$A$2:$C$4127, 3, FALSE))</f>
        <v/>
      </c>
      <c r="G665" s="242"/>
      <c r="H665" s="242"/>
      <c r="I665" s="243"/>
      <c r="J665" s="244"/>
      <c r="K665" s="259"/>
      <c r="L665" s="260"/>
      <c r="M665" s="247" t="str" cm="1">
        <f t="array" ref="M665">IF($K665&gt;0, INDEX(Clean,1+AG665,$C$1), "")</f>
        <v/>
      </c>
      <c r="N665" s="245"/>
      <c r="O665" s="245"/>
      <c r="P665" s="246"/>
      <c r="Q665" s="248">
        <f t="shared" si="638"/>
        <v>0</v>
      </c>
      <c r="R665" s="247" t="str" cm="1">
        <f t="array" ref="R665">IF($K665&gt;0, INDEX(Clean,1+AH665,$C$1), "")</f>
        <v/>
      </c>
      <c r="S665" s="245"/>
      <c r="T665" s="245"/>
      <c r="U665" s="246"/>
      <c r="V665" s="248">
        <f t="shared" si="639"/>
        <v>0</v>
      </c>
      <c r="W665" s="261"/>
      <c r="X665" s="258"/>
      <c r="Y665" s="240"/>
      <c r="Z665" s="241" t="str">
        <f>IF(ISBLANK(Y665), "", VLOOKUP(Y665, Z!$A$2:$C$4127, 3, FALSE))</f>
        <v/>
      </c>
      <c r="AA665" s="262"/>
      <c r="AB665" s="249">
        <f t="shared" si="674"/>
        <v>0</v>
      </c>
      <c r="AC665" s="210"/>
      <c r="AD665" s="236">
        <f t="shared" si="662"/>
        <v>1</v>
      </c>
      <c r="AE665" s="236">
        <f t="shared" si="663"/>
        <v>1</v>
      </c>
      <c r="AF665" s="236">
        <f t="shared" si="664"/>
        <v>0</v>
      </c>
      <c r="AG665" s="236">
        <v>1</v>
      </c>
      <c r="AH665" s="236">
        <v>0</v>
      </c>
      <c r="AI665" s="236">
        <f t="shared" si="640"/>
        <v>-100</v>
      </c>
      <c r="AJ665" s="210"/>
      <c r="AK665" s="254"/>
      <c r="AL665" s="254"/>
      <c r="AM665" s="255"/>
      <c r="AN665" s="255"/>
      <c r="AO665" s="255"/>
      <c r="AP665" s="255"/>
      <c r="AQ665" s="255"/>
      <c r="AR665" s="255"/>
      <c r="AS665" s="255"/>
      <c r="AT665" s="255"/>
      <c r="AU665" s="255"/>
      <c r="AV665" s="255"/>
      <c r="AW665" s="255"/>
      <c r="AX665" s="210"/>
      <c r="AY665" s="236" cm="1">
        <f t="array" ref="AY665">INDEX(Use, $AD665, 4)</f>
        <v>7</v>
      </c>
      <c r="AZ665" s="236">
        <f t="shared" si="641"/>
        <v>32</v>
      </c>
      <c r="BA665" s="236">
        <f t="shared" si="666"/>
        <v>13</v>
      </c>
      <c r="BB665" s="236">
        <f t="shared" si="667"/>
        <v>0</v>
      </c>
      <c r="BC665" s="252" cm="1">
        <f t="array" ref="BC665">K665/IF($L665&gt;0, INDEX($AO$23:$AU$77, $L665+20, $AD665), 1)</f>
        <v>0</v>
      </c>
      <c r="BD665" s="237">
        <f t="shared" si="642"/>
        <v>0</v>
      </c>
      <c r="BE665" s="236">
        <v>35</v>
      </c>
      <c r="BF665" s="237">
        <f t="shared" si="643"/>
        <v>52.55</v>
      </c>
      <c r="BG665" s="253">
        <f t="shared" si="644"/>
        <v>2.7676728869374316</v>
      </c>
      <c r="BH665" s="253" cm="1">
        <f t="array" ref="BH665">$BC665 * SUMPRODUCT(INDEX($AL$77:$AN$82,,$AE665),INDEX($AO$77:$AU$82,,$AD665), N($AK$77:$AK$82&gt;$AI665)) / BG665 / 1000</f>
        <v>0</v>
      </c>
      <c r="BI665" s="250">
        <f t="shared" si="668"/>
        <v>30</v>
      </c>
      <c r="BJ665" s="237">
        <f t="shared" si="645"/>
        <v>46.033333333333331</v>
      </c>
      <c r="BK665" s="253">
        <f t="shared" si="646"/>
        <v>3.2297395388556791</v>
      </c>
      <c r="BL665" s="253" cm="1">
        <f t="array" ref="BL665">$BC665 * IF($AD665&lt;=2,
SUMPRODUCT(INDEX($AL$72:$AN$76,,$AE665), INDEX($AO$72:$AU$76,,$AD665), 1 / ($AV$72:$AV$76*BK665 + (1-$AV$72:$AV$76)*BG665), N($AK$72:$AK$76&gt;$AI665)),
SUMPRODUCT(INDEX($AL$67:$AN$76,,$AE665), INDEX($AO$67:$AU$76,,$AD665), 1 / ($AW$67:$AW$76*BK665 + (1-$AW$67:$AW$76)*BG665), N($AK$67:$AK$76&gt;$AI665))
) / 1000</f>
        <v>0</v>
      </c>
      <c r="BM665" s="250">
        <f t="shared" si="669"/>
        <v>25</v>
      </c>
      <c r="BN665" s="237">
        <f t="shared" si="647"/>
        <v>39.516666666666666</v>
      </c>
      <c r="BO665" s="253">
        <f t="shared" si="648"/>
        <v>3.877011788826243</v>
      </c>
      <c r="BP665" s="253" cm="1">
        <f t="array" ref="BP665">$BC665 * IF($AD665&lt;=2,
SUMPRODUCT(INDEX($AL$67:$AN$71,,$AE665), INDEX($AO$67:$AU$71,,$AD665), 1 / ($AV$67:$AV$71*BO665 + (1-$AV$67:$AV$71)*BK665), N($AK$67:$AK$71&gt;$AI665)),
SUMPRODUCT(INDEX($AL$57:$AN$66,,$AE665), INDEX($AO$57:$AU$66,,$AD665), 1 / ($AW$57:$AW$66*BO665 + (1-$AW$57:$AW$66)*BK665), N($AK$57:$AK$66&gt;$AI665))
) / 1000</f>
        <v>0</v>
      </c>
      <c r="BQ665" s="250">
        <f t="shared" si="670"/>
        <v>20</v>
      </c>
      <c r="BR665" s="237">
        <f t="shared" si="649"/>
        <v>33</v>
      </c>
      <c r="BS665" s="253">
        <f t="shared" si="650"/>
        <v>4.8487499999999999</v>
      </c>
      <c r="BT665" s="253" cm="1">
        <f t="array" ref="BT665">$BC665 * IF($AD665&lt;=2,
SUMPRODUCT(INDEX($AL$62:$AN$66,,$AE665), INDEX($AO$62:$AU$66,,$AD665), 1 / ($AV$62:$AV$66*BS665 + (1-$AV$62:$AV$66)*BO665), N($AK$62:$AK$66&gt;$AI665)),
SUMPRODUCT(INDEX($AL$47:$AN$56,,$AE665), INDEX($AO$47:$AU$56,,$AD665), 1 / ($AW$47:$AW$56*BS665 + (1-$AW$47:$AW$56)*BO665), N($AK$47:$AK$56&gt;$AI665))
) / 1000</f>
        <v>0</v>
      </c>
      <c r="BU665" s="253" cm="1">
        <f t="array" ref="BU665">$BC665 * IF($AD665&lt;=2,
SUMPRODUCT(INDEX($AL$23:$AN$61,,$AE665), INDEX($AO$23:$AU$61,,$AD665), 1 / ($AV$23:$AV$61*BS665), N($AK$23:$AK$61&gt;$AI665)),
SUMPRODUCT(INDEX($AL$23:$AN$46,,$AE665), INDEX($AO$23:$AU$46,,$AD665), 1 / ($AW$23:$AW$46*BS665), N($AK$23:$AK$46&gt;$AI665))
) / 1000</f>
        <v>0</v>
      </c>
      <c r="BV665" s="237">
        <f t="shared" si="651"/>
        <v>0</v>
      </c>
      <c r="BW665" s="210"/>
      <c r="BX665" s="237">
        <f t="shared" si="652"/>
        <v>0</v>
      </c>
      <c r="BY665" s="236">
        <v>35</v>
      </c>
      <c r="BZ665" s="237">
        <f t="shared" si="653"/>
        <v>48</v>
      </c>
      <c r="CA665" s="253">
        <f t="shared" si="654"/>
        <v>3.0748170731707316</v>
      </c>
      <c r="CB665" s="253" cm="1">
        <f t="array" ref="CB665">$BC665 * SUMPRODUCT(INDEX($AL$77:$AN$82,,$AE665),INDEX($AO$77:$AU$82,,$AD665), N($AK$77:$AK$82&gt;$AI665)) / CA665 / 1000</f>
        <v>0</v>
      </c>
      <c r="CC665" s="250">
        <f t="shared" si="671"/>
        <v>30</v>
      </c>
      <c r="CD665" s="237">
        <f t="shared" si="655"/>
        <v>43</v>
      </c>
      <c r="CE665" s="253">
        <f t="shared" si="656"/>
        <v>3.5018750000000001</v>
      </c>
      <c r="CF665" s="253" cm="1">
        <f t="array" ref="CF665">$BC665 * IF($AD665&lt;=2,
SUMPRODUCT(INDEX($AL$72:$AN$76,,$AE665), INDEX($AO$72:$AU$76,,$AD665), 1 / ($AV$72:$AV$76*CE665 + (1-$AV$72:$AV$76)*CA665), N($AK$72:$AK$76&gt;$AI665)),
SUMPRODUCT(INDEX($AL$67:$AN$76,,$AE665), INDEX($AO$67:$AU$76,,$AD665), 1 / ($AW$67:$AW$76*CE665 + (1-$AW$67:$AW$76)*CA665), N($AK$67:$AK$76&gt;$AI665))
) / 1000</f>
        <v>0</v>
      </c>
      <c r="CG665" s="250">
        <f t="shared" si="672"/>
        <v>25</v>
      </c>
      <c r="CH665" s="237">
        <f t="shared" si="657"/>
        <v>38</v>
      </c>
      <c r="CI665" s="253">
        <f t="shared" si="658"/>
        <v>4.0666935483870965</v>
      </c>
      <c r="CJ665" s="253" cm="1">
        <f t="array" ref="CJ665">$BC665 * IF($AD665&lt;=2,
SUMPRODUCT(INDEX($AL$67:$AN$71,,$AE665), INDEX($AO$67:$AU$71,,$AD665), 1 / ($AV$67:$AV$71*CI665 + (1-$AV$67:$AV$71)*CE665), N($AK$67:$AK$71&gt;$AI665)),
SUMPRODUCT(INDEX($AL$57:$AN$66,,$AE665), INDEX($AO$57:$AU$66,,$AD665), 1 / ($AW$57:$AW$66*CI665 + (1-$AW$57:$AW$66)*CE665), N($AK$57:$AK$66&gt;$AI665))
) / 1000</f>
        <v>0</v>
      </c>
      <c r="CK665" s="250">
        <f t="shared" si="673"/>
        <v>20</v>
      </c>
      <c r="CL665" s="237">
        <f t="shared" si="659"/>
        <v>33</v>
      </c>
      <c r="CM665" s="253">
        <f t="shared" si="660"/>
        <v>4.8487499999999999</v>
      </c>
      <c r="CN665" s="253" cm="1">
        <f t="array" ref="CN665">$BC665 * IF($AD665&lt;=2,
SUMPRODUCT(INDEX($AL$62:$AN$66,,$AE665), INDEX($AO$62:$AU$66,,$AD665), 1 / ($AV$62:$AV$66*CM665 + (1-$AV$62:$AV$66)*CI665), N($AK$62:$AK$66&gt;$AI665)),
SUMPRODUCT(INDEX($AL$47:$AN$56,,$AE665), INDEX($AO$47:$AU$56,,$AD665), 1 / ($AW$47:$AW$56*CM665 + (1-$AW$47:$AW$56)*CI665), N($AK$47:$AK$56&gt;$AI665))
) / 1000</f>
        <v>0</v>
      </c>
      <c r="CO665" s="253" cm="1">
        <f t="array" ref="CO665">$BC665 * IF($AD665&lt;=2,
SUMPRODUCT(INDEX($AL$23:$AN$61,,$AE665), INDEX($AO$23:$AU$61,,$AD665), 1 / ($AV$23:$AV$61*CM665), N($AK$23:$AK$61&gt;$AI665)),
SUMPRODUCT(INDEX($AL$23:$AN$46,,$AE665), INDEX($AO$23:$AU$46,,$AD665), 1 / ($AW$23:$AW$46*CM665), N($AK$23:$AK$46&gt;$AI665))
) / 1000</f>
        <v>0</v>
      </c>
      <c r="CP665" s="237">
        <f t="shared" si="661"/>
        <v>0</v>
      </c>
      <c r="CQ665" s="210"/>
    </row>
    <row r="666" spans="1:95" s="76" customFormat="1" ht="14.25" customHeight="1" x14ac:dyDescent="0.2">
      <c r="A666" s="238" t="b">
        <f t="shared" si="665"/>
        <v>0</v>
      </c>
      <c r="B666" s="239">
        <v>644</v>
      </c>
      <c r="C666" s="258"/>
      <c r="D666" s="258"/>
      <c r="E666" s="240"/>
      <c r="F666" s="241" t="str">
        <f>IF(ISBLANK(E666), "", VLOOKUP(E666, Z!$A$2:$C$4127, 3, FALSE))</f>
        <v/>
      </c>
      <c r="G666" s="242"/>
      <c r="H666" s="242"/>
      <c r="I666" s="243"/>
      <c r="J666" s="244"/>
      <c r="K666" s="259"/>
      <c r="L666" s="260"/>
      <c r="M666" s="247" t="str" cm="1">
        <f t="array" ref="M666">IF($K666&gt;0, INDEX(Clean,1+AG666,$C$1), "")</f>
        <v/>
      </c>
      <c r="N666" s="245"/>
      <c r="O666" s="245"/>
      <c r="P666" s="246"/>
      <c r="Q666" s="248">
        <f t="shared" si="638"/>
        <v>0</v>
      </c>
      <c r="R666" s="247" t="str" cm="1">
        <f t="array" ref="R666">IF($K666&gt;0, INDEX(Clean,1+AH666,$C$1), "")</f>
        <v/>
      </c>
      <c r="S666" s="245"/>
      <c r="T666" s="245"/>
      <c r="U666" s="246"/>
      <c r="V666" s="248">
        <f t="shared" si="639"/>
        <v>0</v>
      </c>
      <c r="W666" s="261"/>
      <c r="X666" s="258"/>
      <c r="Y666" s="240"/>
      <c r="Z666" s="241" t="str">
        <f>IF(ISBLANK(Y666), "", VLOOKUP(Y666, Z!$A$2:$C$4127, 3, FALSE))</f>
        <v/>
      </c>
      <c r="AA666" s="262"/>
      <c r="AB666" s="249">
        <f t="shared" si="674"/>
        <v>0</v>
      </c>
      <c r="AC666" s="210"/>
      <c r="AD666" s="236">
        <f t="shared" si="662"/>
        <v>1</v>
      </c>
      <c r="AE666" s="236">
        <f t="shared" si="663"/>
        <v>1</v>
      </c>
      <c r="AF666" s="236">
        <f t="shared" si="664"/>
        <v>0</v>
      </c>
      <c r="AG666" s="236">
        <v>1</v>
      </c>
      <c r="AH666" s="236">
        <v>0</v>
      </c>
      <c r="AI666" s="236">
        <f t="shared" si="640"/>
        <v>-100</v>
      </c>
      <c r="AJ666" s="210"/>
      <c r="AK666" s="254"/>
      <c r="AL666" s="254"/>
      <c r="AM666" s="255"/>
      <c r="AN666" s="255"/>
      <c r="AO666" s="255"/>
      <c r="AP666" s="255"/>
      <c r="AQ666" s="255"/>
      <c r="AR666" s="255"/>
      <c r="AS666" s="255"/>
      <c r="AT666" s="255"/>
      <c r="AU666" s="255"/>
      <c r="AV666" s="255"/>
      <c r="AW666" s="255"/>
      <c r="AX666" s="210"/>
      <c r="AY666" s="236" cm="1">
        <f t="array" ref="AY666">INDEX(Use, $AD666, 4)</f>
        <v>7</v>
      </c>
      <c r="AZ666" s="236">
        <f t="shared" si="641"/>
        <v>32</v>
      </c>
      <c r="BA666" s="236">
        <f t="shared" si="666"/>
        <v>13</v>
      </c>
      <c r="BB666" s="236">
        <f t="shared" si="667"/>
        <v>0</v>
      </c>
      <c r="BC666" s="252" cm="1">
        <f t="array" ref="BC666">K666/IF($L666&gt;0, INDEX($AO$23:$AU$77, $L666+20, $AD666), 1)</f>
        <v>0</v>
      </c>
      <c r="BD666" s="237">
        <f t="shared" si="642"/>
        <v>0</v>
      </c>
      <c r="BE666" s="236">
        <v>35</v>
      </c>
      <c r="BF666" s="237">
        <f t="shared" si="643"/>
        <v>52.55</v>
      </c>
      <c r="BG666" s="253">
        <f t="shared" si="644"/>
        <v>2.7676728869374316</v>
      </c>
      <c r="BH666" s="253" cm="1">
        <f t="array" ref="BH666">$BC666 * SUMPRODUCT(INDEX($AL$77:$AN$82,,$AE666),INDEX($AO$77:$AU$82,,$AD666), N($AK$77:$AK$82&gt;$AI666)) / BG666 / 1000</f>
        <v>0</v>
      </c>
      <c r="BI666" s="250">
        <f t="shared" si="668"/>
        <v>30</v>
      </c>
      <c r="BJ666" s="237">
        <f t="shared" si="645"/>
        <v>46.033333333333331</v>
      </c>
      <c r="BK666" s="253">
        <f t="shared" si="646"/>
        <v>3.2297395388556791</v>
      </c>
      <c r="BL666" s="253" cm="1">
        <f t="array" ref="BL666">$BC666 * IF($AD666&lt;=2,
SUMPRODUCT(INDEX($AL$72:$AN$76,,$AE666), INDEX($AO$72:$AU$76,,$AD666), 1 / ($AV$72:$AV$76*BK666 + (1-$AV$72:$AV$76)*BG666), N($AK$72:$AK$76&gt;$AI666)),
SUMPRODUCT(INDEX($AL$67:$AN$76,,$AE666), INDEX($AO$67:$AU$76,,$AD666), 1 / ($AW$67:$AW$76*BK666 + (1-$AW$67:$AW$76)*BG666), N($AK$67:$AK$76&gt;$AI666))
) / 1000</f>
        <v>0</v>
      </c>
      <c r="BM666" s="250">
        <f t="shared" si="669"/>
        <v>25</v>
      </c>
      <c r="BN666" s="237">
        <f t="shared" si="647"/>
        <v>39.516666666666666</v>
      </c>
      <c r="BO666" s="253">
        <f t="shared" si="648"/>
        <v>3.877011788826243</v>
      </c>
      <c r="BP666" s="253" cm="1">
        <f t="array" ref="BP666">$BC666 * IF($AD666&lt;=2,
SUMPRODUCT(INDEX($AL$67:$AN$71,,$AE666), INDEX($AO$67:$AU$71,,$AD666), 1 / ($AV$67:$AV$71*BO666 + (1-$AV$67:$AV$71)*BK666), N($AK$67:$AK$71&gt;$AI666)),
SUMPRODUCT(INDEX($AL$57:$AN$66,,$AE666), INDEX($AO$57:$AU$66,,$AD666), 1 / ($AW$57:$AW$66*BO666 + (1-$AW$57:$AW$66)*BK666), N($AK$57:$AK$66&gt;$AI666))
) / 1000</f>
        <v>0</v>
      </c>
      <c r="BQ666" s="250">
        <f t="shared" si="670"/>
        <v>20</v>
      </c>
      <c r="BR666" s="237">
        <f t="shared" si="649"/>
        <v>33</v>
      </c>
      <c r="BS666" s="253">
        <f t="shared" si="650"/>
        <v>4.8487499999999999</v>
      </c>
      <c r="BT666" s="253" cm="1">
        <f t="array" ref="BT666">$BC666 * IF($AD666&lt;=2,
SUMPRODUCT(INDEX($AL$62:$AN$66,,$AE666), INDEX($AO$62:$AU$66,,$AD666), 1 / ($AV$62:$AV$66*BS666 + (1-$AV$62:$AV$66)*BO666), N($AK$62:$AK$66&gt;$AI666)),
SUMPRODUCT(INDEX($AL$47:$AN$56,,$AE666), INDEX($AO$47:$AU$56,,$AD666), 1 / ($AW$47:$AW$56*BS666 + (1-$AW$47:$AW$56)*BO666), N($AK$47:$AK$56&gt;$AI666))
) / 1000</f>
        <v>0</v>
      </c>
      <c r="BU666" s="253" cm="1">
        <f t="array" ref="BU666">$BC666 * IF($AD666&lt;=2,
SUMPRODUCT(INDEX($AL$23:$AN$61,,$AE666), INDEX($AO$23:$AU$61,,$AD666), 1 / ($AV$23:$AV$61*BS666), N($AK$23:$AK$61&gt;$AI666)),
SUMPRODUCT(INDEX($AL$23:$AN$46,,$AE666), INDEX($AO$23:$AU$46,,$AD666), 1 / ($AW$23:$AW$46*BS666), N($AK$23:$AK$46&gt;$AI666))
) / 1000</f>
        <v>0</v>
      </c>
      <c r="BV666" s="237">
        <f t="shared" si="651"/>
        <v>0</v>
      </c>
      <c r="BW666" s="210"/>
      <c r="BX666" s="237">
        <f t="shared" si="652"/>
        <v>0</v>
      </c>
      <c r="BY666" s="236">
        <v>35</v>
      </c>
      <c r="BZ666" s="237">
        <f t="shared" si="653"/>
        <v>48</v>
      </c>
      <c r="CA666" s="253">
        <f t="shared" si="654"/>
        <v>3.0748170731707316</v>
      </c>
      <c r="CB666" s="253" cm="1">
        <f t="array" ref="CB666">$BC666 * SUMPRODUCT(INDEX($AL$77:$AN$82,,$AE666),INDEX($AO$77:$AU$82,,$AD666), N($AK$77:$AK$82&gt;$AI666)) / CA666 / 1000</f>
        <v>0</v>
      </c>
      <c r="CC666" s="250">
        <f t="shared" si="671"/>
        <v>30</v>
      </c>
      <c r="CD666" s="237">
        <f t="shared" si="655"/>
        <v>43</v>
      </c>
      <c r="CE666" s="253">
        <f t="shared" si="656"/>
        <v>3.5018750000000001</v>
      </c>
      <c r="CF666" s="253" cm="1">
        <f t="array" ref="CF666">$BC666 * IF($AD666&lt;=2,
SUMPRODUCT(INDEX($AL$72:$AN$76,,$AE666), INDEX($AO$72:$AU$76,,$AD666), 1 / ($AV$72:$AV$76*CE666 + (1-$AV$72:$AV$76)*CA666), N($AK$72:$AK$76&gt;$AI666)),
SUMPRODUCT(INDEX($AL$67:$AN$76,,$AE666), INDEX($AO$67:$AU$76,,$AD666), 1 / ($AW$67:$AW$76*CE666 + (1-$AW$67:$AW$76)*CA666), N($AK$67:$AK$76&gt;$AI666))
) / 1000</f>
        <v>0</v>
      </c>
      <c r="CG666" s="250">
        <f t="shared" si="672"/>
        <v>25</v>
      </c>
      <c r="CH666" s="237">
        <f t="shared" si="657"/>
        <v>38</v>
      </c>
      <c r="CI666" s="253">
        <f t="shared" si="658"/>
        <v>4.0666935483870965</v>
      </c>
      <c r="CJ666" s="253" cm="1">
        <f t="array" ref="CJ666">$BC666 * IF($AD666&lt;=2,
SUMPRODUCT(INDEX($AL$67:$AN$71,,$AE666), INDEX($AO$67:$AU$71,,$AD666), 1 / ($AV$67:$AV$71*CI666 + (1-$AV$67:$AV$71)*CE666), N($AK$67:$AK$71&gt;$AI666)),
SUMPRODUCT(INDEX($AL$57:$AN$66,,$AE666), INDEX($AO$57:$AU$66,,$AD666), 1 / ($AW$57:$AW$66*CI666 + (1-$AW$57:$AW$66)*CE666), N($AK$57:$AK$66&gt;$AI666))
) / 1000</f>
        <v>0</v>
      </c>
      <c r="CK666" s="250">
        <f t="shared" si="673"/>
        <v>20</v>
      </c>
      <c r="CL666" s="237">
        <f t="shared" si="659"/>
        <v>33</v>
      </c>
      <c r="CM666" s="253">
        <f t="shared" si="660"/>
        <v>4.8487499999999999</v>
      </c>
      <c r="CN666" s="253" cm="1">
        <f t="array" ref="CN666">$BC666 * IF($AD666&lt;=2,
SUMPRODUCT(INDEX($AL$62:$AN$66,,$AE666), INDEX($AO$62:$AU$66,,$AD666), 1 / ($AV$62:$AV$66*CM666 + (1-$AV$62:$AV$66)*CI666), N($AK$62:$AK$66&gt;$AI666)),
SUMPRODUCT(INDEX($AL$47:$AN$56,,$AE666), INDEX($AO$47:$AU$56,,$AD666), 1 / ($AW$47:$AW$56*CM666 + (1-$AW$47:$AW$56)*CI666), N($AK$47:$AK$56&gt;$AI666))
) / 1000</f>
        <v>0</v>
      </c>
      <c r="CO666" s="253" cm="1">
        <f t="array" ref="CO666">$BC666 * IF($AD666&lt;=2,
SUMPRODUCT(INDEX($AL$23:$AN$61,,$AE666), INDEX($AO$23:$AU$61,,$AD666), 1 / ($AV$23:$AV$61*CM666), N($AK$23:$AK$61&gt;$AI666)),
SUMPRODUCT(INDEX($AL$23:$AN$46,,$AE666), INDEX($AO$23:$AU$46,,$AD666), 1 / ($AW$23:$AW$46*CM666), N($AK$23:$AK$46&gt;$AI666))
) / 1000</f>
        <v>0</v>
      </c>
      <c r="CP666" s="237">
        <f t="shared" si="661"/>
        <v>0</v>
      </c>
      <c r="CQ666" s="210"/>
    </row>
    <row r="667" spans="1:95" s="76" customFormat="1" ht="14.25" customHeight="1" x14ac:dyDescent="0.2">
      <c r="A667" s="238" t="b">
        <f t="shared" si="665"/>
        <v>0</v>
      </c>
      <c r="B667" s="239">
        <v>645</v>
      </c>
      <c r="C667" s="258"/>
      <c r="D667" s="258"/>
      <c r="E667" s="240"/>
      <c r="F667" s="241" t="str">
        <f>IF(ISBLANK(E667), "", VLOOKUP(E667, Z!$A$2:$C$4127, 3, FALSE))</f>
        <v/>
      </c>
      <c r="G667" s="242"/>
      <c r="H667" s="242"/>
      <c r="I667" s="243"/>
      <c r="J667" s="244"/>
      <c r="K667" s="259"/>
      <c r="L667" s="260"/>
      <c r="M667" s="247" t="str" cm="1">
        <f t="array" ref="M667">IF($K667&gt;0, INDEX(Clean,1+AG667,$C$1), "")</f>
        <v/>
      </c>
      <c r="N667" s="245"/>
      <c r="O667" s="245"/>
      <c r="P667" s="246"/>
      <c r="Q667" s="248">
        <f t="shared" si="638"/>
        <v>0</v>
      </c>
      <c r="R667" s="247" t="str" cm="1">
        <f t="array" ref="R667">IF($K667&gt;0, INDEX(Clean,1+AH667,$C$1), "")</f>
        <v/>
      </c>
      <c r="S667" s="245"/>
      <c r="T667" s="245"/>
      <c r="U667" s="246"/>
      <c r="V667" s="248">
        <f t="shared" si="639"/>
        <v>0</v>
      </c>
      <c r="W667" s="261"/>
      <c r="X667" s="258"/>
      <c r="Y667" s="240"/>
      <c r="Z667" s="241" t="str">
        <f>IF(ISBLANK(Y667), "", VLOOKUP(Y667, Z!$A$2:$C$4127, 3, FALSE))</f>
        <v/>
      </c>
      <c r="AA667" s="262"/>
      <c r="AB667" s="249">
        <f t="shared" si="674"/>
        <v>0</v>
      </c>
      <c r="AC667" s="210"/>
      <c r="AD667" s="236">
        <f t="shared" si="662"/>
        <v>1</v>
      </c>
      <c r="AE667" s="236">
        <f t="shared" si="663"/>
        <v>1</v>
      </c>
      <c r="AF667" s="236">
        <f t="shared" si="664"/>
        <v>0</v>
      </c>
      <c r="AG667" s="236">
        <v>1</v>
      </c>
      <c r="AH667" s="236">
        <v>0</v>
      </c>
      <c r="AI667" s="236">
        <f t="shared" si="640"/>
        <v>-100</v>
      </c>
      <c r="AJ667" s="210"/>
      <c r="AK667" s="254"/>
      <c r="AL667" s="254"/>
      <c r="AM667" s="255"/>
      <c r="AN667" s="255"/>
      <c r="AO667" s="255"/>
      <c r="AP667" s="255"/>
      <c r="AQ667" s="255"/>
      <c r="AR667" s="255"/>
      <c r="AS667" s="255"/>
      <c r="AT667" s="255"/>
      <c r="AU667" s="255"/>
      <c r="AV667" s="255"/>
      <c r="AW667" s="255"/>
      <c r="AX667" s="210"/>
      <c r="AY667" s="236" cm="1">
        <f t="array" ref="AY667">INDEX(Use, $AD667, 4)</f>
        <v>7</v>
      </c>
      <c r="AZ667" s="236">
        <f t="shared" si="641"/>
        <v>32</v>
      </c>
      <c r="BA667" s="236">
        <f t="shared" si="666"/>
        <v>13</v>
      </c>
      <c r="BB667" s="236">
        <f t="shared" si="667"/>
        <v>0</v>
      </c>
      <c r="BC667" s="252" cm="1">
        <f t="array" ref="BC667">K667/IF($L667&gt;0, INDEX($AO$23:$AU$77, $L667+20, $AD667), 1)</f>
        <v>0</v>
      </c>
      <c r="BD667" s="237">
        <f t="shared" si="642"/>
        <v>0</v>
      </c>
      <c r="BE667" s="236">
        <v>35</v>
      </c>
      <c r="BF667" s="237">
        <f t="shared" si="643"/>
        <v>52.55</v>
      </c>
      <c r="BG667" s="253">
        <f t="shared" si="644"/>
        <v>2.7676728869374316</v>
      </c>
      <c r="BH667" s="253" cm="1">
        <f t="array" ref="BH667">$BC667 * SUMPRODUCT(INDEX($AL$77:$AN$82,,$AE667),INDEX($AO$77:$AU$82,,$AD667), N($AK$77:$AK$82&gt;$AI667)) / BG667 / 1000</f>
        <v>0</v>
      </c>
      <c r="BI667" s="250">
        <f t="shared" si="668"/>
        <v>30</v>
      </c>
      <c r="BJ667" s="237">
        <f t="shared" si="645"/>
        <v>46.033333333333331</v>
      </c>
      <c r="BK667" s="253">
        <f t="shared" si="646"/>
        <v>3.2297395388556791</v>
      </c>
      <c r="BL667" s="253" cm="1">
        <f t="array" ref="BL667">$BC667 * IF($AD667&lt;=2,
SUMPRODUCT(INDEX($AL$72:$AN$76,,$AE667), INDEX($AO$72:$AU$76,,$AD667), 1 / ($AV$72:$AV$76*BK667 + (1-$AV$72:$AV$76)*BG667), N($AK$72:$AK$76&gt;$AI667)),
SUMPRODUCT(INDEX($AL$67:$AN$76,,$AE667), INDEX($AO$67:$AU$76,,$AD667), 1 / ($AW$67:$AW$76*BK667 + (1-$AW$67:$AW$76)*BG667), N($AK$67:$AK$76&gt;$AI667))
) / 1000</f>
        <v>0</v>
      </c>
      <c r="BM667" s="250">
        <f t="shared" si="669"/>
        <v>25</v>
      </c>
      <c r="BN667" s="237">
        <f t="shared" si="647"/>
        <v>39.516666666666666</v>
      </c>
      <c r="BO667" s="253">
        <f t="shared" si="648"/>
        <v>3.877011788826243</v>
      </c>
      <c r="BP667" s="253" cm="1">
        <f t="array" ref="BP667">$BC667 * IF($AD667&lt;=2,
SUMPRODUCT(INDEX($AL$67:$AN$71,,$AE667), INDEX($AO$67:$AU$71,,$AD667), 1 / ($AV$67:$AV$71*BO667 + (1-$AV$67:$AV$71)*BK667), N($AK$67:$AK$71&gt;$AI667)),
SUMPRODUCT(INDEX($AL$57:$AN$66,,$AE667), INDEX($AO$57:$AU$66,,$AD667), 1 / ($AW$57:$AW$66*BO667 + (1-$AW$57:$AW$66)*BK667), N($AK$57:$AK$66&gt;$AI667))
) / 1000</f>
        <v>0</v>
      </c>
      <c r="BQ667" s="250">
        <f t="shared" si="670"/>
        <v>20</v>
      </c>
      <c r="BR667" s="237">
        <f t="shared" si="649"/>
        <v>33</v>
      </c>
      <c r="BS667" s="253">
        <f t="shared" si="650"/>
        <v>4.8487499999999999</v>
      </c>
      <c r="BT667" s="253" cm="1">
        <f t="array" ref="BT667">$BC667 * IF($AD667&lt;=2,
SUMPRODUCT(INDEX($AL$62:$AN$66,,$AE667), INDEX($AO$62:$AU$66,,$AD667), 1 / ($AV$62:$AV$66*BS667 + (1-$AV$62:$AV$66)*BO667), N($AK$62:$AK$66&gt;$AI667)),
SUMPRODUCT(INDEX($AL$47:$AN$56,,$AE667), INDEX($AO$47:$AU$56,,$AD667), 1 / ($AW$47:$AW$56*BS667 + (1-$AW$47:$AW$56)*BO667), N($AK$47:$AK$56&gt;$AI667))
) / 1000</f>
        <v>0</v>
      </c>
      <c r="BU667" s="253" cm="1">
        <f t="array" ref="BU667">$BC667 * IF($AD667&lt;=2,
SUMPRODUCT(INDEX($AL$23:$AN$61,,$AE667), INDEX($AO$23:$AU$61,,$AD667), 1 / ($AV$23:$AV$61*BS667), N($AK$23:$AK$61&gt;$AI667)),
SUMPRODUCT(INDEX($AL$23:$AN$46,,$AE667), INDEX($AO$23:$AU$46,,$AD667), 1 / ($AW$23:$AW$46*BS667), N($AK$23:$AK$46&gt;$AI667))
) / 1000</f>
        <v>0</v>
      </c>
      <c r="BV667" s="237">
        <f t="shared" si="651"/>
        <v>0</v>
      </c>
      <c r="BW667" s="210"/>
      <c r="BX667" s="237">
        <f t="shared" si="652"/>
        <v>0</v>
      </c>
      <c r="BY667" s="236">
        <v>35</v>
      </c>
      <c r="BZ667" s="237">
        <f t="shared" si="653"/>
        <v>48</v>
      </c>
      <c r="CA667" s="253">
        <f t="shared" si="654"/>
        <v>3.0748170731707316</v>
      </c>
      <c r="CB667" s="253" cm="1">
        <f t="array" ref="CB667">$BC667 * SUMPRODUCT(INDEX($AL$77:$AN$82,,$AE667),INDEX($AO$77:$AU$82,,$AD667), N($AK$77:$AK$82&gt;$AI667)) / CA667 / 1000</f>
        <v>0</v>
      </c>
      <c r="CC667" s="250">
        <f t="shared" si="671"/>
        <v>30</v>
      </c>
      <c r="CD667" s="237">
        <f t="shared" si="655"/>
        <v>43</v>
      </c>
      <c r="CE667" s="253">
        <f t="shared" si="656"/>
        <v>3.5018750000000001</v>
      </c>
      <c r="CF667" s="253" cm="1">
        <f t="array" ref="CF667">$BC667 * IF($AD667&lt;=2,
SUMPRODUCT(INDEX($AL$72:$AN$76,,$AE667), INDEX($AO$72:$AU$76,,$AD667), 1 / ($AV$72:$AV$76*CE667 + (1-$AV$72:$AV$76)*CA667), N($AK$72:$AK$76&gt;$AI667)),
SUMPRODUCT(INDEX($AL$67:$AN$76,,$AE667), INDEX($AO$67:$AU$76,,$AD667), 1 / ($AW$67:$AW$76*CE667 + (1-$AW$67:$AW$76)*CA667), N($AK$67:$AK$76&gt;$AI667))
) / 1000</f>
        <v>0</v>
      </c>
      <c r="CG667" s="250">
        <f t="shared" si="672"/>
        <v>25</v>
      </c>
      <c r="CH667" s="237">
        <f t="shared" si="657"/>
        <v>38</v>
      </c>
      <c r="CI667" s="253">
        <f t="shared" si="658"/>
        <v>4.0666935483870965</v>
      </c>
      <c r="CJ667" s="253" cm="1">
        <f t="array" ref="CJ667">$BC667 * IF($AD667&lt;=2,
SUMPRODUCT(INDEX($AL$67:$AN$71,,$AE667), INDEX($AO$67:$AU$71,,$AD667), 1 / ($AV$67:$AV$71*CI667 + (1-$AV$67:$AV$71)*CE667), N($AK$67:$AK$71&gt;$AI667)),
SUMPRODUCT(INDEX($AL$57:$AN$66,,$AE667), INDEX($AO$57:$AU$66,,$AD667), 1 / ($AW$57:$AW$66*CI667 + (1-$AW$57:$AW$66)*CE667), N($AK$57:$AK$66&gt;$AI667))
) / 1000</f>
        <v>0</v>
      </c>
      <c r="CK667" s="250">
        <f t="shared" si="673"/>
        <v>20</v>
      </c>
      <c r="CL667" s="237">
        <f t="shared" si="659"/>
        <v>33</v>
      </c>
      <c r="CM667" s="253">
        <f t="shared" si="660"/>
        <v>4.8487499999999999</v>
      </c>
      <c r="CN667" s="253" cm="1">
        <f t="array" ref="CN667">$BC667 * IF($AD667&lt;=2,
SUMPRODUCT(INDEX($AL$62:$AN$66,,$AE667), INDEX($AO$62:$AU$66,,$AD667), 1 / ($AV$62:$AV$66*CM667 + (1-$AV$62:$AV$66)*CI667), N($AK$62:$AK$66&gt;$AI667)),
SUMPRODUCT(INDEX($AL$47:$AN$56,,$AE667), INDEX($AO$47:$AU$56,,$AD667), 1 / ($AW$47:$AW$56*CM667 + (1-$AW$47:$AW$56)*CI667), N($AK$47:$AK$56&gt;$AI667))
) / 1000</f>
        <v>0</v>
      </c>
      <c r="CO667" s="253" cm="1">
        <f t="array" ref="CO667">$BC667 * IF($AD667&lt;=2,
SUMPRODUCT(INDEX($AL$23:$AN$61,,$AE667), INDEX($AO$23:$AU$61,,$AD667), 1 / ($AV$23:$AV$61*CM667), N($AK$23:$AK$61&gt;$AI667)),
SUMPRODUCT(INDEX($AL$23:$AN$46,,$AE667), INDEX($AO$23:$AU$46,,$AD667), 1 / ($AW$23:$AW$46*CM667), N($AK$23:$AK$46&gt;$AI667))
) / 1000</f>
        <v>0</v>
      </c>
      <c r="CP667" s="237">
        <f t="shared" si="661"/>
        <v>0</v>
      </c>
      <c r="CQ667" s="210"/>
    </row>
    <row r="668" spans="1:95" s="76" customFormat="1" ht="14.25" customHeight="1" x14ac:dyDescent="0.2">
      <c r="A668" s="238" t="b">
        <f t="shared" si="665"/>
        <v>0</v>
      </c>
      <c r="B668" s="239">
        <v>646</v>
      </c>
      <c r="C668" s="258"/>
      <c r="D668" s="258"/>
      <c r="E668" s="240"/>
      <c r="F668" s="241" t="str">
        <f>IF(ISBLANK(E668), "", VLOOKUP(E668, Z!$A$2:$C$4127, 3, FALSE))</f>
        <v/>
      </c>
      <c r="G668" s="242"/>
      <c r="H668" s="242"/>
      <c r="I668" s="243"/>
      <c r="J668" s="244"/>
      <c r="K668" s="259"/>
      <c r="L668" s="260"/>
      <c r="M668" s="247" t="str" cm="1">
        <f t="array" ref="M668">IF($K668&gt;0, INDEX(Clean,1+AG668,$C$1), "")</f>
        <v/>
      </c>
      <c r="N668" s="245"/>
      <c r="O668" s="245"/>
      <c r="P668" s="246"/>
      <c r="Q668" s="248">
        <f t="shared" si="638"/>
        <v>0</v>
      </c>
      <c r="R668" s="247" t="str" cm="1">
        <f t="array" ref="R668">IF($K668&gt;0, INDEX(Clean,1+AH668,$C$1), "")</f>
        <v/>
      </c>
      <c r="S668" s="245"/>
      <c r="T668" s="245"/>
      <c r="U668" s="246"/>
      <c r="V668" s="248">
        <f t="shared" si="639"/>
        <v>0</v>
      </c>
      <c r="W668" s="261"/>
      <c r="X668" s="258"/>
      <c r="Y668" s="240"/>
      <c r="Z668" s="241" t="str">
        <f>IF(ISBLANK(Y668), "", VLOOKUP(Y668, Z!$A$2:$C$4127, 3, FALSE))</f>
        <v/>
      </c>
      <c r="AA668" s="262"/>
      <c r="AB668" s="249">
        <f t="shared" si="674"/>
        <v>0</v>
      </c>
      <c r="AC668" s="210"/>
      <c r="AD668" s="236">
        <f t="shared" si="662"/>
        <v>1</v>
      </c>
      <c r="AE668" s="236">
        <f t="shared" si="663"/>
        <v>1</v>
      </c>
      <c r="AF668" s="236">
        <f t="shared" si="664"/>
        <v>0</v>
      </c>
      <c r="AG668" s="236">
        <v>1</v>
      </c>
      <c r="AH668" s="236">
        <v>0</v>
      </c>
      <c r="AI668" s="236">
        <f t="shared" si="640"/>
        <v>-100</v>
      </c>
      <c r="AJ668" s="210"/>
      <c r="AK668" s="254"/>
      <c r="AL668" s="254"/>
      <c r="AM668" s="255"/>
      <c r="AN668" s="255"/>
      <c r="AO668" s="255"/>
      <c r="AP668" s="255"/>
      <c r="AQ668" s="255"/>
      <c r="AR668" s="255"/>
      <c r="AS668" s="255"/>
      <c r="AT668" s="255"/>
      <c r="AU668" s="255"/>
      <c r="AV668" s="255"/>
      <c r="AW668" s="255"/>
      <c r="AX668" s="210"/>
      <c r="AY668" s="236" cm="1">
        <f t="array" ref="AY668">INDEX(Use, $AD668, 4)</f>
        <v>7</v>
      </c>
      <c r="AZ668" s="236">
        <f t="shared" si="641"/>
        <v>32</v>
      </c>
      <c r="BA668" s="236">
        <f t="shared" si="666"/>
        <v>13</v>
      </c>
      <c r="BB668" s="236">
        <f t="shared" si="667"/>
        <v>0</v>
      </c>
      <c r="BC668" s="252" cm="1">
        <f t="array" ref="BC668">K668/IF($L668&gt;0, INDEX($AO$23:$AU$77, $L668+20, $AD668), 1)</f>
        <v>0</v>
      </c>
      <c r="BD668" s="237">
        <f t="shared" si="642"/>
        <v>0</v>
      </c>
      <c r="BE668" s="236">
        <v>35</v>
      </c>
      <c r="BF668" s="237">
        <f t="shared" si="643"/>
        <v>52.55</v>
      </c>
      <c r="BG668" s="253">
        <f t="shared" si="644"/>
        <v>2.7676728869374316</v>
      </c>
      <c r="BH668" s="253" cm="1">
        <f t="array" ref="BH668">$BC668 * SUMPRODUCT(INDEX($AL$77:$AN$82,,$AE668),INDEX($AO$77:$AU$82,,$AD668), N($AK$77:$AK$82&gt;$AI668)) / BG668 / 1000</f>
        <v>0</v>
      </c>
      <c r="BI668" s="250">
        <f t="shared" si="668"/>
        <v>30</v>
      </c>
      <c r="BJ668" s="237">
        <f t="shared" si="645"/>
        <v>46.033333333333331</v>
      </c>
      <c r="BK668" s="253">
        <f t="shared" si="646"/>
        <v>3.2297395388556791</v>
      </c>
      <c r="BL668" s="253" cm="1">
        <f t="array" ref="BL668">$BC668 * IF($AD668&lt;=2,
SUMPRODUCT(INDEX($AL$72:$AN$76,,$AE668), INDEX($AO$72:$AU$76,,$AD668), 1 / ($AV$72:$AV$76*BK668 + (1-$AV$72:$AV$76)*BG668), N($AK$72:$AK$76&gt;$AI668)),
SUMPRODUCT(INDEX($AL$67:$AN$76,,$AE668), INDEX($AO$67:$AU$76,,$AD668), 1 / ($AW$67:$AW$76*BK668 + (1-$AW$67:$AW$76)*BG668), N($AK$67:$AK$76&gt;$AI668))
) / 1000</f>
        <v>0</v>
      </c>
      <c r="BM668" s="250">
        <f t="shared" si="669"/>
        <v>25</v>
      </c>
      <c r="BN668" s="237">
        <f t="shared" si="647"/>
        <v>39.516666666666666</v>
      </c>
      <c r="BO668" s="253">
        <f t="shared" si="648"/>
        <v>3.877011788826243</v>
      </c>
      <c r="BP668" s="253" cm="1">
        <f t="array" ref="BP668">$BC668 * IF($AD668&lt;=2,
SUMPRODUCT(INDEX($AL$67:$AN$71,,$AE668), INDEX($AO$67:$AU$71,,$AD668), 1 / ($AV$67:$AV$71*BO668 + (1-$AV$67:$AV$71)*BK668), N($AK$67:$AK$71&gt;$AI668)),
SUMPRODUCT(INDEX($AL$57:$AN$66,,$AE668), INDEX($AO$57:$AU$66,,$AD668), 1 / ($AW$57:$AW$66*BO668 + (1-$AW$57:$AW$66)*BK668), N($AK$57:$AK$66&gt;$AI668))
) / 1000</f>
        <v>0</v>
      </c>
      <c r="BQ668" s="250">
        <f t="shared" si="670"/>
        <v>20</v>
      </c>
      <c r="BR668" s="237">
        <f t="shared" si="649"/>
        <v>33</v>
      </c>
      <c r="BS668" s="253">
        <f t="shared" si="650"/>
        <v>4.8487499999999999</v>
      </c>
      <c r="BT668" s="253" cm="1">
        <f t="array" ref="BT668">$BC668 * IF($AD668&lt;=2,
SUMPRODUCT(INDEX($AL$62:$AN$66,,$AE668), INDEX($AO$62:$AU$66,,$AD668), 1 / ($AV$62:$AV$66*BS668 + (1-$AV$62:$AV$66)*BO668), N($AK$62:$AK$66&gt;$AI668)),
SUMPRODUCT(INDEX($AL$47:$AN$56,,$AE668), INDEX($AO$47:$AU$56,,$AD668), 1 / ($AW$47:$AW$56*BS668 + (1-$AW$47:$AW$56)*BO668), N($AK$47:$AK$56&gt;$AI668))
) / 1000</f>
        <v>0</v>
      </c>
      <c r="BU668" s="253" cm="1">
        <f t="array" ref="BU668">$BC668 * IF($AD668&lt;=2,
SUMPRODUCT(INDEX($AL$23:$AN$61,,$AE668), INDEX($AO$23:$AU$61,,$AD668), 1 / ($AV$23:$AV$61*BS668), N($AK$23:$AK$61&gt;$AI668)),
SUMPRODUCT(INDEX($AL$23:$AN$46,,$AE668), INDEX($AO$23:$AU$46,,$AD668), 1 / ($AW$23:$AW$46*BS668), N($AK$23:$AK$46&gt;$AI668))
) / 1000</f>
        <v>0</v>
      </c>
      <c r="BV668" s="237">
        <f t="shared" si="651"/>
        <v>0</v>
      </c>
      <c r="BW668" s="210"/>
      <c r="BX668" s="237">
        <f t="shared" si="652"/>
        <v>0</v>
      </c>
      <c r="BY668" s="236">
        <v>35</v>
      </c>
      <c r="BZ668" s="237">
        <f t="shared" si="653"/>
        <v>48</v>
      </c>
      <c r="CA668" s="253">
        <f t="shared" si="654"/>
        <v>3.0748170731707316</v>
      </c>
      <c r="CB668" s="253" cm="1">
        <f t="array" ref="CB668">$BC668 * SUMPRODUCT(INDEX($AL$77:$AN$82,,$AE668),INDEX($AO$77:$AU$82,,$AD668), N($AK$77:$AK$82&gt;$AI668)) / CA668 / 1000</f>
        <v>0</v>
      </c>
      <c r="CC668" s="250">
        <f t="shared" si="671"/>
        <v>30</v>
      </c>
      <c r="CD668" s="237">
        <f t="shared" si="655"/>
        <v>43</v>
      </c>
      <c r="CE668" s="253">
        <f t="shared" si="656"/>
        <v>3.5018750000000001</v>
      </c>
      <c r="CF668" s="253" cm="1">
        <f t="array" ref="CF668">$BC668 * IF($AD668&lt;=2,
SUMPRODUCT(INDEX($AL$72:$AN$76,,$AE668), INDEX($AO$72:$AU$76,,$AD668), 1 / ($AV$72:$AV$76*CE668 + (1-$AV$72:$AV$76)*CA668), N($AK$72:$AK$76&gt;$AI668)),
SUMPRODUCT(INDEX($AL$67:$AN$76,,$AE668), INDEX($AO$67:$AU$76,,$AD668), 1 / ($AW$67:$AW$76*CE668 + (1-$AW$67:$AW$76)*CA668), N($AK$67:$AK$76&gt;$AI668))
) / 1000</f>
        <v>0</v>
      </c>
      <c r="CG668" s="250">
        <f t="shared" si="672"/>
        <v>25</v>
      </c>
      <c r="CH668" s="237">
        <f t="shared" si="657"/>
        <v>38</v>
      </c>
      <c r="CI668" s="253">
        <f t="shared" si="658"/>
        <v>4.0666935483870965</v>
      </c>
      <c r="CJ668" s="253" cm="1">
        <f t="array" ref="CJ668">$BC668 * IF($AD668&lt;=2,
SUMPRODUCT(INDEX($AL$67:$AN$71,,$AE668), INDEX($AO$67:$AU$71,,$AD668), 1 / ($AV$67:$AV$71*CI668 + (1-$AV$67:$AV$71)*CE668), N($AK$67:$AK$71&gt;$AI668)),
SUMPRODUCT(INDEX($AL$57:$AN$66,,$AE668), INDEX($AO$57:$AU$66,,$AD668), 1 / ($AW$57:$AW$66*CI668 + (1-$AW$57:$AW$66)*CE668), N($AK$57:$AK$66&gt;$AI668))
) / 1000</f>
        <v>0</v>
      </c>
      <c r="CK668" s="250">
        <f t="shared" si="673"/>
        <v>20</v>
      </c>
      <c r="CL668" s="237">
        <f t="shared" si="659"/>
        <v>33</v>
      </c>
      <c r="CM668" s="253">
        <f t="shared" si="660"/>
        <v>4.8487499999999999</v>
      </c>
      <c r="CN668" s="253" cm="1">
        <f t="array" ref="CN668">$BC668 * IF($AD668&lt;=2,
SUMPRODUCT(INDEX($AL$62:$AN$66,,$AE668), INDEX($AO$62:$AU$66,,$AD668), 1 / ($AV$62:$AV$66*CM668 + (1-$AV$62:$AV$66)*CI668), N($AK$62:$AK$66&gt;$AI668)),
SUMPRODUCT(INDEX($AL$47:$AN$56,,$AE668), INDEX($AO$47:$AU$56,,$AD668), 1 / ($AW$47:$AW$56*CM668 + (1-$AW$47:$AW$56)*CI668), N($AK$47:$AK$56&gt;$AI668))
) / 1000</f>
        <v>0</v>
      </c>
      <c r="CO668" s="253" cm="1">
        <f t="array" ref="CO668">$BC668 * IF($AD668&lt;=2,
SUMPRODUCT(INDEX($AL$23:$AN$61,,$AE668), INDEX($AO$23:$AU$61,,$AD668), 1 / ($AV$23:$AV$61*CM668), N($AK$23:$AK$61&gt;$AI668)),
SUMPRODUCT(INDEX($AL$23:$AN$46,,$AE668), INDEX($AO$23:$AU$46,,$AD668), 1 / ($AW$23:$AW$46*CM668), N($AK$23:$AK$46&gt;$AI668))
) / 1000</f>
        <v>0</v>
      </c>
      <c r="CP668" s="237">
        <f t="shared" si="661"/>
        <v>0</v>
      </c>
      <c r="CQ668" s="210"/>
    </row>
    <row r="669" spans="1:95" s="76" customFormat="1" ht="14.25" customHeight="1" x14ac:dyDescent="0.2">
      <c r="A669" s="238" t="b">
        <f t="shared" si="665"/>
        <v>0</v>
      </c>
      <c r="B669" s="239">
        <v>647</v>
      </c>
      <c r="C669" s="258"/>
      <c r="D669" s="258"/>
      <c r="E669" s="240"/>
      <c r="F669" s="241" t="str">
        <f>IF(ISBLANK(E669), "", VLOOKUP(E669, Z!$A$2:$C$4127, 3, FALSE))</f>
        <v/>
      </c>
      <c r="G669" s="242"/>
      <c r="H669" s="242"/>
      <c r="I669" s="243"/>
      <c r="J669" s="244"/>
      <c r="K669" s="259"/>
      <c r="L669" s="260"/>
      <c r="M669" s="247" t="str" cm="1">
        <f t="array" ref="M669">IF($K669&gt;0, INDEX(Clean,1+AG669,$C$1), "")</f>
        <v/>
      </c>
      <c r="N669" s="245"/>
      <c r="O669" s="245"/>
      <c r="P669" s="246"/>
      <c r="Q669" s="248">
        <f t="shared" si="638"/>
        <v>0</v>
      </c>
      <c r="R669" s="247" t="str" cm="1">
        <f t="array" ref="R669">IF($K669&gt;0, INDEX(Clean,1+AH669,$C$1), "")</f>
        <v/>
      </c>
      <c r="S669" s="245"/>
      <c r="T669" s="245"/>
      <c r="U669" s="246"/>
      <c r="V669" s="248">
        <f t="shared" si="639"/>
        <v>0</v>
      </c>
      <c r="W669" s="261"/>
      <c r="X669" s="258"/>
      <c r="Y669" s="240"/>
      <c r="Z669" s="241" t="str">
        <f>IF(ISBLANK(Y669), "", VLOOKUP(Y669, Z!$A$2:$C$4127, 3, FALSE))</f>
        <v/>
      </c>
      <c r="AA669" s="262"/>
      <c r="AB669" s="249">
        <f t="shared" si="674"/>
        <v>0</v>
      </c>
      <c r="AC669" s="210"/>
      <c r="AD669" s="236">
        <f t="shared" si="662"/>
        <v>1</v>
      </c>
      <c r="AE669" s="236">
        <f t="shared" si="663"/>
        <v>1</v>
      </c>
      <c r="AF669" s="236">
        <f t="shared" si="664"/>
        <v>0</v>
      </c>
      <c r="AG669" s="236">
        <v>1</v>
      </c>
      <c r="AH669" s="236">
        <v>0</v>
      </c>
      <c r="AI669" s="236">
        <f t="shared" si="640"/>
        <v>-100</v>
      </c>
      <c r="AJ669" s="210"/>
      <c r="AK669" s="254"/>
      <c r="AL669" s="254"/>
      <c r="AM669" s="255"/>
      <c r="AN669" s="255"/>
      <c r="AO669" s="255"/>
      <c r="AP669" s="255"/>
      <c r="AQ669" s="255"/>
      <c r="AR669" s="255"/>
      <c r="AS669" s="255"/>
      <c r="AT669" s="255"/>
      <c r="AU669" s="255"/>
      <c r="AV669" s="255"/>
      <c r="AW669" s="255"/>
      <c r="AX669" s="210"/>
      <c r="AY669" s="236" cm="1">
        <f t="array" ref="AY669">INDEX(Use, $AD669, 4)</f>
        <v>7</v>
      </c>
      <c r="AZ669" s="236">
        <f t="shared" si="641"/>
        <v>32</v>
      </c>
      <c r="BA669" s="236">
        <f t="shared" si="666"/>
        <v>13</v>
      </c>
      <c r="BB669" s="236">
        <f t="shared" si="667"/>
        <v>0</v>
      </c>
      <c r="BC669" s="252" cm="1">
        <f t="array" ref="BC669">K669/IF($L669&gt;0, INDEX($AO$23:$AU$77, $L669+20, $AD669), 1)</f>
        <v>0</v>
      </c>
      <c r="BD669" s="237">
        <f t="shared" si="642"/>
        <v>0</v>
      </c>
      <c r="BE669" s="236">
        <v>35</v>
      </c>
      <c r="BF669" s="237">
        <f t="shared" si="643"/>
        <v>52.55</v>
      </c>
      <c r="BG669" s="253">
        <f t="shared" si="644"/>
        <v>2.7676728869374316</v>
      </c>
      <c r="BH669" s="253" cm="1">
        <f t="array" ref="BH669">$BC669 * SUMPRODUCT(INDEX($AL$77:$AN$82,,$AE669),INDEX($AO$77:$AU$82,,$AD669), N($AK$77:$AK$82&gt;$AI669)) / BG669 / 1000</f>
        <v>0</v>
      </c>
      <c r="BI669" s="250">
        <f t="shared" si="668"/>
        <v>30</v>
      </c>
      <c r="BJ669" s="237">
        <f t="shared" si="645"/>
        <v>46.033333333333331</v>
      </c>
      <c r="BK669" s="253">
        <f t="shared" si="646"/>
        <v>3.2297395388556791</v>
      </c>
      <c r="BL669" s="253" cm="1">
        <f t="array" ref="BL669">$BC669 * IF($AD669&lt;=2,
SUMPRODUCT(INDEX($AL$72:$AN$76,,$AE669), INDEX($AO$72:$AU$76,,$AD669), 1 / ($AV$72:$AV$76*BK669 + (1-$AV$72:$AV$76)*BG669), N($AK$72:$AK$76&gt;$AI669)),
SUMPRODUCT(INDEX($AL$67:$AN$76,,$AE669), INDEX($AO$67:$AU$76,,$AD669), 1 / ($AW$67:$AW$76*BK669 + (1-$AW$67:$AW$76)*BG669), N($AK$67:$AK$76&gt;$AI669))
) / 1000</f>
        <v>0</v>
      </c>
      <c r="BM669" s="250">
        <f t="shared" si="669"/>
        <v>25</v>
      </c>
      <c r="BN669" s="237">
        <f t="shared" si="647"/>
        <v>39.516666666666666</v>
      </c>
      <c r="BO669" s="253">
        <f t="shared" si="648"/>
        <v>3.877011788826243</v>
      </c>
      <c r="BP669" s="253" cm="1">
        <f t="array" ref="BP669">$BC669 * IF($AD669&lt;=2,
SUMPRODUCT(INDEX($AL$67:$AN$71,,$AE669), INDEX($AO$67:$AU$71,,$AD669), 1 / ($AV$67:$AV$71*BO669 + (1-$AV$67:$AV$71)*BK669), N($AK$67:$AK$71&gt;$AI669)),
SUMPRODUCT(INDEX($AL$57:$AN$66,,$AE669), INDEX($AO$57:$AU$66,,$AD669), 1 / ($AW$57:$AW$66*BO669 + (1-$AW$57:$AW$66)*BK669), N($AK$57:$AK$66&gt;$AI669))
) / 1000</f>
        <v>0</v>
      </c>
      <c r="BQ669" s="250">
        <f t="shared" si="670"/>
        <v>20</v>
      </c>
      <c r="BR669" s="237">
        <f t="shared" si="649"/>
        <v>33</v>
      </c>
      <c r="BS669" s="253">
        <f t="shared" si="650"/>
        <v>4.8487499999999999</v>
      </c>
      <c r="BT669" s="253" cm="1">
        <f t="array" ref="BT669">$BC669 * IF($AD669&lt;=2,
SUMPRODUCT(INDEX($AL$62:$AN$66,,$AE669), INDEX($AO$62:$AU$66,,$AD669), 1 / ($AV$62:$AV$66*BS669 + (1-$AV$62:$AV$66)*BO669), N($AK$62:$AK$66&gt;$AI669)),
SUMPRODUCT(INDEX($AL$47:$AN$56,,$AE669), INDEX($AO$47:$AU$56,,$AD669), 1 / ($AW$47:$AW$56*BS669 + (1-$AW$47:$AW$56)*BO669), N($AK$47:$AK$56&gt;$AI669))
) / 1000</f>
        <v>0</v>
      </c>
      <c r="BU669" s="253" cm="1">
        <f t="array" ref="BU669">$BC669 * IF($AD669&lt;=2,
SUMPRODUCT(INDEX($AL$23:$AN$61,,$AE669), INDEX($AO$23:$AU$61,,$AD669), 1 / ($AV$23:$AV$61*BS669), N($AK$23:$AK$61&gt;$AI669)),
SUMPRODUCT(INDEX($AL$23:$AN$46,,$AE669), INDEX($AO$23:$AU$46,,$AD669), 1 / ($AW$23:$AW$46*BS669), N($AK$23:$AK$46&gt;$AI669))
) / 1000</f>
        <v>0</v>
      </c>
      <c r="BV669" s="237">
        <f t="shared" si="651"/>
        <v>0</v>
      </c>
      <c r="BW669" s="210"/>
      <c r="BX669" s="237">
        <f t="shared" si="652"/>
        <v>0</v>
      </c>
      <c r="BY669" s="236">
        <v>35</v>
      </c>
      <c r="BZ669" s="237">
        <f t="shared" si="653"/>
        <v>48</v>
      </c>
      <c r="CA669" s="253">
        <f t="shared" si="654"/>
        <v>3.0748170731707316</v>
      </c>
      <c r="CB669" s="253" cm="1">
        <f t="array" ref="CB669">$BC669 * SUMPRODUCT(INDEX($AL$77:$AN$82,,$AE669),INDEX($AO$77:$AU$82,,$AD669), N($AK$77:$AK$82&gt;$AI669)) / CA669 / 1000</f>
        <v>0</v>
      </c>
      <c r="CC669" s="250">
        <f t="shared" si="671"/>
        <v>30</v>
      </c>
      <c r="CD669" s="237">
        <f t="shared" si="655"/>
        <v>43</v>
      </c>
      <c r="CE669" s="253">
        <f t="shared" si="656"/>
        <v>3.5018750000000001</v>
      </c>
      <c r="CF669" s="253" cm="1">
        <f t="array" ref="CF669">$BC669 * IF($AD669&lt;=2,
SUMPRODUCT(INDEX($AL$72:$AN$76,,$AE669), INDEX($AO$72:$AU$76,,$AD669), 1 / ($AV$72:$AV$76*CE669 + (1-$AV$72:$AV$76)*CA669), N($AK$72:$AK$76&gt;$AI669)),
SUMPRODUCT(INDEX($AL$67:$AN$76,,$AE669), INDEX($AO$67:$AU$76,,$AD669), 1 / ($AW$67:$AW$76*CE669 + (1-$AW$67:$AW$76)*CA669), N($AK$67:$AK$76&gt;$AI669))
) / 1000</f>
        <v>0</v>
      </c>
      <c r="CG669" s="250">
        <f t="shared" si="672"/>
        <v>25</v>
      </c>
      <c r="CH669" s="237">
        <f t="shared" si="657"/>
        <v>38</v>
      </c>
      <c r="CI669" s="253">
        <f t="shared" si="658"/>
        <v>4.0666935483870965</v>
      </c>
      <c r="CJ669" s="253" cm="1">
        <f t="array" ref="CJ669">$BC669 * IF($AD669&lt;=2,
SUMPRODUCT(INDEX($AL$67:$AN$71,,$AE669), INDEX($AO$67:$AU$71,,$AD669), 1 / ($AV$67:$AV$71*CI669 + (1-$AV$67:$AV$71)*CE669), N($AK$67:$AK$71&gt;$AI669)),
SUMPRODUCT(INDEX($AL$57:$AN$66,,$AE669), INDEX($AO$57:$AU$66,,$AD669), 1 / ($AW$57:$AW$66*CI669 + (1-$AW$57:$AW$66)*CE669), N($AK$57:$AK$66&gt;$AI669))
) / 1000</f>
        <v>0</v>
      </c>
      <c r="CK669" s="250">
        <f t="shared" si="673"/>
        <v>20</v>
      </c>
      <c r="CL669" s="237">
        <f t="shared" si="659"/>
        <v>33</v>
      </c>
      <c r="CM669" s="253">
        <f t="shared" si="660"/>
        <v>4.8487499999999999</v>
      </c>
      <c r="CN669" s="253" cm="1">
        <f t="array" ref="CN669">$BC669 * IF($AD669&lt;=2,
SUMPRODUCT(INDEX($AL$62:$AN$66,,$AE669), INDEX($AO$62:$AU$66,,$AD669), 1 / ($AV$62:$AV$66*CM669 + (1-$AV$62:$AV$66)*CI669), N($AK$62:$AK$66&gt;$AI669)),
SUMPRODUCT(INDEX($AL$47:$AN$56,,$AE669), INDEX($AO$47:$AU$56,,$AD669), 1 / ($AW$47:$AW$56*CM669 + (1-$AW$47:$AW$56)*CI669), N($AK$47:$AK$56&gt;$AI669))
) / 1000</f>
        <v>0</v>
      </c>
      <c r="CO669" s="253" cm="1">
        <f t="array" ref="CO669">$BC669 * IF($AD669&lt;=2,
SUMPRODUCT(INDEX($AL$23:$AN$61,,$AE669), INDEX($AO$23:$AU$61,,$AD669), 1 / ($AV$23:$AV$61*CM669), N($AK$23:$AK$61&gt;$AI669)),
SUMPRODUCT(INDEX($AL$23:$AN$46,,$AE669), INDEX($AO$23:$AU$46,,$AD669), 1 / ($AW$23:$AW$46*CM669), N($AK$23:$AK$46&gt;$AI669))
) / 1000</f>
        <v>0</v>
      </c>
      <c r="CP669" s="237">
        <f t="shared" si="661"/>
        <v>0</v>
      </c>
      <c r="CQ669" s="210"/>
    </row>
    <row r="670" spans="1:95" s="76" customFormat="1" ht="14.25" customHeight="1" x14ac:dyDescent="0.2">
      <c r="A670" s="238" t="b">
        <f t="shared" si="665"/>
        <v>0</v>
      </c>
      <c r="B670" s="239">
        <v>648</v>
      </c>
      <c r="C670" s="258"/>
      <c r="D670" s="258"/>
      <c r="E670" s="240"/>
      <c r="F670" s="241" t="str">
        <f>IF(ISBLANK(E670), "", VLOOKUP(E670, Z!$A$2:$C$4127, 3, FALSE))</f>
        <v/>
      </c>
      <c r="G670" s="242"/>
      <c r="H670" s="242"/>
      <c r="I670" s="243"/>
      <c r="J670" s="244"/>
      <c r="K670" s="259"/>
      <c r="L670" s="260"/>
      <c r="M670" s="247" t="str" cm="1">
        <f t="array" ref="M670">IF($K670&gt;0, INDEX(Clean,1+AG670,$C$1), "")</f>
        <v/>
      </c>
      <c r="N670" s="245"/>
      <c r="O670" s="245"/>
      <c r="P670" s="246"/>
      <c r="Q670" s="248">
        <f t="shared" si="638"/>
        <v>0</v>
      </c>
      <c r="R670" s="247" t="str" cm="1">
        <f t="array" ref="R670">IF($K670&gt;0, INDEX(Clean,1+AH670,$C$1), "")</f>
        <v/>
      </c>
      <c r="S670" s="245"/>
      <c r="T670" s="245"/>
      <c r="U670" s="246"/>
      <c r="V670" s="248">
        <f t="shared" si="639"/>
        <v>0</v>
      </c>
      <c r="W670" s="261"/>
      <c r="X670" s="258"/>
      <c r="Y670" s="240"/>
      <c r="Z670" s="241" t="str">
        <f>IF(ISBLANK(Y670), "", VLOOKUP(Y670, Z!$A$2:$C$4127, 3, FALSE))</f>
        <v/>
      </c>
      <c r="AA670" s="262"/>
      <c r="AB670" s="249">
        <f t="shared" si="674"/>
        <v>0</v>
      </c>
      <c r="AC670" s="210"/>
      <c r="AD670" s="236">
        <f t="shared" si="662"/>
        <v>1</v>
      </c>
      <c r="AE670" s="236">
        <f t="shared" si="663"/>
        <v>1</v>
      </c>
      <c r="AF670" s="236">
        <f t="shared" si="664"/>
        <v>0</v>
      </c>
      <c r="AG670" s="236">
        <v>1</v>
      </c>
      <c r="AH670" s="236">
        <v>0</v>
      </c>
      <c r="AI670" s="236">
        <f t="shared" si="640"/>
        <v>-100</v>
      </c>
      <c r="AJ670" s="210"/>
      <c r="AK670" s="254"/>
      <c r="AL670" s="254"/>
      <c r="AM670" s="255"/>
      <c r="AN670" s="255"/>
      <c r="AO670" s="255"/>
      <c r="AP670" s="255"/>
      <c r="AQ670" s="255"/>
      <c r="AR670" s="255"/>
      <c r="AS670" s="255"/>
      <c r="AT670" s="255"/>
      <c r="AU670" s="255"/>
      <c r="AV670" s="255"/>
      <c r="AW670" s="255"/>
      <c r="AX670" s="210"/>
      <c r="AY670" s="236" cm="1">
        <f t="array" ref="AY670">INDEX(Use, $AD670, 4)</f>
        <v>7</v>
      </c>
      <c r="AZ670" s="236">
        <f t="shared" si="641"/>
        <v>32</v>
      </c>
      <c r="BA670" s="236">
        <f t="shared" si="666"/>
        <v>13</v>
      </c>
      <c r="BB670" s="236">
        <f t="shared" si="667"/>
        <v>0</v>
      </c>
      <c r="BC670" s="252" cm="1">
        <f t="array" ref="BC670">K670/IF($L670&gt;0, INDEX($AO$23:$AU$77, $L670+20, $AD670), 1)</f>
        <v>0</v>
      </c>
      <c r="BD670" s="237">
        <f t="shared" si="642"/>
        <v>0</v>
      </c>
      <c r="BE670" s="236">
        <v>35</v>
      </c>
      <c r="BF670" s="237">
        <f t="shared" si="643"/>
        <v>52.55</v>
      </c>
      <c r="BG670" s="253">
        <f t="shared" si="644"/>
        <v>2.7676728869374316</v>
      </c>
      <c r="BH670" s="253" cm="1">
        <f t="array" ref="BH670">$BC670 * SUMPRODUCT(INDEX($AL$77:$AN$82,,$AE670),INDEX($AO$77:$AU$82,,$AD670), N($AK$77:$AK$82&gt;$AI670)) / BG670 / 1000</f>
        <v>0</v>
      </c>
      <c r="BI670" s="250">
        <f t="shared" si="668"/>
        <v>30</v>
      </c>
      <c r="BJ670" s="237">
        <f t="shared" si="645"/>
        <v>46.033333333333331</v>
      </c>
      <c r="BK670" s="253">
        <f t="shared" si="646"/>
        <v>3.2297395388556791</v>
      </c>
      <c r="BL670" s="253" cm="1">
        <f t="array" ref="BL670">$BC670 * IF($AD670&lt;=2,
SUMPRODUCT(INDEX($AL$72:$AN$76,,$AE670), INDEX($AO$72:$AU$76,,$AD670), 1 / ($AV$72:$AV$76*BK670 + (1-$AV$72:$AV$76)*BG670), N($AK$72:$AK$76&gt;$AI670)),
SUMPRODUCT(INDEX($AL$67:$AN$76,,$AE670), INDEX($AO$67:$AU$76,,$AD670), 1 / ($AW$67:$AW$76*BK670 + (1-$AW$67:$AW$76)*BG670), N($AK$67:$AK$76&gt;$AI670))
) / 1000</f>
        <v>0</v>
      </c>
      <c r="BM670" s="250">
        <f t="shared" si="669"/>
        <v>25</v>
      </c>
      <c r="BN670" s="237">
        <f t="shared" si="647"/>
        <v>39.516666666666666</v>
      </c>
      <c r="BO670" s="253">
        <f t="shared" si="648"/>
        <v>3.877011788826243</v>
      </c>
      <c r="BP670" s="253" cm="1">
        <f t="array" ref="BP670">$BC670 * IF($AD670&lt;=2,
SUMPRODUCT(INDEX($AL$67:$AN$71,,$AE670), INDEX($AO$67:$AU$71,,$AD670), 1 / ($AV$67:$AV$71*BO670 + (1-$AV$67:$AV$71)*BK670), N($AK$67:$AK$71&gt;$AI670)),
SUMPRODUCT(INDEX($AL$57:$AN$66,,$AE670), INDEX($AO$57:$AU$66,,$AD670), 1 / ($AW$57:$AW$66*BO670 + (1-$AW$57:$AW$66)*BK670), N($AK$57:$AK$66&gt;$AI670))
) / 1000</f>
        <v>0</v>
      </c>
      <c r="BQ670" s="250">
        <f t="shared" si="670"/>
        <v>20</v>
      </c>
      <c r="BR670" s="237">
        <f t="shared" si="649"/>
        <v>33</v>
      </c>
      <c r="BS670" s="253">
        <f t="shared" si="650"/>
        <v>4.8487499999999999</v>
      </c>
      <c r="BT670" s="253" cm="1">
        <f t="array" ref="BT670">$BC670 * IF($AD670&lt;=2,
SUMPRODUCT(INDEX($AL$62:$AN$66,,$AE670), INDEX($AO$62:$AU$66,,$AD670), 1 / ($AV$62:$AV$66*BS670 + (1-$AV$62:$AV$66)*BO670), N($AK$62:$AK$66&gt;$AI670)),
SUMPRODUCT(INDEX($AL$47:$AN$56,,$AE670), INDEX($AO$47:$AU$56,,$AD670), 1 / ($AW$47:$AW$56*BS670 + (1-$AW$47:$AW$56)*BO670), N($AK$47:$AK$56&gt;$AI670))
) / 1000</f>
        <v>0</v>
      </c>
      <c r="BU670" s="253" cm="1">
        <f t="array" ref="BU670">$BC670 * IF($AD670&lt;=2,
SUMPRODUCT(INDEX($AL$23:$AN$61,,$AE670), INDEX($AO$23:$AU$61,,$AD670), 1 / ($AV$23:$AV$61*BS670), N($AK$23:$AK$61&gt;$AI670)),
SUMPRODUCT(INDEX($AL$23:$AN$46,,$AE670), INDEX($AO$23:$AU$46,,$AD670), 1 / ($AW$23:$AW$46*BS670), N($AK$23:$AK$46&gt;$AI670))
) / 1000</f>
        <v>0</v>
      </c>
      <c r="BV670" s="237">
        <f t="shared" si="651"/>
        <v>0</v>
      </c>
      <c r="BW670" s="210"/>
      <c r="BX670" s="237">
        <f t="shared" si="652"/>
        <v>0</v>
      </c>
      <c r="BY670" s="236">
        <v>35</v>
      </c>
      <c r="BZ670" s="237">
        <f t="shared" si="653"/>
        <v>48</v>
      </c>
      <c r="CA670" s="253">
        <f t="shared" si="654"/>
        <v>3.0748170731707316</v>
      </c>
      <c r="CB670" s="253" cm="1">
        <f t="array" ref="CB670">$BC670 * SUMPRODUCT(INDEX($AL$77:$AN$82,,$AE670),INDEX($AO$77:$AU$82,,$AD670), N($AK$77:$AK$82&gt;$AI670)) / CA670 / 1000</f>
        <v>0</v>
      </c>
      <c r="CC670" s="250">
        <f t="shared" si="671"/>
        <v>30</v>
      </c>
      <c r="CD670" s="237">
        <f t="shared" si="655"/>
        <v>43</v>
      </c>
      <c r="CE670" s="253">
        <f t="shared" si="656"/>
        <v>3.5018750000000001</v>
      </c>
      <c r="CF670" s="253" cm="1">
        <f t="array" ref="CF670">$BC670 * IF($AD670&lt;=2,
SUMPRODUCT(INDEX($AL$72:$AN$76,,$AE670), INDEX($AO$72:$AU$76,,$AD670), 1 / ($AV$72:$AV$76*CE670 + (1-$AV$72:$AV$76)*CA670), N($AK$72:$AK$76&gt;$AI670)),
SUMPRODUCT(INDEX($AL$67:$AN$76,,$AE670), INDEX($AO$67:$AU$76,,$AD670), 1 / ($AW$67:$AW$76*CE670 + (1-$AW$67:$AW$76)*CA670), N($AK$67:$AK$76&gt;$AI670))
) / 1000</f>
        <v>0</v>
      </c>
      <c r="CG670" s="250">
        <f t="shared" si="672"/>
        <v>25</v>
      </c>
      <c r="CH670" s="237">
        <f t="shared" si="657"/>
        <v>38</v>
      </c>
      <c r="CI670" s="253">
        <f t="shared" si="658"/>
        <v>4.0666935483870965</v>
      </c>
      <c r="CJ670" s="253" cm="1">
        <f t="array" ref="CJ670">$BC670 * IF($AD670&lt;=2,
SUMPRODUCT(INDEX($AL$67:$AN$71,,$AE670), INDEX($AO$67:$AU$71,,$AD670), 1 / ($AV$67:$AV$71*CI670 + (1-$AV$67:$AV$71)*CE670), N($AK$67:$AK$71&gt;$AI670)),
SUMPRODUCT(INDEX($AL$57:$AN$66,,$AE670), INDEX($AO$57:$AU$66,,$AD670), 1 / ($AW$57:$AW$66*CI670 + (1-$AW$57:$AW$66)*CE670), N($AK$57:$AK$66&gt;$AI670))
) / 1000</f>
        <v>0</v>
      </c>
      <c r="CK670" s="250">
        <f t="shared" si="673"/>
        <v>20</v>
      </c>
      <c r="CL670" s="237">
        <f t="shared" si="659"/>
        <v>33</v>
      </c>
      <c r="CM670" s="253">
        <f t="shared" si="660"/>
        <v>4.8487499999999999</v>
      </c>
      <c r="CN670" s="253" cm="1">
        <f t="array" ref="CN670">$BC670 * IF($AD670&lt;=2,
SUMPRODUCT(INDEX($AL$62:$AN$66,,$AE670), INDEX($AO$62:$AU$66,,$AD670), 1 / ($AV$62:$AV$66*CM670 + (1-$AV$62:$AV$66)*CI670), N($AK$62:$AK$66&gt;$AI670)),
SUMPRODUCT(INDEX($AL$47:$AN$56,,$AE670), INDEX($AO$47:$AU$56,,$AD670), 1 / ($AW$47:$AW$56*CM670 + (1-$AW$47:$AW$56)*CI670), N($AK$47:$AK$56&gt;$AI670))
) / 1000</f>
        <v>0</v>
      </c>
      <c r="CO670" s="253" cm="1">
        <f t="array" ref="CO670">$BC670 * IF($AD670&lt;=2,
SUMPRODUCT(INDEX($AL$23:$AN$61,,$AE670), INDEX($AO$23:$AU$61,,$AD670), 1 / ($AV$23:$AV$61*CM670), N($AK$23:$AK$61&gt;$AI670)),
SUMPRODUCT(INDEX($AL$23:$AN$46,,$AE670), INDEX($AO$23:$AU$46,,$AD670), 1 / ($AW$23:$AW$46*CM670), N($AK$23:$AK$46&gt;$AI670))
) / 1000</f>
        <v>0</v>
      </c>
      <c r="CP670" s="237">
        <f t="shared" si="661"/>
        <v>0</v>
      </c>
      <c r="CQ670" s="210"/>
    </row>
    <row r="671" spans="1:95" s="76" customFormat="1" ht="14.25" customHeight="1" x14ac:dyDescent="0.2">
      <c r="A671" s="238" t="b">
        <f t="shared" si="665"/>
        <v>0</v>
      </c>
      <c r="B671" s="239">
        <v>649</v>
      </c>
      <c r="C671" s="258"/>
      <c r="D671" s="258"/>
      <c r="E671" s="240"/>
      <c r="F671" s="241" t="str">
        <f>IF(ISBLANK(E671), "", VLOOKUP(E671, Z!$A$2:$C$4127, 3, FALSE))</f>
        <v/>
      </c>
      <c r="G671" s="242"/>
      <c r="H671" s="242"/>
      <c r="I671" s="243"/>
      <c r="J671" s="244"/>
      <c r="K671" s="259"/>
      <c r="L671" s="260"/>
      <c r="M671" s="247" t="str" cm="1">
        <f t="array" ref="M671">IF($K671&gt;0, INDEX(Clean,1+AG671,$C$1), "")</f>
        <v/>
      </c>
      <c r="N671" s="245"/>
      <c r="O671" s="245"/>
      <c r="P671" s="246"/>
      <c r="Q671" s="248">
        <f t="shared" si="638"/>
        <v>0</v>
      </c>
      <c r="R671" s="247" t="str" cm="1">
        <f t="array" ref="R671">IF($K671&gt;0, INDEX(Clean,1+AH671,$C$1), "")</f>
        <v/>
      </c>
      <c r="S671" s="245"/>
      <c r="T671" s="245"/>
      <c r="U671" s="246"/>
      <c r="V671" s="248">
        <f t="shared" si="639"/>
        <v>0</v>
      </c>
      <c r="W671" s="261"/>
      <c r="X671" s="258"/>
      <c r="Y671" s="240"/>
      <c r="Z671" s="241" t="str">
        <f>IF(ISBLANK(Y671), "", VLOOKUP(Y671, Z!$A$2:$C$4127, 3, FALSE))</f>
        <v/>
      </c>
      <c r="AA671" s="262"/>
      <c r="AB671" s="249">
        <f t="shared" si="674"/>
        <v>0</v>
      </c>
      <c r="AC671" s="210"/>
      <c r="AD671" s="236">
        <f t="shared" si="662"/>
        <v>1</v>
      </c>
      <c r="AE671" s="236">
        <f t="shared" si="663"/>
        <v>1</v>
      </c>
      <c r="AF671" s="236">
        <f t="shared" si="664"/>
        <v>0</v>
      </c>
      <c r="AG671" s="236">
        <v>1</v>
      </c>
      <c r="AH671" s="236">
        <v>0</v>
      </c>
      <c r="AI671" s="236">
        <f t="shared" si="640"/>
        <v>-100</v>
      </c>
      <c r="AJ671" s="210"/>
      <c r="AK671" s="254"/>
      <c r="AL671" s="254"/>
      <c r="AM671" s="255"/>
      <c r="AN671" s="255"/>
      <c r="AO671" s="255"/>
      <c r="AP671" s="255"/>
      <c r="AQ671" s="255"/>
      <c r="AR671" s="255"/>
      <c r="AS671" s="255"/>
      <c r="AT671" s="255"/>
      <c r="AU671" s="255"/>
      <c r="AV671" s="255"/>
      <c r="AW671" s="255"/>
      <c r="AX671" s="210"/>
      <c r="AY671" s="236" cm="1">
        <f t="array" ref="AY671">INDEX(Use, $AD671, 4)</f>
        <v>7</v>
      </c>
      <c r="AZ671" s="236">
        <f t="shared" si="641"/>
        <v>32</v>
      </c>
      <c r="BA671" s="236">
        <f t="shared" si="666"/>
        <v>13</v>
      </c>
      <c r="BB671" s="236">
        <f t="shared" si="667"/>
        <v>0</v>
      </c>
      <c r="BC671" s="252" cm="1">
        <f t="array" ref="BC671">K671/IF($L671&gt;0, INDEX($AO$23:$AU$77, $L671+20, $AD671), 1)</f>
        <v>0</v>
      </c>
      <c r="BD671" s="237">
        <f t="shared" si="642"/>
        <v>0</v>
      </c>
      <c r="BE671" s="236">
        <v>35</v>
      </c>
      <c r="BF671" s="237">
        <f t="shared" si="643"/>
        <v>52.55</v>
      </c>
      <c r="BG671" s="253">
        <f t="shared" si="644"/>
        <v>2.7676728869374316</v>
      </c>
      <c r="BH671" s="253" cm="1">
        <f t="array" ref="BH671">$BC671 * SUMPRODUCT(INDEX($AL$77:$AN$82,,$AE671),INDEX($AO$77:$AU$82,,$AD671), N($AK$77:$AK$82&gt;$AI671)) / BG671 / 1000</f>
        <v>0</v>
      </c>
      <c r="BI671" s="250">
        <f t="shared" si="668"/>
        <v>30</v>
      </c>
      <c r="BJ671" s="237">
        <f t="shared" si="645"/>
        <v>46.033333333333331</v>
      </c>
      <c r="BK671" s="253">
        <f t="shared" si="646"/>
        <v>3.2297395388556791</v>
      </c>
      <c r="BL671" s="253" cm="1">
        <f t="array" ref="BL671">$BC671 * IF($AD671&lt;=2,
SUMPRODUCT(INDEX($AL$72:$AN$76,,$AE671), INDEX($AO$72:$AU$76,,$AD671), 1 / ($AV$72:$AV$76*BK671 + (1-$AV$72:$AV$76)*BG671), N($AK$72:$AK$76&gt;$AI671)),
SUMPRODUCT(INDEX($AL$67:$AN$76,,$AE671), INDEX($AO$67:$AU$76,,$AD671), 1 / ($AW$67:$AW$76*BK671 + (1-$AW$67:$AW$76)*BG671), N($AK$67:$AK$76&gt;$AI671))
) / 1000</f>
        <v>0</v>
      </c>
      <c r="BM671" s="250">
        <f t="shared" si="669"/>
        <v>25</v>
      </c>
      <c r="BN671" s="237">
        <f t="shared" si="647"/>
        <v>39.516666666666666</v>
      </c>
      <c r="BO671" s="253">
        <f t="shared" si="648"/>
        <v>3.877011788826243</v>
      </c>
      <c r="BP671" s="253" cm="1">
        <f t="array" ref="BP671">$BC671 * IF($AD671&lt;=2,
SUMPRODUCT(INDEX($AL$67:$AN$71,,$AE671), INDEX($AO$67:$AU$71,,$AD671), 1 / ($AV$67:$AV$71*BO671 + (1-$AV$67:$AV$71)*BK671), N($AK$67:$AK$71&gt;$AI671)),
SUMPRODUCT(INDEX($AL$57:$AN$66,,$AE671), INDEX($AO$57:$AU$66,,$AD671), 1 / ($AW$57:$AW$66*BO671 + (1-$AW$57:$AW$66)*BK671), N($AK$57:$AK$66&gt;$AI671))
) / 1000</f>
        <v>0</v>
      </c>
      <c r="BQ671" s="250">
        <f t="shared" si="670"/>
        <v>20</v>
      </c>
      <c r="BR671" s="237">
        <f t="shared" si="649"/>
        <v>33</v>
      </c>
      <c r="BS671" s="253">
        <f t="shared" si="650"/>
        <v>4.8487499999999999</v>
      </c>
      <c r="BT671" s="253" cm="1">
        <f t="array" ref="BT671">$BC671 * IF($AD671&lt;=2,
SUMPRODUCT(INDEX($AL$62:$AN$66,,$AE671), INDEX($AO$62:$AU$66,,$AD671), 1 / ($AV$62:$AV$66*BS671 + (1-$AV$62:$AV$66)*BO671), N($AK$62:$AK$66&gt;$AI671)),
SUMPRODUCT(INDEX($AL$47:$AN$56,,$AE671), INDEX($AO$47:$AU$56,,$AD671), 1 / ($AW$47:$AW$56*BS671 + (1-$AW$47:$AW$56)*BO671), N($AK$47:$AK$56&gt;$AI671))
) / 1000</f>
        <v>0</v>
      </c>
      <c r="BU671" s="253" cm="1">
        <f t="array" ref="BU671">$BC671 * IF($AD671&lt;=2,
SUMPRODUCT(INDEX($AL$23:$AN$61,,$AE671), INDEX($AO$23:$AU$61,,$AD671), 1 / ($AV$23:$AV$61*BS671), N($AK$23:$AK$61&gt;$AI671)),
SUMPRODUCT(INDEX($AL$23:$AN$46,,$AE671), INDEX($AO$23:$AU$46,,$AD671), 1 / ($AW$23:$AW$46*BS671), N($AK$23:$AK$46&gt;$AI671))
) / 1000</f>
        <v>0</v>
      </c>
      <c r="BV671" s="237">
        <f t="shared" si="651"/>
        <v>0</v>
      </c>
      <c r="BW671" s="210"/>
      <c r="BX671" s="237">
        <f t="shared" si="652"/>
        <v>0</v>
      </c>
      <c r="BY671" s="236">
        <v>35</v>
      </c>
      <c r="BZ671" s="237">
        <f t="shared" si="653"/>
        <v>48</v>
      </c>
      <c r="CA671" s="253">
        <f t="shared" si="654"/>
        <v>3.0748170731707316</v>
      </c>
      <c r="CB671" s="253" cm="1">
        <f t="array" ref="CB671">$BC671 * SUMPRODUCT(INDEX($AL$77:$AN$82,,$AE671),INDEX($AO$77:$AU$82,,$AD671), N($AK$77:$AK$82&gt;$AI671)) / CA671 / 1000</f>
        <v>0</v>
      </c>
      <c r="CC671" s="250">
        <f t="shared" si="671"/>
        <v>30</v>
      </c>
      <c r="CD671" s="237">
        <f t="shared" si="655"/>
        <v>43</v>
      </c>
      <c r="CE671" s="253">
        <f t="shared" si="656"/>
        <v>3.5018750000000001</v>
      </c>
      <c r="CF671" s="253" cm="1">
        <f t="array" ref="CF671">$BC671 * IF($AD671&lt;=2,
SUMPRODUCT(INDEX($AL$72:$AN$76,,$AE671), INDEX($AO$72:$AU$76,,$AD671), 1 / ($AV$72:$AV$76*CE671 + (1-$AV$72:$AV$76)*CA671), N($AK$72:$AK$76&gt;$AI671)),
SUMPRODUCT(INDEX($AL$67:$AN$76,,$AE671), INDEX($AO$67:$AU$76,,$AD671), 1 / ($AW$67:$AW$76*CE671 + (1-$AW$67:$AW$76)*CA671), N($AK$67:$AK$76&gt;$AI671))
) / 1000</f>
        <v>0</v>
      </c>
      <c r="CG671" s="250">
        <f t="shared" si="672"/>
        <v>25</v>
      </c>
      <c r="CH671" s="237">
        <f t="shared" si="657"/>
        <v>38</v>
      </c>
      <c r="CI671" s="253">
        <f t="shared" si="658"/>
        <v>4.0666935483870965</v>
      </c>
      <c r="CJ671" s="253" cm="1">
        <f t="array" ref="CJ671">$BC671 * IF($AD671&lt;=2,
SUMPRODUCT(INDEX($AL$67:$AN$71,,$AE671), INDEX($AO$67:$AU$71,,$AD671), 1 / ($AV$67:$AV$71*CI671 + (1-$AV$67:$AV$71)*CE671), N($AK$67:$AK$71&gt;$AI671)),
SUMPRODUCT(INDEX($AL$57:$AN$66,,$AE671), INDEX($AO$57:$AU$66,,$AD671), 1 / ($AW$57:$AW$66*CI671 + (1-$AW$57:$AW$66)*CE671), N($AK$57:$AK$66&gt;$AI671))
) / 1000</f>
        <v>0</v>
      </c>
      <c r="CK671" s="250">
        <f t="shared" si="673"/>
        <v>20</v>
      </c>
      <c r="CL671" s="237">
        <f t="shared" si="659"/>
        <v>33</v>
      </c>
      <c r="CM671" s="253">
        <f t="shared" si="660"/>
        <v>4.8487499999999999</v>
      </c>
      <c r="CN671" s="253" cm="1">
        <f t="array" ref="CN671">$BC671 * IF($AD671&lt;=2,
SUMPRODUCT(INDEX($AL$62:$AN$66,,$AE671), INDEX($AO$62:$AU$66,,$AD671), 1 / ($AV$62:$AV$66*CM671 + (1-$AV$62:$AV$66)*CI671), N($AK$62:$AK$66&gt;$AI671)),
SUMPRODUCT(INDEX($AL$47:$AN$56,,$AE671), INDEX($AO$47:$AU$56,,$AD671), 1 / ($AW$47:$AW$56*CM671 + (1-$AW$47:$AW$56)*CI671), N($AK$47:$AK$56&gt;$AI671))
) / 1000</f>
        <v>0</v>
      </c>
      <c r="CO671" s="253" cm="1">
        <f t="array" ref="CO671">$BC671 * IF($AD671&lt;=2,
SUMPRODUCT(INDEX($AL$23:$AN$61,,$AE671), INDEX($AO$23:$AU$61,,$AD671), 1 / ($AV$23:$AV$61*CM671), N($AK$23:$AK$61&gt;$AI671)),
SUMPRODUCT(INDEX($AL$23:$AN$46,,$AE671), INDEX($AO$23:$AU$46,,$AD671), 1 / ($AW$23:$AW$46*CM671), N($AK$23:$AK$46&gt;$AI671))
) / 1000</f>
        <v>0</v>
      </c>
      <c r="CP671" s="237">
        <f t="shared" si="661"/>
        <v>0</v>
      </c>
      <c r="CQ671" s="210"/>
    </row>
    <row r="672" spans="1:95" s="76" customFormat="1" ht="14.25" customHeight="1" x14ac:dyDescent="0.2">
      <c r="A672" s="238" t="b">
        <f t="shared" si="665"/>
        <v>0</v>
      </c>
      <c r="B672" s="239">
        <v>650</v>
      </c>
      <c r="C672" s="258"/>
      <c r="D672" s="258"/>
      <c r="E672" s="240"/>
      <c r="F672" s="241" t="str">
        <f>IF(ISBLANK(E672), "", VLOOKUP(E672, Z!$A$2:$C$4127, 3, FALSE))</f>
        <v/>
      </c>
      <c r="G672" s="242"/>
      <c r="H672" s="242"/>
      <c r="I672" s="243"/>
      <c r="J672" s="244"/>
      <c r="K672" s="259"/>
      <c r="L672" s="260"/>
      <c r="M672" s="247" t="str" cm="1">
        <f t="array" ref="M672">IF($K672&gt;0, INDEX(Clean,1+AG672,$C$1), "")</f>
        <v/>
      </c>
      <c r="N672" s="245"/>
      <c r="O672" s="245"/>
      <c r="P672" s="246"/>
      <c r="Q672" s="248">
        <f t="shared" si="638"/>
        <v>0</v>
      </c>
      <c r="R672" s="247" t="str" cm="1">
        <f t="array" ref="R672">IF($K672&gt;0, INDEX(Clean,1+AH672,$C$1), "")</f>
        <v/>
      </c>
      <c r="S672" s="245"/>
      <c r="T672" s="245"/>
      <c r="U672" s="246"/>
      <c r="V672" s="248">
        <f t="shared" si="639"/>
        <v>0</v>
      </c>
      <c r="W672" s="261"/>
      <c r="X672" s="258"/>
      <c r="Y672" s="240"/>
      <c r="Z672" s="241" t="str">
        <f>IF(ISBLANK(Y672), "", VLOOKUP(Y672, Z!$A$2:$C$4127, 3, FALSE))</f>
        <v/>
      </c>
      <c r="AA672" s="262"/>
      <c r="AB672" s="249">
        <f t="shared" si="674"/>
        <v>0</v>
      </c>
      <c r="AC672" s="210"/>
      <c r="AD672" s="236">
        <f t="shared" si="662"/>
        <v>1</v>
      </c>
      <c r="AE672" s="236">
        <f t="shared" si="663"/>
        <v>1</v>
      </c>
      <c r="AF672" s="236">
        <f t="shared" si="664"/>
        <v>0</v>
      </c>
      <c r="AG672" s="236">
        <v>1</v>
      </c>
      <c r="AH672" s="236">
        <v>0</v>
      </c>
      <c r="AI672" s="236">
        <f t="shared" si="640"/>
        <v>-100</v>
      </c>
      <c r="AJ672" s="210"/>
      <c r="AK672" s="254"/>
      <c r="AL672" s="254"/>
      <c r="AM672" s="255"/>
      <c r="AN672" s="255"/>
      <c r="AO672" s="255"/>
      <c r="AP672" s="255"/>
      <c r="AQ672" s="255"/>
      <c r="AR672" s="255"/>
      <c r="AS672" s="255"/>
      <c r="AT672" s="255"/>
      <c r="AU672" s="255"/>
      <c r="AV672" s="255"/>
      <c r="AW672" s="255"/>
      <c r="AX672" s="210"/>
      <c r="AY672" s="236" cm="1">
        <f t="array" ref="AY672">INDEX(Use, $AD672, 4)</f>
        <v>7</v>
      </c>
      <c r="AZ672" s="236">
        <f t="shared" si="641"/>
        <v>32</v>
      </c>
      <c r="BA672" s="236">
        <f t="shared" si="666"/>
        <v>13</v>
      </c>
      <c r="BB672" s="236">
        <f t="shared" si="667"/>
        <v>0</v>
      </c>
      <c r="BC672" s="252" cm="1">
        <f t="array" ref="BC672">K672/IF($L672&gt;0, INDEX($AO$23:$AU$77, $L672+20, $AD672), 1)</f>
        <v>0</v>
      </c>
      <c r="BD672" s="237">
        <f t="shared" si="642"/>
        <v>0</v>
      </c>
      <c r="BE672" s="236">
        <v>35</v>
      </c>
      <c r="BF672" s="237">
        <f t="shared" si="643"/>
        <v>52.55</v>
      </c>
      <c r="BG672" s="253">
        <f t="shared" si="644"/>
        <v>2.7676728869374316</v>
      </c>
      <c r="BH672" s="253" cm="1">
        <f t="array" ref="BH672">$BC672 * SUMPRODUCT(INDEX($AL$77:$AN$82,,$AE672),INDEX($AO$77:$AU$82,,$AD672), N($AK$77:$AK$82&gt;$AI672)) / BG672 / 1000</f>
        <v>0</v>
      </c>
      <c r="BI672" s="250">
        <f t="shared" si="668"/>
        <v>30</v>
      </c>
      <c r="BJ672" s="237">
        <f t="shared" si="645"/>
        <v>46.033333333333331</v>
      </c>
      <c r="BK672" s="253">
        <f t="shared" si="646"/>
        <v>3.2297395388556791</v>
      </c>
      <c r="BL672" s="253" cm="1">
        <f t="array" ref="BL672">$BC672 * IF($AD672&lt;=2,
SUMPRODUCT(INDEX($AL$72:$AN$76,,$AE672), INDEX($AO$72:$AU$76,,$AD672), 1 / ($AV$72:$AV$76*BK672 + (1-$AV$72:$AV$76)*BG672), N($AK$72:$AK$76&gt;$AI672)),
SUMPRODUCT(INDEX($AL$67:$AN$76,,$AE672), INDEX($AO$67:$AU$76,,$AD672), 1 / ($AW$67:$AW$76*BK672 + (1-$AW$67:$AW$76)*BG672), N($AK$67:$AK$76&gt;$AI672))
) / 1000</f>
        <v>0</v>
      </c>
      <c r="BM672" s="250">
        <f t="shared" si="669"/>
        <v>25</v>
      </c>
      <c r="BN672" s="237">
        <f t="shared" si="647"/>
        <v>39.516666666666666</v>
      </c>
      <c r="BO672" s="253">
        <f t="shared" si="648"/>
        <v>3.877011788826243</v>
      </c>
      <c r="BP672" s="253" cm="1">
        <f t="array" ref="BP672">$BC672 * IF($AD672&lt;=2,
SUMPRODUCT(INDEX($AL$67:$AN$71,,$AE672), INDEX($AO$67:$AU$71,,$AD672), 1 / ($AV$67:$AV$71*BO672 + (1-$AV$67:$AV$71)*BK672), N($AK$67:$AK$71&gt;$AI672)),
SUMPRODUCT(INDEX($AL$57:$AN$66,,$AE672), INDEX($AO$57:$AU$66,,$AD672), 1 / ($AW$57:$AW$66*BO672 + (1-$AW$57:$AW$66)*BK672), N($AK$57:$AK$66&gt;$AI672))
) / 1000</f>
        <v>0</v>
      </c>
      <c r="BQ672" s="250">
        <f t="shared" si="670"/>
        <v>20</v>
      </c>
      <c r="BR672" s="237">
        <f t="shared" si="649"/>
        <v>33</v>
      </c>
      <c r="BS672" s="253">
        <f t="shared" si="650"/>
        <v>4.8487499999999999</v>
      </c>
      <c r="BT672" s="253" cm="1">
        <f t="array" ref="BT672">$BC672 * IF($AD672&lt;=2,
SUMPRODUCT(INDEX($AL$62:$AN$66,,$AE672), INDEX($AO$62:$AU$66,,$AD672), 1 / ($AV$62:$AV$66*BS672 + (1-$AV$62:$AV$66)*BO672), N($AK$62:$AK$66&gt;$AI672)),
SUMPRODUCT(INDEX($AL$47:$AN$56,,$AE672), INDEX($AO$47:$AU$56,,$AD672), 1 / ($AW$47:$AW$56*BS672 + (1-$AW$47:$AW$56)*BO672), N($AK$47:$AK$56&gt;$AI672))
) / 1000</f>
        <v>0</v>
      </c>
      <c r="BU672" s="253" cm="1">
        <f t="array" ref="BU672">$BC672 * IF($AD672&lt;=2,
SUMPRODUCT(INDEX($AL$23:$AN$61,,$AE672), INDEX($AO$23:$AU$61,,$AD672), 1 / ($AV$23:$AV$61*BS672), N($AK$23:$AK$61&gt;$AI672)),
SUMPRODUCT(INDEX($AL$23:$AN$46,,$AE672), INDEX($AO$23:$AU$46,,$AD672), 1 / ($AW$23:$AW$46*BS672), N($AK$23:$AK$46&gt;$AI672))
) / 1000</f>
        <v>0</v>
      </c>
      <c r="BV672" s="237">
        <f t="shared" si="651"/>
        <v>0</v>
      </c>
      <c r="BW672" s="210"/>
      <c r="BX672" s="237">
        <f t="shared" si="652"/>
        <v>0</v>
      </c>
      <c r="BY672" s="236">
        <v>35</v>
      </c>
      <c r="BZ672" s="237">
        <f t="shared" si="653"/>
        <v>48</v>
      </c>
      <c r="CA672" s="253">
        <f t="shared" si="654"/>
        <v>3.0748170731707316</v>
      </c>
      <c r="CB672" s="253" cm="1">
        <f t="array" ref="CB672">$BC672 * SUMPRODUCT(INDEX($AL$77:$AN$82,,$AE672),INDEX($AO$77:$AU$82,,$AD672), N($AK$77:$AK$82&gt;$AI672)) / CA672 / 1000</f>
        <v>0</v>
      </c>
      <c r="CC672" s="250">
        <f t="shared" si="671"/>
        <v>30</v>
      </c>
      <c r="CD672" s="237">
        <f t="shared" si="655"/>
        <v>43</v>
      </c>
      <c r="CE672" s="253">
        <f t="shared" si="656"/>
        <v>3.5018750000000001</v>
      </c>
      <c r="CF672" s="253" cm="1">
        <f t="array" ref="CF672">$BC672 * IF($AD672&lt;=2,
SUMPRODUCT(INDEX($AL$72:$AN$76,,$AE672), INDEX($AO$72:$AU$76,,$AD672), 1 / ($AV$72:$AV$76*CE672 + (1-$AV$72:$AV$76)*CA672), N($AK$72:$AK$76&gt;$AI672)),
SUMPRODUCT(INDEX($AL$67:$AN$76,,$AE672), INDEX($AO$67:$AU$76,,$AD672), 1 / ($AW$67:$AW$76*CE672 + (1-$AW$67:$AW$76)*CA672), N($AK$67:$AK$76&gt;$AI672))
) / 1000</f>
        <v>0</v>
      </c>
      <c r="CG672" s="250">
        <f t="shared" si="672"/>
        <v>25</v>
      </c>
      <c r="CH672" s="237">
        <f t="shared" si="657"/>
        <v>38</v>
      </c>
      <c r="CI672" s="253">
        <f t="shared" si="658"/>
        <v>4.0666935483870965</v>
      </c>
      <c r="CJ672" s="253" cm="1">
        <f t="array" ref="CJ672">$BC672 * IF($AD672&lt;=2,
SUMPRODUCT(INDEX($AL$67:$AN$71,,$AE672), INDEX($AO$67:$AU$71,,$AD672), 1 / ($AV$67:$AV$71*CI672 + (1-$AV$67:$AV$71)*CE672), N($AK$67:$AK$71&gt;$AI672)),
SUMPRODUCT(INDEX($AL$57:$AN$66,,$AE672), INDEX($AO$57:$AU$66,,$AD672), 1 / ($AW$57:$AW$66*CI672 + (1-$AW$57:$AW$66)*CE672), N($AK$57:$AK$66&gt;$AI672))
) / 1000</f>
        <v>0</v>
      </c>
      <c r="CK672" s="250">
        <f t="shared" si="673"/>
        <v>20</v>
      </c>
      <c r="CL672" s="237">
        <f t="shared" si="659"/>
        <v>33</v>
      </c>
      <c r="CM672" s="253">
        <f t="shared" si="660"/>
        <v>4.8487499999999999</v>
      </c>
      <c r="CN672" s="253" cm="1">
        <f t="array" ref="CN672">$BC672 * IF($AD672&lt;=2,
SUMPRODUCT(INDEX($AL$62:$AN$66,,$AE672), INDEX($AO$62:$AU$66,,$AD672), 1 / ($AV$62:$AV$66*CM672 + (1-$AV$62:$AV$66)*CI672), N($AK$62:$AK$66&gt;$AI672)),
SUMPRODUCT(INDEX($AL$47:$AN$56,,$AE672), INDEX($AO$47:$AU$56,,$AD672), 1 / ($AW$47:$AW$56*CM672 + (1-$AW$47:$AW$56)*CI672), N($AK$47:$AK$56&gt;$AI672))
) / 1000</f>
        <v>0</v>
      </c>
      <c r="CO672" s="253" cm="1">
        <f t="array" ref="CO672">$BC672 * IF($AD672&lt;=2,
SUMPRODUCT(INDEX($AL$23:$AN$61,,$AE672), INDEX($AO$23:$AU$61,,$AD672), 1 / ($AV$23:$AV$61*CM672), N($AK$23:$AK$61&gt;$AI672)),
SUMPRODUCT(INDEX($AL$23:$AN$46,,$AE672), INDEX($AO$23:$AU$46,,$AD672), 1 / ($AW$23:$AW$46*CM672), N($AK$23:$AK$46&gt;$AI672))
) / 1000</f>
        <v>0</v>
      </c>
      <c r="CP672" s="237">
        <f t="shared" si="661"/>
        <v>0</v>
      </c>
      <c r="CQ672" s="210"/>
    </row>
    <row r="673" spans="1:95" s="76" customFormat="1" ht="14.25" customHeight="1" x14ac:dyDescent="0.2">
      <c r="A673" s="238" t="b">
        <f t="shared" si="665"/>
        <v>0</v>
      </c>
      <c r="B673" s="239">
        <v>651</v>
      </c>
      <c r="C673" s="258"/>
      <c r="D673" s="258"/>
      <c r="E673" s="240"/>
      <c r="F673" s="241" t="str">
        <f>IF(ISBLANK(E673), "", VLOOKUP(E673, Z!$A$2:$C$4127, 3, FALSE))</f>
        <v/>
      </c>
      <c r="G673" s="242"/>
      <c r="H673" s="242"/>
      <c r="I673" s="243"/>
      <c r="J673" s="244"/>
      <c r="K673" s="259"/>
      <c r="L673" s="260"/>
      <c r="M673" s="247" t="str" cm="1">
        <f t="array" ref="M673">IF($K673&gt;0, INDEX(Clean,1+AG673,$C$1), "")</f>
        <v/>
      </c>
      <c r="N673" s="245"/>
      <c r="O673" s="245"/>
      <c r="P673" s="246"/>
      <c r="Q673" s="248">
        <f t="shared" si="638"/>
        <v>0</v>
      </c>
      <c r="R673" s="247" t="str" cm="1">
        <f t="array" ref="R673">IF($K673&gt;0, INDEX(Clean,1+AH673,$C$1), "")</f>
        <v/>
      </c>
      <c r="S673" s="245"/>
      <c r="T673" s="245"/>
      <c r="U673" s="246"/>
      <c r="V673" s="248">
        <f t="shared" si="639"/>
        <v>0</v>
      </c>
      <c r="W673" s="261"/>
      <c r="X673" s="258"/>
      <c r="Y673" s="240"/>
      <c r="Z673" s="241" t="str">
        <f>IF(ISBLANK(Y673), "", VLOOKUP(Y673, Z!$A$2:$C$4127, 3, FALSE))</f>
        <v/>
      </c>
      <c r="AA673" s="262"/>
      <c r="AB673" s="249">
        <f t="shared" si="674"/>
        <v>0</v>
      </c>
      <c r="AC673" s="210"/>
      <c r="AD673" s="236">
        <f t="shared" si="662"/>
        <v>1</v>
      </c>
      <c r="AE673" s="236">
        <f t="shared" si="663"/>
        <v>1</v>
      </c>
      <c r="AF673" s="236">
        <f t="shared" si="664"/>
        <v>0</v>
      </c>
      <c r="AG673" s="236">
        <v>1</v>
      </c>
      <c r="AH673" s="236">
        <v>0</v>
      </c>
      <c r="AI673" s="236">
        <f t="shared" si="640"/>
        <v>-100</v>
      </c>
      <c r="AJ673" s="210"/>
      <c r="AK673" s="254"/>
      <c r="AL673" s="254"/>
      <c r="AM673" s="255"/>
      <c r="AN673" s="255"/>
      <c r="AO673" s="255"/>
      <c r="AP673" s="255"/>
      <c r="AQ673" s="255"/>
      <c r="AR673" s="255"/>
      <c r="AS673" s="255"/>
      <c r="AT673" s="255"/>
      <c r="AU673" s="255"/>
      <c r="AV673" s="255"/>
      <c r="AW673" s="255"/>
      <c r="AX673" s="210"/>
      <c r="AY673" s="236" cm="1">
        <f t="array" ref="AY673">INDEX(Use, $AD673, 4)</f>
        <v>7</v>
      </c>
      <c r="AZ673" s="236">
        <f t="shared" si="641"/>
        <v>32</v>
      </c>
      <c r="BA673" s="236">
        <f t="shared" si="666"/>
        <v>13</v>
      </c>
      <c r="BB673" s="236">
        <f t="shared" si="667"/>
        <v>0</v>
      </c>
      <c r="BC673" s="252" cm="1">
        <f t="array" ref="BC673">K673/IF($L673&gt;0, INDEX($AO$23:$AU$77, $L673+20, $AD673), 1)</f>
        <v>0</v>
      </c>
      <c r="BD673" s="237">
        <f t="shared" si="642"/>
        <v>0</v>
      </c>
      <c r="BE673" s="236">
        <v>35</v>
      </c>
      <c r="BF673" s="237">
        <f t="shared" si="643"/>
        <v>52.55</v>
      </c>
      <c r="BG673" s="253">
        <f t="shared" si="644"/>
        <v>2.7676728869374316</v>
      </c>
      <c r="BH673" s="253" cm="1">
        <f t="array" ref="BH673">$BC673 * SUMPRODUCT(INDEX($AL$77:$AN$82,,$AE673),INDEX($AO$77:$AU$82,,$AD673), N($AK$77:$AK$82&gt;$AI673)) / BG673 / 1000</f>
        <v>0</v>
      </c>
      <c r="BI673" s="250">
        <f t="shared" si="668"/>
        <v>30</v>
      </c>
      <c r="BJ673" s="237">
        <f t="shared" si="645"/>
        <v>46.033333333333331</v>
      </c>
      <c r="BK673" s="253">
        <f t="shared" si="646"/>
        <v>3.2297395388556791</v>
      </c>
      <c r="BL673" s="253" cm="1">
        <f t="array" ref="BL673">$BC673 * IF($AD673&lt;=2,
SUMPRODUCT(INDEX($AL$72:$AN$76,,$AE673), INDEX($AO$72:$AU$76,,$AD673), 1 / ($AV$72:$AV$76*BK673 + (1-$AV$72:$AV$76)*BG673), N($AK$72:$AK$76&gt;$AI673)),
SUMPRODUCT(INDEX($AL$67:$AN$76,,$AE673), INDEX($AO$67:$AU$76,,$AD673), 1 / ($AW$67:$AW$76*BK673 + (1-$AW$67:$AW$76)*BG673), N($AK$67:$AK$76&gt;$AI673))
) / 1000</f>
        <v>0</v>
      </c>
      <c r="BM673" s="250">
        <f t="shared" si="669"/>
        <v>25</v>
      </c>
      <c r="BN673" s="237">
        <f t="shared" si="647"/>
        <v>39.516666666666666</v>
      </c>
      <c r="BO673" s="253">
        <f t="shared" si="648"/>
        <v>3.877011788826243</v>
      </c>
      <c r="BP673" s="253" cm="1">
        <f t="array" ref="BP673">$BC673 * IF($AD673&lt;=2,
SUMPRODUCT(INDEX($AL$67:$AN$71,,$AE673), INDEX($AO$67:$AU$71,,$AD673), 1 / ($AV$67:$AV$71*BO673 + (1-$AV$67:$AV$71)*BK673), N($AK$67:$AK$71&gt;$AI673)),
SUMPRODUCT(INDEX($AL$57:$AN$66,,$AE673), INDEX($AO$57:$AU$66,,$AD673), 1 / ($AW$57:$AW$66*BO673 + (1-$AW$57:$AW$66)*BK673), N($AK$57:$AK$66&gt;$AI673))
) / 1000</f>
        <v>0</v>
      </c>
      <c r="BQ673" s="250">
        <f t="shared" si="670"/>
        <v>20</v>
      </c>
      <c r="BR673" s="237">
        <f t="shared" si="649"/>
        <v>33</v>
      </c>
      <c r="BS673" s="253">
        <f t="shared" si="650"/>
        <v>4.8487499999999999</v>
      </c>
      <c r="BT673" s="253" cm="1">
        <f t="array" ref="BT673">$BC673 * IF($AD673&lt;=2,
SUMPRODUCT(INDEX($AL$62:$AN$66,,$AE673), INDEX($AO$62:$AU$66,,$AD673), 1 / ($AV$62:$AV$66*BS673 + (1-$AV$62:$AV$66)*BO673), N($AK$62:$AK$66&gt;$AI673)),
SUMPRODUCT(INDEX($AL$47:$AN$56,,$AE673), INDEX($AO$47:$AU$56,,$AD673), 1 / ($AW$47:$AW$56*BS673 + (1-$AW$47:$AW$56)*BO673), N($AK$47:$AK$56&gt;$AI673))
) / 1000</f>
        <v>0</v>
      </c>
      <c r="BU673" s="253" cm="1">
        <f t="array" ref="BU673">$BC673 * IF($AD673&lt;=2,
SUMPRODUCT(INDEX($AL$23:$AN$61,,$AE673), INDEX($AO$23:$AU$61,,$AD673), 1 / ($AV$23:$AV$61*BS673), N($AK$23:$AK$61&gt;$AI673)),
SUMPRODUCT(INDEX($AL$23:$AN$46,,$AE673), INDEX($AO$23:$AU$46,,$AD673), 1 / ($AW$23:$AW$46*BS673), N($AK$23:$AK$46&gt;$AI673))
) / 1000</f>
        <v>0</v>
      </c>
      <c r="BV673" s="237">
        <f t="shared" si="651"/>
        <v>0</v>
      </c>
      <c r="BW673" s="210"/>
      <c r="BX673" s="237">
        <f t="shared" si="652"/>
        <v>0</v>
      </c>
      <c r="BY673" s="236">
        <v>35</v>
      </c>
      <c r="BZ673" s="237">
        <f t="shared" si="653"/>
        <v>48</v>
      </c>
      <c r="CA673" s="253">
        <f t="shared" si="654"/>
        <v>3.0748170731707316</v>
      </c>
      <c r="CB673" s="253" cm="1">
        <f t="array" ref="CB673">$BC673 * SUMPRODUCT(INDEX($AL$77:$AN$82,,$AE673),INDEX($AO$77:$AU$82,,$AD673), N($AK$77:$AK$82&gt;$AI673)) / CA673 / 1000</f>
        <v>0</v>
      </c>
      <c r="CC673" s="250">
        <f t="shared" si="671"/>
        <v>30</v>
      </c>
      <c r="CD673" s="237">
        <f t="shared" si="655"/>
        <v>43</v>
      </c>
      <c r="CE673" s="253">
        <f t="shared" si="656"/>
        <v>3.5018750000000001</v>
      </c>
      <c r="CF673" s="253" cm="1">
        <f t="array" ref="CF673">$BC673 * IF($AD673&lt;=2,
SUMPRODUCT(INDEX($AL$72:$AN$76,,$AE673), INDEX($AO$72:$AU$76,,$AD673), 1 / ($AV$72:$AV$76*CE673 + (1-$AV$72:$AV$76)*CA673), N($AK$72:$AK$76&gt;$AI673)),
SUMPRODUCT(INDEX($AL$67:$AN$76,,$AE673), INDEX($AO$67:$AU$76,,$AD673), 1 / ($AW$67:$AW$76*CE673 + (1-$AW$67:$AW$76)*CA673), N($AK$67:$AK$76&gt;$AI673))
) / 1000</f>
        <v>0</v>
      </c>
      <c r="CG673" s="250">
        <f t="shared" si="672"/>
        <v>25</v>
      </c>
      <c r="CH673" s="237">
        <f t="shared" si="657"/>
        <v>38</v>
      </c>
      <c r="CI673" s="253">
        <f t="shared" si="658"/>
        <v>4.0666935483870965</v>
      </c>
      <c r="CJ673" s="253" cm="1">
        <f t="array" ref="CJ673">$BC673 * IF($AD673&lt;=2,
SUMPRODUCT(INDEX($AL$67:$AN$71,,$AE673), INDEX($AO$67:$AU$71,,$AD673), 1 / ($AV$67:$AV$71*CI673 + (1-$AV$67:$AV$71)*CE673), N($AK$67:$AK$71&gt;$AI673)),
SUMPRODUCT(INDEX($AL$57:$AN$66,,$AE673), INDEX($AO$57:$AU$66,,$AD673), 1 / ($AW$57:$AW$66*CI673 + (1-$AW$57:$AW$66)*CE673), N($AK$57:$AK$66&gt;$AI673))
) / 1000</f>
        <v>0</v>
      </c>
      <c r="CK673" s="250">
        <f t="shared" si="673"/>
        <v>20</v>
      </c>
      <c r="CL673" s="237">
        <f t="shared" si="659"/>
        <v>33</v>
      </c>
      <c r="CM673" s="253">
        <f t="shared" si="660"/>
        <v>4.8487499999999999</v>
      </c>
      <c r="CN673" s="253" cm="1">
        <f t="array" ref="CN673">$BC673 * IF($AD673&lt;=2,
SUMPRODUCT(INDEX($AL$62:$AN$66,,$AE673), INDEX($AO$62:$AU$66,,$AD673), 1 / ($AV$62:$AV$66*CM673 + (1-$AV$62:$AV$66)*CI673), N($AK$62:$AK$66&gt;$AI673)),
SUMPRODUCT(INDEX($AL$47:$AN$56,,$AE673), INDEX($AO$47:$AU$56,,$AD673), 1 / ($AW$47:$AW$56*CM673 + (1-$AW$47:$AW$56)*CI673), N($AK$47:$AK$56&gt;$AI673))
) / 1000</f>
        <v>0</v>
      </c>
      <c r="CO673" s="253" cm="1">
        <f t="array" ref="CO673">$BC673 * IF($AD673&lt;=2,
SUMPRODUCT(INDEX($AL$23:$AN$61,,$AE673), INDEX($AO$23:$AU$61,,$AD673), 1 / ($AV$23:$AV$61*CM673), N($AK$23:$AK$61&gt;$AI673)),
SUMPRODUCT(INDEX($AL$23:$AN$46,,$AE673), INDEX($AO$23:$AU$46,,$AD673), 1 / ($AW$23:$AW$46*CM673), N($AK$23:$AK$46&gt;$AI673))
) / 1000</f>
        <v>0</v>
      </c>
      <c r="CP673" s="237">
        <f t="shared" si="661"/>
        <v>0</v>
      </c>
      <c r="CQ673" s="210"/>
    </row>
    <row r="674" spans="1:95" s="76" customFormat="1" ht="14.25" customHeight="1" x14ac:dyDescent="0.2">
      <c r="A674" s="238" t="b">
        <f t="shared" si="665"/>
        <v>0</v>
      </c>
      <c r="B674" s="239">
        <v>652</v>
      </c>
      <c r="C674" s="258"/>
      <c r="D674" s="258"/>
      <c r="E674" s="240"/>
      <c r="F674" s="241" t="str">
        <f>IF(ISBLANK(E674), "", VLOOKUP(E674, Z!$A$2:$C$4127, 3, FALSE))</f>
        <v/>
      </c>
      <c r="G674" s="242"/>
      <c r="H674" s="242"/>
      <c r="I674" s="243"/>
      <c r="J674" s="244"/>
      <c r="K674" s="259"/>
      <c r="L674" s="260"/>
      <c r="M674" s="247" t="str" cm="1">
        <f t="array" ref="M674">IF($K674&gt;0, INDEX(Clean,1+AG674,$C$1), "")</f>
        <v/>
      </c>
      <c r="N674" s="245"/>
      <c r="O674" s="245"/>
      <c r="P674" s="246"/>
      <c r="Q674" s="248">
        <f t="shared" si="638"/>
        <v>0</v>
      </c>
      <c r="R674" s="247" t="str" cm="1">
        <f t="array" ref="R674">IF($K674&gt;0, INDEX(Clean,1+AH674,$C$1), "")</f>
        <v/>
      </c>
      <c r="S674" s="245"/>
      <c r="T674" s="245"/>
      <c r="U674" s="246"/>
      <c r="V674" s="248">
        <f t="shared" si="639"/>
        <v>0</v>
      </c>
      <c r="W674" s="261"/>
      <c r="X674" s="258"/>
      <c r="Y674" s="240"/>
      <c r="Z674" s="241" t="str">
        <f>IF(ISBLANK(Y674), "", VLOOKUP(Y674, Z!$A$2:$C$4127, 3, FALSE))</f>
        <v/>
      </c>
      <c r="AA674" s="262"/>
      <c r="AB674" s="249">
        <f t="shared" si="674"/>
        <v>0</v>
      </c>
      <c r="AC674" s="210"/>
      <c r="AD674" s="236">
        <f t="shared" si="662"/>
        <v>1</v>
      </c>
      <c r="AE674" s="236">
        <f t="shared" si="663"/>
        <v>1</v>
      </c>
      <c r="AF674" s="236">
        <f t="shared" si="664"/>
        <v>0</v>
      </c>
      <c r="AG674" s="236">
        <v>1</v>
      </c>
      <c r="AH674" s="236">
        <v>0</v>
      </c>
      <c r="AI674" s="236">
        <f t="shared" si="640"/>
        <v>-100</v>
      </c>
      <c r="AJ674" s="210"/>
      <c r="AK674" s="254"/>
      <c r="AL674" s="254"/>
      <c r="AM674" s="255"/>
      <c r="AN674" s="255"/>
      <c r="AO674" s="255"/>
      <c r="AP674" s="255"/>
      <c r="AQ674" s="255"/>
      <c r="AR674" s="255"/>
      <c r="AS674" s="255"/>
      <c r="AT674" s="255"/>
      <c r="AU674" s="255"/>
      <c r="AV674" s="255"/>
      <c r="AW674" s="255"/>
      <c r="AX674" s="210"/>
      <c r="AY674" s="236" cm="1">
        <f t="array" ref="AY674">INDEX(Use, $AD674, 4)</f>
        <v>7</v>
      </c>
      <c r="AZ674" s="236">
        <f t="shared" si="641"/>
        <v>32</v>
      </c>
      <c r="BA674" s="236">
        <f t="shared" si="666"/>
        <v>13</v>
      </c>
      <c r="BB674" s="236">
        <f t="shared" si="667"/>
        <v>0</v>
      </c>
      <c r="BC674" s="252" cm="1">
        <f t="array" ref="BC674">K674/IF($L674&gt;0, INDEX($AO$23:$AU$77, $L674+20, $AD674), 1)</f>
        <v>0</v>
      </c>
      <c r="BD674" s="237">
        <f t="shared" si="642"/>
        <v>0</v>
      </c>
      <c r="BE674" s="236">
        <v>35</v>
      </c>
      <c r="BF674" s="237">
        <f t="shared" si="643"/>
        <v>52.55</v>
      </c>
      <c r="BG674" s="253">
        <f t="shared" si="644"/>
        <v>2.7676728869374316</v>
      </c>
      <c r="BH674" s="253" cm="1">
        <f t="array" ref="BH674">$BC674 * SUMPRODUCT(INDEX($AL$77:$AN$82,,$AE674),INDEX($AO$77:$AU$82,,$AD674), N($AK$77:$AK$82&gt;$AI674)) / BG674 / 1000</f>
        <v>0</v>
      </c>
      <c r="BI674" s="250">
        <f t="shared" si="668"/>
        <v>30</v>
      </c>
      <c r="BJ674" s="237">
        <f t="shared" si="645"/>
        <v>46.033333333333331</v>
      </c>
      <c r="BK674" s="253">
        <f t="shared" si="646"/>
        <v>3.2297395388556791</v>
      </c>
      <c r="BL674" s="253" cm="1">
        <f t="array" ref="BL674">$BC674 * IF($AD674&lt;=2,
SUMPRODUCT(INDEX($AL$72:$AN$76,,$AE674), INDEX($AO$72:$AU$76,,$AD674), 1 / ($AV$72:$AV$76*BK674 + (1-$AV$72:$AV$76)*BG674), N($AK$72:$AK$76&gt;$AI674)),
SUMPRODUCT(INDEX($AL$67:$AN$76,,$AE674), INDEX($AO$67:$AU$76,,$AD674), 1 / ($AW$67:$AW$76*BK674 + (1-$AW$67:$AW$76)*BG674), N($AK$67:$AK$76&gt;$AI674))
) / 1000</f>
        <v>0</v>
      </c>
      <c r="BM674" s="250">
        <f t="shared" si="669"/>
        <v>25</v>
      </c>
      <c r="BN674" s="237">
        <f t="shared" si="647"/>
        <v>39.516666666666666</v>
      </c>
      <c r="BO674" s="253">
        <f t="shared" si="648"/>
        <v>3.877011788826243</v>
      </c>
      <c r="BP674" s="253" cm="1">
        <f t="array" ref="BP674">$BC674 * IF($AD674&lt;=2,
SUMPRODUCT(INDEX($AL$67:$AN$71,,$AE674), INDEX($AO$67:$AU$71,,$AD674), 1 / ($AV$67:$AV$71*BO674 + (1-$AV$67:$AV$71)*BK674), N($AK$67:$AK$71&gt;$AI674)),
SUMPRODUCT(INDEX($AL$57:$AN$66,,$AE674), INDEX($AO$57:$AU$66,,$AD674), 1 / ($AW$57:$AW$66*BO674 + (1-$AW$57:$AW$66)*BK674), N($AK$57:$AK$66&gt;$AI674))
) / 1000</f>
        <v>0</v>
      </c>
      <c r="BQ674" s="250">
        <f t="shared" si="670"/>
        <v>20</v>
      </c>
      <c r="BR674" s="237">
        <f t="shared" si="649"/>
        <v>33</v>
      </c>
      <c r="BS674" s="253">
        <f t="shared" si="650"/>
        <v>4.8487499999999999</v>
      </c>
      <c r="BT674" s="253" cm="1">
        <f t="array" ref="BT674">$BC674 * IF($AD674&lt;=2,
SUMPRODUCT(INDEX($AL$62:$AN$66,,$AE674), INDEX($AO$62:$AU$66,,$AD674), 1 / ($AV$62:$AV$66*BS674 + (1-$AV$62:$AV$66)*BO674), N($AK$62:$AK$66&gt;$AI674)),
SUMPRODUCT(INDEX($AL$47:$AN$56,,$AE674), INDEX($AO$47:$AU$56,,$AD674), 1 / ($AW$47:$AW$56*BS674 + (1-$AW$47:$AW$56)*BO674), N($AK$47:$AK$56&gt;$AI674))
) / 1000</f>
        <v>0</v>
      </c>
      <c r="BU674" s="253" cm="1">
        <f t="array" ref="BU674">$BC674 * IF($AD674&lt;=2,
SUMPRODUCT(INDEX($AL$23:$AN$61,,$AE674), INDEX($AO$23:$AU$61,,$AD674), 1 / ($AV$23:$AV$61*BS674), N($AK$23:$AK$61&gt;$AI674)),
SUMPRODUCT(INDEX($AL$23:$AN$46,,$AE674), INDEX($AO$23:$AU$46,,$AD674), 1 / ($AW$23:$AW$46*BS674), N($AK$23:$AK$46&gt;$AI674))
) / 1000</f>
        <v>0</v>
      </c>
      <c r="BV674" s="237">
        <f t="shared" si="651"/>
        <v>0</v>
      </c>
      <c r="BW674" s="210"/>
      <c r="BX674" s="237">
        <f t="shared" si="652"/>
        <v>0</v>
      </c>
      <c r="BY674" s="236">
        <v>35</v>
      </c>
      <c r="BZ674" s="237">
        <f t="shared" si="653"/>
        <v>48</v>
      </c>
      <c r="CA674" s="253">
        <f t="shared" si="654"/>
        <v>3.0748170731707316</v>
      </c>
      <c r="CB674" s="253" cm="1">
        <f t="array" ref="CB674">$BC674 * SUMPRODUCT(INDEX($AL$77:$AN$82,,$AE674),INDEX($AO$77:$AU$82,,$AD674), N($AK$77:$AK$82&gt;$AI674)) / CA674 / 1000</f>
        <v>0</v>
      </c>
      <c r="CC674" s="250">
        <f t="shared" si="671"/>
        <v>30</v>
      </c>
      <c r="CD674" s="237">
        <f t="shared" si="655"/>
        <v>43</v>
      </c>
      <c r="CE674" s="253">
        <f t="shared" si="656"/>
        <v>3.5018750000000001</v>
      </c>
      <c r="CF674" s="253" cm="1">
        <f t="array" ref="CF674">$BC674 * IF($AD674&lt;=2,
SUMPRODUCT(INDEX($AL$72:$AN$76,,$AE674), INDEX($AO$72:$AU$76,,$AD674), 1 / ($AV$72:$AV$76*CE674 + (1-$AV$72:$AV$76)*CA674), N($AK$72:$AK$76&gt;$AI674)),
SUMPRODUCT(INDEX($AL$67:$AN$76,,$AE674), INDEX($AO$67:$AU$76,,$AD674), 1 / ($AW$67:$AW$76*CE674 + (1-$AW$67:$AW$76)*CA674), N($AK$67:$AK$76&gt;$AI674))
) / 1000</f>
        <v>0</v>
      </c>
      <c r="CG674" s="250">
        <f t="shared" si="672"/>
        <v>25</v>
      </c>
      <c r="CH674" s="237">
        <f t="shared" si="657"/>
        <v>38</v>
      </c>
      <c r="CI674" s="253">
        <f t="shared" si="658"/>
        <v>4.0666935483870965</v>
      </c>
      <c r="CJ674" s="253" cm="1">
        <f t="array" ref="CJ674">$BC674 * IF($AD674&lt;=2,
SUMPRODUCT(INDEX($AL$67:$AN$71,,$AE674), INDEX($AO$67:$AU$71,,$AD674), 1 / ($AV$67:$AV$71*CI674 + (1-$AV$67:$AV$71)*CE674), N($AK$67:$AK$71&gt;$AI674)),
SUMPRODUCT(INDEX($AL$57:$AN$66,,$AE674), INDEX($AO$57:$AU$66,,$AD674), 1 / ($AW$57:$AW$66*CI674 + (1-$AW$57:$AW$66)*CE674), N($AK$57:$AK$66&gt;$AI674))
) / 1000</f>
        <v>0</v>
      </c>
      <c r="CK674" s="250">
        <f t="shared" si="673"/>
        <v>20</v>
      </c>
      <c r="CL674" s="237">
        <f t="shared" si="659"/>
        <v>33</v>
      </c>
      <c r="CM674" s="253">
        <f t="shared" si="660"/>
        <v>4.8487499999999999</v>
      </c>
      <c r="CN674" s="253" cm="1">
        <f t="array" ref="CN674">$BC674 * IF($AD674&lt;=2,
SUMPRODUCT(INDEX($AL$62:$AN$66,,$AE674), INDEX($AO$62:$AU$66,,$AD674), 1 / ($AV$62:$AV$66*CM674 + (1-$AV$62:$AV$66)*CI674), N($AK$62:$AK$66&gt;$AI674)),
SUMPRODUCT(INDEX($AL$47:$AN$56,,$AE674), INDEX($AO$47:$AU$56,,$AD674), 1 / ($AW$47:$AW$56*CM674 + (1-$AW$47:$AW$56)*CI674), N($AK$47:$AK$56&gt;$AI674))
) / 1000</f>
        <v>0</v>
      </c>
      <c r="CO674" s="253" cm="1">
        <f t="array" ref="CO674">$BC674 * IF($AD674&lt;=2,
SUMPRODUCT(INDEX($AL$23:$AN$61,,$AE674), INDEX($AO$23:$AU$61,,$AD674), 1 / ($AV$23:$AV$61*CM674), N($AK$23:$AK$61&gt;$AI674)),
SUMPRODUCT(INDEX($AL$23:$AN$46,,$AE674), INDEX($AO$23:$AU$46,,$AD674), 1 / ($AW$23:$AW$46*CM674), N($AK$23:$AK$46&gt;$AI674))
) / 1000</f>
        <v>0</v>
      </c>
      <c r="CP674" s="237">
        <f t="shared" si="661"/>
        <v>0</v>
      </c>
      <c r="CQ674" s="210"/>
    </row>
    <row r="675" spans="1:95" s="76" customFormat="1" ht="14.25" customHeight="1" x14ac:dyDescent="0.2">
      <c r="A675" s="238" t="b">
        <f t="shared" si="665"/>
        <v>0</v>
      </c>
      <c r="B675" s="239">
        <v>653</v>
      </c>
      <c r="C675" s="258"/>
      <c r="D675" s="258"/>
      <c r="E675" s="240"/>
      <c r="F675" s="241" t="str">
        <f>IF(ISBLANK(E675), "", VLOOKUP(E675, Z!$A$2:$C$4127, 3, FALSE))</f>
        <v/>
      </c>
      <c r="G675" s="242"/>
      <c r="H675" s="242"/>
      <c r="I675" s="243"/>
      <c r="J675" s="244"/>
      <c r="K675" s="259"/>
      <c r="L675" s="260"/>
      <c r="M675" s="247" t="str" cm="1">
        <f t="array" ref="M675">IF($K675&gt;0, INDEX(Clean,1+AG675,$C$1), "")</f>
        <v/>
      </c>
      <c r="N675" s="245"/>
      <c r="O675" s="245"/>
      <c r="P675" s="246"/>
      <c r="Q675" s="248">
        <f t="shared" si="638"/>
        <v>0</v>
      </c>
      <c r="R675" s="247" t="str" cm="1">
        <f t="array" ref="R675">IF($K675&gt;0, INDEX(Clean,1+AH675,$C$1), "")</f>
        <v/>
      </c>
      <c r="S675" s="245"/>
      <c r="T675" s="245"/>
      <c r="U675" s="246"/>
      <c r="V675" s="248">
        <f t="shared" si="639"/>
        <v>0</v>
      </c>
      <c r="W675" s="261"/>
      <c r="X675" s="258"/>
      <c r="Y675" s="240"/>
      <c r="Z675" s="241" t="str">
        <f>IF(ISBLANK(Y675), "", VLOOKUP(Y675, Z!$A$2:$C$4127, 3, FALSE))</f>
        <v/>
      </c>
      <c r="AA675" s="262"/>
      <c r="AB675" s="249">
        <f t="shared" si="674"/>
        <v>0</v>
      </c>
      <c r="AC675" s="210"/>
      <c r="AD675" s="236">
        <f t="shared" si="662"/>
        <v>1</v>
      </c>
      <c r="AE675" s="236">
        <f t="shared" si="663"/>
        <v>1</v>
      </c>
      <c r="AF675" s="236">
        <f t="shared" si="664"/>
        <v>0</v>
      </c>
      <c r="AG675" s="236">
        <v>1</v>
      </c>
      <c r="AH675" s="236">
        <v>0</v>
      </c>
      <c r="AI675" s="236">
        <f t="shared" si="640"/>
        <v>-100</v>
      </c>
      <c r="AJ675" s="210"/>
      <c r="AK675" s="254"/>
      <c r="AL675" s="254"/>
      <c r="AM675" s="255"/>
      <c r="AN675" s="255"/>
      <c r="AO675" s="255"/>
      <c r="AP675" s="255"/>
      <c r="AQ675" s="255"/>
      <c r="AR675" s="255"/>
      <c r="AS675" s="255"/>
      <c r="AT675" s="255"/>
      <c r="AU675" s="255"/>
      <c r="AV675" s="255"/>
      <c r="AW675" s="255"/>
      <c r="AX675" s="210"/>
      <c r="AY675" s="236" cm="1">
        <f t="array" ref="AY675">INDEX(Use, $AD675, 4)</f>
        <v>7</v>
      </c>
      <c r="AZ675" s="236">
        <f t="shared" si="641"/>
        <v>32</v>
      </c>
      <c r="BA675" s="236">
        <f t="shared" si="666"/>
        <v>13</v>
      </c>
      <c r="BB675" s="236">
        <f t="shared" si="667"/>
        <v>0</v>
      </c>
      <c r="BC675" s="252" cm="1">
        <f t="array" ref="BC675">K675/IF($L675&gt;0, INDEX($AO$23:$AU$77, $L675+20, $AD675), 1)</f>
        <v>0</v>
      </c>
      <c r="BD675" s="237">
        <f t="shared" si="642"/>
        <v>0</v>
      </c>
      <c r="BE675" s="236">
        <v>35</v>
      </c>
      <c r="BF675" s="237">
        <f t="shared" si="643"/>
        <v>52.55</v>
      </c>
      <c r="BG675" s="253">
        <f t="shared" si="644"/>
        <v>2.7676728869374316</v>
      </c>
      <c r="BH675" s="253" cm="1">
        <f t="array" ref="BH675">$BC675 * SUMPRODUCT(INDEX($AL$77:$AN$82,,$AE675),INDEX($AO$77:$AU$82,,$AD675), N($AK$77:$AK$82&gt;$AI675)) / BG675 / 1000</f>
        <v>0</v>
      </c>
      <c r="BI675" s="250">
        <f t="shared" si="668"/>
        <v>30</v>
      </c>
      <c r="BJ675" s="237">
        <f t="shared" si="645"/>
        <v>46.033333333333331</v>
      </c>
      <c r="BK675" s="253">
        <f t="shared" si="646"/>
        <v>3.2297395388556791</v>
      </c>
      <c r="BL675" s="253" cm="1">
        <f t="array" ref="BL675">$BC675 * IF($AD675&lt;=2,
SUMPRODUCT(INDEX($AL$72:$AN$76,,$AE675), INDEX($AO$72:$AU$76,,$AD675), 1 / ($AV$72:$AV$76*BK675 + (1-$AV$72:$AV$76)*BG675), N($AK$72:$AK$76&gt;$AI675)),
SUMPRODUCT(INDEX($AL$67:$AN$76,,$AE675), INDEX($AO$67:$AU$76,,$AD675), 1 / ($AW$67:$AW$76*BK675 + (1-$AW$67:$AW$76)*BG675), N($AK$67:$AK$76&gt;$AI675))
) / 1000</f>
        <v>0</v>
      </c>
      <c r="BM675" s="250">
        <f t="shared" si="669"/>
        <v>25</v>
      </c>
      <c r="BN675" s="237">
        <f t="shared" si="647"/>
        <v>39.516666666666666</v>
      </c>
      <c r="BO675" s="253">
        <f t="shared" si="648"/>
        <v>3.877011788826243</v>
      </c>
      <c r="BP675" s="253" cm="1">
        <f t="array" ref="BP675">$BC675 * IF($AD675&lt;=2,
SUMPRODUCT(INDEX($AL$67:$AN$71,,$AE675), INDEX($AO$67:$AU$71,,$AD675), 1 / ($AV$67:$AV$71*BO675 + (1-$AV$67:$AV$71)*BK675), N($AK$67:$AK$71&gt;$AI675)),
SUMPRODUCT(INDEX($AL$57:$AN$66,,$AE675), INDEX($AO$57:$AU$66,,$AD675), 1 / ($AW$57:$AW$66*BO675 + (1-$AW$57:$AW$66)*BK675), N($AK$57:$AK$66&gt;$AI675))
) / 1000</f>
        <v>0</v>
      </c>
      <c r="BQ675" s="250">
        <f t="shared" si="670"/>
        <v>20</v>
      </c>
      <c r="BR675" s="237">
        <f t="shared" si="649"/>
        <v>33</v>
      </c>
      <c r="BS675" s="253">
        <f t="shared" si="650"/>
        <v>4.8487499999999999</v>
      </c>
      <c r="BT675" s="253" cm="1">
        <f t="array" ref="BT675">$BC675 * IF($AD675&lt;=2,
SUMPRODUCT(INDEX($AL$62:$AN$66,,$AE675), INDEX($AO$62:$AU$66,,$AD675), 1 / ($AV$62:$AV$66*BS675 + (1-$AV$62:$AV$66)*BO675), N($AK$62:$AK$66&gt;$AI675)),
SUMPRODUCT(INDEX($AL$47:$AN$56,,$AE675), INDEX($AO$47:$AU$56,,$AD675), 1 / ($AW$47:$AW$56*BS675 + (1-$AW$47:$AW$56)*BO675), N($AK$47:$AK$56&gt;$AI675))
) / 1000</f>
        <v>0</v>
      </c>
      <c r="BU675" s="253" cm="1">
        <f t="array" ref="BU675">$BC675 * IF($AD675&lt;=2,
SUMPRODUCT(INDEX($AL$23:$AN$61,,$AE675), INDEX($AO$23:$AU$61,,$AD675), 1 / ($AV$23:$AV$61*BS675), N($AK$23:$AK$61&gt;$AI675)),
SUMPRODUCT(INDEX($AL$23:$AN$46,,$AE675), INDEX($AO$23:$AU$46,,$AD675), 1 / ($AW$23:$AW$46*BS675), N($AK$23:$AK$46&gt;$AI675))
) / 1000</f>
        <v>0</v>
      </c>
      <c r="BV675" s="237">
        <f t="shared" si="651"/>
        <v>0</v>
      </c>
      <c r="BW675" s="210"/>
      <c r="BX675" s="237">
        <f t="shared" si="652"/>
        <v>0</v>
      </c>
      <c r="BY675" s="236">
        <v>35</v>
      </c>
      <c r="BZ675" s="237">
        <f t="shared" si="653"/>
        <v>48</v>
      </c>
      <c r="CA675" s="253">
        <f t="shared" si="654"/>
        <v>3.0748170731707316</v>
      </c>
      <c r="CB675" s="253" cm="1">
        <f t="array" ref="CB675">$BC675 * SUMPRODUCT(INDEX($AL$77:$AN$82,,$AE675),INDEX($AO$77:$AU$82,,$AD675), N($AK$77:$AK$82&gt;$AI675)) / CA675 / 1000</f>
        <v>0</v>
      </c>
      <c r="CC675" s="250">
        <f t="shared" si="671"/>
        <v>30</v>
      </c>
      <c r="CD675" s="237">
        <f t="shared" si="655"/>
        <v>43</v>
      </c>
      <c r="CE675" s="253">
        <f t="shared" si="656"/>
        <v>3.5018750000000001</v>
      </c>
      <c r="CF675" s="253" cm="1">
        <f t="array" ref="CF675">$BC675 * IF($AD675&lt;=2,
SUMPRODUCT(INDEX($AL$72:$AN$76,,$AE675), INDEX($AO$72:$AU$76,,$AD675), 1 / ($AV$72:$AV$76*CE675 + (1-$AV$72:$AV$76)*CA675), N($AK$72:$AK$76&gt;$AI675)),
SUMPRODUCT(INDEX($AL$67:$AN$76,,$AE675), INDEX($AO$67:$AU$76,,$AD675), 1 / ($AW$67:$AW$76*CE675 + (1-$AW$67:$AW$76)*CA675), N($AK$67:$AK$76&gt;$AI675))
) / 1000</f>
        <v>0</v>
      </c>
      <c r="CG675" s="250">
        <f t="shared" si="672"/>
        <v>25</v>
      </c>
      <c r="CH675" s="237">
        <f t="shared" si="657"/>
        <v>38</v>
      </c>
      <c r="CI675" s="253">
        <f t="shared" si="658"/>
        <v>4.0666935483870965</v>
      </c>
      <c r="CJ675" s="253" cm="1">
        <f t="array" ref="CJ675">$BC675 * IF($AD675&lt;=2,
SUMPRODUCT(INDEX($AL$67:$AN$71,,$AE675), INDEX($AO$67:$AU$71,,$AD675), 1 / ($AV$67:$AV$71*CI675 + (1-$AV$67:$AV$71)*CE675), N($AK$67:$AK$71&gt;$AI675)),
SUMPRODUCT(INDEX($AL$57:$AN$66,,$AE675), INDEX($AO$57:$AU$66,,$AD675), 1 / ($AW$57:$AW$66*CI675 + (1-$AW$57:$AW$66)*CE675), N($AK$57:$AK$66&gt;$AI675))
) / 1000</f>
        <v>0</v>
      </c>
      <c r="CK675" s="250">
        <f t="shared" si="673"/>
        <v>20</v>
      </c>
      <c r="CL675" s="237">
        <f t="shared" si="659"/>
        <v>33</v>
      </c>
      <c r="CM675" s="253">
        <f t="shared" si="660"/>
        <v>4.8487499999999999</v>
      </c>
      <c r="CN675" s="253" cm="1">
        <f t="array" ref="CN675">$BC675 * IF($AD675&lt;=2,
SUMPRODUCT(INDEX($AL$62:$AN$66,,$AE675), INDEX($AO$62:$AU$66,,$AD675), 1 / ($AV$62:$AV$66*CM675 + (1-$AV$62:$AV$66)*CI675), N($AK$62:$AK$66&gt;$AI675)),
SUMPRODUCT(INDEX($AL$47:$AN$56,,$AE675), INDEX($AO$47:$AU$56,,$AD675), 1 / ($AW$47:$AW$56*CM675 + (1-$AW$47:$AW$56)*CI675), N($AK$47:$AK$56&gt;$AI675))
) / 1000</f>
        <v>0</v>
      </c>
      <c r="CO675" s="253" cm="1">
        <f t="array" ref="CO675">$BC675 * IF($AD675&lt;=2,
SUMPRODUCT(INDEX($AL$23:$AN$61,,$AE675), INDEX($AO$23:$AU$61,,$AD675), 1 / ($AV$23:$AV$61*CM675), N($AK$23:$AK$61&gt;$AI675)),
SUMPRODUCT(INDEX($AL$23:$AN$46,,$AE675), INDEX($AO$23:$AU$46,,$AD675), 1 / ($AW$23:$AW$46*CM675), N($AK$23:$AK$46&gt;$AI675))
) / 1000</f>
        <v>0</v>
      </c>
      <c r="CP675" s="237">
        <f t="shared" si="661"/>
        <v>0</v>
      </c>
      <c r="CQ675" s="210"/>
    </row>
    <row r="676" spans="1:95" s="76" customFormat="1" ht="14.25" customHeight="1" x14ac:dyDescent="0.2">
      <c r="A676" s="238" t="b">
        <f t="shared" si="665"/>
        <v>0</v>
      </c>
      <c r="B676" s="239">
        <v>654</v>
      </c>
      <c r="C676" s="258"/>
      <c r="D676" s="258"/>
      <c r="E676" s="240"/>
      <c r="F676" s="241" t="str">
        <f>IF(ISBLANK(E676), "", VLOOKUP(E676, Z!$A$2:$C$4127, 3, FALSE))</f>
        <v/>
      </c>
      <c r="G676" s="242"/>
      <c r="H676" s="242"/>
      <c r="I676" s="243"/>
      <c r="J676" s="244"/>
      <c r="K676" s="259"/>
      <c r="L676" s="260"/>
      <c r="M676" s="247" t="str" cm="1">
        <f t="array" ref="M676">IF($K676&gt;0, INDEX(Clean,1+AG676,$C$1), "")</f>
        <v/>
      </c>
      <c r="N676" s="245"/>
      <c r="O676" s="245"/>
      <c r="P676" s="246"/>
      <c r="Q676" s="248">
        <f t="shared" si="638"/>
        <v>0</v>
      </c>
      <c r="R676" s="247" t="str" cm="1">
        <f t="array" ref="R676">IF($K676&gt;0, INDEX(Clean,1+AH676,$C$1), "")</f>
        <v/>
      </c>
      <c r="S676" s="245"/>
      <c r="T676" s="245"/>
      <c r="U676" s="246"/>
      <c r="V676" s="248">
        <f t="shared" si="639"/>
        <v>0</v>
      </c>
      <c r="W676" s="261"/>
      <c r="X676" s="258"/>
      <c r="Y676" s="240"/>
      <c r="Z676" s="241" t="str">
        <f>IF(ISBLANK(Y676), "", VLOOKUP(Y676, Z!$A$2:$C$4127, 3, FALSE))</f>
        <v/>
      </c>
      <c r="AA676" s="262"/>
      <c r="AB676" s="249">
        <f t="shared" si="674"/>
        <v>0</v>
      </c>
      <c r="AC676" s="210"/>
      <c r="AD676" s="236">
        <f t="shared" si="662"/>
        <v>1</v>
      </c>
      <c r="AE676" s="236">
        <f t="shared" si="663"/>
        <v>1</v>
      </c>
      <c r="AF676" s="236">
        <f t="shared" si="664"/>
        <v>0</v>
      </c>
      <c r="AG676" s="236">
        <v>1</v>
      </c>
      <c r="AH676" s="236">
        <v>0</v>
      </c>
      <c r="AI676" s="236">
        <f t="shared" si="640"/>
        <v>-100</v>
      </c>
      <c r="AJ676" s="210"/>
      <c r="AK676" s="254"/>
      <c r="AL676" s="254"/>
      <c r="AM676" s="255"/>
      <c r="AN676" s="255"/>
      <c r="AO676" s="255"/>
      <c r="AP676" s="255"/>
      <c r="AQ676" s="255"/>
      <c r="AR676" s="255"/>
      <c r="AS676" s="255"/>
      <c r="AT676" s="255"/>
      <c r="AU676" s="255"/>
      <c r="AV676" s="255"/>
      <c r="AW676" s="255"/>
      <c r="AX676" s="210"/>
      <c r="AY676" s="236" cm="1">
        <f t="array" ref="AY676">INDEX(Use, $AD676, 4)</f>
        <v>7</v>
      </c>
      <c r="AZ676" s="236">
        <f t="shared" si="641"/>
        <v>32</v>
      </c>
      <c r="BA676" s="236">
        <f t="shared" si="666"/>
        <v>13</v>
      </c>
      <c r="BB676" s="236">
        <f t="shared" si="667"/>
        <v>0</v>
      </c>
      <c r="BC676" s="252" cm="1">
        <f t="array" ref="BC676">K676/IF($L676&gt;0, INDEX($AO$23:$AU$77, $L676+20, $AD676), 1)</f>
        <v>0</v>
      </c>
      <c r="BD676" s="237">
        <f t="shared" si="642"/>
        <v>0</v>
      </c>
      <c r="BE676" s="236">
        <v>35</v>
      </c>
      <c r="BF676" s="237">
        <f t="shared" si="643"/>
        <v>52.55</v>
      </c>
      <c r="BG676" s="253">
        <f t="shared" si="644"/>
        <v>2.7676728869374316</v>
      </c>
      <c r="BH676" s="253" cm="1">
        <f t="array" ref="BH676">$BC676 * SUMPRODUCT(INDEX($AL$77:$AN$82,,$AE676),INDEX($AO$77:$AU$82,,$AD676), N($AK$77:$AK$82&gt;$AI676)) / BG676 / 1000</f>
        <v>0</v>
      </c>
      <c r="BI676" s="250">
        <f t="shared" si="668"/>
        <v>30</v>
      </c>
      <c r="BJ676" s="237">
        <f t="shared" si="645"/>
        <v>46.033333333333331</v>
      </c>
      <c r="BK676" s="253">
        <f t="shared" si="646"/>
        <v>3.2297395388556791</v>
      </c>
      <c r="BL676" s="253" cm="1">
        <f t="array" ref="BL676">$BC676 * IF($AD676&lt;=2,
SUMPRODUCT(INDEX($AL$72:$AN$76,,$AE676), INDEX($AO$72:$AU$76,,$AD676), 1 / ($AV$72:$AV$76*BK676 + (1-$AV$72:$AV$76)*BG676), N($AK$72:$AK$76&gt;$AI676)),
SUMPRODUCT(INDEX($AL$67:$AN$76,,$AE676), INDEX($AO$67:$AU$76,,$AD676), 1 / ($AW$67:$AW$76*BK676 + (1-$AW$67:$AW$76)*BG676), N($AK$67:$AK$76&gt;$AI676))
) / 1000</f>
        <v>0</v>
      </c>
      <c r="BM676" s="250">
        <f t="shared" si="669"/>
        <v>25</v>
      </c>
      <c r="BN676" s="237">
        <f t="shared" si="647"/>
        <v>39.516666666666666</v>
      </c>
      <c r="BO676" s="253">
        <f t="shared" si="648"/>
        <v>3.877011788826243</v>
      </c>
      <c r="BP676" s="253" cm="1">
        <f t="array" ref="BP676">$BC676 * IF($AD676&lt;=2,
SUMPRODUCT(INDEX($AL$67:$AN$71,,$AE676), INDEX($AO$67:$AU$71,,$AD676), 1 / ($AV$67:$AV$71*BO676 + (1-$AV$67:$AV$71)*BK676), N($AK$67:$AK$71&gt;$AI676)),
SUMPRODUCT(INDEX($AL$57:$AN$66,,$AE676), INDEX($AO$57:$AU$66,,$AD676), 1 / ($AW$57:$AW$66*BO676 + (1-$AW$57:$AW$66)*BK676), N($AK$57:$AK$66&gt;$AI676))
) / 1000</f>
        <v>0</v>
      </c>
      <c r="BQ676" s="250">
        <f t="shared" si="670"/>
        <v>20</v>
      </c>
      <c r="BR676" s="237">
        <f t="shared" si="649"/>
        <v>33</v>
      </c>
      <c r="BS676" s="253">
        <f t="shared" si="650"/>
        <v>4.8487499999999999</v>
      </c>
      <c r="BT676" s="253" cm="1">
        <f t="array" ref="BT676">$BC676 * IF($AD676&lt;=2,
SUMPRODUCT(INDEX($AL$62:$AN$66,,$AE676), INDEX($AO$62:$AU$66,,$AD676), 1 / ($AV$62:$AV$66*BS676 + (1-$AV$62:$AV$66)*BO676), N($AK$62:$AK$66&gt;$AI676)),
SUMPRODUCT(INDEX($AL$47:$AN$56,,$AE676), INDEX($AO$47:$AU$56,,$AD676), 1 / ($AW$47:$AW$56*BS676 + (1-$AW$47:$AW$56)*BO676), N($AK$47:$AK$56&gt;$AI676))
) / 1000</f>
        <v>0</v>
      </c>
      <c r="BU676" s="253" cm="1">
        <f t="array" ref="BU676">$BC676 * IF($AD676&lt;=2,
SUMPRODUCT(INDEX($AL$23:$AN$61,,$AE676), INDEX($AO$23:$AU$61,,$AD676), 1 / ($AV$23:$AV$61*BS676), N($AK$23:$AK$61&gt;$AI676)),
SUMPRODUCT(INDEX($AL$23:$AN$46,,$AE676), INDEX($AO$23:$AU$46,,$AD676), 1 / ($AW$23:$AW$46*BS676), N($AK$23:$AK$46&gt;$AI676))
) / 1000</f>
        <v>0</v>
      </c>
      <c r="BV676" s="237">
        <f t="shared" si="651"/>
        <v>0</v>
      </c>
      <c r="BW676" s="210"/>
      <c r="BX676" s="237">
        <f t="shared" si="652"/>
        <v>0</v>
      </c>
      <c r="BY676" s="236">
        <v>35</v>
      </c>
      <c r="BZ676" s="237">
        <f t="shared" si="653"/>
        <v>48</v>
      </c>
      <c r="CA676" s="253">
        <f t="shared" si="654"/>
        <v>3.0748170731707316</v>
      </c>
      <c r="CB676" s="253" cm="1">
        <f t="array" ref="CB676">$BC676 * SUMPRODUCT(INDEX($AL$77:$AN$82,,$AE676),INDEX($AO$77:$AU$82,,$AD676), N($AK$77:$AK$82&gt;$AI676)) / CA676 / 1000</f>
        <v>0</v>
      </c>
      <c r="CC676" s="250">
        <f t="shared" si="671"/>
        <v>30</v>
      </c>
      <c r="CD676" s="237">
        <f t="shared" si="655"/>
        <v>43</v>
      </c>
      <c r="CE676" s="253">
        <f t="shared" si="656"/>
        <v>3.5018750000000001</v>
      </c>
      <c r="CF676" s="253" cm="1">
        <f t="array" ref="CF676">$BC676 * IF($AD676&lt;=2,
SUMPRODUCT(INDEX($AL$72:$AN$76,,$AE676), INDEX($AO$72:$AU$76,,$AD676), 1 / ($AV$72:$AV$76*CE676 + (1-$AV$72:$AV$76)*CA676), N($AK$72:$AK$76&gt;$AI676)),
SUMPRODUCT(INDEX($AL$67:$AN$76,,$AE676), INDEX($AO$67:$AU$76,,$AD676), 1 / ($AW$67:$AW$76*CE676 + (1-$AW$67:$AW$76)*CA676), N($AK$67:$AK$76&gt;$AI676))
) / 1000</f>
        <v>0</v>
      </c>
      <c r="CG676" s="250">
        <f t="shared" si="672"/>
        <v>25</v>
      </c>
      <c r="CH676" s="237">
        <f t="shared" si="657"/>
        <v>38</v>
      </c>
      <c r="CI676" s="253">
        <f t="shared" si="658"/>
        <v>4.0666935483870965</v>
      </c>
      <c r="CJ676" s="253" cm="1">
        <f t="array" ref="CJ676">$BC676 * IF($AD676&lt;=2,
SUMPRODUCT(INDEX($AL$67:$AN$71,,$AE676), INDEX($AO$67:$AU$71,,$AD676), 1 / ($AV$67:$AV$71*CI676 + (1-$AV$67:$AV$71)*CE676), N($AK$67:$AK$71&gt;$AI676)),
SUMPRODUCT(INDEX($AL$57:$AN$66,,$AE676), INDEX($AO$57:$AU$66,,$AD676), 1 / ($AW$57:$AW$66*CI676 + (1-$AW$57:$AW$66)*CE676), N($AK$57:$AK$66&gt;$AI676))
) / 1000</f>
        <v>0</v>
      </c>
      <c r="CK676" s="250">
        <f t="shared" si="673"/>
        <v>20</v>
      </c>
      <c r="CL676" s="237">
        <f t="shared" si="659"/>
        <v>33</v>
      </c>
      <c r="CM676" s="253">
        <f t="shared" si="660"/>
        <v>4.8487499999999999</v>
      </c>
      <c r="CN676" s="253" cm="1">
        <f t="array" ref="CN676">$BC676 * IF($AD676&lt;=2,
SUMPRODUCT(INDEX($AL$62:$AN$66,,$AE676), INDEX($AO$62:$AU$66,,$AD676), 1 / ($AV$62:$AV$66*CM676 + (1-$AV$62:$AV$66)*CI676), N($AK$62:$AK$66&gt;$AI676)),
SUMPRODUCT(INDEX($AL$47:$AN$56,,$AE676), INDEX($AO$47:$AU$56,,$AD676), 1 / ($AW$47:$AW$56*CM676 + (1-$AW$47:$AW$56)*CI676), N($AK$47:$AK$56&gt;$AI676))
) / 1000</f>
        <v>0</v>
      </c>
      <c r="CO676" s="253" cm="1">
        <f t="array" ref="CO676">$BC676 * IF($AD676&lt;=2,
SUMPRODUCT(INDEX($AL$23:$AN$61,,$AE676), INDEX($AO$23:$AU$61,,$AD676), 1 / ($AV$23:$AV$61*CM676), N($AK$23:$AK$61&gt;$AI676)),
SUMPRODUCT(INDEX($AL$23:$AN$46,,$AE676), INDEX($AO$23:$AU$46,,$AD676), 1 / ($AW$23:$AW$46*CM676), N($AK$23:$AK$46&gt;$AI676))
) / 1000</f>
        <v>0</v>
      </c>
      <c r="CP676" s="237">
        <f t="shared" si="661"/>
        <v>0</v>
      </c>
      <c r="CQ676" s="210"/>
    </row>
    <row r="677" spans="1:95" s="76" customFormat="1" ht="14.25" customHeight="1" x14ac:dyDescent="0.2">
      <c r="A677" s="238" t="b">
        <f t="shared" si="665"/>
        <v>0</v>
      </c>
      <c r="B677" s="239">
        <v>655</v>
      </c>
      <c r="C677" s="258"/>
      <c r="D677" s="258"/>
      <c r="E677" s="240"/>
      <c r="F677" s="241" t="str">
        <f>IF(ISBLANK(E677), "", VLOOKUP(E677, Z!$A$2:$C$4127, 3, FALSE))</f>
        <v/>
      </c>
      <c r="G677" s="242"/>
      <c r="H677" s="242"/>
      <c r="I677" s="243"/>
      <c r="J677" s="244"/>
      <c r="K677" s="259"/>
      <c r="L677" s="260"/>
      <c r="M677" s="247" t="str" cm="1">
        <f t="array" ref="M677">IF($K677&gt;0, INDEX(Clean,1+AG677,$C$1), "")</f>
        <v/>
      </c>
      <c r="N677" s="245"/>
      <c r="O677" s="245"/>
      <c r="P677" s="246"/>
      <c r="Q677" s="248">
        <f t="shared" si="638"/>
        <v>0</v>
      </c>
      <c r="R677" s="247" t="str" cm="1">
        <f t="array" ref="R677">IF($K677&gt;0, INDEX(Clean,1+AH677,$C$1), "")</f>
        <v/>
      </c>
      <c r="S677" s="245"/>
      <c r="T677" s="245"/>
      <c r="U677" s="246"/>
      <c r="V677" s="248">
        <f t="shared" si="639"/>
        <v>0</v>
      </c>
      <c r="W677" s="261"/>
      <c r="X677" s="258"/>
      <c r="Y677" s="240"/>
      <c r="Z677" s="241" t="str">
        <f>IF(ISBLANK(Y677), "", VLOOKUP(Y677, Z!$A$2:$C$4127, 3, FALSE))</f>
        <v/>
      </c>
      <c r="AA677" s="262"/>
      <c r="AB677" s="249">
        <f t="shared" si="674"/>
        <v>0</v>
      </c>
      <c r="AC677" s="210"/>
      <c r="AD677" s="236">
        <f t="shared" si="662"/>
        <v>1</v>
      </c>
      <c r="AE677" s="236">
        <f t="shared" si="663"/>
        <v>1</v>
      </c>
      <c r="AF677" s="236">
        <f t="shared" si="664"/>
        <v>0</v>
      </c>
      <c r="AG677" s="236">
        <v>1</v>
      </c>
      <c r="AH677" s="236">
        <v>0</v>
      </c>
      <c r="AI677" s="236">
        <f t="shared" si="640"/>
        <v>-100</v>
      </c>
      <c r="AJ677" s="210"/>
      <c r="AK677" s="254"/>
      <c r="AL677" s="254"/>
      <c r="AM677" s="255"/>
      <c r="AN677" s="255"/>
      <c r="AO677" s="255"/>
      <c r="AP677" s="255"/>
      <c r="AQ677" s="255"/>
      <c r="AR677" s="255"/>
      <c r="AS677" s="255"/>
      <c r="AT677" s="255"/>
      <c r="AU677" s="255"/>
      <c r="AV677" s="255"/>
      <c r="AW677" s="255"/>
      <c r="AX677" s="210"/>
      <c r="AY677" s="236" cm="1">
        <f t="array" ref="AY677">INDEX(Use, $AD677, 4)</f>
        <v>7</v>
      </c>
      <c r="AZ677" s="236">
        <f t="shared" si="641"/>
        <v>32</v>
      </c>
      <c r="BA677" s="236">
        <f t="shared" si="666"/>
        <v>13</v>
      </c>
      <c r="BB677" s="236">
        <f t="shared" si="667"/>
        <v>0</v>
      </c>
      <c r="BC677" s="252" cm="1">
        <f t="array" ref="BC677">K677/IF($L677&gt;0, INDEX($AO$23:$AU$77, $L677+20, $AD677), 1)</f>
        <v>0</v>
      </c>
      <c r="BD677" s="237">
        <f t="shared" si="642"/>
        <v>0</v>
      </c>
      <c r="BE677" s="236">
        <v>35</v>
      </c>
      <c r="BF677" s="237">
        <f t="shared" si="643"/>
        <v>52.55</v>
      </c>
      <c r="BG677" s="253">
        <f t="shared" si="644"/>
        <v>2.7676728869374316</v>
      </c>
      <c r="BH677" s="253" cm="1">
        <f t="array" ref="BH677">$BC677 * SUMPRODUCT(INDEX($AL$77:$AN$82,,$AE677),INDEX($AO$77:$AU$82,,$AD677), N($AK$77:$AK$82&gt;$AI677)) / BG677 / 1000</f>
        <v>0</v>
      </c>
      <c r="BI677" s="250">
        <f t="shared" si="668"/>
        <v>30</v>
      </c>
      <c r="BJ677" s="237">
        <f t="shared" si="645"/>
        <v>46.033333333333331</v>
      </c>
      <c r="BK677" s="253">
        <f t="shared" si="646"/>
        <v>3.2297395388556791</v>
      </c>
      <c r="BL677" s="253" cm="1">
        <f t="array" ref="BL677">$BC677 * IF($AD677&lt;=2,
SUMPRODUCT(INDEX($AL$72:$AN$76,,$AE677), INDEX($AO$72:$AU$76,,$AD677), 1 / ($AV$72:$AV$76*BK677 + (1-$AV$72:$AV$76)*BG677), N($AK$72:$AK$76&gt;$AI677)),
SUMPRODUCT(INDEX($AL$67:$AN$76,,$AE677), INDEX($AO$67:$AU$76,,$AD677), 1 / ($AW$67:$AW$76*BK677 + (1-$AW$67:$AW$76)*BG677), N($AK$67:$AK$76&gt;$AI677))
) / 1000</f>
        <v>0</v>
      </c>
      <c r="BM677" s="250">
        <f t="shared" si="669"/>
        <v>25</v>
      </c>
      <c r="BN677" s="237">
        <f t="shared" si="647"/>
        <v>39.516666666666666</v>
      </c>
      <c r="BO677" s="253">
        <f t="shared" si="648"/>
        <v>3.877011788826243</v>
      </c>
      <c r="BP677" s="253" cm="1">
        <f t="array" ref="BP677">$BC677 * IF($AD677&lt;=2,
SUMPRODUCT(INDEX($AL$67:$AN$71,,$AE677), INDEX($AO$67:$AU$71,,$AD677), 1 / ($AV$67:$AV$71*BO677 + (1-$AV$67:$AV$71)*BK677), N($AK$67:$AK$71&gt;$AI677)),
SUMPRODUCT(INDEX($AL$57:$AN$66,,$AE677), INDEX($AO$57:$AU$66,,$AD677), 1 / ($AW$57:$AW$66*BO677 + (1-$AW$57:$AW$66)*BK677), N($AK$57:$AK$66&gt;$AI677))
) / 1000</f>
        <v>0</v>
      </c>
      <c r="BQ677" s="250">
        <f t="shared" si="670"/>
        <v>20</v>
      </c>
      <c r="BR677" s="237">
        <f t="shared" si="649"/>
        <v>33</v>
      </c>
      <c r="BS677" s="253">
        <f t="shared" si="650"/>
        <v>4.8487499999999999</v>
      </c>
      <c r="BT677" s="253" cm="1">
        <f t="array" ref="BT677">$BC677 * IF($AD677&lt;=2,
SUMPRODUCT(INDEX($AL$62:$AN$66,,$AE677), INDEX($AO$62:$AU$66,,$AD677), 1 / ($AV$62:$AV$66*BS677 + (1-$AV$62:$AV$66)*BO677), N($AK$62:$AK$66&gt;$AI677)),
SUMPRODUCT(INDEX($AL$47:$AN$56,,$AE677), INDEX($AO$47:$AU$56,,$AD677), 1 / ($AW$47:$AW$56*BS677 + (1-$AW$47:$AW$56)*BO677), N($AK$47:$AK$56&gt;$AI677))
) / 1000</f>
        <v>0</v>
      </c>
      <c r="BU677" s="253" cm="1">
        <f t="array" ref="BU677">$BC677 * IF($AD677&lt;=2,
SUMPRODUCT(INDEX($AL$23:$AN$61,,$AE677), INDEX($AO$23:$AU$61,,$AD677), 1 / ($AV$23:$AV$61*BS677), N($AK$23:$AK$61&gt;$AI677)),
SUMPRODUCT(INDEX($AL$23:$AN$46,,$AE677), INDEX($AO$23:$AU$46,,$AD677), 1 / ($AW$23:$AW$46*BS677), N($AK$23:$AK$46&gt;$AI677))
) / 1000</f>
        <v>0</v>
      </c>
      <c r="BV677" s="237">
        <f t="shared" si="651"/>
        <v>0</v>
      </c>
      <c r="BW677" s="210"/>
      <c r="BX677" s="237">
        <f t="shared" si="652"/>
        <v>0</v>
      </c>
      <c r="BY677" s="236">
        <v>35</v>
      </c>
      <c r="BZ677" s="237">
        <f t="shared" si="653"/>
        <v>48</v>
      </c>
      <c r="CA677" s="253">
        <f t="shared" si="654"/>
        <v>3.0748170731707316</v>
      </c>
      <c r="CB677" s="253" cm="1">
        <f t="array" ref="CB677">$BC677 * SUMPRODUCT(INDEX($AL$77:$AN$82,,$AE677),INDEX($AO$77:$AU$82,,$AD677), N($AK$77:$AK$82&gt;$AI677)) / CA677 / 1000</f>
        <v>0</v>
      </c>
      <c r="CC677" s="250">
        <f t="shared" si="671"/>
        <v>30</v>
      </c>
      <c r="CD677" s="237">
        <f t="shared" si="655"/>
        <v>43</v>
      </c>
      <c r="CE677" s="253">
        <f t="shared" si="656"/>
        <v>3.5018750000000001</v>
      </c>
      <c r="CF677" s="253" cm="1">
        <f t="array" ref="CF677">$BC677 * IF($AD677&lt;=2,
SUMPRODUCT(INDEX($AL$72:$AN$76,,$AE677), INDEX($AO$72:$AU$76,,$AD677), 1 / ($AV$72:$AV$76*CE677 + (1-$AV$72:$AV$76)*CA677), N($AK$72:$AK$76&gt;$AI677)),
SUMPRODUCT(INDEX($AL$67:$AN$76,,$AE677), INDEX($AO$67:$AU$76,,$AD677), 1 / ($AW$67:$AW$76*CE677 + (1-$AW$67:$AW$76)*CA677), N($AK$67:$AK$76&gt;$AI677))
) / 1000</f>
        <v>0</v>
      </c>
      <c r="CG677" s="250">
        <f t="shared" si="672"/>
        <v>25</v>
      </c>
      <c r="CH677" s="237">
        <f t="shared" si="657"/>
        <v>38</v>
      </c>
      <c r="CI677" s="253">
        <f t="shared" si="658"/>
        <v>4.0666935483870965</v>
      </c>
      <c r="CJ677" s="253" cm="1">
        <f t="array" ref="CJ677">$BC677 * IF($AD677&lt;=2,
SUMPRODUCT(INDEX($AL$67:$AN$71,,$AE677), INDEX($AO$67:$AU$71,,$AD677), 1 / ($AV$67:$AV$71*CI677 + (1-$AV$67:$AV$71)*CE677), N($AK$67:$AK$71&gt;$AI677)),
SUMPRODUCT(INDEX($AL$57:$AN$66,,$AE677), INDEX($AO$57:$AU$66,,$AD677), 1 / ($AW$57:$AW$66*CI677 + (1-$AW$57:$AW$66)*CE677), N($AK$57:$AK$66&gt;$AI677))
) / 1000</f>
        <v>0</v>
      </c>
      <c r="CK677" s="250">
        <f t="shared" si="673"/>
        <v>20</v>
      </c>
      <c r="CL677" s="237">
        <f t="shared" si="659"/>
        <v>33</v>
      </c>
      <c r="CM677" s="253">
        <f t="shared" si="660"/>
        <v>4.8487499999999999</v>
      </c>
      <c r="CN677" s="253" cm="1">
        <f t="array" ref="CN677">$BC677 * IF($AD677&lt;=2,
SUMPRODUCT(INDEX($AL$62:$AN$66,,$AE677), INDEX($AO$62:$AU$66,,$AD677), 1 / ($AV$62:$AV$66*CM677 + (1-$AV$62:$AV$66)*CI677), N($AK$62:$AK$66&gt;$AI677)),
SUMPRODUCT(INDEX($AL$47:$AN$56,,$AE677), INDEX($AO$47:$AU$56,,$AD677), 1 / ($AW$47:$AW$56*CM677 + (1-$AW$47:$AW$56)*CI677), N($AK$47:$AK$56&gt;$AI677))
) / 1000</f>
        <v>0</v>
      </c>
      <c r="CO677" s="253" cm="1">
        <f t="array" ref="CO677">$BC677 * IF($AD677&lt;=2,
SUMPRODUCT(INDEX($AL$23:$AN$61,,$AE677), INDEX($AO$23:$AU$61,,$AD677), 1 / ($AV$23:$AV$61*CM677), N($AK$23:$AK$61&gt;$AI677)),
SUMPRODUCT(INDEX($AL$23:$AN$46,,$AE677), INDEX($AO$23:$AU$46,,$AD677), 1 / ($AW$23:$AW$46*CM677), N($AK$23:$AK$46&gt;$AI677))
) / 1000</f>
        <v>0</v>
      </c>
      <c r="CP677" s="237">
        <f t="shared" si="661"/>
        <v>0</v>
      </c>
      <c r="CQ677" s="210"/>
    </row>
    <row r="678" spans="1:95" s="76" customFormat="1" ht="14.25" customHeight="1" x14ac:dyDescent="0.2">
      <c r="A678" s="238" t="b">
        <f t="shared" si="665"/>
        <v>0</v>
      </c>
      <c r="B678" s="239">
        <v>656</v>
      </c>
      <c r="C678" s="258"/>
      <c r="D678" s="258"/>
      <c r="E678" s="240"/>
      <c r="F678" s="241" t="str">
        <f>IF(ISBLANK(E678), "", VLOOKUP(E678, Z!$A$2:$C$4127, 3, FALSE))</f>
        <v/>
      </c>
      <c r="G678" s="242"/>
      <c r="H678" s="242"/>
      <c r="I678" s="243"/>
      <c r="J678" s="244"/>
      <c r="K678" s="259"/>
      <c r="L678" s="260"/>
      <c r="M678" s="247" t="str" cm="1">
        <f t="array" ref="M678">IF($K678&gt;0, INDEX(Clean,1+AG678,$C$1), "")</f>
        <v/>
      </c>
      <c r="N678" s="245"/>
      <c r="O678" s="245"/>
      <c r="P678" s="246"/>
      <c r="Q678" s="248">
        <f t="shared" si="638"/>
        <v>0</v>
      </c>
      <c r="R678" s="247" t="str" cm="1">
        <f t="array" ref="R678">IF($K678&gt;0, INDEX(Clean,1+AH678,$C$1), "")</f>
        <v/>
      </c>
      <c r="S678" s="245"/>
      <c r="T678" s="245"/>
      <c r="U678" s="246"/>
      <c r="V678" s="248">
        <f t="shared" si="639"/>
        <v>0</v>
      </c>
      <c r="W678" s="261"/>
      <c r="X678" s="258"/>
      <c r="Y678" s="240"/>
      <c r="Z678" s="241" t="str">
        <f>IF(ISBLANK(Y678), "", VLOOKUP(Y678, Z!$A$2:$C$4127, 3, FALSE))</f>
        <v/>
      </c>
      <c r="AA678" s="262"/>
      <c r="AB678" s="249">
        <f t="shared" si="674"/>
        <v>0</v>
      </c>
      <c r="AC678" s="210"/>
      <c r="AD678" s="236">
        <f t="shared" si="662"/>
        <v>1</v>
      </c>
      <c r="AE678" s="236">
        <f t="shared" si="663"/>
        <v>1</v>
      </c>
      <c r="AF678" s="236">
        <f t="shared" si="664"/>
        <v>0</v>
      </c>
      <c r="AG678" s="236">
        <v>1</v>
      </c>
      <c r="AH678" s="236">
        <v>0</v>
      </c>
      <c r="AI678" s="236">
        <f t="shared" si="640"/>
        <v>-100</v>
      </c>
      <c r="AJ678" s="210"/>
      <c r="AK678" s="254"/>
      <c r="AL678" s="254"/>
      <c r="AM678" s="255"/>
      <c r="AN678" s="255"/>
      <c r="AO678" s="255"/>
      <c r="AP678" s="255"/>
      <c r="AQ678" s="255"/>
      <c r="AR678" s="255"/>
      <c r="AS678" s="255"/>
      <c r="AT678" s="255"/>
      <c r="AU678" s="255"/>
      <c r="AV678" s="255"/>
      <c r="AW678" s="255"/>
      <c r="AX678" s="210"/>
      <c r="AY678" s="236" cm="1">
        <f t="array" ref="AY678">INDEX(Use, $AD678, 4)</f>
        <v>7</v>
      </c>
      <c r="AZ678" s="236">
        <f t="shared" si="641"/>
        <v>32</v>
      </c>
      <c r="BA678" s="236">
        <f t="shared" si="666"/>
        <v>13</v>
      </c>
      <c r="BB678" s="236">
        <f t="shared" si="667"/>
        <v>0</v>
      </c>
      <c r="BC678" s="252" cm="1">
        <f t="array" ref="BC678">K678/IF($L678&gt;0, INDEX($AO$23:$AU$77, $L678+20, $AD678), 1)</f>
        <v>0</v>
      </c>
      <c r="BD678" s="237">
        <f t="shared" si="642"/>
        <v>0</v>
      </c>
      <c r="BE678" s="236">
        <v>35</v>
      </c>
      <c r="BF678" s="237">
        <f t="shared" si="643"/>
        <v>52.55</v>
      </c>
      <c r="BG678" s="253">
        <f t="shared" si="644"/>
        <v>2.7676728869374316</v>
      </c>
      <c r="BH678" s="253" cm="1">
        <f t="array" ref="BH678">$BC678 * SUMPRODUCT(INDEX($AL$77:$AN$82,,$AE678),INDEX($AO$77:$AU$82,,$AD678), N($AK$77:$AK$82&gt;$AI678)) / BG678 / 1000</f>
        <v>0</v>
      </c>
      <c r="BI678" s="250">
        <f t="shared" si="668"/>
        <v>30</v>
      </c>
      <c r="BJ678" s="237">
        <f t="shared" si="645"/>
        <v>46.033333333333331</v>
      </c>
      <c r="BK678" s="253">
        <f t="shared" si="646"/>
        <v>3.2297395388556791</v>
      </c>
      <c r="BL678" s="253" cm="1">
        <f t="array" ref="BL678">$BC678 * IF($AD678&lt;=2,
SUMPRODUCT(INDEX($AL$72:$AN$76,,$AE678), INDEX($AO$72:$AU$76,,$AD678), 1 / ($AV$72:$AV$76*BK678 + (1-$AV$72:$AV$76)*BG678), N($AK$72:$AK$76&gt;$AI678)),
SUMPRODUCT(INDEX($AL$67:$AN$76,,$AE678), INDEX($AO$67:$AU$76,,$AD678), 1 / ($AW$67:$AW$76*BK678 + (1-$AW$67:$AW$76)*BG678), N($AK$67:$AK$76&gt;$AI678))
) / 1000</f>
        <v>0</v>
      </c>
      <c r="BM678" s="250">
        <f t="shared" si="669"/>
        <v>25</v>
      </c>
      <c r="BN678" s="237">
        <f t="shared" si="647"/>
        <v>39.516666666666666</v>
      </c>
      <c r="BO678" s="253">
        <f t="shared" si="648"/>
        <v>3.877011788826243</v>
      </c>
      <c r="BP678" s="253" cm="1">
        <f t="array" ref="BP678">$BC678 * IF($AD678&lt;=2,
SUMPRODUCT(INDEX($AL$67:$AN$71,,$AE678), INDEX($AO$67:$AU$71,,$AD678), 1 / ($AV$67:$AV$71*BO678 + (1-$AV$67:$AV$71)*BK678), N($AK$67:$AK$71&gt;$AI678)),
SUMPRODUCT(INDEX($AL$57:$AN$66,,$AE678), INDEX($AO$57:$AU$66,,$AD678), 1 / ($AW$57:$AW$66*BO678 + (1-$AW$57:$AW$66)*BK678), N($AK$57:$AK$66&gt;$AI678))
) / 1000</f>
        <v>0</v>
      </c>
      <c r="BQ678" s="250">
        <f t="shared" si="670"/>
        <v>20</v>
      </c>
      <c r="BR678" s="237">
        <f t="shared" si="649"/>
        <v>33</v>
      </c>
      <c r="BS678" s="253">
        <f t="shared" si="650"/>
        <v>4.8487499999999999</v>
      </c>
      <c r="BT678" s="253" cm="1">
        <f t="array" ref="BT678">$BC678 * IF($AD678&lt;=2,
SUMPRODUCT(INDEX($AL$62:$AN$66,,$AE678), INDEX($AO$62:$AU$66,,$AD678), 1 / ($AV$62:$AV$66*BS678 + (1-$AV$62:$AV$66)*BO678), N($AK$62:$AK$66&gt;$AI678)),
SUMPRODUCT(INDEX($AL$47:$AN$56,,$AE678), INDEX($AO$47:$AU$56,,$AD678), 1 / ($AW$47:$AW$56*BS678 + (1-$AW$47:$AW$56)*BO678), N($AK$47:$AK$56&gt;$AI678))
) / 1000</f>
        <v>0</v>
      </c>
      <c r="BU678" s="253" cm="1">
        <f t="array" ref="BU678">$BC678 * IF($AD678&lt;=2,
SUMPRODUCT(INDEX($AL$23:$AN$61,,$AE678), INDEX($AO$23:$AU$61,,$AD678), 1 / ($AV$23:$AV$61*BS678), N($AK$23:$AK$61&gt;$AI678)),
SUMPRODUCT(INDEX($AL$23:$AN$46,,$AE678), INDEX($AO$23:$AU$46,,$AD678), 1 / ($AW$23:$AW$46*BS678), N($AK$23:$AK$46&gt;$AI678))
) / 1000</f>
        <v>0</v>
      </c>
      <c r="BV678" s="237">
        <f t="shared" si="651"/>
        <v>0</v>
      </c>
      <c r="BW678" s="210"/>
      <c r="BX678" s="237">
        <f t="shared" si="652"/>
        <v>0</v>
      </c>
      <c r="BY678" s="236">
        <v>35</v>
      </c>
      <c r="BZ678" s="237">
        <f t="shared" si="653"/>
        <v>48</v>
      </c>
      <c r="CA678" s="253">
        <f t="shared" si="654"/>
        <v>3.0748170731707316</v>
      </c>
      <c r="CB678" s="253" cm="1">
        <f t="array" ref="CB678">$BC678 * SUMPRODUCT(INDEX($AL$77:$AN$82,,$AE678),INDEX($AO$77:$AU$82,,$AD678), N($AK$77:$AK$82&gt;$AI678)) / CA678 / 1000</f>
        <v>0</v>
      </c>
      <c r="CC678" s="250">
        <f t="shared" si="671"/>
        <v>30</v>
      </c>
      <c r="CD678" s="237">
        <f t="shared" si="655"/>
        <v>43</v>
      </c>
      <c r="CE678" s="253">
        <f t="shared" si="656"/>
        <v>3.5018750000000001</v>
      </c>
      <c r="CF678" s="253" cm="1">
        <f t="array" ref="CF678">$BC678 * IF($AD678&lt;=2,
SUMPRODUCT(INDEX($AL$72:$AN$76,,$AE678), INDEX($AO$72:$AU$76,,$AD678), 1 / ($AV$72:$AV$76*CE678 + (1-$AV$72:$AV$76)*CA678), N($AK$72:$AK$76&gt;$AI678)),
SUMPRODUCT(INDEX($AL$67:$AN$76,,$AE678), INDEX($AO$67:$AU$76,,$AD678), 1 / ($AW$67:$AW$76*CE678 + (1-$AW$67:$AW$76)*CA678), N($AK$67:$AK$76&gt;$AI678))
) / 1000</f>
        <v>0</v>
      </c>
      <c r="CG678" s="250">
        <f t="shared" si="672"/>
        <v>25</v>
      </c>
      <c r="CH678" s="237">
        <f t="shared" si="657"/>
        <v>38</v>
      </c>
      <c r="CI678" s="253">
        <f t="shared" si="658"/>
        <v>4.0666935483870965</v>
      </c>
      <c r="CJ678" s="253" cm="1">
        <f t="array" ref="CJ678">$BC678 * IF($AD678&lt;=2,
SUMPRODUCT(INDEX($AL$67:$AN$71,,$AE678), INDEX($AO$67:$AU$71,,$AD678), 1 / ($AV$67:$AV$71*CI678 + (1-$AV$67:$AV$71)*CE678), N($AK$67:$AK$71&gt;$AI678)),
SUMPRODUCT(INDEX($AL$57:$AN$66,,$AE678), INDEX($AO$57:$AU$66,,$AD678), 1 / ($AW$57:$AW$66*CI678 + (1-$AW$57:$AW$66)*CE678), N($AK$57:$AK$66&gt;$AI678))
) / 1000</f>
        <v>0</v>
      </c>
      <c r="CK678" s="250">
        <f t="shared" si="673"/>
        <v>20</v>
      </c>
      <c r="CL678" s="237">
        <f t="shared" si="659"/>
        <v>33</v>
      </c>
      <c r="CM678" s="253">
        <f t="shared" si="660"/>
        <v>4.8487499999999999</v>
      </c>
      <c r="CN678" s="253" cm="1">
        <f t="array" ref="CN678">$BC678 * IF($AD678&lt;=2,
SUMPRODUCT(INDEX($AL$62:$AN$66,,$AE678), INDEX($AO$62:$AU$66,,$AD678), 1 / ($AV$62:$AV$66*CM678 + (1-$AV$62:$AV$66)*CI678), N($AK$62:$AK$66&gt;$AI678)),
SUMPRODUCT(INDEX($AL$47:$AN$56,,$AE678), INDEX($AO$47:$AU$56,,$AD678), 1 / ($AW$47:$AW$56*CM678 + (1-$AW$47:$AW$56)*CI678), N($AK$47:$AK$56&gt;$AI678))
) / 1000</f>
        <v>0</v>
      </c>
      <c r="CO678" s="253" cm="1">
        <f t="array" ref="CO678">$BC678 * IF($AD678&lt;=2,
SUMPRODUCT(INDEX($AL$23:$AN$61,,$AE678), INDEX($AO$23:$AU$61,,$AD678), 1 / ($AV$23:$AV$61*CM678), N($AK$23:$AK$61&gt;$AI678)),
SUMPRODUCT(INDEX($AL$23:$AN$46,,$AE678), INDEX($AO$23:$AU$46,,$AD678), 1 / ($AW$23:$AW$46*CM678), N($AK$23:$AK$46&gt;$AI678))
) / 1000</f>
        <v>0</v>
      </c>
      <c r="CP678" s="237">
        <f t="shared" si="661"/>
        <v>0</v>
      </c>
      <c r="CQ678" s="210"/>
    </row>
    <row r="679" spans="1:95" s="76" customFormat="1" ht="14.25" customHeight="1" x14ac:dyDescent="0.2">
      <c r="A679" s="238" t="b">
        <f t="shared" si="665"/>
        <v>0</v>
      </c>
      <c r="B679" s="239">
        <v>657</v>
      </c>
      <c r="C679" s="258"/>
      <c r="D679" s="258"/>
      <c r="E679" s="240"/>
      <c r="F679" s="241" t="str">
        <f>IF(ISBLANK(E679), "", VLOOKUP(E679, Z!$A$2:$C$4127, 3, FALSE))</f>
        <v/>
      </c>
      <c r="G679" s="242"/>
      <c r="H679" s="242"/>
      <c r="I679" s="243"/>
      <c r="J679" s="244"/>
      <c r="K679" s="259"/>
      <c r="L679" s="260"/>
      <c r="M679" s="247" t="str" cm="1">
        <f t="array" ref="M679">IF($K679&gt;0, INDEX(Clean,1+AG679,$C$1), "")</f>
        <v/>
      </c>
      <c r="N679" s="245"/>
      <c r="O679" s="245"/>
      <c r="P679" s="246"/>
      <c r="Q679" s="248">
        <f t="shared" si="638"/>
        <v>0</v>
      </c>
      <c r="R679" s="247" t="str" cm="1">
        <f t="array" ref="R679">IF($K679&gt;0, INDEX(Clean,1+AH679,$C$1), "")</f>
        <v/>
      </c>
      <c r="S679" s="245"/>
      <c r="T679" s="245"/>
      <c r="U679" s="246"/>
      <c r="V679" s="248">
        <f t="shared" si="639"/>
        <v>0</v>
      </c>
      <c r="W679" s="261"/>
      <c r="X679" s="258"/>
      <c r="Y679" s="240"/>
      <c r="Z679" s="241" t="str">
        <f>IF(ISBLANK(Y679), "", VLOOKUP(Y679, Z!$A$2:$C$4127, 3, FALSE))</f>
        <v/>
      </c>
      <c r="AA679" s="262"/>
      <c r="AB679" s="249">
        <f t="shared" si="674"/>
        <v>0</v>
      </c>
      <c r="AC679" s="210"/>
      <c r="AD679" s="236">
        <f t="shared" si="662"/>
        <v>1</v>
      </c>
      <c r="AE679" s="236">
        <f t="shared" si="663"/>
        <v>1</v>
      </c>
      <c r="AF679" s="236">
        <f t="shared" si="664"/>
        <v>0</v>
      </c>
      <c r="AG679" s="236">
        <v>1</v>
      </c>
      <c r="AH679" s="236">
        <v>0</v>
      </c>
      <c r="AI679" s="236">
        <f t="shared" si="640"/>
        <v>-100</v>
      </c>
      <c r="AJ679" s="210"/>
      <c r="AK679" s="254"/>
      <c r="AL679" s="254"/>
      <c r="AM679" s="255"/>
      <c r="AN679" s="255"/>
      <c r="AO679" s="255"/>
      <c r="AP679" s="255"/>
      <c r="AQ679" s="255"/>
      <c r="AR679" s="255"/>
      <c r="AS679" s="255"/>
      <c r="AT679" s="255"/>
      <c r="AU679" s="255"/>
      <c r="AV679" s="255"/>
      <c r="AW679" s="255"/>
      <c r="AX679" s="210"/>
      <c r="AY679" s="236" cm="1">
        <f t="array" ref="AY679">INDEX(Use, $AD679, 4)</f>
        <v>7</v>
      </c>
      <c r="AZ679" s="236">
        <f t="shared" si="641"/>
        <v>32</v>
      </c>
      <c r="BA679" s="236">
        <f t="shared" si="666"/>
        <v>13</v>
      </c>
      <c r="BB679" s="236">
        <f t="shared" si="667"/>
        <v>0</v>
      </c>
      <c r="BC679" s="252" cm="1">
        <f t="array" ref="BC679">K679/IF($L679&gt;0, INDEX($AO$23:$AU$77, $L679+20, $AD679), 1)</f>
        <v>0</v>
      </c>
      <c r="BD679" s="237">
        <f t="shared" si="642"/>
        <v>0</v>
      </c>
      <c r="BE679" s="236">
        <v>35</v>
      </c>
      <c r="BF679" s="237">
        <f t="shared" si="643"/>
        <v>52.55</v>
      </c>
      <c r="BG679" s="253">
        <f t="shared" si="644"/>
        <v>2.7676728869374316</v>
      </c>
      <c r="BH679" s="253" cm="1">
        <f t="array" ref="BH679">$BC679 * SUMPRODUCT(INDEX($AL$77:$AN$82,,$AE679),INDEX($AO$77:$AU$82,,$AD679), N($AK$77:$AK$82&gt;$AI679)) / BG679 / 1000</f>
        <v>0</v>
      </c>
      <c r="BI679" s="250">
        <f t="shared" si="668"/>
        <v>30</v>
      </c>
      <c r="BJ679" s="237">
        <f t="shared" si="645"/>
        <v>46.033333333333331</v>
      </c>
      <c r="BK679" s="253">
        <f t="shared" si="646"/>
        <v>3.2297395388556791</v>
      </c>
      <c r="BL679" s="253" cm="1">
        <f t="array" ref="BL679">$BC679 * IF($AD679&lt;=2,
SUMPRODUCT(INDEX($AL$72:$AN$76,,$AE679), INDEX($AO$72:$AU$76,,$AD679), 1 / ($AV$72:$AV$76*BK679 + (1-$AV$72:$AV$76)*BG679), N($AK$72:$AK$76&gt;$AI679)),
SUMPRODUCT(INDEX($AL$67:$AN$76,,$AE679), INDEX($AO$67:$AU$76,,$AD679), 1 / ($AW$67:$AW$76*BK679 + (1-$AW$67:$AW$76)*BG679), N($AK$67:$AK$76&gt;$AI679))
) / 1000</f>
        <v>0</v>
      </c>
      <c r="BM679" s="250">
        <f t="shared" si="669"/>
        <v>25</v>
      </c>
      <c r="BN679" s="237">
        <f t="shared" si="647"/>
        <v>39.516666666666666</v>
      </c>
      <c r="BO679" s="253">
        <f t="shared" si="648"/>
        <v>3.877011788826243</v>
      </c>
      <c r="BP679" s="253" cm="1">
        <f t="array" ref="BP679">$BC679 * IF($AD679&lt;=2,
SUMPRODUCT(INDEX($AL$67:$AN$71,,$AE679), INDEX($AO$67:$AU$71,,$AD679), 1 / ($AV$67:$AV$71*BO679 + (1-$AV$67:$AV$71)*BK679), N($AK$67:$AK$71&gt;$AI679)),
SUMPRODUCT(INDEX($AL$57:$AN$66,,$AE679), INDEX($AO$57:$AU$66,,$AD679), 1 / ($AW$57:$AW$66*BO679 + (1-$AW$57:$AW$66)*BK679), N($AK$57:$AK$66&gt;$AI679))
) / 1000</f>
        <v>0</v>
      </c>
      <c r="BQ679" s="250">
        <f t="shared" si="670"/>
        <v>20</v>
      </c>
      <c r="BR679" s="237">
        <f t="shared" si="649"/>
        <v>33</v>
      </c>
      <c r="BS679" s="253">
        <f t="shared" si="650"/>
        <v>4.8487499999999999</v>
      </c>
      <c r="BT679" s="253" cm="1">
        <f t="array" ref="BT679">$BC679 * IF($AD679&lt;=2,
SUMPRODUCT(INDEX($AL$62:$AN$66,,$AE679), INDEX($AO$62:$AU$66,,$AD679), 1 / ($AV$62:$AV$66*BS679 + (1-$AV$62:$AV$66)*BO679), N($AK$62:$AK$66&gt;$AI679)),
SUMPRODUCT(INDEX($AL$47:$AN$56,,$AE679), INDEX($AO$47:$AU$56,,$AD679), 1 / ($AW$47:$AW$56*BS679 + (1-$AW$47:$AW$56)*BO679), N($AK$47:$AK$56&gt;$AI679))
) / 1000</f>
        <v>0</v>
      </c>
      <c r="BU679" s="253" cm="1">
        <f t="array" ref="BU679">$BC679 * IF($AD679&lt;=2,
SUMPRODUCT(INDEX($AL$23:$AN$61,,$AE679), INDEX($AO$23:$AU$61,,$AD679), 1 / ($AV$23:$AV$61*BS679), N($AK$23:$AK$61&gt;$AI679)),
SUMPRODUCT(INDEX($AL$23:$AN$46,,$AE679), INDEX($AO$23:$AU$46,,$AD679), 1 / ($AW$23:$AW$46*BS679), N($AK$23:$AK$46&gt;$AI679))
) / 1000</f>
        <v>0</v>
      </c>
      <c r="BV679" s="237">
        <f t="shared" si="651"/>
        <v>0</v>
      </c>
      <c r="BW679" s="210"/>
      <c r="BX679" s="237">
        <f t="shared" si="652"/>
        <v>0</v>
      </c>
      <c r="BY679" s="236">
        <v>35</v>
      </c>
      <c r="BZ679" s="237">
        <f t="shared" si="653"/>
        <v>48</v>
      </c>
      <c r="CA679" s="253">
        <f t="shared" si="654"/>
        <v>3.0748170731707316</v>
      </c>
      <c r="CB679" s="253" cm="1">
        <f t="array" ref="CB679">$BC679 * SUMPRODUCT(INDEX($AL$77:$AN$82,,$AE679),INDEX($AO$77:$AU$82,,$AD679), N($AK$77:$AK$82&gt;$AI679)) / CA679 / 1000</f>
        <v>0</v>
      </c>
      <c r="CC679" s="250">
        <f t="shared" si="671"/>
        <v>30</v>
      </c>
      <c r="CD679" s="237">
        <f t="shared" si="655"/>
        <v>43</v>
      </c>
      <c r="CE679" s="253">
        <f t="shared" si="656"/>
        <v>3.5018750000000001</v>
      </c>
      <c r="CF679" s="253" cm="1">
        <f t="array" ref="CF679">$BC679 * IF($AD679&lt;=2,
SUMPRODUCT(INDEX($AL$72:$AN$76,,$AE679), INDEX($AO$72:$AU$76,,$AD679), 1 / ($AV$72:$AV$76*CE679 + (1-$AV$72:$AV$76)*CA679), N($AK$72:$AK$76&gt;$AI679)),
SUMPRODUCT(INDEX($AL$67:$AN$76,,$AE679), INDEX($AO$67:$AU$76,,$AD679), 1 / ($AW$67:$AW$76*CE679 + (1-$AW$67:$AW$76)*CA679), N($AK$67:$AK$76&gt;$AI679))
) / 1000</f>
        <v>0</v>
      </c>
      <c r="CG679" s="250">
        <f t="shared" si="672"/>
        <v>25</v>
      </c>
      <c r="CH679" s="237">
        <f t="shared" si="657"/>
        <v>38</v>
      </c>
      <c r="CI679" s="253">
        <f t="shared" si="658"/>
        <v>4.0666935483870965</v>
      </c>
      <c r="CJ679" s="253" cm="1">
        <f t="array" ref="CJ679">$BC679 * IF($AD679&lt;=2,
SUMPRODUCT(INDEX($AL$67:$AN$71,,$AE679), INDEX($AO$67:$AU$71,,$AD679), 1 / ($AV$67:$AV$71*CI679 + (1-$AV$67:$AV$71)*CE679), N($AK$67:$AK$71&gt;$AI679)),
SUMPRODUCT(INDEX($AL$57:$AN$66,,$AE679), INDEX($AO$57:$AU$66,,$AD679), 1 / ($AW$57:$AW$66*CI679 + (1-$AW$57:$AW$66)*CE679), N($AK$57:$AK$66&gt;$AI679))
) / 1000</f>
        <v>0</v>
      </c>
      <c r="CK679" s="250">
        <f t="shared" si="673"/>
        <v>20</v>
      </c>
      <c r="CL679" s="237">
        <f t="shared" si="659"/>
        <v>33</v>
      </c>
      <c r="CM679" s="253">
        <f t="shared" si="660"/>
        <v>4.8487499999999999</v>
      </c>
      <c r="CN679" s="253" cm="1">
        <f t="array" ref="CN679">$BC679 * IF($AD679&lt;=2,
SUMPRODUCT(INDEX($AL$62:$AN$66,,$AE679), INDEX($AO$62:$AU$66,,$AD679), 1 / ($AV$62:$AV$66*CM679 + (1-$AV$62:$AV$66)*CI679), N($AK$62:$AK$66&gt;$AI679)),
SUMPRODUCT(INDEX($AL$47:$AN$56,,$AE679), INDEX($AO$47:$AU$56,,$AD679), 1 / ($AW$47:$AW$56*CM679 + (1-$AW$47:$AW$56)*CI679), N($AK$47:$AK$56&gt;$AI679))
) / 1000</f>
        <v>0</v>
      </c>
      <c r="CO679" s="253" cm="1">
        <f t="array" ref="CO679">$BC679 * IF($AD679&lt;=2,
SUMPRODUCT(INDEX($AL$23:$AN$61,,$AE679), INDEX($AO$23:$AU$61,,$AD679), 1 / ($AV$23:$AV$61*CM679), N($AK$23:$AK$61&gt;$AI679)),
SUMPRODUCT(INDEX($AL$23:$AN$46,,$AE679), INDEX($AO$23:$AU$46,,$AD679), 1 / ($AW$23:$AW$46*CM679), N($AK$23:$AK$46&gt;$AI679))
) / 1000</f>
        <v>0</v>
      </c>
      <c r="CP679" s="237">
        <f t="shared" si="661"/>
        <v>0</v>
      </c>
      <c r="CQ679" s="210"/>
    </row>
    <row r="680" spans="1:95" s="76" customFormat="1" ht="14.25" customHeight="1" x14ac:dyDescent="0.2">
      <c r="A680" s="238" t="b">
        <f t="shared" si="665"/>
        <v>0</v>
      </c>
      <c r="B680" s="239">
        <v>658</v>
      </c>
      <c r="C680" s="258"/>
      <c r="D680" s="258"/>
      <c r="E680" s="240"/>
      <c r="F680" s="241" t="str">
        <f>IF(ISBLANK(E680), "", VLOOKUP(E680, Z!$A$2:$C$4127, 3, FALSE))</f>
        <v/>
      </c>
      <c r="G680" s="242"/>
      <c r="H680" s="242"/>
      <c r="I680" s="243"/>
      <c r="J680" s="244"/>
      <c r="K680" s="259"/>
      <c r="L680" s="260"/>
      <c r="M680" s="247" t="str" cm="1">
        <f t="array" ref="M680">IF($K680&gt;0, INDEX(Clean,1+AG680,$C$1), "")</f>
        <v/>
      </c>
      <c r="N680" s="245"/>
      <c r="O680" s="245"/>
      <c r="P680" s="246"/>
      <c r="Q680" s="248">
        <f t="shared" si="638"/>
        <v>0</v>
      </c>
      <c r="R680" s="247" t="str" cm="1">
        <f t="array" ref="R680">IF($K680&gt;0, INDEX(Clean,1+AH680,$C$1), "")</f>
        <v/>
      </c>
      <c r="S680" s="245"/>
      <c r="T680" s="245"/>
      <c r="U680" s="246"/>
      <c r="V680" s="248">
        <f t="shared" si="639"/>
        <v>0</v>
      </c>
      <c r="W680" s="261"/>
      <c r="X680" s="258"/>
      <c r="Y680" s="240"/>
      <c r="Z680" s="241" t="str">
        <f>IF(ISBLANK(Y680), "", VLOOKUP(Y680, Z!$A$2:$C$4127, 3, FALSE))</f>
        <v/>
      </c>
      <c r="AA680" s="262"/>
      <c r="AB680" s="249">
        <f t="shared" si="674"/>
        <v>0</v>
      </c>
      <c r="AC680" s="210"/>
      <c r="AD680" s="236">
        <f t="shared" si="662"/>
        <v>1</v>
      </c>
      <c r="AE680" s="236">
        <f t="shared" si="663"/>
        <v>1</v>
      </c>
      <c r="AF680" s="236">
        <f t="shared" si="664"/>
        <v>0</v>
      </c>
      <c r="AG680" s="236">
        <v>1</v>
      </c>
      <c r="AH680" s="236">
        <v>0</v>
      </c>
      <c r="AI680" s="236">
        <f t="shared" si="640"/>
        <v>-100</v>
      </c>
      <c r="AJ680" s="210"/>
      <c r="AK680" s="254"/>
      <c r="AL680" s="254"/>
      <c r="AM680" s="255"/>
      <c r="AN680" s="255"/>
      <c r="AO680" s="255"/>
      <c r="AP680" s="255"/>
      <c r="AQ680" s="255"/>
      <c r="AR680" s="255"/>
      <c r="AS680" s="255"/>
      <c r="AT680" s="255"/>
      <c r="AU680" s="255"/>
      <c r="AV680" s="255"/>
      <c r="AW680" s="255"/>
      <c r="AX680" s="210"/>
      <c r="AY680" s="236" cm="1">
        <f t="array" ref="AY680">INDEX(Use, $AD680, 4)</f>
        <v>7</v>
      </c>
      <c r="AZ680" s="236">
        <f t="shared" si="641"/>
        <v>32</v>
      </c>
      <c r="BA680" s="236">
        <f t="shared" si="666"/>
        <v>13</v>
      </c>
      <c r="BB680" s="236">
        <f t="shared" si="667"/>
        <v>0</v>
      </c>
      <c r="BC680" s="252" cm="1">
        <f t="array" ref="BC680">K680/IF($L680&gt;0, INDEX($AO$23:$AU$77, $L680+20, $AD680), 1)</f>
        <v>0</v>
      </c>
      <c r="BD680" s="237">
        <f t="shared" si="642"/>
        <v>0</v>
      </c>
      <c r="BE680" s="236">
        <v>35</v>
      </c>
      <c r="BF680" s="237">
        <f t="shared" si="643"/>
        <v>52.55</v>
      </c>
      <c r="BG680" s="253">
        <f t="shared" si="644"/>
        <v>2.7676728869374316</v>
      </c>
      <c r="BH680" s="253" cm="1">
        <f t="array" ref="BH680">$BC680 * SUMPRODUCT(INDEX($AL$77:$AN$82,,$AE680),INDEX($AO$77:$AU$82,,$AD680), N($AK$77:$AK$82&gt;$AI680)) / BG680 / 1000</f>
        <v>0</v>
      </c>
      <c r="BI680" s="250">
        <f t="shared" si="668"/>
        <v>30</v>
      </c>
      <c r="BJ680" s="237">
        <f t="shared" si="645"/>
        <v>46.033333333333331</v>
      </c>
      <c r="BK680" s="253">
        <f t="shared" si="646"/>
        <v>3.2297395388556791</v>
      </c>
      <c r="BL680" s="253" cm="1">
        <f t="array" ref="BL680">$BC680 * IF($AD680&lt;=2,
SUMPRODUCT(INDEX($AL$72:$AN$76,,$AE680), INDEX($AO$72:$AU$76,,$AD680), 1 / ($AV$72:$AV$76*BK680 + (1-$AV$72:$AV$76)*BG680), N($AK$72:$AK$76&gt;$AI680)),
SUMPRODUCT(INDEX($AL$67:$AN$76,,$AE680), INDEX($AO$67:$AU$76,,$AD680), 1 / ($AW$67:$AW$76*BK680 + (1-$AW$67:$AW$76)*BG680), N($AK$67:$AK$76&gt;$AI680))
) / 1000</f>
        <v>0</v>
      </c>
      <c r="BM680" s="250">
        <f t="shared" si="669"/>
        <v>25</v>
      </c>
      <c r="BN680" s="237">
        <f t="shared" si="647"/>
        <v>39.516666666666666</v>
      </c>
      <c r="BO680" s="253">
        <f t="shared" si="648"/>
        <v>3.877011788826243</v>
      </c>
      <c r="BP680" s="253" cm="1">
        <f t="array" ref="BP680">$BC680 * IF($AD680&lt;=2,
SUMPRODUCT(INDEX($AL$67:$AN$71,,$AE680), INDEX($AO$67:$AU$71,,$AD680), 1 / ($AV$67:$AV$71*BO680 + (1-$AV$67:$AV$71)*BK680), N($AK$67:$AK$71&gt;$AI680)),
SUMPRODUCT(INDEX($AL$57:$AN$66,,$AE680), INDEX($AO$57:$AU$66,,$AD680), 1 / ($AW$57:$AW$66*BO680 + (1-$AW$57:$AW$66)*BK680), N($AK$57:$AK$66&gt;$AI680))
) / 1000</f>
        <v>0</v>
      </c>
      <c r="BQ680" s="250">
        <f t="shared" si="670"/>
        <v>20</v>
      </c>
      <c r="BR680" s="237">
        <f t="shared" si="649"/>
        <v>33</v>
      </c>
      <c r="BS680" s="253">
        <f t="shared" si="650"/>
        <v>4.8487499999999999</v>
      </c>
      <c r="BT680" s="253" cm="1">
        <f t="array" ref="BT680">$BC680 * IF($AD680&lt;=2,
SUMPRODUCT(INDEX($AL$62:$AN$66,,$AE680), INDEX($AO$62:$AU$66,,$AD680), 1 / ($AV$62:$AV$66*BS680 + (1-$AV$62:$AV$66)*BO680), N($AK$62:$AK$66&gt;$AI680)),
SUMPRODUCT(INDEX($AL$47:$AN$56,,$AE680), INDEX($AO$47:$AU$56,,$AD680), 1 / ($AW$47:$AW$56*BS680 + (1-$AW$47:$AW$56)*BO680), N($AK$47:$AK$56&gt;$AI680))
) / 1000</f>
        <v>0</v>
      </c>
      <c r="BU680" s="253" cm="1">
        <f t="array" ref="BU680">$BC680 * IF($AD680&lt;=2,
SUMPRODUCT(INDEX($AL$23:$AN$61,,$AE680), INDEX($AO$23:$AU$61,,$AD680), 1 / ($AV$23:$AV$61*BS680), N($AK$23:$AK$61&gt;$AI680)),
SUMPRODUCT(INDEX($AL$23:$AN$46,,$AE680), INDEX($AO$23:$AU$46,,$AD680), 1 / ($AW$23:$AW$46*BS680), N($AK$23:$AK$46&gt;$AI680))
) / 1000</f>
        <v>0</v>
      </c>
      <c r="BV680" s="237">
        <f t="shared" si="651"/>
        <v>0</v>
      </c>
      <c r="BW680" s="210"/>
      <c r="BX680" s="237">
        <f t="shared" si="652"/>
        <v>0</v>
      </c>
      <c r="BY680" s="236">
        <v>35</v>
      </c>
      <c r="BZ680" s="237">
        <f t="shared" si="653"/>
        <v>48</v>
      </c>
      <c r="CA680" s="253">
        <f t="shared" si="654"/>
        <v>3.0748170731707316</v>
      </c>
      <c r="CB680" s="253" cm="1">
        <f t="array" ref="CB680">$BC680 * SUMPRODUCT(INDEX($AL$77:$AN$82,,$AE680),INDEX($AO$77:$AU$82,,$AD680), N($AK$77:$AK$82&gt;$AI680)) / CA680 / 1000</f>
        <v>0</v>
      </c>
      <c r="CC680" s="250">
        <f t="shared" si="671"/>
        <v>30</v>
      </c>
      <c r="CD680" s="237">
        <f t="shared" si="655"/>
        <v>43</v>
      </c>
      <c r="CE680" s="253">
        <f t="shared" si="656"/>
        <v>3.5018750000000001</v>
      </c>
      <c r="CF680" s="253" cm="1">
        <f t="array" ref="CF680">$BC680 * IF($AD680&lt;=2,
SUMPRODUCT(INDEX($AL$72:$AN$76,,$AE680), INDEX($AO$72:$AU$76,,$AD680), 1 / ($AV$72:$AV$76*CE680 + (1-$AV$72:$AV$76)*CA680), N($AK$72:$AK$76&gt;$AI680)),
SUMPRODUCT(INDEX($AL$67:$AN$76,,$AE680), INDEX($AO$67:$AU$76,,$AD680), 1 / ($AW$67:$AW$76*CE680 + (1-$AW$67:$AW$76)*CA680), N($AK$67:$AK$76&gt;$AI680))
) / 1000</f>
        <v>0</v>
      </c>
      <c r="CG680" s="250">
        <f t="shared" si="672"/>
        <v>25</v>
      </c>
      <c r="CH680" s="237">
        <f t="shared" si="657"/>
        <v>38</v>
      </c>
      <c r="CI680" s="253">
        <f t="shared" si="658"/>
        <v>4.0666935483870965</v>
      </c>
      <c r="CJ680" s="253" cm="1">
        <f t="array" ref="CJ680">$BC680 * IF($AD680&lt;=2,
SUMPRODUCT(INDEX($AL$67:$AN$71,,$AE680), INDEX($AO$67:$AU$71,,$AD680), 1 / ($AV$67:$AV$71*CI680 + (1-$AV$67:$AV$71)*CE680), N($AK$67:$AK$71&gt;$AI680)),
SUMPRODUCT(INDEX($AL$57:$AN$66,,$AE680), INDEX($AO$57:$AU$66,,$AD680), 1 / ($AW$57:$AW$66*CI680 + (1-$AW$57:$AW$66)*CE680), N($AK$57:$AK$66&gt;$AI680))
) / 1000</f>
        <v>0</v>
      </c>
      <c r="CK680" s="250">
        <f t="shared" si="673"/>
        <v>20</v>
      </c>
      <c r="CL680" s="237">
        <f t="shared" si="659"/>
        <v>33</v>
      </c>
      <c r="CM680" s="253">
        <f t="shared" si="660"/>
        <v>4.8487499999999999</v>
      </c>
      <c r="CN680" s="253" cm="1">
        <f t="array" ref="CN680">$BC680 * IF($AD680&lt;=2,
SUMPRODUCT(INDEX($AL$62:$AN$66,,$AE680), INDEX($AO$62:$AU$66,,$AD680), 1 / ($AV$62:$AV$66*CM680 + (1-$AV$62:$AV$66)*CI680), N($AK$62:$AK$66&gt;$AI680)),
SUMPRODUCT(INDEX($AL$47:$AN$56,,$AE680), INDEX($AO$47:$AU$56,,$AD680), 1 / ($AW$47:$AW$56*CM680 + (1-$AW$47:$AW$56)*CI680), N($AK$47:$AK$56&gt;$AI680))
) / 1000</f>
        <v>0</v>
      </c>
      <c r="CO680" s="253" cm="1">
        <f t="array" ref="CO680">$BC680 * IF($AD680&lt;=2,
SUMPRODUCT(INDEX($AL$23:$AN$61,,$AE680), INDEX($AO$23:$AU$61,,$AD680), 1 / ($AV$23:$AV$61*CM680), N($AK$23:$AK$61&gt;$AI680)),
SUMPRODUCT(INDEX($AL$23:$AN$46,,$AE680), INDEX($AO$23:$AU$46,,$AD680), 1 / ($AW$23:$AW$46*CM680), N($AK$23:$AK$46&gt;$AI680))
) / 1000</f>
        <v>0</v>
      </c>
      <c r="CP680" s="237">
        <f t="shared" si="661"/>
        <v>0</v>
      </c>
      <c r="CQ680" s="210"/>
    </row>
    <row r="681" spans="1:95" s="76" customFormat="1" ht="14.25" customHeight="1" x14ac:dyDescent="0.2">
      <c r="A681" s="238" t="b">
        <f t="shared" si="665"/>
        <v>0</v>
      </c>
      <c r="B681" s="239">
        <v>659</v>
      </c>
      <c r="C681" s="258"/>
      <c r="D681" s="258"/>
      <c r="E681" s="240"/>
      <c r="F681" s="241" t="str">
        <f>IF(ISBLANK(E681), "", VLOOKUP(E681, Z!$A$2:$C$4127, 3, FALSE))</f>
        <v/>
      </c>
      <c r="G681" s="242"/>
      <c r="H681" s="242"/>
      <c r="I681" s="243"/>
      <c r="J681" s="244"/>
      <c r="K681" s="259"/>
      <c r="L681" s="260"/>
      <c r="M681" s="247" t="str" cm="1">
        <f t="array" ref="M681">IF($K681&gt;0, INDEX(Clean,1+AG681,$C$1), "")</f>
        <v/>
      </c>
      <c r="N681" s="245"/>
      <c r="O681" s="245"/>
      <c r="P681" s="246"/>
      <c r="Q681" s="248">
        <f t="shared" si="638"/>
        <v>0</v>
      </c>
      <c r="R681" s="247" t="str" cm="1">
        <f t="array" ref="R681">IF($K681&gt;0, INDEX(Clean,1+AH681,$C$1), "")</f>
        <v/>
      </c>
      <c r="S681" s="245"/>
      <c r="T681" s="245"/>
      <c r="U681" s="246"/>
      <c r="V681" s="248">
        <f t="shared" si="639"/>
        <v>0</v>
      </c>
      <c r="W681" s="261"/>
      <c r="X681" s="258"/>
      <c r="Y681" s="240"/>
      <c r="Z681" s="241" t="str">
        <f>IF(ISBLANK(Y681), "", VLOOKUP(Y681, Z!$A$2:$C$4127, 3, FALSE))</f>
        <v/>
      </c>
      <c r="AA681" s="262"/>
      <c r="AB681" s="249">
        <f t="shared" si="674"/>
        <v>0</v>
      </c>
      <c r="AC681" s="210"/>
      <c r="AD681" s="236">
        <f t="shared" si="662"/>
        <v>1</v>
      </c>
      <c r="AE681" s="236">
        <f t="shared" si="663"/>
        <v>1</v>
      </c>
      <c r="AF681" s="236">
        <f t="shared" si="664"/>
        <v>0</v>
      </c>
      <c r="AG681" s="236">
        <v>1</v>
      </c>
      <c r="AH681" s="236">
        <v>0</v>
      </c>
      <c r="AI681" s="236">
        <f t="shared" si="640"/>
        <v>-100</v>
      </c>
      <c r="AJ681" s="210"/>
      <c r="AK681" s="254"/>
      <c r="AL681" s="254"/>
      <c r="AM681" s="255"/>
      <c r="AN681" s="255"/>
      <c r="AO681" s="255"/>
      <c r="AP681" s="255"/>
      <c r="AQ681" s="255"/>
      <c r="AR681" s="255"/>
      <c r="AS681" s="255"/>
      <c r="AT681" s="255"/>
      <c r="AU681" s="255"/>
      <c r="AV681" s="255"/>
      <c r="AW681" s="255"/>
      <c r="AX681" s="210"/>
      <c r="AY681" s="236" cm="1">
        <f t="array" ref="AY681">INDEX(Use, $AD681, 4)</f>
        <v>7</v>
      </c>
      <c r="AZ681" s="236">
        <f t="shared" si="641"/>
        <v>32</v>
      </c>
      <c r="BA681" s="236">
        <f t="shared" si="666"/>
        <v>13</v>
      </c>
      <c r="BB681" s="236">
        <f t="shared" si="667"/>
        <v>0</v>
      </c>
      <c r="BC681" s="252" cm="1">
        <f t="array" ref="BC681">K681/IF($L681&gt;0, INDEX($AO$23:$AU$77, $L681+20, $AD681), 1)</f>
        <v>0</v>
      </c>
      <c r="BD681" s="237">
        <f t="shared" si="642"/>
        <v>0</v>
      </c>
      <c r="BE681" s="236">
        <v>35</v>
      </c>
      <c r="BF681" s="237">
        <f t="shared" si="643"/>
        <v>52.55</v>
      </c>
      <c r="BG681" s="253">
        <f t="shared" si="644"/>
        <v>2.7676728869374316</v>
      </c>
      <c r="BH681" s="253" cm="1">
        <f t="array" ref="BH681">$BC681 * SUMPRODUCT(INDEX($AL$77:$AN$82,,$AE681),INDEX($AO$77:$AU$82,,$AD681), N($AK$77:$AK$82&gt;$AI681)) / BG681 / 1000</f>
        <v>0</v>
      </c>
      <c r="BI681" s="250">
        <f t="shared" si="668"/>
        <v>30</v>
      </c>
      <c r="BJ681" s="237">
        <f t="shared" si="645"/>
        <v>46.033333333333331</v>
      </c>
      <c r="BK681" s="253">
        <f t="shared" si="646"/>
        <v>3.2297395388556791</v>
      </c>
      <c r="BL681" s="253" cm="1">
        <f t="array" ref="BL681">$BC681 * IF($AD681&lt;=2,
SUMPRODUCT(INDEX($AL$72:$AN$76,,$AE681), INDEX($AO$72:$AU$76,,$AD681), 1 / ($AV$72:$AV$76*BK681 + (1-$AV$72:$AV$76)*BG681), N($AK$72:$AK$76&gt;$AI681)),
SUMPRODUCT(INDEX($AL$67:$AN$76,,$AE681), INDEX($AO$67:$AU$76,,$AD681), 1 / ($AW$67:$AW$76*BK681 + (1-$AW$67:$AW$76)*BG681), N($AK$67:$AK$76&gt;$AI681))
) / 1000</f>
        <v>0</v>
      </c>
      <c r="BM681" s="250">
        <f t="shared" si="669"/>
        <v>25</v>
      </c>
      <c r="BN681" s="237">
        <f t="shared" si="647"/>
        <v>39.516666666666666</v>
      </c>
      <c r="BO681" s="253">
        <f t="shared" si="648"/>
        <v>3.877011788826243</v>
      </c>
      <c r="BP681" s="253" cm="1">
        <f t="array" ref="BP681">$BC681 * IF($AD681&lt;=2,
SUMPRODUCT(INDEX($AL$67:$AN$71,,$AE681), INDEX($AO$67:$AU$71,,$AD681), 1 / ($AV$67:$AV$71*BO681 + (1-$AV$67:$AV$71)*BK681), N($AK$67:$AK$71&gt;$AI681)),
SUMPRODUCT(INDEX($AL$57:$AN$66,,$AE681), INDEX($AO$57:$AU$66,,$AD681), 1 / ($AW$57:$AW$66*BO681 + (1-$AW$57:$AW$66)*BK681), N($AK$57:$AK$66&gt;$AI681))
) / 1000</f>
        <v>0</v>
      </c>
      <c r="BQ681" s="250">
        <f t="shared" si="670"/>
        <v>20</v>
      </c>
      <c r="BR681" s="237">
        <f t="shared" si="649"/>
        <v>33</v>
      </c>
      <c r="BS681" s="253">
        <f t="shared" si="650"/>
        <v>4.8487499999999999</v>
      </c>
      <c r="BT681" s="253" cm="1">
        <f t="array" ref="BT681">$BC681 * IF($AD681&lt;=2,
SUMPRODUCT(INDEX($AL$62:$AN$66,,$AE681), INDEX($AO$62:$AU$66,,$AD681), 1 / ($AV$62:$AV$66*BS681 + (1-$AV$62:$AV$66)*BO681), N($AK$62:$AK$66&gt;$AI681)),
SUMPRODUCT(INDEX($AL$47:$AN$56,,$AE681), INDEX($AO$47:$AU$56,,$AD681), 1 / ($AW$47:$AW$56*BS681 + (1-$AW$47:$AW$56)*BO681), N($AK$47:$AK$56&gt;$AI681))
) / 1000</f>
        <v>0</v>
      </c>
      <c r="BU681" s="253" cm="1">
        <f t="array" ref="BU681">$BC681 * IF($AD681&lt;=2,
SUMPRODUCT(INDEX($AL$23:$AN$61,,$AE681), INDEX($AO$23:$AU$61,,$AD681), 1 / ($AV$23:$AV$61*BS681), N($AK$23:$AK$61&gt;$AI681)),
SUMPRODUCT(INDEX($AL$23:$AN$46,,$AE681), INDEX($AO$23:$AU$46,,$AD681), 1 / ($AW$23:$AW$46*BS681), N($AK$23:$AK$46&gt;$AI681))
) / 1000</f>
        <v>0</v>
      </c>
      <c r="BV681" s="237">
        <f t="shared" si="651"/>
        <v>0</v>
      </c>
      <c r="BW681" s="210"/>
      <c r="BX681" s="237">
        <f t="shared" si="652"/>
        <v>0</v>
      </c>
      <c r="BY681" s="236">
        <v>35</v>
      </c>
      <c r="BZ681" s="237">
        <f t="shared" si="653"/>
        <v>48</v>
      </c>
      <c r="CA681" s="253">
        <f t="shared" si="654"/>
        <v>3.0748170731707316</v>
      </c>
      <c r="CB681" s="253" cm="1">
        <f t="array" ref="CB681">$BC681 * SUMPRODUCT(INDEX($AL$77:$AN$82,,$AE681),INDEX($AO$77:$AU$82,,$AD681), N($AK$77:$AK$82&gt;$AI681)) / CA681 / 1000</f>
        <v>0</v>
      </c>
      <c r="CC681" s="250">
        <f t="shared" si="671"/>
        <v>30</v>
      </c>
      <c r="CD681" s="237">
        <f t="shared" si="655"/>
        <v>43</v>
      </c>
      <c r="CE681" s="253">
        <f t="shared" si="656"/>
        <v>3.5018750000000001</v>
      </c>
      <c r="CF681" s="253" cm="1">
        <f t="array" ref="CF681">$BC681 * IF($AD681&lt;=2,
SUMPRODUCT(INDEX($AL$72:$AN$76,,$AE681), INDEX($AO$72:$AU$76,,$AD681), 1 / ($AV$72:$AV$76*CE681 + (1-$AV$72:$AV$76)*CA681), N($AK$72:$AK$76&gt;$AI681)),
SUMPRODUCT(INDEX($AL$67:$AN$76,,$AE681), INDEX($AO$67:$AU$76,,$AD681), 1 / ($AW$67:$AW$76*CE681 + (1-$AW$67:$AW$76)*CA681), N($AK$67:$AK$76&gt;$AI681))
) / 1000</f>
        <v>0</v>
      </c>
      <c r="CG681" s="250">
        <f t="shared" si="672"/>
        <v>25</v>
      </c>
      <c r="CH681" s="237">
        <f t="shared" si="657"/>
        <v>38</v>
      </c>
      <c r="CI681" s="253">
        <f t="shared" si="658"/>
        <v>4.0666935483870965</v>
      </c>
      <c r="CJ681" s="253" cm="1">
        <f t="array" ref="CJ681">$BC681 * IF($AD681&lt;=2,
SUMPRODUCT(INDEX($AL$67:$AN$71,,$AE681), INDEX($AO$67:$AU$71,,$AD681), 1 / ($AV$67:$AV$71*CI681 + (1-$AV$67:$AV$71)*CE681), N($AK$67:$AK$71&gt;$AI681)),
SUMPRODUCT(INDEX($AL$57:$AN$66,,$AE681), INDEX($AO$57:$AU$66,,$AD681), 1 / ($AW$57:$AW$66*CI681 + (1-$AW$57:$AW$66)*CE681), N($AK$57:$AK$66&gt;$AI681))
) / 1000</f>
        <v>0</v>
      </c>
      <c r="CK681" s="250">
        <f t="shared" si="673"/>
        <v>20</v>
      </c>
      <c r="CL681" s="237">
        <f t="shared" si="659"/>
        <v>33</v>
      </c>
      <c r="CM681" s="253">
        <f t="shared" si="660"/>
        <v>4.8487499999999999</v>
      </c>
      <c r="CN681" s="253" cm="1">
        <f t="array" ref="CN681">$BC681 * IF($AD681&lt;=2,
SUMPRODUCT(INDEX($AL$62:$AN$66,,$AE681), INDEX($AO$62:$AU$66,,$AD681), 1 / ($AV$62:$AV$66*CM681 + (1-$AV$62:$AV$66)*CI681), N($AK$62:$AK$66&gt;$AI681)),
SUMPRODUCT(INDEX($AL$47:$AN$56,,$AE681), INDEX($AO$47:$AU$56,,$AD681), 1 / ($AW$47:$AW$56*CM681 + (1-$AW$47:$AW$56)*CI681), N($AK$47:$AK$56&gt;$AI681))
) / 1000</f>
        <v>0</v>
      </c>
      <c r="CO681" s="253" cm="1">
        <f t="array" ref="CO681">$BC681 * IF($AD681&lt;=2,
SUMPRODUCT(INDEX($AL$23:$AN$61,,$AE681), INDEX($AO$23:$AU$61,,$AD681), 1 / ($AV$23:$AV$61*CM681), N($AK$23:$AK$61&gt;$AI681)),
SUMPRODUCT(INDEX($AL$23:$AN$46,,$AE681), INDEX($AO$23:$AU$46,,$AD681), 1 / ($AW$23:$AW$46*CM681), N($AK$23:$AK$46&gt;$AI681))
) / 1000</f>
        <v>0</v>
      </c>
      <c r="CP681" s="237">
        <f t="shared" si="661"/>
        <v>0</v>
      </c>
      <c r="CQ681" s="210"/>
    </row>
    <row r="682" spans="1:95" s="76" customFormat="1" ht="14.25" customHeight="1" x14ac:dyDescent="0.2">
      <c r="A682" s="238" t="b">
        <f t="shared" si="665"/>
        <v>0</v>
      </c>
      <c r="B682" s="239">
        <v>660</v>
      </c>
      <c r="C682" s="258"/>
      <c r="D682" s="258"/>
      <c r="E682" s="240"/>
      <c r="F682" s="241" t="str">
        <f>IF(ISBLANK(E682), "", VLOOKUP(E682, Z!$A$2:$C$4127, 3, FALSE))</f>
        <v/>
      </c>
      <c r="G682" s="242"/>
      <c r="H682" s="242"/>
      <c r="I682" s="243"/>
      <c r="J682" s="244"/>
      <c r="K682" s="259"/>
      <c r="L682" s="260"/>
      <c r="M682" s="247" t="str" cm="1">
        <f t="array" ref="M682">IF($K682&gt;0, INDEX(Clean,1+AG682,$C$1), "")</f>
        <v/>
      </c>
      <c r="N682" s="245"/>
      <c r="O682" s="245"/>
      <c r="P682" s="246"/>
      <c r="Q682" s="248">
        <f t="shared" si="638"/>
        <v>0</v>
      </c>
      <c r="R682" s="247" t="str" cm="1">
        <f t="array" ref="R682">IF($K682&gt;0, INDEX(Clean,1+AH682,$C$1), "")</f>
        <v/>
      </c>
      <c r="S682" s="245"/>
      <c r="T682" s="245"/>
      <c r="U682" s="246"/>
      <c r="V682" s="248">
        <f t="shared" si="639"/>
        <v>0</v>
      </c>
      <c r="W682" s="261"/>
      <c r="X682" s="258"/>
      <c r="Y682" s="240"/>
      <c r="Z682" s="241" t="str">
        <f>IF(ISBLANK(Y682), "", VLOOKUP(Y682, Z!$A$2:$C$4127, 3, FALSE))</f>
        <v/>
      </c>
      <c r="AA682" s="262"/>
      <c r="AB682" s="249">
        <f t="shared" si="674"/>
        <v>0</v>
      </c>
      <c r="AC682" s="210"/>
      <c r="AD682" s="236">
        <f t="shared" si="662"/>
        <v>1</v>
      </c>
      <c r="AE682" s="236">
        <f t="shared" si="663"/>
        <v>1</v>
      </c>
      <c r="AF682" s="236">
        <f t="shared" si="664"/>
        <v>0</v>
      </c>
      <c r="AG682" s="236">
        <v>1</v>
      </c>
      <c r="AH682" s="236">
        <v>0</v>
      </c>
      <c r="AI682" s="236">
        <f t="shared" si="640"/>
        <v>-100</v>
      </c>
      <c r="AJ682" s="210"/>
      <c r="AK682" s="254"/>
      <c r="AL682" s="254"/>
      <c r="AM682" s="255"/>
      <c r="AN682" s="255"/>
      <c r="AO682" s="255"/>
      <c r="AP682" s="255"/>
      <c r="AQ682" s="255"/>
      <c r="AR682" s="255"/>
      <c r="AS682" s="255"/>
      <c r="AT682" s="255"/>
      <c r="AU682" s="255"/>
      <c r="AV682" s="255"/>
      <c r="AW682" s="255"/>
      <c r="AX682" s="210"/>
      <c r="AY682" s="236" cm="1">
        <f t="array" ref="AY682">INDEX(Use, $AD682, 4)</f>
        <v>7</v>
      </c>
      <c r="AZ682" s="236">
        <f t="shared" si="641"/>
        <v>32</v>
      </c>
      <c r="BA682" s="236">
        <f t="shared" si="666"/>
        <v>13</v>
      </c>
      <c r="BB682" s="236">
        <f t="shared" si="667"/>
        <v>0</v>
      </c>
      <c r="BC682" s="252" cm="1">
        <f t="array" ref="BC682">K682/IF($L682&gt;0, INDEX($AO$23:$AU$77, $L682+20, $AD682), 1)</f>
        <v>0</v>
      </c>
      <c r="BD682" s="237">
        <f t="shared" si="642"/>
        <v>0</v>
      </c>
      <c r="BE682" s="236">
        <v>35</v>
      </c>
      <c r="BF682" s="237">
        <f t="shared" si="643"/>
        <v>52.55</v>
      </c>
      <c r="BG682" s="253">
        <f t="shared" si="644"/>
        <v>2.7676728869374316</v>
      </c>
      <c r="BH682" s="253" cm="1">
        <f t="array" ref="BH682">$BC682 * SUMPRODUCT(INDEX($AL$77:$AN$82,,$AE682),INDEX($AO$77:$AU$82,,$AD682), N($AK$77:$AK$82&gt;$AI682)) / BG682 / 1000</f>
        <v>0</v>
      </c>
      <c r="BI682" s="250">
        <f t="shared" si="668"/>
        <v>30</v>
      </c>
      <c r="BJ682" s="237">
        <f t="shared" si="645"/>
        <v>46.033333333333331</v>
      </c>
      <c r="BK682" s="253">
        <f t="shared" si="646"/>
        <v>3.2297395388556791</v>
      </c>
      <c r="BL682" s="253" cm="1">
        <f t="array" ref="BL682">$BC682 * IF($AD682&lt;=2,
SUMPRODUCT(INDEX($AL$72:$AN$76,,$AE682), INDEX($AO$72:$AU$76,,$AD682), 1 / ($AV$72:$AV$76*BK682 + (1-$AV$72:$AV$76)*BG682), N($AK$72:$AK$76&gt;$AI682)),
SUMPRODUCT(INDEX($AL$67:$AN$76,,$AE682), INDEX($AO$67:$AU$76,,$AD682), 1 / ($AW$67:$AW$76*BK682 + (1-$AW$67:$AW$76)*BG682), N($AK$67:$AK$76&gt;$AI682))
) / 1000</f>
        <v>0</v>
      </c>
      <c r="BM682" s="250">
        <f t="shared" si="669"/>
        <v>25</v>
      </c>
      <c r="BN682" s="237">
        <f t="shared" si="647"/>
        <v>39.516666666666666</v>
      </c>
      <c r="BO682" s="253">
        <f t="shared" si="648"/>
        <v>3.877011788826243</v>
      </c>
      <c r="BP682" s="253" cm="1">
        <f t="array" ref="BP682">$BC682 * IF($AD682&lt;=2,
SUMPRODUCT(INDEX($AL$67:$AN$71,,$AE682), INDEX($AO$67:$AU$71,,$AD682), 1 / ($AV$67:$AV$71*BO682 + (1-$AV$67:$AV$71)*BK682), N($AK$67:$AK$71&gt;$AI682)),
SUMPRODUCT(INDEX($AL$57:$AN$66,,$AE682), INDEX($AO$57:$AU$66,,$AD682), 1 / ($AW$57:$AW$66*BO682 + (1-$AW$57:$AW$66)*BK682), N($AK$57:$AK$66&gt;$AI682))
) / 1000</f>
        <v>0</v>
      </c>
      <c r="BQ682" s="250">
        <f t="shared" si="670"/>
        <v>20</v>
      </c>
      <c r="BR682" s="237">
        <f t="shared" si="649"/>
        <v>33</v>
      </c>
      <c r="BS682" s="253">
        <f t="shared" si="650"/>
        <v>4.8487499999999999</v>
      </c>
      <c r="BT682" s="253" cm="1">
        <f t="array" ref="BT682">$BC682 * IF($AD682&lt;=2,
SUMPRODUCT(INDEX($AL$62:$AN$66,,$AE682), INDEX($AO$62:$AU$66,,$AD682), 1 / ($AV$62:$AV$66*BS682 + (1-$AV$62:$AV$66)*BO682), N($AK$62:$AK$66&gt;$AI682)),
SUMPRODUCT(INDEX($AL$47:$AN$56,,$AE682), INDEX($AO$47:$AU$56,,$AD682), 1 / ($AW$47:$AW$56*BS682 + (1-$AW$47:$AW$56)*BO682), N($AK$47:$AK$56&gt;$AI682))
) / 1000</f>
        <v>0</v>
      </c>
      <c r="BU682" s="253" cm="1">
        <f t="array" ref="BU682">$BC682 * IF($AD682&lt;=2,
SUMPRODUCT(INDEX($AL$23:$AN$61,,$AE682), INDEX($AO$23:$AU$61,,$AD682), 1 / ($AV$23:$AV$61*BS682), N($AK$23:$AK$61&gt;$AI682)),
SUMPRODUCT(INDEX($AL$23:$AN$46,,$AE682), INDEX($AO$23:$AU$46,,$AD682), 1 / ($AW$23:$AW$46*BS682), N($AK$23:$AK$46&gt;$AI682))
) / 1000</f>
        <v>0</v>
      </c>
      <c r="BV682" s="237">
        <f t="shared" si="651"/>
        <v>0</v>
      </c>
      <c r="BW682" s="210"/>
      <c r="BX682" s="237">
        <f t="shared" si="652"/>
        <v>0</v>
      </c>
      <c r="BY682" s="236">
        <v>35</v>
      </c>
      <c r="BZ682" s="237">
        <f t="shared" si="653"/>
        <v>48</v>
      </c>
      <c r="CA682" s="253">
        <f t="shared" si="654"/>
        <v>3.0748170731707316</v>
      </c>
      <c r="CB682" s="253" cm="1">
        <f t="array" ref="CB682">$BC682 * SUMPRODUCT(INDEX($AL$77:$AN$82,,$AE682),INDEX($AO$77:$AU$82,,$AD682), N($AK$77:$AK$82&gt;$AI682)) / CA682 / 1000</f>
        <v>0</v>
      </c>
      <c r="CC682" s="250">
        <f t="shared" si="671"/>
        <v>30</v>
      </c>
      <c r="CD682" s="237">
        <f t="shared" si="655"/>
        <v>43</v>
      </c>
      <c r="CE682" s="253">
        <f t="shared" si="656"/>
        <v>3.5018750000000001</v>
      </c>
      <c r="CF682" s="253" cm="1">
        <f t="array" ref="CF682">$BC682 * IF($AD682&lt;=2,
SUMPRODUCT(INDEX($AL$72:$AN$76,,$AE682), INDEX($AO$72:$AU$76,,$AD682), 1 / ($AV$72:$AV$76*CE682 + (1-$AV$72:$AV$76)*CA682), N($AK$72:$AK$76&gt;$AI682)),
SUMPRODUCT(INDEX($AL$67:$AN$76,,$AE682), INDEX($AO$67:$AU$76,,$AD682), 1 / ($AW$67:$AW$76*CE682 + (1-$AW$67:$AW$76)*CA682), N($AK$67:$AK$76&gt;$AI682))
) / 1000</f>
        <v>0</v>
      </c>
      <c r="CG682" s="250">
        <f t="shared" si="672"/>
        <v>25</v>
      </c>
      <c r="CH682" s="237">
        <f t="shared" si="657"/>
        <v>38</v>
      </c>
      <c r="CI682" s="253">
        <f t="shared" si="658"/>
        <v>4.0666935483870965</v>
      </c>
      <c r="CJ682" s="253" cm="1">
        <f t="array" ref="CJ682">$BC682 * IF($AD682&lt;=2,
SUMPRODUCT(INDEX($AL$67:$AN$71,,$AE682), INDEX($AO$67:$AU$71,,$AD682), 1 / ($AV$67:$AV$71*CI682 + (1-$AV$67:$AV$71)*CE682), N($AK$67:$AK$71&gt;$AI682)),
SUMPRODUCT(INDEX($AL$57:$AN$66,,$AE682), INDEX($AO$57:$AU$66,,$AD682), 1 / ($AW$57:$AW$66*CI682 + (1-$AW$57:$AW$66)*CE682), N($AK$57:$AK$66&gt;$AI682))
) / 1000</f>
        <v>0</v>
      </c>
      <c r="CK682" s="250">
        <f t="shared" si="673"/>
        <v>20</v>
      </c>
      <c r="CL682" s="237">
        <f t="shared" si="659"/>
        <v>33</v>
      </c>
      <c r="CM682" s="253">
        <f t="shared" si="660"/>
        <v>4.8487499999999999</v>
      </c>
      <c r="CN682" s="253" cm="1">
        <f t="array" ref="CN682">$BC682 * IF($AD682&lt;=2,
SUMPRODUCT(INDEX($AL$62:$AN$66,,$AE682), INDEX($AO$62:$AU$66,,$AD682), 1 / ($AV$62:$AV$66*CM682 + (1-$AV$62:$AV$66)*CI682), N($AK$62:$AK$66&gt;$AI682)),
SUMPRODUCT(INDEX($AL$47:$AN$56,,$AE682), INDEX($AO$47:$AU$56,,$AD682), 1 / ($AW$47:$AW$56*CM682 + (1-$AW$47:$AW$56)*CI682), N($AK$47:$AK$56&gt;$AI682))
) / 1000</f>
        <v>0</v>
      </c>
      <c r="CO682" s="253" cm="1">
        <f t="array" ref="CO682">$BC682 * IF($AD682&lt;=2,
SUMPRODUCT(INDEX($AL$23:$AN$61,,$AE682), INDEX($AO$23:$AU$61,,$AD682), 1 / ($AV$23:$AV$61*CM682), N($AK$23:$AK$61&gt;$AI682)),
SUMPRODUCT(INDEX($AL$23:$AN$46,,$AE682), INDEX($AO$23:$AU$46,,$AD682), 1 / ($AW$23:$AW$46*CM682), N($AK$23:$AK$46&gt;$AI682))
) / 1000</f>
        <v>0</v>
      </c>
      <c r="CP682" s="237">
        <f t="shared" si="661"/>
        <v>0</v>
      </c>
      <c r="CQ682" s="210"/>
    </row>
    <row r="683" spans="1:95" s="76" customFormat="1" ht="14.25" customHeight="1" x14ac:dyDescent="0.2">
      <c r="A683" s="238" t="b">
        <f t="shared" si="665"/>
        <v>0</v>
      </c>
      <c r="B683" s="239">
        <v>661</v>
      </c>
      <c r="C683" s="258"/>
      <c r="D683" s="258"/>
      <c r="E683" s="240"/>
      <c r="F683" s="241" t="str">
        <f>IF(ISBLANK(E683), "", VLOOKUP(E683, Z!$A$2:$C$4127, 3, FALSE))</f>
        <v/>
      </c>
      <c r="G683" s="242"/>
      <c r="H683" s="242"/>
      <c r="I683" s="243"/>
      <c r="J683" s="244"/>
      <c r="K683" s="259"/>
      <c r="L683" s="260"/>
      <c r="M683" s="247" t="str" cm="1">
        <f t="array" ref="M683">IF($K683&gt;0, INDEX(Clean,1+AG683,$C$1), "")</f>
        <v/>
      </c>
      <c r="N683" s="245"/>
      <c r="O683" s="245"/>
      <c r="P683" s="246"/>
      <c r="Q683" s="248">
        <f t="shared" si="638"/>
        <v>0</v>
      </c>
      <c r="R683" s="247" t="str" cm="1">
        <f t="array" ref="R683">IF($K683&gt;0, INDEX(Clean,1+AH683,$C$1), "")</f>
        <v/>
      </c>
      <c r="S683" s="245"/>
      <c r="T683" s="245"/>
      <c r="U683" s="246"/>
      <c r="V683" s="248">
        <f t="shared" si="639"/>
        <v>0</v>
      </c>
      <c r="W683" s="261"/>
      <c r="X683" s="258"/>
      <c r="Y683" s="240"/>
      <c r="Z683" s="241" t="str">
        <f>IF(ISBLANK(Y683), "", VLOOKUP(Y683, Z!$A$2:$C$4127, 3, FALSE))</f>
        <v/>
      </c>
      <c r="AA683" s="262"/>
      <c r="AB683" s="249">
        <f t="shared" si="674"/>
        <v>0</v>
      </c>
      <c r="AC683" s="210"/>
      <c r="AD683" s="236">
        <f t="shared" si="662"/>
        <v>1</v>
      </c>
      <c r="AE683" s="236">
        <f t="shared" si="663"/>
        <v>1</v>
      </c>
      <c r="AF683" s="236">
        <f t="shared" si="664"/>
        <v>0</v>
      </c>
      <c r="AG683" s="236">
        <v>1</v>
      </c>
      <c r="AH683" s="236">
        <v>0</v>
      </c>
      <c r="AI683" s="236">
        <f t="shared" si="640"/>
        <v>-100</v>
      </c>
      <c r="AJ683" s="210"/>
      <c r="AK683" s="254"/>
      <c r="AL683" s="254"/>
      <c r="AM683" s="255"/>
      <c r="AN683" s="255"/>
      <c r="AO683" s="255"/>
      <c r="AP683" s="255"/>
      <c r="AQ683" s="255"/>
      <c r="AR683" s="255"/>
      <c r="AS683" s="255"/>
      <c r="AT683" s="255"/>
      <c r="AU683" s="255"/>
      <c r="AV683" s="255"/>
      <c r="AW683" s="255"/>
      <c r="AX683" s="210"/>
      <c r="AY683" s="236" cm="1">
        <f t="array" ref="AY683">INDEX(Use, $AD683, 4)</f>
        <v>7</v>
      </c>
      <c r="AZ683" s="236">
        <f t="shared" si="641"/>
        <v>32</v>
      </c>
      <c r="BA683" s="236">
        <f t="shared" si="666"/>
        <v>13</v>
      </c>
      <c r="BB683" s="236">
        <f t="shared" si="667"/>
        <v>0</v>
      </c>
      <c r="BC683" s="252" cm="1">
        <f t="array" ref="BC683">K683/IF($L683&gt;0, INDEX($AO$23:$AU$77, $L683+20, $AD683), 1)</f>
        <v>0</v>
      </c>
      <c r="BD683" s="237">
        <f t="shared" si="642"/>
        <v>0</v>
      </c>
      <c r="BE683" s="236">
        <v>35</v>
      </c>
      <c r="BF683" s="237">
        <f t="shared" si="643"/>
        <v>52.55</v>
      </c>
      <c r="BG683" s="253">
        <f t="shared" si="644"/>
        <v>2.7676728869374316</v>
      </c>
      <c r="BH683" s="253" cm="1">
        <f t="array" ref="BH683">$BC683 * SUMPRODUCT(INDEX($AL$77:$AN$82,,$AE683),INDEX($AO$77:$AU$82,,$AD683), N($AK$77:$AK$82&gt;$AI683)) / BG683 / 1000</f>
        <v>0</v>
      </c>
      <c r="BI683" s="250">
        <f t="shared" si="668"/>
        <v>30</v>
      </c>
      <c r="BJ683" s="237">
        <f t="shared" si="645"/>
        <v>46.033333333333331</v>
      </c>
      <c r="BK683" s="253">
        <f t="shared" si="646"/>
        <v>3.2297395388556791</v>
      </c>
      <c r="BL683" s="253" cm="1">
        <f t="array" ref="BL683">$BC683 * IF($AD683&lt;=2,
SUMPRODUCT(INDEX($AL$72:$AN$76,,$AE683), INDEX($AO$72:$AU$76,,$AD683), 1 / ($AV$72:$AV$76*BK683 + (1-$AV$72:$AV$76)*BG683), N($AK$72:$AK$76&gt;$AI683)),
SUMPRODUCT(INDEX($AL$67:$AN$76,,$AE683), INDEX($AO$67:$AU$76,,$AD683), 1 / ($AW$67:$AW$76*BK683 + (1-$AW$67:$AW$76)*BG683), N($AK$67:$AK$76&gt;$AI683))
) / 1000</f>
        <v>0</v>
      </c>
      <c r="BM683" s="250">
        <f t="shared" si="669"/>
        <v>25</v>
      </c>
      <c r="BN683" s="237">
        <f t="shared" si="647"/>
        <v>39.516666666666666</v>
      </c>
      <c r="BO683" s="253">
        <f t="shared" si="648"/>
        <v>3.877011788826243</v>
      </c>
      <c r="BP683" s="253" cm="1">
        <f t="array" ref="BP683">$BC683 * IF($AD683&lt;=2,
SUMPRODUCT(INDEX($AL$67:$AN$71,,$AE683), INDEX($AO$67:$AU$71,,$AD683), 1 / ($AV$67:$AV$71*BO683 + (1-$AV$67:$AV$71)*BK683), N($AK$67:$AK$71&gt;$AI683)),
SUMPRODUCT(INDEX($AL$57:$AN$66,,$AE683), INDEX($AO$57:$AU$66,,$AD683), 1 / ($AW$57:$AW$66*BO683 + (1-$AW$57:$AW$66)*BK683), N($AK$57:$AK$66&gt;$AI683))
) / 1000</f>
        <v>0</v>
      </c>
      <c r="BQ683" s="250">
        <f t="shared" si="670"/>
        <v>20</v>
      </c>
      <c r="BR683" s="237">
        <f t="shared" si="649"/>
        <v>33</v>
      </c>
      <c r="BS683" s="253">
        <f t="shared" si="650"/>
        <v>4.8487499999999999</v>
      </c>
      <c r="BT683" s="253" cm="1">
        <f t="array" ref="BT683">$BC683 * IF($AD683&lt;=2,
SUMPRODUCT(INDEX($AL$62:$AN$66,,$AE683), INDEX($AO$62:$AU$66,,$AD683), 1 / ($AV$62:$AV$66*BS683 + (1-$AV$62:$AV$66)*BO683), N($AK$62:$AK$66&gt;$AI683)),
SUMPRODUCT(INDEX($AL$47:$AN$56,,$AE683), INDEX($AO$47:$AU$56,,$AD683), 1 / ($AW$47:$AW$56*BS683 + (1-$AW$47:$AW$56)*BO683), N($AK$47:$AK$56&gt;$AI683))
) / 1000</f>
        <v>0</v>
      </c>
      <c r="BU683" s="253" cm="1">
        <f t="array" ref="BU683">$BC683 * IF($AD683&lt;=2,
SUMPRODUCT(INDEX($AL$23:$AN$61,,$AE683), INDEX($AO$23:$AU$61,,$AD683), 1 / ($AV$23:$AV$61*BS683), N($AK$23:$AK$61&gt;$AI683)),
SUMPRODUCT(INDEX($AL$23:$AN$46,,$AE683), INDEX($AO$23:$AU$46,,$AD683), 1 / ($AW$23:$AW$46*BS683), N($AK$23:$AK$46&gt;$AI683))
) / 1000</f>
        <v>0</v>
      </c>
      <c r="BV683" s="237">
        <f t="shared" si="651"/>
        <v>0</v>
      </c>
      <c r="BW683" s="210"/>
      <c r="BX683" s="237">
        <f t="shared" si="652"/>
        <v>0</v>
      </c>
      <c r="BY683" s="236">
        <v>35</v>
      </c>
      <c r="BZ683" s="237">
        <f t="shared" si="653"/>
        <v>48</v>
      </c>
      <c r="CA683" s="253">
        <f t="shared" si="654"/>
        <v>3.0748170731707316</v>
      </c>
      <c r="CB683" s="253" cm="1">
        <f t="array" ref="CB683">$BC683 * SUMPRODUCT(INDEX($AL$77:$AN$82,,$AE683),INDEX($AO$77:$AU$82,,$AD683), N($AK$77:$AK$82&gt;$AI683)) / CA683 / 1000</f>
        <v>0</v>
      </c>
      <c r="CC683" s="250">
        <f t="shared" si="671"/>
        <v>30</v>
      </c>
      <c r="CD683" s="237">
        <f t="shared" si="655"/>
        <v>43</v>
      </c>
      <c r="CE683" s="253">
        <f t="shared" si="656"/>
        <v>3.5018750000000001</v>
      </c>
      <c r="CF683" s="253" cm="1">
        <f t="array" ref="CF683">$BC683 * IF($AD683&lt;=2,
SUMPRODUCT(INDEX($AL$72:$AN$76,,$AE683), INDEX($AO$72:$AU$76,,$AD683), 1 / ($AV$72:$AV$76*CE683 + (1-$AV$72:$AV$76)*CA683), N($AK$72:$AK$76&gt;$AI683)),
SUMPRODUCT(INDEX($AL$67:$AN$76,,$AE683), INDEX($AO$67:$AU$76,,$AD683), 1 / ($AW$67:$AW$76*CE683 + (1-$AW$67:$AW$76)*CA683), N($AK$67:$AK$76&gt;$AI683))
) / 1000</f>
        <v>0</v>
      </c>
      <c r="CG683" s="250">
        <f t="shared" si="672"/>
        <v>25</v>
      </c>
      <c r="CH683" s="237">
        <f t="shared" si="657"/>
        <v>38</v>
      </c>
      <c r="CI683" s="253">
        <f t="shared" si="658"/>
        <v>4.0666935483870965</v>
      </c>
      <c r="CJ683" s="253" cm="1">
        <f t="array" ref="CJ683">$BC683 * IF($AD683&lt;=2,
SUMPRODUCT(INDEX($AL$67:$AN$71,,$AE683), INDEX($AO$67:$AU$71,,$AD683), 1 / ($AV$67:$AV$71*CI683 + (1-$AV$67:$AV$71)*CE683), N($AK$67:$AK$71&gt;$AI683)),
SUMPRODUCT(INDEX($AL$57:$AN$66,,$AE683), INDEX($AO$57:$AU$66,,$AD683), 1 / ($AW$57:$AW$66*CI683 + (1-$AW$57:$AW$66)*CE683), N($AK$57:$AK$66&gt;$AI683))
) / 1000</f>
        <v>0</v>
      </c>
      <c r="CK683" s="250">
        <f t="shared" si="673"/>
        <v>20</v>
      </c>
      <c r="CL683" s="237">
        <f t="shared" si="659"/>
        <v>33</v>
      </c>
      <c r="CM683" s="253">
        <f t="shared" si="660"/>
        <v>4.8487499999999999</v>
      </c>
      <c r="CN683" s="253" cm="1">
        <f t="array" ref="CN683">$BC683 * IF($AD683&lt;=2,
SUMPRODUCT(INDEX($AL$62:$AN$66,,$AE683), INDEX($AO$62:$AU$66,,$AD683), 1 / ($AV$62:$AV$66*CM683 + (1-$AV$62:$AV$66)*CI683), N($AK$62:$AK$66&gt;$AI683)),
SUMPRODUCT(INDEX($AL$47:$AN$56,,$AE683), INDEX($AO$47:$AU$56,,$AD683), 1 / ($AW$47:$AW$56*CM683 + (1-$AW$47:$AW$56)*CI683), N($AK$47:$AK$56&gt;$AI683))
) / 1000</f>
        <v>0</v>
      </c>
      <c r="CO683" s="253" cm="1">
        <f t="array" ref="CO683">$BC683 * IF($AD683&lt;=2,
SUMPRODUCT(INDEX($AL$23:$AN$61,,$AE683), INDEX($AO$23:$AU$61,,$AD683), 1 / ($AV$23:$AV$61*CM683), N($AK$23:$AK$61&gt;$AI683)),
SUMPRODUCT(INDEX($AL$23:$AN$46,,$AE683), INDEX($AO$23:$AU$46,,$AD683), 1 / ($AW$23:$AW$46*CM683), N($AK$23:$AK$46&gt;$AI683))
) / 1000</f>
        <v>0</v>
      </c>
      <c r="CP683" s="237">
        <f t="shared" si="661"/>
        <v>0</v>
      </c>
      <c r="CQ683" s="210"/>
    </row>
    <row r="684" spans="1:95" s="76" customFormat="1" ht="14.25" customHeight="1" x14ac:dyDescent="0.2">
      <c r="A684" s="238" t="b">
        <f t="shared" si="665"/>
        <v>0</v>
      </c>
      <c r="B684" s="239">
        <v>662</v>
      </c>
      <c r="C684" s="258"/>
      <c r="D684" s="258"/>
      <c r="E684" s="240"/>
      <c r="F684" s="241" t="str">
        <f>IF(ISBLANK(E684), "", VLOOKUP(E684, Z!$A$2:$C$4127, 3, FALSE))</f>
        <v/>
      </c>
      <c r="G684" s="242"/>
      <c r="H684" s="242"/>
      <c r="I684" s="243"/>
      <c r="J684" s="244"/>
      <c r="K684" s="259"/>
      <c r="L684" s="260"/>
      <c r="M684" s="247" t="str" cm="1">
        <f t="array" ref="M684">IF($K684&gt;0, INDEX(Clean,1+AG684,$C$1), "")</f>
        <v/>
      </c>
      <c r="N684" s="245"/>
      <c r="O684" s="245"/>
      <c r="P684" s="246"/>
      <c r="Q684" s="248">
        <f t="shared" si="638"/>
        <v>0</v>
      </c>
      <c r="R684" s="247" t="str" cm="1">
        <f t="array" ref="R684">IF($K684&gt;0, INDEX(Clean,1+AH684,$C$1), "")</f>
        <v/>
      </c>
      <c r="S684" s="245"/>
      <c r="T684" s="245"/>
      <c r="U684" s="246"/>
      <c r="V684" s="248">
        <f t="shared" si="639"/>
        <v>0</v>
      </c>
      <c r="W684" s="261"/>
      <c r="X684" s="258"/>
      <c r="Y684" s="240"/>
      <c r="Z684" s="241" t="str">
        <f>IF(ISBLANK(Y684), "", VLOOKUP(Y684, Z!$A$2:$C$4127, 3, FALSE))</f>
        <v/>
      </c>
      <c r="AA684" s="262"/>
      <c r="AB684" s="249">
        <f t="shared" si="674"/>
        <v>0</v>
      </c>
      <c r="AC684" s="210"/>
      <c r="AD684" s="236">
        <f t="shared" si="662"/>
        <v>1</v>
      </c>
      <c r="AE684" s="236">
        <f t="shared" si="663"/>
        <v>1</v>
      </c>
      <c r="AF684" s="236">
        <f t="shared" si="664"/>
        <v>0</v>
      </c>
      <c r="AG684" s="236">
        <v>1</v>
      </c>
      <c r="AH684" s="236">
        <v>0</v>
      </c>
      <c r="AI684" s="236">
        <f t="shared" si="640"/>
        <v>-100</v>
      </c>
      <c r="AJ684" s="210"/>
      <c r="AK684" s="254"/>
      <c r="AL684" s="254"/>
      <c r="AM684" s="255"/>
      <c r="AN684" s="255"/>
      <c r="AO684" s="255"/>
      <c r="AP684" s="255"/>
      <c r="AQ684" s="255"/>
      <c r="AR684" s="255"/>
      <c r="AS684" s="255"/>
      <c r="AT684" s="255"/>
      <c r="AU684" s="255"/>
      <c r="AV684" s="255"/>
      <c r="AW684" s="255"/>
      <c r="AX684" s="210"/>
      <c r="AY684" s="236" cm="1">
        <f t="array" ref="AY684">INDEX(Use, $AD684, 4)</f>
        <v>7</v>
      </c>
      <c r="AZ684" s="236">
        <f t="shared" si="641"/>
        <v>32</v>
      </c>
      <c r="BA684" s="236">
        <f t="shared" si="666"/>
        <v>13</v>
      </c>
      <c r="BB684" s="236">
        <f t="shared" si="667"/>
        <v>0</v>
      </c>
      <c r="BC684" s="252" cm="1">
        <f t="array" ref="BC684">K684/IF($L684&gt;0, INDEX($AO$23:$AU$77, $L684+20, $AD684), 1)</f>
        <v>0</v>
      </c>
      <c r="BD684" s="237">
        <f t="shared" si="642"/>
        <v>0</v>
      </c>
      <c r="BE684" s="236">
        <v>35</v>
      </c>
      <c r="BF684" s="237">
        <f t="shared" si="643"/>
        <v>52.55</v>
      </c>
      <c r="BG684" s="253">
        <f t="shared" si="644"/>
        <v>2.7676728869374316</v>
      </c>
      <c r="BH684" s="253" cm="1">
        <f t="array" ref="BH684">$BC684 * SUMPRODUCT(INDEX($AL$77:$AN$82,,$AE684),INDEX($AO$77:$AU$82,,$AD684), N($AK$77:$AK$82&gt;$AI684)) / BG684 / 1000</f>
        <v>0</v>
      </c>
      <c r="BI684" s="250">
        <f t="shared" si="668"/>
        <v>30</v>
      </c>
      <c r="BJ684" s="237">
        <f t="shared" si="645"/>
        <v>46.033333333333331</v>
      </c>
      <c r="BK684" s="253">
        <f t="shared" si="646"/>
        <v>3.2297395388556791</v>
      </c>
      <c r="BL684" s="253" cm="1">
        <f t="array" ref="BL684">$BC684 * IF($AD684&lt;=2,
SUMPRODUCT(INDEX($AL$72:$AN$76,,$AE684), INDEX($AO$72:$AU$76,,$AD684), 1 / ($AV$72:$AV$76*BK684 + (1-$AV$72:$AV$76)*BG684), N($AK$72:$AK$76&gt;$AI684)),
SUMPRODUCT(INDEX($AL$67:$AN$76,,$AE684), INDEX($AO$67:$AU$76,,$AD684), 1 / ($AW$67:$AW$76*BK684 + (1-$AW$67:$AW$76)*BG684), N($AK$67:$AK$76&gt;$AI684))
) / 1000</f>
        <v>0</v>
      </c>
      <c r="BM684" s="250">
        <f t="shared" si="669"/>
        <v>25</v>
      </c>
      <c r="BN684" s="237">
        <f t="shared" si="647"/>
        <v>39.516666666666666</v>
      </c>
      <c r="BO684" s="253">
        <f t="shared" si="648"/>
        <v>3.877011788826243</v>
      </c>
      <c r="BP684" s="253" cm="1">
        <f t="array" ref="BP684">$BC684 * IF($AD684&lt;=2,
SUMPRODUCT(INDEX($AL$67:$AN$71,,$AE684), INDEX($AO$67:$AU$71,,$AD684), 1 / ($AV$67:$AV$71*BO684 + (1-$AV$67:$AV$71)*BK684), N($AK$67:$AK$71&gt;$AI684)),
SUMPRODUCT(INDEX($AL$57:$AN$66,,$AE684), INDEX($AO$57:$AU$66,,$AD684), 1 / ($AW$57:$AW$66*BO684 + (1-$AW$57:$AW$66)*BK684), N($AK$57:$AK$66&gt;$AI684))
) / 1000</f>
        <v>0</v>
      </c>
      <c r="BQ684" s="250">
        <f t="shared" si="670"/>
        <v>20</v>
      </c>
      <c r="BR684" s="237">
        <f t="shared" si="649"/>
        <v>33</v>
      </c>
      <c r="BS684" s="253">
        <f t="shared" si="650"/>
        <v>4.8487499999999999</v>
      </c>
      <c r="BT684" s="253" cm="1">
        <f t="array" ref="BT684">$BC684 * IF($AD684&lt;=2,
SUMPRODUCT(INDEX($AL$62:$AN$66,,$AE684), INDEX($AO$62:$AU$66,,$AD684), 1 / ($AV$62:$AV$66*BS684 + (1-$AV$62:$AV$66)*BO684), N($AK$62:$AK$66&gt;$AI684)),
SUMPRODUCT(INDEX($AL$47:$AN$56,,$AE684), INDEX($AO$47:$AU$56,,$AD684), 1 / ($AW$47:$AW$56*BS684 + (1-$AW$47:$AW$56)*BO684), N($AK$47:$AK$56&gt;$AI684))
) / 1000</f>
        <v>0</v>
      </c>
      <c r="BU684" s="253" cm="1">
        <f t="array" ref="BU684">$BC684 * IF($AD684&lt;=2,
SUMPRODUCT(INDEX($AL$23:$AN$61,,$AE684), INDEX($AO$23:$AU$61,,$AD684), 1 / ($AV$23:$AV$61*BS684), N($AK$23:$AK$61&gt;$AI684)),
SUMPRODUCT(INDEX($AL$23:$AN$46,,$AE684), INDEX($AO$23:$AU$46,,$AD684), 1 / ($AW$23:$AW$46*BS684), N($AK$23:$AK$46&gt;$AI684))
) / 1000</f>
        <v>0</v>
      </c>
      <c r="BV684" s="237">
        <f t="shared" si="651"/>
        <v>0</v>
      </c>
      <c r="BW684" s="210"/>
      <c r="BX684" s="237">
        <f t="shared" si="652"/>
        <v>0</v>
      </c>
      <c r="BY684" s="236">
        <v>35</v>
      </c>
      <c r="BZ684" s="237">
        <f t="shared" si="653"/>
        <v>48</v>
      </c>
      <c r="CA684" s="253">
        <f t="shared" si="654"/>
        <v>3.0748170731707316</v>
      </c>
      <c r="CB684" s="253" cm="1">
        <f t="array" ref="CB684">$BC684 * SUMPRODUCT(INDEX($AL$77:$AN$82,,$AE684),INDEX($AO$77:$AU$82,,$AD684), N($AK$77:$AK$82&gt;$AI684)) / CA684 / 1000</f>
        <v>0</v>
      </c>
      <c r="CC684" s="250">
        <f t="shared" si="671"/>
        <v>30</v>
      </c>
      <c r="CD684" s="237">
        <f t="shared" si="655"/>
        <v>43</v>
      </c>
      <c r="CE684" s="253">
        <f t="shared" si="656"/>
        <v>3.5018750000000001</v>
      </c>
      <c r="CF684" s="253" cm="1">
        <f t="array" ref="CF684">$BC684 * IF($AD684&lt;=2,
SUMPRODUCT(INDEX($AL$72:$AN$76,,$AE684), INDEX($AO$72:$AU$76,,$AD684), 1 / ($AV$72:$AV$76*CE684 + (1-$AV$72:$AV$76)*CA684), N($AK$72:$AK$76&gt;$AI684)),
SUMPRODUCT(INDEX($AL$67:$AN$76,,$AE684), INDEX($AO$67:$AU$76,,$AD684), 1 / ($AW$67:$AW$76*CE684 + (1-$AW$67:$AW$76)*CA684), N($AK$67:$AK$76&gt;$AI684))
) / 1000</f>
        <v>0</v>
      </c>
      <c r="CG684" s="250">
        <f t="shared" si="672"/>
        <v>25</v>
      </c>
      <c r="CH684" s="237">
        <f t="shared" si="657"/>
        <v>38</v>
      </c>
      <c r="CI684" s="253">
        <f t="shared" si="658"/>
        <v>4.0666935483870965</v>
      </c>
      <c r="CJ684" s="253" cm="1">
        <f t="array" ref="CJ684">$BC684 * IF($AD684&lt;=2,
SUMPRODUCT(INDEX($AL$67:$AN$71,,$AE684), INDEX($AO$67:$AU$71,,$AD684), 1 / ($AV$67:$AV$71*CI684 + (1-$AV$67:$AV$71)*CE684), N($AK$67:$AK$71&gt;$AI684)),
SUMPRODUCT(INDEX($AL$57:$AN$66,,$AE684), INDEX($AO$57:$AU$66,,$AD684), 1 / ($AW$57:$AW$66*CI684 + (1-$AW$57:$AW$66)*CE684), N($AK$57:$AK$66&gt;$AI684))
) / 1000</f>
        <v>0</v>
      </c>
      <c r="CK684" s="250">
        <f t="shared" si="673"/>
        <v>20</v>
      </c>
      <c r="CL684" s="237">
        <f t="shared" si="659"/>
        <v>33</v>
      </c>
      <c r="CM684" s="253">
        <f t="shared" si="660"/>
        <v>4.8487499999999999</v>
      </c>
      <c r="CN684" s="253" cm="1">
        <f t="array" ref="CN684">$BC684 * IF($AD684&lt;=2,
SUMPRODUCT(INDEX($AL$62:$AN$66,,$AE684), INDEX($AO$62:$AU$66,,$AD684), 1 / ($AV$62:$AV$66*CM684 + (1-$AV$62:$AV$66)*CI684), N($AK$62:$AK$66&gt;$AI684)),
SUMPRODUCT(INDEX($AL$47:$AN$56,,$AE684), INDEX($AO$47:$AU$56,,$AD684), 1 / ($AW$47:$AW$56*CM684 + (1-$AW$47:$AW$56)*CI684), N($AK$47:$AK$56&gt;$AI684))
) / 1000</f>
        <v>0</v>
      </c>
      <c r="CO684" s="253" cm="1">
        <f t="array" ref="CO684">$BC684 * IF($AD684&lt;=2,
SUMPRODUCT(INDEX($AL$23:$AN$61,,$AE684), INDEX($AO$23:$AU$61,,$AD684), 1 / ($AV$23:$AV$61*CM684), N($AK$23:$AK$61&gt;$AI684)),
SUMPRODUCT(INDEX($AL$23:$AN$46,,$AE684), INDEX($AO$23:$AU$46,,$AD684), 1 / ($AW$23:$AW$46*CM684), N($AK$23:$AK$46&gt;$AI684))
) / 1000</f>
        <v>0</v>
      </c>
      <c r="CP684" s="237">
        <f t="shared" si="661"/>
        <v>0</v>
      </c>
      <c r="CQ684" s="210"/>
    </row>
    <row r="685" spans="1:95" s="76" customFormat="1" ht="14.25" customHeight="1" x14ac:dyDescent="0.2">
      <c r="A685" s="238" t="b">
        <f t="shared" si="665"/>
        <v>0</v>
      </c>
      <c r="B685" s="239">
        <v>663</v>
      </c>
      <c r="C685" s="258"/>
      <c r="D685" s="258"/>
      <c r="E685" s="240"/>
      <c r="F685" s="241" t="str">
        <f>IF(ISBLANK(E685), "", VLOOKUP(E685, Z!$A$2:$C$4127, 3, FALSE))</f>
        <v/>
      </c>
      <c r="G685" s="242"/>
      <c r="H685" s="242"/>
      <c r="I685" s="243"/>
      <c r="J685" s="244"/>
      <c r="K685" s="259"/>
      <c r="L685" s="260"/>
      <c r="M685" s="247" t="str" cm="1">
        <f t="array" ref="M685">IF($K685&gt;0, INDEX(Clean,1+AG685,$C$1), "")</f>
        <v/>
      </c>
      <c r="N685" s="245"/>
      <c r="O685" s="245"/>
      <c r="P685" s="246"/>
      <c r="Q685" s="248">
        <f t="shared" si="638"/>
        <v>0</v>
      </c>
      <c r="R685" s="247" t="str" cm="1">
        <f t="array" ref="R685">IF($K685&gt;0, INDEX(Clean,1+AH685,$C$1), "")</f>
        <v/>
      </c>
      <c r="S685" s="245"/>
      <c r="T685" s="245"/>
      <c r="U685" s="246"/>
      <c r="V685" s="248">
        <f t="shared" si="639"/>
        <v>0</v>
      </c>
      <c r="W685" s="261"/>
      <c r="X685" s="258"/>
      <c r="Y685" s="240"/>
      <c r="Z685" s="241" t="str">
        <f>IF(ISBLANK(Y685), "", VLOOKUP(Y685, Z!$A$2:$C$4127, 3, FALSE))</f>
        <v/>
      </c>
      <c r="AA685" s="262"/>
      <c r="AB685" s="249">
        <f t="shared" si="674"/>
        <v>0</v>
      </c>
      <c r="AC685" s="210"/>
      <c r="AD685" s="236">
        <f t="shared" si="662"/>
        <v>1</v>
      </c>
      <c r="AE685" s="236">
        <f t="shared" si="663"/>
        <v>1</v>
      </c>
      <c r="AF685" s="236">
        <f t="shared" si="664"/>
        <v>0</v>
      </c>
      <c r="AG685" s="236">
        <v>1</v>
      </c>
      <c r="AH685" s="236">
        <v>0</v>
      </c>
      <c r="AI685" s="236">
        <f t="shared" si="640"/>
        <v>-100</v>
      </c>
      <c r="AJ685" s="210"/>
      <c r="AK685" s="254"/>
      <c r="AL685" s="254"/>
      <c r="AM685" s="255"/>
      <c r="AN685" s="255"/>
      <c r="AO685" s="255"/>
      <c r="AP685" s="255"/>
      <c r="AQ685" s="255"/>
      <c r="AR685" s="255"/>
      <c r="AS685" s="255"/>
      <c r="AT685" s="255"/>
      <c r="AU685" s="255"/>
      <c r="AV685" s="255"/>
      <c r="AW685" s="255"/>
      <c r="AX685" s="210"/>
      <c r="AY685" s="236" cm="1">
        <f t="array" ref="AY685">INDEX(Use, $AD685, 4)</f>
        <v>7</v>
      </c>
      <c r="AZ685" s="236">
        <f t="shared" si="641"/>
        <v>32</v>
      </c>
      <c r="BA685" s="236">
        <f t="shared" si="666"/>
        <v>13</v>
      </c>
      <c r="BB685" s="236">
        <f t="shared" si="667"/>
        <v>0</v>
      </c>
      <c r="BC685" s="252" cm="1">
        <f t="array" ref="BC685">K685/IF($L685&gt;0, INDEX($AO$23:$AU$77, $L685+20, $AD685), 1)</f>
        <v>0</v>
      </c>
      <c r="BD685" s="237">
        <f t="shared" si="642"/>
        <v>0</v>
      </c>
      <c r="BE685" s="236">
        <v>35</v>
      </c>
      <c r="BF685" s="237">
        <f t="shared" si="643"/>
        <v>52.55</v>
      </c>
      <c r="BG685" s="253">
        <f t="shared" si="644"/>
        <v>2.7676728869374316</v>
      </c>
      <c r="BH685" s="253" cm="1">
        <f t="array" ref="BH685">$BC685 * SUMPRODUCT(INDEX($AL$77:$AN$82,,$AE685),INDEX($AO$77:$AU$82,,$AD685), N($AK$77:$AK$82&gt;$AI685)) / BG685 / 1000</f>
        <v>0</v>
      </c>
      <c r="BI685" s="250">
        <f t="shared" si="668"/>
        <v>30</v>
      </c>
      <c r="BJ685" s="237">
        <f t="shared" si="645"/>
        <v>46.033333333333331</v>
      </c>
      <c r="BK685" s="253">
        <f t="shared" si="646"/>
        <v>3.2297395388556791</v>
      </c>
      <c r="BL685" s="253" cm="1">
        <f t="array" ref="BL685">$BC685 * IF($AD685&lt;=2,
SUMPRODUCT(INDEX($AL$72:$AN$76,,$AE685), INDEX($AO$72:$AU$76,,$AD685), 1 / ($AV$72:$AV$76*BK685 + (1-$AV$72:$AV$76)*BG685), N($AK$72:$AK$76&gt;$AI685)),
SUMPRODUCT(INDEX($AL$67:$AN$76,,$AE685), INDEX($AO$67:$AU$76,,$AD685), 1 / ($AW$67:$AW$76*BK685 + (1-$AW$67:$AW$76)*BG685), N($AK$67:$AK$76&gt;$AI685))
) / 1000</f>
        <v>0</v>
      </c>
      <c r="BM685" s="250">
        <f t="shared" si="669"/>
        <v>25</v>
      </c>
      <c r="BN685" s="237">
        <f t="shared" si="647"/>
        <v>39.516666666666666</v>
      </c>
      <c r="BO685" s="253">
        <f t="shared" si="648"/>
        <v>3.877011788826243</v>
      </c>
      <c r="BP685" s="253" cm="1">
        <f t="array" ref="BP685">$BC685 * IF($AD685&lt;=2,
SUMPRODUCT(INDEX($AL$67:$AN$71,,$AE685), INDEX($AO$67:$AU$71,,$AD685), 1 / ($AV$67:$AV$71*BO685 + (1-$AV$67:$AV$71)*BK685), N($AK$67:$AK$71&gt;$AI685)),
SUMPRODUCT(INDEX($AL$57:$AN$66,,$AE685), INDEX($AO$57:$AU$66,,$AD685), 1 / ($AW$57:$AW$66*BO685 + (1-$AW$57:$AW$66)*BK685), N($AK$57:$AK$66&gt;$AI685))
) / 1000</f>
        <v>0</v>
      </c>
      <c r="BQ685" s="250">
        <f t="shared" si="670"/>
        <v>20</v>
      </c>
      <c r="BR685" s="237">
        <f t="shared" si="649"/>
        <v>33</v>
      </c>
      <c r="BS685" s="253">
        <f t="shared" si="650"/>
        <v>4.8487499999999999</v>
      </c>
      <c r="BT685" s="253" cm="1">
        <f t="array" ref="BT685">$BC685 * IF($AD685&lt;=2,
SUMPRODUCT(INDEX($AL$62:$AN$66,,$AE685), INDEX($AO$62:$AU$66,,$AD685), 1 / ($AV$62:$AV$66*BS685 + (1-$AV$62:$AV$66)*BO685), N($AK$62:$AK$66&gt;$AI685)),
SUMPRODUCT(INDEX($AL$47:$AN$56,,$AE685), INDEX($AO$47:$AU$56,,$AD685), 1 / ($AW$47:$AW$56*BS685 + (1-$AW$47:$AW$56)*BO685), N($AK$47:$AK$56&gt;$AI685))
) / 1000</f>
        <v>0</v>
      </c>
      <c r="BU685" s="253" cm="1">
        <f t="array" ref="BU685">$BC685 * IF($AD685&lt;=2,
SUMPRODUCT(INDEX($AL$23:$AN$61,,$AE685), INDEX($AO$23:$AU$61,,$AD685), 1 / ($AV$23:$AV$61*BS685), N($AK$23:$AK$61&gt;$AI685)),
SUMPRODUCT(INDEX($AL$23:$AN$46,,$AE685), INDEX($AO$23:$AU$46,,$AD685), 1 / ($AW$23:$AW$46*BS685), N($AK$23:$AK$46&gt;$AI685))
) / 1000</f>
        <v>0</v>
      </c>
      <c r="BV685" s="237">
        <f t="shared" si="651"/>
        <v>0</v>
      </c>
      <c r="BW685" s="210"/>
      <c r="BX685" s="237">
        <f t="shared" si="652"/>
        <v>0</v>
      </c>
      <c r="BY685" s="236">
        <v>35</v>
      </c>
      <c r="BZ685" s="237">
        <f t="shared" si="653"/>
        <v>48</v>
      </c>
      <c r="CA685" s="253">
        <f t="shared" si="654"/>
        <v>3.0748170731707316</v>
      </c>
      <c r="CB685" s="253" cm="1">
        <f t="array" ref="CB685">$BC685 * SUMPRODUCT(INDEX($AL$77:$AN$82,,$AE685),INDEX($AO$77:$AU$82,,$AD685), N($AK$77:$AK$82&gt;$AI685)) / CA685 / 1000</f>
        <v>0</v>
      </c>
      <c r="CC685" s="250">
        <f t="shared" si="671"/>
        <v>30</v>
      </c>
      <c r="CD685" s="237">
        <f t="shared" si="655"/>
        <v>43</v>
      </c>
      <c r="CE685" s="253">
        <f t="shared" si="656"/>
        <v>3.5018750000000001</v>
      </c>
      <c r="CF685" s="253" cm="1">
        <f t="array" ref="CF685">$BC685 * IF($AD685&lt;=2,
SUMPRODUCT(INDEX($AL$72:$AN$76,,$AE685), INDEX($AO$72:$AU$76,,$AD685), 1 / ($AV$72:$AV$76*CE685 + (1-$AV$72:$AV$76)*CA685), N($AK$72:$AK$76&gt;$AI685)),
SUMPRODUCT(INDEX($AL$67:$AN$76,,$AE685), INDEX($AO$67:$AU$76,,$AD685), 1 / ($AW$67:$AW$76*CE685 + (1-$AW$67:$AW$76)*CA685), N($AK$67:$AK$76&gt;$AI685))
) / 1000</f>
        <v>0</v>
      </c>
      <c r="CG685" s="250">
        <f t="shared" si="672"/>
        <v>25</v>
      </c>
      <c r="CH685" s="237">
        <f t="shared" si="657"/>
        <v>38</v>
      </c>
      <c r="CI685" s="253">
        <f t="shared" si="658"/>
        <v>4.0666935483870965</v>
      </c>
      <c r="CJ685" s="253" cm="1">
        <f t="array" ref="CJ685">$BC685 * IF($AD685&lt;=2,
SUMPRODUCT(INDEX($AL$67:$AN$71,,$AE685), INDEX($AO$67:$AU$71,,$AD685), 1 / ($AV$67:$AV$71*CI685 + (1-$AV$67:$AV$71)*CE685), N($AK$67:$AK$71&gt;$AI685)),
SUMPRODUCT(INDEX($AL$57:$AN$66,,$AE685), INDEX($AO$57:$AU$66,,$AD685), 1 / ($AW$57:$AW$66*CI685 + (1-$AW$57:$AW$66)*CE685), N($AK$57:$AK$66&gt;$AI685))
) / 1000</f>
        <v>0</v>
      </c>
      <c r="CK685" s="250">
        <f t="shared" si="673"/>
        <v>20</v>
      </c>
      <c r="CL685" s="237">
        <f t="shared" si="659"/>
        <v>33</v>
      </c>
      <c r="CM685" s="253">
        <f t="shared" si="660"/>
        <v>4.8487499999999999</v>
      </c>
      <c r="CN685" s="253" cm="1">
        <f t="array" ref="CN685">$BC685 * IF($AD685&lt;=2,
SUMPRODUCT(INDEX($AL$62:$AN$66,,$AE685), INDEX($AO$62:$AU$66,,$AD685), 1 / ($AV$62:$AV$66*CM685 + (1-$AV$62:$AV$66)*CI685), N($AK$62:$AK$66&gt;$AI685)),
SUMPRODUCT(INDEX($AL$47:$AN$56,,$AE685), INDEX($AO$47:$AU$56,,$AD685), 1 / ($AW$47:$AW$56*CM685 + (1-$AW$47:$AW$56)*CI685), N($AK$47:$AK$56&gt;$AI685))
) / 1000</f>
        <v>0</v>
      </c>
      <c r="CO685" s="253" cm="1">
        <f t="array" ref="CO685">$BC685 * IF($AD685&lt;=2,
SUMPRODUCT(INDEX($AL$23:$AN$61,,$AE685), INDEX($AO$23:$AU$61,,$AD685), 1 / ($AV$23:$AV$61*CM685), N($AK$23:$AK$61&gt;$AI685)),
SUMPRODUCT(INDEX($AL$23:$AN$46,,$AE685), INDEX($AO$23:$AU$46,,$AD685), 1 / ($AW$23:$AW$46*CM685), N($AK$23:$AK$46&gt;$AI685))
) / 1000</f>
        <v>0</v>
      </c>
      <c r="CP685" s="237">
        <f t="shared" si="661"/>
        <v>0</v>
      </c>
      <c r="CQ685" s="210"/>
    </row>
    <row r="686" spans="1:95" s="76" customFormat="1" ht="14.25" customHeight="1" x14ac:dyDescent="0.2">
      <c r="A686" s="238" t="b">
        <f t="shared" si="665"/>
        <v>0</v>
      </c>
      <c r="B686" s="239">
        <v>664</v>
      </c>
      <c r="C686" s="258"/>
      <c r="D686" s="258"/>
      <c r="E686" s="240"/>
      <c r="F686" s="241" t="str">
        <f>IF(ISBLANK(E686), "", VLOOKUP(E686, Z!$A$2:$C$4127, 3, FALSE))</f>
        <v/>
      </c>
      <c r="G686" s="242"/>
      <c r="H686" s="242"/>
      <c r="I686" s="243"/>
      <c r="J686" s="244"/>
      <c r="K686" s="259"/>
      <c r="L686" s="260"/>
      <c r="M686" s="247" t="str" cm="1">
        <f t="array" ref="M686">IF($K686&gt;0, INDEX(Clean,1+AG686,$C$1), "")</f>
        <v/>
      </c>
      <c r="N686" s="245"/>
      <c r="O686" s="245"/>
      <c r="P686" s="246"/>
      <c r="Q686" s="248">
        <f t="shared" si="638"/>
        <v>0</v>
      </c>
      <c r="R686" s="247" t="str" cm="1">
        <f t="array" ref="R686">IF($K686&gt;0, INDEX(Clean,1+AH686,$C$1), "")</f>
        <v/>
      </c>
      <c r="S686" s="245"/>
      <c r="T686" s="245"/>
      <c r="U686" s="246"/>
      <c r="V686" s="248">
        <f t="shared" si="639"/>
        <v>0</v>
      </c>
      <c r="W686" s="261"/>
      <c r="X686" s="258"/>
      <c r="Y686" s="240"/>
      <c r="Z686" s="241" t="str">
        <f>IF(ISBLANK(Y686), "", VLOOKUP(Y686, Z!$A$2:$C$4127, 3, FALSE))</f>
        <v/>
      </c>
      <c r="AA686" s="262"/>
      <c r="AB686" s="249">
        <f t="shared" si="674"/>
        <v>0</v>
      </c>
      <c r="AC686" s="210"/>
      <c r="AD686" s="236">
        <f t="shared" si="662"/>
        <v>1</v>
      </c>
      <c r="AE686" s="236">
        <f t="shared" si="663"/>
        <v>1</v>
      </c>
      <c r="AF686" s="236">
        <f t="shared" si="664"/>
        <v>0</v>
      </c>
      <c r="AG686" s="236">
        <v>1</v>
      </c>
      <c r="AH686" s="236">
        <v>0</v>
      </c>
      <c r="AI686" s="236">
        <f t="shared" si="640"/>
        <v>-100</v>
      </c>
      <c r="AJ686" s="210"/>
      <c r="AK686" s="254"/>
      <c r="AL686" s="254"/>
      <c r="AM686" s="255"/>
      <c r="AN686" s="255"/>
      <c r="AO686" s="255"/>
      <c r="AP686" s="255"/>
      <c r="AQ686" s="255"/>
      <c r="AR686" s="255"/>
      <c r="AS686" s="255"/>
      <c r="AT686" s="255"/>
      <c r="AU686" s="255"/>
      <c r="AV686" s="255"/>
      <c r="AW686" s="255"/>
      <c r="AX686" s="210"/>
      <c r="AY686" s="236" cm="1">
        <f t="array" ref="AY686">INDEX(Use, $AD686, 4)</f>
        <v>7</v>
      </c>
      <c r="AZ686" s="236">
        <f t="shared" si="641"/>
        <v>32</v>
      </c>
      <c r="BA686" s="236">
        <f t="shared" si="666"/>
        <v>13</v>
      </c>
      <c r="BB686" s="236">
        <f t="shared" si="667"/>
        <v>0</v>
      </c>
      <c r="BC686" s="252" cm="1">
        <f t="array" ref="BC686">K686/IF($L686&gt;0, INDEX($AO$23:$AU$77, $L686+20, $AD686), 1)</f>
        <v>0</v>
      </c>
      <c r="BD686" s="237">
        <f t="shared" si="642"/>
        <v>0</v>
      </c>
      <c r="BE686" s="236">
        <v>35</v>
      </c>
      <c r="BF686" s="237">
        <f t="shared" si="643"/>
        <v>52.55</v>
      </c>
      <c r="BG686" s="253">
        <f t="shared" si="644"/>
        <v>2.7676728869374316</v>
      </c>
      <c r="BH686" s="253" cm="1">
        <f t="array" ref="BH686">$BC686 * SUMPRODUCT(INDEX($AL$77:$AN$82,,$AE686),INDEX($AO$77:$AU$82,,$AD686), N($AK$77:$AK$82&gt;$AI686)) / BG686 / 1000</f>
        <v>0</v>
      </c>
      <c r="BI686" s="250">
        <f t="shared" si="668"/>
        <v>30</v>
      </c>
      <c r="BJ686" s="237">
        <f t="shared" si="645"/>
        <v>46.033333333333331</v>
      </c>
      <c r="BK686" s="253">
        <f t="shared" si="646"/>
        <v>3.2297395388556791</v>
      </c>
      <c r="BL686" s="253" cm="1">
        <f t="array" ref="BL686">$BC686 * IF($AD686&lt;=2,
SUMPRODUCT(INDEX($AL$72:$AN$76,,$AE686), INDEX($AO$72:$AU$76,,$AD686), 1 / ($AV$72:$AV$76*BK686 + (1-$AV$72:$AV$76)*BG686), N($AK$72:$AK$76&gt;$AI686)),
SUMPRODUCT(INDEX($AL$67:$AN$76,,$AE686), INDEX($AO$67:$AU$76,,$AD686), 1 / ($AW$67:$AW$76*BK686 + (1-$AW$67:$AW$76)*BG686), N($AK$67:$AK$76&gt;$AI686))
) / 1000</f>
        <v>0</v>
      </c>
      <c r="BM686" s="250">
        <f t="shared" si="669"/>
        <v>25</v>
      </c>
      <c r="BN686" s="237">
        <f t="shared" si="647"/>
        <v>39.516666666666666</v>
      </c>
      <c r="BO686" s="253">
        <f t="shared" si="648"/>
        <v>3.877011788826243</v>
      </c>
      <c r="BP686" s="253" cm="1">
        <f t="array" ref="BP686">$BC686 * IF($AD686&lt;=2,
SUMPRODUCT(INDEX($AL$67:$AN$71,,$AE686), INDEX($AO$67:$AU$71,,$AD686), 1 / ($AV$67:$AV$71*BO686 + (1-$AV$67:$AV$71)*BK686), N($AK$67:$AK$71&gt;$AI686)),
SUMPRODUCT(INDEX($AL$57:$AN$66,,$AE686), INDEX($AO$57:$AU$66,,$AD686), 1 / ($AW$57:$AW$66*BO686 + (1-$AW$57:$AW$66)*BK686), N($AK$57:$AK$66&gt;$AI686))
) / 1000</f>
        <v>0</v>
      </c>
      <c r="BQ686" s="250">
        <f t="shared" si="670"/>
        <v>20</v>
      </c>
      <c r="BR686" s="237">
        <f t="shared" si="649"/>
        <v>33</v>
      </c>
      <c r="BS686" s="253">
        <f t="shared" si="650"/>
        <v>4.8487499999999999</v>
      </c>
      <c r="BT686" s="253" cm="1">
        <f t="array" ref="BT686">$BC686 * IF($AD686&lt;=2,
SUMPRODUCT(INDEX($AL$62:$AN$66,,$AE686), INDEX($AO$62:$AU$66,,$AD686), 1 / ($AV$62:$AV$66*BS686 + (1-$AV$62:$AV$66)*BO686), N($AK$62:$AK$66&gt;$AI686)),
SUMPRODUCT(INDEX($AL$47:$AN$56,,$AE686), INDEX($AO$47:$AU$56,,$AD686), 1 / ($AW$47:$AW$56*BS686 + (1-$AW$47:$AW$56)*BO686), N($AK$47:$AK$56&gt;$AI686))
) / 1000</f>
        <v>0</v>
      </c>
      <c r="BU686" s="253" cm="1">
        <f t="array" ref="BU686">$BC686 * IF($AD686&lt;=2,
SUMPRODUCT(INDEX($AL$23:$AN$61,,$AE686), INDEX($AO$23:$AU$61,,$AD686), 1 / ($AV$23:$AV$61*BS686), N($AK$23:$AK$61&gt;$AI686)),
SUMPRODUCT(INDEX($AL$23:$AN$46,,$AE686), INDEX($AO$23:$AU$46,,$AD686), 1 / ($AW$23:$AW$46*BS686), N($AK$23:$AK$46&gt;$AI686))
) / 1000</f>
        <v>0</v>
      </c>
      <c r="BV686" s="237">
        <f t="shared" si="651"/>
        <v>0</v>
      </c>
      <c r="BW686" s="210"/>
      <c r="BX686" s="237">
        <f t="shared" si="652"/>
        <v>0</v>
      </c>
      <c r="BY686" s="236">
        <v>35</v>
      </c>
      <c r="BZ686" s="237">
        <f t="shared" si="653"/>
        <v>48</v>
      </c>
      <c r="CA686" s="253">
        <f t="shared" si="654"/>
        <v>3.0748170731707316</v>
      </c>
      <c r="CB686" s="253" cm="1">
        <f t="array" ref="CB686">$BC686 * SUMPRODUCT(INDEX($AL$77:$AN$82,,$AE686),INDEX($AO$77:$AU$82,,$AD686), N($AK$77:$AK$82&gt;$AI686)) / CA686 / 1000</f>
        <v>0</v>
      </c>
      <c r="CC686" s="250">
        <f t="shared" si="671"/>
        <v>30</v>
      </c>
      <c r="CD686" s="237">
        <f t="shared" si="655"/>
        <v>43</v>
      </c>
      <c r="CE686" s="253">
        <f t="shared" si="656"/>
        <v>3.5018750000000001</v>
      </c>
      <c r="CF686" s="253" cm="1">
        <f t="array" ref="CF686">$BC686 * IF($AD686&lt;=2,
SUMPRODUCT(INDEX($AL$72:$AN$76,,$AE686), INDEX($AO$72:$AU$76,,$AD686), 1 / ($AV$72:$AV$76*CE686 + (1-$AV$72:$AV$76)*CA686), N($AK$72:$AK$76&gt;$AI686)),
SUMPRODUCT(INDEX($AL$67:$AN$76,,$AE686), INDEX($AO$67:$AU$76,,$AD686), 1 / ($AW$67:$AW$76*CE686 + (1-$AW$67:$AW$76)*CA686), N($AK$67:$AK$76&gt;$AI686))
) / 1000</f>
        <v>0</v>
      </c>
      <c r="CG686" s="250">
        <f t="shared" si="672"/>
        <v>25</v>
      </c>
      <c r="CH686" s="237">
        <f t="shared" si="657"/>
        <v>38</v>
      </c>
      <c r="CI686" s="253">
        <f t="shared" si="658"/>
        <v>4.0666935483870965</v>
      </c>
      <c r="CJ686" s="253" cm="1">
        <f t="array" ref="CJ686">$BC686 * IF($AD686&lt;=2,
SUMPRODUCT(INDEX($AL$67:$AN$71,,$AE686), INDEX($AO$67:$AU$71,,$AD686), 1 / ($AV$67:$AV$71*CI686 + (1-$AV$67:$AV$71)*CE686), N($AK$67:$AK$71&gt;$AI686)),
SUMPRODUCT(INDEX($AL$57:$AN$66,,$AE686), INDEX($AO$57:$AU$66,,$AD686), 1 / ($AW$57:$AW$66*CI686 + (1-$AW$57:$AW$66)*CE686), N($AK$57:$AK$66&gt;$AI686))
) / 1000</f>
        <v>0</v>
      </c>
      <c r="CK686" s="250">
        <f t="shared" si="673"/>
        <v>20</v>
      </c>
      <c r="CL686" s="237">
        <f t="shared" si="659"/>
        <v>33</v>
      </c>
      <c r="CM686" s="253">
        <f t="shared" si="660"/>
        <v>4.8487499999999999</v>
      </c>
      <c r="CN686" s="253" cm="1">
        <f t="array" ref="CN686">$BC686 * IF($AD686&lt;=2,
SUMPRODUCT(INDEX($AL$62:$AN$66,,$AE686), INDEX($AO$62:$AU$66,,$AD686), 1 / ($AV$62:$AV$66*CM686 + (1-$AV$62:$AV$66)*CI686), N($AK$62:$AK$66&gt;$AI686)),
SUMPRODUCT(INDEX($AL$47:$AN$56,,$AE686), INDEX($AO$47:$AU$56,,$AD686), 1 / ($AW$47:$AW$56*CM686 + (1-$AW$47:$AW$56)*CI686), N($AK$47:$AK$56&gt;$AI686))
) / 1000</f>
        <v>0</v>
      </c>
      <c r="CO686" s="253" cm="1">
        <f t="array" ref="CO686">$BC686 * IF($AD686&lt;=2,
SUMPRODUCT(INDEX($AL$23:$AN$61,,$AE686), INDEX($AO$23:$AU$61,,$AD686), 1 / ($AV$23:$AV$61*CM686), N($AK$23:$AK$61&gt;$AI686)),
SUMPRODUCT(INDEX($AL$23:$AN$46,,$AE686), INDEX($AO$23:$AU$46,,$AD686), 1 / ($AW$23:$AW$46*CM686), N($AK$23:$AK$46&gt;$AI686))
) / 1000</f>
        <v>0</v>
      </c>
      <c r="CP686" s="237">
        <f t="shared" si="661"/>
        <v>0</v>
      </c>
      <c r="CQ686" s="210"/>
    </row>
    <row r="687" spans="1:95" s="76" customFormat="1" ht="14.25" customHeight="1" x14ac:dyDescent="0.2">
      <c r="A687" s="238" t="b">
        <f t="shared" si="665"/>
        <v>0</v>
      </c>
      <c r="B687" s="239">
        <v>665</v>
      </c>
      <c r="C687" s="258"/>
      <c r="D687" s="258"/>
      <c r="E687" s="240"/>
      <c r="F687" s="241" t="str">
        <f>IF(ISBLANK(E687), "", VLOOKUP(E687, Z!$A$2:$C$4127, 3, FALSE))</f>
        <v/>
      </c>
      <c r="G687" s="242"/>
      <c r="H687" s="242"/>
      <c r="I687" s="243"/>
      <c r="J687" s="244"/>
      <c r="K687" s="259"/>
      <c r="L687" s="260"/>
      <c r="M687" s="247" t="str" cm="1">
        <f t="array" ref="M687">IF($K687&gt;0, INDEX(Clean,1+AG687,$C$1), "")</f>
        <v/>
      </c>
      <c r="N687" s="245"/>
      <c r="O687" s="245"/>
      <c r="P687" s="246"/>
      <c r="Q687" s="248">
        <f t="shared" si="638"/>
        <v>0</v>
      </c>
      <c r="R687" s="247" t="str" cm="1">
        <f t="array" ref="R687">IF($K687&gt;0, INDEX(Clean,1+AH687,$C$1), "")</f>
        <v/>
      </c>
      <c r="S687" s="245"/>
      <c r="T687" s="245"/>
      <c r="U687" s="246"/>
      <c r="V687" s="248">
        <f t="shared" si="639"/>
        <v>0</v>
      </c>
      <c r="W687" s="261"/>
      <c r="X687" s="258"/>
      <c r="Y687" s="240"/>
      <c r="Z687" s="241" t="str">
        <f>IF(ISBLANK(Y687), "", VLOOKUP(Y687, Z!$A$2:$C$4127, 3, FALSE))</f>
        <v/>
      </c>
      <c r="AA687" s="262"/>
      <c r="AB687" s="249">
        <f t="shared" si="674"/>
        <v>0</v>
      </c>
      <c r="AC687" s="210"/>
      <c r="AD687" s="236">
        <f t="shared" si="662"/>
        <v>1</v>
      </c>
      <c r="AE687" s="236">
        <f t="shared" si="663"/>
        <v>1</v>
      </c>
      <c r="AF687" s="236">
        <f t="shared" si="664"/>
        <v>0</v>
      </c>
      <c r="AG687" s="236">
        <v>1</v>
      </c>
      <c r="AH687" s="236">
        <v>0</v>
      </c>
      <c r="AI687" s="236">
        <f t="shared" si="640"/>
        <v>-100</v>
      </c>
      <c r="AJ687" s="210"/>
      <c r="AK687" s="254"/>
      <c r="AL687" s="254"/>
      <c r="AM687" s="255"/>
      <c r="AN687" s="255"/>
      <c r="AO687" s="255"/>
      <c r="AP687" s="255"/>
      <c r="AQ687" s="255"/>
      <c r="AR687" s="255"/>
      <c r="AS687" s="255"/>
      <c r="AT687" s="255"/>
      <c r="AU687" s="255"/>
      <c r="AV687" s="255"/>
      <c r="AW687" s="255"/>
      <c r="AX687" s="210"/>
      <c r="AY687" s="236" cm="1">
        <f t="array" ref="AY687">INDEX(Use, $AD687, 4)</f>
        <v>7</v>
      </c>
      <c r="AZ687" s="236">
        <f t="shared" si="641"/>
        <v>32</v>
      </c>
      <c r="BA687" s="236">
        <f t="shared" si="666"/>
        <v>13</v>
      </c>
      <c r="BB687" s="236">
        <f t="shared" si="667"/>
        <v>0</v>
      </c>
      <c r="BC687" s="252" cm="1">
        <f t="array" ref="BC687">K687/IF($L687&gt;0, INDEX($AO$23:$AU$77, $L687+20, $AD687), 1)</f>
        <v>0</v>
      </c>
      <c r="BD687" s="237">
        <f t="shared" si="642"/>
        <v>0</v>
      </c>
      <c r="BE687" s="236">
        <v>35</v>
      </c>
      <c r="BF687" s="237">
        <f t="shared" si="643"/>
        <v>52.55</v>
      </c>
      <c r="BG687" s="253">
        <f t="shared" si="644"/>
        <v>2.7676728869374316</v>
      </c>
      <c r="BH687" s="253" cm="1">
        <f t="array" ref="BH687">$BC687 * SUMPRODUCT(INDEX($AL$77:$AN$82,,$AE687),INDEX($AO$77:$AU$82,,$AD687), N($AK$77:$AK$82&gt;$AI687)) / BG687 / 1000</f>
        <v>0</v>
      </c>
      <c r="BI687" s="250">
        <f t="shared" si="668"/>
        <v>30</v>
      </c>
      <c r="BJ687" s="237">
        <f t="shared" si="645"/>
        <v>46.033333333333331</v>
      </c>
      <c r="BK687" s="253">
        <f t="shared" si="646"/>
        <v>3.2297395388556791</v>
      </c>
      <c r="BL687" s="253" cm="1">
        <f t="array" ref="BL687">$BC687 * IF($AD687&lt;=2,
SUMPRODUCT(INDEX($AL$72:$AN$76,,$AE687), INDEX($AO$72:$AU$76,,$AD687), 1 / ($AV$72:$AV$76*BK687 + (1-$AV$72:$AV$76)*BG687), N($AK$72:$AK$76&gt;$AI687)),
SUMPRODUCT(INDEX($AL$67:$AN$76,,$AE687), INDEX($AO$67:$AU$76,,$AD687), 1 / ($AW$67:$AW$76*BK687 + (1-$AW$67:$AW$76)*BG687), N($AK$67:$AK$76&gt;$AI687))
) / 1000</f>
        <v>0</v>
      </c>
      <c r="BM687" s="250">
        <f t="shared" si="669"/>
        <v>25</v>
      </c>
      <c r="BN687" s="237">
        <f t="shared" si="647"/>
        <v>39.516666666666666</v>
      </c>
      <c r="BO687" s="253">
        <f t="shared" si="648"/>
        <v>3.877011788826243</v>
      </c>
      <c r="BP687" s="253" cm="1">
        <f t="array" ref="BP687">$BC687 * IF($AD687&lt;=2,
SUMPRODUCT(INDEX($AL$67:$AN$71,,$AE687), INDEX($AO$67:$AU$71,,$AD687), 1 / ($AV$67:$AV$71*BO687 + (1-$AV$67:$AV$71)*BK687), N($AK$67:$AK$71&gt;$AI687)),
SUMPRODUCT(INDEX($AL$57:$AN$66,,$AE687), INDEX($AO$57:$AU$66,,$AD687), 1 / ($AW$57:$AW$66*BO687 + (1-$AW$57:$AW$66)*BK687), N($AK$57:$AK$66&gt;$AI687))
) / 1000</f>
        <v>0</v>
      </c>
      <c r="BQ687" s="250">
        <f t="shared" si="670"/>
        <v>20</v>
      </c>
      <c r="BR687" s="237">
        <f t="shared" si="649"/>
        <v>33</v>
      </c>
      <c r="BS687" s="253">
        <f t="shared" si="650"/>
        <v>4.8487499999999999</v>
      </c>
      <c r="BT687" s="253" cm="1">
        <f t="array" ref="BT687">$BC687 * IF($AD687&lt;=2,
SUMPRODUCT(INDEX($AL$62:$AN$66,,$AE687), INDEX($AO$62:$AU$66,,$AD687), 1 / ($AV$62:$AV$66*BS687 + (1-$AV$62:$AV$66)*BO687), N($AK$62:$AK$66&gt;$AI687)),
SUMPRODUCT(INDEX($AL$47:$AN$56,,$AE687), INDEX($AO$47:$AU$56,,$AD687), 1 / ($AW$47:$AW$56*BS687 + (1-$AW$47:$AW$56)*BO687), N($AK$47:$AK$56&gt;$AI687))
) / 1000</f>
        <v>0</v>
      </c>
      <c r="BU687" s="253" cm="1">
        <f t="array" ref="BU687">$BC687 * IF($AD687&lt;=2,
SUMPRODUCT(INDEX($AL$23:$AN$61,,$AE687), INDEX($AO$23:$AU$61,,$AD687), 1 / ($AV$23:$AV$61*BS687), N($AK$23:$AK$61&gt;$AI687)),
SUMPRODUCT(INDEX($AL$23:$AN$46,,$AE687), INDEX($AO$23:$AU$46,,$AD687), 1 / ($AW$23:$AW$46*BS687), N($AK$23:$AK$46&gt;$AI687))
) / 1000</f>
        <v>0</v>
      </c>
      <c r="BV687" s="237">
        <f t="shared" si="651"/>
        <v>0</v>
      </c>
      <c r="BW687" s="210"/>
      <c r="BX687" s="237">
        <f t="shared" si="652"/>
        <v>0</v>
      </c>
      <c r="BY687" s="236">
        <v>35</v>
      </c>
      <c r="BZ687" s="237">
        <f t="shared" si="653"/>
        <v>48</v>
      </c>
      <c r="CA687" s="253">
        <f t="shared" si="654"/>
        <v>3.0748170731707316</v>
      </c>
      <c r="CB687" s="253" cm="1">
        <f t="array" ref="CB687">$BC687 * SUMPRODUCT(INDEX($AL$77:$AN$82,,$AE687),INDEX($AO$77:$AU$82,,$AD687), N($AK$77:$AK$82&gt;$AI687)) / CA687 / 1000</f>
        <v>0</v>
      </c>
      <c r="CC687" s="250">
        <f t="shared" si="671"/>
        <v>30</v>
      </c>
      <c r="CD687" s="237">
        <f t="shared" si="655"/>
        <v>43</v>
      </c>
      <c r="CE687" s="253">
        <f t="shared" si="656"/>
        <v>3.5018750000000001</v>
      </c>
      <c r="CF687" s="253" cm="1">
        <f t="array" ref="CF687">$BC687 * IF($AD687&lt;=2,
SUMPRODUCT(INDEX($AL$72:$AN$76,,$AE687), INDEX($AO$72:$AU$76,,$AD687), 1 / ($AV$72:$AV$76*CE687 + (1-$AV$72:$AV$76)*CA687), N($AK$72:$AK$76&gt;$AI687)),
SUMPRODUCT(INDEX($AL$67:$AN$76,,$AE687), INDEX($AO$67:$AU$76,,$AD687), 1 / ($AW$67:$AW$76*CE687 + (1-$AW$67:$AW$76)*CA687), N($AK$67:$AK$76&gt;$AI687))
) / 1000</f>
        <v>0</v>
      </c>
      <c r="CG687" s="250">
        <f t="shared" si="672"/>
        <v>25</v>
      </c>
      <c r="CH687" s="237">
        <f t="shared" si="657"/>
        <v>38</v>
      </c>
      <c r="CI687" s="253">
        <f t="shared" si="658"/>
        <v>4.0666935483870965</v>
      </c>
      <c r="CJ687" s="253" cm="1">
        <f t="array" ref="CJ687">$BC687 * IF($AD687&lt;=2,
SUMPRODUCT(INDEX($AL$67:$AN$71,,$AE687), INDEX($AO$67:$AU$71,,$AD687), 1 / ($AV$67:$AV$71*CI687 + (1-$AV$67:$AV$71)*CE687), N($AK$67:$AK$71&gt;$AI687)),
SUMPRODUCT(INDEX($AL$57:$AN$66,,$AE687), INDEX($AO$57:$AU$66,,$AD687), 1 / ($AW$57:$AW$66*CI687 + (1-$AW$57:$AW$66)*CE687), N($AK$57:$AK$66&gt;$AI687))
) / 1000</f>
        <v>0</v>
      </c>
      <c r="CK687" s="250">
        <f t="shared" si="673"/>
        <v>20</v>
      </c>
      <c r="CL687" s="237">
        <f t="shared" si="659"/>
        <v>33</v>
      </c>
      <c r="CM687" s="253">
        <f t="shared" si="660"/>
        <v>4.8487499999999999</v>
      </c>
      <c r="CN687" s="253" cm="1">
        <f t="array" ref="CN687">$BC687 * IF($AD687&lt;=2,
SUMPRODUCT(INDEX($AL$62:$AN$66,,$AE687), INDEX($AO$62:$AU$66,,$AD687), 1 / ($AV$62:$AV$66*CM687 + (1-$AV$62:$AV$66)*CI687), N($AK$62:$AK$66&gt;$AI687)),
SUMPRODUCT(INDEX($AL$47:$AN$56,,$AE687), INDEX($AO$47:$AU$56,,$AD687), 1 / ($AW$47:$AW$56*CM687 + (1-$AW$47:$AW$56)*CI687), N($AK$47:$AK$56&gt;$AI687))
) / 1000</f>
        <v>0</v>
      </c>
      <c r="CO687" s="253" cm="1">
        <f t="array" ref="CO687">$BC687 * IF($AD687&lt;=2,
SUMPRODUCT(INDEX($AL$23:$AN$61,,$AE687), INDEX($AO$23:$AU$61,,$AD687), 1 / ($AV$23:$AV$61*CM687), N($AK$23:$AK$61&gt;$AI687)),
SUMPRODUCT(INDEX($AL$23:$AN$46,,$AE687), INDEX($AO$23:$AU$46,,$AD687), 1 / ($AW$23:$AW$46*CM687), N($AK$23:$AK$46&gt;$AI687))
) / 1000</f>
        <v>0</v>
      </c>
      <c r="CP687" s="237">
        <f t="shared" si="661"/>
        <v>0</v>
      </c>
      <c r="CQ687" s="210"/>
    </row>
    <row r="688" spans="1:95" s="76" customFormat="1" ht="14.25" customHeight="1" x14ac:dyDescent="0.2">
      <c r="A688" s="238" t="b">
        <f t="shared" si="665"/>
        <v>0</v>
      </c>
      <c r="B688" s="239">
        <v>666</v>
      </c>
      <c r="C688" s="258"/>
      <c r="D688" s="258"/>
      <c r="E688" s="240"/>
      <c r="F688" s="241" t="str">
        <f>IF(ISBLANK(E688), "", VLOOKUP(E688, Z!$A$2:$C$4127, 3, FALSE))</f>
        <v/>
      </c>
      <c r="G688" s="242"/>
      <c r="H688" s="242"/>
      <c r="I688" s="243"/>
      <c r="J688" s="244"/>
      <c r="K688" s="259"/>
      <c r="L688" s="260"/>
      <c r="M688" s="247" t="str" cm="1">
        <f t="array" ref="M688">IF($K688&gt;0, INDEX(Clean,1+AG688,$C$1), "")</f>
        <v/>
      </c>
      <c r="N688" s="245"/>
      <c r="O688" s="245"/>
      <c r="P688" s="246"/>
      <c r="Q688" s="248">
        <f t="shared" si="638"/>
        <v>0</v>
      </c>
      <c r="R688" s="247" t="str" cm="1">
        <f t="array" ref="R688">IF($K688&gt;0, INDEX(Clean,1+AH688,$C$1), "")</f>
        <v/>
      </c>
      <c r="S688" s="245"/>
      <c r="T688" s="245"/>
      <c r="U688" s="246"/>
      <c r="V688" s="248">
        <f t="shared" si="639"/>
        <v>0</v>
      </c>
      <c r="W688" s="261"/>
      <c r="X688" s="258"/>
      <c r="Y688" s="240"/>
      <c r="Z688" s="241" t="str">
        <f>IF(ISBLANK(Y688), "", VLOOKUP(Y688, Z!$A$2:$C$4127, 3, FALSE))</f>
        <v/>
      </c>
      <c r="AA688" s="262"/>
      <c r="AB688" s="249">
        <f t="shared" si="674"/>
        <v>0</v>
      </c>
      <c r="AC688" s="210"/>
      <c r="AD688" s="236">
        <f t="shared" si="662"/>
        <v>1</v>
      </c>
      <c r="AE688" s="236">
        <f t="shared" si="663"/>
        <v>1</v>
      </c>
      <c r="AF688" s="236">
        <f t="shared" si="664"/>
        <v>0</v>
      </c>
      <c r="AG688" s="236">
        <v>1</v>
      </c>
      <c r="AH688" s="236">
        <v>0</v>
      </c>
      <c r="AI688" s="236">
        <f t="shared" si="640"/>
        <v>-100</v>
      </c>
      <c r="AJ688" s="210"/>
      <c r="AK688" s="254"/>
      <c r="AL688" s="254"/>
      <c r="AM688" s="255"/>
      <c r="AN688" s="255"/>
      <c r="AO688" s="255"/>
      <c r="AP688" s="255"/>
      <c r="AQ688" s="255"/>
      <c r="AR688" s="255"/>
      <c r="AS688" s="255"/>
      <c r="AT688" s="255"/>
      <c r="AU688" s="255"/>
      <c r="AV688" s="255"/>
      <c r="AW688" s="255"/>
      <c r="AX688" s="210"/>
      <c r="AY688" s="236" cm="1">
        <f t="array" ref="AY688">INDEX(Use, $AD688, 4)</f>
        <v>7</v>
      </c>
      <c r="AZ688" s="236">
        <f t="shared" si="641"/>
        <v>32</v>
      </c>
      <c r="BA688" s="236">
        <f t="shared" si="666"/>
        <v>13</v>
      </c>
      <c r="BB688" s="236">
        <f t="shared" si="667"/>
        <v>0</v>
      </c>
      <c r="BC688" s="252" cm="1">
        <f t="array" ref="BC688">K688/IF($L688&gt;0, INDEX($AO$23:$AU$77, $L688+20, $AD688), 1)</f>
        <v>0</v>
      </c>
      <c r="BD688" s="237">
        <f t="shared" si="642"/>
        <v>0</v>
      </c>
      <c r="BE688" s="236">
        <v>35</v>
      </c>
      <c r="BF688" s="237">
        <f t="shared" si="643"/>
        <v>52.55</v>
      </c>
      <c r="BG688" s="253">
        <f t="shared" si="644"/>
        <v>2.7676728869374316</v>
      </c>
      <c r="BH688" s="253" cm="1">
        <f t="array" ref="BH688">$BC688 * SUMPRODUCT(INDEX($AL$77:$AN$82,,$AE688),INDEX($AO$77:$AU$82,,$AD688), N($AK$77:$AK$82&gt;$AI688)) / BG688 / 1000</f>
        <v>0</v>
      </c>
      <c r="BI688" s="250">
        <f t="shared" si="668"/>
        <v>30</v>
      </c>
      <c r="BJ688" s="237">
        <f t="shared" si="645"/>
        <v>46.033333333333331</v>
      </c>
      <c r="BK688" s="253">
        <f t="shared" si="646"/>
        <v>3.2297395388556791</v>
      </c>
      <c r="BL688" s="253" cm="1">
        <f t="array" ref="BL688">$BC688 * IF($AD688&lt;=2,
SUMPRODUCT(INDEX($AL$72:$AN$76,,$AE688), INDEX($AO$72:$AU$76,,$AD688), 1 / ($AV$72:$AV$76*BK688 + (1-$AV$72:$AV$76)*BG688), N($AK$72:$AK$76&gt;$AI688)),
SUMPRODUCT(INDEX($AL$67:$AN$76,,$AE688), INDEX($AO$67:$AU$76,,$AD688), 1 / ($AW$67:$AW$76*BK688 + (1-$AW$67:$AW$76)*BG688), N($AK$67:$AK$76&gt;$AI688))
) / 1000</f>
        <v>0</v>
      </c>
      <c r="BM688" s="250">
        <f t="shared" si="669"/>
        <v>25</v>
      </c>
      <c r="BN688" s="237">
        <f t="shared" si="647"/>
        <v>39.516666666666666</v>
      </c>
      <c r="BO688" s="253">
        <f t="shared" si="648"/>
        <v>3.877011788826243</v>
      </c>
      <c r="BP688" s="253" cm="1">
        <f t="array" ref="BP688">$BC688 * IF($AD688&lt;=2,
SUMPRODUCT(INDEX($AL$67:$AN$71,,$AE688), INDEX($AO$67:$AU$71,,$AD688), 1 / ($AV$67:$AV$71*BO688 + (1-$AV$67:$AV$71)*BK688), N($AK$67:$AK$71&gt;$AI688)),
SUMPRODUCT(INDEX($AL$57:$AN$66,,$AE688), INDEX($AO$57:$AU$66,,$AD688), 1 / ($AW$57:$AW$66*BO688 + (1-$AW$57:$AW$66)*BK688), N($AK$57:$AK$66&gt;$AI688))
) / 1000</f>
        <v>0</v>
      </c>
      <c r="BQ688" s="250">
        <f t="shared" si="670"/>
        <v>20</v>
      </c>
      <c r="BR688" s="237">
        <f t="shared" si="649"/>
        <v>33</v>
      </c>
      <c r="BS688" s="253">
        <f t="shared" si="650"/>
        <v>4.8487499999999999</v>
      </c>
      <c r="BT688" s="253" cm="1">
        <f t="array" ref="BT688">$BC688 * IF($AD688&lt;=2,
SUMPRODUCT(INDEX($AL$62:$AN$66,,$AE688), INDEX($AO$62:$AU$66,,$AD688), 1 / ($AV$62:$AV$66*BS688 + (1-$AV$62:$AV$66)*BO688), N($AK$62:$AK$66&gt;$AI688)),
SUMPRODUCT(INDEX($AL$47:$AN$56,,$AE688), INDEX($AO$47:$AU$56,,$AD688), 1 / ($AW$47:$AW$56*BS688 + (1-$AW$47:$AW$56)*BO688), N($AK$47:$AK$56&gt;$AI688))
) / 1000</f>
        <v>0</v>
      </c>
      <c r="BU688" s="253" cm="1">
        <f t="array" ref="BU688">$BC688 * IF($AD688&lt;=2,
SUMPRODUCT(INDEX($AL$23:$AN$61,,$AE688), INDEX($AO$23:$AU$61,,$AD688), 1 / ($AV$23:$AV$61*BS688), N($AK$23:$AK$61&gt;$AI688)),
SUMPRODUCT(INDEX($AL$23:$AN$46,,$AE688), INDEX($AO$23:$AU$46,,$AD688), 1 / ($AW$23:$AW$46*BS688), N($AK$23:$AK$46&gt;$AI688))
) / 1000</f>
        <v>0</v>
      </c>
      <c r="BV688" s="237">
        <f t="shared" si="651"/>
        <v>0</v>
      </c>
      <c r="BW688" s="210"/>
      <c r="BX688" s="237">
        <f t="shared" si="652"/>
        <v>0</v>
      </c>
      <c r="BY688" s="236">
        <v>35</v>
      </c>
      <c r="BZ688" s="237">
        <f t="shared" si="653"/>
        <v>48</v>
      </c>
      <c r="CA688" s="253">
        <f t="shared" si="654"/>
        <v>3.0748170731707316</v>
      </c>
      <c r="CB688" s="253" cm="1">
        <f t="array" ref="CB688">$BC688 * SUMPRODUCT(INDEX($AL$77:$AN$82,,$AE688),INDEX($AO$77:$AU$82,,$AD688), N($AK$77:$AK$82&gt;$AI688)) / CA688 / 1000</f>
        <v>0</v>
      </c>
      <c r="CC688" s="250">
        <f t="shared" si="671"/>
        <v>30</v>
      </c>
      <c r="CD688" s="237">
        <f t="shared" si="655"/>
        <v>43</v>
      </c>
      <c r="CE688" s="253">
        <f t="shared" si="656"/>
        <v>3.5018750000000001</v>
      </c>
      <c r="CF688" s="253" cm="1">
        <f t="array" ref="CF688">$BC688 * IF($AD688&lt;=2,
SUMPRODUCT(INDEX($AL$72:$AN$76,,$AE688), INDEX($AO$72:$AU$76,,$AD688), 1 / ($AV$72:$AV$76*CE688 + (1-$AV$72:$AV$76)*CA688), N($AK$72:$AK$76&gt;$AI688)),
SUMPRODUCT(INDEX($AL$67:$AN$76,,$AE688), INDEX($AO$67:$AU$76,,$AD688), 1 / ($AW$67:$AW$76*CE688 + (1-$AW$67:$AW$76)*CA688), N($AK$67:$AK$76&gt;$AI688))
) / 1000</f>
        <v>0</v>
      </c>
      <c r="CG688" s="250">
        <f t="shared" si="672"/>
        <v>25</v>
      </c>
      <c r="CH688" s="237">
        <f t="shared" si="657"/>
        <v>38</v>
      </c>
      <c r="CI688" s="253">
        <f t="shared" si="658"/>
        <v>4.0666935483870965</v>
      </c>
      <c r="CJ688" s="253" cm="1">
        <f t="array" ref="CJ688">$BC688 * IF($AD688&lt;=2,
SUMPRODUCT(INDEX($AL$67:$AN$71,,$AE688), INDEX($AO$67:$AU$71,,$AD688), 1 / ($AV$67:$AV$71*CI688 + (1-$AV$67:$AV$71)*CE688), N($AK$67:$AK$71&gt;$AI688)),
SUMPRODUCT(INDEX($AL$57:$AN$66,,$AE688), INDEX($AO$57:$AU$66,,$AD688), 1 / ($AW$57:$AW$66*CI688 + (1-$AW$57:$AW$66)*CE688), N($AK$57:$AK$66&gt;$AI688))
) / 1000</f>
        <v>0</v>
      </c>
      <c r="CK688" s="250">
        <f t="shared" si="673"/>
        <v>20</v>
      </c>
      <c r="CL688" s="237">
        <f t="shared" si="659"/>
        <v>33</v>
      </c>
      <c r="CM688" s="253">
        <f t="shared" si="660"/>
        <v>4.8487499999999999</v>
      </c>
      <c r="CN688" s="253" cm="1">
        <f t="array" ref="CN688">$BC688 * IF($AD688&lt;=2,
SUMPRODUCT(INDEX($AL$62:$AN$66,,$AE688), INDEX($AO$62:$AU$66,,$AD688), 1 / ($AV$62:$AV$66*CM688 + (1-$AV$62:$AV$66)*CI688), N($AK$62:$AK$66&gt;$AI688)),
SUMPRODUCT(INDEX($AL$47:$AN$56,,$AE688), INDEX($AO$47:$AU$56,,$AD688), 1 / ($AW$47:$AW$56*CM688 + (1-$AW$47:$AW$56)*CI688), N($AK$47:$AK$56&gt;$AI688))
) / 1000</f>
        <v>0</v>
      </c>
      <c r="CO688" s="253" cm="1">
        <f t="array" ref="CO688">$BC688 * IF($AD688&lt;=2,
SUMPRODUCT(INDEX($AL$23:$AN$61,,$AE688), INDEX($AO$23:$AU$61,,$AD688), 1 / ($AV$23:$AV$61*CM688), N($AK$23:$AK$61&gt;$AI688)),
SUMPRODUCT(INDEX($AL$23:$AN$46,,$AE688), INDEX($AO$23:$AU$46,,$AD688), 1 / ($AW$23:$AW$46*CM688), N($AK$23:$AK$46&gt;$AI688))
) / 1000</f>
        <v>0</v>
      </c>
      <c r="CP688" s="237">
        <f t="shared" si="661"/>
        <v>0</v>
      </c>
      <c r="CQ688" s="210"/>
    </row>
    <row r="689" spans="1:95" s="76" customFormat="1" ht="14.25" customHeight="1" x14ac:dyDescent="0.2">
      <c r="A689" s="238" t="b">
        <f t="shared" si="665"/>
        <v>0</v>
      </c>
      <c r="B689" s="239">
        <v>667</v>
      </c>
      <c r="C689" s="258"/>
      <c r="D689" s="258"/>
      <c r="E689" s="240"/>
      <c r="F689" s="241" t="str">
        <f>IF(ISBLANK(E689), "", VLOOKUP(E689, Z!$A$2:$C$4127, 3, FALSE))</f>
        <v/>
      </c>
      <c r="G689" s="242"/>
      <c r="H689" s="242"/>
      <c r="I689" s="243"/>
      <c r="J689" s="244"/>
      <c r="K689" s="259"/>
      <c r="L689" s="260"/>
      <c r="M689" s="247" t="str" cm="1">
        <f t="array" ref="M689">IF($K689&gt;0, INDEX(Clean,1+AG689,$C$1), "")</f>
        <v/>
      </c>
      <c r="N689" s="245"/>
      <c r="O689" s="245"/>
      <c r="P689" s="246"/>
      <c r="Q689" s="248">
        <f t="shared" si="638"/>
        <v>0</v>
      </c>
      <c r="R689" s="247" t="str" cm="1">
        <f t="array" ref="R689">IF($K689&gt;0, INDEX(Clean,1+AH689,$C$1), "")</f>
        <v/>
      </c>
      <c r="S689" s="245"/>
      <c r="T689" s="245"/>
      <c r="U689" s="246"/>
      <c r="V689" s="248">
        <f t="shared" si="639"/>
        <v>0</v>
      </c>
      <c r="W689" s="261"/>
      <c r="X689" s="258"/>
      <c r="Y689" s="240"/>
      <c r="Z689" s="241" t="str">
        <f>IF(ISBLANK(Y689), "", VLOOKUP(Y689, Z!$A$2:$C$4127, 3, FALSE))</f>
        <v/>
      </c>
      <c r="AA689" s="262"/>
      <c r="AB689" s="249">
        <f t="shared" si="674"/>
        <v>0</v>
      </c>
      <c r="AC689" s="210"/>
      <c r="AD689" s="236">
        <f t="shared" si="662"/>
        <v>1</v>
      </c>
      <c r="AE689" s="236">
        <f t="shared" si="663"/>
        <v>1</v>
      </c>
      <c r="AF689" s="236">
        <f t="shared" si="664"/>
        <v>0</v>
      </c>
      <c r="AG689" s="236">
        <v>1</v>
      </c>
      <c r="AH689" s="236">
        <v>0</v>
      </c>
      <c r="AI689" s="236">
        <f t="shared" si="640"/>
        <v>-100</v>
      </c>
      <c r="AJ689" s="210"/>
      <c r="AK689" s="254"/>
      <c r="AL689" s="254"/>
      <c r="AM689" s="255"/>
      <c r="AN689" s="255"/>
      <c r="AO689" s="255"/>
      <c r="AP689" s="255"/>
      <c r="AQ689" s="255"/>
      <c r="AR689" s="255"/>
      <c r="AS689" s="255"/>
      <c r="AT689" s="255"/>
      <c r="AU689" s="255"/>
      <c r="AV689" s="255"/>
      <c r="AW689" s="255"/>
      <c r="AX689" s="210"/>
      <c r="AY689" s="236" cm="1">
        <f t="array" ref="AY689">INDEX(Use, $AD689, 4)</f>
        <v>7</v>
      </c>
      <c r="AZ689" s="236">
        <f t="shared" si="641"/>
        <v>32</v>
      </c>
      <c r="BA689" s="236">
        <f t="shared" si="666"/>
        <v>13</v>
      </c>
      <c r="BB689" s="236">
        <f t="shared" si="667"/>
        <v>0</v>
      </c>
      <c r="BC689" s="252" cm="1">
        <f t="array" ref="BC689">K689/IF($L689&gt;0, INDEX($AO$23:$AU$77, $L689+20, $AD689), 1)</f>
        <v>0</v>
      </c>
      <c r="BD689" s="237">
        <f t="shared" si="642"/>
        <v>0</v>
      </c>
      <c r="BE689" s="236">
        <v>35</v>
      </c>
      <c r="BF689" s="237">
        <f t="shared" si="643"/>
        <v>52.55</v>
      </c>
      <c r="BG689" s="253">
        <f t="shared" si="644"/>
        <v>2.7676728869374316</v>
      </c>
      <c r="BH689" s="253" cm="1">
        <f t="array" ref="BH689">$BC689 * SUMPRODUCT(INDEX($AL$77:$AN$82,,$AE689),INDEX($AO$77:$AU$82,,$AD689), N($AK$77:$AK$82&gt;$AI689)) / BG689 / 1000</f>
        <v>0</v>
      </c>
      <c r="BI689" s="250">
        <f t="shared" si="668"/>
        <v>30</v>
      </c>
      <c r="BJ689" s="237">
        <f t="shared" si="645"/>
        <v>46.033333333333331</v>
      </c>
      <c r="BK689" s="253">
        <f t="shared" si="646"/>
        <v>3.2297395388556791</v>
      </c>
      <c r="BL689" s="253" cm="1">
        <f t="array" ref="BL689">$BC689 * IF($AD689&lt;=2,
SUMPRODUCT(INDEX($AL$72:$AN$76,,$AE689), INDEX($AO$72:$AU$76,,$AD689), 1 / ($AV$72:$AV$76*BK689 + (1-$AV$72:$AV$76)*BG689), N($AK$72:$AK$76&gt;$AI689)),
SUMPRODUCT(INDEX($AL$67:$AN$76,,$AE689), INDEX($AO$67:$AU$76,,$AD689), 1 / ($AW$67:$AW$76*BK689 + (1-$AW$67:$AW$76)*BG689), N($AK$67:$AK$76&gt;$AI689))
) / 1000</f>
        <v>0</v>
      </c>
      <c r="BM689" s="250">
        <f t="shared" si="669"/>
        <v>25</v>
      </c>
      <c r="BN689" s="237">
        <f t="shared" si="647"/>
        <v>39.516666666666666</v>
      </c>
      <c r="BO689" s="253">
        <f t="shared" si="648"/>
        <v>3.877011788826243</v>
      </c>
      <c r="BP689" s="253" cm="1">
        <f t="array" ref="BP689">$BC689 * IF($AD689&lt;=2,
SUMPRODUCT(INDEX($AL$67:$AN$71,,$AE689), INDEX($AO$67:$AU$71,,$AD689), 1 / ($AV$67:$AV$71*BO689 + (1-$AV$67:$AV$71)*BK689), N($AK$67:$AK$71&gt;$AI689)),
SUMPRODUCT(INDEX($AL$57:$AN$66,,$AE689), INDEX($AO$57:$AU$66,,$AD689), 1 / ($AW$57:$AW$66*BO689 + (1-$AW$57:$AW$66)*BK689), N($AK$57:$AK$66&gt;$AI689))
) / 1000</f>
        <v>0</v>
      </c>
      <c r="BQ689" s="250">
        <f t="shared" si="670"/>
        <v>20</v>
      </c>
      <c r="BR689" s="237">
        <f t="shared" si="649"/>
        <v>33</v>
      </c>
      <c r="BS689" s="253">
        <f t="shared" si="650"/>
        <v>4.8487499999999999</v>
      </c>
      <c r="BT689" s="253" cm="1">
        <f t="array" ref="BT689">$BC689 * IF($AD689&lt;=2,
SUMPRODUCT(INDEX($AL$62:$AN$66,,$AE689), INDEX($AO$62:$AU$66,,$AD689), 1 / ($AV$62:$AV$66*BS689 + (1-$AV$62:$AV$66)*BO689), N($AK$62:$AK$66&gt;$AI689)),
SUMPRODUCT(INDEX($AL$47:$AN$56,,$AE689), INDEX($AO$47:$AU$56,,$AD689), 1 / ($AW$47:$AW$56*BS689 + (1-$AW$47:$AW$56)*BO689), N($AK$47:$AK$56&gt;$AI689))
) / 1000</f>
        <v>0</v>
      </c>
      <c r="BU689" s="253" cm="1">
        <f t="array" ref="BU689">$BC689 * IF($AD689&lt;=2,
SUMPRODUCT(INDEX($AL$23:$AN$61,,$AE689), INDEX($AO$23:$AU$61,,$AD689), 1 / ($AV$23:$AV$61*BS689), N($AK$23:$AK$61&gt;$AI689)),
SUMPRODUCT(INDEX($AL$23:$AN$46,,$AE689), INDEX($AO$23:$AU$46,,$AD689), 1 / ($AW$23:$AW$46*BS689), N($AK$23:$AK$46&gt;$AI689))
) / 1000</f>
        <v>0</v>
      </c>
      <c r="BV689" s="237">
        <f t="shared" si="651"/>
        <v>0</v>
      </c>
      <c r="BW689" s="210"/>
      <c r="BX689" s="237">
        <f t="shared" si="652"/>
        <v>0</v>
      </c>
      <c r="BY689" s="236">
        <v>35</v>
      </c>
      <c r="BZ689" s="237">
        <f t="shared" si="653"/>
        <v>48</v>
      </c>
      <c r="CA689" s="253">
        <f t="shared" si="654"/>
        <v>3.0748170731707316</v>
      </c>
      <c r="CB689" s="253" cm="1">
        <f t="array" ref="CB689">$BC689 * SUMPRODUCT(INDEX($AL$77:$AN$82,,$AE689),INDEX($AO$77:$AU$82,,$AD689), N($AK$77:$AK$82&gt;$AI689)) / CA689 / 1000</f>
        <v>0</v>
      </c>
      <c r="CC689" s="250">
        <f t="shared" si="671"/>
        <v>30</v>
      </c>
      <c r="CD689" s="237">
        <f t="shared" si="655"/>
        <v>43</v>
      </c>
      <c r="CE689" s="253">
        <f t="shared" si="656"/>
        <v>3.5018750000000001</v>
      </c>
      <c r="CF689" s="253" cm="1">
        <f t="array" ref="CF689">$BC689 * IF($AD689&lt;=2,
SUMPRODUCT(INDEX($AL$72:$AN$76,,$AE689), INDEX($AO$72:$AU$76,,$AD689), 1 / ($AV$72:$AV$76*CE689 + (1-$AV$72:$AV$76)*CA689), N($AK$72:$AK$76&gt;$AI689)),
SUMPRODUCT(INDEX($AL$67:$AN$76,,$AE689), INDEX($AO$67:$AU$76,,$AD689), 1 / ($AW$67:$AW$76*CE689 + (1-$AW$67:$AW$76)*CA689), N($AK$67:$AK$76&gt;$AI689))
) / 1000</f>
        <v>0</v>
      </c>
      <c r="CG689" s="250">
        <f t="shared" si="672"/>
        <v>25</v>
      </c>
      <c r="CH689" s="237">
        <f t="shared" si="657"/>
        <v>38</v>
      </c>
      <c r="CI689" s="253">
        <f t="shared" si="658"/>
        <v>4.0666935483870965</v>
      </c>
      <c r="CJ689" s="253" cm="1">
        <f t="array" ref="CJ689">$BC689 * IF($AD689&lt;=2,
SUMPRODUCT(INDEX($AL$67:$AN$71,,$AE689), INDEX($AO$67:$AU$71,,$AD689), 1 / ($AV$67:$AV$71*CI689 + (1-$AV$67:$AV$71)*CE689), N($AK$67:$AK$71&gt;$AI689)),
SUMPRODUCT(INDEX($AL$57:$AN$66,,$AE689), INDEX($AO$57:$AU$66,,$AD689), 1 / ($AW$57:$AW$66*CI689 + (1-$AW$57:$AW$66)*CE689), N($AK$57:$AK$66&gt;$AI689))
) / 1000</f>
        <v>0</v>
      </c>
      <c r="CK689" s="250">
        <f t="shared" si="673"/>
        <v>20</v>
      </c>
      <c r="CL689" s="237">
        <f t="shared" si="659"/>
        <v>33</v>
      </c>
      <c r="CM689" s="253">
        <f t="shared" si="660"/>
        <v>4.8487499999999999</v>
      </c>
      <c r="CN689" s="253" cm="1">
        <f t="array" ref="CN689">$BC689 * IF($AD689&lt;=2,
SUMPRODUCT(INDEX($AL$62:$AN$66,,$AE689), INDEX($AO$62:$AU$66,,$AD689), 1 / ($AV$62:$AV$66*CM689 + (1-$AV$62:$AV$66)*CI689), N($AK$62:$AK$66&gt;$AI689)),
SUMPRODUCT(INDEX($AL$47:$AN$56,,$AE689), INDEX($AO$47:$AU$56,,$AD689), 1 / ($AW$47:$AW$56*CM689 + (1-$AW$47:$AW$56)*CI689), N($AK$47:$AK$56&gt;$AI689))
) / 1000</f>
        <v>0</v>
      </c>
      <c r="CO689" s="253" cm="1">
        <f t="array" ref="CO689">$BC689 * IF($AD689&lt;=2,
SUMPRODUCT(INDEX($AL$23:$AN$61,,$AE689), INDEX($AO$23:$AU$61,,$AD689), 1 / ($AV$23:$AV$61*CM689), N($AK$23:$AK$61&gt;$AI689)),
SUMPRODUCT(INDEX($AL$23:$AN$46,,$AE689), INDEX($AO$23:$AU$46,,$AD689), 1 / ($AW$23:$AW$46*CM689), N($AK$23:$AK$46&gt;$AI689))
) / 1000</f>
        <v>0</v>
      </c>
      <c r="CP689" s="237">
        <f t="shared" si="661"/>
        <v>0</v>
      </c>
      <c r="CQ689" s="210"/>
    </row>
    <row r="690" spans="1:95" s="76" customFormat="1" ht="14.25" customHeight="1" x14ac:dyDescent="0.2">
      <c r="A690" s="238" t="b">
        <f t="shared" si="665"/>
        <v>0</v>
      </c>
      <c r="B690" s="239">
        <v>668</v>
      </c>
      <c r="C690" s="258"/>
      <c r="D690" s="258"/>
      <c r="E690" s="240"/>
      <c r="F690" s="241" t="str">
        <f>IF(ISBLANK(E690), "", VLOOKUP(E690, Z!$A$2:$C$4127, 3, FALSE))</f>
        <v/>
      </c>
      <c r="G690" s="242"/>
      <c r="H690" s="242"/>
      <c r="I690" s="243"/>
      <c r="J690" s="244"/>
      <c r="K690" s="259"/>
      <c r="L690" s="260"/>
      <c r="M690" s="247" t="str" cm="1">
        <f t="array" ref="M690">IF($K690&gt;0, INDEX(Clean,1+AG690,$C$1), "")</f>
        <v/>
      </c>
      <c r="N690" s="245"/>
      <c r="O690" s="245"/>
      <c r="P690" s="246"/>
      <c r="Q690" s="248">
        <f t="shared" si="638"/>
        <v>0</v>
      </c>
      <c r="R690" s="247" t="str" cm="1">
        <f t="array" ref="R690">IF($K690&gt;0, INDEX(Clean,1+AH690,$C$1), "")</f>
        <v/>
      </c>
      <c r="S690" s="245"/>
      <c r="T690" s="245"/>
      <c r="U690" s="246"/>
      <c r="V690" s="248">
        <f t="shared" si="639"/>
        <v>0</v>
      </c>
      <c r="W690" s="261"/>
      <c r="X690" s="258"/>
      <c r="Y690" s="240"/>
      <c r="Z690" s="241" t="str">
        <f>IF(ISBLANK(Y690), "", VLOOKUP(Y690, Z!$A$2:$C$4127, 3, FALSE))</f>
        <v/>
      </c>
      <c r="AA690" s="262"/>
      <c r="AB690" s="249">
        <f t="shared" si="674"/>
        <v>0</v>
      </c>
      <c r="AC690" s="210"/>
      <c r="AD690" s="236">
        <f t="shared" si="662"/>
        <v>1</v>
      </c>
      <c r="AE690" s="236">
        <f t="shared" si="663"/>
        <v>1</v>
      </c>
      <c r="AF690" s="236">
        <f t="shared" si="664"/>
        <v>0</v>
      </c>
      <c r="AG690" s="236">
        <v>1</v>
      </c>
      <c r="AH690" s="236">
        <v>0</v>
      </c>
      <c r="AI690" s="236">
        <f t="shared" si="640"/>
        <v>-100</v>
      </c>
      <c r="AJ690" s="210"/>
      <c r="AK690" s="254"/>
      <c r="AL690" s="254"/>
      <c r="AM690" s="255"/>
      <c r="AN690" s="255"/>
      <c r="AO690" s="255"/>
      <c r="AP690" s="255"/>
      <c r="AQ690" s="255"/>
      <c r="AR690" s="255"/>
      <c r="AS690" s="255"/>
      <c r="AT690" s="255"/>
      <c r="AU690" s="255"/>
      <c r="AV690" s="255"/>
      <c r="AW690" s="255"/>
      <c r="AX690" s="210"/>
      <c r="AY690" s="236" cm="1">
        <f t="array" ref="AY690">INDEX(Use, $AD690, 4)</f>
        <v>7</v>
      </c>
      <c r="AZ690" s="236">
        <f t="shared" si="641"/>
        <v>32</v>
      </c>
      <c r="BA690" s="236">
        <f t="shared" si="666"/>
        <v>13</v>
      </c>
      <c r="BB690" s="236">
        <f t="shared" si="667"/>
        <v>0</v>
      </c>
      <c r="BC690" s="252" cm="1">
        <f t="array" ref="BC690">K690/IF($L690&gt;0, INDEX($AO$23:$AU$77, $L690+20, $AD690), 1)</f>
        <v>0</v>
      </c>
      <c r="BD690" s="237">
        <f t="shared" si="642"/>
        <v>0</v>
      </c>
      <c r="BE690" s="236">
        <v>35</v>
      </c>
      <c r="BF690" s="237">
        <f t="shared" si="643"/>
        <v>52.55</v>
      </c>
      <c r="BG690" s="253">
        <f t="shared" si="644"/>
        <v>2.7676728869374316</v>
      </c>
      <c r="BH690" s="253" cm="1">
        <f t="array" ref="BH690">$BC690 * SUMPRODUCT(INDEX($AL$77:$AN$82,,$AE690),INDEX($AO$77:$AU$82,,$AD690), N($AK$77:$AK$82&gt;$AI690)) / BG690 / 1000</f>
        <v>0</v>
      </c>
      <c r="BI690" s="250">
        <f t="shared" si="668"/>
        <v>30</v>
      </c>
      <c r="BJ690" s="237">
        <f t="shared" si="645"/>
        <v>46.033333333333331</v>
      </c>
      <c r="BK690" s="253">
        <f t="shared" si="646"/>
        <v>3.2297395388556791</v>
      </c>
      <c r="BL690" s="253" cm="1">
        <f t="array" ref="BL690">$BC690 * IF($AD690&lt;=2,
SUMPRODUCT(INDEX($AL$72:$AN$76,,$AE690), INDEX($AO$72:$AU$76,,$AD690), 1 / ($AV$72:$AV$76*BK690 + (1-$AV$72:$AV$76)*BG690), N($AK$72:$AK$76&gt;$AI690)),
SUMPRODUCT(INDEX($AL$67:$AN$76,,$AE690), INDEX($AO$67:$AU$76,,$AD690), 1 / ($AW$67:$AW$76*BK690 + (1-$AW$67:$AW$76)*BG690), N($AK$67:$AK$76&gt;$AI690))
) / 1000</f>
        <v>0</v>
      </c>
      <c r="BM690" s="250">
        <f t="shared" si="669"/>
        <v>25</v>
      </c>
      <c r="BN690" s="237">
        <f t="shared" si="647"/>
        <v>39.516666666666666</v>
      </c>
      <c r="BO690" s="253">
        <f t="shared" si="648"/>
        <v>3.877011788826243</v>
      </c>
      <c r="BP690" s="253" cm="1">
        <f t="array" ref="BP690">$BC690 * IF($AD690&lt;=2,
SUMPRODUCT(INDEX($AL$67:$AN$71,,$AE690), INDEX($AO$67:$AU$71,,$AD690), 1 / ($AV$67:$AV$71*BO690 + (1-$AV$67:$AV$71)*BK690), N($AK$67:$AK$71&gt;$AI690)),
SUMPRODUCT(INDEX($AL$57:$AN$66,,$AE690), INDEX($AO$57:$AU$66,,$AD690), 1 / ($AW$57:$AW$66*BO690 + (1-$AW$57:$AW$66)*BK690), N($AK$57:$AK$66&gt;$AI690))
) / 1000</f>
        <v>0</v>
      </c>
      <c r="BQ690" s="250">
        <f t="shared" si="670"/>
        <v>20</v>
      </c>
      <c r="BR690" s="237">
        <f t="shared" si="649"/>
        <v>33</v>
      </c>
      <c r="BS690" s="253">
        <f t="shared" si="650"/>
        <v>4.8487499999999999</v>
      </c>
      <c r="BT690" s="253" cm="1">
        <f t="array" ref="BT690">$BC690 * IF($AD690&lt;=2,
SUMPRODUCT(INDEX($AL$62:$AN$66,,$AE690), INDEX($AO$62:$AU$66,,$AD690), 1 / ($AV$62:$AV$66*BS690 + (1-$AV$62:$AV$66)*BO690), N($AK$62:$AK$66&gt;$AI690)),
SUMPRODUCT(INDEX($AL$47:$AN$56,,$AE690), INDEX($AO$47:$AU$56,,$AD690), 1 / ($AW$47:$AW$56*BS690 + (1-$AW$47:$AW$56)*BO690), N($AK$47:$AK$56&gt;$AI690))
) / 1000</f>
        <v>0</v>
      </c>
      <c r="BU690" s="253" cm="1">
        <f t="array" ref="BU690">$BC690 * IF($AD690&lt;=2,
SUMPRODUCT(INDEX($AL$23:$AN$61,,$AE690), INDEX($AO$23:$AU$61,,$AD690), 1 / ($AV$23:$AV$61*BS690), N($AK$23:$AK$61&gt;$AI690)),
SUMPRODUCT(INDEX($AL$23:$AN$46,,$AE690), INDEX($AO$23:$AU$46,,$AD690), 1 / ($AW$23:$AW$46*BS690), N($AK$23:$AK$46&gt;$AI690))
) / 1000</f>
        <v>0</v>
      </c>
      <c r="BV690" s="237">
        <f t="shared" si="651"/>
        <v>0</v>
      </c>
      <c r="BW690" s="210"/>
      <c r="BX690" s="237">
        <f t="shared" si="652"/>
        <v>0</v>
      </c>
      <c r="BY690" s="236">
        <v>35</v>
      </c>
      <c r="BZ690" s="237">
        <f t="shared" si="653"/>
        <v>48</v>
      </c>
      <c r="CA690" s="253">
        <f t="shared" si="654"/>
        <v>3.0748170731707316</v>
      </c>
      <c r="CB690" s="253" cm="1">
        <f t="array" ref="CB690">$BC690 * SUMPRODUCT(INDEX($AL$77:$AN$82,,$AE690),INDEX($AO$77:$AU$82,,$AD690), N($AK$77:$AK$82&gt;$AI690)) / CA690 / 1000</f>
        <v>0</v>
      </c>
      <c r="CC690" s="250">
        <f t="shared" si="671"/>
        <v>30</v>
      </c>
      <c r="CD690" s="237">
        <f t="shared" si="655"/>
        <v>43</v>
      </c>
      <c r="CE690" s="253">
        <f t="shared" si="656"/>
        <v>3.5018750000000001</v>
      </c>
      <c r="CF690" s="253" cm="1">
        <f t="array" ref="CF690">$BC690 * IF($AD690&lt;=2,
SUMPRODUCT(INDEX($AL$72:$AN$76,,$AE690), INDEX($AO$72:$AU$76,,$AD690), 1 / ($AV$72:$AV$76*CE690 + (1-$AV$72:$AV$76)*CA690), N($AK$72:$AK$76&gt;$AI690)),
SUMPRODUCT(INDEX($AL$67:$AN$76,,$AE690), INDEX($AO$67:$AU$76,,$AD690), 1 / ($AW$67:$AW$76*CE690 + (1-$AW$67:$AW$76)*CA690), N($AK$67:$AK$76&gt;$AI690))
) / 1000</f>
        <v>0</v>
      </c>
      <c r="CG690" s="250">
        <f t="shared" si="672"/>
        <v>25</v>
      </c>
      <c r="CH690" s="237">
        <f t="shared" si="657"/>
        <v>38</v>
      </c>
      <c r="CI690" s="253">
        <f t="shared" si="658"/>
        <v>4.0666935483870965</v>
      </c>
      <c r="CJ690" s="253" cm="1">
        <f t="array" ref="CJ690">$BC690 * IF($AD690&lt;=2,
SUMPRODUCT(INDEX($AL$67:$AN$71,,$AE690), INDEX($AO$67:$AU$71,,$AD690), 1 / ($AV$67:$AV$71*CI690 + (1-$AV$67:$AV$71)*CE690), N($AK$67:$AK$71&gt;$AI690)),
SUMPRODUCT(INDEX($AL$57:$AN$66,,$AE690), INDEX($AO$57:$AU$66,,$AD690), 1 / ($AW$57:$AW$66*CI690 + (1-$AW$57:$AW$66)*CE690), N($AK$57:$AK$66&gt;$AI690))
) / 1000</f>
        <v>0</v>
      </c>
      <c r="CK690" s="250">
        <f t="shared" si="673"/>
        <v>20</v>
      </c>
      <c r="CL690" s="237">
        <f t="shared" si="659"/>
        <v>33</v>
      </c>
      <c r="CM690" s="253">
        <f t="shared" si="660"/>
        <v>4.8487499999999999</v>
      </c>
      <c r="CN690" s="253" cm="1">
        <f t="array" ref="CN690">$BC690 * IF($AD690&lt;=2,
SUMPRODUCT(INDEX($AL$62:$AN$66,,$AE690), INDEX($AO$62:$AU$66,,$AD690), 1 / ($AV$62:$AV$66*CM690 + (1-$AV$62:$AV$66)*CI690), N($AK$62:$AK$66&gt;$AI690)),
SUMPRODUCT(INDEX($AL$47:$AN$56,,$AE690), INDEX($AO$47:$AU$56,,$AD690), 1 / ($AW$47:$AW$56*CM690 + (1-$AW$47:$AW$56)*CI690), N($AK$47:$AK$56&gt;$AI690))
) / 1000</f>
        <v>0</v>
      </c>
      <c r="CO690" s="253" cm="1">
        <f t="array" ref="CO690">$BC690 * IF($AD690&lt;=2,
SUMPRODUCT(INDEX($AL$23:$AN$61,,$AE690), INDEX($AO$23:$AU$61,,$AD690), 1 / ($AV$23:$AV$61*CM690), N($AK$23:$AK$61&gt;$AI690)),
SUMPRODUCT(INDEX($AL$23:$AN$46,,$AE690), INDEX($AO$23:$AU$46,,$AD690), 1 / ($AW$23:$AW$46*CM690), N($AK$23:$AK$46&gt;$AI690))
) / 1000</f>
        <v>0</v>
      </c>
      <c r="CP690" s="237">
        <f t="shared" si="661"/>
        <v>0</v>
      </c>
      <c r="CQ690" s="210"/>
    </row>
    <row r="691" spans="1:95" s="76" customFormat="1" ht="14.25" customHeight="1" x14ac:dyDescent="0.2">
      <c r="A691" s="238" t="b">
        <f t="shared" si="665"/>
        <v>0</v>
      </c>
      <c r="B691" s="239">
        <v>669</v>
      </c>
      <c r="C691" s="258"/>
      <c r="D691" s="258"/>
      <c r="E691" s="240"/>
      <c r="F691" s="241" t="str">
        <f>IF(ISBLANK(E691), "", VLOOKUP(E691, Z!$A$2:$C$4127, 3, FALSE))</f>
        <v/>
      </c>
      <c r="G691" s="242"/>
      <c r="H691" s="242"/>
      <c r="I691" s="243"/>
      <c r="J691" s="244"/>
      <c r="K691" s="259"/>
      <c r="L691" s="260"/>
      <c r="M691" s="247" t="str" cm="1">
        <f t="array" ref="M691">IF($K691&gt;0, INDEX(Clean,1+AG691,$C$1), "")</f>
        <v/>
      </c>
      <c r="N691" s="245"/>
      <c r="O691" s="245"/>
      <c r="P691" s="246"/>
      <c r="Q691" s="248">
        <f t="shared" si="638"/>
        <v>0</v>
      </c>
      <c r="R691" s="247" t="str" cm="1">
        <f t="array" ref="R691">IF($K691&gt;0, INDEX(Clean,1+AH691,$C$1), "")</f>
        <v/>
      </c>
      <c r="S691" s="245"/>
      <c r="T691" s="245"/>
      <c r="U691" s="246"/>
      <c r="V691" s="248">
        <f t="shared" si="639"/>
        <v>0</v>
      </c>
      <c r="W691" s="261"/>
      <c r="X691" s="258"/>
      <c r="Y691" s="240"/>
      <c r="Z691" s="241" t="str">
        <f>IF(ISBLANK(Y691), "", VLOOKUP(Y691, Z!$A$2:$C$4127, 3, FALSE))</f>
        <v/>
      </c>
      <c r="AA691" s="262"/>
      <c r="AB691" s="249">
        <f t="shared" si="674"/>
        <v>0</v>
      </c>
      <c r="AC691" s="210"/>
      <c r="AD691" s="236">
        <f t="shared" si="662"/>
        <v>1</v>
      </c>
      <c r="AE691" s="236">
        <f t="shared" si="663"/>
        <v>1</v>
      </c>
      <c r="AF691" s="236">
        <f t="shared" si="664"/>
        <v>0</v>
      </c>
      <c r="AG691" s="236">
        <v>1</v>
      </c>
      <c r="AH691" s="236">
        <v>0</v>
      </c>
      <c r="AI691" s="236">
        <f t="shared" si="640"/>
        <v>-100</v>
      </c>
      <c r="AJ691" s="210"/>
      <c r="AK691" s="254"/>
      <c r="AL691" s="254"/>
      <c r="AM691" s="255"/>
      <c r="AN691" s="255"/>
      <c r="AO691" s="255"/>
      <c r="AP691" s="255"/>
      <c r="AQ691" s="255"/>
      <c r="AR691" s="255"/>
      <c r="AS691" s="255"/>
      <c r="AT691" s="255"/>
      <c r="AU691" s="255"/>
      <c r="AV691" s="255"/>
      <c r="AW691" s="255"/>
      <c r="AX691" s="210"/>
      <c r="AY691" s="236" cm="1">
        <f t="array" ref="AY691">INDEX(Use, $AD691, 4)</f>
        <v>7</v>
      </c>
      <c r="AZ691" s="236">
        <f t="shared" si="641"/>
        <v>32</v>
      </c>
      <c r="BA691" s="236">
        <f t="shared" si="666"/>
        <v>13</v>
      </c>
      <c r="BB691" s="236">
        <f t="shared" si="667"/>
        <v>0</v>
      </c>
      <c r="BC691" s="252" cm="1">
        <f t="array" ref="BC691">K691/IF($L691&gt;0, INDEX($AO$23:$AU$77, $L691+20, $AD691), 1)</f>
        <v>0</v>
      </c>
      <c r="BD691" s="237">
        <f t="shared" si="642"/>
        <v>0</v>
      </c>
      <c r="BE691" s="236">
        <v>35</v>
      </c>
      <c r="BF691" s="237">
        <f t="shared" si="643"/>
        <v>52.55</v>
      </c>
      <c r="BG691" s="253">
        <f t="shared" si="644"/>
        <v>2.7676728869374316</v>
      </c>
      <c r="BH691" s="253" cm="1">
        <f t="array" ref="BH691">$BC691 * SUMPRODUCT(INDEX($AL$77:$AN$82,,$AE691),INDEX($AO$77:$AU$82,,$AD691), N($AK$77:$AK$82&gt;$AI691)) / BG691 / 1000</f>
        <v>0</v>
      </c>
      <c r="BI691" s="250">
        <f t="shared" si="668"/>
        <v>30</v>
      </c>
      <c r="BJ691" s="237">
        <f t="shared" si="645"/>
        <v>46.033333333333331</v>
      </c>
      <c r="BK691" s="253">
        <f t="shared" si="646"/>
        <v>3.2297395388556791</v>
      </c>
      <c r="BL691" s="253" cm="1">
        <f t="array" ref="BL691">$BC691 * IF($AD691&lt;=2,
SUMPRODUCT(INDEX($AL$72:$AN$76,,$AE691), INDEX($AO$72:$AU$76,,$AD691), 1 / ($AV$72:$AV$76*BK691 + (1-$AV$72:$AV$76)*BG691), N($AK$72:$AK$76&gt;$AI691)),
SUMPRODUCT(INDEX($AL$67:$AN$76,,$AE691), INDEX($AO$67:$AU$76,,$AD691), 1 / ($AW$67:$AW$76*BK691 + (1-$AW$67:$AW$76)*BG691), N($AK$67:$AK$76&gt;$AI691))
) / 1000</f>
        <v>0</v>
      </c>
      <c r="BM691" s="250">
        <f t="shared" si="669"/>
        <v>25</v>
      </c>
      <c r="BN691" s="237">
        <f t="shared" si="647"/>
        <v>39.516666666666666</v>
      </c>
      <c r="BO691" s="253">
        <f t="shared" si="648"/>
        <v>3.877011788826243</v>
      </c>
      <c r="BP691" s="253" cm="1">
        <f t="array" ref="BP691">$BC691 * IF($AD691&lt;=2,
SUMPRODUCT(INDEX($AL$67:$AN$71,,$AE691), INDEX($AO$67:$AU$71,,$AD691), 1 / ($AV$67:$AV$71*BO691 + (1-$AV$67:$AV$71)*BK691), N($AK$67:$AK$71&gt;$AI691)),
SUMPRODUCT(INDEX($AL$57:$AN$66,,$AE691), INDEX($AO$57:$AU$66,,$AD691), 1 / ($AW$57:$AW$66*BO691 + (1-$AW$57:$AW$66)*BK691), N($AK$57:$AK$66&gt;$AI691))
) / 1000</f>
        <v>0</v>
      </c>
      <c r="BQ691" s="250">
        <f t="shared" si="670"/>
        <v>20</v>
      </c>
      <c r="BR691" s="237">
        <f t="shared" si="649"/>
        <v>33</v>
      </c>
      <c r="BS691" s="253">
        <f t="shared" si="650"/>
        <v>4.8487499999999999</v>
      </c>
      <c r="BT691" s="253" cm="1">
        <f t="array" ref="BT691">$BC691 * IF($AD691&lt;=2,
SUMPRODUCT(INDEX($AL$62:$AN$66,,$AE691), INDEX($AO$62:$AU$66,,$AD691), 1 / ($AV$62:$AV$66*BS691 + (1-$AV$62:$AV$66)*BO691), N($AK$62:$AK$66&gt;$AI691)),
SUMPRODUCT(INDEX($AL$47:$AN$56,,$AE691), INDEX($AO$47:$AU$56,,$AD691), 1 / ($AW$47:$AW$56*BS691 + (1-$AW$47:$AW$56)*BO691), N($AK$47:$AK$56&gt;$AI691))
) / 1000</f>
        <v>0</v>
      </c>
      <c r="BU691" s="253" cm="1">
        <f t="array" ref="BU691">$BC691 * IF($AD691&lt;=2,
SUMPRODUCT(INDEX($AL$23:$AN$61,,$AE691), INDEX($AO$23:$AU$61,,$AD691), 1 / ($AV$23:$AV$61*BS691), N($AK$23:$AK$61&gt;$AI691)),
SUMPRODUCT(INDEX($AL$23:$AN$46,,$AE691), INDEX($AO$23:$AU$46,,$AD691), 1 / ($AW$23:$AW$46*BS691), N($AK$23:$AK$46&gt;$AI691))
) / 1000</f>
        <v>0</v>
      </c>
      <c r="BV691" s="237">
        <f t="shared" si="651"/>
        <v>0</v>
      </c>
      <c r="BW691" s="210"/>
      <c r="BX691" s="237">
        <f t="shared" si="652"/>
        <v>0</v>
      </c>
      <c r="BY691" s="236">
        <v>35</v>
      </c>
      <c r="BZ691" s="237">
        <f t="shared" si="653"/>
        <v>48</v>
      </c>
      <c r="CA691" s="253">
        <f t="shared" si="654"/>
        <v>3.0748170731707316</v>
      </c>
      <c r="CB691" s="253" cm="1">
        <f t="array" ref="CB691">$BC691 * SUMPRODUCT(INDEX($AL$77:$AN$82,,$AE691),INDEX($AO$77:$AU$82,,$AD691), N($AK$77:$AK$82&gt;$AI691)) / CA691 / 1000</f>
        <v>0</v>
      </c>
      <c r="CC691" s="250">
        <f t="shared" si="671"/>
        <v>30</v>
      </c>
      <c r="CD691" s="237">
        <f t="shared" si="655"/>
        <v>43</v>
      </c>
      <c r="CE691" s="253">
        <f t="shared" si="656"/>
        <v>3.5018750000000001</v>
      </c>
      <c r="CF691" s="253" cm="1">
        <f t="array" ref="CF691">$BC691 * IF($AD691&lt;=2,
SUMPRODUCT(INDEX($AL$72:$AN$76,,$AE691), INDEX($AO$72:$AU$76,,$AD691), 1 / ($AV$72:$AV$76*CE691 + (1-$AV$72:$AV$76)*CA691), N($AK$72:$AK$76&gt;$AI691)),
SUMPRODUCT(INDEX($AL$67:$AN$76,,$AE691), INDEX($AO$67:$AU$76,,$AD691), 1 / ($AW$67:$AW$76*CE691 + (1-$AW$67:$AW$76)*CA691), N($AK$67:$AK$76&gt;$AI691))
) / 1000</f>
        <v>0</v>
      </c>
      <c r="CG691" s="250">
        <f t="shared" si="672"/>
        <v>25</v>
      </c>
      <c r="CH691" s="237">
        <f t="shared" si="657"/>
        <v>38</v>
      </c>
      <c r="CI691" s="253">
        <f t="shared" si="658"/>
        <v>4.0666935483870965</v>
      </c>
      <c r="CJ691" s="253" cm="1">
        <f t="array" ref="CJ691">$BC691 * IF($AD691&lt;=2,
SUMPRODUCT(INDEX($AL$67:$AN$71,,$AE691), INDEX($AO$67:$AU$71,,$AD691), 1 / ($AV$67:$AV$71*CI691 + (1-$AV$67:$AV$71)*CE691), N($AK$67:$AK$71&gt;$AI691)),
SUMPRODUCT(INDEX($AL$57:$AN$66,,$AE691), INDEX($AO$57:$AU$66,,$AD691), 1 / ($AW$57:$AW$66*CI691 + (1-$AW$57:$AW$66)*CE691), N($AK$57:$AK$66&gt;$AI691))
) / 1000</f>
        <v>0</v>
      </c>
      <c r="CK691" s="250">
        <f t="shared" si="673"/>
        <v>20</v>
      </c>
      <c r="CL691" s="237">
        <f t="shared" si="659"/>
        <v>33</v>
      </c>
      <c r="CM691" s="253">
        <f t="shared" si="660"/>
        <v>4.8487499999999999</v>
      </c>
      <c r="CN691" s="253" cm="1">
        <f t="array" ref="CN691">$BC691 * IF($AD691&lt;=2,
SUMPRODUCT(INDEX($AL$62:$AN$66,,$AE691), INDEX($AO$62:$AU$66,,$AD691), 1 / ($AV$62:$AV$66*CM691 + (1-$AV$62:$AV$66)*CI691), N($AK$62:$AK$66&gt;$AI691)),
SUMPRODUCT(INDEX($AL$47:$AN$56,,$AE691), INDEX($AO$47:$AU$56,,$AD691), 1 / ($AW$47:$AW$56*CM691 + (1-$AW$47:$AW$56)*CI691), N($AK$47:$AK$56&gt;$AI691))
) / 1000</f>
        <v>0</v>
      </c>
      <c r="CO691" s="253" cm="1">
        <f t="array" ref="CO691">$BC691 * IF($AD691&lt;=2,
SUMPRODUCT(INDEX($AL$23:$AN$61,,$AE691), INDEX($AO$23:$AU$61,,$AD691), 1 / ($AV$23:$AV$61*CM691), N($AK$23:$AK$61&gt;$AI691)),
SUMPRODUCT(INDEX($AL$23:$AN$46,,$AE691), INDEX($AO$23:$AU$46,,$AD691), 1 / ($AW$23:$AW$46*CM691), N($AK$23:$AK$46&gt;$AI691))
) / 1000</f>
        <v>0</v>
      </c>
      <c r="CP691" s="237">
        <f t="shared" si="661"/>
        <v>0</v>
      </c>
      <c r="CQ691" s="210"/>
    </row>
    <row r="692" spans="1:95" s="76" customFormat="1" ht="14.25" customHeight="1" x14ac:dyDescent="0.2">
      <c r="A692" s="238" t="b">
        <f t="shared" si="665"/>
        <v>0</v>
      </c>
      <c r="B692" s="239">
        <v>670</v>
      </c>
      <c r="C692" s="258"/>
      <c r="D692" s="258"/>
      <c r="E692" s="240"/>
      <c r="F692" s="241" t="str">
        <f>IF(ISBLANK(E692), "", VLOOKUP(E692, Z!$A$2:$C$4127, 3, FALSE))</f>
        <v/>
      </c>
      <c r="G692" s="242"/>
      <c r="H692" s="242"/>
      <c r="I692" s="243"/>
      <c r="J692" s="244"/>
      <c r="K692" s="259"/>
      <c r="L692" s="260"/>
      <c r="M692" s="247" t="str" cm="1">
        <f t="array" ref="M692">IF($K692&gt;0, INDEX(Clean,1+AG692,$C$1), "")</f>
        <v/>
      </c>
      <c r="N692" s="245"/>
      <c r="O692" s="245"/>
      <c r="P692" s="246"/>
      <c r="Q692" s="248">
        <f t="shared" si="638"/>
        <v>0</v>
      </c>
      <c r="R692" s="247" t="str" cm="1">
        <f t="array" ref="R692">IF($K692&gt;0, INDEX(Clean,1+AH692,$C$1), "")</f>
        <v/>
      </c>
      <c r="S692" s="245"/>
      <c r="T692" s="245"/>
      <c r="U692" s="246"/>
      <c r="V692" s="248">
        <f t="shared" si="639"/>
        <v>0</v>
      </c>
      <c r="W692" s="261"/>
      <c r="X692" s="258"/>
      <c r="Y692" s="240"/>
      <c r="Z692" s="241" t="str">
        <f>IF(ISBLANK(Y692), "", VLOOKUP(Y692, Z!$A$2:$C$4127, 3, FALSE))</f>
        <v/>
      </c>
      <c r="AA692" s="262"/>
      <c r="AB692" s="249">
        <f t="shared" si="674"/>
        <v>0</v>
      </c>
      <c r="AC692" s="210"/>
      <c r="AD692" s="236">
        <f t="shared" si="662"/>
        <v>1</v>
      </c>
      <c r="AE692" s="236">
        <f t="shared" si="663"/>
        <v>1</v>
      </c>
      <c r="AF692" s="236">
        <f t="shared" si="664"/>
        <v>0</v>
      </c>
      <c r="AG692" s="236">
        <v>1</v>
      </c>
      <c r="AH692" s="236">
        <v>0</v>
      </c>
      <c r="AI692" s="236">
        <f t="shared" si="640"/>
        <v>-100</v>
      </c>
      <c r="AJ692" s="210"/>
      <c r="AK692" s="254"/>
      <c r="AL692" s="254"/>
      <c r="AM692" s="255"/>
      <c r="AN692" s="255"/>
      <c r="AO692" s="255"/>
      <c r="AP692" s="255"/>
      <c r="AQ692" s="255"/>
      <c r="AR692" s="255"/>
      <c r="AS692" s="255"/>
      <c r="AT692" s="255"/>
      <c r="AU692" s="255"/>
      <c r="AV692" s="255"/>
      <c r="AW692" s="255"/>
      <c r="AX692" s="210"/>
      <c r="AY692" s="236" cm="1">
        <f t="array" ref="AY692">INDEX(Use, $AD692, 4)</f>
        <v>7</v>
      </c>
      <c r="AZ692" s="236">
        <f t="shared" si="641"/>
        <v>32</v>
      </c>
      <c r="BA692" s="236">
        <f t="shared" si="666"/>
        <v>13</v>
      </c>
      <c r="BB692" s="236">
        <f t="shared" si="667"/>
        <v>0</v>
      </c>
      <c r="BC692" s="252" cm="1">
        <f t="array" ref="BC692">K692/IF($L692&gt;0, INDEX($AO$23:$AU$77, $L692+20, $AD692), 1)</f>
        <v>0</v>
      </c>
      <c r="BD692" s="237">
        <f t="shared" si="642"/>
        <v>0</v>
      </c>
      <c r="BE692" s="236">
        <v>35</v>
      </c>
      <c r="BF692" s="237">
        <f t="shared" si="643"/>
        <v>52.55</v>
      </c>
      <c r="BG692" s="253">
        <f t="shared" si="644"/>
        <v>2.7676728869374316</v>
      </c>
      <c r="BH692" s="253" cm="1">
        <f t="array" ref="BH692">$BC692 * SUMPRODUCT(INDEX($AL$77:$AN$82,,$AE692),INDEX($AO$77:$AU$82,,$AD692), N($AK$77:$AK$82&gt;$AI692)) / BG692 / 1000</f>
        <v>0</v>
      </c>
      <c r="BI692" s="250">
        <f t="shared" si="668"/>
        <v>30</v>
      </c>
      <c r="BJ692" s="237">
        <f t="shared" si="645"/>
        <v>46.033333333333331</v>
      </c>
      <c r="BK692" s="253">
        <f t="shared" si="646"/>
        <v>3.2297395388556791</v>
      </c>
      <c r="BL692" s="253" cm="1">
        <f t="array" ref="BL692">$BC692 * IF($AD692&lt;=2,
SUMPRODUCT(INDEX($AL$72:$AN$76,,$AE692), INDEX($AO$72:$AU$76,,$AD692), 1 / ($AV$72:$AV$76*BK692 + (1-$AV$72:$AV$76)*BG692), N($AK$72:$AK$76&gt;$AI692)),
SUMPRODUCT(INDEX($AL$67:$AN$76,,$AE692), INDEX($AO$67:$AU$76,,$AD692), 1 / ($AW$67:$AW$76*BK692 + (1-$AW$67:$AW$76)*BG692), N($AK$67:$AK$76&gt;$AI692))
) / 1000</f>
        <v>0</v>
      </c>
      <c r="BM692" s="250">
        <f t="shared" si="669"/>
        <v>25</v>
      </c>
      <c r="BN692" s="237">
        <f t="shared" si="647"/>
        <v>39.516666666666666</v>
      </c>
      <c r="BO692" s="253">
        <f t="shared" si="648"/>
        <v>3.877011788826243</v>
      </c>
      <c r="BP692" s="253" cm="1">
        <f t="array" ref="BP692">$BC692 * IF($AD692&lt;=2,
SUMPRODUCT(INDEX($AL$67:$AN$71,,$AE692), INDEX($AO$67:$AU$71,,$AD692), 1 / ($AV$67:$AV$71*BO692 + (1-$AV$67:$AV$71)*BK692), N($AK$67:$AK$71&gt;$AI692)),
SUMPRODUCT(INDEX($AL$57:$AN$66,,$AE692), INDEX($AO$57:$AU$66,,$AD692), 1 / ($AW$57:$AW$66*BO692 + (1-$AW$57:$AW$66)*BK692), N($AK$57:$AK$66&gt;$AI692))
) / 1000</f>
        <v>0</v>
      </c>
      <c r="BQ692" s="250">
        <f t="shared" si="670"/>
        <v>20</v>
      </c>
      <c r="BR692" s="237">
        <f t="shared" si="649"/>
        <v>33</v>
      </c>
      <c r="BS692" s="253">
        <f t="shared" si="650"/>
        <v>4.8487499999999999</v>
      </c>
      <c r="BT692" s="253" cm="1">
        <f t="array" ref="BT692">$BC692 * IF($AD692&lt;=2,
SUMPRODUCT(INDEX($AL$62:$AN$66,,$AE692), INDEX($AO$62:$AU$66,,$AD692), 1 / ($AV$62:$AV$66*BS692 + (1-$AV$62:$AV$66)*BO692), N($AK$62:$AK$66&gt;$AI692)),
SUMPRODUCT(INDEX($AL$47:$AN$56,,$AE692), INDEX($AO$47:$AU$56,,$AD692), 1 / ($AW$47:$AW$56*BS692 + (1-$AW$47:$AW$56)*BO692), N($AK$47:$AK$56&gt;$AI692))
) / 1000</f>
        <v>0</v>
      </c>
      <c r="BU692" s="253" cm="1">
        <f t="array" ref="BU692">$BC692 * IF($AD692&lt;=2,
SUMPRODUCT(INDEX($AL$23:$AN$61,,$AE692), INDEX($AO$23:$AU$61,,$AD692), 1 / ($AV$23:$AV$61*BS692), N($AK$23:$AK$61&gt;$AI692)),
SUMPRODUCT(INDEX($AL$23:$AN$46,,$AE692), INDEX($AO$23:$AU$46,,$AD692), 1 / ($AW$23:$AW$46*BS692), N($AK$23:$AK$46&gt;$AI692))
) / 1000</f>
        <v>0</v>
      </c>
      <c r="BV692" s="237">
        <f t="shared" si="651"/>
        <v>0</v>
      </c>
      <c r="BW692" s="210"/>
      <c r="BX692" s="237">
        <f t="shared" si="652"/>
        <v>0</v>
      </c>
      <c r="BY692" s="236">
        <v>35</v>
      </c>
      <c r="BZ692" s="237">
        <f t="shared" si="653"/>
        <v>48</v>
      </c>
      <c r="CA692" s="253">
        <f t="shared" si="654"/>
        <v>3.0748170731707316</v>
      </c>
      <c r="CB692" s="253" cm="1">
        <f t="array" ref="CB692">$BC692 * SUMPRODUCT(INDEX($AL$77:$AN$82,,$AE692),INDEX($AO$77:$AU$82,,$AD692), N($AK$77:$AK$82&gt;$AI692)) / CA692 / 1000</f>
        <v>0</v>
      </c>
      <c r="CC692" s="250">
        <f t="shared" si="671"/>
        <v>30</v>
      </c>
      <c r="CD692" s="237">
        <f t="shared" si="655"/>
        <v>43</v>
      </c>
      <c r="CE692" s="253">
        <f t="shared" si="656"/>
        <v>3.5018750000000001</v>
      </c>
      <c r="CF692" s="253" cm="1">
        <f t="array" ref="CF692">$BC692 * IF($AD692&lt;=2,
SUMPRODUCT(INDEX($AL$72:$AN$76,,$AE692), INDEX($AO$72:$AU$76,,$AD692), 1 / ($AV$72:$AV$76*CE692 + (1-$AV$72:$AV$76)*CA692), N($AK$72:$AK$76&gt;$AI692)),
SUMPRODUCT(INDEX($AL$67:$AN$76,,$AE692), INDEX($AO$67:$AU$76,,$AD692), 1 / ($AW$67:$AW$76*CE692 + (1-$AW$67:$AW$76)*CA692), N($AK$67:$AK$76&gt;$AI692))
) / 1000</f>
        <v>0</v>
      </c>
      <c r="CG692" s="250">
        <f t="shared" si="672"/>
        <v>25</v>
      </c>
      <c r="CH692" s="237">
        <f t="shared" si="657"/>
        <v>38</v>
      </c>
      <c r="CI692" s="253">
        <f t="shared" si="658"/>
        <v>4.0666935483870965</v>
      </c>
      <c r="CJ692" s="253" cm="1">
        <f t="array" ref="CJ692">$BC692 * IF($AD692&lt;=2,
SUMPRODUCT(INDEX($AL$67:$AN$71,,$AE692), INDEX($AO$67:$AU$71,,$AD692), 1 / ($AV$67:$AV$71*CI692 + (1-$AV$67:$AV$71)*CE692), N($AK$67:$AK$71&gt;$AI692)),
SUMPRODUCT(INDEX($AL$57:$AN$66,,$AE692), INDEX($AO$57:$AU$66,,$AD692), 1 / ($AW$57:$AW$66*CI692 + (1-$AW$57:$AW$66)*CE692), N($AK$57:$AK$66&gt;$AI692))
) / 1000</f>
        <v>0</v>
      </c>
      <c r="CK692" s="250">
        <f t="shared" si="673"/>
        <v>20</v>
      </c>
      <c r="CL692" s="237">
        <f t="shared" si="659"/>
        <v>33</v>
      </c>
      <c r="CM692" s="253">
        <f t="shared" si="660"/>
        <v>4.8487499999999999</v>
      </c>
      <c r="CN692" s="253" cm="1">
        <f t="array" ref="CN692">$BC692 * IF($AD692&lt;=2,
SUMPRODUCT(INDEX($AL$62:$AN$66,,$AE692), INDEX($AO$62:$AU$66,,$AD692), 1 / ($AV$62:$AV$66*CM692 + (1-$AV$62:$AV$66)*CI692), N($AK$62:$AK$66&gt;$AI692)),
SUMPRODUCT(INDEX($AL$47:$AN$56,,$AE692), INDEX($AO$47:$AU$56,,$AD692), 1 / ($AW$47:$AW$56*CM692 + (1-$AW$47:$AW$56)*CI692), N($AK$47:$AK$56&gt;$AI692))
) / 1000</f>
        <v>0</v>
      </c>
      <c r="CO692" s="253" cm="1">
        <f t="array" ref="CO692">$BC692 * IF($AD692&lt;=2,
SUMPRODUCT(INDEX($AL$23:$AN$61,,$AE692), INDEX($AO$23:$AU$61,,$AD692), 1 / ($AV$23:$AV$61*CM692), N($AK$23:$AK$61&gt;$AI692)),
SUMPRODUCT(INDEX($AL$23:$AN$46,,$AE692), INDEX($AO$23:$AU$46,,$AD692), 1 / ($AW$23:$AW$46*CM692), N($AK$23:$AK$46&gt;$AI692))
) / 1000</f>
        <v>0</v>
      </c>
      <c r="CP692" s="237">
        <f t="shared" si="661"/>
        <v>0</v>
      </c>
      <c r="CQ692" s="210"/>
    </row>
    <row r="693" spans="1:95" s="76" customFormat="1" ht="14.25" customHeight="1" x14ac:dyDescent="0.2">
      <c r="A693" s="238" t="b">
        <f t="shared" si="665"/>
        <v>0</v>
      </c>
      <c r="B693" s="239">
        <v>671</v>
      </c>
      <c r="C693" s="258"/>
      <c r="D693" s="258"/>
      <c r="E693" s="240"/>
      <c r="F693" s="241" t="str">
        <f>IF(ISBLANK(E693), "", VLOOKUP(E693, Z!$A$2:$C$4127, 3, FALSE))</f>
        <v/>
      </c>
      <c r="G693" s="242"/>
      <c r="H693" s="242"/>
      <c r="I693" s="243"/>
      <c r="J693" s="244"/>
      <c r="K693" s="259"/>
      <c r="L693" s="260"/>
      <c r="M693" s="247" t="str" cm="1">
        <f t="array" ref="M693">IF($K693&gt;0, INDEX(Clean,1+AG693,$C$1), "")</f>
        <v/>
      </c>
      <c r="N693" s="245"/>
      <c r="O693" s="245"/>
      <c r="P693" s="246"/>
      <c r="Q693" s="248">
        <f t="shared" si="638"/>
        <v>0</v>
      </c>
      <c r="R693" s="247" t="str" cm="1">
        <f t="array" ref="R693">IF($K693&gt;0, INDEX(Clean,1+AH693,$C$1), "")</f>
        <v/>
      </c>
      <c r="S693" s="245"/>
      <c r="T693" s="245"/>
      <c r="U693" s="246"/>
      <c r="V693" s="248">
        <f t="shared" si="639"/>
        <v>0</v>
      </c>
      <c r="W693" s="261"/>
      <c r="X693" s="258"/>
      <c r="Y693" s="240"/>
      <c r="Z693" s="241" t="str">
        <f>IF(ISBLANK(Y693), "", VLOOKUP(Y693, Z!$A$2:$C$4127, 3, FALSE))</f>
        <v/>
      </c>
      <c r="AA693" s="262"/>
      <c r="AB693" s="249">
        <f t="shared" si="674"/>
        <v>0</v>
      </c>
      <c r="AC693" s="210"/>
      <c r="AD693" s="236">
        <f t="shared" si="662"/>
        <v>1</v>
      </c>
      <c r="AE693" s="236">
        <f t="shared" si="663"/>
        <v>1</v>
      </c>
      <c r="AF693" s="236">
        <f t="shared" si="664"/>
        <v>0</v>
      </c>
      <c r="AG693" s="236">
        <v>1</v>
      </c>
      <c r="AH693" s="236">
        <v>0</v>
      </c>
      <c r="AI693" s="236">
        <f t="shared" si="640"/>
        <v>-100</v>
      </c>
      <c r="AJ693" s="210"/>
      <c r="AK693" s="254"/>
      <c r="AL693" s="254"/>
      <c r="AM693" s="255"/>
      <c r="AN693" s="255"/>
      <c r="AO693" s="255"/>
      <c r="AP693" s="255"/>
      <c r="AQ693" s="255"/>
      <c r="AR693" s="255"/>
      <c r="AS693" s="255"/>
      <c r="AT693" s="255"/>
      <c r="AU693" s="255"/>
      <c r="AV693" s="255"/>
      <c r="AW693" s="255"/>
      <c r="AX693" s="210"/>
      <c r="AY693" s="236" cm="1">
        <f t="array" ref="AY693">INDEX(Use, $AD693, 4)</f>
        <v>7</v>
      </c>
      <c r="AZ693" s="236">
        <f t="shared" si="641"/>
        <v>32</v>
      </c>
      <c r="BA693" s="236">
        <f t="shared" si="666"/>
        <v>13</v>
      </c>
      <c r="BB693" s="236">
        <f t="shared" si="667"/>
        <v>0</v>
      </c>
      <c r="BC693" s="252" cm="1">
        <f t="array" ref="BC693">K693/IF($L693&gt;0, INDEX($AO$23:$AU$77, $L693+20, $AD693), 1)</f>
        <v>0</v>
      </c>
      <c r="BD693" s="237">
        <f t="shared" si="642"/>
        <v>0</v>
      </c>
      <c r="BE693" s="236">
        <v>35</v>
      </c>
      <c r="BF693" s="237">
        <f t="shared" si="643"/>
        <v>52.55</v>
      </c>
      <c r="BG693" s="253">
        <f t="shared" si="644"/>
        <v>2.7676728869374316</v>
      </c>
      <c r="BH693" s="253" cm="1">
        <f t="array" ref="BH693">$BC693 * SUMPRODUCT(INDEX($AL$77:$AN$82,,$AE693),INDEX($AO$77:$AU$82,,$AD693), N($AK$77:$AK$82&gt;$AI693)) / BG693 / 1000</f>
        <v>0</v>
      </c>
      <c r="BI693" s="250">
        <f t="shared" si="668"/>
        <v>30</v>
      </c>
      <c r="BJ693" s="237">
        <f t="shared" si="645"/>
        <v>46.033333333333331</v>
      </c>
      <c r="BK693" s="253">
        <f t="shared" si="646"/>
        <v>3.2297395388556791</v>
      </c>
      <c r="BL693" s="253" cm="1">
        <f t="array" ref="BL693">$BC693 * IF($AD693&lt;=2,
SUMPRODUCT(INDEX($AL$72:$AN$76,,$AE693), INDEX($AO$72:$AU$76,,$AD693), 1 / ($AV$72:$AV$76*BK693 + (1-$AV$72:$AV$76)*BG693), N($AK$72:$AK$76&gt;$AI693)),
SUMPRODUCT(INDEX($AL$67:$AN$76,,$AE693), INDEX($AO$67:$AU$76,,$AD693), 1 / ($AW$67:$AW$76*BK693 + (1-$AW$67:$AW$76)*BG693), N($AK$67:$AK$76&gt;$AI693))
) / 1000</f>
        <v>0</v>
      </c>
      <c r="BM693" s="250">
        <f t="shared" si="669"/>
        <v>25</v>
      </c>
      <c r="BN693" s="237">
        <f t="shared" si="647"/>
        <v>39.516666666666666</v>
      </c>
      <c r="BO693" s="253">
        <f t="shared" si="648"/>
        <v>3.877011788826243</v>
      </c>
      <c r="BP693" s="253" cm="1">
        <f t="array" ref="BP693">$BC693 * IF($AD693&lt;=2,
SUMPRODUCT(INDEX($AL$67:$AN$71,,$AE693), INDEX($AO$67:$AU$71,,$AD693), 1 / ($AV$67:$AV$71*BO693 + (1-$AV$67:$AV$71)*BK693), N($AK$67:$AK$71&gt;$AI693)),
SUMPRODUCT(INDEX($AL$57:$AN$66,,$AE693), INDEX($AO$57:$AU$66,,$AD693), 1 / ($AW$57:$AW$66*BO693 + (1-$AW$57:$AW$66)*BK693), N($AK$57:$AK$66&gt;$AI693))
) / 1000</f>
        <v>0</v>
      </c>
      <c r="BQ693" s="250">
        <f t="shared" si="670"/>
        <v>20</v>
      </c>
      <c r="BR693" s="237">
        <f t="shared" si="649"/>
        <v>33</v>
      </c>
      <c r="BS693" s="253">
        <f t="shared" si="650"/>
        <v>4.8487499999999999</v>
      </c>
      <c r="BT693" s="253" cm="1">
        <f t="array" ref="BT693">$BC693 * IF($AD693&lt;=2,
SUMPRODUCT(INDEX($AL$62:$AN$66,,$AE693), INDEX($AO$62:$AU$66,,$AD693), 1 / ($AV$62:$AV$66*BS693 + (1-$AV$62:$AV$66)*BO693), N($AK$62:$AK$66&gt;$AI693)),
SUMPRODUCT(INDEX($AL$47:$AN$56,,$AE693), INDEX($AO$47:$AU$56,,$AD693), 1 / ($AW$47:$AW$56*BS693 + (1-$AW$47:$AW$56)*BO693), N($AK$47:$AK$56&gt;$AI693))
) / 1000</f>
        <v>0</v>
      </c>
      <c r="BU693" s="253" cm="1">
        <f t="array" ref="BU693">$BC693 * IF($AD693&lt;=2,
SUMPRODUCT(INDEX($AL$23:$AN$61,,$AE693), INDEX($AO$23:$AU$61,,$AD693), 1 / ($AV$23:$AV$61*BS693), N($AK$23:$AK$61&gt;$AI693)),
SUMPRODUCT(INDEX($AL$23:$AN$46,,$AE693), INDEX($AO$23:$AU$46,,$AD693), 1 / ($AW$23:$AW$46*BS693), N($AK$23:$AK$46&gt;$AI693))
) / 1000</f>
        <v>0</v>
      </c>
      <c r="BV693" s="237">
        <f t="shared" si="651"/>
        <v>0</v>
      </c>
      <c r="BW693" s="210"/>
      <c r="BX693" s="237">
        <f t="shared" si="652"/>
        <v>0</v>
      </c>
      <c r="BY693" s="236">
        <v>35</v>
      </c>
      <c r="BZ693" s="237">
        <f t="shared" si="653"/>
        <v>48</v>
      </c>
      <c r="CA693" s="253">
        <f t="shared" si="654"/>
        <v>3.0748170731707316</v>
      </c>
      <c r="CB693" s="253" cm="1">
        <f t="array" ref="CB693">$BC693 * SUMPRODUCT(INDEX($AL$77:$AN$82,,$AE693),INDEX($AO$77:$AU$82,,$AD693), N($AK$77:$AK$82&gt;$AI693)) / CA693 / 1000</f>
        <v>0</v>
      </c>
      <c r="CC693" s="250">
        <f t="shared" si="671"/>
        <v>30</v>
      </c>
      <c r="CD693" s="237">
        <f t="shared" si="655"/>
        <v>43</v>
      </c>
      <c r="CE693" s="253">
        <f t="shared" si="656"/>
        <v>3.5018750000000001</v>
      </c>
      <c r="CF693" s="253" cm="1">
        <f t="array" ref="CF693">$BC693 * IF($AD693&lt;=2,
SUMPRODUCT(INDEX($AL$72:$AN$76,,$AE693), INDEX($AO$72:$AU$76,,$AD693), 1 / ($AV$72:$AV$76*CE693 + (1-$AV$72:$AV$76)*CA693), N($AK$72:$AK$76&gt;$AI693)),
SUMPRODUCT(INDEX($AL$67:$AN$76,,$AE693), INDEX($AO$67:$AU$76,,$AD693), 1 / ($AW$67:$AW$76*CE693 + (1-$AW$67:$AW$76)*CA693), N($AK$67:$AK$76&gt;$AI693))
) / 1000</f>
        <v>0</v>
      </c>
      <c r="CG693" s="250">
        <f t="shared" si="672"/>
        <v>25</v>
      </c>
      <c r="CH693" s="237">
        <f t="shared" si="657"/>
        <v>38</v>
      </c>
      <c r="CI693" s="253">
        <f t="shared" si="658"/>
        <v>4.0666935483870965</v>
      </c>
      <c r="CJ693" s="253" cm="1">
        <f t="array" ref="CJ693">$BC693 * IF($AD693&lt;=2,
SUMPRODUCT(INDEX($AL$67:$AN$71,,$AE693), INDEX($AO$67:$AU$71,,$AD693), 1 / ($AV$67:$AV$71*CI693 + (1-$AV$67:$AV$71)*CE693), N($AK$67:$AK$71&gt;$AI693)),
SUMPRODUCT(INDEX($AL$57:$AN$66,,$AE693), INDEX($AO$57:$AU$66,,$AD693), 1 / ($AW$57:$AW$66*CI693 + (1-$AW$57:$AW$66)*CE693), N($AK$57:$AK$66&gt;$AI693))
) / 1000</f>
        <v>0</v>
      </c>
      <c r="CK693" s="250">
        <f t="shared" si="673"/>
        <v>20</v>
      </c>
      <c r="CL693" s="237">
        <f t="shared" si="659"/>
        <v>33</v>
      </c>
      <c r="CM693" s="253">
        <f t="shared" si="660"/>
        <v>4.8487499999999999</v>
      </c>
      <c r="CN693" s="253" cm="1">
        <f t="array" ref="CN693">$BC693 * IF($AD693&lt;=2,
SUMPRODUCT(INDEX($AL$62:$AN$66,,$AE693), INDEX($AO$62:$AU$66,,$AD693), 1 / ($AV$62:$AV$66*CM693 + (1-$AV$62:$AV$66)*CI693), N($AK$62:$AK$66&gt;$AI693)),
SUMPRODUCT(INDEX($AL$47:$AN$56,,$AE693), INDEX($AO$47:$AU$56,,$AD693), 1 / ($AW$47:$AW$56*CM693 + (1-$AW$47:$AW$56)*CI693), N($AK$47:$AK$56&gt;$AI693))
) / 1000</f>
        <v>0</v>
      </c>
      <c r="CO693" s="253" cm="1">
        <f t="array" ref="CO693">$BC693 * IF($AD693&lt;=2,
SUMPRODUCT(INDEX($AL$23:$AN$61,,$AE693), INDEX($AO$23:$AU$61,,$AD693), 1 / ($AV$23:$AV$61*CM693), N($AK$23:$AK$61&gt;$AI693)),
SUMPRODUCT(INDEX($AL$23:$AN$46,,$AE693), INDEX($AO$23:$AU$46,,$AD693), 1 / ($AW$23:$AW$46*CM693), N($AK$23:$AK$46&gt;$AI693))
) / 1000</f>
        <v>0</v>
      </c>
      <c r="CP693" s="237">
        <f t="shared" si="661"/>
        <v>0</v>
      </c>
      <c r="CQ693" s="210"/>
    </row>
    <row r="694" spans="1:95" s="76" customFormat="1" ht="14.25" customHeight="1" x14ac:dyDescent="0.2">
      <c r="A694" s="238" t="b">
        <f t="shared" si="665"/>
        <v>0</v>
      </c>
      <c r="B694" s="239">
        <v>672</v>
      </c>
      <c r="C694" s="258"/>
      <c r="D694" s="258"/>
      <c r="E694" s="240"/>
      <c r="F694" s="241" t="str">
        <f>IF(ISBLANK(E694), "", VLOOKUP(E694, Z!$A$2:$C$4127, 3, FALSE))</f>
        <v/>
      </c>
      <c r="G694" s="242"/>
      <c r="H694" s="242"/>
      <c r="I694" s="243"/>
      <c r="J694" s="244"/>
      <c r="K694" s="259"/>
      <c r="L694" s="260"/>
      <c r="M694" s="247" t="str" cm="1">
        <f t="array" ref="M694">IF($K694&gt;0, INDEX(Clean,1+AG694,$C$1), "")</f>
        <v/>
      </c>
      <c r="N694" s="245"/>
      <c r="O694" s="245"/>
      <c r="P694" s="246"/>
      <c r="Q694" s="248">
        <f t="shared" si="638"/>
        <v>0</v>
      </c>
      <c r="R694" s="247" t="str" cm="1">
        <f t="array" ref="R694">IF($K694&gt;0, INDEX(Clean,1+AH694,$C$1), "")</f>
        <v/>
      </c>
      <c r="S694" s="245"/>
      <c r="T694" s="245"/>
      <c r="U694" s="246"/>
      <c r="V694" s="248">
        <f t="shared" si="639"/>
        <v>0</v>
      </c>
      <c r="W694" s="261"/>
      <c r="X694" s="258"/>
      <c r="Y694" s="240"/>
      <c r="Z694" s="241" t="str">
        <f>IF(ISBLANK(Y694), "", VLOOKUP(Y694, Z!$A$2:$C$4127, 3, FALSE))</f>
        <v/>
      </c>
      <c r="AA694" s="262"/>
      <c r="AB694" s="249">
        <f t="shared" si="674"/>
        <v>0</v>
      </c>
      <c r="AC694" s="210"/>
      <c r="AD694" s="236">
        <f t="shared" si="662"/>
        <v>1</v>
      </c>
      <c r="AE694" s="236">
        <f t="shared" si="663"/>
        <v>1</v>
      </c>
      <c r="AF694" s="236">
        <f t="shared" si="664"/>
        <v>0</v>
      </c>
      <c r="AG694" s="236">
        <v>1</v>
      </c>
      <c r="AH694" s="236">
        <v>0</v>
      </c>
      <c r="AI694" s="236">
        <f t="shared" si="640"/>
        <v>-100</v>
      </c>
      <c r="AJ694" s="210"/>
      <c r="AK694" s="254"/>
      <c r="AL694" s="254"/>
      <c r="AM694" s="255"/>
      <c r="AN694" s="255"/>
      <c r="AO694" s="255"/>
      <c r="AP694" s="255"/>
      <c r="AQ694" s="255"/>
      <c r="AR694" s="255"/>
      <c r="AS694" s="255"/>
      <c r="AT694" s="255"/>
      <c r="AU694" s="255"/>
      <c r="AV694" s="255"/>
      <c r="AW694" s="255"/>
      <c r="AX694" s="210"/>
      <c r="AY694" s="236" cm="1">
        <f t="array" ref="AY694">INDEX(Use, $AD694, 4)</f>
        <v>7</v>
      </c>
      <c r="AZ694" s="236">
        <f t="shared" si="641"/>
        <v>32</v>
      </c>
      <c r="BA694" s="236">
        <f t="shared" si="666"/>
        <v>13</v>
      </c>
      <c r="BB694" s="236">
        <f t="shared" si="667"/>
        <v>0</v>
      </c>
      <c r="BC694" s="252" cm="1">
        <f t="array" ref="BC694">K694/IF($L694&gt;0, INDEX($AO$23:$AU$77, $L694+20, $AD694), 1)</f>
        <v>0</v>
      </c>
      <c r="BD694" s="237">
        <f t="shared" si="642"/>
        <v>0</v>
      </c>
      <c r="BE694" s="236">
        <v>35</v>
      </c>
      <c r="BF694" s="237">
        <f t="shared" si="643"/>
        <v>52.55</v>
      </c>
      <c r="BG694" s="253">
        <f t="shared" si="644"/>
        <v>2.7676728869374316</v>
      </c>
      <c r="BH694" s="253" cm="1">
        <f t="array" ref="BH694">$BC694 * SUMPRODUCT(INDEX($AL$77:$AN$82,,$AE694),INDEX($AO$77:$AU$82,,$AD694), N($AK$77:$AK$82&gt;$AI694)) / BG694 / 1000</f>
        <v>0</v>
      </c>
      <c r="BI694" s="250">
        <f t="shared" si="668"/>
        <v>30</v>
      </c>
      <c r="BJ694" s="237">
        <f t="shared" si="645"/>
        <v>46.033333333333331</v>
      </c>
      <c r="BK694" s="253">
        <f t="shared" si="646"/>
        <v>3.2297395388556791</v>
      </c>
      <c r="BL694" s="253" cm="1">
        <f t="array" ref="BL694">$BC694 * IF($AD694&lt;=2,
SUMPRODUCT(INDEX($AL$72:$AN$76,,$AE694), INDEX($AO$72:$AU$76,,$AD694), 1 / ($AV$72:$AV$76*BK694 + (1-$AV$72:$AV$76)*BG694), N($AK$72:$AK$76&gt;$AI694)),
SUMPRODUCT(INDEX($AL$67:$AN$76,,$AE694), INDEX($AO$67:$AU$76,,$AD694), 1 / ($AW$67:$AW$76*BK694 + (1-$AW$67:$AW$76)*BG694), N($AK$67:$AK$76&gt;$AI694))
) / 1000</f>
        <v>0</v>
      </c>
      <c r="BM694" s="250">
        <f t="shared" si="669"/>
        <v>25</v>
      </c>
      <c r="BN694" s="237">
        <f t="shared" si="647"/>
        <v>39.516666666666666</v>
      </c>
      <c r="BO694" s="253">
        <f t="shared" si="648"/>
        <v>3.877011788826243</v>
      </c>
      <c r="BP694" s="253" cm="1">
        <f t="array" ref="BP694">$BC694 * IF($AD694&lt;=2,
SUMPRODUCT(INDEX($AL$67:$AN$71,,$AE694), INDEX($AO$67:$AU$71,,$AD694), 1 / ($AV$67:$AV$71*BO694 + (1-$AV$67:$AV$71)*BK694), N($AK$67:$AK$71&gt;$AI694)),
SUMPRODUCT(INDEX($AL$57:$AN$66,,$AE694), INDEX($AO$57:$AU$66,,$AD694), 1 / ($AW$57:$AW$66*BO694 + (1-$AW$57:$AW$66)*BK694), N($AK$57:$AK$66&gt;$AI694))
) / 1000</f>
        <v>0</v>
      </c>
      <c r="BQ694" s="250">
        <f t="shared" si="670"/>
        <v>20</v>
      </c>
      <c r="BR694" s="237">
        <f t="shared" si="649"/>
        <v>33</v>
      </c>
      <c r="BS694" s="253">
        <f t="shared" si="650"/>
        <v>4.8487499999999999</v>
      </c>
      <c r="BT694" s="253" cm="1">
        <f t="array" ref="BT694">$BC694 * IF($AD694&lt;=2,
SUMPRODUCT(INDEX($AL$62:$AN$66,,$AE694), INDEX($AO$62:$AU$66,,$AD694), 1 / ($AV$62:$AV$66*BS694 + (1-$AV$62:$AV$66)*BO694), N($AK$62:$AK$66&gt;$AI694)),
SUMPRODUCT(INDEX($AL$47:$AN$56,,$AE694), INDEX($AO$47:$AU$56,,$AD694), 1 / ($AW$47:$AW$56*BS694 + (1-$AW$47:$AW$56)*BO694), N($AK$47:$AK$56&gt;$AI694))
) / 1000</f>
        <v>0</v>
      </c>
      <c r="BU694" s="253" cm="1">
        <f t="array" ref="BU694">$BC694 * IF($AD694&lt;=2,
SUMPRODUCT(INDEX($AL$23:$AN$61,,$AE694), INDEX($AO$23:$AU$61,,$AD694), 1 / ($AV$23:$AV$61*BS694), N($AK$23:$AK$61&gt;$AI694)),
SUMPRODUCT(INDEX($AL$23:$AN$46,,$AE694), INDEX($AO$23:$AU$46,,$AD694), 1 / ($AW$23:$AW$46*BS694), N($AK$23:$AK$46&gt;$AI694))
) / 1000</f>
        <v>0</v>
      </c>
      <c r="BV694" s="237">
        <f t="shared" si="651"/>
        <v>0</v>
      </c>
      <c r="BW694" s="210"/>
      <c r="BX694" s="237">
        <f t="shared" si="652"/>
        <v>0</v>
      </c>
      <c r="BY694" s="236">
        <v>35</v>
      </c>
      <c r="BZ694" s="237">
        <f t="shared" si="653"/>
        <v>48</v>
      </c>
      <c r="CA694" s="253">
        <f t="shared" si="654"/>
        <v>3.0748170731707316</v>
      </c>
      <c r="CB694" s="253" cm="1">
        <f t="array" ref="CB694">$BC694 * SUMPRODUCT(INDEX($AL$77:$AN$82,,$AE694),INDEX($AO$77:$AU$82,,$AD694), N($AK$77:$AK$82&gt;$AI694)) / CA694 / 1000</f>
        <v>0</v>
      </c>
      <c r="CC694" s="250">
        <f t="shared" si="671"/>
        <v>30</v>
      </c>
      <c r="CD694" s="237">
        <f t="shared" si="655"/>
        <v>43</v>
      </c>
      <c r="CE694" s="253">
        <f t="shared" si="656"/>
        <v>3.5018750000000001</v>
      </c>
      <c r="CF694" s="253" cm="1">
        <f t="array" ref="CF694">$BC694 * IF($AD694&lt;=2,
SUMPRODUCT(INDEX($AL$72:$AN$76,,$AE694), INDEX($AO$72:$AU$76,,$AD694), 1 / ($AV$72:$AV$76*CE694 + (1-$AV$72:$AV$76)*CA694), N($AK$72:$AK$76&gt;$AI694)),
SUMPRODUCT(INDEX($AL$67:$AN$76,,$AE694), INDEX($AO$67:$AU$76,,$AD694), 1 / ($AW$67:$AW$76*CE694 + (1-$AW$67:$AW$76)*CA694), N($AK$67:$AK$76&gt;$AI694))
) / 1000</f>
        <v>0</v>
      </c>
      <c r="CG694" s="250">
        <f t="shared" si="672"/>
        <v>25</v>
      </c>
      <c r="CH694" s="237">
        <f t="shared" si="657"/>
        <v>38</v>
      </c>
      <c r="CI694" s="253">
        <f t="shared" si="658"/>
        <v>4.0666935483870965</v>
      </c>
      <c r="CJ694" s="253" cm="1">
        <f t="array" ref="CJ694">$BC694 * IF($AD694&lt;=2,
SUMPRODUCT(INDEX($AL$67:$AN$71,,$AE694), INDEX($AO$67:$AU$71,,$AD694), 1 / ($AV$67:$AV$71*CI694 + (1-$AV$67:$AV$71)*CE694), N($AK$67:$AK$71&gt;$AI694)),
SUMPRODUCT(INDEX($AL$57:$AN$66,,$AE694), INDEX($AO$57:$AU$66,,$AD694), 1 / ($AW$57:$AW$66*CI694 + (1-$AW$57:$AW$66)*CE694), N($AK$57:$AK$66&gt;$AI694))
) / 1000</f>
        <v>0</v>
      </c>
      <c r="CK694" s="250">
        <f t="shared" si="673"/>
        <v>20</v>
      </c>
      <c r="CL694" s="237">
        <f t="shared" si="659"/>
        <v>33</v>
      </c>
      <c r="CM694" s="253">
        <f t="shared" si="660"/>
        <v>4.8487499999999999</v>
      </c>
      <c r="CN694" s="253" cm="1">
        <f t="array" ref="CN694">$BC694 * IF($AD694&lt;=2,
SUMPRODUCT(INDEX($AL$62:$AN$66,,$AE694), INDEX($AO$62:$AU$66,,$AD694), 1 / ($AV$62:$AV$66*CM694 + (1-$AV$62:$AV$66)*CI694), N($AK$62:$AK$66&gt;$AI694)),
SUMPRODUCT(INDEX($AL$47:$AN$56,,$AE694), INDEX($AO$47:$AU$56,,$AD694), 1 / ($AW$47:$AW$56*CM694 + (1-$AW$47:$AW$56)*CI694), N($AK$47:$AK$56&gt;$AI694))
) / 1000</f>
        <v>0</v>
      </c>
      <c r="CO694" s="253" cm="1">
        <f t="array" ref="CO694">$BC694 * IF($AD694&lt;=2,
SUMPRODUCT(INDEX($AL$23:$AN$61,,$AE694), INDEX($AO$23:$AU$61,,$AD694), 1 / ($AV$23:$AV$61*CM694), N($AK$23:$AK$61&gt;$AI694)),
SUMPRODUCT(INDEX($AL$23:$AN$46,,$AE694), INDEX($AO$23:$AU$46,,$AD694), 1 / ($AW$23:$AW$46*CM694), N($AK$23:$AK$46&gt;$AI694))
) / 1000</f>
        <v>0</v>
      </c>
      <c r="CP694" s="237">
        <f t="shared" si="661"/>
        <v>0</v>
      </c>
      <c r="CQ694" s="210"/>
    </row>
    <row r="695" spans="1:95" s="76" customFormat="1" ht="14.25" customHeight="1" x14ac:dyDescent="0.2">
      <c r="A695" s="238" t="b">
        <f t="shared" si="665"/>
        <v>0</v>
      </c>
      <c r="B695" s="239">
        <v>673</v>
      </c>
      <c r="C695" s="258"/>
      <c r="D695" s="258"/>
      <c r="E695" s="240"/>
      <c r="F695" s="241" t="str">
        <f>IF(ISBLANK(E695), "", VLOOKUP(E695, Z!$A$2:$C$4127, 3, FALSE))</f>
        <v/>
      </c>
      <c r="G695" s="242"/>
      <c r="H695" s="242"/>
      <c r="I695" s="243"/>
      <c r="J695" s="244"/>
      <c r="K695" s="259"/>
      <c r="L695" s="260"/>
      <c r="M695" s="247" t="str" cm="1">
        <f t="array" ref="M695">IF($K695&gt;0, INDEX(Clean,1+AG695,$C$1), "")</f>
        <v/>
      </c>
      <c r="N695" s="245"/>
      <c r="O695" s="245"/>
      <c r="P695" s="246"/>
      <c r="Q695" s="248">
        <f t="shared" si="638"/>
        <v>0</v>
      </c>
      <c r="R695" s="247" t="str" cm="1">
        <f t="array" ref="R695">IF($K695&gt;0, INDEX(Clean,1+AH695,$C$1), "")</f>
        <v/>
      </c>
      <c r="S695" s="245"/>
      <c r="T695" s="245"/>
      <c r="U695" s="246"/>
      <c r="V695" s="248">
        <f t="shared" si="639"/>
        <v>0</v>
      </c>
      <c r="W695" s="261"/>
      <c r="X695" s="258"/>
      <c r="Y695" s="240"/>
      <c r="Z695" s="241" t="str">
        <f>IF(ISBLANK(Y695), "", VLOOKUP(Y695, Z!$A$2:$C$4127, 3, FALSE))</f>
        <v/>
      </c>
      <c r="AA695" s="262"/>
      <c r="AB695" s="249">
        <f t="shared" si="674"/>
        <v>0</v>
      </c>
      <c r="AC695" s="210"/>
      <c r="AD695" s="236">
        <f t="shared" si="662"/>
        <v>1</v>
      </c>
      <c r="AE695" s="236">
        <f t="shared" si="663"/>
        <v>1</v>
      </c>
      <c r="AF695" s="236">
        <f t="shared" si="664"/>
        <v>0</v>
      </c>
      <c r="AG695" s="236">
        <v>1</v>
      </c>
      <c r="AH695" s="236">
        <v>0</v>
      </c>
      <c r="AI695" s="236">
        <f t="shared" si="640"/>
        <v>-100</v>
      </c>
      <c r="AJ695" s="210"/>
      <c r="AK695" s="254"/>
      <c r="AL695" s="254"/>
      <c r="AM695" s="255"/>
      <c r="AN695" s="255"/>
      <c r="AO695" s="255"/>
      <c r="AP695" s="255"/>
      <c r="AQ695" s="255"/>
      <c r="AR695" s="255"/>
      <c r="AS695" s="255"/>
      <c r="AT695" s="255"/>
      <c r="AU695" s="255"/>
      <c r="AV695" s="255"/>
      <c r="AW695" s="255"/>
      <c r="AX695" s="210"/>
      <c r="AY695" s="236" cm="1">
        <f t="array" ref="AY695">INDEX(Use, $AD695, 4)</f>
        <v>7</v>
      </c>
      <c r="AZ695" s="236">
        <f t="shared" si="641"/>
        <v>32</v>
      </c>
      <c r="BA695" s="236">
        <f t="shared" si="666"/>
        <v>13</v>
      </c>
      <c r="BB695" s="236">
        <f t="shared" si="667"/>
        <v>0</v>
      </c>
      <c r="BC695" s="252" cm="1">
        <f t="array" ref="BC695">K695/IF($L695&gt;0, INDEX($AO$23:$AU$77, $L695+20, $AD695), 1)</f>
        <v>0</v>
      </c>
      <c r="BD695" s="237">
        <f t="shared" si="642"/>
        <v>0</v>
      </c>
      <c r="BE695" s="236">
        <v>35</v>
      </c>
      <c r="BF695" s="237">
        <f t="shared" si="643"/>
        <v>52.55</v>
      </c>
      <c r="BG695" s="253">
        <f t="shared" si="644"/>
        <v>2.7676728869374316</v>
      </c>
      <c r="BH695" s="253" cm="1">
        <f t="array" ref="BH695">$BC695 * SUMPRODUCT(INDEX($AL$77:$AN$82,,$AE695),INDEX($AO$77:$AU$82,,$AD695), N($AK$77:$AK$82&gt;$AI695)) / BG695 / 1000</f>
        <v>0</v>
      </c>
      <c r="BI695" s="250">
        <f t="shared" si="668"/>
        <v>30</v>
      </c>
      <c r="BJ695" s="237">
        <f t="shared" si="645"/>
        <v>46.033333333333331</v>
      </c>
      <c r="BK695" s="253">
        <f t="shared" si="646"/>
        <v>3.2297395388556791</v>
      </c>
      <c r="BL695" s="253" cm="1">
        <f t="array" ref="BL695">$BC695 * IF($AD695&lt;=2,
SUMPRODUCT(INDEX($AL$72:$AN$76,,$AE695), INDEX($AO$72:$AU$76,,$AD695), 1 / ($AV$72:$AV$76*BK695 + (1-$AV$72:$AV$76)*BG695), N($AK$72:$AK$76&gt;$AI695)),
SUMPRODUCT(INDEX($AL$67:$AN$76,,$AE695), INDEX($AO$67:$AU$76,,$AD695), 1 / ($AW$67:$AW$76*BK695 + (1-$AW$67:$AW$76)*BG695), N($AK$67:$AK$76&gt;$AI695))
) / 1000</f>
        <v>0</v>
      </c>
      <c r="BM695" s="250">
        <f t="shared" si="669"/>
        <v>25</v>
      </c>
      <c r="BN695" s="237">
        <f t="shared" si="647"/>
        <v>39.516666666666666</v>
      </c>
      <c r="BO695" s="253">
        <f t="shared" si="648"/>
        <v>3.877011788826243</v>
      </c>
      <c r="BP695" s="253" cm="1">
        <f t="array" ref="BP695">$BC695 * IF($AD695&lt;=2,
SUMPRODUCT(INDEX($AL$67:$AN$71,,$AE695), INDEX($AO$67:$AU$71,,$AD695), 1 / ($AV$67:$AV$71*BO695 + (1-$AV$67:$AV$71)*BK695), N($AK$67:$AK$71&gt;$AI695)),
SUMPRODUCT(INDEX($AL$57:$AN$66,,$AE695), INDEX($AO$57:$AU$66,,$AD695), 1 / ($AW$57:$AW$66*BO695 + (1-$AW$57:$AW$66)*BK695), N($AK$57:$AK$66&gt;$AI695))
) / 1000</f>
        <v>0</v>
      </c>
      <c r="BQ695" s="250">
        <f t="shared" si="670"/>
        <v>20</v>
      </c>
      <c r="BR695" s="237">
        <f t="shared" si="649"/>
        <v>33</v>
      </c>
      <c r="BS695" s="253">
        <f t="shared" si="650"/>
        <v>4.8487499999999999</v>
      </c>
      <c r="BT695" s="253" cm="1">
        <f t="array" ref="BT695">$BC695 * IF($AD695&lt;=2,
SUMPRODUCT(INDEX($AL$62:$AN$66,,$AE695), INDEX($AO$62:$AU$66,,$AD695), 1 / ($AV$62:$AV$66*BS695 + (1-$AV$62:$AV$66)*BO695), N($AK$62:$AK$66&gt;$AI695)),
SUMPRODUCT(INDEX($AL$47:$AN$56,,$AE695), INDEX($AO$47:$AU$56,,$AD695), 1 / ($AW$47:$AW$56*BS695 + (1-$AW$47:$AW$56)*BO695), N($AK$47:$AK$56&gt;$AI695))
) / 1000</f>
        <v>0</v>
      </c>
      <c r="BU695" s="253" cm="1">
        <f t="array" ref="BU695">$BC695 * IF($AD695&lt;=2,
SUMPRODUCT(INDEX($AL$23:$AN$61,,$AE695), INDEX($AO$23:$AU$61,,$AD695), 1 / ($AV$23:$AV$61*BS695), N($AK$23:$AK$61&gt;$AI695)),
SUMPRODUCT(INDEX($AL$23:$AN$46,,$AE695), INDEX($AO$23:$AU$46,,$AD695), 1 / ($AW$23:$AW$46*BS695), N($AK$23:$AK$46&gt;$AI695))
) / 1000</f>
        <v>0</v>
      </c>
      <c r="BV695" s="237">
        <f t="shared" si="651"/>
        <v>0</v>
      </c>
      <c r="BW695" s="210"/>
      <c r="BX695" s="237">
        <f t="shared" si="652"/>
        <v>0</v>
      </c>
      <c r="BY695" s="236">
        <v>35</v>
      </c>
      <c r="BZ695" s="237">
        <f t="shared" si="653"/>
        <v>48</v>
      </c>
      <c r="CA695" s="253">
        <f t="shared" si="654"/>
        <v>3.0748170731707316</v>
      </c>
      <c r="CB695" s="253" cm="1">
        <f t="array" ref="CB695">$BC695 * SUMPRODUCT(INDEX($AL$77:$AN$82,,$AE695),INDEX($AO$77:$AU$82,,$AD695), N($AK$77:$AK$82&gt;$AI695)) / CA695 / 1000</f>
        <v>0</v>
      </c>
      <c r="CC695" s="250">
        <f t="shared" si="671"/>
        <v>30</v>
      </c>
      <c r="CD695" s="237">
        <f t="shared" si="655"/>
        <v>43</v>
      </c>
      <c r="CE695" s="253">
        <f t="shared" si="656"/>
        <v>3.5018750000000001</v>
      </c>
      <c r="CF695" s="253" cm="1">
        <f t="array" ref="CF695">$BC695 * IF($AD695&lt;=2,
SUMPRODUCT(INDEX($AL$72:$AN$76,,$AE695), INDEX($AO$72:$AU$76,,$AD695), 1 / ($AV$72:$AV$76*CE695 + (1-$AV$72:$AV$76)*CA695), N($AK$72:$AK$76&gt;$AI695)),
SUMPRODUCT(INDEX($AL$67:$AN$76,,$AE695), INDEX($AO$67:$AU$76,,$AD695), 1 / ($AW$67:$AW$76*CE695 + (1-$AW$67:$AW$76)*CA695), N($AK$67:$AK$76&gt;$AI695))
) / 1000</f>
        <v>0</v>
      </c>
      <c r="CG695" s="250">
        <f t="shared" si="672"/>
        <v>25</v>
      </c>
      <c r="CH695" s="237">
        <f t="shared" si="657"/>
        <v>38</v>
      </c>
      <c r="CI695" s="253">
        <f t="shared" si="658"/>
        <v>4.0666935483870965</v>
      </c>
      <c r="CJ695" s="253" cm="1">
        <f t="array" ref="CJ695">$BC695 * IF($AD695&lt;=2,
SUMPRODUCT(INDEX($AL$67:$AN$71,,$AE695), INDEX($AO$67:$AU$71,,$AD695), 1 / ($AV$67:$AV$71*CI695 + (1-$AV$67:$AV$71)*CE695), N($AK$67:$AK$71&gt;$AI695)),
SUMPRODUCT(INDEX($AL$57:$AN$66,,$AE695), INDEX($AO$57:$AU$66,,$AD695), 1 / ($AW$57:$AW$66*CI695 + (1-$AW$57:$AW$66)*CE695), N($AK$57:$AK$66&gt;$AI695))
) / 1000</f>
        <v>0</v>
      </c>
      <c r="CK695" s="250">
        <f t="shared" si="673"/>
        <v>20</v>
      </c>
      <c r="CL695" s="237">
        <f t="shared" si="659"/>
        <v>33</v>
      </c>
      <c r="CM695" s="253">
        <f t="shared" si="660"/>
        <v>4.8487499999999999</v>
      </c>
      <c r="CN695" s="253" cm="1">
        <f t="array" ref="CN695">$BC695 * IF($AD695&lt;=2,
SUMPRODUCT(INDEX($AL$62:$AN$66,,$AE695), INDEX($AO$62:$AU$66,,$AD695), 1 / ($AV$62:$AV$66*CM695 + (1-$AV$62:$AV$66)*CI695), N($AK$62:$AK$66&gt;$AI695)),
SUMPRODUCT(INDEX($AL$47:$AN$56,,$AE695), INDEX($AO$47:$AU$56,,$AD695), 1 / ($AW$47:$AW$56*CM695 + (1-$AW$47:$AW$56)*CI695), N($AK$47:$AK$56&gt;$AI695))
) / 1000</f>
        <v>0</v>
      </c>
      <c r="CO695" s="253" cm="1">
        <f t="array" ref="CO695">$BC695 * IF($AD695&lt;=2,
SUMPRODUCT(INDEX($AL$23:$AN$61,,$AE695), INDEX($AO$23:$AU$61,,$AD695), 1 / ($AV$23:$AV$61*CM695), N($AK$23:$AK$61&gt;$AI695)),
SUMPRODUCT(INDEX($AL$23:$AN$46,,$AE695), INDEX($AO$23:$AU$46,,$AD695), 1 / ($AW$23:$AW$46*CM695), N($AK$23:$AK$46&gt;$AI695))
) / 1000</f>
        <v>0</v>
      </c>
      <c r="CP695" s="237">
        <f t="shared" si="661"/>
        <v>0</v>
      </c>
      <c r="CQ695" s="210"/>
    </row>
    <row r="696" spans="1:95" s="76" customFormat="1" ht="14.25" customHeight="1" x14ac:dyDescent="0.2">
      <c r="A696" s="238" t="b">
        <f t="shared" si="665"/>
        <v>0</v>
      </c>
      <c r="B696" s="239">
        <v>674</v>
      </c>
      <c r="C696" s="258"/>
      <c r="D696" s="258"/>
      <c r="E696" s="240"/>
      <c r="F696" s="241" t="str">
        <f>IF(ISBLANK(E696), "", VLOOKUP(E696, Z!$A$2:$C$4127, 3, FALSE))</f>
        <v/>
      </c>
      <c r="G696" s="242"/>
      <c r="H696" s="242"/>
      <c r="I696" s="243"/>
      <c r="J696" s="244"/>
      <c r="K696" s="259"/>
      <c r="L696" s="260"/>
      <c r="M696" s="247" t="str" cm="1">
        <f t="array" ref="M696">IF($K696&gt;0, INDEX(Clean,1+AG696,$C$1), "")</f>
        <v/>
      </c>
      <c r="N696" s="245"/>
      <c r="O696" s="245"/>
      <c r="P696" s="246"/>
      <c r="Q696" s="248">
        <f t="shared" si="638"/>
        <v>0</v>
      </c>
      <c r="R696" s="247" t="str" cm="1">
        <f t="array" ref="R696">IF($K696&gt;0, INDEX(Clean,1+AH696,$C$1), "")</f>
        <v/>
      </c>
      <c r="S696" s="245"/>
      <c r="T696" s="245"/>
      <c r="U696" s="246"/>
      <c r="V696" s="248">
        <f t="shared" si="639"/>
        <v>0</v>
      </c>
      <c r="W696" s="261"/>
      <c r="X696" s="258"/>
      <c r="Y696" s="240"/>
      <c r="Z696" s="241" t="str">
        <f>IF(ISBLANK(Y696), "", VLOOKUP(Y696, Z!$A$2:$C$4127, 3, FALSE))</f>
        <v/>
      </c>
      <c r="AA696" s="262"/>
      <c r="AB696" s="249">
        <f t="shared" si="674"/>
        <v>0</v>
      </c>
      <c r="AC696" s="210"/>
      <c r="AD696" s="236">
        <f t="shared" si="662"/>
        <v>1</v>
      </c>
      <c r="AE696" s="236">
        <f t="shared" si="663"/>
        <v>1</v>
      </c>
      <c r="AF696" s="236">
        <f t="shared" si="664"/>
        <v>0</v>
      </c>
      <c r="AG696" s="236">
        <v>1</v>
      </c>
      <c r="AH696" s="236">
        <v>0</v>
      </c>
      <c r="AI696" s="236">
        <f t="shared" si="640"/>
        <v>-100</v>
      </c>
      <c r="AJ696" s="210"/>
      <c r="AK696" s="254"/>
      <c r="AL696" s="254"/>
      <c r="AM696" s="255"/>
      <c r="AN696" s="255"/>
      <c r="AO696" s="255"/>
      <c r="AP696" s="255"/>
      <c r="AQ696" s="255"/>
      <c r="AR696" s="255"/>
      <c r="AS696" s="255"/>
      <c r="AT696" s="255"/>
      <c r="AU696" s="255"/>
      <c r="AV696" s="255"/>
      <c r="AW696" s="255"/>
      <c r="AX696" s="210"/>
      <c r="AY696" s="236" cm="1">
        <f t="array" ref="AY696">INDEX(Use, $AD696, 4)</f>
        <v>7</v>
      </c>
      <c r="AZ696" s="236">
        <f t="shared" si="641"/>
        <v>32</v>
      </c>
      <c r="BA696" s="236">
        <f t="shared" si="666"/>
        <v>13</v>
      </c>
      <c r="BB696" s="236">
        <f t="shared" si="667"/>
        <v>0</v>
      </c>
      <c r="BC696" s="252" cm="1">
        <f t="array" ref="BC696">K696/IF($L696&gt;0, INDEX($AO$23:$AU$77, $L696+20, $AD696), 1)</f>
        <v>0</v>
      </c>
      <c r="BD696" s="237">
        <f t="shared" si="642"/>
        <v>0</v>
      </c>
      <c r="BE696" s="236">
        <v>35</v>
      </c>
      <c r="BF696" s="237">
        <f t="shared" si="643"/>
        <v>52.55</v>
      </c>
      <c r="BG696" s="253">
        <f t="shared" si="644"/>
        <v>2.7676728869374316</v>
      </c>
      <c r="BH696" s="253" cm="1">
        <f t="array" ref="BH696">$BC696 * SUMPRODUCT(INDEX($AL$77:$AN$82,,$AE696),INDEX($AO$77:$AU$82,,$AD696), N($AK$77:$AK$82&gt;$AI696)) / BG696 / 1000</f>
        <v>0</v>
      </c>
      <c r="BI696" s="250">
        <f t="shared" si="668"/>
        <v>30</v>
      </c>
      <c r="BJ696" s="237">
        <f t="shared" si="645"/>
        <v>46.033333333333331</v>
      </c>
      <c r="BK696" s="253">
        <f t="shared" si="646"/>
        <v>3.2297395388556791</v>
      </c>
      <c r="BL696" s="253" cm="1">
        <f t="array" ref="BL696">$BC696 * IF($AD696&lt;=2,
SUMPRODUCT(INDEX($AL$72:$AN$76,,$AE696), INDEX($AO$72:$AU$76,,$AD696), 1 / ($AV$72:$AV$76*BK696 + (1-$AV$72:$AV$76)*BG696), N($AK$72:$AK$76&gt;$AI696)),
SUMPRODUCT(INDEX($AL$67:$AN$76,,$AE696), INDEX($AO$67:$AU$76,,$AD696), 1 / ($AW$67:$AW$76*BK696 + (1-$AW$67:$AW$76)*BG696), N($AK$67:$AK$76&gt;$AI696))
) / 1000</f>
        <v>0</v>
      </c>
      <c r="BM696" s="250">
        <f t="shared" si="669"/>
        <v>25</v>
      </c>
      <c r="BN696" s="237">
        <f t="shared" si="647"/>
        <v>39.516666666666666</v>
      </c>
      <c r="BO696" s="253">
        <f t="shared" si="648"/>
        <v>3.877011788826243</v>
      </c>
      <c r="BP696" s="253" cm="1">
        <f t="array" ref="BP696">$BC696 * IF($AD696&lt;=2,
SUMPRODUCT(INDEX($AL$67:$AN$71,,$AE696), INDEX($AO$67:$AU$71,,$AD696), 1 / ($AV$67:$AV$71*BO696 + (1-$AV$67:$AV$71)*BK696), N($AK$67:$AK$71&gt;$AI696)),
SUMPRODUCT(INDEX($AL$57:$AN$66,,$AE696), INDEX($AO$57:$AU$66,,$AD696), 1 / ($AW$57:$AW$66*BO696 + (1-$AW$57:$AW$66)*BK696), N($AK$57:$AK$66&gt;$AI696))
) / 1000</f>
        <v>0</v>
      </c>
      <c r="BQ696" s="250">
        <f t="shared" si="670"/>
        <v>20</v>
      </c>
      <c r="BR696" s="237">
        <f t="shared" si="649"/>
        <v>33</v>
      </c>
      <c r="BS696" s="253">
        <f t="shared" si="650"/>
        <v>4.8487499999999999</v>
      </c>
      <c r="BT696" s="253" cm="1">
        <f t="array" ref="BT696">$BC696 * IF($AD696&lt;=2,
SUMPRODUCT(INDEX($AL$62:$AN$66,,$AE696), INDEX($AO$62:$AU$66,,$AD696), 1 / ($AV$62:$AV$66*BS696 + (1-$AV$62:$AV$66)*BO696), N($AK$62:$AK$66&gt;$AI696)),
SUMPRODUCT(INDEX($AL$47:$AN$56,,$AE696), INDEX($AO$47:$AU$56,,$AD696), 1 / ($AW$47:$AW$56*BS696 + (1-$AW$47:$AW$56)*BO696), N($AK$47:$AK$56&gt;$AI696))
) / 1000</f>
        <v>0</v>
      </c>
      <c r="BU696" s="253" cm="1">
        <f t="array" ref="BU696">$BC696 * IF($AD696&lt;=2,
SUMPRODUCT(INDEX($AL$23:$AN$61,,$AE696), INDEX($AO$23:$AU$61,,$AD696), 1 / ($AV$23:$AV$61*BS696), N($AK$23:$AK$61&gt;$AI696)),
SUMPRODUCT(INDEX($AL$23:$AN$46,,$AE696), INDEX($AO$23:$AU$46,,$AD696), 1 / ($AW$23:$AW$46*BS696), N($AK$23:$AK$46&gt;$AI696))
) / 1000</f>
        <v>0</v>
      </c>
      <c r="BV696" s="237">
        <f t="shared" si="651"/>
        <v>0</v>
      </c>
      <c r="BW696" s="210"/>
      <c r="BX696" s="237">
        <f t="shared" si="652"/>
        <v>0</v>
      </c>
      <c r="BY696" s="236">
        <v>35</v>
      </c>
      <c r="BZ696" s="237">
        <f t="shared" si="653"/>
        <v>48</v>
      </c>
      <c r="CA696" s="253">
        <f t="shared" si="654"/>
        <v>3.0748170731707316</v>
      </c>
      <c r="CB696" s="253" cm="1">
        <f t="array" ref="CB696">$BC696 * SUMPRODUCT(INDEX($AL$77:$AN$82,,$AE696),INDEX($AO$77:$AU$82,,$AD696), N($AK$77:$AK$82&gt;$AI696)) / CA696 / 1000</f>
        <v>0</v>
      </c>
      <c r="CC696" s="250">
        <f t="shared" si="671"/>
        <v>30</v>
      </c>
      <c r="CD696" s="237">
        <f t="shared" si="655"/>
        <v>43</v>
      </c>
      <c r="CE696" s="253">
        <f t="shared" si="656"/>
        <v>3.5018750000000001</v>
      </c>
      <c r="CF696" s="253" cm="1">
        <f t="array" ref="CF696">$BC696 * IF($AD696&lt;=2,
SUMPRODUCT(INDEX($AL$72:$AN$76,,$AE696), INDEX($AO$72:$AU$76,,$AD696), 1 / ($AV$72:$AV$76*CE696 + (1-$AV$72:$AV$76)*CA696), N($AK$72:$AK$76&gt;$AI696)),
SUMPRODUCT(INDEX($AL$67:$AN$76,,$AE696), INDEX($AO$67:$AU$76,,$AD696), 1 / ($AW$67:$AW$76*CE696 + (1-$AW$67:$AW$76)*CA696), N($AK$67:$AK$76&gt;$AI696))
) / 1000</f>
        <v>0</v>
      </c>
      <c r="CG696" s="250">
        <f t="shared" si="672"/>
        <v>25</v>
      </c>
      <c r="CH696" s="237">
        <f t="shared" si="657"/>
        <v>38</v>
      </c>
      <c r="CI696" s="253">
        <f t="shared" si="658"/>
        <v>4.0666935483870965</v>
      </c>
      <c r="CJ696" s="253" cm="1">
        <f t="array" ref="CJ696">$BC696 * IF($AD696&lt;=2,
SUMPRODUCT(INDEX($AL$67:$AN$71,,$AE696), INDEX($AO$67:$AU$71,,$AD696), 1 / ($AV$67:$AV$71*CI696 + (1-$AV$67:$AV$71)*CE696), N($AK$67:$AK$71&gt;$AI696)),
SUMPRODUCT(INDEX($AL$57:$AN$66,,$AE696), INDEX($AO$57:$AU$66,,$AD696), 1 / ($AW$57:$AW$66*CI696 + (1-$AW$57:$AW$66)*CE696), N($AK$57:$AK$66&gt;$AI696))
) / 1000</f>
        <v>0</v>
      </c>
      <c r="CK696" s="250">
        <f t="shared" si="673"/>
        <v>20</v>
      </c>
      <c r="CL696" s="237">
        <f t="shared" si="659"/>
        <v>33</v>
      </c>
      <c r="CM696" s="253">
        <f t="shared" si="660"/>
        <v>4.8487499999999999</v>
      </c>
      <c r="CN696" s="253" cm="1">
        <f t="array" ref="CN696">$BC696 * IF($AD696&lt;=2,
SUMPRODUCT(INDEX($AL$62:$AN$66,,$AE696), INDEX($AO$62:$AU$66,,$AD696), 1 / ($AV$62:$AV$66*CM696 + (1-$AV$62:$AV$66)*CI696), N($AK$62:$AK$66&gt;$AI696)),
SUMPRODUCT(INDEX($AL$47:$AN$56,,$AE696), INDEX($AO$47:$AU$56,,$AD696), 1 / ($AW$47:$AW$56*CM696 + (1-$AW$47:$AW$56)*CI696), N($AK$47:$AK$56&gt;$AI696))
) / 1000</f>
        <v>0</v>
      </c>
      <c r="CO696" s="253" cm="1">
        <f t="array" ref="CO696">$BC696 * IF($AD696&lt;=2,
SUMPRODUCT(INDEX($AL$23:$AN$61,,$AE696), INDEX($AO$23:$AU$61,,$AD696), 1 / ($AV$23:$AV$61*CM696), N($AK$23:$AK$61&gt;$AI696)),
SUMPRODUCT(INDEX($AL$23:$AN$46,,$AE696), INDEX($AO$23:$AU$46,,$AD696), 1 / ($AW$23:$AW$46*CM696), N($AK$23:$AK$46&gt;$AI696))
) / 1000</f>
        <v>0</v>
      </c>
      <c r="CP696" s="237">
        <f t="shared" si="661"/>
        <v>0</v>
      </c>
      <c r="CQ696" s="210"/>
    </row>
    <row r="697" spans="1:95" s="76" customFormat="1" ht="14.25" customHeight="1" x14ac:dyDescent="0.2">
      <c r="A697" s="238" t="b">
        <f t="shared" si="665"/>
        <v>0</v>
      </c>
      <c r="B697" s="239">
        <v>675</v>
      </c>
      <c r="C697" s="258"/>
      <c r="D697" s="258"/>
      <c r="E697" s="240"/>
      <c r="F697" s="241" t="str">
        <f>IF(ISBLANK(E697), "", VLOOKUP(E697, Z!$A$2:$C$4127, 3, FALSE))</f>
        <v/>
      </c>
      <c r="G697" s="242"/>
      <c r="H697" s="242"/>
      <c r="I697" s="243"/>
      <c r="J697" s="244"/>
      <c r="K697" s="259"/>
      <c r="L697" s="260"/>
      <c r="M697" s="247" t="str" cm="1">
        <f t="array" ref="M697">IF($K697&gt;0, INDEX(Clean,1+AG697,$C$1), "")</f>
        <v/>
      </c>
      <c r="N697" s="245"/>
      <c r="O697" s="245"/>
      <c r="P697" s="246"/>
      <c r="Q697" s="248">
        <f t="shared" si="638"/>
        <v>0</v>
      </c>
      <c r="R697" s="247" t="str" cm="1">
        <f t="array" ref="R697">IF($K697&gt;0, INDEX(Clean,1+AH697,$C$1), "")</f>
        <v/>
      </c>
      <c r="S697" s="245"/>
      <c r="T697" s="245"/>
      <c r="U697" s="246"/>
      <c r="V697" s="248">
        <f t="shared" si="639"/>
        <v>0</v>
      </c>
      <c r="W697" s="261"/>
      <c r="X697" s="258"/>
      <c r="Y697" s="240"/>
      <c r="Z697" s="241" t="str">
        <f>IF(ISBLANK(Y697), "", VLOOKUP(Y697, Z!$A$2:$C$4127, 3, FALSE))</f>
        <v/>
      </c>
      <c r="AA697" s="262"/>
      <c r="AB697" s="249">
        <f t="shared" si="674"/>
        <v>0</v>
      </c>
      <c r="AC697" s="210"/>
      <c r="AD697" s="236">
        <f t="shared" si="662"/>
        <v>1</v>
      </c>
      <c r="AE697" s="236">
        <f t="shared" si="663"/>
        <v>1</v>
      </c>
      <c r="AF697" s="236">
        <f t="shared" si="664"/>
        <v>0</v>
      </c>
      <c r="AG697" s="236">
        <v>1</v>
      </c>
      <c r="AH697" s="236">
        <v>0</v>
      </c>
      <c r="AI697" s="236">
        <f t="shared" si="640"/>
        <v>-100</v>
      </c>
      <c r="AJ697" s="210"/>
      <c r="AK697" s="254"/>
      <c r="AL697" s="254"/>
      <c r="AM697" s="255"/>
      <c r="AN697" s="255"/>
      <c r="AO697" s="255"/>
      <c r="AP697" s="255"/>
      <c r="AQ697" s="255"/>
      <c r="AR697" s="255"/>
      <c r="AS697" s="255"/>
      <c r="AT697" s="255"/>
      <c r="AU697" s="255"/>
      <c r="AV697" s="255"/>
      <c r="AW697" s="255"/>
      <c r="AX697" s="210"/>
      <c r="AY697" s="236" cm="1">
        <f t="array" ref="AY697">INDEX(Use, $AD697, 4)</f>
        <v>7</v>
      </c>
      <c r="AZ697" s="236">
        <f t="shared" si="641"/>
        <v>32</v>
      </c>
      <c r="BA697" s="236">
        <f t="shared" si="666"/>
        <v>13</v>
      </c>
      <c r="BB697" s="236">
        <f t="shared" si="667"/>
        <v>0</v>
      </c>
      <c r="BC697" s="252" cm="1">
        <f t="array" ref="BC697">K697/IF($L697&gt;0, INDEX($AO$23:$AU$77, $L697+20, $AD697), 1)</f>
        <v>0</v>
      </c>
      <c r="BD697" s="237">
        <f t="shared" si="642"/>
        <v>0</v>
      </c>
      <c r="BE697" s="236">
        <v>35</v>
      </c>
      <c r="BF697" s="237">
        <f t="shared" si="643"/>
        <v>52.55</v>
      </c>
      <c r="BG697" s="253">
        <f t="shared" si="644"/>
        <v>2.7676728869374316</v>
      </c>
      <c r="BH697" s="253" cm="1">
        <f t="array" ref="BH697">$BC697 * SUMPRODUCT(INDEX($AL$77:$AN$82,,$AE697),INDEX($AO$77:$AU$82,,$AD697), N($AK$77:$AK$82&gt;$AI697)) / BG697 / 1000</f>
        <v>0</v>
      </c>
      <c r="BI697" s="250">
        <f t="shared" si="668"/>
        <v>30</v>
      </c>
      <c r="BJ697" s="237">
        <f t="shared" si="645"/>
        <v>46.033333333333331</v>
      </c>
      <c r="BK697" s="253">
        <f t="shared" si="646"/>
        <v>3.2297395388556791</v>
      </c>
      <c r="BL697" s="253" cm="1">
        <f t="array" ref="BL697">$BC697 * IF($AD697&lt;=2,
SUMPRODUCT(INDEX($AL$72:$AN$76,,$AE697), INDEX($AO$72:$AU$76,,$AD697), 1 / ($AV$72:$AV$76*BK697 + (1-$AV$72:$AV$76)*BG697), N($AK$72:$AK$76&gt;$AI697)),
SUMPRODUCT(INDEX($AL$67:$AN$76,,$AE697), INDEX($AO$67:$AU$76,,$AD697), 1 / ($AW$67:$AW$76*BK697 + (1-$AW$67:$AW$76)*BG697), N($AK$67:$AK$76&gt;$AI697))
) / 1000</f>
        <v>0</v>
      </c>
      <c r="BM697" s="250">
        <f t="shared" si="669"/>
        <v>25</v>
      </c>
      <c r="BN697" s="237">
        <f t="shared" si="647"/>
        <v>39.516666666666666</v>
      </c>
      <c r="BO697" s="253">
        <f t="shared" si="648"/>
        <v>3.877011788826243</v>
      </c>
      <c r="BP697" s="253" cm="1">
        <f t="array" ref="BP697">$BC697 * IF($AD697&lt;=2,
SUMPRODUCT(INDEX($AL$67:$AN$71,,$AE697), INDEX($AO$67:$AU$71,,$AD697), 1 / ($AV$67:$AV$71*BO697 + (1-$AV$67:$AV$71)*BK697), N($AK$67:$AK$71&gt;$AI697)),
SUMPRODUCT(INDEX($AL$57:$AN$66,,$AE697), INDEX($AO$57:$AU$66,,$AD697), 1 / ($AW$57:$AW$66*BO697 + (1-$AW$57:$AW$66)*BK697), N($AK$57:$AK$66&gt;$AI697))
) / 1000</f>
        <v>0</v>
      </c>
      <c r="BQ697" s="250">
        <f t="shared" si="670"/>
        <v>20</v>
      </c>
      <c r="BR697" s="237">
        <f t="shared" si="649"/>
        <v>33</v>
      </c>
      <c r="BS697" s="253">
        <f t="shared" si="650"/>
        <v>4.8487499999999999</v>
      </c>
      <c r="BT697" s="253" cm="1">
        <f t="array" ref="BT697">$BC697 * IF($AD697&lt;=2,
SUMPRODUCT(INDEX($AL$62:$AN$66,,$AE697), INDEX($AO$62:$AU$66,,$AD697), 1 / ($AV$62:$AV$66*BS697 + (1-$AV$62:$AV$66)*BO697), N($AK$62:$AK$66&gt;$AI697)),
SUMPRODUCT(INDEX($AL$47:$AN$56,,$AE697), INDEX($AO$47:$AU$56,,$AD697), 1 / ($AW$47:$AW$56*BS697 + (1-$AW$47:$AW$56)*BO697), N($AK$47:$AK$56&gt;$AI697))
) / 1000</f>
        <v>0</v>
      </c>
      <c r="BU697" s="253" cm="1">
        <f t="array" ref="BU697">$BC697 * IF($AD697&lt;=2,
SUMPRODUCT(INDEX($AL$23:$AN$61,,$AE697), INDEX($AO$23:$AU$61,,$AD697), 1 / ($AV$23:$AV$61*BS697), N($AK$23:$AK$61&gt;$AI697)),
SUMPRODUCT(INDEX($AL$23:$AN$46,,$AE697), INDEX($AO$23:$AU$46,,$AD697), 1 / ($AW$23:$AW$46*BS697), N($AK$23:$AK$46&gt;$AI697))
) / 1000</f>
        <v>0</v>
      </c>
      <c r="BV697" s="237">
        <f t="shared" si="651"/>
        <v>0</v>
      </c>
      <c r="BW697" s="210"/>
      <c r="BX697" s="237">
        <f t="shared" si="652"/>
        <v>0</v>
      </c>
      <c r="BY697" s="236">
        <v>35</v>
      </c>
      <c r="BZ697" s="237">
        <f t="shared" si="653"/>
        <v>48</v>
      </c>
      <c r="CA697" s="253">
        <f t="shared" si="654"/>
        <v>3.0748170731707316</v>
      </c>
      <c r="CB697" s="253" cm="1">
        <f t="array" ref="CB697">$BC697 * SUMPRODUCT(INDEX($AL$77:$AN$82,,$AE697),INDEX($AO$77:$AU$82,,$AD697), N($AK$77:$AK$82&gt;$AI697)) / CA697 / 1000</f>
        <v>0</v>
      </c>
      <c r="CC697" s="250">
        <f t="shared" si="671"/>
        <v>30</v>
      </c>
      <c r="CD697" s="237">
        <f t="shared" si="655"/>
        <v>43</v>
      </c>
      <c r="CE697" s="253">
        <f t="shared" si="656"/>
        <v>3.5018750000000001</v>
      </c>
      <c r="CF697" s="253" cm="1">
        <f t="array" ref="CF697">$BC697 * IF($AD697&lt;=2,
SUMPRODUCT(INDEX($AL$72:$AN$76,,$AE697), INDEX($AO$72:$AU$76,,$AD697), 1 / ($AV$72:$AV$76*CE697 + (1-$AV$72:$AV$76)*CA697), N($AK$72:$AK$76&gt;$AI697)),
SUMPRODUCT(INDEX($AL$67:$AN$76,,$AE697), INDEX($AO$67:$AU$76,,$AD697), 1 / ($AW$67:$AW$76*CE697 + (1-$AW$67:$AW$76)*CA697), N($AK$67:$AK$76&gt;$AI697))
) / 1000</f>
        <v>0</v>
      </c>
      <c r="CG697" s="250">
        <f t="shared" si="672"/>
        <v>25</v>
      </c>
      <c r="CH697" s="237">
        <f t="shared" si="657"/>
        <v>38</v>
      </c>
      <c r="CI697" s="253">
        <f t="shared" si="658"/>
        <v>4.0666935483870965</v>
      </c>
      <c r="CJ697" s="253" cm="1">
        <f t="array" ref="CJ697">$BC697 * IF($AD697&lt;=2,
SUMPRODUCT(INDEX($AL$67:$AN$71,,$AE697), INDEX($AO$67:$AU$71,,$AD697), 1 / ($AV$67:$AV$71*CI697 + (1-$AV$67:$AV$71)*CE697), N($AK$67:$AK$71&gt;$AI697)),
SUMPRODUCT(INDEX($AL$57:$AN$66,,$AE697), INDEX($AO$57:$AU$66,,$AD697), 1 / ($AW$57:$AW$66*CI697 + (1-$AW$57:$AW$66)*CE697), N($AK$57:$AK$66&gt;$AI697))
) / 1000</f>
        <v>0</v>
      </c>
      <c r="CK697" s="250">
        <f t="shared" si="673"/>
        <v>20</v>
      </c>
      <c r="CL697" s="237">
        <f t="shared" si="659"/>
        <v>33</v>
      </c>
      <c r="CM697" s="253">
        <f t="shared" si="660"/>
        <v>4.8487499999999999</v>
      </c>
      <c r="CN697" s="253" cm="1">
        <f t="array" ref="CN697">$BC697 * IF($AD697&lt;=2,
SUMPRODUCT(INDEX($AL$62:$AN$66,,$AE697), INDEX($AO$62:$AU$66,,$AD697), 1 / ($AV$62:$AV$66*CM697 + (1-$AV$62:$AV$66)*CI697), N($AK$62:$AK$66&gt;$AI697)),
SUMPRODUCT(INDEX($AL$47:$AN$56,,$AE697), INDEX($AO$47:$AU$56,,$AD697), 1 / ($AW$47:$AW$56*CM697 + (1-$AW$47:$AW$56)*CI697), N($AK$47:$AK$56&gt;$AI697))
) / 1000</f>
        <v>0</v>
      </c>
      <c r="CO697" s="253" cm="1">
        <f t="array" ref="CO697">$BC697 * IF($AD697&lt;=2,
SUMPRODUCT(INDEX($AL$23:$AN$61,,$AE697), INDEX($AO$23:$AU$61,,$AD697), 1 / ($AV$23:$AV$61*CM697), N($AK$23:$AK$61&gt;$AI697)),
SUMPRODUCT(INDEX($AL$23:$AN$46,,$AE697), INDEX($AO$23:$AU$46,,$AD697), 1 / ($AW$23:$AW$46*CM697), N($AK$23:$AK$46&gt;$AI697))
) / 1000</f>
        <v>0</v>
      </c>
      <c r="CP697" s="237">
        <f t="shared" si="661"/>
        <v>0</v>
      </c>
      <c r="CQ697" s="210"/>
    </row>
    <row r="698" spans="1:95" s="76" customFormat="1" ht="14.25" customHeight="1" x14ac:dyDescent="0.2">
      <c r="A698" s="238" t="b">
        <f t="shared" si="665"/>
        <v>0</v>
      </c>
      <c r="B698" s="239">
        <v>676</v>
      </c>
      <c r="C698" s="258"/>
      <c r="D698" s="258"/>
      <c r="E698" s="240"/>
      <c r="F698" s="241" t="str">
        <f>IF(ISBLANK(E698), "", VLOOKUP(E698, Z!$A$2:$C$4127, 3, FALSE))</f>
        <v/>
      </c>
      <c r="G698" s="242"/>
      <c r="H698" s="242"/>
      <c r="I698" s="243"/>
      <c r="J698" s="244"/>
      <c r="K698" s="259"/>
      <c r="L698" s="260"/>
      <c r="M698" s="247" t="str" cm="1">
        <f t="array" ref="M698">IF($K698&gt;0, INDEX(Clean,1+AG698,$C$1), "")</f>
        <v/>
      </c>
      <c r="N698" s="245"/>
      <c r="O698" s="245"/>
      <c r="P698" s="246"/>
      <c r="Q698" s="248">
        <f t="shared" si="638"/>
        <v>0</v>
      </c>
      <c r="R698" s="247" t="str" cm="1">
        <f t="array" ref="R698">IF($K698&gt;0, INDEX(Clean,1+AH698,$C$1), "")</f>
        <v/>
      </c>
      <c r="S698" s="245"/>
      <c r="T698" s="245"/>
      <c r="U698" s="246"/>
      <c r="V698" s="248">
        <f t="shared" si="639"/>
        <v>0</v>
      </c>
      <c r="W698" s="261"/>
      <c r="X698" s="258"/>
      <c r="Y698" s="240"/>
      <c r="Z698" s="241" t="str">
        <f>IF(ISBLANK(Y698), "", VLOOKUP(Y698, Z!$A$2:$C$4127, 3, FALSE))</f>
        <v/>
      </c>
      <c r="AA698" s="262"/>
      <c r="AB698" s="249">
        <f t="shared" si="674"/>
        <v>0</v>
      </c>
      <c r="AC698" s="210"/>
      <c r="AD698" s="236">
        <f t="shared" si="662"/>
        <v>1</v>
      </c>
      <c r="AE698" s="236">
        <f t="shared" si="663"/>
        <v>1</v>
      </c>
      <c r="AF698" s="236">
        <f t="shared" si="664"/>
        <v>0</v>
      </c>
      <c r="AG698" s="236">
        <v>1</v>
      </c>
      <c r="AH698" s="236">
        <v>0</v>
      </c>
      <c r="AI698" s="236">
        <f t="shared" si="640"/>
        <v>-100</v>
      </c>
      <c r="AJ698" s="210"/>
      <c r="AK698" s="254"/>
      <c r="AL698" s="254"/>
      <c r="AM698" s="255"/>
      <c r="AN698" s="255"/>
      <c r="AO698" s="255"/>
      <c r="AP698" s="255"/>
      <c r="AQ698" s="255"/>
      <c r="AR698" s="255"/>
      <c r="AS698" s="255"/>
      <c r="AT698" s="255"/>
      <c r="AU698" s="255"/>
      <c r="AV698" s="255"/>
      <c r="AW698" s="255"/>
      <c r="AX698" s="210"/>
      <c r="AY698" s="236" cm="1">
        <f t="array" ref="AY698">INDEX(Use, $AD698, 4)</f>
        <v>7</v>
      </c>
      <c r="AZ698" s="236">
        <f t="shared" si="641"/>
        <v>32</v>
      </c>
      <c r="BA698" s="236">
        <f t="shared" si="666"/>
        <v>13</v>
      </c>
      <c r="BB698" s="236">
        <f t="shared" si="667"/>
        <v>0</v>
      </c>
      <c r="BC698" s="252" cm="1">
        <f t="array" ref="BC698">K698/IF($L698&gt;0, INDEX($AO$23:$AU$77, $L698+20, $AD698), 1)</f>
        <v>0</v>
      </c>
      <c r="BD698" s="237">
        <f t="shared" si="642"/>
        <v>0</v>
      </c>
      <c r="BE698" s="236">
        <v>35</v>
      </c>
      <c r="BF698" s="237">
        <f t="shared" si="643"/>
        <v>52.55</v>
      </c>
      <c r="BG698" s="253">
        <f t="shared" si="644"/>
        <v>2.7676728869374316</v>
      </c>
      <c r="BH698" s="253" cm="1">
        <f t="array" ref="BH698">$BC698 * SUMPRODUCT(INDEX($AL$77:$AN$82,,$AE698),INDEX($AO$77:$AU$82,,$AD698), N($AK$77:$AK$82&gt;$AI698)) / BG698 / 1000</f>
        <v>0</v>
      </c>
      <c r="BI698" s="250">
        <f t="shared" si="668"/>
        <v>30</v>
      </c>
      <c r="BJ698" s="237">
        <f t="shared" si="645"/>
        <v>46.033333333333331</v>
      </c>
      <c r="BK698" s="253">
        <f t="shared" si="646"/>
        <v>3.2297395388556791</v>
      </c>
      <c r="BL698" s="253" cm="1">
        <f t="array" ref="BL698">$BC698 * IF($AD698&lt;=2,
SUMPRODUCT(INDEX($AL$72:$AN$76,,$AE698), INDEX($AO$72:$AU$76,,$AD698), 1 / ($AV$72:$AV$76*BK698 + (1-$AV$72:$AV$76)*BG698), N($AK$72:$AK$76&gt;$AI698)),
SUMPRODUCT(INDEX($AL$67:$AN$76,,$AE698), INDEX($AO$67:$AU$76,,$AD698), 1 / ($AW$67:$AW$76*BK698 + (1-$AW$67:$AW$76)*BG698), N($AK$67:$AK$76&gt;$AI698))
) / 1000</f>
        <v>0</v>
      </c>
      <c r="BM698" s="250">
        <f t="shared" si="669"/>
        <v>25</v>
      </c>
      <c r="BN698" s="237">
        <f t="shared" si="647"/>
        <v>39.516666666666666</v>
      </c>
      <c r="BO698" s="253">
        <f t="shared" si="648"/>
        <v>3.877011788826243</v>
      </c>
      <c r="BP698" s="253" cm="1">
        <f t="array" ref="BP698">$BC698 * IF($AD698&lt;=2,
SUMPRODUCT(INDEX($AL$67:$AN$71,,$AE698), INDEX($AO$67:$AU$71,,$AD698), 1 / ($AV$67:$AV$71*BO698 + (1-$AV$67:$AV$71)*BK698), N($AK$67:$AK$71&gt;$AI698)),
SUMPRODUCT(INDEX($AL$57:$AN$66,,$AE698), INDEX($AO$57:$AU$66,,$AD698), 1 / ($AW$57:$AW$66*BO698 + (1-$AW$57:$AW$66)*BK698), N($AK$57:$AK$66&gt;$AI698))
) / 1000</f>
        <v>0</v>
      </c>
      <c r="BQ698" s="250">
        <f t="shared" si="670"/>
        <v>20</v>
      </c>
      <c r="BR698" s="237">
        <f t="shared" si="649"/>
        <v>33</v>
      </c>
      <c r="BS698" s="253">
        <f t="shared" si="650"/>
        <v>4.8487499999999999</v>
      </c>
      <c r="BT698" s="253" cm="1">
        <f t="array" ref="BT698">$BC698 * IF($AD698&lt;=2,
SUMPRODUCT(INDEX($AL$62:$AN$66,,$AE698), INDEX($AO$62:$AU$66,,$AD698), 1 / ($AV$62:$AV$66*BS698 + (1-$AV$62:$AV$66)*BO698), N($AK$62:$AK$66&gt;$AI698)),
SUMPRODUCT(INDEX($AL$47:$AN$56,,$AE698), INDEX($AO$47:$AU$56,,$AD698), 1 / ($AW$47:$AW$56*BS698 + (1-$AW$47:$AW$56)*BO698), N($AK$47:$AK$56&gt;$AI698))
) / 1000</f>
        <v>0</v>
      </c>
      <c r="BU698" s="253" cm="1">
        <f t="array" ref="BU698">$BC698 * IF($AD698&lt;=2,
SUMPRODUCT(INDEX($AL$23:$AN$61,,$AE698), INDEX($AO$23:$AU$61,,$AD698), 1 / ($AV$23:$AV$61*BS698), N($AK$23:$AK$61&gt;$AI698)),
SUMPRODUCT(INDEX($AL$23:$AN$46,,$AE698), INDEX($AO$23:$AU$46,,$AD698), 1 / ($AW$23:$AW$46*BS698), N($AK$23:$AK$46&gt;$AI698))
) / 1000</f>
        <v>0</v>
      </c>
      <c r="BV698" s="237">
        <f t="shared" si="651"/>
        <v>0</v>
      </c>
      <c r="BW698" s="210"/>
      <c r="BX698" s="237">
        <f t="shared" si="652"/>
        <v>0</v>
      </c>
      <c r="BY698" s="236">
        <v>35</v>
      </c>
      <c r="BZ698" s="237">
        <f t="shared" si="653"/>
        <v>48</v>
      </c>
      <c r="CA698" s="253">
        <f t="shared" si="654"/>
        <v>3.0748170731707316</v>
      </c>
      <c r="CB698" s="253" cm="1">
        <f t="array" ref="CB698">$BC698 * SUMPRODUCT(INDEX($AL$77:$AN$82,,$AE698),INDEX($AO$77:$AU$82,,$AD698), N($AK$77:$AK$82&gt;$AI698)) / CA698 / 1000</f>
        <v>0</v>
      </c>
      <c r="CC698" s="250">
        <f t="shared" si="671"/>
        <v>30</v>
      </c>
      <c r="CD698" s="237">
        <f t="shared" si="655"/>
        <v>43</v>
      </c>
      <c r="CE698" s="253">
        <f t="shared" si="656"/>
        <v>3.5018750000000001</v>
      </c>
      <c r="CF698" s="253" cm="1">
        <f t="array" ref="CF698">$BC698 * IF($AD698&lt;=2,
SUMPRODUCT(INDEX($AL$72:$AN$76,,$AE698), INDEX($AO$72:$AU$76,,$AD698), 1 / ($AV$72:$AV$76*CE698 + (1-$AV$72:$AV$76)*CA698), N($AK$72:$AK$76&gt;$AI698)),
SUMPRODUCT(INDEX($AL$67:$AN$76,,$AE698), INDEX($AO$67:$AU$76,,$AD698), 1 / ($AW$67:$AW$76*CE698 + (1-$AW$67:$AW$76)*CA698), N($AK$67:$AK$76&gt;$AI698))
) / 1000</f>
        <v>0</v>
      </c>
      <c r="CG698" s="250">
        <f t="shared" si="672"/>
        <v>25</v>
      </c>
      <c r="CH698" s="237">
        <f t="shared" si="657"/>
        <v>38</v>
      </c>
      <c r="CI698" s="253">
        <f t="shared" si="658"/>
        <v>4.0666935483870965</v>
      </c>
      <c r="CJ698" s="253" cm="1">
        <f t="array" ref="CJ698">$BC698 * IF($AD698&lt;=2,
SUMPRODUCT(INDEX($AL$67:$AN$71,,$AE698), INDEX($AO$67:$AU$71,,$AD698), 1 / ($AV$67:$AV$71*CI698 + (1-$AV$67:$AV$71)*CE698), N($AK$67:$AK$71&gt;$AI698)),
SUMPRODUCT(INDEX($AL$57:$AN$66,,$AE698), INDEX($AO$57:$AU$66,,$AD698), 1 / ($AW$57:$AW$66*CI698 + (1-$AW$57:$AW$66)*CE698), N($AK$57:$AK$66&gt;$AI698))
) / 1000</f>
        <v>0</v>
      </c>
      <c r="CK698" s="250">
        <f t="shared" si="673"/>
        <v>20</v>
      </c>
      <c r="CL698" s="237">
        <f t="shared" si="659"/>
        <v>33</v>
      </c>
      <c r="CM698" s="253">
        <f t="shared" si="660"/>
        <v>4.8487499999999999</v>
      </c>
      <c r="CN698" s="253" cm="1">
        <f t="array" ref="CN698">$BC698 * IF($AD698&lt;=2,
SUMPRODUCT(INDEX($AL$62:$AN$66,,$AE698), INDEX($AO$62:$AU$66,,$AD698), 1 / ($AV$62:$AV$66*CM698 + (1-$AV$62:$AV$66)*CI698), N($AK$62:$AK$66&gt;$AI698)),
SUMPRODUCT(INDEX($AL$47:$AN$56,,$AE698), INDEX($AO$47:$AU$56,,$AD698), 1 / ($AW$47:$AW$56*CM698 + (1-$AW$47:$AW$56)*CI698), N($AK$47:$AK$56&gt;$AI698))
) / 1000</f>
        <v>0</v>
      </c>
      <c r="CO698" s="253" cm="1">
        <f t="array" ref="CO698">$BC698 * IF($AD698&lt;=2,
SUMPRODUCT(INDEX($AL$23:$AN$61,,$AE698), INDEX($AO$23:$AU$61,,$AD698), 1 / ($AV$23:$AV$61*CM698), N($AK$23:$AK$61&gt;$AI698)),
SUMPRODUCT(INDEX($AL$23:$AN$46,,$AE698), INDEX($AO$23:$AU$46,,$AD698), 1 / ($AW$23:$AW$46*CM698), N($AK$23:$AK$46&gt;$AI698))
) / 1000</f>
        <v>0</v>
      </c>
      <c r="CP698" s="237">
        <f t="shared" si="661"/>
        <v>0</v>
      </c>
      <c r="CQ698" s="210"/>
    </row>
    <row r="699" spans="1:95" s="76" customFormat="1" ht="14.25" customHeight="1" x14ac:dyDescent="0.2">
      <c r="A699" s="238" t="b">
        <f t="shared" si="665"/>
        <v>0</v>
      </c>
      <c r="B699" s="239">
        <v>677</v>
      </c>
      <c r="C699" s="258"/>
      <c r="D699" s="258"/>
      <c r="E699" s="240"/>
      <c r="F699" s="241" t="str">
        <f>IF(ISBLANK(E699), "", VLOOKUP(E699, Z!$A$2:$C$4127, 3, FALSE))</f>
        <v/>
      </c>
      <c r="G699" s="242"/>
      <c r="H699" s="242"/>
      <c r="I699" s="243"/>
      <c r="J699" s="244"/>
      <c r="K699" s="259"/>
      <c r="L699" s="260"/>
      <c r="M699" s="247" t="str" cm="1">
        <f t="array" ref="M699">IF($K699&gt;0, INDEX(Clean,1+AG699,$C$1), "")</f>
        <v/>
      </c>
      <c r="N699" s="245"/>
      <c r="O699" s="245"/>
      <c r="P699" s="246"/>
      <c r="Q699" s="248">
        <f t="shared" ref="Q699:Q762" si="675">BV699*1000</f>
        <v>0</v>
      </c>
      <c r="R699" s="247" t="str" cm="1">
        <f t="array" ref="R699">IF($K699&gt;0, INDEX(Clean,1+AH699,$C$1), "")</f>
        <v/>
      </c>
      <c r="S699" s="245"/>
      <c r="T699" s="245"/>
      <c r="U699" s="246"/>
      <c r="V699" s="248">
        <f t="shared" ref="V699:V762" si="676">CP699*1000</f>
        <v>0</v>
      </c>
      <c r="W699" s="261"/>
      <c r="X699" s="258"/>
      <c r="Y699" s="240"/>
      <c r="Z699" s="241" t="str">
        <f>IF(ISBLANK(Y699), "", VLOOKUP(Y699, Z!$A$2:$C$4127, 3, FALSE))</f>
        <v/>
      </c>
      <c r="AA699" s="262"/>
      <c r="AB699" s="249">
        <f t="shared" si="674"/>
        <v>0</v>
      </c>
      <c r="AC699" s="210"/>
      <c r="AD699" s="236">
        <f t="shared" si="662"/>
        <v>1</v>
      </c>
      <c r="AE699" s="236">
        <f t="shared" si="663"/>
        <v>1</v>
      </c>
      <c r="AF699" s="236">
        <f t="shared" si="664"/>
        <v>0</v>
      </c>
      <c r="AG699" s="236">
        <v>1</v>
      </c>
      <c r="AH699" s="236">
        <v>0</v>
      </c>
      <c r="AI699" s="236">
        <f t="shared" ref="AI699:AI762" si="677">IF(AND(J699="x", AD699=5), 11, IF(AND(J699="x", AD699=6), 19, -100))</f>
        <v>-100</v>
      </c>
      <c r="AJ699" s="210"/>
      <c r="AK699" s="254"/>
      <c r="AL699" s="254"/>
      <c r="AM699" s="255"/>
      <c r="AN699" s="255"/>
      <c r="AO699" s="255"/>
      <c r="AP699" s="255"/>
      <c r="AQ699" s="255"/>
      <c r="AR699" s="255"/>
      <c r="AS699" s="255"/>
      <c r="AT699" s="255"/>
      <c r="AU699" s="255"/>
      <c r="AV699" s="255"/>
      <c r="AW699" s="255"/>
      <c r="AX699" s="210"/>
      <c r="AY699" s="236" cm="1">
        <f t="array" ref="AY699">INDEX(Use, $AD699, 4)</f>
        <v>7</v>
      </c>
      <c r="AZ699" s="236">
        <f t="shared" ref="AZ699:AZ762" si="678">MAX(25, AY699+25)</f>
        <v>32</v>
      </c>
      <c r="BA699" s="236">
        <f t="shared" si="666"/>
        <v>13</v>
      </c>
      <c r="BB699" s="236">
        <f t="shared" si="667"/>
        <v>0</v>
      </c>
      <c r="BC699" s="252" cm="1">
        <f t="array" ref="BC699">K699/IF($L699&gt;0, INDEX($AO$23:$AU$77, $L699+20, $AD699), 1)</f>
        <v>0</v>
      </c>
      <c r="BD699" s="237">
        <f t="shared" ref="BD699:BD762" si="679">P699 /  IF(AD699&lt;=2, 0.7 + 0.3 * (O699-20)/(35-20), 0.4 + 0.6 * (O699-5)/(35-5))</f>
        <v>0</v>
      </c>
      <c r="BE699" s="236">
        <v>35</v>
      </c>
      <c r="BF699" s="237">
        <f t="shared" ref="BF699:BF762" si="680">MAX($N699, MAX($AZ699, $BE699 + $BA699 + $BB699 + 0.35*$AG699*$BA699 + BD699))</f>
        <v>52.55</v>
      </c>
      <c r="BG699" s="253">
        <f t="shared" ref="BG699:BG762" si="681">0.45*($AY699+273.15)/(BF699-$AY699)</f>
        <v>2.7676728869374316</v>
      </c>
      <c r="BH699" s="253" cm="1">
        <f t="array" ref="BH699">$BC699 * SUMPRODUCT(INDEX($AL$77:$AN$82,,$AE699),INDEX($AO$77:$AU$82,,$AD699), N($AK$77:$AK$82&gt;$AI699)) / BG699 / 1000</f>
        <v>0</v>
      </c>
      <c r="BI699" s="250">
        <f t="shared" si="668"/>
        <v>30</v>
      </c>
      <c r="BJ699" s="237">
        <f t="shared" ref="BJ699:BJ762" si="682">MAX($N699, MAX($AZ699, BI699 + $BA699 + $BB699 + IF($AD699&lt;=2, (BI699-20)/(35-20), 0.6+0.4*(BI699-5)/(35-5))*0.35*$AG699*$BA699) + IF($AD699&lt;=2,0.9,0.8)*$BD699)</f>
        <v>46.033333333333331</v>
      </c>
      <c r="BK699" s="253">
        <f t="shared" ref="BK699:BK762" si="683">0.45*($AY699+273.15)/(BJ699-$AY699)</f>
        <v>3.2297395388556791</v>
      </c>
      <c r="BL699" s="253" cm="1">
        <f t="array" ref="BL699">$BC699 * IF($AD699&lt;=2,
SUMPRODUCT(INDEX($AL$72:$AN$76,,$AE699), INDEX($AO$72:$AU$76,,$AD699), 1 / ($AV$72:$AV$76*BK699 + (1-$AV$72:$AV$76)*BG699), N($AK$72:$AK$76&gt;$AI699)),
SUMPRODUCT(INDEX($AL$67:$AN$76,,$AE699), INDEX($AO$67:$AU$76,,$AD699), 1 / ($AW$67:$AW$76*BK699 + (1-$AW$67:$AW$76)*BG699), N($AK$67:$AK$76&gt;$AI699))
) / 1000</f>
        <v>0</v>
      </c>
      <c r="BM699" s="250">
        <f t="shared" si="669"/>
        <v>25</v>
      </c>
      <c r="BN699" s="237">
        <f t="shared" ref="BN699:BN762" si="684">MAX($N699, MAX($AZ699, BM699 + $BA699 + $BB699 + IF($AD699&lt;=2, (BM699-20)/(35-20), 0.6+0.4*(BM699-5)/(35-5))*0.35*$AG699*$BA699) + IF($AD699&lt;=2,0.8,0.6)*$BD699)</f>
        <v>39.516666666666666</v>
      </c>
      <c r="BO699" s="253">
        <f t="shared" ref="BO699:BO762" si="685">0.45*($AY699+273.15)/(BN699-$AY699)</f>
        <v>3.877011788826243</v>
      </c>
      <c r="BP699" s="253" cm="1">
        <f t="array" ref="BP699">$BC699 * IF($AD699&lt;=2,
SUMPRODUCT(INDEX($AL$67:$AN$71,,$AE699), INDEX($AO$67:$AU$71,,$AD699), 1 / ($AV$67:$AV$71*BO699 + (1-$AV$67:$AV$71)*BK699), N($AK$67:$AK$71&gt;$AI699)),
SUMPRODUCT(INDEX($AL$57:$AN$66,,$AE699), INDEX($AO$57:$AU$66,,$AD699), 1 / ($AW$57:$AW$66*BO699 + (1-$AW$57:$AW$66)*BK699), N($AK$57:$AK$66&gt;$AI699))
) / 1000</f>
        <v>0</v>
      </c>
      <c r="BQ699" s="250">
        <f t="shared" si="670"/>
        <v>20</v>
      </c>
      <c r="BR699" s="237">
        <f t="shared" ref="BR699:BR762" si="686">MAX($N699, MAX($AZ699, BQ699 + $BA699 + $BB699 + IF($AD699&lt;=2, (BQ699-20)/(35-20), 0.6+0.4*(BQ699-5)/(35-5))*0.35*$AG699*$BA699) + IF($AD699&lt;=2,0.7,0.4)*$BD699)</f>
        <v>33</v>
      </c>
      <c r="BS699" s="253">
        <f t="shared" ref="BS699:BS762" si="687">0.45*($AY699+273.15)/(BR699-$AY699)</f>
        <v>4.8487499999999999</v>
      </c>
      <c r="BT699" s="253" cm="1">
        <f t="array" ref="BT699">$BC699 * IF($AD699&lt;=2,
SUMPRODUCT(INDEX($AL$62:$AN$66,,$AE699), INDEX($AO$62:$AU$66,,$AD699), 1 / ($AV$62:$AV$66*BS699 + (1-$AV$62:$AV$66)*BO699), N($AK$62:$AK$66&gt;$AI699)),
SUMPRODUCT(INDEX($AL$47:$AN$56,,$AE699), INDEX($AO$47:$AU$56,,$AD699), 1 / ($AW$47:$AW$56*BS699 + (1-$AW$47:$AW$56)*BO699), N($AK$47:$AK$56&gt;$AI699))
) / 1000</f>
        <v>0</v>
      </c>
      <c r="BU699" s="253" cm="1">
        <f t="array" ref="BU699">$BC699 * IF($AD699&lt;=2,
SUMPRODUCT(INDEX($AL$23:$AN$61,,$AE699), INDEX($AO$23:$AU$61,,$AD699), 1 / ($AV$23:$AV$61*BS699), N($AK$23:$AK$61&gt;$AI699)),
SUMPRODUCT(INDEX($AL$23:$AN$46,,$AE699), INDEX($AO$23:$AU$46,,$AD699), 1 / ($AW$23:$AW$46*BS699), N($AK$23:$AK$46&gt;$AI699))
) / 1000</f>
        <v>0</v>
      </c>
      <c r="BV699" s="237">
        <f t="shared" ref="BV699:BV762" si="688">BH699+BL699+BP699+BT699+BU699</f>
        <v>0</v>
      </c>
      <c r="BW699" s="210"/>
      <c r="BX699" s="237">
        <f t="shared" ref="BX699:BX762" si="689">U699 /  IF(AD699&lt;=2, 0.7 + 0.3 * (T699-20)/(35-20), 0.4 + 0.6 * (T699-5)/(35-5))</f>
        <v>0</v>
      </c>
      <c r="BY699" s="236">
        <v>35</v>
      </c>
      <c r="BZ699" s="237">
        <f t="shared" ref="BZ699:BZ762" si="690">MAX($S699, MAX($AZ699, $BE699 + $BA699 + $BB699 + 0.35*$AH699*$BA699 + BX699))</f>
        <v>48</v>
      </c>
      <c r="CA699" s="253">
        <f t="shared" ref="CA699:CA762" si="691">0.45*($AY699+273.15)/(BZ699-$AY699)</f>
        <v>3.0748170731707316</v>
      </c>
      <c r="CB699" s="253" cm="1">
        <f t="array" ref="CB699">$BC699 * SUMPRODUCT(INDEX($AL$77:$AN$82,,$AE699),INDEX($AO$77:$AU$82,,$AD699), N($AK$77:$AK$82&gt;$AI699)) / CA699 / 1000</f>
        <v>0</v>
      </c>
      <c r="CC699" s="250">
        <f t="shared" si="671"/>
        <v>30</v>
      </c>
      <c r="CD699" s="237">
        <f t="shared" ref="CD699:CD762" si="692">MAX($S699, MAX($AZ699, CC699 + $BA699 + $BB699 + IF($AD699&lt;=2, (CC699-20)/(35-20), 0.6+0.4*(CC699-5)/(35-5))*0.35*$AH699*$BA699) + IF($AD699&lt;=2,0.9,0.8)*$BX699)</f>
        <v>43</v>
      </c>
      <c r="CE699" s="253">
        <f t="shared" ref="CE699:CE762" si="693">0.45*($AY699+273.15)/(CD699-$AY699)</f>
        <v>3.5018750000000001</v>
      </c>
      <c r="CF699" s="253" cm="1">
        <f t="array" ref="CF699">$BC699 * IF($AD699&lt;=2,
SUMPRODUCT(INDEX($AL$72:$AN$76,,$AE699), INDEX($AO$72:$AU$76,,$AD699), 1 / ($AV$72:$AV$76*CE699 + (1-$AV$72:$AV$76)*CA699), N($AK$72:$AK$76&gt;$AI699)),
SUMPRODUCT(INDEX($AL$67:$AN$76,,$AE699), INDEX($AO$67:$AU$76,,$AD699), 1 / ($AW$67:$AW$76*CE699 + (1-$AW$67:$AW$76)*CA699), N($AK$67:$AK$76&gt;$AI699))
) / 1000</f>
        <v>0</v>
      </c>
      <c r="CG699" s="250">
        <f t="shared" si="672"/>
        <v>25</v>
      </c>
      <c r="CH699" s="237">
        <f t="shared" ref="CH699:CH762" si="694">MAX($S699, MAX($AZ699, CG699 + $BA699 + $BB699 + IF($AD699&lt;=2, (CG699-20)/(35-20), 0.6+0.4*(CG699-5)/(35-5))*0.35*$AH699*$BA699) + IF($AD699&lt;=2,0.8,0.6)*$BX699)</f>
        <v>38</v>
      </c>
      <c r="CI699" s="253">
        <f t="shared" ref="CI699:CI762" si="695">0.45*($AY699+273.15)/(CH699-$AY699)</f>
        <v>4.0666935483870965</v>
      </c>
      <c r="CJ699" s="253" cm="1">
        <f t="array" ref="CJ699">$BC699 * IF($AD699&lt;=2,
SUMPRODUCT(INDEX($AL$67:$AN$71,,$AE699), INDEX($AO$67:$AU$71,,$AD699), 1 / ($AV$67:$AV$71*CI699 + (1-$AV$67:$AV$71)*CE699), N($AK$67:$AK$71&gt;$AI699)),
SUMPRODUCT(INDEX($AL$57:$AN$66,,$AE699), INDEX($AO$57:$AU$66,,$AD699), 1 / ($AW$57:$AW$66*CI699 + (1-$AW$57:$AW$66)*CE699), N($AK$57:$AK$66&gt;$AI699))
) / 1000</f>
        <v>0</v>
      </c>
      <c r="CK699" s="250">
        <f t="shared" si="673"/>
        <v>20</v>
      </c>
      <c r="CL699" s="237">
        <f t="shared" ref="CL699:CL762" si="696">MAX($S699, MAX($AZ699, CK699 + $BA699 + $BB699 + IF($AD699&lt;=2, (CK699-20)/(35-20), 0.6+0.4*(CK699-5)/(35-5))*0.35*$AH699*$BA699) + IF($AD699&lt;=2,0.7,0.4)*$BX699)</f>
        <v>33</v>
      </c>
      <c r="CM699" s="253">
        <f t="shared" ref="CM699:CM762" si="697">0.45*($AY699+273.15)/(CL699-$AY699)</f>
        <v>4.8487499999999999</v>
      </c>
      <c r="CN699" s="253" cm="1">
        <f t="array" ref="CN699">$BC699 * IF($AD699&lt;=2,
SUMPRODUCT(INDEX($AL$62:$AN$66,,$AE699), INDEX($AO$62:$AU$66,,$AD699), 1 / ($AV$62:$AV$66*CM699 + (1-$AV$62:$AV$66)*CI699), N($AK$62:$AK$66&gt;$AI699)),
SUMPRODUCT(INDEX($AL$47:$AN$56,,$AE699), INDEX($AO$47:$AU$56,,$AD699), 1 / ($AW$47:$AW$56*CM699 + (1-$AW$47:$AW$56)*CI699), N($AK$47:$AK$56&gt;$AI699))
) / 1000</f>
        <v>0</v>
      </c>
      <c r="CO699" s="253" cm="1">
        <f t="array" ref="CO699">$BC699 * IF($AD699&lt;=2,
SUMPRODUCT(INDEX($AL$23:$AN$61,,$AE699), INDEX($AO$23:$AU$61,,$AD699), 1 / ($AV$23:$AV$61*CM699), N($AK$23:$AK$61&gt;$AI699)),
SUMPRODUCT(INDEX($AL$23:$AN$46,,$AE699), INDEX($AO$23:$AU$46,,$AD699), 1 / ($AW$23:$AW$46*CM699), N($AK$23:$AK$46&gt;$AI699))
) / 1000</f>
        <v>0</v>
      </c>
      <c r="CP699" s="237">
        <f t="shared" ref="CP699:CP762" si="698">CB699+CF699+CJ699+CN699+CO699</f>
        <v>0</v>
      </c>
      <c r="CQ699" s="210"/>
    </row>
    <row r="700" spans="1:95" s="76" customFormat="1" ht="14.25" customHeight="1" x14ac:dyDescent="0.2">
      <c r="A700" s="238" t="b">
        <f t="shared" si="665"/>
        <v>0</v>
      </c>
      <c r="B700" s="239">
        <v>678</v>
      </c>
      <c r="C700" s="258"/>
      <c r="D700" s="258"/>
      <c r="E700" s="240"/>
      <c r="F700" s="241" t="str">
        <f>IF(ISBLANK(E700), "", VLOOKUP(E700, Z!$A$2:$C$4127, 3, FALSE))</f>
        <v/>
      </c>
      <c r="G700" s="242"/>
      <c r="H700" s="242"/>
      <c r="I700" s="243"/>
      <c r="J700" s="244"/>
      <c r="K700" s="259"/>
      <c r="L700" s="260"/>
      <c r="M700" s="247" t="str" cm="1">
        <f t="array" ref="M700">IF($K700&gt;0, INDEX(Clean,1+AG700,$C$1), "")</f>
        <v/>
      </c>
      <c r="N700" s="245"/>
      <c r="O700" s="245"/>
      <c r="P700" s="246"/>
      <c r="Q700" s="248">
        <f t="shared" si="675"/>
        <v>0</v>
      </c>
      <c r="R700" s="247" t="str" cm="1">
        <f t="array" ref="R700">IF($K700&gt;0, INDEX(Clean,1+AH700,$C$1), "")</f>
        <v/>
      </c>
      <c r="S700" s="245"/>
      <c r="T700" s="245"/>
      <c r="U700" s="246"/>
      <c r="V700" s="248">
        <f t="shared" si="676"/>
        <v>0</v>
      </c>
      <c r="W700" s="261"/>
      <c r="X700" s="258"/>
      <c r="Y700" s="240"/>
      <c r="Z700" s="241" t="str">
        <f>IF(ISBLANK(Y700), "", VLOOKUP(Y700, Z!$A$2:$C$4127, 3, FALSE))</f>
        <v/>
      </c>
      <c r="AA700" s="262"/>
      <c r="AB700" s="249">
        <f t="shared" si="674"/>
        <v>0</v>
      </c>
      <c r="AC700" s="210"/>
      <c r="AD700" s="236">
        <f t="shared" ref="AD700:AD763" si="699">IF(ISBLANK(H700), 1, IFERROR(MATCH(H700, INDEX(Use,,1), 0), IFERROR(MATCH(H700, INDEX(Use,,2), 0), MATCH(H700, INDEX(Use,,3), 0))))</f>
        <v>1</v>
      </c>
      <c r="AE700" s="236">
        <f t="shared" ref="AE700:AE763" si="700">IF(ISBLANK(G700), 1, IFERROR(MATCH(G700, INDEX(Loc,,1), 0), IFERROR(MATCH(G700, INDEX(Loc,,2), 0), MATCH(G700, INDEX(Loc,,3), 0))))</f>
        <v>1</v>
      </c>
      <c r="AF700" s="236">
        <f t="shared" ref="AF700:AF763" si="701">_xlfn.IFNA(IF(IFERROR(MATCH(I700, INDEX(Medium,,1), 0), IFERROR(MATCH(I700, INDEX(Medium,,2), 0), MATCH(I700, INDEX(Medium,,3), 0))) = 2, 1, 0), 0)</f>
        <v>0</v>
      </c>
      <c r="AG700" s="236">
        <v>1</v>
      </c>
      <c r="AH700" s="236">
        <v>0</v>
      </c>
      <c r="AI700" s="236">
        <f t="shared" si="677"/>
        <v>-100</v>
      </c>
      <c r="AJ700" s="210"/>
      <c r="AK700" s="254"/>
      <c r="AL700" s="254"/>
      <c r="AM700" s="255"/>
      <c r="AN700" s="255"/>
      <c r="AO700" s="255"/>
      <c r="AP700" s="255"/>
      <c r="AQ700" s="255"/>
      <c r="AR700" s="255"/>
      <c r="AS700" s="255"/>
      <c r="AT700" s="255"/>
      <c r="AU700" s="255"/>
      <c r="AV700" s="255"/>
      <c r="AW700" s="255"/>
      <c r="AX700" s="210"/>
      <c r="AY700" s="236" cm="1">
        <f t="array" ref="AY700">INDEX(Use, $AD700, 4)</f>
        <v>7</v>
      </c>
      <c r="AZ700" s="236">
        <f t="shared" si="678"/>
        <v>32</v>
      </c>
      <c r="BA700" s="236">
        <f t="shared" si="666"/>
        <v>13</v>
      </c>
      <c r="BB700" s="236">
        <f t="shared" si="667"/>
        <v>0</v>
      </c>
      <c r="BC700" s="252" cm="1">
        <f t="array" ref="BC700">K700/IF($L700&gt;0, INDEX($AO$23:$AU$77, $L700+20, $AD700), 1)</f>
        <v>0</v>
      </c>
      <c r="BD700" s="237">
        <f t="shared" si="679"/>
        <v>0</v>
      </c>
      <c r="BE700" s="236">
        <v>35</v>
      </c>
      <c r="BF700" s="237">
        <f t="shared" si="680"/>
        <v>52.55</v>
      </c>
      <c r="BG700" s="253">
        <f t="shared" si="681"/>
        <v>2.7676728869374316</v>
      </c>
      <c r="BH700" s="253" cm="1">
        <f t="array" ref="BH700">$BC700 * SUMPRODUCT(INDEX($AL$77:$AN$82,,$AE700),INDEX($AO$77:$AU$82,,$AD700), N($AK$77:$AK$82&gt;$AI700)) / BG700 / 1000</f>
        <v>0</v>
      </c>
      <c r="BI700" s="250">
        <f t="shared" si="668"/>
        <v>30</v>
      </c>
      <c r="BJ700" s="237">
        <f t="shared" si="682"/>
        <v>46.033333333333331</v>
      </c>
      <c r="BK700" s="253">
        <f t="shared" si="683"/>
        <v>3.2297395388556791</v>
      </c>
      <c r="BL700" s="253" cm="1">
        <f t="array" ref="BL700">$BC700 * IF($AD700&lt;=2,
SUMPRODUCT(INDEX($AL$72:$AN$76,,$AE700), INDEX($AO$72:$AU$76,,$AD700), 1 / ($AV$72:$AV$76*BK700 + (1-$AV$72:$AV$76)*BG700), N($AK$72:$AK$76&gt;$AI700)),
SUMPRODUCT(INDEX($AL$67:$AN$76,,$AE700), INDEX($AO$67:$AU$76,,$AD700), 1 / ($AW$67:$AW$76*BK700 + (1-$AW$67:$AW$76)*BG700), N($AK$67:$AK$76&gt;$AI700))
) / 1000</f>
        <v>0</v>
      </c>
      <c r="BM700" s="250">
        <f t="shared" si="669"/>
        <v>25</v>
      </c>
      <c r="BN700" s="237">
        <f t="shared" si="684"/>
        <v>39.516666666666666</v>
      </c>
      <c r="BO700" s="253">
        <f t="shared" si="685"/>
        <v>3.877011788826243</v>
      </c>
      <c r="BP700" s="253" cm="1">
        <f t="array" ref="BP700">$BC700 * IF($AD700&lt;=2,
SUMPRODUCT(INDEX($AL$67:$AN$71,,$AE700), INDEX($AO$67:$AU$71,,$AD700), 1 / ($AV$67:$AV$71*BO700 + (1-$AV$67:$AV$71)*BK700), N($AK$67:$AK$71&gt;$AI700)),
SUMPRODUCT(INDEX($AL$57:$AN$66,,$AE700), INDEX($AO$57:$AU$66,,$AD700), 1 / ($AW$57:$AW$66*BO700 + (1-$AW$57:$AW$66)*BK700), N($AK$57:$AK$66&gt;$AI700))
) / 1000</f>
        <v>0</v>
      </c>
      <c r="BQ700" s="250">
        <f t="shared" si="670"/>
        <v>20</v>
      </c>
      <c r="BR700" s="237">
        <f t="shared" si="686"/>
        <v>33</v>
      </c>
      <c r="BS700" s="253">
        <f t="shared" si="687"/>
        <v>4.8487499999999999</v>
      </c>
      <c r="BT700" s="253" cm="1">
        <f t="array" ref="BT700">$BC700 * IF($AD700&lt;=2,
SUMPRODUCT(INDEX($AL$62:$AN$66,,$AE700), INDEX($AO$62:$AU$66,,$AD700), 1 / ($AV$62:$AV$66*BS700 + (1-$AV$62:$AV$66)*BO700), N($AK$62:$AK$66&gt;$AI700)),
SUMPRODUCT(INDEX($AL$47:$AN$56,,$AE700), INDEX($AO$47:$AU$56,,$AD700), 1 / ($AW$47:$AW$56*BS700 + (1-$AW$47:$AW$56)*BO700), N($AK$47:$AK$56&gt;$AI700))
) / 1000</f>
        <v>0</v>
      </c>
      <c r="BU700" s="253" cm="1">
        <f t="array" ref="BU700">$BC700 * IF($AD700&lt;=2,
SUMPRODUCT(INDEX($AL$23:$AN$61,,$AE700), INDEX($AO$23:$AU$61,,$AD700), 1 / ($AV$23:$AV$61*BS700), N($AK$23:$AK$61&gt;$AI700)),
SUMPRODUCT(INDEX($AL$23:$AN$46,,$AE700), INDEX($AO$23:$AU$46,,$AD700), 1 / ($AW$23:$AW$46*BS700), N($AK$23:$AK$46&gt;$AI700))
) / 1000</f>
        <v>0</v>
      </c>
      <c r="BV700" s="237">
        <f t="shared" si="688"/>
        <v>0</v>
      </c>
      <c r="BW700" s="210"/>
      <c r="BX700" s="237">
        <f t="shared" si="689"/>
        <v>0</v>
      </c>
      <c r="BY700" s="236">
        <v>35</v>
      </c>
      <c r="BZ700" s="237">
        <f t="shared" si="690"/>
        <v>48</v>
      </c>
      <c r="CA700" s="253">
        <f t="shared" si="691"/>
        <v>3.0748170731707316</v>
      </c>
      <c r="CB700" s="253" cm="1">
        <f t="array" ref="CB700">$BC700 * SUMPRODUCT(INDEX($AL$77:$AN$82,,$AE700),INDEX($AO$77:$AU$82,,$AD700), N($AK$77:$AK$82&gt;$AI700)) / CA700 / 1000</f>
        <v>0</v>
      </c>
      <c r="CC700" s="250">
        <f t="shared" si="671"/>
        <v>30</v>
      </c>
      <c r="CD700" s="237">
        <f t="shared" si="692"/>
        <v>43</v>
      </c>
      <c r="CE700" s="253">
        <f t="shared" si="693"/>
        <v>3.5018750000000001</v>
      </c>
      <c r="CF700" s="253" cm="1">
        <f t="array" ref="CF700">$BC700 * IF($AD700&lt;=2,
SUMPRODUCT(INDEX($AL$72:$AN$76,,$AE700), INDEX($AO$72:$AU$76,,$AD700), 1 / ($AV$72:$AV$76*CE700 + (1-$AV$72:$AV$76)*CA700), N($AK$72:$AK$76&gt;$AI700)),
SUMPRODUCT(INDEX($AL$67:$AN$76,,$AE700), INDEX($AO$67:$AU$76,,$AD700), 1 / ($AW$67:$AW$76*CE700 + (1-$AW$67:$AW$76)*CA700), N($AK$67:$AK$76&gt;$AI700))
) / 1000</f>
        <v>0</v>
      </c>
      <c r="CG700" s="250">
        <f t="shared" si="672"/>
        <v>25</v>
      </c>
      <c r="CH700" s="237">
        <f t="shared" si="694"/>
        <v>38</v>
      </c>
      <c r="CI700" s="253">
        <f t="shared" si="695"/>
        <v>4.0666935483870965</v>
      </c>
      <c r="CJ700" s="253" cm="1">
        <f t="array" ref="CJ700">$BC700 * IF($AD700&lt;=2,
SUMPRODUCT(INDEX($AL$67:$AN$71,,$AE700), INDEX($AO$67:$AU$71,,$AD700), 1 / ($AV$67:$AV$71*CI700 + (1-$AV$67:$AV$71)*CE700), N($AK$67:$AK$71&gt;$AI700)),
SUMPRODUCT(INDEX($AL$57:$AN$66,,$AE700), INDEX($AO$57:$AU$66,,$AD700), 1 / ($AW$57:$AW$66*CI700 + (1-$AW$57:$AW$66)*CE700), N($AK$57:$AK$66&gt;$AI700))
) / 1000</f>
        <v>0</v>
      </c>
      <c r="CK700" s="250">
        <f t="shared" si="673"/>
        <v>20</v>
      </c>
      <c r="CL700" s="237">
        <f t="shared" si="696"/>
        <v>33</v>
      </c>
      <c r="CM700" s="253">
        <f t="shared" si="697"/>
        <v>4.8487499999999999</v>
      </c>
      <c r="CN700" s="253" cm="1">
        <f t="array" ref="CN700">$BC700 * IF($AD700&lt;=2,
SUMPRODUCT(INDEX($AL$62:$AN$66,,$AE700), INDEX($AO$62:$AU$66,,$AD700), 1 / ($AV$62:$AV$66*CM700 + (1-$AV$62:$AV$66)*CI700), N($AK$62:$AK$66&gt;$AI700)),
SUMPRODUCT(INDEX($AL$47:$AN$56,,$AE700), INDEX($AO$47:$AU$56,,$AD700), 1 / ($AW$47:$AW$56*CM700 + (1-$AW$47:$AW$56)*CI700), N($AK$47:$AK$56&gt;$AI700))
) / 1000</f>
        <v>0</v>
      </c>
      <c r="CO700" s="253" cm="1">
        <f t="array" ref="CO700">$BC700 * IF($AD700&lt;=2,
SUMPRODUCT(INDEX($AL$23:$AN$61,,$AE700), INDEX($AO$23:$AU$61,,$AD700), 1 / ($AV$23:$AV$61*CM700), N($AK$23:$AK$61&gt;$AI700)),
SUMPRODUCT(INDEX($AL$23:$AN$46,,$AE700), INDEX($AO$23:$AU$46,,$AD700), 1 / ($AW$23:$AW$46*CM700), N($AK$23:$AK$46&gt;$AI700))
) / 1000</f>
        <v>0</v>
      </c>
      <c r="CP700" s="237">
        <f t="shared" si="698"/>
        <v>0</v>
      </c>
      <c r="CQ700" s="210"/>
    </row>
    <row r="701" spans="1:95" s="76" customFormat="1" ht="14.25" customHeight="1" x14ac:dyDescent="0.2">
      <c r="A701" s="238" t="b">
        <f t="shared" si="665"/>
        <v>0</v>
      </c>
      <c r="B701" s="239">
        <v>679</v>
      </c>
      <c r="C701" s="258"/>
      <c r="D701" s="258"/>
      <c r="E701" s="240"/>
      <c r="F701" s="241" t="str">
        <f>IF(ISBLANK(E701), "", VLOOKUP(E701, Z!$A$2:$C$4127, 3, FALSE))</f>
        <v/>
      </c>
      <c r="G701" s="242"/>
      <c r="H701" s="242"/>
      <c r="I701" s="243"/>
      <c r="J701" s="244"/>
      <c r="K701" s="259"/>
      <c r="L701" s="260"/>
      <c r="M701" s="247" t="str" cm="1">
        <f t="array" ref="M701">IF($K701&gt;0, INDEX(Clean,1+AG701,$C$1), "")</f>
        <v/>
      </c>
      <c r="N701" s="245"/>
      <c r="O701" s="245"/>
      <c r="P701" s="246"/>
      <c r="Q701" s="248">
        <f t="shared" si="675"/>
        <v>0</v>
      </c>
      <c r="R701" s="247" t="str" cm="1">
        <f t="array" ref="R701">IF($K701&gt;0, INDEX(Clean,1+AH701,$C$1), "")</f>
        <v/>
      </c>
      <c r="S701" s="245"/>
      <c r="T701" s="245"/>
      <c r="U701" s="246"/>
      <c r="V701" s="248">
        <f t="shared" si="676"/>
        <v>0</v>
      </c>
      <c r="W701" s="261"/>
      <c r="X701" s="258"/>
      <c r="Y701" s="240"/>
      <c r="Z701" s="241" t="str">
        <f>IF(ISBLANK(Y701), "", VLOOKUP(Y701, Z!$A$2:$C$4127, 3, FALSE))</f>
        <v/>
      </c>
      <c r="AA701" s="262"/>
      <c r="AB701" s="249">
        <f t="shared" si="674"/>
        <v>0</v>
      </c>
      <c r="AC701" s="210"/>
      <c r="AD701" s="236">
        <f t="shared" si="699"/>
        <v>1</v>
      </c>
      <c r="AE701" s="236">
        <f t="shared" si="700"/>
        <v>1</v>
      </c>
      <c r="AF701" s="236">
        <f t="shared" si="701"/>
        <v>0</v>
      </c>
      <c r="AG701" s="236">
        <v>1</v>
      </c>
      <c r="AH701" s="236">
        <v>0</v>
      </c>
      <c r="AI701" s="236">
        <f t="shared" si="677"/>
        <v>-100</v>
      </c>
      <c r="AJ701" s="210"/>
      <c r="AK701" s="254"/>
      <c r="AL701" s="254"/>
      <c r="AM701" s="255"/>
      <c r="AN701" s="255"/>
      <c r="AO701" s="255"/>
      <c r="AP701" s="255"/>
      <c r="AQ701" s="255"/>
      <c r="AR701" s="255"/>
      <c r="AS701" s="255"/>
      <c r="AT701" s="255"/>
      <c r="AU701" s="255"/>
      <c r="AV701" s="255"/>
      <c r="AW701" s="255"/>
      <c r="AX701" s="210"/>
      <c r="AY701" s="236" cm="1">
        <f t="array" ref="AY701">INDEX(Use, $AD701, 4)</f>
        <v>7</v>
      </c>
      <c r="AZ701" s="236">
        <f t="shared" si="678"/>
        <v>32</v>
      </c>
      <c r="BA701" s="236">
        <f t="shared" si="666"/>
        <v>13</v>
      </c>
      <c r="BB701" s="236">
        <f t="shared" si="667"/>
        <v>0</v>
      </c>
      <c r="BC701" s="252" cm="1">
        <f t="array" ref="BC701">K701/IF($L701&gt;0, INDEX($AO$23:$AU$77, $L701+20, $AD701), 1)</f>
        <v>0</v>
      </c>
      <c r="BD701" s="237">
        <f t="shared" si="679"/>
        <v>0</v>
      </c>
      <c r="BE701" s="236">
        <v>35</v>
      </c>
      <c r="BF701" s="237">
        <f t="shared" si="680"/>
        <v>52.55</v>
      </c>
      <c r="BG701" s="253">
        <f t="shared" si="681"/>
        <v>2.7676728869374316</v>
      </c>
      <c r="BH701" s="253" cm="1">
        <f t="array" ref="BH701">$BC701 * SUMPRODUCT(INDEX($AL$77:$AN$82,,$AE701),INDEX($AO$77:$AU$82,,$AD701), N($AK$77:$AK$82&gt;$AI701)) / BG701 / 1000</f>
        <v>0</v>
      </c>
      <c r="BI701" s="250">
        <f t="shared" si="668"/>
        <v>30</v>
      </c>
      <c r="BJ701" s="237">
        <f t="shared" si="682"/>
        <v>46.033333333333331</v>
      </c>
      <c r="BK701" s="253">
        <f t="shared" si="683"/>
        <v>3.2297395388556791</v>
      </c>
      <c r="BL701" s="253" cm="1">
        <f t="array" ref="BL701">$BC701 * IF($AD701&lt;=2,
SUMPRODUCT(INDEX($AL$72:$AN$76,,$AE701), INDEX($AO$72:$AU$76,,$AD701), 1 / ($AV$72:$AV$76*BK701 + (1-$AV$72:$AV$76)*BG701), N($AK$72:$AK$76&gt;$AI701)),
SUMPRODUCT(INDEX($AL$67:$AN$76,,$AE701), INDEX($AO$67:$AU$76,,$AD701), 1 / ($AW$67:$AW$76*BK701 + (1-$AW$67:$AW$76)*BG701), N($AK$67:$AK$76&gt;$AI701))
) / 1000</f>
        <v>0</v>
      </c>
      <c r="BM701" s="250">
        <f t="shared" si="669"/>
        <v>25</v>
      </c>
      <c r="BN701" s="237">
        <f t="shared" si="684"/>
        <v>39.516666666666666</v>
      </c>
      <c r="BO701" s="253">
        <f t="shared" si="685"/>
        <v>3.877011788826243</v>
      </c>
      <c r="BP701" s="253" cm="1">
        <f t="array" ref="BP701">$BC701 * IF($AD701&lt;=2,
SUMPRODUCT(INDEX($AL$67:$AN$71,,$AE701), INDEX($AO$67:$AU$71,,$AD701), 1 / ($AV$67:$AV$71*BO701 + (1-$AV$67:$AV$71)*BK701), N($AK$67:$AK$71&gt;$AI701)),
SUMPRODUCT(INDEX($AL$57:$AN$66,,$AE701), INDEX($AO$57:$AU$66,,$AD701), 1 / ($AW$57:$AW$66*BO701 + (1-$AW$57:$AW$66)*BK701), N($AK$57:$AK$66&gt;$AI701))
) / 1000</f>
        <v>0</v>
      </c>
      <c r="BQ701" s="250">
        <f t="shared" si="670"/>
        <v>20</v>
      </c>
      <c r="BR701" s="237">
        <f t="shared" si="686"/>
        <v>33</v>
      </c>
      <c r="BS701" s="253">
        <f t="shared" si="687"/>
        <v>4.8487499999999999</v>
      </c>
      <c r="BT701" s="253" cm="1">
        <f t="array" ref="BT701">$BC701 * IF($AD701&lt;=2,
SUMPRODUCT(INDEX($AL$62:$AN$66,,$AE701), INDEX($AO$62:$AU$66,,$AD701), 1 / ($AV$62:$AV$66*BS701 + (1-$AV$62:$AV$66)*BO701), N($AK$62:$AK$66&gt;$AI701)),
SUMPRODUCT(INDEX($AL$47:$AN$56,,$AE701), INDEX($AO$47:$AU$56,,$AD701), 1 / ($AW$47:$AW$56*BS701 + (1-$AW$47:$AW$56)*BO701), N($AK$47:$AK$56&gt;$AI701))
) / 1000</f>
        <v>0</v>
      </c>
      <c r="BU701" s="253" cm="1">
        <f t="array" ref="BU701">$BC701 * IF($AD701&lt;=2,
SUMPRODUCT(INDEX($AL$23:$AN$61,,$AE701), INDEX($AO$23:$AU$61,,$AD701), 1 / ($AV$23:$AV$61*BS701), N($AK$23:$AK$61&gt;$AI701)),
SUMPRODUCT(INDEX($AL$23:$AN$46,,$AE701), INDEX($AO$23:$AU$46,,$AD701), 1 / ($AW$23:$AW$46*BS701), N($AK$23:$AK$46&gt;$AI701))
) / 1000</f>
        <v>0</v>
      </c>
      <c r="BV701" s="237">
        <f t="shared" si="688"/>
        <v>0</v>
      </c>
      <c r="BW701" s="210"/>
      <c r="BX701" s="237">
        <f t="shared" si="689"/>
        <v>0</v>
      </c>
      <c r="BY701" s="236">
        <v>35</v>
      </c>
      <c r="BZ701" s="237">
        <f t="shared" si="690"/>
        <v>48</v>
      </c>
      <c r="CA701" s="253">
        <f t="shared" si="691"/>
        <v>3.0748170731707316</v>
      </c>
      <c r="CB701" s="253" cm="1">
        <f t="array" ref="CB701">$BC701 * SUMPRODUCT(INDEX($AL$77:$AN$82,,$AE701),INDEX($AO$77:$AU$82,,$AD701), N($AK$77:$AK$82&gt;$AI701)) / CA701 / 1000</f>
        <v>0</v>
      </c>
      <c r="CC701" s="250">
        <f t="shared" si="671"/>
        <v>30</v>
      </c>
      <c r="CD701" s="237">
        <f t="shared" si="692"/>
        <v>43</v>
      </c>
      <c r="CE701" s="253">
        <f t="shared" si="693"/>
        <v>3.5018750000000001</v>
      </c>
      <c r="CF701" s="253" cm="1">
        <f t="array" ref="CF701">$BC701 * IF($AD701&lt;=2,
SUMPRODUCT(INDEX($AL$72:$AN$76,,$AE701), INDEX($AO$72:$AU$76,,$AD701), 1 / ($AV$72:$AV$76*CE701 + (1-$AV$72:$AV$76)*CA701), N($AK$72:$AK$76&gt;$AI701)),
SUMPRODUCT(INDEX($AL$67:$AN$76,,$AE701), INDEX($AO$67:$AU$76,,$AD701), 1 / ($AW$67:$AW$76*CE701 + (1-$AW$67:$AW$76)*CA701), N($AK$67:$AK$76&gt;$AI701))
) / 1000</f>
        <v>0</v>
      </c>
      <c r="CG701" s="250">
        <f t="shared" si="672"/>
        <v>25</v>
      </c>
      <c r="CH701" s="237">
        <f t="shared" si="694"/>
        <v>38</v>
      </c>
      <c r="CI701" s="253">
        <f t="shared" si="695"/>
        <v>4.0666935483870965</v>
      </c>
      <c r="CJ701" s="253" cm="1">
        <f t="array" ref="CJ701">$BC701 * IF($AD701&lt;=2,
SUMPRODUCT(INDEX($AL$67:$AN$71,,$AE701), INDEX($AO$67:$AU$71,,$AD701), 1 / ($AV$67:$AV$71*CI701 + (1-$AV$67:$AV$71)*CE701), N($AK$67:$AK$71&gt;$AI701)),
SUMPRODUCT(INDEX($AL$57:$AN$66,,$AE701), INDEX($AO$57:$AU$66,,$AD701), 1 / ($AW$57:$AW$66*CI701 + (1-$AW$57:$AW$66)*CE701), N($AK$57:$AK$66&gt;$AI701))
) / 1000</f>
        <v>0</v>
      </c>
      <c r="CK701" s="250">
        <f t="shared" si="673"/>
        <v>20</v>
      </c>
      <c r="CL701" s="237">
        <f t="shared" si="696"/>
        <v>33</v>
      </c>
      <c r="CM701" s="253">
        <f t="shared" si="697"/>
        <v>4.8487499999999999</v>
      </c>
      <c r="CN701" s="253" cm="1">
        <f t="array" ref="CN701">$BC701 * IF($AD701&lt;=2,
SUMPRODUCT(INDEX($AL$62:$AN$66,,$AE701), INDEX($AO$62:$AU$66,,$AD701), 1 / ($AV$62:$AV$66*CM701 + (1-$AV$62:$AV$66)*CI701), N($AK$62:$AK$66&gt;$AI701)),
SUMPRODUCT(INDEX($AL$47:$AN$56,,$AE701), INDEX($AO$47:$AU$56,,$AD701), 1 / ($AW$47:$AW$56*CM701 + (1-$AW$47:$AW$56)*CI701), N($AK$47:$AK$56&gt;$AI701))
) / 1000</f>
        <v>0</v>
      </c>
      <c r="CO701" s="253" cm="1">
        <f t="array" ref="CO701">$BC701 * IF($AD701&lt;=2,
SUMPRODUCT(INDEX($AL$23:$AN$61,,$AE701), INDEX($AO$23:$AU$61,,$AD701), 1 / ($AV$23:$AV$61*CM701), N($AK$23:$AK$61&gt;$AI701)),
SUMPRODUCT(INDEX($AL$23:$AN$46,,$AE701), INDEX($AO$23:$AU$46,,$AD701), 1 / ($AW$23:$AW$46*CM701), N($AK$23:$AK$46&gt;$AI701))
) / 1000</f>
        <v>0</v>
      </c>
      <c r="CP701" s="237">
        <f t="shared" si="698"/>
        <v>0</v>
      </c>
      <c r="CQ701" s="210"/>
    </row>
    <row r="702" spans="1:95" s="76" customFormat="1" ht="14.25" customHeight="1" x14ac:dyDescent="0.2">
      <c r="A702" s="238" t="b">
        <f t="shared" si="665"/>
        <v>0</v>
      </c>
      <c r="B702" s="239">
        <v>680</v>
      </c>
      <c r="C702" s="258"/>
      <c r="D702" s="258"/>
      <c r="E702" s="240"/>
      <c r="F702" s="241" t="str">
        <f>IF(ISBLANK(E702), "", VLOOKUP(E702, Z!$A$2:$C$4127, 3, FALSE))</f>
        <v/>
      </c>
      <c r="G702" s="242"/>
      <c r="H702" s="242"/>
      <c r="I702" s="243"/>
      <c r="J702" s="244"/>
      <c r="K702" s="259"/>
      <c r="L702" s="260"/>
      <c r="M702" s="247" t="str" cm="1">
        <f t="array" ref="M702">IF($K702&gt;0, INDEX(Clean,1+AG702,$C$1), "")</f>
        <v/>
      </c>
      <c r="N702" s="245"/>
      <c r="O702" s="245"/>
      <c r="P702" s="246"/>
      <c r="Q702" s="248">
        <f t="shared" si="675"/>
        <v>0</v>
      </c>
      <c r="R702" s="247" t="str" cm="1">
        <f t="array" ref="R702">IF($K702&gt;0, INDEX(Clean,1+AH702,$C$1), "")</f>
        <v/>
      </c>
      <c r="S702" s="245"/>
      <c r="T702" s="245"/>
      <c r="U702" s="246"/>
      <c r="V702" s="248">
        <f t="shared" si="676"/>
        <v>0</v>
      </c>
      <c r="W702" s="261"/>
      <c r="X702" s="258"/>
      <c r="Y702" s="240"/>
      <c r="Z702" s="241" t="str">
        <f>IF(ISBLANK(Y702), "", VLOOKUP(Y702, Z!$A$2:$C$4127, 3, FALSE))</f>
        <v/>
      </c>
      <c r="AA702" s="262"/>
      <c r="AB702" s="249">
        <f t="shared" si="674"/>
        <v>0</v>
      </c>
      <c r="AC702" s="210"/>
      <c r="AD702" s="236">
        <f t="shared" si="699"/>
        <v>1</v>
      </c>
      <c r="AE702" s="236">
        <f t="shared" si="700"/>
        <v>1</v>
      </c>
      <c r="AF702" s="236">
        <f t="shared" si="701"/>
        <v>0</v>
      </c>
      <c r="AG702" s="236">
        <v>1</v>
      </c>
      <c r="AH702" s="236">
        <v>0</v>
      </c>
      <c r="AI702" s="236">
        <f t="shared" si="677"/>
        <v>-100</v>
      </c>
      <c r="AJ702" s="210"/>
      <c r="AK702" s="254"/>
      <c r="AL702" s="254"/>
      <c r="AM702" s="255"/>
      <c r="AN702" s="255"/>
      <c r="AO702" s="255"/>
      <c r="AP702" s="255"/>
      <c r="AQ702" s="255"/>
      <c r="AR702" s="255"/>
      <c r="AS702" s="255"/>
      <c r="AT702" s="255"/>
      <c r="AU702" s="255"/>
      <c r="AV702" s="255"/>
      <c r="AW702" s="255"/>
      <c r="AX702" s="210"/>
      <c r="AY702" s="236" cm="1">
        <f t="array" ref="AY702">INDEX(Use, $AD702, 4)</f>
        <v>7</v>
      </c>
      <c r="AZ702" s="236">
        <f t="shared" si="678"/>
        <v>32</v>
      </c>
      <c r="BA702" s="236">
        <f t="shared" si="666"/>
        <v>13</v>
      </c>
      <c r="BB702" s="236">
        <f t="shared" si="667"/>
        <v>0</v>
      </c>
      <c r="BC702" s="252" cm="1">
        <f t="array" ref="BC702">K702/IF($L702&gt;0, INDEX($AO$23:$AU$77, $L702+20, $AD702), 1)</f>
        <v>0</v>
      </c>
      <c r="BD702" s="237">
        <f t="shared" si="679"/>
        <v>0</v>
      </c>
      <c r="BE702" s="236">
        <v>35</v>
      </c>
      <c r="BF702" s="237">
        <f t="shared" si="680"/>
        <v>52.55</v>
      </c>
      <c r="BG702" s="253">
        <f t="shared" si="681"/>
        <v>2.7676728869374316</v>
      </c>
      <c r="BH702" s="253" cm="1">
        <f t="array" ref="BH702">$BC702 * SUMPRODUCT(INDEX($AL$77:$AN$82,,$AE702),INDEX($AO$77:$AU$82,,$AD702), N($AK$77:$AK$82&gt;$AI702)) / BG702 / 1000</f>
        <v>0</v>
      </c>
      <c r="BI702" s="250">
        <f t="shared" si="668"/>
        <v>30</v>
      </c>
      <c r="BJ702" s="237">
        <f t="shared" si="682"/>
        <v>46.033333333333331</v>
      </c>
      <c r="BK702" s="253">
        <f t="shared" si="683"/>
        <v>3.2297395388556791</v>
      </c>
      <c r="BL702" s="253" cm="1">
        <f t="array" ref="BL702">$BC702 * IF($AD702&lt;=2,
SUMPRODUCT(INDEX($AL$72:$AN$76,,$AE702), INDEX($AO$72:$AU$76,,$AD702), 1 / ($AV$72:$AV$76*BK702 + (1-$AV$72:$AV$76)*BG702), N($AK$72:$AK$76&gt;$AI702)),
SUMPRODUCT(INDEX($AL$67:$AN$76,,$AE702), INDEX($AO$67:$AU$76,,$AD702), 1 / ($AW$67:$AW$76*BK702 + (1-$AW$67:$AW$76)*BG702), N($AK$67:$AK$76&gt;$AI702))
) / 1000</f>
        <v>0</v>
      </c>
      <c r="BM702" s="250">
        <f t="shared" si="669"/>
        <v>25</v>
      </c>
      <c r="BN702" s="237">
        <f t="shared" si="684"/>
        <v>39.516666666666666</v>
      </c>
      <c r="BO702" s="253">
        <f t="shared" si="685"/>
        <v>3.877011788826243</v>
      </c>
      <c r="BP702" s="253" cm="1">
        <f t="array" ref="BP702">$BC702 * IF($AD702&lt;=2,
SUMPRODUCT(INDEX($AL$67:$AN$71,,$AE702), INDEX($AO$67:$AU$71,,$AD702), 1 / ($AV$67:$AV$71*BO702 + (1-$AV$67:$AV$71)*BK702), N($AK$67:$AK$71&gt;$AI702)),
SUMPRODUCT(INDEX($AL$57:$AN$66,,$AE702), INDEX($AO$57:$AU$66,,$AD702), 1 / ($AW$57:$AW$66*BO702 + (1-$AW$57:$AW$66)*BK702), N($AK$57:$AK$66&gt;$AI702))
) / 1000</f>
        <v>0</v>
      </c>
      <c r="BQ702" s="250">
        <f t="shared" si="670"/>
        <v>20</v>
      </c>
      <c r="BR702" s="237">
        <f t="shared" si="686"/>
        <v>33</v>
      </c>
      <c r="BS702" s="253">
        <f t="shared" si="687"/>
        <v>4.8487499999999999</v>
      </c>
      <c r="BT702" s="253" cm="1">
        <f t="array" ref="BT702">$BC702 * IF($AD702&lt;=2,
SUMPRODUCT(INDEX($AL$62:$AN$66,,$AE702), INDEX($AO$62:$AU$66,,$AD702), 1 / ($AV$62:$AV$66*BS702 + (1-$AV$62:$AV$66)*BO702), N($AK$62:$AK$66&gt;$AI702)),
SUMPRODUCT(INDEX($AL$47:$AN$56,,$AE702), INDEX($AO$47:$AU$56,,$AD702), 1 / ($AW$47:$AW$56*BS702 + (1-$AW$47:$AW$56)*BO702), N($AK$47:$AK$56&gt;$AI702))
) / 1000</f>
        <v>0</v>
      </c>
      <c r="BU702" s="253" cm="1">
        <f t="array" ref="BU702">$BC702 * IF($AD702&lt;=2,
SUMPRODUCT(INDEX($AL$23:$AN$61,,$AE702), INDEX($AO$23:$AU$61,,$AD702), 1 / ($AV$23:$AV$61*BS702), N($AK$23:$AK$61&gt;$AI702)),
SUMPRODUCT(INDEX($AL$23:$AN$46,,$AE702), INDEX($AO$23:$AU$46,,$AD702), 1 / ($AW$23:$AW$46*BS702), N($AK$23:$AK$46&gt;$AI702))
) / 1000</f>
        <v>0</v>
      </c>
      <c r="BV702" s="237">
        <f t="shared" si="688"/>
        <v>0</v>
      </c>
      <c r="BW702" s="210"/>
      <c r="BX702" s="237">
        <f t="shared" si="689"/>
        <v>0</v>
      </c>
      <c r="BY702" s="236">
        <v>35</v>
      </c>
      <c r="BZ702" s="237">
        <f t="shared" si="690"/>
        <v>48</v>
      </c>
      <c r="CA702" s="253">
        <f t="shared" si="691"/>
        <v>3.0748170731707316</v>
      </c>
      <c r="CB702" s="253" cm="1">
        <f t="array" ref="CB702">$BC702 * SUMPRODUCT(INDEX($AL$77:$AN$82,,$AE702),INDEX($AO$77:$AU$82,,$AD702), N($AK$77:$AK$82&gt;$AI702)) / CA702 / 1000</f>
        <v>0</v>
      </c>
      <c r="CC702" s="250">
        <f t="shared" si="671"/>
        <v>30</v>
      </c>
      <c r="CD702" s="237">
        <f t="shared" si="692"/>
        <v>43</v>
      </c>
      <c r="CE702" s="253">
        <f t="shared" si="693"/>
        <v>3.5018750000000001</v>
      </c>
      <c r="CF702" s="253" cm="1">
        <f t="array" ref="CF702">$BC702 * IF($AD702&lt;=2,
SUMPRODUCT(INDEX($AL$72:$AN$76,,$AE702), INDEX($AO$72:$AU$76,,$AD702), 1 / ($AV$72:$AV$76*CE702 + (1-$AV$72:$AV$76)*CA702), N($AK$72:$AK$76&gt;$AI702)),
SUMPRODUCT(INDEX($AL$67:$AN$76,,$AE702), INDEX($AO$67:$AU$76,,$AD702), 1 / ($AW$67:$AW$76*CE702 + (1-$AW$67:$AW$76)*CA702), N($AK$67:$AK$76&gt;$AI702))
) / 1000</f>
        <v>0</v>
      </c>
      <c r="CG702" s="250">
        <f t="shared" si="672"/>
        <v>25</v>
      </c>
      <c r="CH702" s="237">
        <f t="shared" si="694"/>
        <v>38</v>
      </c>
      <c r="CI702" s="253">
        <f t="shared" si="695"/>
        <v>4.0666935483870965</v>
      </c>
      <c r="CJ702" s="253" cm="1">
        <f t="array" ref="CJ702">$BC702 * IF($AD702&lt;=2,
SUMPRODUCT(INDEX($AL$67:$AN$71,,$AE702), INDEX($AO$67:$AU$71,,$AD702), 1 / ($AV$67:$AV$71*CI702 + (1-$AV$67:$AV$71)*CE702), N($AK$67:$AK$71&gt;$AI702)),
SUMPRODUCT(INDEX($AL$57:$AN$66,,$AE702), INDEX($AO$57:$AU$66,,$AD702), 1 / ($AW$57:$AW$66*CI702 + (1-$AW$57:$AW$66)*CE702), N($AK$57:$AK$66&gt;$AI702))
) / 1000</f>
        <v>0</v>
      </c>
      <c r="CK702" s="250">
        <f t="shared" si="673"/>
        <v>20</v>
      </c>
      <c r="CL702" s="237">
        <f t="shared" si="696"/>
        <v>33</v>
      </c>
      <c r="CM702" s="253">
        <f t="shared" si="697"/>
        <v>4.8487499999999999</v>
      </c>
      <c r="CN702" s="253" cm="1">
        <f t="array" ref="CN702">$BC702 * IF($AD702&lt;=2,
SUMPRODUCT(INDEX($AL$62:$AN$66,,$AE702), INDEX($AO$62:$AU$66,,$AD702), 1 / ($AV$62:$AV$66*CM702 + (1-$AV$62:$AV$66)*CI702), N($AK$62:$AK$66&gt;$AI702)),
SUMPRODUCT(INDEX($AL$47:$AN$56,,$AE702), INDEX($AO$47:$AU$56,,$AD702), 1 / ($AW$47:$AW$56*CM702 + (1-$AW$47:$AW$56)*CI702), N($AK$47:$AK$56&gt;$AI702))
) / 1000</f>
        <v>0</v>
      </c>
      <c r="CO702" s="253" cm="1">
        <f t="array" ref="CO702">$BC702 * IF($AD702&lt;=2,
SUMPRODUCT(INDEX($AL$23:$AN$61,,$AE702), INDEX($AO$23:$AU$61,,$AD702), 1 / ($AV$23:$AV$61*CM702), N($AK$23:$AK$61&gt;$AI702)),
SUMPRODUCT(INDEX($AL$23:$AN$46,,$AE702), INDEX($AO$23:$AU$46,,$AD702), 1 / ($AW$23:$AW$46*CM702), N($AK$23:$AK$46&gt;$AI702))
) / 1000</f>
        <v>0</v>
      </c>
      <c r="CP702" s="237">
        <f t="shared" si="698"/>
        <v>0</v>
      </c>
      <c r="CQ702" s="210"/>
    </row>
    <row r="703" spans="1:95" s="76" customFormat="1" ht="14.25" customHeight="1" x14ac:dyDescent="0.2">
      <c r="A703" s="238" t="b">
        <f t="shared" si="665"/>
        <v>0</v>
      </c>
      <c r="B703" s="239">
        <v>681</v>
      </c>
      <c r="C703" s="258"/>
      <c r="D703" s="258"/>
      <c r="E703" s="240"/>
      <c r="F703" s="241" t="str">
        <f>IF(ISBLANK(E703), "", VLOOKUP(E703, Z!$A$2:$C$4127, 3, FALSE))</f>
        <v/>
      </c>
      <c r="G703" s="242"/>
      <c r="H703" s="242"/>
      <c r="I703" s="243"/>
      <c r="J703" s="244"/>
      <c r="K703" s="259"/>
      <c r="L703" s="260"/>
      <c r="M703" s="247" t="str" cm="1">
        <f t="array" ref="M703">IF($K703&gt;0, INDEX(Clean,1+AG703,$C$1), "")</f>
        <v/>
      </c>
      <c r="N703" s="245"/>
      <c r="O703" s="245"/>
      <c r="P703" s="246"/>
      <c r="Q703" s="248">
        <f t="shared" si="675"/>
        <v>0</v>
      </c>
      <c r="R703" s="247" t="str" cm="1">
        <f t="array" ref="R703">IF($K703&gt;0, INDEX(Clean,1+AH703,$C$1), "")</f>
        <v/>
      </c>
      <c r="S703" s="245"/>
      <c r="T703" s="245"/>
      <c r="U703" s="246"/>
      <c r="V703" s="248">
        <f t="shared" si="676"/>
        <v>0</v>
      </c>
      <c r="W703" s="261"/>
      <c r="X703" s="258"/>
      <c r="Y703" s="240"/>
      <c r="Z703" s="241" t="str">
        <f>IF(ISBLANK(Y703), "", VLOOKUP(Y703, Z!$A$2:$C$4127, 3, FALSE))</f>
        <v/>
      </c>
      <c r="AA703" s="262"/>
      <c r="AB703" s="249">
        <f t="shared" si="674"/>
        <v>0</v>
      </c>
      <c r="AC703" s="210"/>
      <c r="AD703" s="236">
        <f t="shared" si="699"/>
        <v>1</v>
      </c>
      <c r="AE703" s="236">
        <f t="shared" si="700"/>
        <v>1</v>
      </c>
      <c r="AF703" s="236">
        <f t="shared" si="701"/>
        <v>0</v>
      </c>
      <c r="AG703" s="236">
        <v>1</v>
      </c>
      <c r="AH703" s="236">
        <v>0</v>
      </c>
      <c r="AI703" s="236">
        <f t="shared" si="677"/>
        <v>-100</v>
      </c>
      <c r="AJ703" s="210"/>
      <c r="AK703" s="254"/>
      <c r="AL703" s="254"/>
      <c r="AM703" s="255"/>
      <c r="AN703" s="255"/>
      <c r="AO703" s="255"/>
      <c r="AP703" s="255"/>
      <c r="AQ703" s="255"/>
      <c r="AR703" s="255"/>
      <c r="AS703" s="255"/>
      <c r="AT703" s="255"/>
      <c r="AU703" s="255"/>
      <c r="AV703" s="255"/>
      <c r="AW703" s="255"/>
      <c r="AX703" s="210"/>
      <c r="AY703" s="236" cm="1">
        <f t="array" ref="AY703">INDEX(Use, $AD703, 4)</f>
        <v>7</v>
      </c>
      <c r="AZ703" s="236">
        <f t="shared" si="678"/>
        <v>32</v>
      </c>
      <c r="BA703" s="236">
        <f t="shared" si="666"/>
        <v>13</v>
      </c>
      <c r="BB703" s="236">
        <f t="shared" si="667"/>
        <v>0</v>
      </c>
      <c r="BC703" s="252" cm="1">
        <f t="array" ref="BC703">K703/IF($L703&gt;0, INDEX($AO$23:$AU$77, $L703+20, $AD703), 1)</f>
        <v>0</v>
      </c>
      <c r="BD703" s="237">
        <f t="shared" si="679"/>
        <v>0</v>
      </c>
      <c r="BE703" s="236">
        <v>35</v>
      </c>
      <c r="BF703" s="237">
        <f t="shared" si="680"/>
        <v>52.55</v>
      </c>
      <c r="BG703" s="253">
        <f t="shared" si="681"/>
        <v>2.7676728869374316</v>
      </c>
      <c r="BH703" s="253" cm="1">
        <f t="array" ref="BH703">$BC703 * SUMPRODUCT(INDEX($AL$77:$AN$82,,$AE703),INDEX($AO$77:$AU$82,,$AD703), N($AK$77:$AK$82&gt;$AI703)) / BG703 / 1000</f>
        <v>0</v>
      </c>
      <c r="BI703" s="250">
        <f t="shared" si="668"/>
        <v>30</v>
      </c>
      <c r="BJ703" s="237">
        <f t="shared" si="682"/>
        <v>46.033333333333331</v>
      </c>
      <c r="BK703" s="253">
        <f t="shared" si="683"/>
        <v>3.2297395388556791</v>
      </c>
      <c r="BL703" s="253" cm="1">
        <f t="array" ref="BL703">$BC703 * IF($AD703&lt;=2,
SUMPRODUCT(INDEX($AL$72:$AN$76,,$AE703), INDEX($AO$72:$AU$76,,$AD703), 1 / ($AV$72:$AV$76*BK703 + (1-$AV$72:$AV$76)*BG703), N($AK$72:$AK$76&gt;$AI703)),
SUMPRODUCT(INDEX($AL$67:$AN$76,,$AE703), INDEX($AO$67:$AU$76,,$AD703), 1 / ($AW$67:$AW$76*BK703 + (1-$AW$67:$AW$76)*BG703), N($AK$67:$AK$76&gt;$AI703))
) / 1000</f>
        <v>0</v>
      </c>
      <c r="BM703" s="250">
        <f t="shared" si="669"/>
        <v>25</v>
      </c>
      <c r="BN703" s="237">
        <f t="shared" si="684"/>
        <v>39.516666666666666</v>
      </c>
      <c r="BO703" s="253">
        <f t="shared" si="685"/>
        <v>3.877011788826243</v>
      </c>
      <c r="BP703" s="253" cm="1">
        <f t="array" ref="BP703">$BC703 * IF($AD703&lt;=2,
SUMPRODUCT(INDEX($AL$67:$AN$71,,$AE703), INDEX($AO$67:$AU$71,,$AD703), 1 / ($AV$67:$AV$71*BO703 + (1-$AV$67:$AV$71)*BK703), N($AK$67:$AK$71&gt;$AI703)),
SUMPRODUCT(INDEX($AL$57:$AN$66,,$AE703), INDEX($AO$57:$AU$66,,$AD703), 1 / ($AW$57:$AW$66*BO703 + (1-$AW$57:$AW$66)*BK703), N($AK$57:$AK$66&gt;$AI703))
) / 1000</f>
        <v>0</v>
      </c>
      <c r="BQ703" s="250">
        <f t="shared" si="670"/>
        <v>20</v>
      </c>
      <c r="BR703" s="237">
        <f t="shared" si="686"/>
        <v>33</v>
      </c>
      <c r="BS703" s="253">
        <f t="shared" si="687"/>
        <v>4.8487499999999999</v>
      </c>
      <c r="BT703" s="253" cm="1">
        <f t="array" ref="BT703">$BC703 * IF($AD703&lt;=2,
SUMPRODUCT(INDEX($AL$62:$AN$66,,$AE703), INDEX($AO$62:$AU$66,,$AD703), 1 / ($AV$62:$AV$66*BS703 + (1-$AV$62:$AV$66)*BO703), N($AK$62:$AK$66&gt;$AI703)),
SUMPRODUCT(INDEX($AL$47:$AN$56,,$AE703), INDEX($AO$47:$AU$56,,$AD703), 1 / ($AW$47:$AW$56*BS703 + (1-$AW$47:$AW$56)*BO703), N($AK$47:$AK$56&gt;$AI703))
) / 1000</f>
        <v>0</v>
      </c>
      <c r="BU703" s="253" cm="1">
        <f t="array" ref="BU703">$BC703 * IF($AD703&lt;=2,
SUMPRODUCT(INDEX($AL$23:$AN$61,,$AE703), INDEX($AO$23:$AU$61,,$AD703), 1 / ($AV$23:$AV$61*BS703), N($AK$23:$AK$61&gt;$AI703)),
SUMPRODUCT(INDEX($AL$23:$AN$46,,$AE703), INDEX($AO$23:$AU$46,,$AD703), 1 / ($AW$23:$AW$46*BS703), N($AK$23:$AK$46&gt;$AI703))
) / 1000</f>
        <v>0</v>
      </c>
      <c r="BV703" s="237">
        <f t="shared" si="688"/>
        <v>0</v>
      </c>
      <c r="BW703" s="210"/>
      <c r="BX703" s="237">
        <f t="shared" si="689"/>
        <v>0</v>
      </c>
      <c r="BY703" s="236">
        <v>35</v>
      </c>
      <c r="BZ703" s="237">
        <f t="shared" si="690"/>
        <v>48</v>
      </c>
      <c r="CA703" s="253">
        <f t="shared" si="691"/>
        <v>3.0748170731707316</v>
      </c>
      <c r="CB703" s="253" cm="1">
        <f t="array" ref="CB703">$BC703 * SUMPRODUCT(INDEX($AL$77:$AN$82,,$AE703),INDEX($AO$77:$AU$82,,$AD703), N($AK$77:$AK$82&gt;$AI703)) / CA703 / 1000</f>
        <v>0</v>
      </c>
      <c r="CC703" s="250">
        <f t="shared" si="671"/>
        <v>30</v>
      </c>
      <c r="CD703" s="237">
        <f t="shared" si="692"/>
        <v>43</v>
      </c>
      <c r="CE703" s="253">
        <f t="shared" si="693"/>
        <v>3.5018750000000001</v>
      </c>
      <c r="CF703" s="253" cm="1">
        <f t="array" ref="CF703">$BC703 * IF($AD703&lt;=2,
SUMPRODUCT(INDEX($AL$72:$AN$76,,$AE703), INDEX($AO$72:$AU$76,,$AD703), 1 / ($AV$72:$AV$76*CE703 + (1-$AV$72:$AV$76)*CA703), N($AK$72:$AK$76&gt;$AI703)),
SUMPRODUCT(INDEX($AL$67:$AN$76,,$AE703), INDEX($AO$67:$AU$76,,$AD703), 1 / ($AW$67:$AW$76*CE703 + (1-$AW$67:$AW$76)*CA703), N($AK$67:$AK$76&gt;$AI703))
) / 1000</f>
        <v>0</v>
      </c>
      <c r="CG703" s="250">
        <f t="shared" si="672"/>
        <v>25</v>
      </c>
      <c r="CH703" s="237">
        <f t="shared" si="694"/>
        <v>38</v>
      </c>
      <c r="CI703" s="253">
        <f t="shared" si="695"/>
        <v>4.0666935483870965</v>
      </c>
      <c r="CJ703" s="253" cm="1">
        <f t="array" ref="CJ703">$BC703 * IF($AD703&lt;=2,
SUMPRODUCT(INDEX($AL$67:$AN$71,,$AE703), INDEX($AO$67:$AU$71,,$AD703), 1 / ($AV$67:$AV$71*CI703 + (1-$AV$67:$AV$71)*CE703), N($AK$67:$AK$71&gt;$AI703)),
SUMPRODUCT(INDEX($AL$57:$AN$66,,$AE703), INDEX($AO$57:$AU$66,,$AD703), 1 / ($AW$57:$AW$66*CI703 + (1-$AW$57:$AW$66)*CE703), N($AK$57:$AK$66&gt;$AI703))
) / 1000</f>
        <v>0</v>
      </c>
      <c r="CK703" s="250">
        <f t="shared" si="673"/>
        <v>20</v>
      </c>
      <c r="CL703" s="237">
        <f t="shared" si="696"/>
        <v>33</v>
      </c>
      <c r="CM703" s="253">
        <f t="shared" si="697"/>
        <v>4.8487499999999999</v>
      </c>
      <c r="CN703" s="253" cm="1">
        <f t="array" ref="CN703">$BC703 * IF($AD703&lt;=2,
SUMPRODUCT(INDEX($AL$62:$AN$66,,$AE703), INDEX($AO$62:$AU$66,,$AD703), 1 / ($AV$62:$AV$66*CM703 + (1-$AV$62:$AV$66)*CI703), N($AK$62:$AK$66&gt;$AI703)),
SUMPRODUCT(INDEX($AL$47:$AN$56,,$AE703), INDEX($AO$47:$AU$56,,$AD703), 1 / ($AW$47:$AW$56*CM703 + (1-$AW$47:$AW$56)*CI703), N($AK$47:$AK$56&gt;$AI703))
) / 1000</f>
        <v>0</v>
      </c>
      <c r="CO703" s="253" cm="1">
        <f t="array" ref="CO703">$BC703 * IF($AD703&lt;=2,
SUMPRODUCT(INDEX($AL$23:$AN$61,,$AE703), INDEX($AO$23:$AU$61,,$AD703), 1 / ($AV$23:$AV$61*CM703), N($AK$23:$AK$61&gt;$AI703)),
SUMPRODUCT(INDEX($AL$23:$AN$46,,$AE703), INDEX($AO$23:$AU$46,,$AD703), 1 / ($AW$23:$AW$46*CM703), N($AK$23:$AK$46&gt;$AI703))
) / 1000</f>
        <v>0</v>
      </c>
      <c r="CP703" s="237">
        <f t="shared" si="698"/>
        <v>0</v>
      </c>
      <c r="CQ703" s="210"/>
    </row>
    <row r="704" spans="1:95" s="76" customFormat="1" ht="14.25" customHeight="1" x14ac:dyDescent="0.2">
      <c r="A704" s="238" t="b">
        <f t="shared" si="665"/>
        <v>0</v>
      </c>
      <c r="B704" s="239">
        <v>682</v>
      </c>
      <c r="C704" s="258"/>
      <c r="D704" s="258"/>
      <c r="E704" s="240"/>
      <c r="F704" s="241" t="str">
        <f>IF(ISBLANK(E704), "", VLOOKUP(E704, Z!$A$2:$C$4127, 3, FALSE))</f>
        <v/>
      </c>
      <c r="G704" s="242"/>
      <c r="H704" s="242"/>
      <c r="I704" s="243"/>
      <c r="J704" s="244"/>
      <c r="K704" s="259"/>
      <c r="L704" s="260"/>
      <c r="M704" s="247" t="str" cm="1">
        <f t="array" ref="M704">IF($K704&gt;0, INDEX(Clean,1+AG704,$C$1), "")</f>
        <v/>
      </c>
      <c r="N704" s="245"/>
      <c r="O704" s="245"/>
      <c r="P704" s="246"/>
      <c r="Q704" s="248">
        <f t="shared" si="675"/>
        <v>0</v>
      </c>
      <c r="R704" s="247" t="str" cm="1">
        <f t="array" ref="R704">IF($K704&gt;0, INDEX(Clean,1+AH704,$C$1), "")</f>
        <v/>
      </c>
      <c r="S704" s="245"/>
      <c r="T704" s="245"/>
      <c r="U704" s="246"/>
      <c r="V704" s="248">
        <f t="shared" si="676"/>
        <v>0</v>
      </c>
      <c r="W704" s="261"/>
      <c r="X704" s="258"/>
      <c r="Y704" s="240"/>
      <c r="Z704" s="241" t="str">
        <f>IF(ISBLANK(Y704), "", VLOOKUP(Y704, Z!$A$2:$C$4127, 3, FALSE))</f>
        <v/>
      </c>
      <c r="AA704" s="262"/>
      <c r="AB704" s="249">
        <f t="shared" si="674"/>
        <v>0</v>
      </c>
      <c r="AC704" s="210"/>
      <c r="AD704" s="236">
        <f t="shared" si="699"/>
        <v>1</v>
      </c>
      <c r="AE704" s="236">
        <f t="shared" si="700"/>
        <v>1</v>
      </c>
      <c r="AF704" s="236">
        <f t="shared" si="701"/>
        <v>0</v>
      </c>
      <c r="AG704" s="236">
        <v>1</v>
      </c>
      <c r="AH704" s="236">
        <v>0</v>
      </c>
      <c r="AI704" s="236">
        <f t="shared" si="677"/>
        <v>-100</v>
      </c>
      <c r="AJ704" s="210"/>
      <c r="AK704" s="254"/>
      <c r="AL704" s="254"/>
      <c r="AM704" s="255"/>
      <c r="AN704" s="255"/>
      <c r="AO704" s="255"/>
      <c r="AP704" s="255"/>
      <c r="AQ704" s="255"/>
      <c r="AR704" s="255"/>
      <c r="AS704" s="255"/>
      <c r="AT704" s="255"/>
      <c r="AU704" s="255"/>
      <c r="AV704" s="255"/>
      <c r="AW704" s="255"/>
      <c r="AX704" s="210"/>
      <c r="AY704" s="236" cm="1">
        <f t="array" ref="AY704">INDEX(Use, $AD704, 4)</f>
        <v>7</v>
      </c>
      <c r="AZ704" s="236">
        <f t="shared" si="678"/>
        <v>32</v>
      </c>
      <c r="BA704" s="236">
        <f t="shared" si="666"/>
        <v>13</v>
      </c>
      <c r="BB704" s="236">
        <f t="shared" si="667"/>
        <v>0</v>
      </c>
      <c r="BC704" s="252" cm="1">
        <f t="array" ref="BC704">K704/IF($L704&gt;0, INDEX($AO$23:$AU$77, $L704+20, $AD704), 1)</f>
        <v>0</v>
      </c>
      <c r="BD704" s="237">
        <f t="shared" si="679"/>
        <v>0</v>
      </c>
      <c r="BE704" s="236">
        <v>35</v>
      </c>
      <c r="BF704" s="237">
        <f t="shared" si="680"/>
        <v>52.55</v>
      </c>
      <c r="BG704" s="253">
        <f t="shared" si="681"/>
        <v>2.7676728869374316</v>
      </c>
      <c r="BH704" s="253" cm="1">
        <f t="array" ref="BH704">$BC704 * SUMPRODUCT(INDEX($AL$77:$AN$82,,$AE704),INDEX($AO$77:$AU$82,,$AD704), N($AK$77:$AK$82&gt;$AI704)) / BG704 / 1000</f>
        <v>0</v>
      </c>
      <c r="BI704" s="250">
        <f t="shared" si="668"/>
        <v>30</v>
      </c>
      <c r="BJ704" s="237">
        <f t="shared" si="682"/>
        <v>46.033333333333331</v>
      </c>
      <c r="BK704" s="253">
        <f t="shared" si="683"/>
        <v>3.2297395388556791</v>
      </c>
      <c r="BL704" s="253" cm="1">
        <f t="array" ref="BL704">$BC704 * IF($AD704&lt;=2,
SUMPRODUCT(INDEX($AL$72:$AN$76,,$AE704), INDEX($AO$72:$AU$76,,$AD704), 1 / ($AV$72:$AV$76*BK704 + (1-$AV$72:$AV$76)*BG704), N($AK$72:$AK$76&gt;$AI704)),
SUMPRODUCT(INDEX($AL$67:$AN$76,,$AE704), INDEX($AO$67:$AU$76,,$AD704), 1 / ($AW$67:$AW$76*BK704 + (1-$AW$67:$AW$76)*BG704), N($AK$67:$AK$76&gt;$AI704))
) / 1000</f>
        <v>0</v>
      </c>
      <c r="BM704" s="250">
        <f t="shared" si="669"/>
        <v>25</v>
      </c>
      <c r="BN704" s="237">
        <f t="shared" si="684"/>
        <v>39.516666666666666</v>
      </c>
      <c r="BO704" s="253">
        <f t="shared" si="685"/>
        <v>3.877011788826243</v>
      </c>
      <c r="BP704" s="253" cm="1">
        <f t="array" ref="BP704">$BC704 * IF($AD704&lt;=2,
SUMPRODUCT(INDEX($AL$67:$AN$71,,$AE704), INDEX($AO$67:$AU$71,,$AD704), 1 / ($AV$67:$AV$71*BO704 + (1-$AV$67:$AV$71)*BK704), N($AK$67:$AK$71&gt;$AI704)),
SUMPRODUCT(INDEX($AL$57:$AN$66,,$AE704), INDEX($AO$57:$AU$66,,$AD704), 1 / ($AW$57:$AW$66*BO704 + (1-$AW$57:$AW$66)*BK704), N($AK$57:$AK$66&gt;$AI704))
) / 1000</f>
        <v>0</v>
      </c>
      <c r="BQ704" s="250">
        <f t="shared" si="670"/>
        <v>20</v>
      </c>
      <c r="BR704" s="237">
        <f t="shared" si="686"/>
        <v>33</v>
      </c>
      <c r="BS704" s="253">
        <f t="shared" si="687"/>
        <v>4.8487499999999999</v>
      </c>
      <c r="BT704" s="253" cm="1">
        <f t="array" ref="BT704">$BC704 * IF($AD704&lt;=2,
SUMPRODUCT(INDEX($AL$62:$AN$66,,$AE704), INDEX($AO$62:$AU$66,,$AD704), 1 / ($AV$62:$AV$66*BS704 + (1-$AV$62:$AV$66)*BO704), N($AK$62:$AK$66&gt;$AI704)),
SUMPRODUCT(INDEX($AL$47:$AN$56,,$AE704), INDEX($AO$47:$AU$56,,$AD704), 1 / ($AW$47:$AW$56*BS704 + (1-$AW$47:$AW$56)*BO704), N($AK$47:$AK$56&gt;$AI704))
) / 1000</f>
        <v>0</v>
      </c>
      <c r="BU704" s="253" cm="1">
        <f t="array" ref="BU704">$BC704 * IF($AD704&lt;=2,
SUMPRODUCT(INDEX($AL$23:$AN$61,,$AE704), INDEX($AO$23:$AU$61,,$AD704), 1 / ($AV$23:$AV$61*BS704), N($AK$23:$AK$61&gt;$AI704)),
SUMPRODUCT(INDEX($AL$23:$AN$46,,$AE704), INDEX($AO$23:$AU$46,,$AD704), 1 / ($AW$23:$AW$46*BS704), N($AK$23:$AK$46&gt;$AI704))
) / 1000</f>
        <v>0</v>
      </c>
      <c r="BV704" s="237">
        <f t="shared" si="688"/>
        <v>0</v>
      </c>
      <c r="BW704" s="210"/>
      <c r="BX704" s="237">
        <f t="shared" si="689"/>
        <v>0</v>
      </c>
      <c r="BY704" s="236">
        <v>35</v>
      </c>
      <c r="BZ704" s="237">
        <f t="shared" si="690"/>
        <v>48</v>
      </c>
      <c r="CA704" s="253">
        <f t="shared" si="691"/>
        <v>3.0748170731707316</v>
      </c>
      <c r="CB704" s="253" cm="1">
        <f t="array" ref="CB704">$BC704 * SUMPRODUCT(INDEX($AL$77:$AN$82,,$AE704),INDEX($AO$77:$AU$82,,$AD704), N($AK$77:$AK$82&gt;$AI704)) / CA704 / 1000</f>
        <v>0</v>
      </c>
      <c r="CC704" s="250">
        <f t="shared" si="671"/>
        <v>30</v>
      </c>
      <c r="CD704" s="237">
        <f t="shared" si="692"/>
        <v>43</v>
      </c>
      <c r="CE704" s="253">
        <f t="shared" si="693"/>
        <v>3.5018750000000001</v>
      </c>
      <c r="CF704" s="253" cm="1">
        <f t="array" ref="CF704">$BC704 * IF($AD704&lt;=2,
SUMPRODUCT(INDEX($AL$72:$AN$76,,$AE704), INDEX($AO$72:$AU$76,,$AD704), 1 / ($AV$72:$AV$76*CE704 + (1-$AV$72:$AV$76)*CA704), N($AK$72:$AK$76&gt;$AI704)),
SUMPRODUCT(INDEX($AL$67:$AN$76,,$AE704), INDEX($AO$67:$AU$76,,$AD704), 1 / ($AW$67:$AW$76*CE704 + (1-$AW$67:$AW$76)*CA704), N($AK$67:$AK$76&gt;$AI704))
) / 1000</f>
        <v>0</v>
      </c>
      <c r="CG704" s="250">
        <f t="shared" si="672"/>
        <v>25</v>
      </c>
      <c r="CH704" s="237">
        <f t="shared" si="694"/>
        <v>38</v>
      </c>
      <c r="CI704" s="253">
        <f t="shared" si="695"/>
        <v>4.0666935483870965</v>
      </c>
      <c r="CJ704" s="253" cm="1">
        <f t="array" ref="CJ704">$BC704 * IF($AD704&lt;=2,
SUMPRODUCT(INDEX($AL$67:$AN$71,,$AE704), INDEX($AO$67:$AU$71,,$AD704), 1 / ($AV$67:$AV$71*CI704 + (1-$AV$67:$AV$71)*CE704), N($AK$67:$AK$71&gt;$AI704)),
SUMPRODUCT(INDEX($AL$57:$AN$66,,$AE704), INDEX($AO$57:$AU$66,,$AD704), 1 / ($AW$57:$AW$66*CI704 + (1-$AW$57:$AW$66)*CE704), N($AK$57:$AK$66&gt;$AI704))
) / 1000</f>
        <v>0</v>
      </c>
      <c r="CK704" s="250">
        <f t="shared" si="673"/>
        <v>20</v>
      </c>
      <c r="CL704" s="237">
        <f t="shared" si="696"/>
        <v>33</v>
      </c>
      <c r="CM704" s="253">
        <f t="shared" si="697"/>
        <v>4.8487499999999999</v>
      </c>
      <c r="CN704" s="253" cm="1">
        <f t="array" ref="CN704">$BC704 * IF($AD704&lt;=2,
SUMPRODUCT(INDEX($AL$62:$AN$66,,$AE704), INDEX($AO$62:$AU$66,,$AD704), 1 / ($AV$62:$AV$66*CM704 + (1-$AV$62:$AV$66)*CI704), N($AK$62:$AK$66&gt;$AI704)),
SUMPRODUCT(INDEX($AL$47:$AN$56,,$AE704), INDEX($AO$47:$AU$56,,$AD704), 1 / ($AW$47:$AW$56*CM704 + (1-$AW$47:$AW$56)*CI704), N($AK$47:$AK$56&gt;$AI704))
) / 1000</f>
        <v>0</v>
      </c>
      <c r="CO704" s="253" cm="1">
        <f t="array" ref="CO704">$BC704 * IF($AD704&lt;=2,
SUMPRODUCT(INDEX($AL$23:$AN$61,,$AE704), INDEX($AO$23:$AU$61,,$AD704), 1 / ($AV$23:$AV$61*CM704), N($AK$23:$AK$61&gt;$AI704)),
SUMPRODUCT(INDEX($AL$23:$AN$46,,$AE704), INDEX($AO$23:$AU$46,,$AD704), 1 / ($AW$23:$AW$46*CM704), N($AK$23:$AK$46&gt;$AI704))
) / 1000</f>
        <v>0</v>
      </c>
      <c r="CP704" s="237">
        <f t="shared" si="698"/>
        <v>0</v>
      </c>
      <c r="CQ704" s="210"/>
    </row>
    <row r="705" spans="1:95" s="76" customFormat="1" ht="14.25" customHeight="1" x14ac:dyDescent="0.2">
      <c r="A705" s="238" t="b">
        <f t="shared" si="665"/>
        <v>0</v>
      </c>
      <c r="B705" s="239">
        <v>683</v>
      </c>
      <c r="C705" s="258"/>
      <c r="D705" s="258"/>
      <c r="E705" s="240"/>
      <c r="F705" s="241" t="str">
        <f>IF(ISBLANK(E705), "", VLOOKUP(E705, Z!$A$2:$C$4127, 3, FALSE))</f>
        <v/>
      </c>
      <c r="G705" s="242"/>
      <c r="H705" s="242"/>
      <c r="I705" s="243"/>
      <c r="J705" s="244"/>
      <c r="K705" s="259"/>
      <c r="L705" s="260"/>
      <c r="M705" s="247" t="str" cm="1">
        <f t="array" ref="M705">IF($K705&gt;0, INDEX(Clean,1+AG705,$C$1), "")</f>
        <v/>
      </c>
      <c r="N705" s="245"/>
      <c r="O705" s="245"/>
      <c r="P705" s="246"/>
      <c r="Q705" s="248">
        <f t="shared" si="675"/>
        <v>0</v>
      </c>
      <c r="R705" s="247" t="str" cm="1">
        <f t="array" ref="R705">IF($K705&gt;0, INDEX(Clean,1+AH705,$C$1), "")</f>
        <v/>
      </c>
      <c r="S705" s="245"/>
      <c r="T705" s="245"/>
      <c r="U705" s="246"/>
      <c r="V705" s="248">
        <f t="shared" si="676"/>
        <v>0</v>
      </c>
      <c r="W705" s="261"/>
      <c r="X705" s="258"/>
      <c r="Y705" s="240"/>
      <c r="Z705" s="241" t="str">
        <f>IF(ISBLANK(Y705), "", VLOOKUP(Y705, Z!$A$2:$C$4127, 3, FALSE))</f>
        <v/>
      </c>
      <c r="AA705" s="262"/>
      <c r="AB705" s="249">
        <f t="shared" si="674"/>
        <v>0</v>
      </c>
      <c r="AC705" s="210"/>
      <c r="AD705" s="236">
        <f t="shared" si="699"/>
        <v>1</v>
      </c>
      <c r="AE705" s="236">
        <f t="shared" si="700"/>
        <v>1</v>
      </c>
      <c r="AF705" s="236">
        <f t="shared" si="701"/>
        <v>0</v>
      </c>
      <c r="AG705" s="236">
        <v>1</v>
      </c>
      <c r="AH705" s="236">
        <v>0</v>
      </c>
      <c r="AI705" s="236">
        <f t="shared" si="677"/>
        <v>-100</v>
      </c>
      <c r="AJ705" s="210"/>
      <c r="AK705" s="254"/>
      <c r="AL705" s="254"/>
      <c r="AM705" s="255"/>
      <c r="AN705" s="255"/>
      <c r="AO705" s="255"/>
      <c r="AP705" s="255"/>
      <c r="AQ705" s="255"/>
      <c r="AR705" s="255"/>
      <c r="AS705" s="255"/>
      <c r="AT705" s="255"/>
      <c r="AU705" s="255"/>
      <c r="AV705" s="255"/>
      <c r="AW705" s="255"/>
      <c r="AX705" s="210"/>
      <c r="AY705" s="236" cm="1">
        <f t="array" ref="AY705">INDEX(Use, $AD705, 4)</f>
        <v>7</v>
      </c>
      <c r="AZ705" s="236">
        <f t="shared" si="678"/>
        <v>32</v>
      </c>
      <c r="BA705" s="236">
        <f t="shared" si="666"/>
        <v>13</v>
      </c>
      <c r="BB705" s="236">
        <f t="shared" si="667"/>
        <v>0</v>
      </c>
      <c r="BC705" s="252" cm="1">
        <f t="array" ref="BC705">K705/IF($L705&gt;0, INDEX($AO$23:$AU$77, $L705+20, $AD705), 1)</f>
        <v>0</v>
      </c>
      <c r="BD705" s="237">
        <f t="shared" si="679"/>
        <v>0</v>
      </c>
      <c r="BE705" s="236">
        <v>35</v>
      </c>
      <c r="BF705" s="237">
        <f t="shared" si="680"/>
        <v>52.55</v>
      </c>
      <c r="BG705" s="253">
        <f t="shared" si="681"/>
        <v>2.7676728869374316</v>
      </c>
      <c r="BH705" s="253" cm="1">
        <f t="array" ref="BH705">$BC705 * SUMPRODUCT(INDEX($AL$77:$AN$82,,$AE705),INDEX($AO$77:$AU$82,,$AD705), N($AK$77:$AK$82&gt;$AI705)) / BG705 / 1000</f>
        <v>0</v>
      </c>
      <c r="BI705" s="250">
        <f t="shared" si="668"/>
        <v>30</v>
      </c>
      <c r="BJ705" s="237">
        <f t="shared" si="682"/>
        <v>46.033333333333331</v>
      </c>
      <c r="BK705" s="253">
        <f t="shared" si="683"/>
        <v>3.2297395388556791</v>
      </c>
      <c r="BL705" s="253" cm="1">
        <f t="array" ref="BL705">$BC705 * IF($AD705&lt;=2,
SUMPRODUCT(INDEX($AL$72:$AN$76,,$AE705), INDEX($AO$72:$AU$76,,$AD705), 1 / ($AV$72:$AV$76*BK705 + (1-$AV$72:$AV$76)*BG705), N($AK$72:$AK$76&gt;$AI705)),
SUMPRODUCT(INDEX($AL$67:$AN$76,,$AE705), INDEX($AO$67:$AU$76,,$AD705), 1 / ($AW$67:$AW$76*BK705 + (1-$AW$67:$AW$76)*BG705), N($AK$67:$AK$76&gt;$AI705))
) / 1000</f>
        <v>0</v>
      </c>
      <c r="BM705" s="250">
        <f t="shared" si="669"/>
        <v>25</v>
      </c>
      <c r="BN705" s="237">
        <f t="shared" si="684"/>
        <v>39.516666666666666</v>
      </c>
      <c r="BO705" s="253">
        <f t="shared" si="685"/>
        <v>3.877011788826243</v>
      </c>
      <c r="BP705" s="253" cm="1">
        <f t="array" ref="BP705">$BC705 * IF($AD705&lt;=2,
SUMPRODUCT(INDEX($AL$67:$AN$71,,$AE705), INDEX($AO$67:$AU$71,,$AD705), 1 / ($AV$67:$AV$71*BO705 + (1-$AV$67:$AV$71)*BK705), N($AK$67:$AK$71&gt;$AI705)),
SUMPRODUCT(INDEX($AL$57:$AN$66,,$AE705), INDEX($AO$57:$AU$66,,$AD705), 1 / ($AW$57:$AW$66*BO705 + (1-$AW$57:$AW$66)*BK705), N($AK$57:$AK$66&gt;$AI705))
) / 1000</f>
        <v>0</v>
      </c>
      <c r="BQ705" s="250">
        <f t="shared" si="670"/>
        <v>20</v>
      </c>
      <c r="BR705" s="237">
        <f t="shared" si="686"/>
        <v>33</v>
      </c>
      <c r="BS705" s="253">
        <f t="shared" si="687"/>
        <v>4.8487499999999999</v>
      </c>
      <c r="BT705" s="253" cm="1">
        <f t="array" ref="BT705">$BC705 * IF($AD705&lt;=2,
SUMPRODUCT(INDEX($AL$62:$AN$66,,$AE705), INDEX($AO$62:$AU$66,,$AD705), 1 / ($AV$62:$AV$66*BS705 + (1-$AV$62:$AV$66)*BO705), N($AK$62:$AK$66&gt;$AI705)),
SUMPRODUCT(INDEX($AL$47:$AN$56,,$AE705), INDEX($AO$47:$AU$56,,$AD705), 1 / ($AW$47:$AW$56*BS705 + (1-$AW$47:$AW$56)*BO705), N($AK$47:$AK$56&gt;$AI705))
) / 1000</f>
        <v>0</v>
      </c>
      <c r="BU705" s="253" cm="1">
        <f t="array" ref="BU705">$BC705 * IF($AD705&lt;=2,
SUMPRODUCT(INDEX($AL$23:$AN$61,,$AE705), INDEX($AO$23:$AU$61,,$AD705), 1 / ($AV$23:$AV$61*BS705), N($AK$23:$AK$61&gt;$AI705)),
SUMPRODUCT(INDEX($AL$23:$AN$46,,$AE705), INDEX($AO$23:$AU$46,,$AD705), 1 / ($AW$23:$AW$46*BS705), N($AK$23:$AK$46&gt;$AI705))
) / 1000</f>
        <v>0</v>
      </c>
      <c r="BV705" s="237">
        <f t="shared" si="688"/>
        <v>0</v>
      </c>
      <c r="BW705" s="210"/>
      <c r="BX705" s="237">
        <f t="shared" si="689"/>
        <v>0</v>
      </c>
      <c r="BY705" s="236">
        <v>35</v>
      </c>
      <c r="BZ705" s="237">
        <f t="shared" si="690"/>
        <v>48</v>
      </c>
      <c r="CA705" s="253">
        <f t="shared" si="691"/>
        <v>3.0748170731707316</v>
      </c>
      <c r="CB705" s="253" cm="1">
        <f t="array" ref="CB705">$BC705 * SUMPRODUCT(INDEX($AL$77:$AN$82,,$AE705),INDEX($AO$77:$AU$82,,$AD705), N($AK$77:$AK$82&gt;$AI705)) / CA705 / 1000</f>
        <v>0</v>
      </c>
      <c r="CC705" s="250">
        <f t="shared" si="671"/>
        <v>30</v>
      </c>
      <c r="CD705" s="237">
        <f t="shared" si="692"/>
        <v>43</v>
      </c>
      <c r="CE705" s="253">
        <f t="shared" si="693"/>
        <v>3.5018750000000001</v>
      </c>
      <c r="CF705" s="253" cm="1">
        <f t="array" ref="CF705">$BC705 * IF($AD705&lt;=2,
SUMPRODUCT(INDEX($AL$72:$AN$76,,$AE705), INDEX($AO$72:$AU$76,,$AD705), 1 / ($AV$72:$AV$76*CE705 + (1-$AV$72:$AV$76)*CA705), N($AK$72:$AK$76&gt;$AI705)),
SUMPRODUCT(INDEX($AL$67:$AN$76,,$AE705), INDEX($AO$67:$AU$76,,$AD705), 1 / ($AW$67:$AW$76*CE705 + (1-$AW$67:$AW$76)*CA705), N($AK$67:$AK$76&gt;$AI705))
) / 1000</f>
        <v>0</v>
      </c>
      <c r="CG705" s="250">
        <f t="shared" si="672"/>
        <v>25</v>
      </c>
      <c r="CH705" s="237">
        <f t="shared" si="694"/>
        <v>38</v>
      </c>
      <c r="CI705" s="253">
        <f t="shared" si="695"/>
        <v>4.0666935483870965</v>
      </c>
      <c r="CJ705" s="253" cm="1">
        <f t="array" ref="CJ705">$BC705 * IF($AD705&lt;=2,
SUMPRODUCT(INDEX($AL$67:$AN$71,,$AE705), INDEX($AO$67:$AU$71,,$AD705), 1 / ($AV$67:$AV$71*CI705 + (1-$AV$67:$AV$71)*CE705), N($AK$67:$AK$71&gt;$AI705)),
SUMPRODUCT(INDEX($AL$57:$AN$66,,$AE705), INDEX($AO$57:$AU$66,,$AD705), 1 / ($AW$57:$AW$66*CI705 + (1-$AW$57:$AW$66)*CE705), N($AK$57:$AK$66&gt;$AI705))
) / 1000</f>
        <v>0</v>
      </c>
      <c r="CK705" s="250">
        <f t="shared" si="673"/>
        <v>20</v>
      </c>
      <c r="CL705" s="237">
        <f t="shared" si="696"/>
        <v>33</v>
      </c>
      <c r="CM705" s="253">
        <f t="shared" si="697"/>
        <v>4.8487499999999999</v>
      </c>
      <c r="CN705" s="253" cm="1">
        <f t="array" ref="CN705">$BC705 * IF($AD705&lt;=2,
SUMPRODUCT(INDEX($AL$62:$AN$66,,$AE705), INDEX($AO$62:$AU$66,,$AD705), 1 / ($AV$62:$AV$66*CM705 + (1-$AV$62:$AV$66)*CI705), N($AK$62:$AK$66&gt;$AI705)),
SUMPRODUCT(INDEX($AL$47:$AN$56,,$AE705), INDEX($AO$47:$AU$56,,$AD705), 1 / ($AW$47:$AW$56*CM705 + (1-$AW$47:$AW$56)*CI705), N($AK$47:$AK$56&gt;$AI705))
) / 1000</f>
        <v>0</v>
      </c>
      <c r="CO705" s="253" cm="1">
        <f t="array" ref="CO705">$BC705 * IF($AD705&lt;=2,
SUMPRODUCT(INDEX($AL$23:$AN$61,,$AE705), INDEX($AO$23:$AU$61,,$AD705), 1 / ($AV$23:$AV$61*CM705), N($AK$23:$AK$61&gt;$AI705)),
SUMPRODUCT(INDEX($AL$23:$AN$46,,$AE705), INDEX($AO$23:$AU$46,,$AD705), 1 / ($AW$23:$AW$46*CM705), N($AK$23:$AK$46&gt;$AI705))
) / 1000</f>
        <v>0</v>
      </c>
      <c r="CP705" s="237">
        <f t="shared" si="698"/>
        <v>0</v>
      </c>
      <c r="CQ705" s="210"/>
    </row>
    <row r="706" spans="1:95" s="76" customFormat="1" ht="14.25" customHeight="1" x14ac:dyDescent="0.2">
      <c r="A706" s="238" t="b">
        <f t="shared" si="665"/>
        <v>0</v>
      </c>
      <c r="B706" s="239">
        <v>684</v>
      </c>
      <c r="C706" s="258"/>
      <c r="D706" s="258"/>
      <c r="E706" s="240"/>
      <c r="F706" s="241" t="str">
        <f>IF(ISBLANK(E706), "", VLOOKUP(E706, Z!$A$2:$C$4127, 3, FALSE))</f>
        <v/>
      </c>
      <c r="G706" s="242"/>
      <c r="H706" s="242"/>
      <c r="I706" s="243"/>
      <c r="J706" s="244"/>
      <c r="K706" s="259"/>
      <c r="L706" s="260"/>
      <c r="M706" s="247" t="str" cm="1">
        <f t="array" ref="M706">IF($K706&gt;0, INDEX(Clean,1+AG706,$C$1), "")</f>
        <v/>
      </c>
      <c r="N706" s="245"/>
      <c r="O706" s="245"/>
      <c r="P706" s="246"/>
      <c r="Q706" s="248">
        <f t="shared" si="675"/>
        <v>0</v>
      </c>
      <c r="R706" s="247" t="str" cm="1">
        <f t="array" ref="R706">IF($K706&gt;0, INDEX(Clean,1+AH706,$C$1), "")</f>
        <v/>
      </c>
      <c r="S706" s="245"/>
      <c r="T706" s="245"/>
      <c r="U706" s="246"/>
      <c r="V706" s="248">
        <f t="shared" si="676"/>
        <v>0</v>
      </c>
      <c r="W706" s="261"/>
      <c r="X706" s="258"/>
      <c r="Y706" s="240"/>
      <c r="Z706" s="241" t="str">
        <f>IF(ISBLANK(Y706), "", VLOOKUP(Y706, Z!$A$2:$C$4127, 3, FALSE))</f>
        <v/>
      </c>
      <c r="AA706" s="262"/>
      <c r="AB706" s="249">
        <f t="shared" si="674"/>
        <v>0</v>
      </c>
      <c r="AC706" s="210"/>
      <c r="AD706" s="236">
        <f t="shared" si="699"/>
        <v>1</v>
      </c>
      <c r="AE706" s="236">
        <f t="shared" si="700"/>
        <v>1</v>
      </c>
      <c r="AF706" s="236">
        <f t="shared" si="701"/>
        <v>0</v>
      </c>
      <c r="AG706" s="236">
        <v>1</v>
      </c>
      <c r="AH706" s="236">
        <v>0</v>
      </c>
      <c r="AI706" s="236">
        <f t="shared" si="677"/>
        <v>-100</v>
      </c>
      <c r="AJ706" s="210"/>
      <c r="AK706" s="254"/>
      <c r="AL706" s="254"/>
      <c r="AM706" s="255"/>
      <c r="AN706" s="255"/>
      <c r="AO706" s="255"/>
      <c r="AP706" s="255"/>
      <c r="AQ706" s="255"/>
      <c r="AR706" s="255"/>
      <c r="AS706" s="255"/>
      <c r="AT706" s="255"/>
      <c r="AU706" s="255"/>
      <c r="AV706" s="255"/>
      <c r="AW706" s="255"/>
      <c r="AX706" s="210"/>
      <c r="AY706" s="236" cm="1">
        <f t="array" ref="AY706">INDEX(Use, $AD706, 4)</f>
        <v>7</v>
      </c>
      <c r="AZ706" s="236">
        <f t="shared" si="678"/>
        <v>32</v>
      </c>
      <c r="BA706" s="236">
        <f t="shared" si="666"/>
        <v>13</v>
      </c>
      <c r="BB706" s="236">
        <f t="shared" si="667"/>
        <v>0</v>
      </c>
      <c r="BC706" s="252" cm="1">
        <f t="array" ref="BC706">K706/IF($L706&gt;0, INDEX($AO$23:$AU$77, $L706+20, $AD706), 1)</f>
        <v>0</v>
      </c>
      <c r="BD706" s="237">
        <f t="shared" si="679"/>
        <v>0</v>
      </c>
      <c r="BE706" s="236">
        <v>35</v>
      </c>
      <c r="BF706" s="237">
        <f t="shared" si="680"/>
        <v>52.55</v>
      </c>
      <c r="BG706" s="253">
        <f t="shared" si="681"/>
        <v>2.7676728869374316</v>
      </c>
      <c r="BH706" s="253" cm="1">
        <f t="array" ref="BH706">$BC706 * SUMPRODUCT(INDEX($AL$77:$AN$82,,$AE706),INDEX($AO$77:$AU$82,,$AD706), N($AK$77:$AK$82&gt;$AI706)) / BG706 / 1000</f>
        <v>0</v>
      </c>
      <c r="BI706" s="250">
        <f t="shared" si="668"/>
        <v>30</v>
      </c>
      <c r="BJ706" s="237">
        <f t="shared" si="682"/>
        <v>46.033333333333331</v>
      </c>
      <c r="BK706" s="253">
        <f t="shared" si="683"/>
        <v>3.2297395388556791</v>
      </c>
      <c r="BL706" s="253" cm="1">
        <f t="array" ref="BL706">$BC706 * IF($AD706&lt;=2,
SUMPRODUCT(INDEX($AL$72:$AN$76,,$AE706), INDEX($AO$72:$AU$76,,$AD706), 1 / ($AV$72:$AV$76*BK706 + (1-$AV$72:$AV$76)*BG706), N($AK$72:$AK$76&gt;$AI706)),
SUMPRODUCT(INDEX($AL$67:$AN$76,,$AE706), INDEX($AO$67:$AU$76,,$AD706), 1 / ($AW$67:$AW$76*BK706 + (1-$AW$67:$AW$76)*BG706), N($AK$67:$AK$76&gt;$AI706))
) / 1000</f>
        <v>0</v>
      </c>
      <c r="BM706" s="250">
        <f t="shared" si="669"/>
        <v>25</v>
      </c>
      <c r="BN706" s="237">
        <f t="shared" si="684"/>
        <v>39.516666666666666</v>
      </c>
      <c r="BO706" s="253">
        <f t="shared" si="685"/>
        <v>3.877011788826243</v>
      </c>
      <c r="BP706" s="253" cm="1">
        <f t="array" ref="BP706">$BC706 * IF($AD706&lt;=2,
SUMPRODUCT(INDEX($AL$67:$AN$71,,$AE706), INDEX($AO$67:$AU$71,,$AD706), 1 / ($AV$67:$AV$71*BO706 + (1-$AV$67:$AV$71)*BK706), N($AK$67:$AK$71&gt;$AI706)),
SUMPRODUCT(INDEX($AL$57:$AN$66,,$AE706), INDEX($AO$57:$AU$66,,$AD706), 1 / ($AW$57:$AW$66*BO706 + (1-$AW$57:$AW$66)*BK706), N($AK$57:$AK$66&gt;$AI706))
) / 1000</f>
        <v>0</v>
      </c>
      <c r="BQ706" s="250">
        <f t="shared" si="670"/>
        <v>20</v>
      </c>
      <c r="BR706" s="237">
        <f t="shared" si="686"/>
        <v>33</v>
      </c>
      <c r="BS706" s="253">
        <f t="shared" si="687"/>
        <v>4.8487499999999999</v>
      </c>
      <c r="BT706" s="253" cm="1">
        <f t="array" ref="BT706">$BC706 * IF($AD706&lt;=2,
SUMPRODUCT(INDEX($AL$62:$AN$66,,$AE706), INDEX($AO$62:$AU$66,,$AD706), 1 / ($AV$62:$AV$66*BS706 + (1-$AV$62:$AV$66)*BO706), N($AK$62:$AK$66&gt;$AI706)),
SUMPRODUCT(INDEX($AL$47:$AN$56,,$AE706), INDEX($AO$47:$AU$56,,$AD706), 1 / ($AW$47:$AW$56*BS706 + (1-$AW$47:$AW$56)*BO706), N($AK$47:$AK$56&gt;$AI706))
) / 1000</f>
        <v>0</v>
      </c>
      <c r="BU706" s="253" cm="1">
        <f t="array" ref="BU706">$BC706 * IF($AD706&lt;=2,
SUMPRODUCT(INDEX($AL$23:$AN$61,,$AE706), INDEX($AO$23:$AU$61,,$AD706), 1 / ($AV$23:$AV$61*BS706), N($AK$23:$AK$61&gt;$AI706)),
SUMPRODUCT(INDEX($AL$23:$AN$46,,$AE706), INDEX($AO$23:$AU$46,,$AD706), 1 / ($AW$23:$AW$46*BS706), N($AK$23:$AK$46&gt;$AI706))
) / 1000</f>
        <v>0</v>
      </c>
      <c r="BV706" s="237">
        <f t="shared" si="688"/>
        <v>0</v>
      </c>
      <c r="BW706" s="210"/>
      <c r="BX706" s="237">
        <f t="shared" si="689"/>
        <v>0</v>
      </c>
      <c r="BY706" s="236">
        <v>35</v>
      </c>
      <c r="BZ706" s="237">
        <f t="shared" si="690"/>
        <v>48</v>
      </c>
      <c r="CA706" s="253">
        <f t="shared" si="691"/>
        <v>3.0748170731707316</v>
      </c>
      <c r="CB706" s="253" cm="1">
        <f t="array" ref="CB706">$BC706 * SUMPRODUCT(INDEX($AL$77:$AN$82,,$AE706),INDEX($AO$77:$AU$82,,$AD706), N($AK$77:$AK$82&gt;$AI706)) / CA706 / 1000</f>
        <v>0</v>
      </c>
      <c r="CC706" s="250">
        <f t="shared" si="671"/>
        <v>30</v>
      </c>
      <c r="CD706" s="237">
        <f t="shared" si="692"/>
        <v>43</v>
      </c>
      <c r="CE706" s="253">
        <f t="shared" si="693"/>
        <v>3.5018750000000001</v>
      </c>
      <c r="CF706" s="253" cm="1">
        <f t="array" ref="CF706">$BC706 * IF($AD706&lt;=2,
SUMPRODUCT(INDEX($AL$72:$AN$76,,$AE706), INDEX($AO$72:$AU$76,,$AD706), 1 / ($AV$72:$AV$76*CE706 + (1-$AV$72:$AV$76)*CA706), N($AK$72:$AK$76&gt;$AI706)),
SUMPRODUCT(INDEX($AL$67:$AN$76,,$AE706), INDEX($AO$67:$AU$76,,$AD706), 1 / ($AW$67:$AW$76*CE706 + (1-$AW$67:$AW$76)*CA706), N($AK$67:$AK$76&gt;$AI706))
) / 1000</f>
        <v>0</v>
      </c>
      <c r="CG706" s="250">
        <f t="shared" si="672"/>
        <v>25</v>
      </c>
      <c r="CH706" s="237">
        <f t="shared" si="694"/>
        <v>38</v>
      </c>
      <c r="CI706" s="253">
        <f t="shared" si="695"/>
        <v>4.0666935483870965</v>
      </c>
      <c r="CJ706" s="253" cm="1">
        <f t="array" ref="CJ706">$BC706 * IF($AD706&lt;=2,
SUMPRODUCT(INDEX($AL$67:$AN$71,,$AE706), INDEX($AO$67:$AU$71,,$AD706), 1 / ($AV$67:$AV$71*CI706 + (1-$AV$67:$AV$71)*CE706), N($AK$67:$AK$71&gt;$AI706)),
SUMPRODUCT(INDEX($AL$57:$AN$66,,$AE706), INDEX($AO$57:$AU$66,,$AD706), 1 / ($AW$57:$AW$66*CI706 + (1-$AW$57:$AW$66)*CE706), N($AK$57:$AK$66&gt;$AI706))
) / 1000</f>
        <v>0</v>
      </c>
      <c r="CK706" s="250">
        <f t="shared" si="673"/>
        <v>20</v>
      </c>
      <c r="CL706" s="237">
        <f t="shared" si="696"/>
        <v>33</v>
      </c>
      <c r="CM706" s="253">
        <f t="shared" si="697"/>
        <v>4.8487499999999999</v>
      </c>
      <c r="CN706" s="253" cm="1">
        <f t="array" ref="CN706">$BC706 * IF($AD706&lt;=2,
SUMPRODUCT(INDEX($AL$62:$AN$66,,$AE706), INDEX($AO$62:$AU$66,,$AD706), 1 / ($AV$62:$AV$66*CM706 + (1-$AV$62:$AV$66)*CI706), N($AK$62:$AK$66&gt;$AI706)),
SUMPRODUCT(INDEX($AL$47:$AN$56,,$AE706), INDEX($AO$47:$AU$56,,$AD706), 1 / ($AW$47:$AW$56*CM706 + (1-$AW$47:$AW$56)*CI706), N($AK$47:$AK$56&gt;$AI706))
) / 1000</f>
        <v>0</v>
      </c>
      <c r="CO706" s="253" cm="1">
        <f t="array" ref="CO706">$BC706 * IF($AD706&lt;=2,
SUMPRODUCT(INDEX($AL$23:$AN$61,,$AE706), INDEX($AO$23:$AU$61,,$AD706), 1 / ($AV$23:$AV$61*CM706), N($AK$23:$AK$61&gt;$AI706)),
SUMPRODUCT(INDEX($AL$23:$AN$46,,$AE706), INDEX($AO$23:$AU$46,,$AD706), 1 / ($AW$23:$AW$46*CM706), N($AK$23:$AK$46&gt;$AI706))
) / 1000</f>
        <v>0</v>
      </c>
      <c r="CP706" s="237">
        <f t="shared" si="698"/>
        <v>0</v>
      </c>
      <c r="CQ706" s="210"/>
    </row>
    <row r="707" spans="1:95" s="76" customFormat="1" ht="14.25" customHeight="1" x14ac:dyDescent="0.2">
      <c r="A707" s="238" t="b">
        <f t="shared" si="665"/>
        <v>0</v>
      </c>
      <c r="B707" s="239">
        <v>685</v>
      </c>
      <c r="C707" s="258"/>
      <c r="D707" s="258"/>
      <c r="E707" s="240"/>
      <c r="F707" s="241" t="str">
        <f>IF(ISBLANK(E707), "", VLOOKUP(E707, Z!$A$2:$C$4127, 3, FALSE))</f>
        <v/>
      </c>
      <c r="G707" s="242"/>
      <c r="H707" s="242"/>
      <c r="I707" s="243"/>
      <c r="J707" s="244"/>
      <c r="K707" s="259"/>
      <c r="L707" s="260"/>
      <c r="M707" s="247" t="str" cm="1">
        <f t="array" ref="M707">IF($K707&gt;0, INDEX(Clean,1+AG707,$C$1), "")</f>
        <v/>
      </c>
      <c r="N707" s="245"/>
      <c r="O707" s="245"/>
      <c r="P707" s="246"/>
      <c r="Q707" s="248">
        <f t="shared" si="675"/>
        <v>0</v>
      </c>
      <c r="R707" s="247" t="str" cm="1">
        <f t="array" ref="R707">IF($K707&gt;0, INDEX(Clean,1+AH707,$C$1), "")</f>
        <v/>
      </c>
      <c r="S707" s="245"/>
      <c r="T707" s="245"/>
      <c r="U707" s="246"/>
      <c r="V707" s="248">
        <f t="shared" si="676"/>
        <v>0</v>
      </c>
      <c r="W707" s="261"/>
      <c r="X707" s="258"/>
      <c r="Y707" s="240"/>
      <c r="Z707" s="241" t="str">
        <f>IF(ISBLANK(Y707), "", VLOOKUP(Y707, Z!$A$2:$C$4127, 3, FALSE))</f>
        <v/>
      </c>
      <c r="AA707" s="262"/>
      <c r="AB707" s="249">
        <f t="shared" si="674"/>
        <v>0</v>
      </c>
      <c r="AC707" s="210"/>
      <c r="AD707" s="236">
        <f t="shared" si="699"/>
        <v>1</v>
      </c>
      <c r="AE707" s="236">
        <f t="shared" si="700"/>
        <v>1</v>
      </c>
      <c r="AF707" s="236">
        <f t="shared" si="701"/>
        <v>0</v>
      </c>
      <c r="AG707" s="236">
        <v>1</v>
      </c>
      <c r="AH707" s="236">
        <v>0</v>
      </c>
      <c r="AI707" s="236">
        <f t="shared" si="677"/>
        <v>-100</v>
      </c>
      <c r="AJ707" s="210"/>
      <c r="AK707" s="254"/>
      <c r="AL707" s="254"/>
      <c r="AM707" s="255"/>
      <c r="AN707" s="255"/>
      <c r="AO707" s="255"/>
      <c r="AP707" s="255"/>
      <c r="AQ707" s="255"/>
      <c r="AR707" s="255"/>
      <c r="AS707" s="255"/>
      <c r="AT707" s="255"/>
      <c r="AU707" s="255"/>
      <c r="AV707" s="255"/>
      <c r="AW707" s="255"/>
      <c r="AX707" s="210"/>
      <c r="AY707" s="236" cm="1">
        <f t="array" ref="AY707">INDEX(Use, $AD707, 4)</f>
        <v>7</v>
      </c>
      <c r="AZ707" s="236">
        <f t="shared" si="678"/>
        <v>32</v>
      </c>
      <c r="BA707" s="236">
        <f t="shared" si="666"/>
        <v>13</v>
      </c>
      <c r="BB707" s="236">
        <f t="shared" si="667"/>
        <v>0</v>
      </c>
      <c r="BC707" s="252" cm="1">
        <f t="array" ref="BC707">K707/IF($L707&gt;0, INDEX($AO$23:$AU$77, $L707+20, $AD707), 1)</f>
        <v>0</v>
      </c>
      <c r="BD707" s="237">
        <f t="shared" si="679"/>
        <v>0</v>
      </c>
      <c r="BE707" s="236">
        <v>35</v>
      </c>
      <c r="BF707" s="237">
        <f t="shared" si="680"/>
        <v>52.55</v>
      </c>
      <c r="BG707" s="253">
        <f t="shared" si="681"/>
        <v>2.7676728869374316</v>
      </c>
      <c r="BH707" s="253" cm="1">
        <f t="array" ref="BH707">$BC707 * SUMPRODUCT(INDEX($AL$77:$AN$82,,$AE707),INDEX($AO$77:$AU$82,,$AD707), N($AK$77:$AK$82&gt;$AI707)) / BG707 / 1000</f>
        <v>0</v>
      </c>
      <c r="BI707" s="250">
        <f t="shared" si="668"/>
        <v>30</v>
      </c>
      <c r="BJ707" s="237">
        <f t="shared" si="682"/>
        <v>46.033333333333331</v>
      </c>
      <c r="BK707" s="253">
        <f t="shared" si="683"/>
        <v>3.2297395388556791</v>
      </c>
      <c r="BL707" s="253" cm="1">
        <f t="array" ref="BL707">$BC707 * IF($AD707&lt;=2,
SUMPRODUCT(INDEX($AL$72:$AN$76,,$AE707), INDEX($AO$72:$AU$76,,$AD707), 1 / ($AV$72:$AV$76*BK707 + (1-$AV$72:$AV$76)*BG707), N($AK$72:$AK$76&gt;$AI707)),
SUMPRODUCT(INDEX($AL$67:$AN$76,,$AE707), INDEX($AO$67:$AU$76,,$AD707), 1 / ($AW$67:$AW$76*BK707 + (1-$AW$67:$AW$76)*BG707), N($AK$67:$AK$76&gt;$AI707))
) / 1000</f>
        <v>0</v>
      </c>
      <c r="BM707" s="250">
        <f t="shared" si="669"/>
        <v>25</v>
      </c>
      <c r="BN707" s="237">
        <f t="shared" si="684"/>
        <v>39.516666666666666</v>
      </c>
      <c r="BO707" s="253">
        <f t="shared" si="685"/>
        <v>3.877011788826243</v>
      </c>
      <c r="BP707" s="253" cm="1">
        <f t="array" ref="BP707">$BC707 * IF($AD707&lt;=2,
SUMPRODUCT(INDEX($AL$67:$AN$71,,$AE707), INDEX($AO$67:$AU$71,,$AD707), 1 / ($AV$67:$AV$71*BO707 + (1-$AV$67:$AV$71)*BK707), N($AK$67:$AK$71&gt;$AI707)),
SUMPRODUCT(INDEX($AL$57:$AN$66,,$AE707), INDEX($AO$57:$AU$66,,$AD707), 1 / ($AW$57:$AW$66*BO707 + (1-$AW$57:$AW$66)*BK707), N($AK$57:$AK$66&gt;$AI707))
) / 1000</f>
        <v>0</v>
      </c>
      <c r="BQ707" s="250">
        <f t="shared" si="670"/>
        <v>20</v>
      </c>
      <c r="BR707" s="237">
        <f t="shared" si="686"/>
        <v>33</v>
      </c>
      <c r="BS707" s="253">
        <f t="shared" si="687"/>
        <v>4.8487499999999999</v>
      </c>
      <c r="BT707" s="253" cm="1">
        <f t="array" ref="BT707">$BC707 * IF($AD707&lt;=2,
SUMPRODUCT(INDEX($AL$62:$AN$66,,$AE707), INDEX($AO$62:$AU$66,,$AD707), 1 / ($AV$62:$AV$66*BS707 + (1-$AV$62:$AV$66)*BO707), N($AK$62:$AK$66&gt;$AI707)),
SUMPRODUCT(INDEX($AL$47:$AN$56,,$AE707), INDEX($AO$47:$AU$56,,$AD707), 1 / ($AW$47:$AW$56*BS707 + (1-$AW$47:$AW$56)*BO707), N($AK$47:$AK$56&gt;$AI707))
) / 1000</f>
        <v>0</v>
      </c>
      <c r="BU707" s="253" cm="1">
        <f t="array" ref="BU707">$BC707 * IF($AD707&lt;=2,
SUMPRODUCT(INDEX($AL$23:$AN$61,,$AE707), INDEX($AO$23:$AU$61,,$AD707), 1 / ($AV$23:$AV$61*BS707), N($AK$23:$AK$61&gt;$AI707)),
SUMPRODUCT(INDEX($AL$23:$AN$46,,$AE707), INDEX($AO$23:$AU$46,,$AD707), 1 / ($AW$23:$AW$46*BS707), N($AK$23:$AK$46&gt;$AI707))
) / 1000</f>
        <v>0</v>
      </c>
      <c r="BV707" s="237">
        <f t="shared" si="688"/>
        <v>0</v>
      </c>
      <c r="BW707" s="210"/>
      <c r="BX707" s="237">
        <f t="shared" si="689"/>
        <v>0</v>
      </c>
      <c r="BY707" s="236">
        <v>35</v>
      </c>
      <c r="BZ707" s="237">
        <f t="shared" si="690"/>
        <v>48</v>
      </c>
      <c r="CA707" s="253">
        <f t="shared" si="691"/>
        <v>3.0748170731707316</v>
      </c>
      <c r="CB707" s="253" cm="1">
        <f t="array" ref="CB707">$BC707 * SUMPRODUCT(INDEX($AL$77:$AN$82,,$AE707),INDEX($AO$77:$AU$82,,$AD707), N($AK$77:$AK$82&gt;$AI707)) / CA707 / 1000</f>
        <v>0</v>
      </c>
      <c r="CC707" s="250">
        <f t="shared" si="671"/>
        <v>30</v>
      </c>
      <c r="CD707" s="237">
        <f t="shared" si="692"/>
        <v>43</v>
      </c>
      <c r="CE707" s="253">
        <f t="shared" si="693"/>
        <v>3.5018750000000001</v>
      </c>
      <c r="CF707" s="253" cm="1">
        <f t="array" ref="CF707">$BC707 * IF($AD707&lt;=2,
SUMPRODUCT(INDEX($AL$72:$AN$76,,$AE707), INDEX($AO$72:$AU$76,,$AD707), 1 / ($AV$72:$AV$76*CE707 + (1-$AV$72:$AV$76)*CA707), N($AK$72:$AK$76&gt;$AI707)),
SUMPRODUCT(INDEX($AL$67:$AN$76,,$AE707), INDEX($AO$67:$AU$76,,$AD707), 1 / ($AW$67:$AW$76*CE707 + (1-$AW$67:$AW$76)*CA707), N($AK$67:$AK$76&gt;$AI707))
) / 1000</f>
        <v>0</v>
      </c>
      <c r="CG707" s="250">
        <f t="shared" si="672"/>
        <v>25</v>
      </c>
      <c r="CH707" s="237">
        <f t="shared" si="694"/>
        <v>38</v>
      </c>
      <c r="CI707" s="253">
        <f t="shared" si="695"/>
        <v>4.0666935483870965</v>
      </c>
      <c r="CJ707" s="253" cm="1">
        <f t="array" ref="CJ707">$BC707 * IF($AD707&lt;=2,
SUMPRODUCT(INDEX($AL$67:$AN$71,,$AE707), INDEX($AO$67:$AU$71,,$AD707), 1 / ($AV$67:$AV$71*CI707 + (1-$AV$67:$AV$71)*CE707), N($AK$67:$AK$71&gt;$AI707)),
SUMPRODUCT(INDEX($AL$57:$AN$66,,$AE707), INDEX($AO$57:$AU$66,,$AD707), 1 / ($AW$57:$AW$66*CI707 + (1-$AW$57:$AW$66)*CE707), N($AK$57:$AK$66&gt;$AI707))
) / 1000</f>
        <v>0</v>
      </c>
      <c r="CK707" s="250">
        <f t="shared" si="673"/>
        <v>20</v>
      </c>
      <c r="CL707" s="237">
        <f t="shared" si="696"/>
        <v>33</v>
      </c>
      <c r="CM707" s="253">
        <f t="shared" si="697"/>
        <v>4.8487499999999999</v>
      </c>
      <c r="CN707" s="253" cm="1">
        <f t="array" ref="CN707">$BC707 * IF($AD707&lt;=2,
SUMPRODUCT(INDEX($AL$62:$AN$66,,$AE707), INDEX($AO$62:$AU$66,,$AD707), 1 / ($AV$62:$AV$66*CM707 + (1-$AV$62:$AV$66)*CI707), N($AK$62:$AK$66&gt;$AI707)),
SUMPRODUCT(INDEX($AL$47:$AN$56,,$AE707), INDEX($AO$47:$AU$56,,$AD707), 1 / ($AW$47:$AW$56*CM707 + (1-$AW$47:$AW$56)*CI707), N($AK$47:$AK$56&gt;$AI707))
) / 1000</f>
        <v>0</v>
      </c>
      <c r="CO707" s="253" cm="1">
        <f t="array" ref="CO707">$BC707 * IF($AD707&lt;=2,
SUMPRODUCT(INDEX($AL$23:$AN$61,,$AE707), INDEX($AO$23:$AU$61,,$AD707), 1 / ($AV$23:$AV$61*CM707), N($AK$23:$AK$61&gt;$AI707)),
SUMPRODUCT(INDEX($AL$23:$AN$46,,$AE707), INDEX($AO$23:$AU$46,,$AD707), 1 / ($AW$23:$AW$46*CM707), N($AK$23:$AK$46&gt;$AI707))
) / 1000</f>
        <v>0</v>
      </c>
      <c r="CP707" s="237">
        <f t="shared" si="698"/>
        <v>0</v>
      </c>
      <c r="CQ707" s="210"/>
    </row>
    <row r="708" spans="1:95" s="76" customFormat="1" ht="14.25" customHeight="1" x14ac:dyDescent="0.2">
      <c r="A708" s="238" t="b">
        <f t="shared" si="665"/>
        <v>0</v>
      </c>
      <c r="B708" s="239">
        <v>686</v>
      </c>
      <c r="C708" s="258"/>
      <c r="D708" s="258"/>
      <c r="E708" s="240"/>
      <c r="F708" s="241" t="str">
        <f>IF(ISBLANK(E708), "", VLOOKUP(E708, Z!$A$2:$C$4127, 3, FALSE))</f>
        <v/>
      </c>
      <c r="G708" s="242"/>
      <c r="H708" s="242"/>
      <c r="I708" s="243"/>
      <c r="J708" s="244"/>
      <c r="K708" s="259"/>
      <c r="L708" s="260"/>
      <c r="M708" s="247" t="str" cm="1">
        <f t="array" ref="M708">IF($K708&gt;0, INDEX(Clean,1+AG708,$C$1), "")</f>
        <v/>
      </c>
      <c r="N708" s="245"/>
      <c r="O708" s="245"/>
      <c r="P708" s="246"/>
      <c r="Q708" s="248">
        <f t="shared" si="675"/>
        <v>0</v>
      </c>
      <c r="R708" s="247" t="str" cm="1">
        <f t="array" ref="R708">IF($K708&gt;0, INDEX(Clean,1+AH708,$C$1), "")</f>
        <v/>
      </c>
      <c r="S708" s="245"/>
      <c r="T708" s="245"/>
      <c r="U708" s="246"/>
      <c r="V708" s="248">
        <f t="shared" si="676"/>
        <v>0</v>
      </c>
      <c r="W708" s="261"/>
      <c r="X708" s="258"/>
      <c r="Y708" s="240"/>
      <c r="Z708" s="241" t="str">
        <f>IF(ISBLANK(Y708), "", VLOOKUP(Y708, Z!$A$2:$C$4127, 3, FALSE))</f>
        <v/>
      </c>
      <c r="AA708" s="262"/>
      <c r="AB708" s="249">
        <f t="shared" si="674"/>
        <v>0</v>
      </c>
      <c r="AC708" s="210"/>
      <c r="AD708" s="236">
        <f t="shared" si="699"/>
        <v>1</v>
      </c>
      <c r="AE708" s="236">
        <f t="shared" si="700"/>
        <v>1</v>
      </c>
      <c r="AF708" s="236">
        <f t="shared" si="701"/>
        <v>0</v>
      </c>
      <c r="AG708" s="236">
        <v>1</v>
      </c>
      <c r="AH708" s="236">
        <v>0</v>
      </c>
      <c r="AI708" s="236">
        <f t="shared" si="677"/>
        <v>-100</v>
      </c>
      <c r="AJ708" s="210"/>
      <c r="AK708" s="254"/>
      <c r="AL708" s="254"/>
      <c r="AM708" s="255"/>
      <c r="AN708" s="255"/>
      <c r="AO708" s="255"/>
      <c r="AP708" s="255"/>
      <c r="AQ708" s="255"/>
      <c r="AR708" s="255"/>
      <c r="AS708" s="255"/>
      <c r="AT708" s="255"/>
      <c r="AU708" s="255"/>
      <c r="AV708" s="255"/>
      <c r="AW708" s="255"/>
      <c r="AX708" s="210"/>
      <c r="AY708" s="236" cm="1">
        <f t="array" ref="AY708">INDEX(Use, $AD708, 4)</f>
        <v>7</v>
      </c>
      <c r="AZ708" s="236">
        <f t="shared" si="678"/>
        <v>32</v>
      </c>
      <c r="BA708" s="236">
        <f t="shared" si="666"/>
        <v>13</v>
      </c>
      <c r="BB708" s="236">
        <f t="shared" si="667"/>
        <v>0</v>
      </c>
      <c r="BC708" s="252" cm="1">
        <f t="array" ref="BC708">K708/IF($L708&gt;0, INDEX($AO$23:$AU$77, $L708+20, $AD708), 1)</f>
        <v>0</v>
      </c>
      <c r="BD708" s="237">
        <f t="shared" si="679"/>
        <v>0</v>
      </c>
      <c r="BE708" s="236">
        <v>35</v>
      </c>
      <c r="BF708" s="237">
        <f t="shared" si="680"/>
        <v>52.55</v>
      </c>
      <c r="BG708" s="253">
        <f t="shared" si="681"/>
        <v>2.7676728869374316</v>
      </c>
      <c r="BH708" s="253" cm="1">
        <f t="array" ref="BH708">$BC708 * SUMPRODUCT(INDEX($AL$77:$AN$82,,$AE708),INDEX($AO$77:$AU$82,,$AD708), N($AK$77:$AK$82&gt;$AI708)) / BG708 / 1000</f>
        <v>0</v>
      </c>
      <c r="BI708" s="250">
        <f t="shared" si="668"/>
        <v>30</v>
      </c>
      <c r="BJ708" s="237">
        <f t="shared" si="682"/>
        <v>46.033333333333331</v>
      </c>
      <c r="BK708" s="253">
        <f t="shared" si="683"/>
        <v>3.2297395388556791</v>
      </c>
      <c r="BL708" s="253" cm="1">
        <f t="array" ref="BL708">$BC708 * IF($AD708&lt;=2,
SUMPRODUCT(INDEX($AL$72:$AN$76,,$AE708), INDEX($AO$72:$AU$76,,$AD708), 1 / ($AV$72:$AV$76*BK708 + (1-$AV$72:$AV$76)*BG708), N($AK$72:$AK$76&gt;$AI708)),
SUMPRODUCT(INDEX($AL$67:$AN$76,,$AE708), INDEX($AO$67:$AU$76,,$AD708), 1 / ($AW$67:$AW$76*BK708 + (1-$AW$67:$AW$76)*BG708), N($AK$67:$AK$76&gt;$AI708))
) / 1000</f>
        <v>0</v>
      </c>
      <c r="BM708" s="250">
        <f t="shared" si="669"/>
        <v>25</v>
      </c>
      <c r="BN708" s="237">
        <f t="shared" si="684"/>
        <v>39.516666666666666</v>
      </c>
      <c r="BO708" s="253">
        <f t="shared" si="685"/>
        <v>3.877011788826243</v>
      </c>
      <c r="BP708" s="253" cm="1">
        <f t="array" ref="BP708">$BC708 * IF($AD708&lt;=2,
SUMPRODUCT(INDEX($AL$67:$AN$71,,$AE708), INDEX($AO$67:$AU$71,,$AD708), 1 / ($AV$67:$AV$71*BO708 + (1-$AV$67:$AV$71)*BK708), N($AK$67:$AK$71&gt;$AI708)),
SUMPRODUCT(INDEX($AL$57:$AN$66,,$AE708), INDEX($AO$57:$AU$66,,$AD708), 1 / ($AW$57:$AW$66*BO708 + (1-$AW$57:$AW$66)*BK708), N($AK$57:$AK$66&gt;$AI708))
) / 1000</f>
        <v>0</v>
      </c>
      <c r="BQ708" s="250">
        <f t="shared" si="670"/>
        <v>20</v>
      </c>
      <c r="BR708" s="237">
        <f t="shared" si="686"/>
        <v>33</v>
      </c>
      <c r="BS708" s="253">
        <f t="shared" si="687"/>
        <v>4.8487499999999999</v>
      </c>
      <c r="BT708" s="253" cm="1">
        <f t="array" ref="BT708">$BC708 * IF($AD708&lt;=2,
SUMPRODUCT(INDEX($AL$62:$AN$66,,$AE708), INDEX($AO$62:$AU$66,,$AD708), 1 / ($AV$62:$AV$66*BS708 + (1-$AV$62:$AV$66)*BO708), N($AK$62:$AK$66&gt;$AI708)),
SUMPRODUCT(INDEX($AL$47:$AN$56,,$AE708), INDEX($AO$47:$AU$56,,$AD708), 1 / ($AW$47:$AW$56*BS708 + (1-$AW$47:$AW$56)*BO708), N($AK$47:$AK$56&gt;$AI708))
) / 1000</f>
        <v>0</v>
      </c>
      <c r="BU708" s="253" cm="1">
        <f t="array" ref="BU708">$BC708 * IF($AD708&lt;=2,
SUMPRODUCT(INDEX($AL$23:$AN$61,,$AE708), INDEX($AO$23:$AU$61,,$AD708), 1 / ($AV$23:$AV$61*BS708), N($AK$23:$AK$61&gt;$AI708)),
SUMPRODUCT(INDEX($AL$23:$AN$46,,$AE708), INDEX($AO$23:$AU$46,,$AD708), 1 / ($AW$23:$AW$46*BS708), N($AK$23:$AK$46&gt;$AI708))
) / 1000</f>
        <v>0</v>
      </c>
      <c r="BV708" s="237">
        <f t="shared" si="688"/>
        <v>0</v>
      </c>
      <c r="BW708" s="210"/>
      <c r="BX708" s="237">
        <f t="shared" si="689"/>
        <v>0</v>
      </c>
      <c r="BY708" s="236">
        <v>35</v>
      </c>
      <c r="BZ708" s="237">
        <f t="shared" si="690"/>
        <v>48</v>
      </c>
      <c r="CA708" s="253">
        <f t="shared" si="691"/>
        <v>3.0748170731707316</v>
      </c>
      <c r="CB708" s="253" cm="1">
        <f t="array" ref="CB708">$BC708 * SUMPRODUCT(INDEX($AL$77:$AN$82,,$AE708),INDEX($AO$77:$AU$82,,$AD708), N($AK$77:$AK$82&gt;$AI708)) / CA708 / 1000</f>
        <v>0</v>
      </c>
      <c r="CC708" s="250">
        <f t="shared" si="671"/>
        <v>30</v>
      </c>
      <c r="CD708" s="237">
        <f t="shared" si="692"/>
        <v>43</v>
      </c>
      <c r="CE708" s="253">
        <f t="shared" si="693"/>
        <v>3.5018750000000001</v>
      </c>
      <c r="CF708" s="253" cm="1">
        <f t="array" ref="CF708">$BC708 * IF($AD708&lt;=2,
SUMPRODUCT(INDEX($AL$72:$AN$76,,$AE708), INDEX($AO$72:$AU$76,,$AD708), 1 / ($AV$72:$AV$76*CE708 + (1-$AV$72:$AV$76)*CA708), N($AK$72:$AK$76&gt;$AI708)),
SUMPRODUCT(INDEX($AL$67:$AN$76,,$AE708), INDEX($AO$67:$AU$76,,$AD708), 1 / ($AW$67:$AW$76*CE708 + (1-$AW$67:$AW$76)*CA708), N($AK$67:$AK$76&gt;$AI708))
) / 1000</f>
        <v>0</v>
      </c>
      <c r="CG708" s="250">
        <f t="shared" si="672"/>
        <v>25</v>
      </c>
      <c r="CH708" s="237">
        <f t="shared" si="694"/>
        <v>38</v>
      </c>
      <c r="CI708" s="253">
        <f t="shared" si="695"/>
        <v>4.0666935483870965</v>
      </c>
      <c r="CJ708" s="253" cm="1">
        <f t="array" ref="CJ708">$BC708 * IF($AD708&lt;=2,
SUMPRODUCT(INDEX($AL$67:$AN$71,,$AE708), INDEX($AO$67:$AU$71,,$AD708), 1 / ($AV$67:$AV$71*CI708 + (1-$AV$67:$AV$71)*CE708), N($AK$67:$AK$71&gt;$AI708)),
SUMPRODUCT(INDEX($AL$57:$AN$66,,$AE708), INDEX($AO$57:$AU$66,,$AD708), 1 / ($AW$57:$AW$66*CI708 + (1-$AW$57:$AW$66)*CE708), N($AK$57:$AK$66&gt;$AI708))
) / 1000</f>
        <v>0</v>
      </c>
      <c r="CK708" s="250">
        <f t="shared" si="673"/>
        <v>20</v>
      </c>
      <c r="CL708" s="237">
        <f t="shared" si="696"/>
        <v>33</v>
      </c>
      <c r="CM708" s="253">
        <f t="shared" si="697"/>
        <v>4.8487499999999999</v>
      </c>
      <c r="CN708" s="253" cm="1">
        <f t="array" ref="CN708">$BC708 * IF($AD708&lt;=2,
SUMPRODUCT(INDEX($AL$62:$AN$66,,$AE708), INDEX($AO$62:$AU$66,,$AD708), 1 / ($AV$62:$AV$66*CM708 + (1-$AV$62:$AV$66)*CI708), N($AK$62:$AK$66&gt;$AI708)),
SUMPRODUCT(INDEX($AL$47:$AN$56,,$AE708), INDEX($AO$47:$AU$56,,$AD708), 1 / ($AW$47:$AW$56*CM708 + (1-$AW$47:$AW$56)*CI708), N($AK$47:$AK$56&gt;$AI708))
) / 1000</f>
        <v>0</v>
      </c>
      <c r="CO708" s="253" cm="1">
        <f t="array" ref="CO708">$BC708 * IF($AD708&lt;=2,
SUMPRODUCT(INDEX($AL$23:$AN$61,,$AE708), INDEX($AO$23:$AU$61,,$AD708), 1 / ($AV$23:$AV$61*CM708), N($AK$23:$AK$61&gt;$AI708)),
SUMPRODUCT(INDEX($AL$23:$AN$46,,$AE708), INDEX($AO$23:$AU$46,,$AD708), 1 / ($AW$23:$AW$46*CM708), N($AK$23:$AK$46&gt;$AI708))
) / 1000</f>
        <v>0</v>
      </c>
      <c r="CP708" s="237">
        <f t="shared" si="698"/>
        <v>0</v>
      </c>
      <c r="CQ708" s="210"/>
    </row>
    <row r="709" spans="1:95" s="76" customFormat="1" ht="14.25" customHeight="1" x14ac:dyDescent="0.2">
      <c r="A709" s="238" t="b">
        <f t="shared" si="665"/>
        <v>0</v>
      </c>
      <c r="B709" s="239">
        <v>687</v>
      </c>
      <c r="C709" s="258"/>
      <c r="D709" s="258"/>
      <c r="E709" s="240"/>
      <c r="F709" s="241" t="str">
        <f>IF(ISBLANK(E709), "", VLOOKUP(E709, Z!$A$2:$C$4127, 3, FALSE))</f>
        <v/>
      </c>
      <c r="G709" s="242"/>
      <c r="H709" s="242"/>
      <c r="I709" s="243"/>
      <c r="J709" s="244"/>
      <c r="K709" s="259"/>
      <c r="L709" s="260"/>
      <c r="M709" s="247" t="str" cm="1">
        <f t="array" ref="M709">IF($K709&gt;0, INDEX(Clean,1+AG709,$C$1), "")</f>
        <v/>
      </c>
      <c r="N709" s="245"/>
      <c r="O709" s="245"/>
      <c r="P709" s="246"/>
      <c r="Q709" s="248">
        <f t="shared" si="675"/>
        <v>0</v>
      </c>
      <c r="R709" s="247" t="str" cm="1">
        <f t="array" ref="R709">IF($K709&gt;0, INDEX(Clean,1+AH709,$C$1), "")</f>
        <v/>
      </c>
      <c r="S709" s="245"/>
      <c r="T709" s="245"/>
      <c r="U709" s="246"/>
      <c r="V709" s="248">
        <f t="shared" si="676"/>
        <v>0</v>
      </c>
      <c r="W709" s="261"/>
      <c r="X709" s="258"/>
      <c r="Y709" s="240"/>
      <c r="Z709" s="241" t="str">
        <f>IF(ISBLANK(Y709), "", VLOOKUP(Y709, Z!$A$2:$C$4127, 3, FALSE))</f>
        <v/>
      </c>
      <c r="AA709" s="262"/>
      <c r="AB709" s="249">
        <f t="shared" si="674"/>
        <v>0</v>
      </c>
      <c r="AC709" s="210"/>
      <c r="AD709" s="236">
        <f t="shared" si="699"/>
        <v>1</v>
      </c>
      <c r="AE709" s="236">
        <f t="shared" si="700"/>
        <v>1</v>
      </c>
      <c r="AF709" s="236">
        <f t="shared" si="701"/>
        <v>0</v>
      </c>
      <c r="AG709" s="236">
        <v>1</v>
      </c>
      <c r="AH709" s="236">
        <v>0</v>
      </c>
      <c r="AI709" s="236">
        <f t="shared" si="677"/>
        <v>-100</v>
      </c>
      <c r="AJ709" s="210"/>
      <c r="AK709" s="254"/>
      <c r="AL709" s="254"/>
      <c r="AM709" s="255"/>
      <c r="AN709" s="255"/>
      <c r="AO709" s="255"/>
      <c r="AP709" s="255"/>
      <c r="AQ709" s="255"/>
      <c r="AR709" s="255"/>
      <c r="AS709" s="255"/>
      <c r="AT709" s="255"/>
      <c r="AU709" s="255"/>
      <c r="AV709" s="255"/>
      <c r="AW709" s="255"/>
      <c r="AX709" s="210"/>
      <c r="AY709" s="236" cm="1">
        <f t="array" ref="AY709">INDEX(Use, $AD709, 4)</f>
        <v>7</v>
      </c>
      <c r="AZ709" s="236">
        <f t="shared" si="678"/>
        <v>32</v>
      </c>
      <c r="BA709" s="236">
        <f t="shared" si="666"/>
        <v>13</v>
      </c>
      <c r="BB709" s="236">
        <f t="shared" si="667"/>
        <v>0</v>
      </c>
      <c r="BC709" s="252" cm="1">
        <f t="array" ref="BC709">K709/IF($L709&gt;0, INDEX($AO$23:$AU$77, $L709+20, $AD709), 1)</f>
        <v>0</v>
      </c>
      <c r="BD709" s="237">
        <f t="shared" si="679"/>
        <v>0</v>
      </c>
      <c r="BE709" s="236">
        <v>35</v>
      </c>
      <c r="BF709" s="237">
        <f t="shared" si="680"/>
        <v>52.55</v>
      </c>
      <c r="BG709" s="253">
        <f t="shared" si="681"/>
        <v>2.7676728869374316</v>
      </c>
      <c r="BH709" s="253" cm="1">
        <f t="array" ref="BH709">$BC709 * SUMPRODUCT(INDEX($AL$77:$AN$82,,$AE709),INDEX($AO$77:$AU$82,,$AD709), N($AK$77:$AK$82&gt;$AI709)) / BG709 / 1000</f>
        <v>0</v>
      </c>
      <c r="BI709" s="250">
        <f t="shared" si="668"/>
        <v>30</v>
      </c>
      <c r="BJ709" s="237">
        <f t="shared" si="682"/>
        <v>46.033333333333331</v>
      </c>
      <c r="BK709" s="253">
        <f t="shared" si="683"/>
        <v>3.2297395388556791</v>
      </c>
      <c r="BL709" s="253" cm="1">
        <f t="array" ref="BL709">$BC709 * IF($AD709&lt;=2,
SUMPRODUCT(INDEX($AL$72:$AN$76,,$AE709), INDEX($AO$72:$AU$76,,$AD709), 1 / ($AV$72:$AV$76*BK709 + (1-$AV$72:$AV$76)*BG709), N($AK$72:$AK$76&gt;$AI709)),
SUMPRODUCT(INDEX($AL$67:$AN$76,,$AE709), INDEX($AO$67:$AU$76,,$AD709), 1 / ($AW$67:$AW$76*BK709 + (1-$AW$67:$AW$76)*BG709), N($AK$67:$AK$76&gt;$AI709))
) / 1000</f>
        <v>0</v>
      </c>
      <c r="BM709" s="250">
        <f t="shared" si="669"/>
        <v>25</v>
      </c>
      <c r="BN709" s="237">
        <f t="shared" si="684"/>
        <v>39.516666666666666</v>
      </c>
      <c r="BO709" s="253">
        <f t="shared" si="685"/>
        <v>3.877011788826243</v>
      </c>
      <c r="BP709" s="253" cm="1">
        <f t="array" ref="BP709">$BC709 * IF($AD709&lt;=2,
SUMPRODUCT(INDEX($AL$67:$AN$71,,$AE709), INDEX($AO$67:$AU$71,,$AD709), 1 / ($AV$67:$AV$71*BO709 + (1-$AV$67:$AV$71)*BK709), N($AK$67:$AK$71&gt;$AI709)),
SUMPRODUCT(INDEX($AL$57:$AN$66,,$AE709), INDEX($AO$57:$AU$66,,$AD709), 1 / ($AW$57:$AW$66*BO709 + (1-$AW$57:$AW$66)*BK709), N($AK$57:$AK$66&gt;$AI709))
) / 1000</f>
        <v>0</v>
      </c>
      <c r="BQ709" s="250">
        <f t="shared" si="670"/>
        <v>20</v>
      </c>
      <c r="BR709" s="237">
        <f t="shared" si="686"/>
        <v>33</v>
      </c>
      <c r="BS709" s="253">
        <f t="shared" si="687"/>
        <v>4.8487499999999999</v>
      </c>
      <c r="BT709" s="253" cm="1">
        <f t="array" ref="BT709">$BC709 * IF($AD709&lt;=2,
SUMPRODUCT(INDEX($AL$62:$AN$66,,$AE709), INDEX($AO$62:$AU$66,,$AD709), 1 / ($AV$62:$AV$66*BS709 + (1-$AV$62:$AV$66)*BO709), N($AK$62:$AK$66&gt;$AI709)),
SUMPRODUCT(INDEX($AL$47:$AN$56,,$AE709), INDEX($AO$47:$AU$56,,$AD709), 1 / ($AW$47:$AW$56*BS709 + (1-$AW$47:$AW$56)*BO709), N($AK$47:$AK$56&gt;$AI709))
) / 1000</f>
        <v>0</v>
      </c>
      <c r="BU709" s="253" cm="1">
        <f t="array" ref="BU709">$BC709 * IF($AD709&lt;=2,
SUMPRODUCT(INDEX($AL$23:$AN$61,,$AE709), INDEX($AO$23:$AU$61,,$AD709), 1 / ($AV$23:$AV$61*BS709), N($AK$23:$AK$61&gt;$AI709)),
SUMPRODUCT(INDEX($AL$23:$AN$46,,$AE709), INDEX($AO$23:$AU$46,,$AD709), 1 / ($AW$23:$AW$46*BS709), N($AK$23:$AK$46&gt;$AI709))
) / 1000</f>
        <v>0</v>
      </c>
      <c r="BV709" s="237">
        <f t="shared" si="688"/>
        <v>0</v>
      </c>
      <c r="BW709" s="210"/>
      <c r="BX709" s="237">
        <f t="shared" si="689"/>
        <v>0</v>
      </c>
      <c r="BY709" s="236">
        <v>35</v>
      </c>
      <c r="BZ709" s="237">
        <f t="shared" si="690"/>
        <v>48</v>
      </c>
      <c r="CA709" s="253">
        <f t="shared" si="691"/>
        <v>3.0748170731707316</v>
      </c>
      <c r="CB709" s="253" cm="1">
        <f t="array" ref="CB709">$BC709 * SUMPRODUCT(INDEX($AL$77:$AN$82,,$AE709),INDEX($AO$77:$AU$82,,$AD709), N($AK$77:$AK$82&gt;$AI709)) / CA709 / 1000</f>
        <v>0</v>
      </c>
      <c r="CC709" s="250">
        <f t="shared" si="671"/>
        <v>30</v>
      </c>
      <c r="CD709" s="237">
        <f t="shared" si="692"/>
        <v>43</v>
      </c>
      <c r="CE709" s="253">
        <f t="shared" si="693"/>
        <v>3.5018750000000001</v>
      </c>
      <c r="CF709" s="253" cm="1">
        <f t="array" ref="CF709">$BC709 * IF($AD709&lt;=2,
SUMPRODUCT(INDEX($AL$72:$AN$76,,$AE709), INDEX($AO$72:$AU$76,,$AD709), 1 / ($AV$72:$AV$76*CE709 + (1-$AV$72:$AV$76)*CA709), N($AK$72:$AK$76&gt;$AI709)),
SUMPRODUCT(INDEX($AL$67:$AN$76,,$AE709), INDEX($AO$67:$AU$76,,$AD709), 1 / ($AW$67:$AW$76*CE709 + (1-$AW$67:$AW$76)*CA709), N($AK$67:$AK$76&gt;$AI709))
) / 1000</f>
        <v>0</v>
      </c>
      <c r="CG709" s="250">
        <f t="shared" si="672"/>
        <v>25</v>
      </c>
      <c r="CH709" s="237">
        <f t="shared" si="694"/>
        <v>38</v>
      </c>
      <c r="CI709" s="253">
        <f t="shared" si="695"/>
        <v>4.0666935483870965</v>
      </c>
      <c r="CJ709" s="253" cm="1">
        <f t="array" ref="CJ709">$BC709 * IF($AD709&lt;=2,
SUMPRODUCT(INDEX($AL$67:$AN$71,,$AE709), INDEX($AO$67:$AU$71,,$AD709), 1 / ($AV$67:$AV$71*CI709 + (1-$AV$67:$AV$71)*CE709), N($AK$67:$AK$71&gt;$AI709)),
SUMPRODUCT(INDEX($AL$57:$AN$66,,$AE709), INDEX($AO$57:$AU$66,,$AD709), 1 / ($AW$57:$AW$66*CI709 + (1-$AW$57:$AW$66)*CE709), N($AK$57:$AK$66&gt;$AI709))
) / 1000</f>
        <v>0</v>
      </c>
      <c r="CK709" s="250">
        <f t="shared" si="673"/>
        <v>20</v>
      </c>
      <c r="CL709" s="237">
        <f t="shared" si="696"/>
        <v>33</v>
      </c>
      <c r="CM709" s="253">
        <f t="shared" si="697"/>
        <v>4.8487499999999999</v>
      </c>
      <c r="CN709" s="253" cm="1">
        <f t="array" ref="CN709">$BC709 * IF($AD709&lt;=2,
SUMPRODUCT(INDEX($AL$62:$AN$66,,$AE709), INDEX($AO$62:$AU$66,,$AD709), 1 / ($AV$62:$AV$66*CM709 + (1-$AV$62:$AV$66)*CI709), N($AK$62:$AK$66&gt;$AI709)),
SUMPRODUCT(INDEX($AL$47:$AN$56,,$AE709), INDEX($AO$47:$AU$56,,$AD709), 1 / ($AW$47:$AW$56*CM709 + (1-$AW$47:$AW$56)*CI709), N($AK$47:$AK$56&gt;$AI709))
) / 1000</f>
        <v>0</v>
      </c>
      <c r="CO709" s="253" cm="1">
        <f t="array" ref="CO709">$BC709 * IF($AD709&lt;=2,
SUMPRODUCT(INDEX($AL$23:$AN$61,,$AE709), INDEX($AO$23:$AU$61,,$AD709), 1 / ($AV$23:$AV$61*CM709), N($AK$23:$AK$61&gt;$AI709)),
SUMPRODUCT(INDEX($AL$23:$AN$46,,$AE709), INDEX($AO$23:$AU$46,,$AD709), 1 / ($AW$23:$AW$46*CM709), N($AK$23:$AK$46&gt;$AI709))
) / 1000</f>
        <v>0</v>
      </c>
      <c r="CP709" s="237">
        <f t="shared" si="698"/>
        <v>0</v>
      </c>
      <c r="CQ709" s="210"/>
    </row>
    <row r="710" spans="1:95" s="76" customFormat="1" ht="14.25" customHeight="1" x14ac:dyDescent="0.2">
      <c r="A710" s="238" t="b">
        <f t="shared" si="665"/>
        <v>0</v>
      </c>
      <c r="B710" s="239">
        <v>688</v>
      </c>
      <c r="C710" s="258"/>
      <c r="D710" s="258"/>
      <c r="E710" s="240"/>
      <c r="F710" s="241" t="str">
        <f>IF(ISBLANK(E710), "", VLOOKUP(E710, Z!$A$2:$C$4127, 3, FALSE))</f>
        <v/>
      </c>
      <c r="G710" s="242"/>
      <c r="H710" s="242"/>
      <c r="I710" s="243"/>
      <c r="J710" s="244"/>
      <c r="K710" s="259"/>
      <c r="L710" s="260"/>
      <c r="M710" s="247" t="str" cm="1">
        <f t="array" ref="M710">IF($K710&gt;0, INDEX(Clean,1+AG710,$C$1), "")</f>
        <v/>
      </c>
      <c r="N710" s="245"/>
      <c r="O710" s="245"/>
      <c r="P710" s="246"/>
      <c r="Q710" s="248">
        <f t="shared" si="675"/>
        <v>0</v>
      </c>
      <c r="R710" s="247" t="str" cm="1">
        <f t="array" ref="R710">IF($K710&gt;0, INDEX(Clean,1+AH710,$C$1), "")</f>
        <v/>
      </c>
      <c r="S710" s="245"/>
      <c r="T710" s="245"/>
      <c r="U710" s="246"/>
      <c r="V710" s="248">
        <f t="shared" si="676"/>
        <v>0</v>
      </c>
      <c r="W710" s="261"/>
      <c r="X710" s="258"/>
      <c r="Y710" s="240"/>
      <c r="Z710" s="241" t="str">
        <f>IF(ISBLANK(Y710), "", VLOOKUP(Y710, Z!$A$2:$C$4127, 3, FALSE))</f>
        <v/>
      </c>
      <c r="AA710" s="262"/>
      <c r="AB710" s="249">
        <f t="shared" si="674"/>
        <v>0</v>
      </c>
      <c r="AC710" s="210"/>
      <c r="AD710" s="236">
        <f t="shared" si="699"/>
        <v>1</v>
      </c>
      <c r="AE710" s="236">
        <f t="shared" si="700"/>
        <v>1</v>
      </c>
      <c r="AF710" s="236">
        <f t="shared" si="701"/>
        <v>0</v>
      </c>
      <c r="AG710" s="236">
        <v>1</v>
      </c>
      <c r="AH710" s="236">
        <v>0</v>
      </c>
      <c r="AI710" s="236">
        <f t="shared" si="677"/>
        <v>-100</v>
      </c>
      <c r="AJ710" s="210"/>
      <c r="AK710" s="254"/>
      <c r="AL710" s="254"/>
      <c r="AM710" s="255"/>
      <c r="AN710" s="255"/>
      <c r="AO710" s="255"/>
      <c r="AP710" s="255"/>
      <c r="AQ710" s="255"/>
      <c r="AR710" s="255"/>
      <c r="AS710" s="255"/>
      <c r="AT710" s="255"/>
      <c r="AU710" s="255"/>
      <c r="AV710" s="255"/>
      <c r="AW710" s="255"/>
      <c r="AX710" s="210"/>
      <c r="AY710" s="236" cm="1">
        <f t="array" ref="AY710">INDEX(Use, $AD710, 4)</f>
        <v>7</v>
      </c>
      <c r="AZ710" s="236">
        <f t="shared" si="678"/>
        <v>32</v>
      </c>
      <c r="BA710" s="236">
        <f t="shared" si="666"/>
        <v>13</v>
      </c>
      <c r="BB710" s="236">
        <f t="shared" si="667"/>
        <v>0</v>
      </c>
      <c r="BC710" s="252" cm="1">
        <f t="array" ref="BC710">K710/IF($L710&gt;0, INDEX($AO$23:$AU$77, $L710+20, $AD710), 1)</f>
        <v>0</v>
      </c>
      <c r="BD710" s="237">
        <f t="shared" si="679"/>
        <v>0</v>
      </c>
      <c r="BE710" s="236">
        <v>35</v>
      </c>
      <c r="BF710" s="237">
        <f t="shared" si="680"/>
        <v>52.55</v>
      </c>
      <c r="BG710" s="253">
        <f t="shared" si="681"/>
        <v>2.7676728869374316</v>
      </c>
      <c r="BH710" s="253" cm="1">
        <f t="array" ref="BH710">$BC710 * SUMPRODUCT(INDEX($AL$77:$AN$82,,$AE710),INDEX($AO$77:$AU$82,,$AD710), N($AK$77:$AK$82&gt;$AI710)) / BG710 / 1000</f>
        <v>0</v>
      </c>
      <c r="BI710" s="250">
        <f t="shared" si="668"/>
        <v>30</v>
      </c>
      <c r="BJ710" s="237">
        <f t="shared" si="682"/>
        <v>46.033333333333331</v>
      </c>
      <c r="BK710" s="253">
        <f t="shared" si="683"/>
        <v>3.2297395388556791</v>
      </c>
      <c r="BL710" s="253" cm="1">
        <f t="array" ref="BL710">$BC710 * IF($AD710&lt;=2,
SUMPRODUCT(INDEX($AL$72:$AN$76,,$AE710), INDEX($AO$72:$AU$76,,$AD710), 1 / ($AV$72:$AV$76*BK710 + (1-$AV$72:$AV$76)*BG710), N($AK$72:$AK$76&gt;$AI710)),
SUMPRODUCT(INDEX($AL$67:$AN$76,,$AE710), INDEX($AO$67:$AU$76,,$AD710), 1 / ($AW$67:$AW$76*BK710 + (1-$AW$67:$AW$76)*BG710), N($AK$67:$AK$76&gt;$AI710))
) / 1000</f>
        <v>0</v>
      </c>
      <c r="BM710" s="250">
        <f t="shared" si="669"/>
        <v>25</v>
      </c>
      <c r="BN710" s="237">
        <f t="shared" si="684"/>
        <v>39.516666666666666</v>
      </c>
      <c r="BO710" s="253">
        <f t="shared" si="685"/>
        <v>3.877011788826243</v>
      </c>
      <c r="BP710" s="253" cm="1">
        <f t="array" ref="BP710">$BC710 * IF($AD710&lt;=2,
SUMPRODUCT(INDEX($AL$67:$AN$71,,$AE710), INDEX($AO$67:$AU$71,,$AD710), 1 / ($AV$67:$AV$71*BO710 + (1-$AV$67:$AV$71)*BK710), N($AK$67:$AK$71&gt;$AI710)),
SUMPRODUCT(INDEX($AL$57:$AN$66,,$AE710), INDEX($AO$57:$AU$66,,$AD710), 1 / ($AW$57:$AW$66*BO710 + (1-$AW$57:$AW$66)*BK710), N($AK$57:$AK$66&gt;$AI710))
) / 1000</f>
        <v>0</v>
      </c>
      <c r="BQ710" s="250">
        <f t="shared" si="670"/>
        <v>20</v>
      </c>
      <c r="BR710" s="237">
        <f t="shared" si="686"/>
        <v>33</v>
      </c>
      <c r="BS710" s="253">
        <f t="shared" si="687"/>
        <v>4.8487499999999999</v>
      </c>
      <c r="BT710" s="253" cm="1">
        <f t="array" ref="BT710">$BC710 * IF($AD710&lt;=2,
SUMPRODUCT(INDEX($AL$62:$AN$66,,$AE710), INDEX($AO$62:$AU$66,,$AD710), 1 / ($AV$62:$AV$66*BS710 + (1-$AV$62:$AV$66)*BO710), N($AK$62:$AK$66&gt;$AI710)),
SUMPRODUCT(INDEX($AL$47:$AN$56,,$AE710), INDEX($AO$47:$AU$56,,$AD710), 1 / ($AW$47:$AW$56*BS710 + (1-$AW$47:$AW$56)*BO710), N($AK$47:$AK$56&gt;$AI710))
) / 1000</f>
        <v>0</v>
      </c>
      <c r="BU710" s="253" cm="1">
        <f t="array" ref="BU710">$BC710 * IF($AD710&lt;=2,
SUMPRODUCT(INDEX($AL$23:$AN$61,,$AE710), INDEX($AO$23:$AU$61,,$AD710), 1 / ($AV$23:$AV$61*BS710), N($AK$23:$AK$61&gt;$AI710)),
SUMPRODUCT(INDEX($AL$23:$AN$46,,$AE710), INDEX($AO$23:$AU$46,,$AD710), 1 / ($AW$23:$AW$46*BS710), N($AK$23:$AK$46&gt;$AI710))
) / 1000</f>
        <v>0</v>
      </c>
      <c r="BV710" s="237">
        <f t="shared" si="688"/>
        <v>0</v>
      </c>
      <c r="BW710" s="210"/>
      <c r="BX710" s="237">
        <f t="shared" si="689"/>
        <v>0</v>
      </c>
      <c r="BY710" s="236">
        <v>35</v>
      </c>
      <c r="BZ710" s="237">
        <f t="shared" si="690"/>
        <v>48</v>
      </c>
      <c r="CA710" s="253">
        <f t="shared" si="691"/>
        <v>3.0748170731707316</v>
      </c>
      <c r="CB710" s="253" cm="1">
        <f t="array" ref="CB710">$BC710 * SUMPRODUCT(INDEX($AL$77:$AN$82,,$AE710),INDEX($AO$77:$AU$82,,$AD710), N($AK$77:$AK$82&gt;$AI710)) / CA710 / 1000</f>
        <v>0</v>
      </c>
      <c r="CC710" s="250">
        <f t="shared" si="671"/>
        <v>30</v>
      </c>
      <c r="CD710" s="237">
        <f t="shared" si="692"/>
        <v>43</v>
      </c>
      <c r="CE710" s="253">
        <f t="shared" si="693"/>
        <v>3.5018750000000001</v>
      </c>
      <c r="CF710" s="253" cm="1">
        <f t="array" ref="CF710">$BC710 * IF($AD710&lt;=2,
SUMPRODUCT(INDEX($AL$72:$AN$76,,$AE710), INDEX($AO$72:$AU$76,,$AD710), 1 / ($AV$72:$AV$76*CE710 + (1-$AV$72:$AV$76)*CA710), N($AK$72:$AK$76&gt;$AI710)),
SUMPRODUCT(INDEX($AL$67:$AN$76,,$AE710), INDEX($AO$67:$AU$76,,$AD710), 1 / ($AW$67:$AW$76*CE710 + (1-$AW$67:$AW$76)*CA710), N($AK$67:$AK$76&gt;$AI710))
) / 1000</f>
        <v>0</v>
      </c>
      <c r="CG710" s="250">
        <f t="shared" si="672"/>
        <v>25</v>
      </c>
      <c r="CH710" s="237">
        <f t="shared" si="694"/>
        <v>38</v>
      </c>
      <c r="CI710" s="253">
        <f t="shared" si="695"/>
        <v>4.0666935483870965</v>
      </c>
      <c r="CJ710" s="253" cm="1">
        <f t="array" ref="CJ710">$BC710 * IF($AD710&lt;=2,
SUMPRODUCT(INDEX($AL$67:$AN$71,,$AE710), INDEX($AO$67:$AU$71,,$AD710), 1 / ($AV$67:$AV$71*CI710 + (1-$AV$67:$AV$71)*CE710), N($AK$67:$AK$71&gt;$AI710)),
SUMPRODUCT(INDEX($AL$57:$AN$66,,$AE710), INDEX($AO$57:$AU$66,,$AD710), 1 / ($AW$57:$AW$66*CI710 + (1-$AW$57:$AW$66)*CE710), N($AK$57:$AK$66&gt;$AI710))
) / 1000</f>
        <v>0</v>
      </c>
      <c r="CK710" s="250">
        <f t="shared" si="673"/>
        <v>20</v>
      </c>
      <c r="CL710" s="237">
        <f t="shared" si="696"/>
        <v>33</v>
      </c>
      <c r="CM710" s="253">
        <f t="shared" si="697"/>
        <v>4.8487499999999999</v>
      </c>
      <c r="CN710" s="253" cm="1">
        <f t="array" ref="CN710">$BC710 * IF($AD710&lt;=2,
SUMPRODUCT(INDEX($AL$62:$AN$66,,$AE710), INDEX($AO$62:$AU$66,,$AD710), 1 / ($AV$62:$AV$66*CM710 + (1-$AV$62:$AV$66)*CI710), N($AK$62:$AK$66&gt;$AI710)),
SUMPRODUCT(INDEX($AL$47:$AN$56,,$AE710), INDEX($AO$47:$AU$56,,$AD710), 1 / ($AW$47:$AW$56*CM710 + (1-$AW$47:$AW$56)*CI710), N($AK$47:$AK$56&gt;$AI710))
) / 1000</f>
        <v>0</v>
      </c>
      <c r="CO710" s="253" cm="1">
        <f t="array" ref="CO710">$BC710 * IF($AD710&lt;=2,
SUMPRODUCT(INDEX($AL$23:$AN$61,,$AE710), INDEX($AO$23:$AU$61,,$AD710), 1 / ($AV$23:$AV$61*CM710), N($AK$23:$AK$61&gt;$AI710)),
SUMPRODUCT(INDEX($AL$23:$AN$46,,$AE710), INDEX($AO$23:$AU$46,,$AD710), 1 / ($AW$23:$AW$46*CM710), N($AK$23:$AK$46&gt;$AI710))
) / 1000</f>
        <v>0</v>
      </c>
      <c r="CP710" s="237">
        <f t="shared" si="698"/>
        <v>0</v>
      </c>
      <c r="CQ710" s="210"/>
    </row>
    <row r="711" spans="1:95" s="76" customFormat="1" ht="14.25" customHeight="1" x14ac:dyDescent="0.2">
      <c r="A711" s="238" t="b">
        <f t="shared" si="665"/>
        <v>0</v>
      </c>
      <c r="B711" s="239">
        <v>689</v>
      </c>
      <c r="C711" s="258"/>
      <c r="D711" s="258"/>
      <c r="E711" s="240"/>
      <c r="F711" s="241" t="str">
        <f>IF(ISBLANK(E711), "", VLOOKUP(E711, Z!$A$2:$C$4127, 3, FALSE))</f>
        <v/>
      </c>
      <c r="G711" s="242"/>
      <c r="H711" s="242"/>
      <c r="I711" s="243"/>
      <c r="J711" s="244"/>
      <c r="K711" s="259"/>
      <c r="L711" s="260"/>
      <c r="M711" s="247" t="str" cm="1">
        <f t="array" ref="M711">IF($K711&gt;0, INDEX(Clean,1+AG711,$C$1), "")</f>
        <v/>
      </c>
      <c r="N711" s="245"/>
      <c r="O711" s="245"/>
      <c r="P711" s="246"/>
      <c r="Q711" s="248">
        <f t="shared" si="675"/>
        <v>0</v>
      </c>
      <c r="R711" s="247" t="str" cm="1">
        <f t="array" ref="R711">IF($K711&gt;0, INDEX(Clean,1+AH711,$C$1), "")</f>
        <v/>
      </c>
      <c r="S711" s="245"/>
      <c r="T711" s="245"/>
      <c r="U711" s="246"/>
      <c r="V711" s="248">
        <f t="shared" si="676"/>
        <v>0</v>
      </c>
      <c r="W711" s="261"/>
      <c r="X711" s="258"/>
      <c r="Y711" s="240"/>
      <c r="Z711" s="241" t="str">
        <f>IF(ISBLANK(Y711), "", VLOOKUP(Y711, Z!$A$2:$C$4127, 3, FALSE))</f>
        <v/>
      </c>
      <c r="AA711" s="262"/>
      <c r="AB711" s="249">
        <f t="shared" si="674"/>
        <v>0</v>
      </c>
      <c r="AC711" s="210"/>
      <c r="AD711" s="236">
        <f t="shared" si="699"/>
        <v>1</v>
      </c>
      <c r="AE711" s="236">
        <f t="shared" si="700"/>
        <v>1</v>
      </c>
      <c r="AF711" s="236">
        <f t="shared" si="701"/>
        <v>0</v>
      </c>
      <c r="AG711" s="236">
        <v>1</v>
      </c>
      <c r="AH711" s="236">
        <v>0</v>
      </c>
      <c r="AI711" s="236">
        <f t="shared" si="677"/>
        <v>-100</v>
      </c>
      <c r="AJ711" s="210"/>
      <c r="AK711" s="254"/>
      <c r="AL711" s="254"/>
      <c r="AM711" s="255"/>
      <c r="AN711" s="255"/>
      <c r="AO711" s="255"/>
      <c r="AP711" s="255"/>
      <c r="AQ711" s="255"/>
      <c r="AR711" s="255"/>
      <c r="AS711" s="255"/>
      <c r="AT711" s="255"/>
      <c r="AU711" s="255"/>
      <c r="AV711" s="255"/>
      <c r="AW711" s="255"/>
      <c r="AX711" s="210"/>
      <c r="AY711" s="236" cm="1">
        <f t="array" ref="AY711">INDEX(Use, $AD711, 4)</f>
        <v>7</v>
      </c>
      <c r="AZ711" s="236">
        <f t="shared" si="678"/>
        <v>32</v>
      </c>
      <c r="BA711" s="236">
        <f t="shared" si="666"/>
        <v>13</v>
      </c>
      <c r="BB711" s="236">
        <f t="shared" si="667"/>
        <v>0</v>
      </c>
      <c r="BC711" s="252" cm="1">
        <f t="array" ref="BC711">K711/IF($L711&gt;0, INDEX($AO$23:$AU$77, $L711+20, $AD711), 1)</f>
        <v>0</v>
      </c>
      <c r="BD711" s="237">
        <f t="shared" si="679"/>
        <v>0</v>
      </c>
      <c r="BE711" s="236">
        <v>35</v>
      </c>
      <c r="BF711" s="237">
        <f t="shared" si="680"/>
        <v>52.55</v>
      </c>
      <c r="BG711" s="253">
        <f t="shared" si="681"/>
        <v>2.7676728869374316</v>
      </c>
      <c r="BH711" s="253" cm="1">
        <f t="array" ref="BH711">$BC711 * SUMPRODUCT(INDEX($AL$77:$AN$82,,$AE711),INDEX($AO$77:$AU$82,,$AD711), N($AK$77:$AK$82&gt;$AI711)) / BG711 / 1000</f>
        <v>0</v>
      </c>
      <c r="BI711" s="250">
        <f t="shared" si="668"/>
        <v>30</v>
      </c>
      <c r="BJ711" s="237">
        <f t="shared" si="682"/>
        <v>46.033333333333331</v>
      </c>
      <c r="BK711" s="253">
        <f t="shared" si="683"/>
        <v>3.2297395388556791</v>
      </c>
      <c r="BL711" s="253" cm="1">
        <f t="array" ref="BL711">$BC711 * IF($AD711&lt;=2,
SUMPRODUCT(INDEX($AL$72:$AN$76,,$AE711), INDEX($AO$72:$AU$76,,$AD711), 1 / ($AV$72:$AV$76*BK711 + (1-$AV$72:$AV$76)*BG711), N($AK$72:$AK$76&gt;$AI711)),
SUMPRODUCT(INDEX($AL$67:$AN$76,,$AE711), INDEX($AO$67:$AU$76,,$AD711), 1 / ($AW$67:$AW$76*BK711 + (1-$AW$67:$AW$76)*BG711), N($AK$67:$AK$76&gt;$AI711))
) / 1000</f>
        <v>0</v>
      </c>
      <c r="BM711" s="250">
        <f t="shared" si="669"/>
        <v>25</v>
      </c>
      <c r="BN711" s="237">
        <f t="shared" si="684"/>
        <v>39.516666666666666</v>
      </c>
      <c r="BO711" s="253">
        <f t="shared" si="685"/>
        <v>3.877011788826243</v>
      </c>
      <c r="BP711" s="253" cm="1">
        <f t="array" ref="BP711">$BC711 * IF($AD711&lt;=2,
SUMPRODUCT(INDEX($AL$67:$AN$71,,$AE711), INDEX($AO$67:$AU$71,,$AD711), 1 / ($AV$67:$AV$71*BO711 + (1-$AV$67:$AV$71)*BK711), N($AK$67:$AK$71&gt;$AI711)),
SUMPRODUCT(INDEX($AL$57:$AN$66,,$AE711), INDEX($AO$57:$AU$66,,$AD711), 1 / ($AW$57:$AW$66*BO711 + (1-$AW$57:$AW$66)*BK711), N($AK$57:$AK$66&gt;$AI711))
) / 1000</f>
        <v>0</v>
      </c>
      <c r="BQ711" s="250">
        <f t="shared" si="670"/>
        <v>20</v>
      </c>
      <c r="BR711" s="237">
        <f t="shared" si="686"/>
        <v>33</v>
      </c>
      <c r="BS711" s="253">
        <f t="shared" si="687"/>
        <v>4.8487499999999999</v>
      </c>
      <c r="BT711" s="253" cm="1">
        <f t="array" ref="BT711">$BC711 * IF($AD711&lt;=2,
SUMPRODUCT(INDEX($AL$62:$AN$66,,$AE711), INDEX($AO$62:$AU$66,,$AD711), 1 / ($AV$62:$AV$66*BS711 + (1-$AV$62:$AV$66)*BO711), N($AK$62:$AK$66&gt;$AI711)),
SUMPRODUCT(INDEX($AL$47:$AN$56,,$AE711), INDEX($AO$47:$AU$56,,$AD711), 1 / ($AW$47:$AW$56*BS711 + (1-$AW$47:$AW$56)*BO711), N($AK$47:$AK$56&gt;$AI711))
) / 1000</f>
        <v>0</v>
      </c>
      <c r="BU711" s="253" cm="1">
        <f t="array" ref="BU711">$BC711 * IF($AD711&lt;=2,
SUMPRODUCT(INDEX($AL$23:$AN$61,,$AE711), INDEX($AO$23:$AU$61,,$AD711), 1 / ($AV$23:$AV$61*BS711), N($AK$23:$AK$61&gt;$AI711)),
SUMPRODUCT(INDEX($AL$23:$AN$46,,$AE711), INDEX($AO$23:$AU$46,,$AD711), 1 / ($AW$23:$AW$46*BS711), N($AK$23:$AK$46&gt;$AI711))
) / 1000</f>
        <v>0</v>
      </c>
      <c r="BV711" s="237">
        <f t="shared" si="688"/>
        <v>0</v>
      </c>
      <c r="BW711" s="210"/>
      <c r="BX711" s="237">
        <f t="shared" si="689"/>
        <v>0</v>
      </c>
      <c r="BY711" s="236">
        <v>35</v>
      </c>
      <c r="BZ711" s="237">
        <f t="shared" si="690"/>
        <v>48</v>
      </c>
      <c r="CA711" s="253">
        <f t="shared" si="691"/>
        <v>3.0748170731707316</v>
      </c>
      <c r="CB711" s="253" cm="1">
        <f t="array" ref="CB711">$BC711 * SUMPRODUCT(INDEX($AL$77:$AN$82,,$AE711),INDEX($AO$77:$AU$82,,$AD711), N($AK$77:$AK$82&gt;$AI711)) / CA711 / 1000</f>
        <v>0</v>
      </c>
      <c r="CC711" s="250">
        <f t="shared" si="671"/>
        <v>30</v>
      </c>
      <c r="CD711" s="237">
        <f t="shared" si="692"/>
        <v>43</v>
      </c>
      <c r="CE711" s="253">
        <f t="shared" si="693"/>
        <v>3.5018750000000001</v>
      </c>
      <c r="CF711" s="253" cm="1">
        <f t="array" ref="CF711">$BC711 * IF($AD711&lt;=2,
SUMPRODUCT(INDEX($AL$72:$AN$76,,$AE711), INDEX($AO$72:$AU$76,,$AD711), 1 / ($AV$72:$AV$76*CE711 + (1-$AV$72:$AV$76)*CA711), N($AK$72:$AK$76&gt;$AI711)),
SUMPRODUCT(INDEX($AL$67:$AN$76,,$AE711), INDEX($AO$67:$AU$76,,$AD711), 1 / ($AW$67:$AW$76*CE711 + (1-$AW$67:$AW$76)*CA711), N($AK$67:$AK$76&gt;$AI711))
) / 1000</f>
        <v>0</v>
      </c>
      <c r="CG711" s="250">
        <f t="shared" si="672"/>
        <v>25</v>
      </c>
      <c r="CH711" s="237">
        <f t="shared" si="694"/>
        <v>38</v>
      </c>
      <c r="CI711" s="253">
        <f t="shared" si="695"/>
        <v>4.0666935483870965</v>
      </c>
      <c r="CJ711" s="253" cm="1">
        <f t="array" ref="CJ711">$BC711 * IF($AD711&lt;=2,
SUMPRODUCT(INDEX($AL$67:$AN$71,,$AE711), INDEX($AO$67:$AU$71,,$AD711), 1 / ($AV$67:$AV$71*CI711 + (1-$AV$67:$AV$71)*CE711), N($AK$67:$AK$71&gt;$AI711)),
SUMPRODUCT(INDEX($AL$57:$AN$66,,$AE711), INDEX($AO$57:$AU$66,,$AD711), 1 / ($AW$57:$AW$66*CI711 + (1-$AW$57:$AW$66)*CE711), N($AK$57:$AK$66&gt;$AI711))
) / 1000</f>
        <v>0</v>
      </c>
      <c r="CK711" s="250">
        <f t="shared" si="673"/>
        <v>20</v>
      </c>
      <c r="CL711" s="237">
        <f t="shared" si="696"/>
        <v>33</v>
      </c>
      <c r="CM711" s="253">
        <f t="shared" si="697"/>
        <v>4.8487499999999999</v>
      </c>
      <c r="CN711" s="253" cm="1">
        <f t="array" ref="CN711">$BC711 * IF($AD711&lt;=2,
SUMPRODUCT(INDEX($AL$62:$AN$66,,$AE711), INDEX($AO$62:$AU$66,,$AD711), 1 / ($AV$62:$AV$66*CM711 + (1-$AV$62:$AV$66)*CI711), N($AK$62:$AK$66&gt;$AI711)),
SUMPRODUCT(INDEX($AL$47:$AN$56,,$AE711), INDEX($AO$47:$AU$56,,$AD711), 1 / ($AW$47:$AW$56*CM711 + (1-$AW$47:$AW$56)*CI711), N($AK$47:$AK$56&gt;$AI711))
) / 1000</f>
        <v>0</v>
      </c>
      <c r="CO711" s="253" cm="1">
        <f t="array" ref="CO711">$BC711 * IF($AD711&lt;=2,
SUMPRODUCT(INDEX($AL$23:$AN$61,,$AE711), INDEX($AO$23:$AU$61,,$AD711), 1 / ($AV$23:$AV$61*CM711), N($AK$23:$AK$61&gt;$AI711)),
SUMPRODUCT(INDEX($AL$23:$AN$46,,$AE711), INDEX($AO$23:$AU$46,,$AD711), 1 / ($AW$23:$AW$46*CM711), N($AK$23:$AK$46&gt;$AI711))
) / 1000</f>
        <v>0</v>
      </c>
      <c r="CP711" s="237">
        <f t="shared" si="698"/>
        <v>0</v>
      </c>
      <c r="CQ711" s="210"/>
    </row>
    <row r="712" spans="1:95" s="76" customFormat="1" ht="14.25" customHeight="1" x14ac:dyDescent="0.2">
      <c r="A712" s="238" t="b">
        <f t="shared" si="665"/>
        <v>0</v>
      </c>
      <c r="B712" s="239">
        <v>690</v>
      </c>
      <c r="C712" s="258"/>
      <c r="D712" s="258"/>
      <c r="E712" s="240"/>
      <c r="F712" s="241" t="str">
        <f>IF(ISBLANK(E712), "", VLOOKUP(E712, Z!$A$2:$C$4127, 3, FALSE))</f>
        <v/>
      </c>
      <c r="G712" s="242"/>
      <c r="H712" s="242"/>
      <c r="I712" s="243"/>
      <c r="J712" s="244"/>
      <c r="K712" s="259"/>
      <c r="L712" s="260"/>
      <c r="M712" s="247" t="str" cm="1">
        <f t="array" ref="M712">IF($K712&gt;0, INDEX(Clean,1+AG712,$C$1), "")</f>
        <v/>
      </c>
      <c r="N712" s="245"/>
      <c r="O712" s="245"/>
      <c r="P712" s="246"/>
      <c r="Q712" s="248">
        <f t="shared" si="675"/>
        <v>0</v>
      </c>
      <c r="R712" s="247" t="str" cm="1">
        <f t="array" ref="R712">IF($K712&gt;0, INDEX(Clean,1+AH712,$C$1), "")</f>
        <v/>
      </c>
      <c r="S712" s="245"/>
      <c r="T712" s="245"/>
      <c r="U712" s="246"/>
      <c r="V712" s="248">
        <f t="shared" si="676"/>
        <v>0</v>
      </c>
      <c r="W712" s="261"/>
      <c r="X712" s="258"/>
      <c r="Y712" s="240"/>
      <c r="Z712" s="241" t="str">
        <f>IF(ISBLANK(Y712), "", VLOOKUP(Y712, Z!$A$2:$C$4127, 3, FALSE))</f>
        <v/>
      </c>
      <c r="AA712" s="262"/>
      <c r="AB712" s="249">
        <f t="shared" si="674"/>
        <v>0</v>
      </c>
      <c r="AC712" s="210"/>
      <c r="AD712" s="236">
        <f t="shared" si="699"/>
        <v>1</v>
      </c>
      <c r="AE712" s="236">
        <f t="shared" si="700"/>
        <v>1</v>
      </c>
      <c r="AF712" s="236">
        <f t="shared" si="701"/>
        <v>0</v>
      </c>
      <c r="AG712" s="236">
        <v>1</v>
      </c>
      <c r="AH712" s="236">
        <v>0</v>
      </c>
      <c r="AI712" s="236">
        <f t="shared" si="677"/>
        <v>-100</v>
      </c>
      <c r="AJ712" s="210"/>
      <c r="AK712" s="254"/>
      <c r="AL712" s="254"/>
      <c r="AM712" s="255"/>
      <c r="AN712" s="255"/>
      <c r="AO712" s="255"/>
      <c r="AP712" s="255"/>
      <c r="AQ712" s="255"/>
      <c r="AR712" s="255"/>
      <c r="AS712" s="255"/>
      <c r="AT712" s="255"/>
      <c r="AU712" s="255"/>
      <c r="AV712" s="255"/>
      <c r="AW712" s="255"/>
      <c r="AX712" s="210"/>
      <c r="AY712" s="236" cm="1">
        <f t="array" ref="AY712">INDEX(Use, $AD712, 4)</f>
        <v>7</v>
      </c>
      <c r="AZ712" s="236">
        <f t="shared" si="678"/>
        <v>32</v>
      </c>
      <c r="BA712" s="236">
        <f t="shared" si="666"/>
        <v>13</v>
      </c>
      <c r="BB712" s="236">
        <f t="shared" si="667"/>
        <v>0</v>
      </c>
      <c r="BC712" s="252" cm="1">
        <f t="array" ref="BC712">K712/IF($L712&gt;0, INDEX($AO$23:$AU$77, $L712+20, $AD712), 1)</f>
        <v>0</v>
      </c>
      <c r="BD712" s="237">
        <f t="shared" si="679"/>
        <v>0</v>
      </c>
      <c r="BE712" s="236">
        <v>35</v>
      </c>
      <c r="BF712" s="237">
        <f t="shared" si="680"/>
        <v>52.55</v>
      </c>
      <c r="BG712" s="253">
        <f t="shared" si="681"/>
        <v>2.7676728869374316</v>
      </c>
      <c r="BH712" s="253" cm="1">
        <f t="array" ref="BH712">$BC712 * SUMPRODUCT(INDEX($AL$77:$AN$82,,$AE712),INDEX($AO$77:$AU$82,,$AD712), N($AK$77:$AK$82&gt;$AI712)) / BG712 / 1000</f>
        <v>0</v>
      </c>
      <c r="BI712" s="250">
        <f t="shared" si="668"/>
        <v>30</v>
      </c>
      <c r="BJ712" s="237">
        <f t="shared" si="682"/>
        <v>46.033333333333331</v>
      </c>
      <c r="BK712" s="253">
        <f t="shared" si="683"/>
        <v>3.2297395388556791</v>
      </c>
      <c r="BL712" s="253" cm="1">
        <f t="array" ref="BL712">$BC712 * IF($AD712&lt;=2,
SUMPRODUCT(INDEX($AL$72:$AN$76,,$AE712), INDEX($AO$72:$AU$76,,$AD712), 1 / ($AV$72:$AV$76*BK712 + (1-$AV$72:$AV$76)*BG712), N($AK$72:$AK$76&gt;$AI712)),
SUMPRODUCT(INDEX($AL$67:$AN$76,,$AE712), INDEX($AO$67:$AU$76,,$AD712), 1 / ($AW$67:$AW$76*BK712 + (1-$AW$67:$AW$76)*BG712), N($AK$67:$AK$76&gt;$AI712))
) / 1000</f>
        <v>0</v>
      </c>
      <c r="BM712" s="250">
        <f t="shared" si="669"/>
        <v>25</v>
      </c>
      <c r="BN712" s="237">
        <f t="shared" si="684"/>
        <v>39.516666666666666</v>
      </c>
      <c r="BO712" s="253">
        <f t="shared" si="685"/>
        <v>3.877011788826243</v>
      </c>
      <c r="BP712" s="253" cm="1">
        <f t="array" ref="BP712">$BC712 * IF($AD712&lt;=2,
SUMPRODUCT(INDEX($AL$67:$AN$71,,$AE712), INDEX($AO$67:$AU$71,,$AD712), 1 / ($AV$67:$AV$71*BO712 + (1-$AV$67:$AV$71)*BK712), N($AK$67:$AK$71&gt;$AI712)),
SUMPRODUCT(INDEX($AL$57:$AN$66,,$AE712), INDEX($AO$57:$AU$66,,$AD712), 1 / ($AW$57:$AW$66*BO712 + (1-$AW$57:$AW$66)*BK712), N($AK$57:$AK$66&gt;$AI712))
) / 1000</f>
        <v>0</v>
      </c>
      <c r="BQ712" s="250">
        <f t="shared" si="670"/>
        <v>20</v>
      </c>
      <c r="BR712" s="237">
        <f t="shared" si="686"/>
        <v>33</v>
      </c>
      <c r="BS712" s="253">
        <f t="shared" si="687"/>
        <v>4.8487499999999999</v>
      </c>
      <c r="BT712" s="253" cm="1">
        <f t="array" ref="BT712">$BC712 * IF($AD712&lt;=2,
SUMPRODUCT(INDEX($AL$62:$AN$66,,$AE712), INDEX($AO$62:$AU$66,,$AD712), 1 / ($AV$62:$AV$66*BS712 + (1-$AV$62:$AV$66)*BO712), N($AK$62:$AK$66&gt;$AI712)),
SUMPRODUCT(INDEX($AL$47:$AN$56,,$AE712), INDEX($AO$47:$AU$56,,$AD712), 1 / ($AW$47:$AW$56*BS712 + (1-$AW$47:$AW$56)*BO712), N($AK$47:$AK$56&gt;$AI712))
) / 1000</f>
        <v>0</v>
      </c>
      <c r="BU712" s="253" cm="1">
        <f t="array" ref="BU712">$BC712 * IF($AD712&lt;=2,
SUMPRODUCT(INDEX($AL$23:$AN$61,,$AE712), INDEX($AO$23:$AU$61,,$AD712), 1 / ($AV$23:$AV$61*BS712), N($AK$23:$AK$61&gt;$AI712)),
SUMPRODUCT(INDEX($AL$23:$AN$46,,$AE712), INDEX($AO$23:$AU$46,,$AD712), 1 / ($AW$23:$AW$46*BS712), N($AK$23:$AK$46&gt;$AI712))
) / 1000</f>
        <v>0</v>
      </c>
      <c r="BV712" s="237">
        <f t="shared" si="688"/>
        <v>0</v>
      </c>
      <c r="BW712" s="210"/>
      <c r="BX712" s="237">
        <f t="shared" si="689"/>
        <v>0</v>
      </c>
      <c r="BY712" s="236">
        <v>35</v>
      </c>
      <c r="BZ712" s="237">
        <f t="shared" si="690"/>
        <v>48</v>
      </c>
      <c r="CA712" s="253">
        <f t="shared" si="691"/>
        <v>3.0748170731707316</v>
      </c>
      <c r="CB712" s="253" cm="1">
        <f t="array" ref="CB712">$BC712 * SUMPRODUCT(INDEX($AL$77:$AN$82,,$AE712),INDEX($AO$77:$AU$82,,$AD712), N($AK$77:$AK$82&gt;$AI712)) / CA712 / 1000</f>
        <v>0</v>
      </c>
      <c r="CC712" s="250">
        <f t="shared" si="671"/>
        <v>30</v>
      </c>
      <c r="CD712" s="237">
        <f t="shared" si="692"/>
        <v>43</v>
      </c>
      <c r="CE712" s="253">
        <f t="shared" si="693"/>
        <v>3.5018750000000001</v>
      </c>
      <c r="CF712" s="253" cm="1">
        <f t="array" ref="CF712">$BC712 * IF($AD712&lt;=2,
SUMPRODUCT(INDEX($AL$72:$AN$76,,$AE712), INDEX($AO$72:$AU$76,,$AD712), 1 / ($AV$72:$AV$76*CE712 + (1-$AV$72:$AV$76)*CA712), N($AK$72:$AK$76&gt;$AI712)),
SUMPRODUCT(INDEX($AL$67:$AN$76,,$AE712), INDEX($AO$67:$AU$76,,$AD712), 1 / ($AW$67:$AW$76*CE712 + (1-$AW$67:$AW$76)*CA712), N($AK$67:$AK$76&gt;$AI712))
) / 1000</f>
        <v>0</v>
      </c>
      <c r="CG712" s="250">
        <f t="shared" si="672"/>
        <v>25</v>
      </c>
      <c r="CH712" s="237">
        <f t="shared" si="694"/>
        <v>38</v>
      </c>
      <c r="CI712" s="253">
        <f t="shared" si="695"/>
        <v>4.0666935483870965</v>
      </c>
      <c r="CJ712" s="253" cm="1">
        <f t="array" ref="CJ712">$BC712 * IF($AD712&lt;=2,
SUMPRODUCT(INDEX($AL$67:$AN$71,,$AE712), INDEX($AO$67:$AU$71,,$AD712), 1 / ($AV$67:$AV$71*CI712 + (1-$AV$67:$AV$71)*CE712), N($AK$67:$AK$71&gt;$AI712)),
SUMPRODUCT(INDEX($AL$57:$AN$66,,$AE712), INDEX($AO$57:$AU$66,,$AD712), 1 / ($AW$57:$AW$66*CI712 + (1-$AW$57:$AW$66)*CE712), N($AK$57:$AK$66&gt;$AI712))
) / 1000</f>
        <v>0</v>
      </c>
      <c r="CK712" s="250">
        <f t="shared" si="673"/>
        <v>20</v>
      </c>
      <c r="CL712" s="237">
        <f t="shared" si="696"/>
        <v>33</v>
      </c>
      <c r="CM712" s="253">
        <f t="shared" si="697"/>
        <v>4.8487499999999999</v>
      </c>
      <c r="CN712" s="253" cm="1">
        <f t="array" ref="CN712">$BC712 * IF($AD712&lt;=2,
SUMPRODUCT(INDEX($AL$62:$AN$66,,$AE712), INDEX($AO$62:$AU$66,,$AD712), 1 / ($AV$62:$AV$66*CM712 + (1-$AV$62:$AV$66)*CI712), N($AK$62:$AK$66&gt;$AI712)),
SUMPRODUCT(INDEX($AL$47:$AN$56,,$AE712), INDEX($AO$47:$AU$56,,$AD712), 1 / ($AW$47:$AW$56*CM712 + (1-$AW$47:$AW$56)*CI712), N($AK$47:$AK$56&gt;$AI712))
) / 1000</f>
        <v>0</v>
      </c>
      <c r="CO712" s="253" cm="1">
        <f t="array" ref="CO712">$BC712 * IF($AD712&lt;=2,
SUMPRODUCT(INDEX($AL$23:$AN$61,,$AE712), INDEX($AO$23:$AU$61,,$AD712), 1 / ($AV$23:$AV$61*CM712), N($AK$23:$AK$61&gt;$AI712)),
SUMPRODUCT(INDEX($AL$23:$AN$46,,$AE712), INDEX($AO$23:$AU$46,,$AD712), 1 / ($AW$23:$AW$46*CM712), N($AK$23:$AK$46&gt;$AI712))
) / 1000</f>
        <v>0</v>
      </c>
      <c r="CP712" s="237">
        <f t="shared" si="698"/>
        <v>0</v>
      </c>
      <c r="CQ712" s="210"/>
    </row>
    <row r="713" spans="1:95" s="76" customFormat="1" ht="14.25" customHeight="1" x14ac:dyDescent="0.2">
      <c r="A713" s="238" t="b">
        <f t="shared" si="665"/>
        <v>0</v>
      </c>
      <c r="B713" s="239">
        <v>691</v>
      </c>
      <c r="C713" s="258"/>
      <c r="D713" s="258"/>
      <c r="E713" s="240"/>
      <c r="F713" s="241" t="str">
        <f>IF(ISBLANK(E713), "", VLOOKUP(E713, Z!$A$2:$C$4127, 3, FALSE))</f>
        <v/>
      </c>
      <c r="G713" s="242"/>
      <c r="H713" s="242"/>
      <c r="I713" s="243"/>
      <c r="J713" s="244"/>
      <c r="K713" s="259"/>
      <c r="L713" s="260"/>
      <c r="M713" s="247" t="str" cm="1">
        <f t="array" ref="M713">IF($K713&gt;0, INDEX(Clean,1+AG713,$C$1), "")</f>
        <v/>
      </c>
      <c r="N713" s="245"/>
      <c r="O713" s="245"/>
      <c r="P713" s="246"/>
      <c r="Q713" s="248">
        <f t="shared" si="675"/>
        <v>0</v>
      </c>
      <c r="R713" s="247" t="str" cm="1">
        <f t="array" ref="R713">IF($K713&gt;0, INDEX(Clean,1+AH713,$C$1), "")</f>
        <v/>
      </c>
      <c r="S713" s="245"/>
      <c r="T713" s="245"/>
      <c r="U713" s="246"/>
      <c r="V713" s="248">
        <f t="shared" si="676"/>
        <v>0</v>
      </c>
      <c r="W713" s="261"/>
      <c r="X713" s="258"/>
      <c r="Y713" s="240"/>
      <c r="Z713" s="241" t="str">
        <f>IF(ISBLANK(Y713), "", VLOOKUP(Y713, Z!$A$2:$C$4127, 3, FALSE))</f>
        <v/>
      </c>
      <c r="AA713" s="262"/>
      <c r="AB713" s="249">
        <f t="shared" si="674"/>
        <v>0</v>
      </c>
      <c r="AC713" s="210"/>
      <c r="AD713" s="236">
        <f t="shared" si="699"/>
        <v>1</v>
      </c>
      <c r="AE713" s="236">
        <f t="shared" si="700"/>
        <v>1</v>
      </c>
      <c r="AF713" s="236">
        <f t="shared" si="701"/>
        <v>0</v>
      </c>
      <c r="AG713" s="236">
        <v>1</v>
      </c>
      <c r="AH713" s="236">
        <v>0</v>
      </c>
      <c r="AI713" s="236">
        <f t="shared" si="677"/>
        <v>-100</v>
      </c>
      <c r="AJ713" s="210"/>
      <c r="AK713" s="254"/>
      <c r="AL713" s="254"/>
      <c r="AM713" s="255"/>
      <c r="AN713" s="255"/>
      <c r="AO713" s="255"/>
      <c r="AP713" s="255"/>
      <c r="AQ713" s="255"/>
      <c r="AR713" s="255"/>
      <c r="AS713" s="255"/>
      <c r="AT713" s="255"/>
      <c r="AU713" s="255"/>
      <c r="AV713" s="255"/>
      <c r="AW713" s="255"/>
      <c r="AX713" s="210"/>
      <c r="AY713" s="236" cm="1">
        <f t="array" ref="AY713">INDEX(Use, $AD713, 4)</f>
        <v>7</v>
      </c>
      <c r="AZ713" s="236">
        <f t="shared" si="678"/>
        <v>32</v>
      </c>
      <c r="BA713" s="236">
        <f t="shared" si="666"/>
        <v>13</v>
      </c>
      <c r="BB713" s="236">
        <f t="shared" si="667"/>
        <v>0</v>
      </c>
      <c r="BC713" s="252" cm="1">
        <f t="array" ref="BC713">K713/IF($L713&gt;0, INDEX($AO$23:$AU$77, $L713+20, $AD713), 1)</f>
        <v>0</v>
      </c>
      <c r="BD713" s="237">
        <f t="shared" si="679"/>
        <v>0</v>
      </c>
      <c r="BE713" s="236">
        <v>35</v>
      </c>
      <c r="BF713" s="237">
        <f t="shared" si="680"/>
        <v>52.55</v>
      </c>
      <c r="BG713" s="253">
        <f t="shared" si="681"/>
        <v>2.7676728869374316</v>
      </c>
      <c r="BH713" s="253" cm="1">
        <f t="array" ref="BH713">$BC713 * SUMPRODUCT(INDEX($AL$77:$AN$82,,$AE713),INDEX($AO$77:$AU$82,,$AD713), N($AK$77:$AK$82&gt;$AI713)) / BG713 / 1000</f>
        <v>0</v>
      </c>
      <c r="BI713" s="250">
        <f t="shared" si="668"/>
        <v>30</v>
      </c>
      <c r="BJ713" s="237">
        <f t="shared" si="682"/>
        <v>46.033333333333331</v>
      </c>
      <c r="BK713" s="253">
        <f t="shared" si="683"/>
        <v>3.2297395388556791</v>
      </c>
      <c r="BL713" s="253" cm="1">
        <f t="array" ref="BL713">$BC713 * IF($AD713&lt;=2,
SUMPRODUCT(INDEX($AL$72:$AN$76,,$AE713), INDEX($AO$72:$AU$76,,$AD713), 1 / ($AV$72:$AV$76*BK713 + (1-$AV$72:$AV$76)*BG713), N($AK$72:$AK$76&gt;$AI713)),
SUMPRODUCT(INDEX($AL$67:$AN$76,,$AE713), INDEX($AO$67:$AU$76,,$AD713), 1 / ($AW$67:$AW$76*BK713 + (1-$AW$67:$AW$76)*BG713), N($AK$67:$AK$76&gt;$AI713))
) / 1000</f>
        <v>0</v>
      </c>
      <c r="BM713" s="250">
        <f t="shared" si="669"/>
        <v>25</v>
      </c>
      <c r="BN713" s="237">
        <f t="shared" si="684"/>
        <v>39.516666666666666</v>
      </c>
      <c r="BO713" s="253">
        <f t="shared" si="685"/>
        <v>3.877011788826243</v>
      </c>
      <c r="BP713" s="253" cm="1">
        <f t="array" ref="BP713">$BC713 * IF($AD713&lt;=2,
SUMPRODUCT(INDEX($AL$67:$AN$71,,$AE713), INDEX($AO$67:$AU$71,,$AD713), 1 / ($AV$67:$AV$71*BO713 + (1-$AV$67:$AV$71)*BK713), N($AK$67:$AK$71&gt;$AI713)),
SUMPRODUCT(INDEX($AL$57:$AN$66,,$AE713), INDEX($AO$57:$AU$66,,$AD713), 1 / ($AW$57:$AW$66*BO713 + (1-$AW$57:$AW$66)*BK713), N($AK$57:$AK$66&gt;$AI713))
) / 1000</f>
        <v>0</v>
      </c>
      <c r="BQ713" s="250">
        <f t="shared" si="670"/>
        <v>20</v>
      </c>
      <c r="BR713" s="237">
        <f t="shared" si="686"/>
        <v>33</v>
      </c>
      <c r="BS713" s="253">
        <f t="shared" si="687"/>
        <v>4.8487499999999999</v>
      </c>
      <c r="BT713" s="253" cm="1">
        <f t="array" ref="BT713">$BC713 * IF($AD713&lt;=2,
SUMPRODUCT(INDEX($AL$62:$AN$66,,$AE713), INDEX($AO$62:$AU$66,,$AD713), 1 / ($AV$62:$AV$66*BS713 + (1-$AV$62:$AV$66)*BO713), N($AK$62:$AK$66&gt;$AI713)),
SUMPRODUCT(INDEX($AL$47:$AN$56,,$AE713), INDEX($AO$47:$AU$56,,$AD713), 1 / ($AW$47:$AW$56*BS713 + (1-$AW$47:$AW$56)*BO713), N($AK$47:$AK$56&gt;$AI713))
) / 1000</f>
        <v>0</v>
      </c>
      <c r="BU713" s="253" cm="1">
        <f t="array" ref="BU713">$BC713 * IF($AD713&lt;=2,
SUMPRODUCT(INDEX($AL$23:$AN$61,,$AE713), INDEX($AO$23:$AU$61,,$AD713), 1 / ($AV$23:$AV$61*BS713), N($AK$23:$AK$61&gt;$AI713)),
SUMPRODUCT(INDEX($AL$23:$AN$46,,$AE713), INDEX($AO$23:$AU$46,,$AD713), 1 / ($AW$23:$AW$46*BS713), N($AK$23:$AK$46&gt;$AI713))
) / 1000</f>
        <v>0</v>
      </c>
      <c r="BV713" s="237">
        <f t="shared" si="688"/>
        <v>0</v>
      </c>
      <c r="BW713" s="210"/>
      <c r="BX713" s="237">
        <f t="shared" si="689"/>
        <v>0</v>
      </c>
      <c r="BY713" s="236">
        <v>35</v>
      </c>
      <c r="BZ713" s="237">
        <f t="shared" si="690"/>
        <v>48</v>
      </c>
      <c r="CA713" s="253">
        <f t="shared" si="691"/>
        <v>3.0748170731707316</v>
      </c>
      <c r="CB713" s="253" cm="1">
        <f t="array" ref="CB713">$BC713 * SUMPRODUCT(INDEX($AL$77:$AN$82,,$AE713),INDEX($AO$77:$AU$82,,$AD713), N($AK$77:$AK$82&gt;$AI713)) / CA713 / 1000</f>
        <v>0</v>
      </c>
      <c r="CC713" s="250">
        <f t="shared" si="671"/>
        <v>30</v>
      </c>
      <c r="CD713" s="237">
        <f t="shared" si="692"/>
        <v>43</v>
      </c>
      <c r="CE713" s="253">
        <f t="shared" si="693"/>
        <v>3.5018750000000001</v>
      </c>
      <c r="CF713" s="253" cm="1">
        <f t="array" ref="CF713">$BC713 * IF($AD713&lt;=2,
SUMPRODUCT(INDEX($AL$72:$AN$76,,$AE713), INDEX($AO$72:$AU$76,,$AD713), 1 / ($AV$72:$AV$76*CE713 + (1-$AV$72:$AV$76)*CA713), N($AK$72:$AK$76&gt;$AI713)),
SUMPRODUCT(INDEX($AL$67:$AN$76,,$AE713), INDEX($AO$67:$AU$76,,$AD713), 1 / ($AW$67:$AW$76*CE713 + (1-$AW$67:$AW$76)*CA713), N($AK$67:$AK$76&gt;$AI713))
) / 1000</f>
        <v>0</v>
      </c>
      <c r="CG713" s="250">
        <f t="shared" si="672"/>
        <v>25</v>
      </c>
      <c r="CH713" s="237">
        <f t="shared" si="694"/>
        <v>38</v>
      </c>
      <c r="CI713" s="253">
        <f t="shared" si="695"/>
        <v>4.0666935483870965</v>
      </c>
      <c r="CJ713" s="253" cm="1">
        <f t="array" ref="CJ713">$BC713 * IF($AD713&lt;=2,
SUMPRODUCT(INDEX($AL$67:$AN$71,,$AE713), INDEX($AO$67:$AU$71,,$AD713), 1 / ($AV$67:$AV$71*CI713 + (1-$AV$67:$AV$71)*CE713), N($AK$67:$AK$71&gt;$AI713)),
SUMPRODUCT(INDEX($AL$57:$AN$66,,$AE713), INDEX($AO$57:$AU$66,,$AD713), 1 / ($AW$57:$AW$66*CI713 + (1-$AW$57:$AW$66)*CE713), N($AK$57:$AK$66&gt;$AI713))
) / 1000</f>
        <v>0</v>
      </c>
      <c r="CK713" s="250">
        <f t="shared" si="673"/>
        <v>20</v>
      </c>
      <c r="CL713" s="237">
        <f t="shared" si="696"/>
        <v>33</v>
      </c>
      <c r="CM713" s="253">
        <f t="shared" si="697"/>
        <v>4.8487499999999999</v>
      </c>
      <c r="CN713" s="253" cm="1">
        <f t="array" ref="CN713">$BC713 * IF($AD713&lt;=2,
SUMPRODUCT(INDEX($AL$62:$AN$66,,$AE713), INDEX($AO$62:$AU$66,,$AD713), 1 / ($AV$62:$AV$66*CM713 + (1-$AV$62:$AV$66)*CI713), N($AK$62:$AK$66&gt;$AI713)),
SUMPRODUCT(INDEX($AL$47:$AN$56,,$AE713), INDEX($AO$47:$AU$56,,$AD713), 1 / ($AW$47:$AW$56*CM713 + (1-$AW$47:$AW$56)*CI713), N($AK$47:$AK$56&gt;$AI713))
) / 1000</f>
        <v>0</v>
      </c>
      <c r="CO713" s="253" cm="1">
        <f t="array" ref="CO713">$BC713 * IF($AD713&lt;=2,
SUMPRODUCT(INDEX($AL$23:$AN$61,,$AE713), INDEX($AO$23:$AU$61,,$AD713), 1 / ($AV$23:$AV$61*CM713), N($AK$23:$AK$61&gt;$AI713)),
SUMPRODUCT(INDEX($AL$23:$AN$46,,$AE713), INDEX($AO$23:$AU$46,,$AD713), 1 / ($AW$23:$AW$46*CM713), N($AK$23:$AK$46&gt;$AI713))
) / 1000</f>
        <v>0</v>
      </c>
      <c r="CP713" s="237">
        <f t="shared" si="698"/>
        <v>0</v>
      </c>
      <c r="CQ713" s="210"/>
    </row>
    <row r="714" spans="1:95" s="76" customFormat="1" ht="14.25" customHeight="1" x14ac:dyDescent="0.2">
      <c r="A714" s="238" t="b">
        <f t="shared" si="665"/>
        <v>0</v>
      </c>
      <c r="B714" s="239">
        <v>692</v>
      </c>
      <c r="C714" s="258"/>
      <c r="D714" s="258"/>
      <c r="E714" s="240"/>
      <c r="F714" s="241" t="str">
        <f>IF(ISBLANK(E714), "", VLOOKUP(E714, Z!$A$2:$C$4127, 3, FALSE))</f>
        <v/>
      </c>
      <c r="G714" s="242"/>
      <c r="H714" s="242"/>
      <c r="I714" s="243"/>
      <c r="J714" s="244"/>
      <c r="K714" s="259"/>
      <c r="L714" s="260"/>
      <c r="M714" s="247" t="str" cm="1">
        <f t="array" ref="M714">IF($K714&gt;0, INDEX(Clean,1+AG714,$C$1), "")</f>
        <v/>
      </c>
      <c r="N714" s="245"/>
      <c r="O714" s="245"/>
      <c r="P714" s="246"/>
      <c r="Q714" s="248">
        <f t="shared" si="675"/>
        <v>0</v>
      </c>
      <c r="R714" s="247" t="str" cm="1">
        <f t="array" ref="R714">IF($K714&gt;0, INDEX(Clean,1+AH714,$C$1), "")</f>
        <v/>
      </c>
      <c r="S714" s="245"/>
      <c r="T714" s="245"/>
      <c r="U714" s="246"/>
      <c r="V714" s="248">
        <f t="shared" si="676"/>
        <v>0</v>
      </c>
      <c r="W714" s="261"/>
      <c r="X714" s="258"/>
      <c r="Y714" s="240"/>
      <c r="Z714" s="241" t="str">
        <f>IF(ISBLANK(Y714), "", VLOOKUP(Y714, Z!$A$2:$C$4127, 3, FALSE))</f>
        <v/>
      </c>
      <c r="AA714" s="262"/>
      <c r="AB714" s="249">
        <f t="shared" si="674"/>
        <v>0</v>
      </c>
      <c r="AC714" s="210"/>
      <c r="AD714" s="236">
        <f t="shared" si="699"/>
        <v>1</v>
      </c>
      <c r="AE714" s="236">
        <f t="shared" si="700"/>
        <v>1</v>
      </c>
      <c r="AF714" s="236">
        <f t="shared" si="701"/>
        <v>0</v>
      </c>
      <c r="AG714" s="236">
        <v>1</v>
      </c>
      <c r="AH714" s="236">
        <v>0</v>
      </c>
      <c r="AI714" s="236">
        <f t="shared" si="677"/>
        <v>-100</v>
      </c>
      <c r="AJ714" s="210"/>
      <c r="AK714" s="254"/>
      <c r="AL714" s="254"/>
      <c r="AM714" s="255"/>
      <c r="AN714" s="255"/>
      <c r="AO714" s="255"/>
      <c r="AP714" s="255"/>
      <c r="AQ714" s="255"/>
      <c r="AR714" s="255"/>
      <c r="AS714" s="255"/>
      <c r="AT714" s="255"/>
      <c r="AU714" s="255"/>
      <c r="AV714" s="255"/>
      <c r="AW714" s="255"/>
      <c r="AX714" s="210"/>
      <c r="AY714" s="236" cm="1">
        <f t="array" ref="AY714">INDEX(Use, $AD714, 4)</f>
        <v>7</v>
      </c>
      <c r="AZ714" s="236">
        <f t="shared" si="678"/>
        <v>32</v>
      </c>
      <c r="BA714" s="236">
        <f t="shared" si="666"/>
        <v>13</v>
      </c>
      <c r="BB714" s="236">
        <f t="shared" si="667"/>
        <v>0</v>
      </c>
      <c r="BC714" s="252" cm="1">
        <f t="array" ref="BC714">K714/IF($L714&gt;0, INDEX($AO$23:$AU$77, $L714+20, $AD714), 1)</f>
        <v>0</v>
      </c>
      <c r="BD714" s="237">
        <f t="shared" si="679"/>
        <v>0</v>
      </c>
      <c r="BE714" s="236">
        <v>35</v>
      </c>
      <c r="BF714" s="237">
        <f t="shared" si="680"/>
        <v>52.55</v>
      </c>
      <c r="BG714" s="253">
        <f t="shared" si="681"/>
        <v>2.7676728869374316</v>
      </c>
      <c r="BH714" s="253" cm="1">
        <f t="array" ref="BH714">$BC714 * SUMPRODUCT(INDEX($AL$77:$AN$82,,$AE714),INDEX($AO$77:$AU$82,,$AD714), N($AK$77:$AK$82&gt;$AI714)) / BG714 / 1000</f>
        <v>0</v>
      </c>
      <c r="BI714" s="250">
        <f t="shared" si="668"/>
        <v>30</v>
      </c>
      <c r="BJ714" s="237">
        <f t="shared" si="682"/>
        <v>46.033333333333331</v>
      </c>
      <c r="BK714" s="253">
        <f t="shared" si="683"/>
        <v>3.2297395388556791</v>
      </c>
      <c r="BL714" s="253" cm="1">
        <f t="array" ref="BL714">$BC714 * IF($AD714&lt;=2,
SUMPRODUCT(INDEX($AL$72:$AN$76,,$AE714), INDEX($AO$72:$AU$76,,$AD714), 1 / ($AV$72:$AV$76*BK714 + (1-$AV$72:$AV$76)*BG714), N($AK$72:$AK$76&gt;$AI714)),
SUMPRODUCT(INDEX($AL$67:$AN$76,,$AE714), INDEX($AO$67:$AU$76,,$AD714), 1 / ($AW$67:$AW$76*BK714 + (1-$AW$67:$AW$76)*BG714), N($AK$67:$AK$76&gt;$AI714))
) / 1000</f>
        <v>0</v>
      </c>
      <c r="BM714" s="250">
        <f t="shared" si="669"/>
        <v>25</v>
      </c>
      <c r="BN714" s="237">
        <f t="shared" si="684"/>
        <v>39.516666666666666</v>
      </c>
      <c r="BO714" s="253">
        <f t="shared" si="685"/>
        <v>3.877011788826243</v>
      </c>
      <c r="BP714" s="253" cm="1">
        <f t="array" ref="BP714">$BC714 * IF($AD714&lt;=2,
SUMPRODUCT(INDEX($AL$67:$AN$71,,$AE714), INDEX($AO$67:$AU$71,,$AD714), 1 / ($AV$67:$AV$71*BO714 + (1-$AV$67:$AV$71)*BK714), N($AK$67:$AK$71&gt;$AI714)),
SUMPRODUCT(INDEX($AL$57:$AN$66,,$AE714), INDEX($AO$57:$AU$66,,$AD714), 1 / ($AW$57:$AW$66*BO714 + (1-$AW$57:$AW$66)*BK714), N($AK$57:$AK$66&gt;$AI714))
) / 1000</f>
        <v>0</v>
      </c>
      <c r="BQ714" s="250">
        <f t="shared" si="670"/>
        <v>20</v>
      </c>
      <c r="BR714" s="237">
        <f t="shared" si="686"/>
        <v>33</v>
      </c>
      <c r="BS714" s="253">
        <f t="shared" si="687"/>
        <v>4.8487499999999999</v>
      </c>
      <c r="BT714" s="253" cm="1">
        <f t="array" ref="BT714">$BC714 * IF($AD714&lt;=2,
SUMPRODUCT(INDEX($AL$62:$AN$66,,$AE714), INDEX($AO$62:$AU$66,,$AD714), 1 / ($AV$62:$AV$66*BS714 + (1-$AV$62:$AV$66)*BO714), N($AK$62:$AK$66&gt;$AI714)),
SUMPRODUCT(INDEX($AL$47:$AN$56,,$AE714), INDEX($AO$47:$AU$56,,$AD714), 1 / ($AW$47:$AW$56*BS714 + (1-$AW$47:$AW$56)*BO714), N($AK$47:$AK$56&gt;$AI714))
) / 1000</f>
        <v>0</v>
      </c>
      <c r="BU714" s="253" cm="1">
        <f t="array" ref="BU714">$BC714 * IF($AD714&lt;=2,
SUMPRODUCT(INDEX($AL$23:$AN$61,,$AE714), INDEX($AO$23:$AU$61,,$AD714), 1 / ($AV$23:$AV$61*BS714), N($AK$23:$AK$61&gt;$AI714)),
SUMPRODUCT(INDEX($AL$23:$AN$46,,$AE714), INDEX($AO$23:$AU$46,,$AD714), 1 / ($AW$23:$AW$46*BS714), N($AK$23:$AK$46&gt;$AI714))
) / 1000</f>
        <v>0</v>
      </c>
      <c r="BV714" s="237">
        <f t="shared" si="688"/>
        <v>0</v>
      </c>
      <c r="BW714" s="210"/>
      <c r="BX714" s="237">
        <f t="shared" si="689"/>
        <v>0</v>
      </c>
      <c r="BY714" s="236">
        <v>35</v>
      </c>
      <c r="BZ714" s="237">
        <f t="shared" si="690"/>
        <v>48</v>
      </c>
      <c r="CA714" s="253">
        <f t="shared" si="691"/>
        <v>3.0748170731707316</v>
      </c>
      <c r="CB714" s="253" cm="1">
        <f t="array" ref="CB714">$BC714 * SUMPRODUCT(INDEX($AL$77:$AN$82,,$AE714),INDEX($AO$77:$AU$82,,$AD714), N($AK$77:$AK$82&gt;$AI714)) / CA714 / 1000</f>
        <v>0</v>
      </c>
      <c r="CC714" s="250">
        <f t="shared" si="671"/>
        <v>30</v>
      </c>
      <c r="CD714" s="237">
        <f t="shared" si="692"/>
        <v>43</v>
      </c>
      <c r="CE714" s="253">
        <f t="shared" si="693"/>
        <v>3.5018750000000001</v>
      </c>
      <c r="CF714" s="253" cm="1">
        <f t="array" ref="CF714">$BC714 * IF($AD714&lt;=2,
SUMPRODUCT(INDEX($AL$72:$AN$76,,$AE714), INDEX($AO$72:$AU$76,,$AD714), 1 / ($AV$72:$AV$76*CE714 + (1-$AV$72:$AV$76)*CA714), N($AK$72:$AK$76&gt;$AI714)),
SUMPRODUCT(INDEX($AL$67:$AN$76,,$AE714), INDEX($AO$67:$AU$76,,$AD714), 1 / ($AW$67:$AW$76*CE714 + (1-$AW$67:$AW$76)*CA714), N($AK$67:$AK$76&gt;$AI714))
) / 1000</f>
        <v>0</v>
      </c>
      <c r="CG714" s="250">
        <f t="shared" si="672"/>
        <v>25</v>
      </c>
      <c r="CH714" s="237">
        <f t="shared" si="694"/>
        <v>38</v>
      </c>
      <c r="CI714" s="253">
        <f t="shared" si="695"/>
        <v>4.0666935483870965</v>
      </c>
      <c r="CJ714" s="253" cm="1">
        <f t="array" ref="CJ714">$BC714 * IF($AD714&lt;=2,
SUMPRODUCT(INDEX($AL$67:$AN$71,,$AE714), INDEX($AO$67:$AU$71,,$AD714), 1 / ($AV$67:$AV$71*CI714 + (1-$AV$67:$AV$71)*CE714), N($AK$67:$AK$71&gt;$AI714)),
SUMPRODUCT(INDEX($AL$57:$AN$66,,$AE714), INDEX($AO$57:$AU$66,,$AD714), 1 / ($AW$57:$AW$66*CI714 + (1-$AW$57:$AW$66)*CE714), N($AK$57:$AK$66&gt;$AI714))
) / 1000</f>
        <v>0</v>
      </c>
      <c r="CK714" s="250">
        <f t="shared" si="673"/>
        <v>20</v>
      </c>
      <c r="CL714" s="237">
        <f t="shared" si="696"/>
        <v>33</v>
      </c>
      <c r="CM714" s="253">
        <f t="shared" si="697"/>
        <v>4.8487499999999999</v>
      </c>
      <c r="CN714" s="253" cm="1">
        <f t="array" ref="CN714">$BC714 * IF($AD714&lt;=2,
SUMPRODUCT(INDEX($AL$62:$AN$66,,$AE714), INDEX($AO$62:$AU$66,,$AD714), 1 / ($AV$62:$AV$66*CM714 + (1-$AV$62:$AV$66)*CI714), N($AK$62:$AK$66&gt;$AI714)),
SUMPRODUCT(INDEX($AL$47:$AN$56,,$AE714), INDEX($AO$47:$AU$56,,$AD714), 1 / ($AW$47:$AW$56*CM714 + (1-$AW$47:$AW$56)*CI714), N($AK$47:$AK$56&gt;$AI714))
) / 1000</f>
        <v>0</v>
      </c>
      <c r="CO714" s="253" cm="1">
        <f t="array" ref="CO714">$BC714 * IF($AD714&lt;=2,
SUMPRODUCT(INDEX($AL$23:$AN$61,,$AE714), INDEX($AO$23:$AU$61,,$AD714), 1 / ($AV$23:$AV$61*CM714), N($AK$23:$AK$61&gt;$AI714)),
SUMPRODUCT(INDEX($AL$23:$AN$46,,$AE714), INDEX($AO$23:$AU$46,,$AD714), 1 / ($AW$23:$AW$46*CM714), N($AK$23:$AK$46&gt;$AI714))
) / 1000</f>
        <v>0</v>
      </c>
      <c r="CP714" s="237">
        <f t="shared" si="698"/>
        <v>0</v>
      </c>
      <c r="CQ714" s="210"/>
    </row>
    <row r="715" spans="1:95" s="76" customFormat="1" ht="14.25" customHeight="1" x14ac:dyDescent="0.2">
      <c r="A715" s="238" t="b">
        <f t="shared" si="665"/>
        <v>0</v>
      </c>
      <c r="B715" s="239">
        <v>693</v>
      </c>
      <c r="C715" s="258"/>
      <c r="D715" s="258"/>
      <c r="E715" s="240"/>
      <c r="F715" s="241" t="str">
        <f>IF(ISBLANK(E715), "", VLOOKUP(E715, Z!$A$2:$C$4127, 3, FALSE))</f>
        <v/>
      </c>
      <c r="G715" s="242"/>
      <c r="H715" s="242"/>
      <c r="I715" s="243"/>
      <c r="J715" s="244"/>
      <c r="K715" s="259"/>
      <c r="L715" s="260"/>
      <c r="M715" s="247" t="str" cm="1">
        <f t="array" ref="M715">IF($K715&gt;0, INDEX(Clean,1+AG715,$C$1), "")</f>
        <v/>
      </c>
      <c r="N715" s="245"/>
      <c r="O715" s="245"/>
      <c r="P715" s="246"/>
      <c r="Q715" s="248">
        <f t="shared" si="675"/>
        <v>0</v>
      </c>
      <c r="R715" s="247" t="str" cm="1">
        <f t="array" ref="R715">IF($K715&gt;0, INDEX(Clean,1+AH715,$C$1), "")</f>
        <v/>
      </c>
      <c r="S715" s="245"/>
      <c r="T715" s="245"/>
      <c r="U715" s="246"/>
      <c r="V715" s="248">
        <f t="shared" si="676"/>
        <v>0</v>
      </c>
      <c r="W715" s="261"/>
      <c r="X715" s="258"/>
      <c r="Y715" s="240"/>
      <c r="Z715" s="241" t="str">
        <f>IF(ISBLANK(Y715), "", VLOOKUP(Y715, Z!$A$2:$C$4127, 3, FALSE))</f>
        <v/>
      </c>
      <c r="AA715" s="262"/>
      <c r="AB715" s="249">
        <f t="shared" si="674"/>
        <v>0</v>
      </c>
      <c r="AC715" s="210"/>
      <c r="AD715" s="236">
        <f t="shared" si="699"/>
        <v>1</v>
      </c>
      <c r="AE715" s="236">
        <f t="shared" si="700"/>
        <v>1</v>
      </c>
      <c r="AF715" s="236">
        <f t="shared" si="701"/>
        <v>0</v>
      </c>
      <c r="AG715" s="236">
        <v>1</v>
      </c>
      <c r="AH715" s="236">
        <v>0</v>
      </c>
      <c r="AI715" s="236">
        <f t="shared" si="677"/>
        <v>-100</v>
      </c>
      <c r="AJ715" s="210"/>
      <c r="AK715" s="254"/>
      <c r="AL715" s="254"/>
      <c r="AM715" s="255"/>
      <c r="AN715" s="255"/>
      <c r="AO715" s="255"/>
      <c r="AP715" s="255"/>
      <c r="AQ715" s="255"/>
      <c r="AR715" s="255"/>
      <c r="AS715" s="255"/>
      <c r="AT715" s="255"/>
      <c r="AU715" s="255"/>
      <c r="AV715" s="255"/>
      <c r="AW715" s="255"/>
      <c r="AX715" s="210"/>
      <c r="AY715" s="236" cm="1">
        <f t="array" ref="AY715">INDEX(Use, $AD715, 4)</f>
        <v>7</v>
      </c>
      <c r="AZ715" s="236">
        <f t="shared" si="678"/>
        <v>32</v>
      </c>
      <c r="BA715" s="236">
        <f t="shared" si="666"/>
        <v>13</v>
      </c>
      <c r="BB715" s="236">
        <f t="shared" si="667"/>
        <v>0</v>
      </c>
      <c r="BC715" s="252" cm="1">
        <f t="array" ref="BC715">K715/IF($L715&gt;0, INDEX($AO$23:$AU$77, $L715+20, $AD715), 1)</f>
        <v>0</v>
      </c>
      <c r="BD715" s="237">
        <f t="shared" si="679"/>
        <v>0</v>
      </c>
      <c r="BE715" s="236">
        <v>35</v>
      </c>
      <c r="BF715" s="237">
        <f t="shared" si="680"/>
        <v>52.55</v>
      </c>
      <c r="BG715" s="253">
        <f t="shared" si="681"/>
        <v>2.7676728869374316</v>
      </c>
      <c r="BH715" s="253" cm="1">
        <f t="array" ref="BH715">$BC715 * SUMPRODUCT(INDEX($AL$77:$AN$82,,$AE715),INDEX($AO$77:$AU$82,,$AD715), N($AK$77:$AK$82&gt;$AI715)) / BG715 / 1000</f>
        <v>0</v>
      </c>
      <c r="BI715" s="250">
        <f t="shared" si="668"/>
        <v>30</v>
      </c>
      <c r="BJ715" s="237">
        <f t="shared" si="682"/>
        <v>46.033333333333331</v>
      </c>
      <c r="BK715" s="253">
        <f t="shared" si="683"/>
        <v>3.2297395388556791</v>
      </c>
      <c r="BL715" s="253" cm="1">
        <f t="array" ref="BL715">$BC715 * IF($AD715&lt;=2,
SUMPRODUCT(INDEX($AL$72:$AN$76,,$AE715), INDEX($AO$72:$AU$76,,$AD715), 1 / ($AV$72:$AV$76*BK715 + (1-$AV$72:$AV$76)*BG715), N($AK$72:$AK$76&gt;$AI715)),
SUMPRODUCT(INDEX($AL$67:$AN$76,,$AE715), INDEX($AO$67:$AU$76,,$AD715), 1 / ($AW$67:$AW$76*BK715 + (1-$AW$67:$AW$76)*BG715), N($AK$67:$AK$76&gt;$AI715))
) / 1000</f>
        <v>0</v>
      </c>
      <c r="BM715" s="250">
        <f t="shared" si="669"/>
        <v>25</v>
      </c>
      <c r="BN715" s="237">
        <f t="shared" si="684"/>
        <v>39.516666666666666</v>
      </c>
      <c r="BO715" s="253">
        <f t="shared" si="685"/>
        <v>3.877011788826243</v>
      </c>
      <c r="BP715" s="253" cm="1">
        <f t="array" ref="BP715">$BC715 * IF($AD715&lt;=2,
SUMPRODUCT(INDEX($AL$67:$AN$71,,$AE715), INDEX($AO$67:$AU$71,,$AD715), 1 / ($AV$67:$AV$71*BO715 + (1-$AV$67:$AV$71)*BK715), N($AK$67:$AK$71&gt;$AI715)),
SUMPRODUCT(INDEX($AL$57:$AN$66,,$AE715), INDEX($AO$57:$AU$66,,$AD715), 1 / ($AW$57:$AW$66*BO715 + (1-$AW$57:$AW$66)*BK715), N($AK$57:$AK$66&gt;$AI715))
) / 1000</f>
        <v>0</v>
      </c>
      <c r="BQ715" s="250">
        <f t="shared" si="670"/>
        <v>20</v>
      </c>
      <c r="BR715" s="237">
        <f t="shared" si="686"/>
        <v>33</v>
      </c>
      <c r="BS715" s="253">
        <f t="shared" si="687"/>
        <v>4.8487499999999999</v>
      </c>
      <c r="BT715" s="253" cm="1">
        <f t="array" ref="BT715">$BC715 * IF($AD715&lt;=2,
SUMPRODUCT(INDEX($AL$62:$AN$66,,$AE715), INDEX($AO$62:$AU$66,,$AD715), 1 / ($AV$62:$AV$66*BS715 + (1-$AV$62:$AV$66)*BO715), N($AK$62:$AK$66&gt;$AI715)),
SUMPRODUCT(INDEX($AL$47:$AN$56,,$AE715), INDEX($AO$47:$AU$56,,$AD715), 1 / ($AW$47:$AW$56*BS715 + (1-$AW$47:$AW$56)*BO715), N($AK$47:$AK$56&gt;$AI715))
) / 1000</f>
        <v>0</v>
      </c>
      <c r="BU715" s="253" cm="1">
        <f t="array" ref="BU715">$BC715 * IF($AD715&lt;=2,
SUMPRODUCT(INDEX($AL$23:$AN$61,,$AE715), INDEX($AO$23:$AU$61,,$AD715), 1 / ($AV$23:$AV$61*BS715), N($AK$23:$AK$61&gt;$AI715)),
SUMPRODUCT(INDEX($AL$23:$AN$46,,$AE715), INDEX($AO$23:$AU$46,,$AD715), 1 / ($AW$23:$AW$46*BS715), N($AK$23:$AK$46&gt;$AI715))
) / 1000</f>
        <v>0</v>
      </c>
      <c r="BV715" s="237">
        <f t="shared" si="688"/>
        <v>0</v>
      </c>
      <c r="BW715" s="210"/>
      <c r="BX715" s="237">
        <f t="shared" si="689"/>
        <v>0</v>
      </c>
      <c r="BY715" s="236">
        <v>35</v>
      </c>
      <c r="BZ715" s="237">
        <f t="shared" si="690"/>
        <v>48</v>
      </c>
      <c r="CA715" s="253">
        <f t="shared" si="691"/>
        <v>3.0748170731707316</v>
      </c>
      <c r="CB715" s="253" cm="1">
        <f t="array" ref="CB715">$BC715 * SUMPRODUCT(INDEX($AL$77:$AN$82,,$AE715),INDEX($AO$77:$AU$82,,$AD715), N($AK$77:$AK$82&gt;$AI715)) / CA715 / 1000</f>
        <v>0</v>
      </c>
      <c r="CC715" s="250">
        <f t="shared" si="671"/>
        <v>30</v>
      </c>
      <c r="CD715" s="237">
        <f t="shared" si="692"/>
        <v>43</v>
      </c>
      <c r="CE715" s="253">
        <f t="shared" si="693"/>
        <v>3.5018750000000001</v>
      </c>
      <c r="CF715" s="253" cm="1">
        <f t="array" ref="CF715">$BC715 * IF($AD715&lt;=2,
SUMPRODUCT(INDEX($AL$72:$AN$76,,$AE715), INDEX($AO$72:$AU$76,,$AD715), 1 / ($AV$72:$AV$76*CE715 + (1-$AV$72:$AV$76)*CA715), N($AK$72:$AK$76&gt;$AI715)),
SUMPRODUCT(INDEX($AL$67:$AN$76,,$AE715), INDEX($AO$67:$AU$76,,$AD715), 1 / ($AW$67:$AW$76*CE715 + (1-$AW$67:$AW$76)*CA715), N($AK$67:$AK$76&gt;$AI715))
) / 1000</f>
        <v>0</v>
      </c>
      <c r="CG715" s="250">
        <f t="shared" si="672"/>
        <v>25</v>
      </c>
      <c r="CH715" s="237">
        <f t="shared" si="694"/>
        <v>38</v>
      </c>
      <c r="CI715" s="253">
        <f t="shared" si="695"/>
        <v>4.0666935483870965</v>
      </c>
      <c r="CJ715" s="253" cm="1">
        <f t="array" ref="CJ715">$BC715 * IF($AD715&lt;=2,
SUMPRODUCT(INDEX($AL$67:$AN$71,,$AE715), INDEX($AO$67:$AU$71,,$AD715), 1 / ($AV$67:$AV$71*CI715 + (1-$AV$67:$AV$71)*CE715), N($AK$67:$AK$71&gt;$AI715)),
SUMPRODUCT(INDEX($AL$57:$AN$66,,$AE715), INDEX($AO$57:$AU$66,,$AD715), 1 / ($AW$57:$AW$66*CI715 + (1-$AW$57:$AW$66)*CE715), N($AK$57:$AK$66&gt;$AI715))
) / 1000</f>
        <v>0</v>
      </c>
      <c r="CK715" s="250">
        <f t="shared" si="673"/>
        <v>20</v>
      </c>
      <c r="CL715" s="237">
        <f t="shared" si="696"/>
        <v>33</v>
      </c>
      <c r="CM715" s="253">
        <f t="shared" si="697"/>
        <v>4.8487499999999999</v>
      </c>
      <c r="CN715" s="253" cm="1">
        <f t="array" ref="CN715">$BC715 * IF($AD715&lt;=2,
SUMPRODUCT(INDEX($AL$62:$AN$66,,$AE715), INDEX($AO$62:$AU$66,,$AD715), 1 / ($AV$62:$AV$66*CM715 + (1-$AV$62:$AV$66)*CI715), N($AK$62:$AK$66&gt;$AI715)),
SUMPRODUCT(INDEX($AL$47:$AN$56,,$AE715), INDEX($AO$47:$AU$56,,$AD715), 1 / ($AW$47:$AW$56*CM715 + (1-$AW$47:$AW$56)*CI715), N($AK$47:$AK$56&gt;$AI715))
) / 1000</f>
        <v>0</v>
      </c>
      <c r="CO715" s="253" cm="1">
        <f t="array" ref="CO715">$BC715 * IF($AD715&lt;=2,
SUMPRODUCT(INDEX($AL$23:$AN$61,,$AE715), INDEX($AO$23:$AU$61,,$AD715), 1 / ($AV$23:$AV$61*CM715), N($AK$23:$AK$61&gt;$AI715)),
SUMPRODUCT(INDEX($AL$23:$AN$46,,$AE715), INDEX($AO$23:$AU$46,,$AD715), 1 / ($AW$23:$AW$46*CM715), N($AK$23:$AK$46&gt;$AI715))
) / 1000</f>
        <v>0</v>
      </c>
      <c r="CP715" s="237">
        <f t="shared" si="698"/>
        <v>0</v>
      </c>
      <c r="CQ715" s="210"/>
    </row>
    <row r="716" spans="1:95" s="76" customFormat="1" ht="14.25" customHeight="1" x14ac:dyDescent="0.2">
      <c r="A716" s="238" t="b">
        <f t="shared" si="665"/>
        <v>0</v>
      </c>
      <c r="B716" s="239">
        <v>694</v>
      </c>
      <c r="C716" s="258"/>
      <c r="D716" s="258"/>
      <c r="E716" s="240"/>
      <c r="F716" s="241" t="str">
        <f>IF(ISBLANK(E716), "", VLOOKUP(E716, Z!$A$2:$C$4127, 3, FALSE))</f>
        <v/>
      </c>
      <c r="G716" s="242"/>
      <c r="H716" s="242"/>
      <c r="I716" s="243"/>
      <c r="J716" s="244"/>
      <c r="K716" s="259"/>
      <c r="L716" s="260"/>
      <c r="M716" s="247" t="str" cm="1">
        <f t="array" ref="M716">IF($K716&gt;0, INDEX(Clean,1+AG716,$C$1), "")</f>
        <v/>
      </c>
      <c r="N716" s="245"/>
      <c r="O716" s="245"/>
      <c r="P716" s="246"/>
      <c r="Q716" s="248">
        <f t="shared" si="675"/>
        <v>0</v>
      </c>
      <c r="R716" s="247" t="str" cm="1">
        <f t="array" ref="R716">IF($K716&gt;0, INDEX(Clean,1+AH716,$C$1), "")</f>
        <v/>
      </c>
      <c r="S716" s="245"/>
      <c r="T716" s="245"/>
      <c r="U716" s="246"/>
      <c r="V716" s="248">
        <f t="shared" si="676"/>
        <v>0</v>
      </c>
      <c r="W716" s="261"/>
      <c r="X716" s="258"/>
      <c r="Y716" s="240"/>
      <c r="Z716" s="241" t="str">
        <f>IF(ISBLANK(Y716), "", VLOOKUP(Y716, Z!$A$2:$C$4127, 3, FALSE))</f>
        <v/>
      </c>
      <c r="AA716" s="262"/>
      <c r="AB716" s="249">
        <f t="shared" si="674"/>
        <v>0</v>
      </c>
      <c r="AC716" s="210"/>
      <c r="AD716" s="236">
        <f t="shared" si="699"/>
        <v>1</v>
      </c>
      <c r="AE716" s="236">
        <f t="shared" si="700"/>
        <v>1</v>
      </c>
      <c r="AF716" s="236">
        <f t="shared" si="701"/>
        <v>0</v>
      </c>
      <c r="AG716" s="236">
        <v>1</v>
      </c>
      <c r="AH716" s="236">
        <v>0</v>
      </c>
      <c r="AI716" s="236">
        <f t="shared" si="677"/>
        <v>-100</v>
      </c>
      <c r="AJ716" s="210"/>
      <c r="AK716" s="254"/>
      <c r="AL716" s="254"/>
      <c r="AM716" s="255"/>
      <c r="AN716" s="255"/>
      <c r="AO716" s="255"/>
      <c r="AP716" s="255"/>
      <c r="AQ716" s="255"/>
      <c r="AR716" s="255"/>
      <c r="AS716" s="255"/>
      <c r="AT716" s="255"/>
      <c r="AU716" s="255"/>
      <c r="AV716" s="255"/>
      <c r="AW716" s="255"/>
      <c r="AX716" s="210"/>
      <c r="AY716" s="236" cm="1">
        <f t="array" ref="AY716">INDEX(Use, $AD716, 4)</f>
        <v>7</v>
      </c>
      <c r="AZ716" s="236">
        <f t="shared" si="678"/>
        <v>32</v>
      </c>
      <c r="BA716" s="236">
        <f t="shared" si="666"/>
        <v>13</v>
      </c>
      <c r="BB716" s="236">
        <f t="shared" si="667"/>
        <v>0</v>
      </c>
      <c r="BC716" s="252" cm="1">
        <f t="array" ref="BC716">K716/IF($L716&gt;0, INDEX($AO$23:$AU$77, $L716+20, $AD716), 1)</f>
        <v>0</v>
      </c>
      <c r="BD716" s="237">
        <f t="shared" si="679"/>
        <v>0</v>
      </c>
      <c r="BE716" s="236">
        <v>35</v>
      </c>
      <c r="BF716" s="237">
        <f t="shared" si="680"/>
        <v>52.55</v>
      </c>
      <c r="BG716" s="253">
        <f t="shared" si="681"/>
        <v>2.7676728869374316</v>
      </c>
      <c r="BH716" s="253" cm="1">
        <f t="array" ref="BH716">$BC716 * SUMPRODUCT(INDEX($AL$77:$AN$82,,$AE716),INDEX($AO$77:$AU$82,,$AD716), N($AK$77:$AK$82&gt;$AI716)) / BG716 / 1000</f>
        <v>0</v>
      </c>
      <c r="BI716" s="250">
        <f t="shared" si="668"/>
        <v>30</v>
      </c>
      <c r="BJ716" s="237">
        <f t="shared" si="682"/>
        <v>46.033333333333331</v>
      </c>
      <c r="BK716" s="253">
        <f t="shared" si="683"/>
        <v>3.2297395388556791</v>
      </c>
      <c r="BL716" s="253" cm="1">
        <f t="array" ref="BL716">$BC716 * IF($AD716&lt;=2,
SUMPRODUCT(INDEX($AL$72:$AN$76,,$AE716), INDEX($AO$72:$AU$76,,$AD716), 1 / ($AV$72:$AV$76*BK716 + (1-$AV$72:$AV$76)*BG716), N($AK$72:$AK$76&gt;$AI716)),
SUMPRODUCT(INDEX($AL$67:$AN$76,,$AE716), INDEX($AO$67:$AU$76,,$AD716), 1 / ($AW$67:$AW$76*BK716 + (1-$AW$67:$AW$76)*BG716), N($AK$67:$AK$76&gt;$AI716))
) / 1000</f>
        <v>0</v>
      </c>
      <c r="BM716" s="250">
        <f t="shared" si="669"/>
        <v>25</v>
      </c>
      <c r="BN716" s="237">
        <f t="shared" si="684"/>
        <v>39.516666666666666</v>
      </c>
      <c r="BO716" s="253">
        <f t="shared" si="685"/>
        <v>3.877011788826243</v>
      </c>
      <c r="BP716" s="253" cm="1">
        <f t="array" ref="BP716">$BC716 * IF($AD716&lt;=2,
SUMPRODUCT(INDEX($AL$67:$AN$71,,$AE716), INDEX($AO$67:$AU$71,,$AD716), 1 / ($AV$67:$AV$71*BO716 + (1-$AV$67:$AV$71)*BK716), N($AK$67:$AK$71&gt;$AI716)),
SUMPRODUCT(INDEX($AL$57:$AN$66,,$AE716), INDEX($AO$57:$AU$66,,$AD716), 1 / ($AW$57:$AW$66*BO716 + (1-$AW$57:$AW$66)*BK716), N($AK$57:$AK$66&gt;$AI716))
) / 1000</f>
        <v>0</v>
      </c>
      <c r="BQ716" s="250">
        <f t="shared" si="670"/>
        <v>20</v>
      </c>
      <c r="BR716" s="237">
        <f t="shared" si="686"/>
        <v>33</v>
      </c>
      <c r="BS716" s="253">
        <f t="shared" si="687"/>
        <v>4.8487499999999999</v>
      </c>
      <c r="BT716" s="253" cm="1">
        <f t="array" ref="BT716">$BC716 * IF($AD716&lt;=2,
SUMPRODUCT(INDEX($AL$62:$AN$66,,$AE716), INDEX($AO$62:$AU$66,,$AD716), 1 / ($AV$62:$AV$66*BS716 + (1-$AV$62:$AV$66)*BO716), N($AK$62:$AK$66&gt;$AI716)),
SUMPRODUCT(INDEX($AL$47:$AN$56,,$AE716), INDEX($AO$47:$AU$56,,$AD716), 1 / ($AW$47:$AW$56*BS716 + (1-$AW$47:$AW$56)*BO716), N($AK$47:$AK$56&gt;$AI716))
) / 1000</f>
        <v>0</v>
      </c>
      <c r="BU716" s="253" cm="1">
        <f t="array" ref="BU716">$BC716 * IF($AD716&lt;=2,
SUMPRODUCT(INDEX($AL$23:$AN$61,,$AE716), INDEX($AO$23:$AU$61,,$AD716), 1 / ($AV$23:$AV$61*BS716), N($AK$23:$AK$61&gt;$AI716)),
SUMPRODUCT(INDEX($AL$23:$AN$46,,$AE716), INDEX($AO$23:$AU$46,,$AD716), 1 / ($AW$23:$AW$46*BS716), N($AK$23:$AK$46&gt;$AI716))
) / 1000</f>
        <v>0</v>
      </c>
      <c r="BV716" s="237">
        <f t="shared" si="688"/>
        <v>0</v>
      </c>
      <c r="BW716" s="210"/>
      <c r="BX716" s="237">
        <f t="shared" si="689"/>
        <v>0</v>
      </c>
      <c r="BY716" s="236">
        <v>35</v>
      </c>
      <c r="BZ716" s="237">
        <f t="shared" si="690"/>
        <v>48</v>
      </c>
      <c r="CA716" s="253">
        <f t="shared" si="691"/>
        <v>3.0748170731707316</v>
      </c>
      <c r="CB716" s="253" cm="1">
        <f t="array" ref="CB716">$BC716 * SUMPRODUCT(INDEX($AL$77:$AN$82,,$AE716),INDEX($AO$77:$AU$82,,$AD716), N($AK$77:$AK$82&gt;$AI716)) / CA716 / 1000</f>
        <v>0</v>
      </c>
      <c r="CC716" s="250">
        <f t="shared" si="671"/>
        <v>30</v>
      </c>
      <c r="CD716" s="237">
        <f t="shared" si="692"/>
        <v>43</v>
      </c>
      <c r="CE716" s="253">
        <f t="shared" si="693"/>
        <v>3.5018750000000001</v>
      </c>
      <c r="CF716" s="253" cm="1">
        <f t="array" ref="CF716">$BC716 * IF($AD716&lt;=2,
SUMPRODUCT(INDEX($AL$72:$AN$76,,$AE716), INDEX($AO$72:$AU$76,,$AD716), 1 / ($AV$72:$AV$76*CE716 + (1-$AV$72:$AV$76)*CA716), N($AK$72:$AK$76&gt;$AI716)),
SUMPRODUCT(INDEX($AL$67:$AN$76,,$AE716), INDEX($AO$67:$AU$76,,$AD716), 1 / ($AW$67:$AW$76*CE716 + (1-$AW$67:$AW$76)*CA716), N($AK$67:$AK$76&gt;$AI716))
) / 1000</f>
        <v>0</v>
      </c>
      <c r="CG716" s="250">
        <f t="shared" si="672"/>
        <v>25</v>
      </c>
      <c r="CH716" s="237">
        <f t="shared" si="694"/>
        <v>38</v>
      </c>
      <c r="CI716" s="253">
        <f t="shared" si="695"/>
        <v>4.0666935483870965</v>
      </c>
      <c r="CJ716" s="253" cm="1">
        <f t="array" ref="CJ716">$BC716 * IF($AD716&lt;=2,
SUMPRODUCT(INDEX($AL$67:$AN$71,,$AE716), INDEX($AO$67:$AU$71,,$AD716), 1 / ($AV$67:$AV$71*CI716 + (1-$AV$67:$AV$71)*CE716), N($AK$67:$AK$71&gt;$AI716)),
SUMPRODUCT(INDEX($AL$57:$AN$66,,$AE716), INDEX($AO$57:$AU$66,,$AD716), 1 / ($AW$57:$AW$66*CI716 + (1-$AW$57:$AW$66)*CE716), N($AK$57:$AK$66&gt;$AI716))
) / 1000</f>
        <v>0</v>
      </c>
      <c r="CK716" s="250">
        <f t="shared" si="673"/>
        <v>20</v>
      </c>
      <c r="CL716" s="237">
        <f t="shared" si="696"/>
        <v>33</v>
      </c>
      <c r="CM716" s="253">
        <f t="shared" si="697"/>
        <v>4.8487499999999999</v>
      </c>
      <c r="CN716" s="253" cm="1">
        <f t="array" ref="CN716">$BC716 * IF($AD716&lt;=2,
SUMPRODUCT(INDEX($AL$62:$AN$66,,$AE716), INDEX($AO$62:$AU$66,,$AD716), 1 / ($AV$62:$AV$66*CM716 + (1-$AV$62:$AV$66)*CI716), N($AK$62:$AK$66&gt;$AI716)),
SUMPRODUCT(INDEX($AL$47:$AN$56,,$AE716), INDEX($AO$47:$AU$56,,$AD716), 1 / ($AW$47:$AW$56*CM716 + (1-$AW$47:$AW$56)*CI716), N($AK$47:$AK$56&gt;$AI716))
) / 1000</f>
        <v>0</v>
      </c>
      <c r="CO716" s="253" cm="1">
        <f t="array" ref="CO716">$BC716 * IF($AD716&lt;=2,
SUMPRODUCT(INDEX($AL$23:$AN$61,,$AE716), INDEX($AO$23:$AU$61,,$AD716), 1 / ($AV$23:$AV$61*CM716), N($AK$23:$AK$61&gt;$AI716)),
SUMPRODUCT(INDEX($AL$23:$AN$46,,$AE716), INDEX($AO$23:$AU$46,,$AD716), 1 / ($AW$23:$AW$46*CM716), N($AK$23:$AK$46&gt;$AI716))
) / 1000</f>
        <v>0</v>
      </c>
      <c r="CP716" s="237">
        <f t="shared" si="698"/>
        <v>0</v>
      </c>
      <c r="CQ716" s="210"/>
    </row>
    <row r="717" spans="1:95" s="76" customFormat="1" ht="14.25" customHeight="1" x14ac:dyDescent="0.2">
      <c r="A717" s="238" t="b">
        <f t="shared" si="665"/>
        <v>0</v>
      </c>
      <c r="B717" s="239">
        <v>695</v>
      </c>
      <c r="C717" s="258"/>
      <c r="D717" s="258"/>
      <c r="E717" s="240"/>
      <c r="F717" s="241" t="str">
        <f>IF(ISBLANK(E717), "", VLOOKUP(E717, Z!$A$2:$C$4127, 3, FALSE))</f>
        <v/>
      </c>
      <c r="G717" s="242"/>
      <c r="H717" s="242"/>
      <c r="I717" s="243"/>
      <c r="J717" s="244"/>
      <c r="K717" s="259"/>
      <c r="L717" s="260"/>
      <c r="M717" s="247" t="str" cm="1">
        <f t="array" ref="M717">IF($K717&gt;0, INDEX(Clean,1+AG717,$C$1), "")</f>
        <v/>
      </c>
      <c r="N717" s="245"/>
      <c r="O717" s="245"/>
      <c r="P717" s="246"/>
      <c r="Q717" s="248">
        <f t="shared" si="675"/>
        <v>0</v>
      </c>
      <c r="R717" s="247" t="str" cm="1">
        <f t="array" ref="R717">IF($K717&gt;0, INDEX(Clean,1+AH717,$C$1), "")</f>
        <v/>
      </c>
      <c r="S717" s="245"/>
      <c r="T717" s="245"/>
      <c r="U717" s="246"/>
      <c r="V717" s="248">
        <f t="shared" si="676"/>
        <v>0</v>
      </c>
      <c r="W717" s="261"/>
      <c r="X717" s="258"/>
      <c r="Y717" s="240"/>
      <c r="Z717" s="241" t="str">
        <f>IF(ISBLANK(Y717), "", VLOOKUP(Y717, Z!$A$2:$C$4127, 3, FALSE))</f>
        <v/>
      </c>
      <c r="AA717" s="262"/>
      <c r="AB717" s="249">
        <f t="shared" si="674"/>
        <v>0</v>
      </c>
      <c r="AC717" s="210"/>
      <c r="AD717" s="236">
        <f t="shared" si="699"/>
        <v>1</v>
      </c>
      <c r="AE717" s="236">
        <f t="shared" si="700"/>
        <v>1</v>
      </c>
      <c r="AF717" s="236">
        <f t="shared" si="701"/>
        <v>0</v>
      </c>
      <c r="AG717" s="236">
        <v>1</v>
      </c>
      <c r="AH717" s="236">
        <v>0</v>
      </c>
      <c r="AI717" s="236">
        <f t="shared" si="677"/>
        <v>-100</v>
      </c>
      <c r="AJ717" s="210"/>
      <c r="AK717" s="254"/>
      <c r="AL717" s="254"/>
      <c r="AM717" s="255"/>
      <c r="AN717" s="255"/>
      <c r="AO717" s="255"/>
      <c r="AP717" s="255"/>
      <c r="AQ717" s="255"/>
      <c r="AR717" s="255"/>
      <c r="AS717" s="255"/>
      <c r="AT717" s="255"/>
      <c r="AU717" s="255"/>
      <c r="AV717" s="255"/>
      <c r="AW717" s="255"/>
      <c r="AX717" s="210"/>
      <c r="AY717" s="236" cm="1">
        <f t="array" ref="AY717">INDEX(Use, $AD717, 4)</f>
        <v>7</v>
      </c>
      <c r="AZ717" s="236">
        <f t="shared" si="678"/>
        <v>32</v>
      </c>
      <c r="BA717" s="236">
        <f t="shared" si="666"/>
        <v>13</v>
      </c>
      <c r="BB717" s="236">
        <f t="shared" si="667"/>
        <v>0</v>
      </c>
      <c r="BC717" s="252" cm="1">
        <f t="array" ref="BC717">K717/IF($L717&gt;0, INDEX($AO$23:$AU$77, $L717+20, $AD717), 1)</f>
        <v>0</v>
      </c>
      <c r="BD717" s="237">
        <f t="shared" si="679"/>
        <v>0</v>
      </c>
      <c r="BE717" s="236">
        <v>35</v>
      </c>
      <c r="BF717" s="237">
        <f t="shared" si="680"/>
        <v>52.55</v>
      </c>
      <c r="BG717" s="253">
        <f t="shared" si="681"/>
        <v>2.7676728869374316</v>
      </c>
      <c r="BH717" s="253" cm="1">
        <f t="array" ref="BH717">$BC717 * SUMPRODUCT(INDEX($AL$77:$AN$82,,$AE717),INDEX($AO$77:$AU$82,,$AD717), N($AK$77:$AK$82&gt;$AI717)) / BG717 / 1000</f>
        <v>0</v>
      </c>
      <c r="BI717" s="250">
        <f t="shared" si="668"/>
        <v>30</v>
      </c>
      <c r="BJ717" s="237">
        <f t="shared" si="682"/>
        <v>46.033333333333331</v>
      </c>
      <c r="BK717" s="253">
        <f t="shared" si="683"/>
        <v>3.2297395388556791</v>
      </c>
      <c r="BL717" s="253" cm="1">
        <f t="array" ref="BL717">$BC717 * IF($AD717&lt;=2,
SUMPRODUCT(INDEX($AL$72:$AN$76,,$AE717), INDEX($AO$72:$AU$76,,$AD717), 1 / ($AV$72:$AV$76*BK717 + (1-$AV$72:$AV$76)*BG717), N($AK$72:$AK$76&gt;$AI717)),
SUMPRODUCT(INDEX($AL$67:$AN$76,,$AE717), INDEX($AO$67:$AU$76,,$AD717), 1 / ($AW$67:$AW$76*BK717 + (1-$AW$67:$AW$76)*BG717), N($AK$67:$AK$76&gt;$AI717))
) / 1000</f>
        <v>0</v>
      </c>
      <c r="BM717" s="250">
        <f t="shared" si="669"/>
        <v>25</v>
      </c>
      <c r="BN717" s="237">
        <f t="shared" si="684"/>
        <v>39.516666666666666</v>
      </c>
      <c r="BO717" s="253">
        <f t="shared" si="685"/>
        <v>3.877011788826243</v>
      </c>
      <c r="BP717" s="253" cm="1">
        <f t="array" ref="BP717">$BC717 * IF($AD717&lt;=2,
SUMPRODUCT(INDEX($AL$67:$AN$71,,$AE717), INDEX($AO$67:$AU$71,,$AD717), 1 / ($AV$67:$AV$71*BO717 + (1-$AV$67:$AV$71)*BK717), N($AK$67:$AK$71&gt;$AI717)),
SUMPRODUCT(INDEX($AL$57:$AN$66,,$AE717), INDEX($AO$57:$AU$66,,$AD717), 1 / ($AW$57:$AW$66*BO717 + (1-$AW$57:$AW$66)*BK717), N($AK$57:$AK$66&gt;$AI717))
) / 1000</f>
        <v>0</v>
      </c>
      <c r="BQ717" s="250">
        <f t="shared" si="670"/>
        <v>20</v>
      </c>
      <c r="BR717" s="237">
        <f t="shared" si="686"/>
        <v>33</v>
      </c>
      <c r="BS717" s="253">
        <f t="shared" si="687"/>
        <v>4.8487499999999999</v>
      </c>
      <c r="BT717" s="253" cm="1">
        <f t="array" ref="BT717">$BC717 * IF($AD717&lt;=2,
SUMPRODUCT(INDEX($AL$62:$AN$66,,$AE717), INDEX($AO$62:$AU$66,,$AD717), 1 / ($AV$62:$AV$66*BS717 + (1-$AV$62:$AV$66)*BO717), N($AK$62:$AK$66&gt;$AI717)),
SUMPRODUCT(INDEX($AL$47:$AN$56,,$AE717), INDEX($AO$47:$AU$56,,$AD717), 1 / ($AW$47:$AW$56*BS717 + (1-$AW$47:$AW$56)*BO717), N($AK$47:$AK$56&gt;$AI717))
) / 1000</f>
        <v>0</v>
      </c>
      <c r="BU717" s="253" cm="1">
        <f t="array" ref="BU717">$BC717 * IF($AD717&lt;=2,
SUMPRODUCT(INDEX($AL$23:$AN$61,,$AE717), INDEX($AO$23:$AU$61,,$AD717), 1 / ($AV$23:$AV$61*BS717), N($AK$23:$AK$61&gt;$AI717)),
SUMPRODUCT(INDEX($AL$23:$AN$46,,$AE717), INDEX($AO$23:$AU$46,,$AD717), 1 / ($AW$23:$AW$46*BS717), N($AK$23:$AK$46&gt;$AI717))
) / 1000</f>
        <v>0</v>
      </c>
      <c r="BV717" s="237">
        <f t="shared" si="688"/>
        <v>0</v>
      </c>
      <c r="BW717" s="210"/>
      <c r="BX717" s="237">
        <f t="shared" si="689"/>
        <v>0</v>
      </c>
      <c r="BY717" s="236">
        <v>35</v>
      </c>
      <c r="BZ717" s="237">
        <f t="shared" si="690"/>
        <v>48</v>
      </c>
      <c r="CA717" s="253">
        <f t="shared" si="691"/>
        <v>3.0748170731707316</v>
      </c>
      <c r="CB717" s="253" cm="1">
        <f t="array" ref="CB717">$BC717 * SUMPRODUCT(INDEX($AL$77:$AN$82,,$AE717),INDEX($AO$77:$AU$82,,$AD717), N($AK$77:$AK$82&gt;$AI717)) / CA717 / 1000</f>
        <v>0</v>
      </c>
      <c r="CC717" s="250">
        <f t="shared" si="671"/>
        <v>30</v>
      </c>
      <c r="CD717" s="237">
        <f t="shared" si="692"/>
        <v>43</v>
      </c>
      <c r="CE717" s="253">
        <f t="shared" si="693"/>
        <v>3.5018750000000001</v>
      </c>
      <c r="CF717" s="253" cm="1">
        <f t="array" ref="CF717">$BC717 * IF($AD717&lt;=2,
SUMPRODUCT(INDEX($AL$72:$AN$76,,$AE717), INDEX($AO$72:$AU$76,,$AD717), 1 / ($AV$72:$AV$76*CE717 + (1-$AV$72:$AV$76)*CA717), N($AK$72:$AK$76&gt;$AI717)),
SUMPRODUCT(INDEX($AL$67:$AN$76,,$AE717), INDEX($AO$67:$AU$76,,$AD717), 1 / ($AW$67:$AW$76*CE717 + (1-$AW$67:$AW$76)*CA717), N($AK$67:$AK$76&gt;$AI717))
) / 1000</f>
        <v>0</v>
      </c>
      <c r="CG717" s="250">
        <f t="shared" si="672"/>
        <v>25</v>
      </c>
      <c r="CH717" s="237">
        <f t="shared" si="694"/>
        <v>38</v>
      </c>
      <c r="CI717" s="253">
        <f t="shared" si="695"/>
        <v>4.0666935483870965</v>
      </c>
      <c r="CJ717" s="253" cm="1">
        <f t="array" ref="CJ717">$BC717 * IF($AD717&lt;=2,
SUMPRODUCT(INDEX($AL$67:$AN$71,,$AE717), INDEX($AO$67:$AU$71,,$AD717), 1 / ($AV$67:$AV$71*CI717 + (1-$AV$67:$AV$71)*CE717), N($AK$67:$AK$71&gt;$AI717)),
SUMPRODUCT(INDEX($AL$57:$AN$66,,$AE717), INDEX($AO$57:$AU$66,,$AD717), 1 / ($AW$57:$AW$66*CI717 + (1-$AW$57:$AW$66)*CE717), N($AK$57:$AK$66&gt;$AI717))
) / 1000</f>
        <v>0</v>
      </c>
      <c r="CK717" s="250">
        <f t="shared" si="673"/>
        <v>20</v>
      </c>
      <c r="CL717" s="237">
        <f t="shared" si="696"/>
        <v>33</v>
      </c>
      <c r="CM717" s="253">
        <f t="shared" si="697"/>
        <v>4.8487499999999999</v>
      </c>
      <c r="CN717" s="253" cm="1">
        <f t="array" ref="CN717">$BC717 * IF($AD717&lt;=2,
SUMPRODUCT(INDEX($AL$62:$AN$66,,$AE717), INDEX($AO$62:$AU$66,,$AD717), 1 / ($AV$62:$AV$66*CM717 + (1-$AV$62:$AV$66)*CI717), N($AK$62:$AK$66&gt;$AI717)),
SUMPRODUCT(INDEX($AL$47:$AN$56,,$AE717), INDEX($AO$47:$AU$56,,$AD717), 1 / ($AW$47:$AW$56*CM717 + (1-$AW$47:$AW$56)*CI717), N($AK$47:$AK$56&gt;$AI717))
) / 1000</f>
        <v>0</v>
      </c>
      <c r="CO717" s="253" cm="1">
        <f t="array" ref="CO717">$BC717 * IF($AD717&lt;=2,
SUMPRODUCT(INDEX($AL$23:$AN$61,,$AE717), INDEX($AO$23:$AU$61,,$AD717), 1 / ($AV$23:$AV$61*CM717), N($AK$23:$AK$61&gt;$AI717)),
SUMPRODUCT(INDEX($AL$23:$AN$46,,$AE717), INDEX($AO$23:$AU$46,,$AD717), 1 / ($AW$23:$AW$46*CM717), N($AK$23:$AK$46&gt;$AI717))
) / 1000</f>
        <v>0</v>
      </c>
      <c r="CP717" s="237">
        <f t="shared" si="698"/>
        <v>0</v>
      </c>
      <c r="CQ717" s="210"/>
    </row>
    <row r="718" spans="1:95" s="76" customFormat="1" ht="14.25" customHeight="1" x14ac:dyDescent="0.2">
      <c r="A718" s="238" t="b">
        <f t="shared" si="665"/>
        <v>0</v>
      </c>
      <c r="B718" s="239">
        <v>696</v>
      </c>
      <c r="C718" s="258"/>
      <c r="D718" s="258"/>
      <c r="E718" s="240"/>
      <c r="F718" s="241" t="str">
        <f>IF(ISBLANK(E718), "", VLOOKUP(E718, Z!$A$2:$C$4127, 3, FALSE))</f>
        <v/>
      </c>
      <c r="G718" s="242"/>
      <c r="H718" s="242"/>
      <c r="I718" s="243"/>
      <c r="J718" s="244"/>
      <c r="K718" s="259"/>
      <c r="L718" s="260"/>
      <c r="M718" s="247" t="str" cm="1">
        <f t="array" ref="M718">IF($K718&gt;0, INDEX(Clean,1+AG718,$C$1), "")</f>
        <v/>
      </c>
      <c r="N718" s="245"/>
      <c r="O718" s="245"/>
      <c r="P718" s="246"/>
      <c r="Q718" s="248">
        <f t="shared" si="675"/>
        <v>0</v>
      </c>
      <c r="R718" s="247" t="str" cm="1">
        <f t="array" ref="R718">IF($K718&gt;0, INDEX(Clean,1+AH718,$C$1), "")</f>
        <v/>
      </c>
      <c r="S718" s="245"/>
      <c r="T718" s="245"/>
      <c r="U718" s="246"/>
      <c r="V718" s="248">
        <f t="shared" si="676"/>
        <v>0</v>
      </c>
      <c r="W718" s="261"/>
      <c r="X718" s="258"/>
      <c r="Y718" s="240"/>
      <c r="Z718" s="241" t="str">
        <f>IF(ISBLANK(Y718), "", VLOOKUP(Y718, Z!$A$2:$C$4127, 3, FALSE))</f>
        <v/>
      </c>
      <c r="AA718" s="262"/>
      <c r="AB718" s="249">
        <f t="shared" si="674"/>
        <v>0</v>
      </c>
      <c r="AC718" s="210"/>
      <c r="AD718" s="236">
        <f t="shared" si="699"/>
        <v>1</v>
      </c>
      <c r="AE718" s="236">
        <f t="shared" si="700"/>
        <v>1</v>
      </c>
      <c r="AF718" s="236">
        <f t="shared" si="701"/>
        <v>0</v>
      </c>
      <c r="AG718" s="236">
        <v>1</v>
      </c>
      <c r="AH718" s="236">
        <v>0</v>
      </c>
      <c r="AI718" s="236">
        <f t="shared" si="677"/>
        <v>-100</v>
      </c>
      <c r="AJ718" s="210"/>
      <c r="AK718" s="254"/>
      <c r="AL718" s="254"/>
      <c r="AM718" s="255"/>
      <c r="AN718" s="255"/>
      <c r="AO718" s="255"/>
      <c r="AP718" s="255"/>
      <c r="AQ718" s="255"/>
      <c r="AR718" s="255"/>
      <c r="AS718" s="255"/>
      <c r="AT718" s="255"/>
      <c r="AU718" s="255"/>
      <c r="AV718" s="255"/>
      <c r="AW718" s="255"/>
      <c r="AX718" s="210"/>
      <c r="AY718" s="236" cm="1">
        <f t="array" ref="AY718">INDEX(Use, $AD718, 4)</f>
        <v>7</v>
      </c>
      <c r="AZ718" s="236">
        <f t="shared" si="678"/>
        <v>32</v>
      </c>
      <c r="BA718" s="236">
        <f t="shared" si="666"/>
        <v>13</v>
      </c>
      <c r="BB718" s="236">
        <f t="shared" si="667"/>
        <v>0</v>
      </c>
      <c r="BC718" s="252" cm="1">
        <f t="array" ref="BC718">K718/IF($L718&gt;0, INDEX($AO$23:$AU$77, $L718+20, $AD718), 1)</f>
        <v>0</v>
      </c>
      <c r="BD718" s="237">
        <f t="shared" si="679"/>
        <v>0</v>
      </c>
      <c r="BE718" s="236">
        <v>35</v>
      </c>
      <c r="BF718" s="237">
        <f t="shared" si="680"/>
        <v>52.55</v>
      </c>
      <c r="BG718" s="253">
        <f t="shared" si="681"/>
        <v>2.7676728869374316</v>
      </c>
      <c r="BH718" s="253" cm="1">
        <f t="array" ref="BH718">$BC718 * SUMPRODUCT(INDEX($AL$77:$AN$82,,$AE718),INDEX($AO$77:$AU$82,,$AD718), N($AK$77:$AK$82&gt;$AI718)) / BG718 / 1000</f>
        <v>0</v>
      </c>
      <c r="BI718" s="250">
        <f t="shared" si="668"/>
        <v>30</v>
      </c>
      <c r="BJ718" s="237">
        <f t="shared" si="682"/>
        <v>46.033333333333331</v>
      </c>
      <c r="BK718" s="253">
        <f t="shared" si="683"/>
        <v>3.2297395388556791</v>
      </c>
      <c r="BL718" s="253" cm="1">
        <f t="array" ref="BL718">$BC718 * IF($AD718&lt;=2,
SUMPRODUCT(INDEX($AL$72:$AN$76,,$AE718), INDEX($AO$72:$AU$76,,$AD718), 1 / ($AV$72:$AV$76*BK718 + (1-$AV$72:$AV$76)*BG718), N($AK$72:$AK$76&gt;$AI718)),
SUMPRODUCT(INDEX($AL$67:$AN$76,,$AE718), INDEX($AO$67:$AU$76,,$AD718), 1 / ($AW$67:$AW$76*BK718 + (1-$AW$67:$AW$76)*BG718), N($AK$67:$AK$76&gt;$AI718))
) / 1000</f>
        <v>0</v>
      </c>
      <c r="BM718" s="250">
        <f t="shared" si="669"/>
        <v>25</v>
      </c>
      <c r="BN718" s="237">
        <f t="shared" si="684"/>
        <v>39.516666666666666</v>
      </c>
      <c r="BO718" s="253">
        <f t="shared" si="685"/>
        <v>3.877011788826243</v>
      </c>
      <c r="BP718" s="253" cm="1">
        <f t="array" ref="BP718">$BC718 * IF($AD718&lt;=2,
SUMPRODUCT(INDEX($AL$67:$AN$71,,$AE718), INDEX($AO$67:$AU$71,,$AD718), 1 / ($AV$67:$AV$71*BO718 + (1-$AV$67:$AV$71)*BK718), N($AK$67:$AK$71&gt;$AI718)),
SUMPRODUCT(INDEX($AL$57:$AN$66,,$AE718), INDEX($AO$57:$AU$66,,$AD718), 1 / ($AW$57:$AW$66*BO718 + (1-$AW$57:$AW$66)*BK718), N($AK$57:$AK$66&gt;$AI718))
) / 1000</f>
        <v>0</v>
      </c>
      <c r="BQ718" s="250">
        <f t="shared" si="670"/>
        <v>20</v>
      </c>
      <c r="BR718" s="237">
        <f t="shared" si="686"/>
        <v>33</v>
      </c>
      <c r="BS718" s="253">
        <f t="shared" si="687"/>
        <v>4.8487499999999999</v>
      </c>
      <c r="BT718" s="253" cm="1">
        <f t="array" ref="BT718">$BC718 * IF($AD718&lt;=2,
SUMPRODUCT(INDEX($AL$62:$AN$66,,$AE718), INDEX($AO$62:$AU$66,,$AD718), 1 / ($AV$62:$AV$66*BS718 + (1-$AV$62:$AV$66)*BO718), N($AK$62:$AK$66&gt;$AI718)),
SUMPRODUCT(INDEX($AL$47:$AN$56,,$AE718), INDEX($AO$47:$AU$56,,$AD718), 1 / ($AW$47:$AW$56*BS718 + (1-$AW$47:$AW$56)*BO718), N($AK$47:$AK$56&gt;$AI718))
) / 1000</f>
        <v>0</v>
      </c>
      <c r="BU718" s="253" cm="1">
        <f t="array" ref="BU718">$BC718 * IF($AD718&lt;=2,
SUMPRODUCT(INDEX($AL$23:$AN$61,,$AE718), INDEX($AO$23:$AU$61,,$AD718), 1 / ($AV$23:$AV$61*BS718), N($AK$23:$AK$61&gt;$AI718)),
SUMPRODUCT(INDEX($AL$23:$AN$46,,$AE718), INDEX($AO$23:$AU$46,,$AD718), 1 / ($AW$23:$AW$46*BS718), N($AK$23:$AK$46&gt;$AI718))
) / 1000</f>
        <v>0</v>
      </c>
      <c r="BV718" s="237">
        <f t="shared" si="688"/>
        <v>0</v>
      </c>
      <c r="BW718" s="210"/>
      <c r="BX718" s="237">
        <f t="shared" si="689"/>
        <v>0</v>
      </c>
      <c r="BY718" s="236">
        <v>35</v>
      </c>
      <c r="BZ718" s="237">
        <f t="shared" si="690"/>
        <v>48</v>
      </c>
      <c r="CA718" s="253">
        <f t="shared" si="691"/>
        <v>3.0748170731707316</v>
      </c>
      <c r="CB718" s="253" cm="1">
        <f t="array" ref="CB718">$BC718 * SUMPRODUCT(INDEX($AL$77:$AN$82,,$AE718),INDEX($AO$77:$AU$82,,$AD718), N($AK$77:$AK$82&gt;$AI718)) / CA718 / 1000</f>
        <v>0</v>
      </c>
      <c r="CC718" s="250">
        <f t="shared" si="671"/>
        <v>30</v>
      </c>
      <c r="CD718" s="237">
        <f t="shared" si="692"/>
        <v>43</v>
      </c>
      <c r="CE718" s="253">
        <f t="shared" si="693"/>
        <v>3.5018750000000001</v>
      </c>
      <c r="CF718" s="253" cm="1">
        <f t="array" ref="CF718">$BC718 * IF($AD718&lt;=2,
SUMPRODUCT(INDEX($AL$72:$AN$76,,$AE718), INDEX($AO$72:$AU$76,,$AD718), 1 / ($AV$72:$AV$76*CE718 + (1-$AV$72:$AV$76)*CA718), N($AK$72:$AK$76&gt;$AI718)),
SUMPRODUCT(INDEX($AL$67:$AN$76,,$AE718), INDEX($AO$67:$AU$76,,$AD718), 1 / ($AW$67:$AW$76*CE718 + (1-$AW$67:$AW$76)*CA718), N($AK$67:$AK$76&gt;$AI718))
) / 1000</f>
        <v>0</v>
      </c>
      <c r="CG718" s="250">
        <f t="shared" si="672"/>
        <v>25</v>
      </c>
      <c r="CH718" s="237">
        <f t="shared" si="694"/>
        <v>38</v>
      </c>
      <c r="CI718" s="253">
        <f t="shared" si="695"/>
        <v>4.0666935483870965</v>
      </c>
      <c r="CJ718" s="253" cm="1">
        <f t="array" ref="CJ718">$BC718 * IF($AD718&lt;=2,
SUMPRODUCT(INDEX($AL$67:$AN$71,,$AE718), INDEX($AO$67:$AU$71,,$AD718), 1 / ($AV$67:$AV$71*CI718 + (1-$AV$67:$AV$71)*CE718), N($AK$67:$AK$71&gt;$AI718)),
SUMPRODUCT(INDEX($AL$57:$AN$66,,$AE718), INDEX($AO$57:$AU$66,,$AD718), 1 / ($AW$57:$AW$66*CI718 + (1-$AW$57:$AW$66)*CE718), N($AK$57:$AK$66&gt;$AI718))
) / 1000</f>
        <v>0</v>
      </c>
      <c r="CK718" s="250">
        <f t="shared" si="673"/>
        <v>20</v>
      </c>
      <c r="CL718" s="237">
        <f t="shared" si="696"/>
        <v>33</v>
      </c>
      <c r="CM718" s="253">
        <f t="shared" si="697"/>
        <v>4.8487499999999999</v>
      </c>
      <c r="CN718" s="253" cm="1">
        <f t="array" ref="CN718">$BC718 * IF($AD718&lt;=2,
SUMPRODUCT(INDEX($AL$62:$AN$66,,$AE718), INDEX($AO$62:$AU$66,,$AD718), 1 / ($AV$62:$AV$66*CM718 + (1-$AV$62:$AV$66)*CI718), N($AK$62:$AK$66&gt;$AI718)),
SUMPRODUCT(INDEX($AL$47:$AN$56,,$AE718), INDEX($AO$47:$AU$56,,$AD718), 1 / ($AW$47:$AW$56*CM718 + (1-$AW$47:$AW$56)*CI718), N($AK$47:$AK$56&gt;$AI718))
) / 1000</f>
        <v>0</v>
      </c>
      <c r="CO718" s="253" cm="1">
        <f t="array" ref="CO718">$BC718 * IF($AD718&lt;=2,
SUMPRODUCT(INDEX($AL$23:$AN$61,,$AE718), INDEX($AO$23:$AU$61,,$AD718), 1 / ($AV$23:$AV$61*CM718), N($AK$23:$AK$61&gt;$AI718)),
SUMPRODUCT(INDEX($AL$23:$AN$46,,$AE718), INDEX($AO$23:$AU$46,,$AD718), 1 / ($AW$23:$AW$46*CM718), N($AK$23:$AK$46&gt;$AI718))
) / 1000</f>
        <v>0</v>
      </c>
      <c r="CP718" s="237">
        <f t="shared" si="698"/>
        <v>0</v>
      </c>
      <c r="CQ718" s="210"/>
    </row>
    <row r="719" spans="1:95" s="76" customFormat="1" ht="14.25" customHeight="1" x14ac:dyDescent="0.2">
      <c r="A719" s="238" t="b">
        <f t="shared" si="665"/>
        <v>0</v>
      </c>
      <c r="B719" s="239">
        <v>697</v>
      </c>
      <c r="C719" s="258"/>
      <c r="D719" s="258"/>
      <c r="E719" s="240"/>
      <c r="F719" s="241" t="str">
        <f>IF(ISBLANK(E719), "", VLOOKUP(E719, Z!$A$2:$C$4127, 3, FALSE))</f>
        <v/>
      </c>
      <c r="G719" s="242"/>
      <c r="H719" s="242"/>
      <c r="I719" s="243"/>
      <c r="J719" s="244"/>
      <c r="K719" s="259"/>
      <c r="L719" s="260"/>
      <c r="M719" s="247" t="str" cm="1">
        <f t="array" ref="M719">IF($K719&gt;0, INDEX(Clean,1+AG719,$C$1), "")</f>
        <v/>
      </c>
      <c r="N719" s="245"/>
      <c r="O719" s="245"/>
      <c r="P719" s="246"/>
      <c r="Q719" s="248">
        <f t="shared" si="675"/>
        <v>0</v>
      </c>
      <c r="R719" s="247" t="str" cm="1">
        <f t="array" ref="R719">IF($K719&gt;0, INDEX(Clean,1+AH719,$C$1), "")</f>
        <v/>
      </c>
      <c r="S719" s="245"/>
      <c r="T719" s="245"/>
      <c r="U719" s="246"/>
      <c r="V719" s="248">
        <f t="shared" si="676"/>
        <v>0</v>
      </c>
      <c r="W719" s="261"/>
      <c r="X719" s="258"/>
      <c r="Y719" s="240"/>
      <c r="Z719" s="241" t="str">
        <f>IF(ISBLANK(Y719), "", VLOOKUP(Y719, Z!$A$2:$C$4127, 3, FALSE))</f>
        <v/>
      </c>
      <c r="AA719" s="262"/>
      <c r="AB719" s="249">
        <f t="shared" si="674"/>
        <v>0</v>
      </c>
      <c r="AC719" s="210"/>
      <c r="AD719" s="236">
        <f t="shared" si="699"/>
        <v>1</v>
      </c>
      <c r="AE719" s="236">
        <f t="shared" si="700"/>
        <v>1</v>
      </c>
      <c r="AF719" s="236">
        <f t="shared" si="701"/>
        <v>0</v>
      </c>
      <c r="AG719" s="236">
        <v>1</v>
      </c>
      <c r="AH719" s="236">
        <v>0</v>
      </c>
      <c r="AI719" s="236">
        <f t="shared" si="677"/>
        <v>-100</v>
      </c>
      <c r="AJ719" s="210"/>
      <c r="AK719" s="254"/>
      <c r="AL719" s="254"/>
      <c r="AM719" s="255"/>
      <c r="AN719" s="255"/>
      <c r="AO719" s="255"/>
      <c r="AP719" s="255"/>
      <c r="AQ719" s="255"/>
      <c r="AR719" s="255"/>
      <c r="AS719" s="255"/>
      <c r="AT719" s="255"/>
      <c r="AU719" s="255"/>
      <c r="AV719" s="255"/>
      <c r="AW719" s="255"/>
      <c r="AX719" s="210"/>
      <c r="AY719" s="236" cm="1">
        <f t="array" ref="AY719">INDEX(Use, $AD719, 4)</f>
        <v>7</v>
      </c>
      <c r="AZ719" s="236">
        <f t="shared" si="678"/>
        <v>32</v>
      </c>
      <c r="BA719" s="236">
        <f t="shared" si="666"/>
        <v>13</v>
      </c>
      <c r="BB719" s="236">
        <f t="shared" si="667"/>
        <v>0</v>
      </c>
      <c r="BC719" s="252" cm="1">
        <f t="array" ref="BC719">K719/IF($L719&gt;0, INDEX($AO$23:$AU$77, $L719+20, $AD719), 1)</f>
        <v>0</v>
      </c>
      <c r="BD719" s="237">
        <f t="shared" si="679"/>
        <v>0</v>
      </c>
      <c r="BE719" s="236">
        <v>35</v>
      </c>
      <c r="BF719" s="237">
        <f t="shared" si="680"/>
        <v>52.55</v>
      </c>
      <c r="BG719" s="253">
        <f t="shared" si="681"/>
        <v>2.7676728869374316</v>
      </c>
      <c r="BH719" s="253" cm="1">
        <f t="array" ref="BH719">$BC719 * SUMPRODUCT(INDEX($AL$77:$AN$82,,$AE719),INDEX($AO$77:$AU$82,,$AD719), N($AK$77:$AK$82&gt;$AI719)) / BG719 / 1000</f>
        <v>0</v>
      </c>
      <c r="BI719" s="250">
        <f t="shared" si="668"/>
        <v>30</v>
      </c>
      <c r="BJ719" s="237">
        <f t="shared" si="682"/>
        <v>46.033333333333331</v>
      </c>
      <c r="BK719" s="253">
        <f t="shared" si="683"/>
        <v>3.2297395388556791</v>
      </c>
      <c r="BL719" s="253" cm="1">
        <f t="array" ref="BL719">$BC719 * IF($AD719&lt;=2,
SUMPRODUCT(INDEX($AL$72:$AN$76,,$AE719), INDEX($AO$72:$AU$76,,$AD719), 1 / ($AV$72:$AV$76*BK719 + (1-$AV$72:$AV$76)*BG719), N($AK$72:$AK$76&gt;$AI719)),
SUMPRODUCT(INDEX($AL$67:$AN$76,,$AE719), INDEX($AO$67:$AU$76,,$AD719), 1 / ($AW$67:$AW$76*BK719 + (1-$AW$67:$AW$76)*BG719), N($AK$67:$AK$76&gt;$AI719))
) / 1000</f>
        <v>0</v>
      </c>
      <c r="BM719" s="250">
        <f t="shared" si="669"/>
        <v>25</v>
      </c>
      <c r="BN719" s="237">
        <f t="shared" si="684"/>
        <v>39.516666666666666</v>
      </c>
      <c r="BO719" s="253">
        <f t="shared" si="685"/>
        <v>3.877011788826243</v>
      </c>
      <c r="BP719" s="253" cm="1">
        <f t="array" ref="BP719">$BC719 * IF($AD719&lt;=2,
SUMPRODUCT(INDEX($AL$67:$AN$71,,$AE719), INDEX($AO$67:$AU$71,,$AD719), 1 / ($AV$67:$AV$71*BO719 + (1-$AV$67:$AV$71)*BK719), N($AK$67:$AK$71&gt;$AI719)),
SUMPRODUCT(INDEX($AL$57:$AN$66,,$AE719), INDEX($AO$57:$AU$66,,$AD719), 1 / ($AW$57:$AW$66*BO719 + (1-$AW$57:$AW$66)*BK719), N($AK$57:$AK$66&gt;$AI719))
) / 1000</f>
        <v>0</v>
      </c>
      <c r="BQ719" s="250">
        <f t="shared" si="670"/>
        <v>20</v>
      </c>
      <c r="BR719" s="237">
        <f t="shared" si="686"/>
        <v>33</v>
      </c>
      <c r="BS719" s="253">
        <f t="shared" si="687"/>
        <v>4.8487499999999999</v>
      </c>
      <c r="BT719" s="253" cm="1">
        <f t="array" ref="BT719">$BC719 * IF($AD719&lt;=2,
SUMPRODUCT(INDEX($AL$62:$AN$66,,$AE719), INDEX($AO$62:$AU$66,,$AD719), 1 / ($AV$62:$AV$66*BS719 + (1-$AV$62:$AV$66)*BO719), N($AK$62:$AK$66&gt;$AI719)),
SUMPRODUCT(INDEX($AL$47:$AN$56,,$AE719), INDEX($AO$47:$AU$56,,$AD719), 1 / ($AW$47:$AW$56*BS719 + (1-$AW$47:$AW$56)*BO719), N($AK$47:$AK$56&gt;$AI719))
) / 1000</f>
        <v>0</v>
      </c>
      <c r="BU719" s="253" cm="1">
        <f t="array" ref="BU719">$BC719 * IF($AD719&lt;=2,
SUMPRODUCT(INDEX($AL$23:$AN$61,,$AE719), INDEX($AO$23:$AU$61,,$AD719), 1 / ($AV$23:$AV$61*BS719), N($AK$23:$AK$61&gt;$AI719)),
SUMPRODUCT(INDEX($AL$23:$AN$46,,$AE719), INDEX($AO$23:$AU$46,,$AD719), 1 / ($AW$23:$AW$46*BS719), N($AK$23:$AK$46&gt;$AI719))
) / 1000</f>
        <v>0</v>
      </c>
      <c r="BV719" s="237">
        <f t="shared" si="688"/>
        <v>0</v>
      </c>
      <c r="BW719" s="210"/>
      <c r="BX719" s="237">
        <f t="shared" si="689"/>
        <v>0</v>
      </c>
      <c r="BY719" s="236">
        <v>35</v>
      </c>
      <c r="BZ719" s="237">
        <f t="shared" si="690"/>
        <v>48</v>
      </c>
      <c r="CA719" s="253">
        <f t="shared" si="691"/>
        <v>3.0748170731707316</v>
      </c>
      <c r="CB719" s="253" cm="1">
        <f t="array" ref="CB719">$BC719 * SUMPRODUCT(INDEX($AL$77:$AN$82,,$AE719),INDEX($AO$77:$AU$82,,$AD719), N($AK$77:$AK$82&gt;$AI719)) / CA719 / 1000</f>
        <v>0</v>
      </c>
      <c r="CC719" s="250">
        <f t="shared" si="671"/>
        <v>30</v>
      </c>
      <c r="CD719" s="237">
        <f t="shared" si="692"/>
        <v>43</v>
      </c>
      <c r="CE719" s="253">
        <f t="shared" si="693"/>
        <v>3.5018750000000001</v>
      </c>
      <c r="CF719" s="253" cm="1">
        <f t="array" ref="CF719">$BC719 * IF($AD719&lt;=2,
SUMPRODUCT(INDEX($AL$72:$AN$76,,$AE719), INDEX($AO$72:$AU$76,,$AD719), 1 / ($AV$72:$AV$76*CE719 + (1-$AV$72:$AV$76)*CA719), N($AK$72:$AK$76&gt;$AI719)),
SUMPRODUCT(INDEX($AL$67:$AN$76,,$AE719), INDEX($AO$67:$AU$76,,$AD719), 1 / ($AW$67:$AW$76*CE719 + (1-$AW$67:$AW$76)*CA719), N($AK$67:$AK$76&gt;$AI719))
) / 1000</f>
        <v>0</v>
      </c>
      <c r="CG719" s="250">
        <f t="shared" si="672"/>
        <v>25</v>
      </c>
      <c r="CH719" s="237">
        <f t="shared" si="694"/>
        <v>38</v>
      </c>
      <c r="CI719" s="253">
        <f t="shared" si="695"/>
        <v>4.0666935483870965</v>
      </c>
      <c r="CJ719" s="253" cm="1">
        <f t="array" ref="CJ719">$BC719 * IF($AD719&lt;=2,
SUMPRODUCT(INDEX($AL$67:$AN$71,,$AE719), INDEX($AO$67:$AU$71,,$AD719), 1 / ($AV$67:$AV$71*CI719 + (1-$AV$67:$AV$71)*CE719), N($AK$67:$AK$71&gt;$AI719)),
SUMPRODUCT(INDEX($AL$57:$AN$66,,$AE719), INDEX($AO$57:$AU$66,,$AD719), 1 / ($AW$57:$AW$66*CI719 + (1-$AW$57:$AW$66)*CE719), N($AK$57:$AK$66&gt;$AI719))
) / 1000</f>
        <v>0</v>
      </c>
      <c r="CK719" s="250">
        <f t="shared" si="673"/>
        <v>20</v>
      </c>
      <c r="CL719" s="237">
        <f t="shared" si="696"/>
        <v>33</v>
      </c>
      <c r="CM719" s="253">
        <f t="shared" si="697"/>
        <v>4.8487499999999999</v>
      </c>
      <c r="CN719" s="253" cm="1">
        <f t="array" ref="CN719">$BC719 * IF($AD719&lt;=2,
SUMPRODUCT(INDEX($AL$62:$AN$66,,$AE719), INDEX($AO$62:$AU$66,,$AD719), 1 / ($AV$62:$AV$66*CM719 + (1-$AV$62:$AV$66)*CI719), N($AK$62:$AK$66&gt;$AI719)),
SUMPRODUCT(INDEX($AL$47:$AN$56,,$AE719), INDEX($AO$47:$AU$56,,$AD719), 1 / ($AW$47:$AW$56*CM719 + (1-$AW$47:$AW$56)*CI719), N($AK$47:$AK$56&gt;$AI719))
) / 1000</f>
        <v>0</v>
      </c>
      <c r="CO719" s="253" cm="1">
        <f t="array" ref="CO719">$BC719 * IF($AD719&lt;=2,
SUMPRODUCT(INDEX($AL$23:$AN$61,,$AE719), INDEX($AO$23:$AU$61,,$AD719), 1 / ($AV$23:$AV$61*CM719), N($AK$23:$AK$61&gt;$AI719)),
SUMPRODUCT(INDEX($AL$23:$AN$46,,$AE719), INDEX($AO$23:$AU$46,,$AD719), 1 / ($AW$23:$AW$46*CM719), N($AK$23:$AK$46&gt;$AI719))
) / 1000</f>
        <v>0</v>
      </c>
      <c r="CP719" s="237">
        <f t="shared" si="698"/>
        <v>0</v>
      </c>
      <c r="CQ719" s="210"/>
    </row>
    <row r="720" spans="1:95" s="76" customFormat="1" ht="14.25" customHeight="1" x14ac:dyDescent="0.2">
      <c r="A720" s="238" t="b">
        <f t="shared" si="665"/>
        <v>0</v>
      </c>
      <c r="B720" s="239">
        <v>698</v>
      </c>
      <c r="C720" s="258"/>
      <c r="D720" s="258"/>
      <c r="E720" s="240"/>
      <c r="F720" s="241" t="str">
        <f>IF(ISBLANK(E720), "", VLOOKUP(E720, Z!$A$2:$C$4127, 3, FALSE))</f>
        <v/>
      </c>
      <c r="G720" s="242"/>
      <c r="H720" s="242"/>
      <c r="I720" s="243"/>
      <c r="J720" s="244"/>
      <c r="K720" s="259"/>
      <c r="L720" s="260"/>
      <c r="M720" s="247" t="str" cm="1">
        <f t="array" ref="M720">IF($K720&gt;0, INDEX(Clean,1+AG720,$C$1), "")</f>
        <v/>
      </c>
      <c r="N720" s="245"/>
      <c r="O720" s="245"/>
      <c r="P720" s="246"/>
      <c r="Q720" s="248">
        <f t="shared" si="675"/>
        <v>0</v>
      </c>
      <c r="R720" s="247" t="str" cm="1">
        <f t="array" ref="R720">IF($K720&gt;0, INDEX(Clean,1+AH720,$C$1), "")</f>
        <v/>
      </c>
      <c r="S720" s="245"/>
      <c r="T720" s="245"/>
      <c r="U720" s="246"/>
      <c r="V720" s="248">
        <f t="shared" si="676"/>
        <v>0</v>
      </c>
      <c r="W720" s="261"/>
      <c r="X720" s="258"/>
      <c r="Y720" s="240"/>
      <c r="Z720" s="241" t="str">
        <f>IF(ISBLANK(Y720), "", VLOOKUP(Y720, Z!$A$2:$C$4127, 3, FALSE))</f>
        <v/>
      </c>
      <c r="AA720" s="262"/>
      <c r="AB720" s="249">
        <f t="shared" si="674"/>
        <v>0</v>
      </c>
      <c r="AC720" s="210"/>
      <c r="AD720" s="236">
        <f t="shared" si="699"/>
        <v>1</v>
      </c>
      <c r="AE720" s="236">
        <f t="shared" si="700"/>
        <v>1</v>
      </c>
      <c r="AF720" s="236">
        <f t="shared" si="701"/>
        <v>0</v>
      </c>
      <c r="AG720" s="236">
        <v>1</v>
      </c>
      <c r="AH720" s="236">
        <v>0</v>
      </c>
      <c r="AI720" s="236">
        <f t="shared" si="677"/>
        <v>-100</v>
      </c>
      <c r="AJ720" s="210"/>
      <c r="AK720" s="254"/>
      <c r="AL720" s="254"/>
      <c r="AM720" s="255"/>
      <c r="AN720" s="255"/>
      <c r="AO720" s="255"/>
      <c r="AP720" s="255"/>
      <c r="AQ720" s="255"/>
      <c r="AR720" s="255"/>
      <c r="AS720" s="255"/>
      <c r="AT720" s="255"/>
      <c r="AU720" s="255"/>
      <c r="AV720" s="255"/>
      <c r="AW720" s="255"/>
      <c r="AX720" s="210"/>
      <c r="AY720" s="236" cm="1">
        <f t="array" ref="AY720">INDEX(Use, $AD720, 4)</f>
        <v>7</v>
      </c>
      <c r="AZ720" s="236">
        <f t="shared" si="678"/>
        <v>32</v>
      </c>
      <c r="BA720" s="236">
        <f t="shared" si="666"/>
        <v>13</v>
      </c>
      <c r="BB720" s="236">
        <f t="shared" si="667"/>
        <v>0</v>
      </c>
      <c r="BC720" s="252" cm="1">
        <f t="array" ref="BC720">K720/IF($L720&gt;0, INDEX($AO$23:$AU$77, $L720+20, $AD720), 1)</f>
        <v>0</v>
      </c>
      <c r="BD720" s="237">
        <f t="shared" si="679"/>
        <v>0</v>
      </c>
      <c r="BE720" s="236">
        <v>35</v>
      </c>
      <c r="BF720" s="237">
        <f t="shared" si="680"/>
        <v>52.55</v>
      </c>
      <c r="BG720" s="253">
        <f t="shared" si="681"/>
        <v>2.7676728869374316</v>
      </c>
      <c r="BH720" s="253" cm="1">
        <f t="array" ref="BH720">$BC720 * SUMPRODUCT(INDEX($AL$77:$AN$82,,$AE720),INDEX($AO$77:$AU$82,,$AD720), N($AK$77:$AK$82&gt;$AI720)) / BG720 / 1000</f>
        <v>0</v>
      </c>
      <c r="BI720" s="250">
        <f t="shared" si="668"/>
        <v>30</v>
      </c>
      <c r="BJ720" s="237">
        <f t="shared" si="682"/>
        <v>46.033333333333331</v>
      </c>
      <c r="BK720" s="253">
        <f t="shared" si="683"/>
        <v>3.2297395388556791</v>
      </c>
      <c r="BL720" s="253" cm="1">
        <f t="array" ref="BL720">$BC720 * IF($AD720&lt;=2,
SUMPRODUCT(INDEX($AL$72:$AN$76,,$AE720), INDEX($AO$72:$AU$76,,$AD720), 1 / ($AV$72:$AV$76*BK720 + (1-$AV$72:$AV$76)*BG720), N($AK$72:$AK$76&gt;$AI720)),
SUMPRODUCT(INDEX($AL$67:$AN$76,,$AE720), INDEX($AO$67:$AU$76,,$AD720), 1 / ($AW$67:$AW$76*BK720 + (1-$AW$67:$AW$76)*BG720), N($AK$67:$AK$76&gt;$AI720))
) / 1000</f>
        <v>0</v>
      </c>
      <c r="BM720" s="250">
        <f t="shared" si="669"/>
        <v>25</v>
      </c>
      <c r="BN720" s="237">
        <f t="shared" si="684"/>
        <v>39.516666666666666</v>
      </c>
      <c r="BO720" s="253">
        <f t="shared" si="685"/>
        <v>3.877011788826243</v>
      </c>
      <c r="BP720" s="253" cm="1">
        <f t="array" ref="BP720">$BC720 * IF($AD720&lt;=2,
SUMPRODUCT(INDEX($AL$67:$AN$71,,$AE720), INDEX($AO$67:$AU$71,,$AD720), 1 / ($AV$67:$AV$71*BO720 + (1-$AV$67:$AV$71)*BK720), N($AK$67:$AK$71&gt;$AI720)),
SUMPRODUCT(INDEX($AL$57:$AN$66,,$AE720), INDEX($AO$57:$AU$66,,$AD720), 1 / ($AW$57:$AW$66*BO720 + (1-$AW$57:$AW$66)*BK720), N($AK$57:$AK$66&gt;$AI720))
) / 1000</f>
        <v>0</v>
      </c>
      <c r="BQ720" s="250">
        <f t="shared" si="670"/>
        <v>20</v>
      </c>
      <c r="BR720" s="237">
        <f t="shared" si="686"/>
        <v>33</v>
      </c>
      <c r="BS720" s="253">
        <f t="shared" si="687"/>
        <v>4.8487499999999999</v>
      </c>
      <c r="BT720" s="253" cm="1">
        <f t="array" ref="BT720">$BC720 * IF($AD720&lt;=2,
SUMPRODUCT(INDEX($AL$62:$AN$66,,$AE720), INDEX($AO$62:$AU$66,,$AD720), 1 / ($AV$62:$AV$66*BS720 + (1-$AV$62:$AV$66)*BO720), N($AK$62:$AK$66&gt;$AI720)),
SUMPRODUCT(INDEX($AL$47:$AN$56,,$AE720), INDEX($AO$47:$AU$56,,$AD720), 1 / ($AW$47:$AW$56*BS720 + (1-$AW$47:$AW$56)*BO720), N($AK$47:$AK$56&gt;$AI720))
) / 1000</f>
        <v>0</v>
      </c>
      <c r="BU720" s="253" cm="1">
        <f t="array" ref="BU720">$BC720 * IF($AD720&lt;=2,
SUMPRODUCT(INDEX($AL$23:$AN$61,,$AE720), INDEX($AO$23:$AU$61,,$AD720), 1 / ($AV$23:$AV$61*BS720), N($AK$23:$AK$61&gt;$AI720)),
SUMPRODUCT(INDEX($AL$23:$AN$46,,$AE720), INDEX($AO$23:$AU$46,,$AD720), 1 / ($AW$23:$AW$46*BS720), N($AK$23:$AK$46&gt;$AI720))
) / 1000</f>
        <v>0</v>
      </c>
      <c r="BV720" s="237">
        <f t="shared" si="688"/>
        <v>0</v>
      </c>
      <c r="BW720" s="210"/>
      <c r="BX720" s="237">
        <f t="shared" si="689"/>
        <v>0</v>
      </c>
      <c r="BY720" s="236">
        <v>35</v>
      </c>
      <c r="BZ720" s="237">
        <f t="shared" si="690"/>
        <v>48</v>
      </c>
      <c r="CA720" s="253">
        <f t="shared" si="691"/>
        <v>3.0748170731707316</v>
      </c>
      <c r="CB720" s="253" cm="1">
        <f t="array" ref="CB720">$BC720 * SUMPRODUCT(INDEX($AL$77:$AN$82,,$AE720),INDEX($AO$77:$AU$82,,$AD720), N($AK$77:$AK$82&gt;$AI720)) / CA720 / 1000</f>
        <v>0</v>
      </c>
      <c r="CC720" s="250">
        <f t="shared" si="671"/>
        <v>30</v>
      </c>
      <c r="CD720" s="237">
        <f t="shared" si="692"/>
        <v>43</v>
      </c>
      <c r="CE720" s="253">
        <f t="shared" si="693"/>
        <v>3.5018750000000001</v>
      </c>
      <c r="CF720" s="253" cm="1">
        <f t="array" ref="CF720">$BC720 * IF($AD720&lt;=2,
SUMPRODUCT(INDEX($AL$72:$AN$76,,$AE720), INDEX($AO$72:$AU$76,,$AD720), 1 / ($AV$72:$AV$76*CE720 + (1-$AV$72:$AV$76)*CA720), N($AK$72:$AK$76&gt;$AI720)),
SUMPRODUCT(INDEX($AL$67:$AN$76,,$AE720), INDEX($AO$67:$AU$76,,$AD720), 1 / ($AW$67:$AW$76*CE720 + (1-$AW$67:$AW$76)*CA720), N($AK$67:$AK$76&gt;$AI720))
) / 1000</f>
        <v>0</v>
      </c>
      <c r="CG720" s="250">
        <f t="shared" si="672"/>
        <v>25</v>
      </c>
      <c r="CH720" s="237">
        <f t="shared" si="694"/>
        <v>38</v>
      </c>
      <c r="CI720" s="253">
        <f t="shared" si="695"/>
        <v>4.0666935483870965</v>
      </c>
      <c r="CJ720" s="253" cm="1">
        <f t="array" ref="CJ720">$BC720 * IF($AD720&lt;=2,
SUMPRODUCT(INDEX($AL$67:$AN$71,,$AE720), INDEX($AO$67:$AU$71,,$AD720), 1 / ($AV$67:$AV$71*CI720 + (1-$AV$67:$AV$71)*CE720), N($AK$67:$AK$71&gt;$AI720)),
SUMPRODUCT(INDEX($AL$57:$AN$66,,$AE720), INDEX($AO$57:$AU$66,,$AD720), 1 / ($AW$57:$AW$66*CI720 + (1-$AW$57:$AW$66)*CE720), N($AK$57:$AK$66&gt;$AI720))
) / 1000</f>
        <v>0</v>
      </c>
      <c r="CK720" s="250">
        <f t="shared" si="673"/>
        <v>20</v>
      </c>
      <c r="CL720" s="237">
        <f t="shared" si="696"/>
        <v>33</v>
      </c>
      <c r="CM720" s="253">
        <f t="shared" si="697"/>
        <v>4.8487499999999999</v>
      </c>
      <c r="CN720" s="253" cm="1">
        <f t="array" ref="CN720">$BC720 * IF($AD720&lt;=2,
SUMPRODUCT(INDEX($AL$62:$AN$66,,$AE720), INDEX($AO$62:$AU$66,,$AD720), 1 / ($AV$62:$AV$66*CM720 + (1-$AV$62:$AV$66)*CI720), N($AK$62:$AK$66&gt;$AI720)),
SUMPRODUCT(INDEX($AL$47:$AN$56,,$AE720), INDEX($AO$47:$AU$56,,$AD720), 1 / ($AW$47:$AW$56*CM720 + (1-$AW$47:$AW$56)*CI720), N($AK$47:$AK$56&gt;$AI720))
) / 1000</f>
        <v>0</v>
      </c>
      <c r="CO720" s="253" cm="1">
        <f t="array" ref="CO720">$BC720 * IF($AD720&lt;=2,
SUMPRODUCT(INDEX($AL$23:$AN$61,,$AE720), INDEX($AO$23:$AU$61,,$AD720), 1 / ($AV$23:$AV$61*CM720), N($AK$23:$AK$61&gt;$AI720)),
SUMPRODUCT(INDEX($AL$23:$AN$46,,$AE720), INDEX($AO$23:$AU$46,,$AD720), 1 / ($AW$23:$AW$46*CM720), N($AK$23:$AK$46&gt;$AI720))
) / 1000</f>
        <v>0</v>
      </c>
      <c r="CP720" s="237">
        <f t="shared" si="698"/>
        <v>0</v>
      </c>
      <c r="CQ720" s="210"/>
    </row>
    <row r="721" spans="1:95" s="76" customFormat="1" ht="14.25" customHeight="1" x14ac:dyDescent="0.2">
      <c r="A721" s="238" t="b">
        <f t="shared" si="665"/>
        <v>0</v>
      </c>
      <c r="B721" s="239">
        <v>699</v>
      </c>
      <c r="C721" s="258"/>
      <c r="D721" s="258"/>
      <c r="E721" s="240"/>
      <c r="F721" s="241" t="str">
        <f>IF(ISBLANK(E721), "", VLOOKUP(E721, Z!$A$2:$C$4127, 3, FALSE))</f>
        <v/>
      </c>
      <c r="G721" s="242"/>
      <c r="H721" s="242"/>
      <c r="I721" s="243"/>
      <c r="J721" s="244"/>
      <c r="K721" s="259"/>
      <c r="L721" s="260"/>
      <c r="M721" s="247" t="str" cm="1">
        <f t="array" ref="M721">IF($K721&gt;0, INDEX(Clean,1+AG721,$C$1), "")</f>
        <v/>
      </c>
      <c r="N721" s="245"/>
      <c r="O721" s="245"/>
      <c r="P721" s="246"/>
      <c r="Q721" s="248">
        <f t="shared" si="675"/>
        <v>0</v>
      </c>
      <c r="R721" s="247" t="str" cm="1">
        <f t="array" ref="R721">IF($K721&gt;0, INDEX(Clean,1+AH721,$C$1), "")</f>
        <v/>
      </c>
      <c r="S721" s="245"/>
      <c r="T721" s="245"/>
      <c r="U721" s="246"/>
      <c r="V721" s="248">
        <f t="shared" si="676"/>
        <v>0</v>
      </c>
      <c r="W721" s="261"/>
      <c r="X721" s="258"/>
      <c r="Y721" s="240"/>
      <c r="Z721" s="241" t="str">
        <f>IF(ISBLANK(Y721), "", VLOOKUP(Y721, Z!$A$2:$C$4127, 3, FALSE))</f>
        <v/>
      </c>
      <c r="AA721" s="262"/>
      <c r="AB721" s="249">
        <f t="shared" si="674"/>
        <v>0</v>
      </c>
      <c r="AC721" s="210"/>
      <c r="AD721" s="236">
        <f t="shared" si="699"/>
        <v>1</v>
      </c>
      <c r="AE721" s="236">
        <f t="shared" si="700"/>
        <v>1</v>
      </c>
      <c r="AF721" s="236">
        <f t="shared" si="701"/>
        <v>0</v>
      </c>
      <c r="AG721" s="236">
        <v>1</v>
      </c>
      <c r="AH721" s="236">
        <v>0</v>
      </c>
      <c r="AI721" s="236">
        <f t="shared" si="677"/>
        <v>-100</v>
      </c>
      <c r="AJ721" s="210"/>
      <c r="AK721" s="254"/>
      <c r="AL721" s="254"/>
      <c r="AM721" s="255"/>
      <c r="AN721" s="255"/>
      <c r="AO721" s="255"/>
      <c r="AP721" s="255"/>
      <c r="AQ721" s="255"/>
      <c r="AR721" s="255"/>
      <c r="AS721" s="255"/>
      <c r="AT721" s="255"/>
      <c r="AU721" s="255"/>
      <c r="AV721" s="255"/>
      <c r="AW721" s="255"/>
      <c r="AX721" s="210"/>
      <c r="AY721" s="236" cm="1">
        <f t="array" ref="AY721">INDEX(Use, $AD721, 4)</f>
        <v>7</v>
      </c>
      <c r="AZ721" s="236">
        <f t="shared" si="678"/>
        <v>32</v>
      </c>
      <c r="BA721" s="236">
        <f t="shared" si="666"/>
        <v>13</v>
      </c>
      <c r="BB721" s="236">
        <f t="shared" si="667"/>
        <v>0</v>
      </c>
      <c r="BC721" s="252" cm="1">
        <f t="array" ref="BC721">K721/IF($L721&gt;0, INDEX($AO$23:$AU$77, $L721+20, $AD721), 1)</f>
        <v>0</v>
      </c>
      <c r="BD721" s="237">
        <f t="shared" si="679"/>
        <v>0</v>
      </c>
      <c r="BE721" s="236">
        <v>35</v>
      </c>
      <c r="BF721" s="237">
        <f t="shared" si="680"/>
        <v>52.55</v>
      </c>
      <c r="BG721" s="253">
        <f t="shared" si="681"/>
        <v>2.7676728869374316</v>
      </c>
      <c r="BH721" s="253" cm="1">
        <f t="array" ref="BH721">$BC721 * SUMPRODUCT(INDEX($AL$77:$AN$82,,$AE721),INDEX($AO$77:$AU$82,,$AD721), N($AK$77:$AK$82&gt;$AI721)) / BG721 / 1000</f>
        <v>0</v>
      </c>
      <c r="BI721" s="250">
        <f t="shared" si="668"/>
        <v>30</v>
      </c>
      <c r="BJ721" s="237">
        <f t="shared" si="682"/>
        <v>46.033333333333331</v>
      </c>
      <c r="BK721" s="253">
        <f t="shared" si="683"/>
        <v>3.2297395388556791</v>
      </c>
      <c r="BL721" s="253" cm="1">
        <f t="array" ref="BL721">$BC721 * IF($AD721&lt;=2,
SUMPRODUCT(INDEX($AL$72:$AN$76,,$AE721), INDEX($AO$72:$AU$76,,$AD721), 1 / ($AV$72:$AV$76*BK721 + (1-$AV$72:$AV$76)*BG721), N($AK$72:$AK$76&gt;$AI721)),
SUMPRODUCT(INDEX($AL$67:$AN$76,,$AE721), INDEX($AO$67:$AU$76,,$AD721), 1 / ($AW$67:$AW$76*BK721 + (1-$AW$67:$AW$76)*BG721), N($AK$67:$AK$76&gt;$AI721))
) / 1000</f>
        <v>0</v>
      </c>
      <c r="BM721" s="250">
        <f t="shared" si="669"/>
        <v>25</v>
      </c>
      <c r="BN721" s="237">
        <f t="shared" si="684"/>
        <v>39.516666666666666</v>
      </c>
      <c r="BO721" s="253">
        <f t="shared" si="685"/>
        <v>3.877011788826243</v>
      </c>
      <c r="BP721" s="253" cm="1">
        <f t="array" ref="BP721">$BC721 * IF($AD721&lt;=2,
SUMPRODUCT(INDEX($AL$67:$AN$71,,$AE721), INDEX($AO$67:$AU$71,,$AD721), 1 / ($AV$67:$AV$71*BO721 + (1-$AV$67:$AV$71)*BK721), N($AK$67:$AK$71&gt;$AI721)),
SUMPRODUCT(INDEX($AL$57:$AN$66,,$AE721), INDEX($AO$57:$AU$66,,$AD721), 1 / ($AW$57:$AW$66*BO721 + (1-$AW$57:$AW$66)*BK721), N($AK$57:$AK$66&gt;$AI721))
) / 1000</f>
        <v>0</v>
      </c>
      <c r="BQ721" s="250">
        <f t="shared" si="670"/>
        <v>20</v>
      </c>
      <c r="BR721" s="237">
        <f t="shared" si="686"/>
        <v>33</v>
      </c>
      <c r="BS721" s="253">
        <f t="shared" si="687"/>
        <v>4.8487499999999999</v>
      </c>
      <c r="BT721" s="253" cm="1">
        <f t="array" ref="BT721">$BC721 * IF($AD721&lt;=2,
SUMPRODUCT(INDEX($AL$62:$AN$66,,$AE721), INDEX($AO$62:$AU$66,,$AD721), 1 / ($AV$62:$AV$66*BS721 + (1-$AV$62:$AV$66)*BO721), N($AK$62:$AK$66&gt;$AI721)),
SUMPRODUCT(INDEX($AL$47:$AN$56,,$AE721), INDEX($AO$47:$AU$56,,$AD721), 1 / ($AW$47:$AW$56*BS721 + (1-$AW$47:$AW$56)*BO721), N($AK$47:$AK$56&gt;$AI721))
) / 1000</f>
        <v>0</v>
      </c>
      <c r="BU721" s="253" cm="1">
        <f t="array" ref="BU721">$BC721 * IF($AD721&lt;=2,
SUMPRODUCT(INDEX($AL$23:$AN$61,,$AE721), INDEX($AO$23:$AU$61,,$AD721), 1 / ($AV$23:$AV$61*BS721), N($AK$23:$AK$61&gt;$AI721)),
SUMPRODUCT(INDEX($AL$23:$AN$46,,$AE721), INDEX($AO$23:$AU$46,,$AD721), 1 / ($AW$23:$AW$46*BS721), N($AK$23:$AK$46&gt;$AI721))
) / 1000</f>
        <v>0</v>
      </c>
      <c r="BV721" s="237">
        <f t="shared" si="688"/>
        <v>0</v>
      </c>
      <c r="BW721" s="210"/>
      <c r="BX721" s="237">
        <f t="shared" si="689"/>
        <v>0</v>
      </c>
      <c r="BY721" s="236">
        <v>35</v>
      </c>
      <c r="BZ721" s="237">
        <f t="shared" si="690"/>
        <v>48</v>
      </c>
      <c r="CA721" s="253">
        <f t="shared" si="691"/>
        <v>3.0748170731707316</v>
      </c>
      <c r="CB721" s="253" cm="1">
        <f t="array" ref="CB721">$BC721 * SUMPRODUCT(INDEX($AL$77:$AN$82,,$AE721),INDEX($AO$77:$AU$82,,$AD721), N($AK$77:$AK$82&gt;$AI721)) / CA721 / 1000</f>
        <v>0</v>
      </c>
      <c r="CC721" s="250">
        <f t="shared" si="671"/>
        <v>30</v>
      </c>
      <c r="CD721" s="237">
        <f t="shared" si="692"/>
        <v>43</v>
      </c>
      <c r="CE721" s="253">
        <f t="shared" si="693"/>
        <v>3.5018750000000001</v>
      </c>
      <c r="CF721" s="253" cm="1">
        <f t="array" ref="CF721">$BC721 * IF($AD721&lt;=2,
SUMPRODUCT(INDEX($AL$72:$AN$76,,$AE721), INDEX($AO$72:$AU$76,,$AD721), 1 / ($AV$72:$AV$76*CE721 + (1-$AV$72:$AV$76)*CA721), N($AK$72:$AK$76&gt;$AI721)),
SUMPRODUCT(INDEX($AL$67:$AN$76,,$AE721), INDEX($AO$67:$AU$76,,$AD721), 1 / ($AW$67:$AW$76*CE721 + (1-$AW$67:$AW$76)*CA721), N($AK$67:$AK$76&gt;$AI721))
) / 1000</f>
        <v>0</v>
      </c>
      <c r="CG721" s="250">
        <f t="shared" si="672"/>
        <v>25</v>
      </c>
      <c r="CH721" s="237">
        <f t="shared" si="694"/>
        <v>38</v>
      </c>
      <c r="CI721" s="253">
        <f t="shared" si="695"/>
        <v>4.0666935483870965</v>
      </c>
      <c r="CJ721" s="253" cm="1">
        <f t="array" ref="CJ721">$BC721 * IF($AD721&lt;=2,
SUMPRODUCT(INDEX($AL$67:$AN$71,,$AE721), INDEX($AO$67:$AU$71,,$AD721), 1 / ($AV$67:$AV$71*CI721 + (1-$AV$67:$AV$71)*CE721), N($AK$67:$AK$71&gt;$AI721)),
SUMPRODUCT(INDEX($AL$57:$AN$66,,$AE721), INDEX($AO$57:$AU$66,,$AD721), 1 / ($AW$57:$AW$66*CI721 + (1-$AW$57:$AW$66)*CE721), N($AK$57:$AK$66&gt;$AI721))
) / 1000</f>
        <v>0</v>
      </c>
      <c r="CK721" s="250">
        <f t="shared" si="673"/>
        <v>20</v>
      </c>
      <c r="CL721" s="237">
        <f t="shared" si="696"/>
        <v>33</v>
      </c>
      <c r="CM721" s="253">
        <f t="shared" si="697"/>
        <v>4.8487499999999999</v>
      </c>
      <c r="CN721" s="253" cm="1">
        <f t="array" ref="CN721">$BC721 * IF($AD721&lt;=2,
SUMPRODUCT(INDEX($AL$62:$AN$66,,$AE721), INDEX($AO$62:$AU$66,,$AD721), 1 / ($AV$62:$AV$66*CM721 + (1-$AV$62:$AV$66)*CI721), N($AK$62:$AK$66&gt;$AI721)),
SUMPRODUCT(INDEX($AL$47:$AN$56,,$AE721), INDEX($AO$47:$AU$56,,$AD721), 1 / ($AW$47:$AW$56*CM721 + (1-$AW$47:$AW$56)*CI721), N($AK$47:$AK$56&gt;$AI721))
) / 1000</f>
        <v>0</v>
      </c>
      <c r="CO721" s="253" cm="1">
        <f t="array" ref="CO721">$BC721 * IF($AD721&lt;=2,
SUMPRODUCT(INDEX($AL$23:$AN$61,,$AE721), INDEX($AO$23:$AU$61,,$AD721), 1 / ($AV$23:$AV$61*CM721), N($AK$23:$AK$61&gt;$AI721)),
SUMPRODUCT(INDEX($AL$23:$AN$46,,$AE721), INDEX($AO$23:$AU$46,,$AD721), 1 / ($AW$23:$AW$46*CM721), N($AK$23:$AK$46&gt;$AI721))
) / 1000</f>
        <v>0</v>
      </c>
      <c r="CP721" s="237">
        <f t="shared" si="698"/>
        <v>0</v>
      </c>
      <c r="CQ721" s="210"/>
    </row>
    <row r="722" spans="1:95" s="76" customFormat="1" ht="14.25" customHeight="1" x14ac:dyDescent="0.2">
      <c r="A722" s="238" t="b">
        <f t="shared" si="665"/>
        <v>0</v>
      </c>
      <c r="B722" s="239">
        <v>700</v>
      </c>
      <c r="C722" s="258"/>
      <c r="D722" s="258"/>
      <c r="E722" s="240"/>
      <c r="F722" s="241" t="str">
        <f>IF(ISBLANK(E722), "", VLOOKUP(E722, Z!$A$2:$C$4127, 3, FALSE))</f>
        <v/>
      </c>
      <c r="G722" s="242"/>
      <c r="H722" s="242"/>
      <c r="I722" s="243"/>
      <c r="J722" s="244"/>
      <c r="K722" s="259"/>
      <c r="L722" s="260"/>
      <c r="M722" s="247" t="str" cm="1">
        <f t="array" ref="M722">IF($K722&gt;0, INDEX(Clean,1+AG722,$C$1), "")</f>
        <v/>
      </c>
      <c r="N722" s="245"/>
      <c r="O722" s="245"/>
      <c r="P722" s="246"/>
      <c r="Q722" s="248">
        <f t="shared" si="675"/>
        <v>0</v>
      </c>
      <c r="R722" s="247" t="str" cm="1">
        <f t="array" ref="R722">IF($K722&gt;0, INDEX(Clean,1+AH722,$C$1), "")</f>
        <v/>
      </c>
      <c r="S722" s="245"/>
      <c r="T722" s="245"/>
      <c r="U722" s="246"/>
      <c r="V722" s="248">
        <f t="shared" si="676"/>
        <v>0</v>
      </c>
      <c r="W722" s="261"/>
      <c r="X722" s="258"/>
      <c r="Y722" s="240"/>
      <c r="Z722" s="241" t="str">
        <f>IF(ISBLANK(Y722), "", VLOOKUP(Y722, Z!$A$2:$C$4127, 3, FALSE))</f>
        <v/>
      </c>
      <c r="AA722" s="262"/>
      <c r="AB722" s="249">
        <f t="shared" si="674"/>
        <v>0</v>
      </c>
      <c r="AC722" s="210"/>
      <c r="AD722" s="236">
        <f t="shared" si="699"/>
        <v>1</v>
      </c>
      <c r="AE722" s="236">
        <f t="shared" si="700"/>
        <v>1</v>
      </c>
      <c r="AF722" s="236">
        <f t="shared" si="701"/>
        <v>0</v>
      </c>
      <c r="AG722" s="236">
        <v>1</v>
      </c>
      <c r="AH722" s="236">
        <v>0</v>
      </c>
      <c r="AI722" s="236">
        <f t="shared" si="677"/>
        <v>-100</v>
      </c>
      <c r="AJ722" s="210"/>
      <c r="AK722" s="254"/>
      <c r="AL722" s="254"/>
      <c r="AM722" s="255"/>
      <c r="AN722" s="255"/>
      <c r="AO722" s="255"/>
      <c r="AP722" s="255"/>
      <c r="AQ722" s="255"/>
      <c r="AR722" s="255"/>
      <c r="AS722" s="255"/>
      <c r="AT722" s="255"/>
      <c r="AU722" s="255"/>
      <c r="AV722" s="255"/>
      <c r="AW722" s="255"/>
      <c r="AX722" s="210"/>
      <c r="AY722" s="236" cm="1">
        <f t="array" ref="AY722">INDEX(Use, $AD722, 4)</f>
        <v>7</v>
      </c>
      <c r="AZ722" s="236">
        <f t="shared" si="678"/>
        <v>32</v>
      </c>
      <c r="BA722" s="236">
        <f t="shared" si="666"/>
        <v>13</v>
      </c>
      <c r="BB722" s="236">
        <f t="shared" si="667"/>
        <v>0</v>
      </c>
      <c r="BC722" s="252" cm="1">
        <f t="array" ref="BC722">K722/IF($L722&gt;0, INDEX($AO$23:$AU$77, $L722+20, $AD722), 1)</f>
        <v>0</v>
      </c>
      <c r="BD722" s="237">
        <f t="shared" si="679"/>
        <v>0</v>
      </c>
      <c r="BE722" s="236">
        <v>35</v>
      </c>
      <c r="BF722" s="237">
        <f t="shared" si="680"/>
        <v>52.55</v>
      </c>
      <c r="BG722" s="253">
        <f t="shared" si="681"/>
        <v>2.7676728869374316</v>
      </c>
      <c r="BH722" s="253" cm="1">
        <f t="array" ref="BH722">$BC722 * SUMPRODUCT(INDEX($AL$77:$AN$82,,$AE722),INDEX($AO$77:$AU$82,,$AD722), N($AK$77:$AK$82&gt;$AI722)) / BG722 / 1000</f>
        <v>0</v>
      </c>
      <c r="BI722" s="250">
        <f t="shared" si="668"/>
        <v>30</v>
      </c>
      <c r="BJ722" s="237">
        <f t="shared" si="682"/>
        <v>46.033333333333331</v>
      </c>
      <c r="BK722" s="253">
        <f t="shared" si="683"/>
        <v>3.2297395388556791</v>
      </c>
      <c r="BL722" s="253" cm="1">
        <f t="array" ref="BL722">$BC722 * IF($AD722&lt;=2,
SUMPRODUCT(INDEX($AL$72:$AN$76,,$AE722), INDEX($AO$72:$AU$76,,$AD722), 1 / ($AV$72:$AV$76*BK722 + (1-$AV$72:$AV$76)*BG722), N($AK$72:$AK$76&gt;$AI722)),
SUMPRODUCT(INDEX($AL$67:$AN$76,,$AE722), INDEX($AO$67:$AU$76,,$AD722), 1 / ($AW$67:$AW$76*BK722 + (1-$AW$67:$AW$76)*BG722), N($AK$67:$AK$76&gt;$AI722))
) / 1000</f>
        <v>0</v>
      </c>
      <c r="BM722" s="250">
        <f t="shared" si="669"/>
        <v>25</v>
      </c>
      <c r="BN722" s="237">
        <f t="shared" si="684"/>
        <v>39.516666666666666</v>
      </c>
      <c r="BO722" s="253">
        <f t="shared" si="685"/>
        <v>3.877011788826243</v>
      </c>
      <c r="BP722" s="253" cm="1">
        <f t="array" ref="BP722">$BC722 * IF($AD722&lt;=2,
SUMPRODUCT(INDEX($AL$67:$AN$71,,$AE722), INDEX($AO$67:$AU$71,,$AD722), 1 / ($AV$67:$AV$71*BO722 + (1-$AV$67:$AV$71)*BK722), N($AK$67:$AK$71&gt;$AI722)),
SUMPRODUCT(INDEX($AL$57:$AN$66,,$AE722), INDEX($AO$57:$AU$66,,$AD722), 1 / ($AW$57:$AW$66*BO722 + (1-$AW$57:$AW$66)*BK722), N($AK$57:$AK$66&gt;$AI722))
) / 1000</f>
        <v>0</v>
      </c>
      <c r="BQ722" s="250">
        <f t="shared" si="670"/>
        <v>20</v>
      </c>
      <c r="BR722" s="237">
        <f t="shared" si="686"/>
        <v>33</v>
      </c>
      <c r="BS722" s="253">
        <f t="shared" si="687"/>
        <v>4.8487499999999999</v>
      </c>
      <c r="BT722" s="253" cm="1">
        <f t="array" ref="BT722">$BC722 * IF($AD722&lt;=2,
SUMPRODUCT(INDEX($AL$62:$AN$66,,$AE722), INDEX($AO$62:$AU$66,,$AD722), 1 / ($AV$62:$AV$66*BS722 + (1-$AV$62:$AV$66)*BO722), N($AK$62:$AK$66&gt;$AI722)),
SUMPRODUCT(INDEX($AL$47:$AN$56,,$AE722), INDEX($AO$47:$AU$56,,$AD722), 1 / ($AW$47:$AW$56*BS722 + (1-$AW$47:$AW$56)*BO722), N($AK$47:$AK$56&gt;$AI722))
) / 1000</f>
        <v>0</v>
      </c>
      <c r="BU722" s="253" cm="1">
        <f t="array" ref="BU722">$BC722 * IF($AD722&lt;=2,
SUMPRODUCT(INDEX($AL$23:$AN$61,,$AE722), INDEX($AO$23:$AU$61,,$AD722), 1 / ($AV$23:$AV$61*BS722), N($AK$23:$AK$61&gt;$AI722)),
SUMPRODUCT(INDEX($AL$23:$AN$46,,$AE722), INDEX($AO$23:$AU$46,,$AD722), 1 / ($AW$23:$AW$46*BS722), N($AK$23:$AK$46&gt;$AI722))
) / 1000</f>
        <v>0</v>
      </c>
      <c r="BV722" s="237">
        <f t="shared" si="688"/>
        <v>0</v>
      </c>
      <c r="BW722" s="210"/>
      <c r="BX722" s="237">
        <f t="shared" si="689"/>
        <v>0</v>
      </c>
      <c r="BY722" s="236">
        <v>35</v>
      </c>
      <c r="BZ722" s="237">
        <f t="shared" si="690"/>
        <v>48</v>
      </c>
      <c r="CA722" s="253">
        <f t="shared" si="691"/>
        <v>3.0748170731707316</v>
      </c>
      <c r="CB722" s="253" cm="1">
        <f t="array" ref="CB722">$BC722 * SUMPRODUCT(INDEX($AL$77:$AN$82,,$AE722),INDEX($AO$77:$AU$82,,$AD722), N($AK$77:$AK$82&gt;$AI722)) / CA722 / 1000</f>
        <v>0</v>
      </c>
      <c r="CC722" s="250">
        <f t="shared" si="671"/>
        <v>30</v>
      </c>
      <c r="CD722" s="237">
        <f t="shared" si="692"/>
        <v>43</v>
      </c>
      <c r="CE722" s="253">
        <f t="shared" si="693"/>
        <v>3.5018750000000001</v>
      </c>
      <c r="CF722" s="253" cm="1">
        <f t="array" ref="CF722">$BC722 * IF($AD722&lt;=2,
SUMPRODUCT(INDEX($AL$72:$AN$76,,$AE722), INDEX($AO$72:$AU$76,,$AD722), 1 / ($AV$72:$AV$76*CE722 + (1-$AV$72:$AV$76)*CA722), N($AK$72:$AK$76&gt;$AI722)),
SUMPRODUCT(INDEX($AL$67:$AN$76,,$AE722), INDEX($AO$67:$AU$76,,$AD722), 1 / ($AW$67:$AW$76*CE722 + (1-$AW$67:$AW$76)*CA722), N($AK$67:$AK$76&gt;$AI722))
) / 1000</f>
        <v>0</v>
      </c>
      <c r="CG722" s="250">
        <f t="shared" si="672"/>
        <v>25</v>
      </c>
      <c r="CH722" s="237">
        <f t="shared" si="694"/>
        <v>38</v>
      </c>
      <c r="CI722" s="253">
        <f t="shared" si="695"/>
        <v>4.0666935483870965</v>
      </c>
      <c r="CJ722" s="253" cm="1">
        <f t="array" ref="CJ722">$BC722 * IF($AD722&lt;=2,
SUMPRODUCT(INDEX($AL$67:$AN$71,,$AE722), INDEX($AO$67:$AU$71,,$AD722), 1 / ($AV$67:$AV$71*CI722 + (1-$AV$67:$AV$71)*CE722), N($AK$67:$AK$71&gt;$AI722)),
SUMPRODUCT(INDEX($AL$57:$AN$66,,$AE722), INDEX($AO$57:$AU$66,,$AD722), 1 / ($AW$57:$AW$66*CI722 + (1-$AW$57:$AW$66)*CE722), N($AK$57:$AK$66&gt;$AI722))
) / 1000</f>
        <v>0</v>
      </c>
      <c r="CK722" s="250">
        <f t="shared" si="673"/>
        <v>20</v>
      </c>
      <c r="CL722" s="237">
        <f t="shared" si="696"/>
        <v>33</v>
      </c>
      <c r="CM722" s="253">
        <f t="shared" si="697"/>
        <v>4.8487499999999999</v>
      </c>
      <c r="CN722" s="253" cm="1">
        <f t="array" ref="CN722">$BC722 * IF($AD722&lt;=2,
SUMPRODUCT(INDEX($AL$62:$AN$66,,$AE722), INDEX($AO$62:$AU$66,,$AD722), 1 / ($AV$62:$AV$66*CM722 + (1-$AV$62:$AV$66)*CI722), N($AK$62:$AK$66&gt;$AI722)),
SUMPRODUCT(INDEX($AL$47:$AN$56,,$AE722), INDEX($AO$47:$AU$56,,$AD722), 1 / ($AW$47:$AW$56*CM722 + (1-$AW$47:$AW$56)*CI722), N($AK$47:$AK$56&gt;$AI722))
) / 1000</f>
        <v>0</v>
      </c>
      <c r="CO722" s="253" cm="1">
        <f t="array" ref="CO722">$BC722 * IF($AD722&lt;=2,
SUMPRODUCT(INDEX($AL$23:$AN$61,,$AE722), INDEX($AO$23:$AU$61,,$AD722), 1 / ($AV$23:$AV$61*CM722), N($AK$23:$AK$61&gt;$AI722)),
SUMPRODUCT(INDEX($AL$23:$AN$46,,$AE722), INDEX($AO$23:$AU$46,,$AD722), 1 / ($AW$23:$AW$46*CM722), N($AK$23:$AK$46&gt;$AI722))
) / 1000</f>
        <v>0</v>
      </c>
      <c r="CP722" s="237">
        <f t="shared" si="698"/>
        <v>0</v>
      </c>
      <c r="CQ722" s="210"/>
    </row>
    <row r="723" spans="1:95" s="76" customFormat="1" ht="14.25" customHeight="1" x14ac:dyDescent="0.2">
      <c r="A723" s="238" t="b">
        <f t="shared" si="665"/>
        <v>0</v>
      </c>
      <c r="B723" s="239">
        <v>701</v>
      </c>
      <c r="C723" s="258"/>
      <c r="D723" s="258"/>
      <c r="E723" s="240"/>
      <c r="F723" s="241" t="str">
        <f>IF(ISBLANK(E723), "", VLOOKUP(E723, Z!$A$2:$C$4127, 3, FALSE))</f>
        <v/>
      </c>
      <c r="G723" s="242"/>
      <c r="H723" s="242"/>
      <c r="I723" s="243"/>
      <c r="J723" s="244"/>
      <c r="K723" s="259"/>
      <c r="L723" s="260"/>
      <c r="M723" s="247" t="str" cm="1">
        <f t="array" ref="M723">IF($K723&gt;0, INDEX(Clean,1+AG723,$C$1), "")</f>
        <v/>
      </c>
      <c r="N723" s="245"/>
      <c r="O723" s="245"/>
      <c r="P723" s="246"/>
      <c r="Q723" s="248">
        <f t="shared" si="675"/>
        <v>0</v>
      </c>
      <c r="R723" s="247" t="str" cm="1">
        <f t="array" ref="R723">IF($K723&gt;0, INDEX(Clean,1+AH723,$C$1), "")</f>
        <v/>
      </c>
      <c r="S723" s="245"/>
      <c r="T723" s="245"/>
      <c r="U723" s="246"/>
      <c r="V723" s="248">
        <f t="shared" si="676"/>
        <v>0</v>
      </c>
      <c r="W723" s="261"/>
      <c r="X723" s="258"/>
      <c r="Y723" s="240"/>
      <c r="Z723" s="241" t="str">
        <f>IF(ISBLANK(Y723), "", VLOOKUP(Y723, Z!$A$2:$C$4127, 3, FALSE))</f>
        <v/>
      </c>
      <c r="AA723" s="262"/>
      <c r="AB723" s="249">
        <f t="shared" si="674"/>
        <v>0</v>
      </c>
      <c r="AC723" s="210"/>
      <c r="AD723" s="236">
        <f t="shared" si="699"/>
        <v>1</v>
      </c>
      <c r="AE723" s="236">
        <f t="shared" si="700"/>
        <v>1</v>
      </c>
      <c r="AF723" s="236">
        <f t="shared" si="701"/>
        <v>0</v>
      </c>
      <c r="AG723" s="236">
        <v>1</v>
      </c>
      <c r="AH723" s="236">
        <v>0</v>
      </c>
      <c r="AI723" s="236">
        <f t="shared" si="677"/>
        <v>-100</v>
      </c>
      <c r="AJ723" s="210"/>
      <c r="AK723" s="254"/>
      <c r="AL723" s="254"/>
      <c r="AM723" s="255"/>
      <c r="AN723" s="255"/>
      <c r="AO723" s="255"/>
      <c r="AP723" s="255"/>
      <c r="AQ723" s="255"/>
      <c r="AR723" s="255"/>
      <c r="AS723" s="255"/>
      <c r="AT723" s="255"/>
      <c r="AU723" s="255"/>
      <c r="AV723" s="255"/>
      <c r="AW723" s="255"/>
      <c r="AX723" s="210"/>
      <c r="AY723" s="236" cm="1">
        <f t="array" ref="AY723">INDEX(Use, $AD723, 4)</f>
        <v>7</v>
      </c>
      <c r="AZ723" s="236">
        <f t="shared" si="678"/>
        <v>32</v>
      </c>
      <c r="BA723" s="236">
        <f t="shared" si="666"/>
        <v>13</v>
      </c>
      <c r="BB723" s="236">
        <f t="shared" si="667"/>
        <v>0</v>
      </c>
      <c r="BC723" s="252" cm="1">
        <f t="array" ref="BC723">K723/IF($L723&gt;0, INDEX($AO$23:$AU$77, $L723+20, $AD723), 1)</f>
        <v>0</v>
      </c>
      <c r="BD723" s="237">
        <f t="shared" si="679"/>
        <v>0</v>
      </c>
      <c r="BE723" s="236">
        <v>35</v>
      </c>
      <c r="BF723" s="237">
        <f t="shared" si="680"/>
        <v>52.55</v>
      </c>
      <c r="BG723" s="253">
        <f t="shared" si="681"/>
        <v>2.7676728869374316</v>
      </c>
      <c r="BH723" s="253" cm="1">
        <f t="array" ref="BH723">$BC723 * SUMPRODUCT(INDEX($AL$77:$AN$82,,$AE723),INDEX($AO$77:$AU$82,,$AD723), N($AK$77:$AK$82&gt;$AI723)) / BG723 / 1000</f>
        <v>0</v>
      </c>
      <c r="BI723" s="250">
        <f t="shared" si="668"/>
        <v>30</v>
      </c>
      <c r="BJ723" s="237">
        <f t="shared" si="682"/>
        <v>46.033333333333331</v>
      </c>
      <c r="BK723" s="253">
        <f t="shared" si="683"/>
        <v>3.2297395388556791</v>
      </c>
      <c r="BL723" s="253" cm="1">
        <f t="array" ref="BL723">$BC723 * IF($AD723&lt;=2,
SUMPRODUCT(INDEX($AL$72:$AN$76,,$AE723), INDEX($AO$72:$AU$76,,$AD723), 1 / ($AV$72:$AV$76*BK723 + (1-$AV$72:$AV$76)*BG723), N($AK$72:$AK$76&gt;$AI723)),
SUMPRODUCT(INDEX($AL$67:$AN$76,,$AE723), INDEX($AO$67:$AU$76,,$AD723), 1 / ($AW$67:$AW$76*BK723 + (1-$AW$67:$AW$76)*BG723), N($AK$67:$AK$76&gt;$AI723))
) / 1000</f>
        <v>0</v>
      </c>
      <c r="BM723" s="250">
        <f t="shared" si="669"/>
        <v>25</v>
      </c>
      <c r="BN723" s="237">
        <f t="shared" si="684"/>
        <v>39.516666666666666</v>
      </c>
      <c r="BO723" s="253">
        <f t="shared" si="685"/>
        <v>3.877011788826243</v>
      </c>
      <c r="BP723" s="253" cm="1">
        <f t="array" ref="BP723">$BC723 * IF($AD723&lt;=2,
SUMPRODUCT(INDEX($AL$67:$AN$71,,$AE723), INDEX($AO$67:$AU$71,,$AD723), 1 / ($AV$67:$AV$71*BO723 + (1-$AV$67:$AV$71)*BK723), N($AK$67:$AK$71&gt;$AI723)),
SUMPRODUCT(INDEX($AL$57:$AN$66,,$AE723), INDEX($AO$57:$AU$66,,$AD723), 1 / ($AW$57:$AW$66*BO723 + (1-$AW$57:$AW$66)*BK723), N($AK$57:$AK$66&gt;$AI723))
) / 1000</f>
        <v>0</v>
      </c>
      <c r="BQ723" s="250">
        <f t="shared" si="670"/>
        <v>20</v>
      </c>
      <c r="BR723" s="237">
        <f t="shared" si="686"/>
        <v>33</v>
      </c>
      <c r="BS723" s="253">
        <f t="shared" si="687"/>
        <v>4.8487499999999999</v>
      </c>
      <c r="BT723" s="253" cm="1">
        <f t="array" ref="BT723">$BC723 * IF($AD723&lt;=2,
SUMPRODUCT(INDEX($AL$62:$AN$66,,$AE723), INDEX($AO$62:$AU$66,,$AD723), 1 / ($AV$62:$AV$66*BS723 + (1-$AV$62:$AV$66)*BO723), N($AK$62:$AK$66&gt;$AI723)),
SUMPRODUCT(INDEX($AL$47:$AN$56,,$AE723), INDEX($AO$47:$AU$56,,$AD723), 1 / ($AW$47:$AW$56*BS723 + (1-$AW$47:$AW$56)*BO723), N($AK$47:$AK$56&gt;$AI723))
) / 1000</f>
        <v>0</v>
      </c>
      <c r="BU723" s="253" cm="1">
        <f t="array" ref="BU723">$BC723 * IF($AD723&lt;=2,
SUMPRODUCT(INDEX($AL$23:$AN$61,,$AE723), INDEX($AO$23:$AU$61,,$AD723), 1 / ($AV$23:$AV$61*BS723), N($AK$23:$AK$61&gt;$AI723)),
SUMPRODUCT(INDEX($AL$23:$AN$46,,$AE723), INDEX($AO$23:$AU$46,,$AD723), 1 / ($AW$23:$AW$46*BS723), N($AK$23:$AK$46&gt;$AI723))
) / 1000</f>
        <v>0</v>
      </c>
      <c r="BV723" s="237">
        <f t="shared" si="688"/>
        <v>0</v>
      </c>
      <c r="BW723" s="210"/>
      <c r="BX723" s="237">
        <f t="shared" si="689"/>
        <v>0</v>
      </c>
      <c r="BY723" s="236">
        <v>35</v>
      </c>
      <c r="BZ723" s="237">
        <f t="shared" si="690"/>
        <v>48</v>
      </c>
      <c r="CA723" s="253">
        <f t="shared" si="691"/>
        <v>3.0748170731707316</v>
      </c>
      <c r="CB723" s="253" cm="1">
        <f t="array" ref="CB723">$BC723 * SUMPRODUCT(INDEX($AL$77:$AN$82,,$AE723),INDEX($AO$77:$AU$82,,$AD723), N($AK$77:$AK$82&gt;$AI723)) / CA723 / 1000</f>
        <v>0</v>
      </c>
      <c r="CC723" s="250">
        <f t="shared" si="671"/>
        <v>30</v>
      </c>
      <c r="CD723" s="237">
        <f t="shared" si="692"/>
        <v>43</v>
      </c>
      <c r="CE723" s="253">
        <f t="shared" si="693"/>
        <v>3.5018750000000001</v>
      </c>
      <c r="CF723" s="253" cm="1">
        <f t="array" ref="CF723">$BC723 * IF($AD723&lt;=2,
SUMPRODUCT(INDEX($AL$72:$AN$76,,$AE723), INDEX($AO$72:$AU$76,,$AD723), 1 / ($AV$72:$AV$76*CE723 + (1-$AV$72:$AV$76)*CA723), N($AK$72:$AK$76&gt;$AI723)),
SUMPRODUCT(INDEX($AL$67:$AN$76,,$AE723), INDEX($AO$67:$AU$76,,$AD723), 1 / ($AW$67:$AW$76*CE723 + (1-$AW$67:$AW$76)*CA723), N($AK$67:$AK$76&gt;$AI723))
) / 1000</f>
        <v>0</v>
      </c>
      <c r="CG723" s="250">
        <f t="shared" si="672"/>
        <v>25</v>
      </c>
      <c r="CH723" s="237">
        <f t="shared" si="694"/>
        <v>38</v>
      </c>
      <c r="CI723" s="253">
        <f t="shared" si="695"/>
        <v>4.0666935483870965</v>
      </c>
      <c r="CJ723" s="253" cm="1">
        <f t="array" ref="CJ723">$BC723 * IF($AD723&lt;=2,
SUMPRODUCT(INDEX($AL$67:$AN$71,,$AE723), INDEX($AO$67:$AU$71,,$AD723), 1 / ($AV$67:$AV$71*CI723 + (1-$AV$67:$AV$71)*CE723), N($AK$67:$AK$71&gt;$AI723)),
SUMPRODUCT(INDEX($AL$57:$AN$66,,$AE723), INDEX($AO$57:$AU$66,,$AD723), 1 / ($AW$57:$AW$66*CI723 + (1-$AW$57:$AW$66)*CE723), N($AK$57:$AK$66&gt;$AI723))
) / 1000</f>
        <v>0</v>
      </c>
      <c r="CK723" s="250">
        <f t="shared" si="673"/>
        <v>20</v>
      </c>
      <c r="CL723" s="237">
        <f t="shared" si="696"/>
        <v>33</v>
      </c>
      <c r="CM723" s="253">
        <f t="shared" si="697"/>
        <v>4.8487499999999999</v>
      </c>
      <c r="CN723" s="253" cm="1">
        <f t="array" ref="CN723">$BC723 * IF($AD723&lt;=2,
SUMPRODUCT(INDEX($AL$62:$AN$66,,$AE723), INDEX($AO$62:$AU$66,,$AD723), 1 / ($AV$62:$AV$66*CM723 + (1-$AV$62:$AV$66)*CI723), N($AK$62:$AK$66&gt;$AI723)),
SUMPRODUCT(INDEX($AL$47:$AN$56,,$AE723), INDEX($AO$47:$AU$56,,$AD723), 1 / ($AW$47:$AW$56*CM723 + (1-$AW$47:$AW$56)*CI723), N($AK$47:$AK$56&gt;$AI723))
) / 1000</f>
        <v>0</v>
      </c>
      <c r="CO723" s="253" cm="1">
        <f t="array" ref="CO723">$BC723 * IF($AD723&lt;=2,
SUMPRODUCT(INDEX($AL$23:$AN$61,,$AE723), INDEX($AO$23:$AU$61,,$AD723), 1 / ($AV$23:$AV$61*CM723), N($AK$23:$AK$61&gt;$AI723)),
SUMPRODUCT(INDEX($AL$23:$AN$46,,$AE723), INDEX($AO$23:$AU$46,,$AD723), 1 / ($AW$23:$AW$46*CM723), N($AK$23:$AK$46&gt;$AI723))
) / 1000</f>
        <v>0</v>
      </c>
      <c r="CP723" s="237">
        <f t="shared" si="698"/>
        <v>0</v>
      </c>
      <c r="CQ723" s="210"/>
    </row>
    <row r="724" spans="1:95" s="76" customFormat="1" ht="14.25" customHeight="1" x14ac:dyDescent="0.2">
      <c r="A724" s="238" t="b">
        <f t="shared" si="665"/>
        <v>0</v>
      </c>
      <c r="B724" s="239">
        <v>702</v>
      </c>
      <c r="C724" s="258"/>
      <c r="D724" s="258"/>
      <c r="E724" s="240"/>
      <c r="F724" s="241" t="str">
        <f>IF(ISBLANK(E724), "", VLOOKUP(E724, Z!$A$2:$C$4127, 3, FALSE))</f>
        <v/>
      </c>
      <c r="G724" s="242"/>
      <c r="H724" s="242"/>
      <c r="I724" s="243"/>
      <c r="J724" s="244"/>
      <c r="K724" s="259"/>
      <c r="L724" s="260"/>
      <c r="M724" s="247" t="str" cm="1">
        <f t="array" ref="M724">IF($K724&gt;0, INDEX(Clean,1+AG724,$C$1), "")</f>
        <v/>
      </c>
      <c r="N724" s="245"/>
      <c r="O724" s="245"/>
      <c r="P724" s="246"/>
      <c r="Q724" s="248">
        <f t="shared" si="675"/>
        <v>0</v>
      </c>
      <c r="R724" s="247" t="str" cm="1">
        <f t="array" ref="R724">IF($K724&gt;0, INDEX(Clean,1+AH724,$C$1), "")</f>
        <v/>
      </c>
      <c r="S724" s="245"/>
      <c r="T724" s="245"/>
      <c r="U724" s="246"/>
      <c r="V724" s="248">
        <f t="shared" si="676"/>
        <v>0</v>
      </c>
      <c r="W724" s="261"/>
      <c r="X724" s="258"/>
      <c r="Y724" s="240"/>
      <c r="Z724" s="241" t="str">
        <f>IF(ISBLANK(Y724), "", VLOOKUP(Y724, Z!$A$2:$C$4127, 3, FALSE))</f>
        <v/>
      </c>
      <c r="AA724" s="262"/>
      <c r="AB724" s="249">
        <f t="shared" si="674"/>
        <v>0</v>
      </c>
      <c r="AC724" s="210"/>
      <c r="AD724" s="236">
        <f t="shared" si="699"/>
        <v>1</v>
      </c>
      <c r="AE724" s="236">
        <f t="shared" si="700"/>
        <v>1</v>
      </c>
      <c r="AF724" s="236">
        <f t="shared" si="701"/>
        <v>0</v>
      </c>
      <c r="AG724" s="236">
        <v>1</v>
      </c>
      <c r="AH724" s="236">
        <v>0</v>
      </c>
      <c r="AI724" s="236">
        <f t="shared" si="677"/>
        <v>-100</v>
      </c>
      <c r="AJ724" s="210"/>
      <c r="AK724" s="254"/>
      <c r="AL724" s="254"/>
      <c r="AM724" s="255"/>
      <c r="AN724" s="255"/>
      <c r="AO724" s="255"/>
      <c r="AP724" s="255"/>
      <c r="AQ724" s="255"/>
      <c r="AR724" s="255"/>
      <c r="AS724" s="255"/>
      <c r="AT724" s="255"/>
      <c r="AU724" s="255"/>
      <c r="AV724" s="255"/>
      <c r="AW724" s="255"/>
      <c r="AX724" s="210"/>
      <c r="AY724" s="236" cm="1">
        <f t="array" ref="AY724">INDEX(Use, $AD724, 4)</f>
        <v>7</v>
      </c>
      <c r="AZ724" s="236">
        <f t="shared" si="678"/>
        <v>32</v>
      </c>
      <c r="BA724" s="236">
        <f t="shared" si="666"/>
        <v>13</v>
      </c>
      <c r="BB724" s="236">
        <f t="shared" si="667"/>
        <v>0</v>
      </c>
      <c r="BC724" s="252" cm="1">
        <f t="array" ref="BC724">K724/IF($L724&gt;0, INDEX($AO$23:$AU$77, $L724+20, $AD724), 1)</f>
        <v>0</v>
      </c>
      <c r="BD724" s="237">
        <f t="shared" si="679"/>
        <v>0</v>
      </c>
      <c r="BE724" s="236">
        <v>35</v>
      </c>
      <c r="BF724" s="237">
        <f t="shared" si="680"/>
        <v>52.55</v>
      </c>
      <c r="BG724" s="253">
        <f t="shared" si="681"/>
        <v>2.7676728869374316</v>
      </c>
      <c r="BH724" s="253" cm="1">
        <f t="array" ref="BH724">$BC724 * SUMPRODUCT(INDEX($AL$77:$AN$82,,$AE724),INDEX($AO$77:$AU$82,,$AD724), N($AK$77:$AK$82&gt;$AI724)) / BG724 / 1000</f>
        <v>0</v>
      </c>
      <c r="BI724" s="250">
        <f t="shared" si="668"/>
        <v>30</v>
      </c>
      <c r="BJ724" s="237">
        <f t="shared" si="682"/>
        <v>46.033333333333331</v>
      </c>
      <c r="BK724" s="253">
        <f t="shared" si="683"/>
        <v>3.2297395388556791</v>
      </c>
      <c r="BL724" s="253" cm="1">
        <f t="array" ref="BL724">$BC724 * IF($AD724&lt;=2,
SUMPRODUCT(INDEX($AL$72:$AN$76,,$AE724), INDEX($AO$72:$AU$76,,$AD724), 1 / ($AV$72:$AV$76*BK724 + (1-$AV$72:$AV$76)*BG724), N($AK$72:$AK$76&gt;$AI724)),
SUMPRODUCT(INDEX($AL$67:$AN$76,,$AE724), INDEX($AO$67:$AU$76,,$AD724), 1 / ($AW$67:$AW$76*BK724 + (1-$AW$67:$AW$76)*BG724), N($AK$67:$AK$76&gt;$AI724))
) / 1000</f>
        <v>0</v>
      </c>
      <c r="BM724" s="250">
        <f t="shared" si="669"/>
        <v>25</v>
      </c>
      <c r="BN724" s="237">
        <f t="shared" si="684"/>
        <v>39.516666666666666</v>
      </c>
      <c r="BO724" s="253">
        <f t="shared" si="685"/>
        <v>3.877011788826243</v>
      </c>
      <c r="BP724" s="253" cm="1">
        <f t="array" ref="BP724">$BC724 * IF($AD724&lt;=2,
SUMPRODUCT(INDEX($AL$67:$AN$71,,$AE724), INDEX($AO$67:$AU$71,,$AD724), 1 / ($AV$67:$AV$71*BO724 + (1-$AV$67:$AV$71)*BK724), N($AK$67:$AK$71&gt;$AI724)),
SUMPRODUCT(INDEX($AL$57:$AN$66,,$AE724), INDEX($AO$57:$AU$66,,$AD724), 1 / ($AW$57:$AW$66*BO724 + (1-$AW$57:$AW$66)*BK724), N($AK$57:$AK$66&gt;$AI724))
) / 1000</f>
        <v>0</v>
      </c>
      <c r="BQ724" s="250">
        <f t="shared" si="670"/>
        <v>20</v>
      </c>
      <c r="BR724" s="237">
        <f t="shared" si="686"/>
        <v>33</v>
      </c>
      <c r="BS724" s="253">
        <f t="shared" si="687"/>
        <v>4.8487499999999999</v>
      </c>
      <c r="BT724" s="253" cm="1">
        <f t="array" ref="BT724">$BC724 * IF($AD724&lt;=2,
SUMPRODUCT(INDEX($AL$62:$AN$66,,$AE724), INDEX($AO$62:$AU$66,,$AD724), 1 / ($AV$62:$AV$66*BS724 + (1-$AV$62:$AV$66)*BO724), N($AK$62:$AK$66&gt;$AI724)),
SUMPRODUCT(INDEX($AL$47:$AN$56,,$AE724), INDEX($AO$47:$AU$56,,$AD724), 1 / ($AW$47:$AW$56*BS724 + (1-$AW$47:$AW$56)*BO724), N($AK$47:$AK$56&gt;$AI724))
) / 1000</f>
        <v>0</v>
      </c>
      <c r="BU724" s="253" cm="1">
        <f t="array" ref="BU724">$BC724 * IF($AD724&lt;=2,
SUMPRODUCT(INDEX($AL$23:$AN$61,,$AE724), INDEX($AO$23:$AU$61,,$AD724), 1 / ($AV$23:$AV$61*BS724), N($AK$23:$AK$61&gt;$AI724)),
SUMPRODUCT(INDEX($AL$23:$AN$46,,$AE724), INDEX($AO$23:$AU$46,,$AD724), 1 / ($AW$23:$AW$46*BS724), N($AK$23:$AK$46&gt;$AI724))
) / 1000</f>
        <v>0</v>
      </c>
      <c r="BV724" s="237">
        <f t="shared" si="688"/>
        <v>0</v>
      </c>
      <c r="BW724" s="210"/>
      <c r="BX724" s="237">
        <f t="shared" si="689"/>
        <v>0</v>
      </c>
      <c r="BY724" s="236">
        <v>35</v>
      </c>
      <c r="BZ724" s="237">
        <f t="shared" si="690"/>
        <v>48</v>
      </c>
      <c r="CA724" s="253">
        <f t="shared" si="691"/>
        <v>3.0748170731707316</v>
      </c>
      <c r="CB724" s="253" cm="1">
        <f t="array" ref="CB724">$BC724 * SUMPRODUCT(INDEX($AL$77:$AN$82,,$AE724),INDEX($AO$77:$AU$82,,$AD724), N($AK$77:$AK$82&gt;$AI724)) / CA724 / 1000</f>
        <v>0</v>
      </c>
      <c r="CC724" s="250">
        <f t="shared" si="671"/>
        <v>30</v>
      </c>
      <c r="CD724" s="237">
        <f t="shared" si="692"/>
        <v>43</v>
      </c>
      <c r="CE724" s="253">
        <f t="shared" si="693"/>
        <v>3.5018750000000001</v>
      </c>
      <c r="CF724" s="253" cm="1">
        <f t="array" ref="CF724">$BC724 * IF($AD724&lt;=2,
SUMPRODUCT(INDEX($AL$72:$AN$76,,$AE724), INDEX($AO$72:$AU$76,,$AD724), 1 / ($AV$72:$AV$76*CE724 + (1-$AV$72:$AV$76)*CA724), N($AK$72:$AK$76&gt;$AI724)),
SUMPRODUCT(INDEX($AL$67:$AN$76,,$AE724), INDEX($AO$67:$AU$76,,$AD724), 1 / ($AW$67:$AW$76*CE724 + (1-$AW$67:$AW$76)*CA724), N($AK$67:$AK$76&gt;$AI724))
) / 1000</f>
        <v>0</v>
      </c>
      <c r="CG724" s="250">
        <f t="shared" si="672"/>
        <v>25</v>
      </c>
      <c r="CH724" s="237">
        <f t="shared" si="694"/>
        <v>38</v>
      </c>
      <c r="CI724" s="253">
        <f t="shared" si="695"/>
        <v>4.0666935483870965</v>
      </c>
      <c r="CJ724" s="253" cm="1">
        <f t="array" ref="CJ724">$BC724 * IF($AD724&lt;=2,
SUMPRODUCT(INDEX($AL$67:$AN$71,,$AE724), INDEX($AO$67:$AU$71,,$AD724), 1 / ($AV$67:$AV$71*CI724 + (1-$AV$67:$AV$71)*CE724), N($AK$67:$AK$71&gt;$AI724)),
SUMPRODUCT(INDEX($AL$57:$AN$66,,$AE724), INDEX($AO$57:$AU$66,,$AD724), 1 / ($AW$57:$AW$66*CI724 + (1-$AW$57:$AW$66)*CE724), N($AK$57:$AK$66&gt;$AI724))
) / 1000</f>
        <v>0</v>
      </c>
      <c r="CK724" s="250">
        <f t="shared" si="673"/>
        <v>20</v>
      </c>
      <c r="CL724" s="237">
        <f t="shared" si="696"/>
        <v>33</v>
      </c>
      <c r="CM724" s="253">
        <f t="shared" si="697"/>
        <v>4.8487499999999999</v>
      </c>
      <c r="CN724" s="253" cm="1">
        <f t="array" ref="CN724">$BC724 * IF($AD724&lt;=2,
SUMPRODUCT(INDEX($AL$62:$AN$66,,$AE724), INDEX($AO$62:$AU$66,,$AD724), 1 / ($AV$62:$AV$66*CM724 + (1-$AV$62:$AV$66)*CI724), N($AK$62:$AK$66&gt;$AI724)),
SUMPRODUCT(INDEX($AL$47:$AN$56,,$AE724), INDEX($AO$47:$AU$56,,$AD724), 1 / ($AW$47:$AW$56*CM724 + (1-$AW$47:$AW$56)*CI724), N($AK$47:$AK$56&gt;$AI724))
) / 1000</f>
        <v>0</v>
      </c>
      <c r="CO724" s="253" cm="1">
        <f t="array" ref="CO724">$BC724 * IF($AD724&lt;=2,
SUMPRODUCT(INDEX($AL$23:$AN$61,,$AE724), INDEX($AO$23:$AU$61,,$AD724), 1 / ($AV$23:$AV$61*CM724), N($AK$23:$AK$61&gt;$AI724)),
SUMPRODUCT(INDEX($AL$23:$AN$46,,$AE724), INDEX($AO$23:$AU$46,,$AD724), 1 / ($AW$23:$AW$46*CM724), N($AK$23:$AK$46&gt;$AI724))
) / 1000</f>
        <v>0</v>
      </c>
      <c r="CP724" s="237">
        <f t="shared" si="698"/>
        <v>0</v>
      </c>
      <c r="CQ724" s="210"/>
    </row>
    <row r="725" spans="1:95" s="76" customFormat="1" ht="14.25" customHeight="1" x14ac:dyDescent="0.2">
      <c r="A725" s="238" t="b">
        <f t="shared" si="665"/>
        <v>0</v>
      </c>
      <c r="B725" s="239">
        <v>703</v>
      </c>
      <c r="C725" s="258"/>
      <c r="D725" s="258"/>
      <c r="E725" s="240"/>
      <c r="F725" s="241" t="str">
        <f>IF(ISBLANK(E725), "", VLOOKUP(E725, Z!$A$2:$C$4127, 3, FALSE))</f>
        <v/>
      </c>
      <c r="G725" s="242"/>
      <c r="H725" s="242"/>
      <c r="I725" s="243"/>
      <c r="J725" s="244"/>
      <c r="K725" s="259"/>
      <c r="L725" s="260"/>
      <c r="M725" s="247" t="str" cm="1">
        <f t="array" ref="M725">IF($K725&gt;0, INDEX(Clean,1+AG725,$C$1), "")</f>
        <v/>
      </c>
      <c r="N725" s="245"/>
      <c r="O725" s="245"/>
      <c r="P725" s="246"/>
      <c r="Q725" s="248">
        <f t="shared" si="675"/>
        <v>0</v>
      </c>
      <c r="R725" s="247" t="str" cm="1">
        <f t="array" ref="R725">IF($K725&gt;0, INDEX(Clean,1+AH725,$C$1), "")</f>
        <v/>
      </c>
      <c r="S725" s="245"/>
      <c r="T725" s="245"/>
      <c r="U725" s="246"/>
      <c r="V725" s="248">
        <f t="shared" si="676"/>
        <v>0</v>
      </c>
      <c r="W725" s="261"/>
      <c r="X725" s="258"/>
      <c r="Y725" s="240"/>
      <c r="Z725" s="241" t="str">
        <f>IF(ISBLANK(Y725), "", VLOOKUP(Y725, Z!$A$2:$C$4127, 3, FALSE))</f>
        <v/>
      </c>
      <c r="AA725" s="262"/>
      <c r="AB725" s="249">
        <f t="shared" si="674"/>
        <v>0</v>
      </c>
      <c r="AC725" s="210"/>
      <c r="AD725" s="236">
        <f t="shared" si="699"/>
        <v>1</v>
      </c>
      <c r="AE725" s="236">
        <f t="shared" si="700"/>
        <v>1</v>
      </c>
      <c r="AF725" s="236">
        <f t="shared" si="701"/>
        <v>0</v>
      </c>
      <c r="AG725" s="236">
        <v>1</v>
      </c>
      <c r="AH725" s="236">
        <v>0</v>
      </c>
      <c r="AI725" s="236">
        <f t="shared" si="677"/>
        <v>-100</v>
      </c>
      <c r="AJ725" s="210"/>
      <c r="AK725" s="254"/>
      <c r="AL725" s="254"/>
      <c r="AM725" s="255"/>
      <c r="AN725" s="255"/>
      <c r="AO725" s="255"/>
      <c r="AP725" s="255"/>
      <c r="AQ725" s="255"/>
      <c r="AR725" s="255"/>
      <c r="AS725" s="255"/>
      <c r="AT725" s="255"/>
      <c r="AU725" s="255"/>
      <c r="AV725" s="255"/>
      <c r="AW725" s="255"/>
      <c r="AX725" s="210"/>
      <c r="AY725" s="236" cm="1">
        <f t="array" ref="AY725">INDEX(Use, $AD725, 4)</f>
        <v>7</v>
      </c>
      <c r="AZ725" s="236">
        <f t="shared" si="678"/>
        <v>32</v>
      </c>
      <c r="BA725" s="236">
        <f t="shared" si="666"/>
        <v>13</v>
      </c>
      <c r="BB725" s="236">
        <f t="shared" si="667"/>
        <v>0</v>
      </c>
      <c r="BC725" s="252" cm="1">
        <f t="array" ref="BC725">K725/IF($L725&gt;0, INDEX($AO$23:$AU$77, $L725+20, $AD725), 1)</f>
        <v>0</v>
      </c>
      <c r="BD725" s="237">
        <f t="shared" si="679"/>
        <v>0</v>
      </c>
      <c r="BE725" s="236">
        <v>35</v>
      </c>
      <c r="BF725" s="237">
        <f t="shared" si="680"/>
        <v>52.55</v>
      </c>
      <c r="BG725" s="253">
        <f t="shared" si="681"/>
        <v>2.7676728869374316</v>
      </c>
      <c r="BH725" s="253" cm="1">
        <f t="array" ref="BH725">$BC725 * SUMPRODUCT(INDEX($AL$77:$AN$82,,$AE725),INDEX($AO$77:$AU$82,,$AD725), N($AK$77:$AK$82&gt;$AI725)) / BG725 / 1000</f>
        <v>0</v>
      </c>
      <c r="BI725" s="250">
        <f t="shared" si="668"/>
        <v>30</v>
      </c>
      <c r="BJ725" s="237">
        <f t="shared" si="682"/>
        <v>46.033333333333331</v>
      </c>
      <c r="BK725" s="253">
        <f t="shared" si="683"/>
        <v>3.2297395388556791</v>
      </c>
      <c r="BL725" s="253" cm="1">
        <f t="array" ref="BL725">$BC725 * IF($AD725&lt;=2,
SUMPRODUCT(INDEX($AL$72:$AN$76,,$AE725), INDEX($AO$72:$AU$76,,$AD725), 1 / ($AV$72:$AV$76*BK725 + (1-$AV$72:$AV$76)*BG725), N($AK$72:$AK$76&gt;$AI725)),
SUMPRODUCT(INDEX($AL$67:$AN$76,,$AE725), INDEX($AO$67:$AU$76,,$AD725), 1 / ($AW$67:$AW$76*BK725 + (1-$AW$67:$AW$76)*BG725), N($AK$67:$AK$76&gt;$AI725))
) / 1000</f>
        <v>0</v>
      </c>
      <c r="BM725" s="250">
        <f t="shared" si="669"/>
        <v>25</v>
      </c>
      <c r="BN725" s="237">
        <f t="shared" si="684"/>
        <v>39.516666666666666</v>
      </c>
      <c r="BO725" s="253">
        <f t="shared" si="685"/>
        <v>3.877011788826243</v>
      </c>
      <c r="BP725" s="253" cm="1">
        <f t="array" ref="BP725">$BC725 * IF($AD725&lt;=2,
SUMPRODUCT(INDEX($AL$67:$AN$71,,$AE725), INDEX($AO$67:$AU$71,,$AD725), 1 / ($AV$67:$AV$71*BO725 + (1-$AV$67:$AV$71)*BK725), N($AK$67:$AK$71&gt;$AI725)),
SUMPRODUCT(INDEX($AL$57:$AN$66,,$AE725), INDEX($AO$57:$AU$66,,$AD725), 1 / ($AW$57:$AW$66*BO725 + (1-$AW$57:$AW$66)*BK725), N($AK$57:$AK$66&gt;$AI725))
) / 1000</f>
        <v>0</v>
      </c>
      <c r="BQ725" s="250">
        <f t="shared" si="670"/>
        <v>20</v>
      </c>
      <c r="BR725" s="237">
        <f t="shared" si="686"/>
        <v>33</v>
      </c>
      <c r="BS725" s="253">
        <f t="shared" si="687"/>
        <v>4.8487499999999999</v>
      </c>
      <c r="BT725" s="253" cm="1">
        <f t="array" ref="BT725">$BC725 * IF($AD725&lt;=2,
SUMPRODUCT(INDEX($AL$62:$AN$66,,$AE725), INDEX($AO$62:$AU$66,,$AD725), 1 / ($AV$62:$AV$66*BS725 + (1-$AV$62:$AV$66)*BO725), N($AK$62:$AK$66&gt;$AI725)),
SUMPRODUCT(INDEX($AL$47:$AN$56,,$AE725), INDEX($AO$47:$AU$56,,$AD725), 1 / ($AW$47:$AW$56*BS725 + (1-$AW$47:$AW$56)*BO725), N($AK$47:$AK$56&gt;$AI725))
) / 1000</f>
        <v>0</v>
      </c>
      <c r="BU725" s="253" cm="1">
        <f t="array" ref="BU725">$BC725 * IF($AD725&lt;=2,
SUMPRODUCT(INDEX($AL$23:$AN$61,,$AE725), INDEX($AO$23:$AU$61,,$AD725), 1 / ($AV$23:$AV$61*BS725), N($AK$23:$AK$61&gt;$AI725)),
SUMPRODUCT(INDEX($AL$23:$AN$46,,$AE725), INDEX($AO$23:$AU$46,,$AD725), 1 / ($AW$23:$AW$46*BS725), N($AK$23:$AK$46&gt;$AI725))
) / 1000</f>
        <v>0</v>
      </c>
      <c r="BV725" s="237">
        <f t="shared" si="688"/>
        <v>0</v>
      </c>
      <c r="BW725" s="210"/>
      <c r="BX725" s="237">
        <f t="shared" si="689"/>
        <v>0</v>
      </c>
      <c r="BY725" s="236">
        <v>35</v>
      </c>
      <c r="BZ725" s="237">
        <f t="shared" si="690"/>
        <v>48</v>
      </c>
      <c r="CA725" s="253">
        <f t="shared" si="691"/>
        <v>3.0748170731707316</v>
      </c>
      <c r="CB725" s="253" cm="1">
        <f t="array" ref="CB725">$BC725 * SUMPRODUCT(INDEX($AL$77:$AN$82,,$AE725),INDEX($AO$77:$AU$82,,$AD725), N($AK$77:$AK$82&gt;$AI725)) / CA725 / 1000</f>
        <v>0</v>
      </c>
      <c r="CC725" s="250">
        <f t="shared" si="671"/>
        <v>30</v>
      </c>
      <c r="CD725" s="237">
        <f t="shared" si="692"/>
        <v>43</v>
      </c>
      <c r="CE725" s="253">
        <f t="shared" si="693"/>
        <v>3.5018750000000001</v>
      </c>
      <c r="CF725" s="253" cm="1">
        <f t="array" ref="CF725">$BC725 * IF($AD725&lt;=2,
SUMPRODUCT(INDEX($AL$72:$AN$76,,$AE725), INDEX($AO$72:$AU$76,,$AD725), 1 / ($AV$72:$AV$76*CE725 + (1-$AV$72:$AV$76)*CA725), N($AK$72:$AK$76&gt;$AI725)),
SUMPRODUCT(INDEX($AL$67:$AN$76,,$AE725), INDEX($AO$67:$AU$76,,$AD725), 1 / ($AW$67:$AW$76*CE725 + (1-$AW$67:$AW$76)*CA725), N($AK$67:$AK$76&gt;$AI725))
) / 1000</f>
        <v>0</v>
      </c>
      <c r="CG725" s="250">
        <f t="shared" si="672"/>
        <v>25</v>
      </c>
      <c r="CH725" s="237">
        <f t="shared" si="694"/>
        <v>38</v>
      </c>
      <c r="CI725" s="253">
        <f t="shared" si="695"/>
        <v>4.0666935483870965</v>
      </c>
      <c r="CJ725" s="253" cm="1">
        <f t="array" ref="CJ725">$BC725 * IF($AD725&lt;=2,
SUMPRODUCT(INDEX($AL$67:$AN$71,,$AE725), INDEX($AO$67:$AU$71,,$AD725), 1 / ($AV$67:$AV$71*CI725 + (1-$AV$67:$AV$71)*CE725), N($AK$67:$AK$71&gt;$AI725)),
SUMPRODUCT(INDEX($AL$57:$AN$66,,$AE725), INDEX($AO$57:$AU$66,,$AD725), 1 / ($AW$57:$AW$66*CI725 + (1-$AW$57:$AW$66)*CE725), N($AK$57:$AK$66&gt;$AI725))
) / 1000</f>
        <v>0</v>
      </c>
      <c r="CK725" s="250">
        <f t="shared" si="673"/>
        <v>20</v>
      </c>
      <c r="CL725" s="237">
        <f t="shared" si="696"/>
        <v>33</v>
      </c>
      <c r="CM725" s="253">
        <f t="shared" si="697"/>
        <v>4.8487499999999999</v>
      </c>
      <c r="CN725" s="253" cm="1">
        <f t="array" ref="CN725">$BC725 * IF($AD725&lt;=2,
SUMPRODUCT(INDEX($AL$62:$AN$66,,$AE725), INDEX($AO$62:$AU$66,,$AD725), 1 / ($AV$62:$AV$66*CM725 + (1-$AV$62:$AV$66)*CI725), N($AK$62:$AK$66&gt;$AI725)),
SUMPRODUCT(INDEX($AL$47:$AN$56,,$AE725), INDEX($AO$47:$AU$56,,$AD725), 1 / ($AW$47:$AW$56*CM725 + (1-$AW$47:$AW$56)*CI725), N($AK$47:$AK$56&gt;$AI725))
) / 1000</f>
        <v>0</v>
      </c>
      <c r="CO725" s="253" cm="1">
        <f t="array" ref="CO725">$BC725 * IF($AD725&lt;=2,
SUMPRODUCT(INDEX($AL$23:$AN$61,,$AE725), INDEX($AO$23:$AU$61,,$AD725), 1 / ($AV$23:$AV$61*CM725), N($AK$23:$AK$61&gt;$AI725)),
SUMPRODUCT(INDEX($AL$23:$AN$46,,$AE725), INDEX($AO$23:$AU$46,,$AD725), 1 / ($AW$23:$AW$46*CM725), N($AK$23:$AK$46&gt;$AI725))
) / 1000</f>
        <v>0</v>
      </c>
      <c r="CP725" s="237">
        <f t="shared" si="698"/>
        <v>0</v>
      </c>
      <c r="CQ725" s="210"/>
    </row>
    <row r="726" spans="1:95" s="76" customFormat="1" ht="14.25" customHeight="1" x14ac:dyDescent="0.2">
      <c r="A726" s="238" t="b">
        <f t="shared" ref="A726:A789" si="702">IF(OR(AND($K726&gt;80, $AD726=1), AND($K726&gt;40, $AD726=3), AND($K726&gt;30, $AD726=4),), TRUE, FALSE)</f>
        <v>0</v>
      </c>
      <c r="B726" s="239">
        <v>704</v>
      </c>
      <c r="C726" s="258"/>
      <c r="D726" s="258"/>
      <c r="E726" s="240"/>
      <c r="F726" s="241" t="str">
        <f>IF(ISBLANK(E726), "", VLOOKUP(E726, Z!$A$2:$C$4127, 3, FALSE))</f>
        <v/>
      </c>
      <c r="G726" s="242"/>
      <c r="H726" s="242"/>
      <c r="I726" s="243"/>
      <c r="J726" s="244"/>
      <c r="K726" s="259"/>
      <c r="L726" s="260"/>
      <c r="M726" s="247" t="str" cm="1">
        <f t="array" ref="M726">IF($K726&gt;0, INDEX(Clean,1+AG726,$C$1), "")</f>
        <v/>
      </c>
      <c r="N726" s="245"/>
      <c r="O726" s="245"/>
      <c r="P726" s="246"/>
      <c r="Q726" s="248">
        <f t="shared" si="675"/>
        <v>0</v>
      </c>
      <c r="R726" s="247" t="str" cm="1">
        <f t="array" ref="R726">IF($K726&gt;0, INDEX(Clean,1+AH726,$C$1), "")</f>
        <v/>
      </c>
      <c r="S726" s="245"/>
      <c r="T726" s="245"/>
      <c r="U726" s="246"/>
      <c r="V726" s="248">
        <f t="shared" si="676"/>
        <v>0</v>
      </c>
      <c r="W726" s="261"/>
      <c r="X726" s="258"/>
      <c r="Y726" s="240"/>
      <c r="Z726" s="241" t="str">
        <f>IF(ISBLANK(Y726), "", VLOOKUP(Y726, Z!$A$2:$C$4127, 3, FALSE))</f>
        <v/>
      </c>
      <c r="AA726" s="262"/>
      <c r="AB726" s="249">
        <f t="shared" si="674"/>
        <v>0</v>
      </c>
      <c r="AC726" s="210"/>
      <c r="AD726" s="236">
        <f t="shared" si="699"/>
        <v>1</v>
      </c>
      <c r="AE726" s="236">
        <f t="shared" si="700"/>
        <v>1</v>
      </c>
      <c r="AF726" s="236">
        <f t="shared" si="701"/>
        <v>0</v>
      </c>
      <c r="AG726" s="236">
        <v>1</v>
      </c>
      <c r="AH726" s="236">
        <v>0</v>
      </c>
      <c r="AI726" s="236">
        <f t="shared" si="677"/>
        <v>-100</v>
      </c>
      <c r="AJ726" s="210"/>
      <c r="AK726" s="254"/>
      <c r="AL726" s="254"/>
      <c r="AM726" s="255"/>
      <c r="AN726" s="255"/>
      <c r="AO726" s="255"/>
      <c r="AP726" s="255"/>
      <c r="AQ726" s="255"/>
      <c r="AR726" s="255"/>
      <c r="AS726" s="255"/>
      <c r="AT726" s="255"/>
      <c r="AU726" s="255"/>
      <c r="AV726" s="255"/>
      <c r="AW726" s="255"/>
      <c r="AX726" s="210"/>
      <c r="AY726" s="236" cm="1">
        <f t="array" ref="AY726">INDEX(Use, $AD726, 4)</f>
        <v>7</v>
      </c>
      <c r="AZ726" s="236">
        <f t="shared" si="678"/>
        <v>32</v>
      </c>
      <c r="BA726" s="236">
        <f t="shared" si="666"/>
        <v>13</v>
      </c>
      <c r="BB726" s="236">
        <f t="shared" si="667"/>
        <v>0</v>
      </c>
      <c r="BC726" s="252" cm="1">
        <f t="array" ref="BC726">K726/IF($L726&gt;0, INDEX($AO$23:$AU$77, $L726+20, $AD726), 1)</f>
        <v>0</v>
      </c>
      <c r="BD726" s="237">
        <f t="shared" si="679"/>
        <v>0</v>
      </c>
      <c r="BE726" s="236">
        <v>35</v>
      </c>
      <c r="BF726" s="237">
        <f t="shared" si="680"/>
        <v>52.55</v>
      </c>
      <c r="BG726" s="253">
        <f t="shared" si="681"/>
        <v>2.7676728869374316</v>
      </c>
      <c r="BH726" s="253" cm="1">
        <f t="array" ref="BH726">$BC726 * SUMPRODUCT(INDEX($AL$77:$AN$82,,$AE726),INDEX($AO$77:$AU$82,,$AD726), N($AK$77:$AK$82&gt;$AI726)) / BG726 / 1000</f>
        <v>0</v>
      </c>
      <c r="BI726" s="250">
        <f t="shared" si="668"/>
        <v>30</v>
      </c>
      <c r="BJ726" s="237">
        <f t="shared" si="682"/>
        <v>46.033333333333331</v>
      </c>
      <c r="BK726" s="253">
        <f t="shared" si="683"/>
        <v>3.2297395388556791</v>
      </c>
      <c r="BL726" s="253" cm="1">
        <f t="array" ref="BL726">$BC726 * IF($AD726&lt;=2,
SUMPRODUCT(INDEX($AL$72:$AN$76,,$AE726), INDEX($AO$72:$AU$76,,$AD726), 1 / ($AV$72:$AV$76*BK726 + (1-$AV$72:$AV$76)*BG726), N($AK$72:$AK$76&gt;$AI726)),
SUMPRODUCT(INDEX($AL$67:$AN$76,,$AE726), INDEX($AO$67:$AU$76,,$AD726), 1 / ($AW$67:$AW$76*BK726 + (1-$AW$67:$AW$76)*BG726), N($AK$67:$AK$76&gt;$AI726))
) / 1000</f>
        <v>0</v>
      </c>
      <c r="BM726" s="250">
        <f t="shared" si="669"/>
        <v>25</v>
      </c>
      <c r="BN726" s="237">
        <f t="shared" si="684"/>
        <v>39.516666666666666</v>
      </c>
      <c r="BO726" s="253">
        <f t="shared" si="685"/>
        <v>3.877011788826243</v>
      </c>
      <c r="BP726" s="253" cm="1">
        <f t="array" ref="BP726">$BC726 * IF($AD726&lt;=2,
SUMPRODUCT(INDEX($AL$67:$AN$71,,$AE726), INDEX($AO$67:$AU$71,,$AD726), 1 / ($AV$67:$AV$71*BO726 + (1-$AV$67:$AV$71)*BK726), N($AK$67:$AK$71&gt;$AI726)),
SUMPRODUCT(INDEX($AL$57:$AN$66,,$AE726), INDEX($AO$57:$AU$66,,$AD726), 1 / ($AW$57:$AW$66*BO726 + (1-$AW$57:$AW$66)*BK726), N($AK$57:$AK$66&gt;$AI726))
) / 1000</f>
        <v>0</v>
      </c>
      <c r="BQ726" s="250">
        <f t="shared" si="670"/>
        <v>20</v>
      </c>
      <c r="BR726" s="237">
        <f t="shared" si="686"/>
        <v>33</v>
      </c>
      <c r="BS726" s="253">
        <f t="shared" si="687"/>
        <v>4.8487499999999999</v>
      </c>
      <c r="BT726" s="253" cm="1">
        <f t="array" ref="BT726">$BC726 * IF($AD726&lt;=2,
SUMPRODUCT(INDEX($AL$62:$AN$66,,$AE726), INDEX($AO$62:$AU$66,,$AD726), 1 / ($AV$62:$AV$66*BS726 + (1-$AV$62:$AV$66)*BO726), N($AK$62:$AK$66&gt;$AI726)),
SUMPRODUCT(INDEX($AL$47:$AN$56,,$AE726), INDEX($AO$47:$AU$56,,$AD726), 1 / ($AW$47:$AW$56*BS726 + (1-$AW$47:$AW$56)*BO726), N($AK$47:$AK$56&gt;$AI726))
) / 1000</f>
        <v>0</v>
      </c>
      <c r="BU726" s="253" cm="1">
        <f t="array" ref="BU726">$BC726 * IF($AD726&lt;=2,
SUMPRODUCT(INDEX($AL$23:$AN$61,,$AE726), INDEX($AO$23:$AU$61,,$AD726), 1 / ($AV$23:$AV$61*BS726), N($AK$23:$AK$61&gt;$AI726)),
SUMPRODUCT(INDEX($AL$23:$AN$46,,$AE726), INDEX($AO$23:$AU$46,,$AD726), 1 / ($AW$23:$AW$46*BS726), N($AK$23:$AK$46&gt;$AI726))
) / 1000</f>
        <v>0</v>
      </c>
      <c r="BV726" s="237">
        <f t="shared" si="688"/>
        <v>0</v>
      </c>
      <c r="BW726" s="210"/>
      <c r="BX726" s="237">
        <f t="shared" si="689"/>
        <v>0</v>
      </c>
      <c r="BY726" s="236">
        <v>35</v>
      </c>
      <c r="BZ726" s="237">
        <f t="shared" si="690"/>
        <v>48</v>
      </c>
      <c r="CA726" s="253">
        <f t="shared" si="691"/>
        <v>3.0748170731707316</v>
      </c>
      <c r="CB726" s="253" cm="1">
        <f t="array" ref="CB726">$BC726 * SUMPRODUCT(INDEX($AL$77:$AN$82,,$AE726),INDEX($AO$77:$AU$82,,$AD726), N($AK$77:$AK$82&gt;$AI726)) / CA726 / 1000</f>
        <v>0</v>
      </c>
      <c r="CC726" s="250">
        <f t="shared" si="671"/>
        <v>30</v>
      </c>
      <c r="CD726" s="237">
        <f t="shared" si="692"/>
        <v>43</v>
      </c>
      <c r="CE726" s="253">
        <f t="shared" si="693"/>
        <v>3.5018750000000001</v>
      </c>
      <c r="CF726" s="253" cm="1">
        <f t="array" ref="CF726">$BC726 * IF($AD726&lt;=2,
SUMPRODUCT(INDEX($AL$72:$AN$76,,$AE726), INDEX($AO$72:$AU$76,,$AD726), 1 / ($AV$72:$AV$76*CE726 + (1-$AV$72:$AV$76)*CA726), N($AK$72:$AK$76&gt;$AI726)),
SUMPRODUCT(INDEX($AL$67:$AN$76,,$AE726), INDEX($AO$67:$AU$76,,$AD726), 1 / ($AW$67:$AW$76*CE726 + (1-$AW$67:$AW$76)*CA726), N($AK$67:$AK$76&gt;$AI726))
) / 1000</f>
        <v>0</v>
      </c>
      <c r="CG726" s="250">
        <f t="shared" si="672"/>
        <v>25</v>
      </c>
      <c r="CH726" s="237">
        <f t="shared" si="694"/>
        <v>38</v>
      </c>
      <c r="CI726" s="253">
        <f t="shared" si="695"/>
        <v>4.0666935483870965</v>
      </c>
      <c r="CJ726" s="253" cm="1">
        <f t="array" ref="CJ726">$BC726 * IF($AD726&lt;=2,
SUMPRODUCT(INDEX($AL$67:$AN$71,,$AE726), INDEX($AO$67:$AU$71,,$AD726), 1 / ($AV$67:$AV$71*CI726 + (1-$AV$67:$AV$71)*CE726), N($AK$67:$AK$71&gt;$AI726)),
SUMPRODUCT(INDEX($AL$57:$AN$66,,$AE726), INDEX($AO$57:$AU$66,,$AD726), 1 / ($AW$57:$AW$66*CI726 + (1-$AW$57:$AW$66)*CE726), N($AK$57:$AK$66&gt;$AI726))
) / 1000</f>
        <v>0</v>
      </c>
      <c r="CK726" s="250">
        <f t="shared" si="673"/>
        <v>20</v>
      </c>
      <c r="CL726" s="237">
        <f t="shared" si="696"/>
        <v>33</v>
      </c>
      <c r="CM726" s="253">
        <f t="shared" si="697"/>
        <v>4.8487499999999999</v>
      </c>
      <c r="CN726" s="253" cm="1">
        <f t="array" ref="CN726">$BC726 * IF($AD726&lt;=2,
SUMPRODUCT(INDEX($AL$62:$AN$66,,$AE726), INDEX($AO$62:$AU$66,,$AD726), 1 / ($AV$62:$AV$66*CM726 + (1-$AV$62:$AV$66)*CI726), N($AK$62:$AK$66&gt;$AI726)),
SUMPRODUCT(INDEX($AL$47:$AN$56,,$AE726), INDEX($AO$47:$AU$56,,$AD726), 1 / ($AW$47:$AW$56*CM726 + (1-$AW$47:$AW$56)*CI726), N($AK$47:$AK$56&gt;$AI726))
) / 1000</f>
        <v>0</v>
      </c>
      <c r="CO726" s="253" cm="1">
        <f t="array" ref="CO726">$BC726 * IF($AD726&lt;=2,
SUMPRODUCT(INDEX($AL$23:$AN$61,,$AE726), INDEX($AO$23:$AU$61,,$AD726), 1 / ($AV$23:$AV$61*CM726), N($AK$23:$AK$61&gt;$AI726)),
SUMPRODUCT(INDEX($AL$23:$AN$46,,$AE726), INDEX($AO$23:$AU$46,,$AD726), 1 / ($AW$23:$AW$46*CM726), N($AK$23:$AK$46&gt;$AI726))
) / 1000</f>
        <v>0</v>
      </c>
      <c r="CP726" s="237">
        <f t="shared" si="698"/>
        <v>0</v>
      </c>
      <c r="CQ726" s="210"/>
    </row>
    <row r="727" spans="1:95" s="76" customFormat="1" ht="14.25" customHeight="1" x14ac:dyDescent="0.2">
      <c r="A727" s="238" t="b">
        <f t="shared" si="702"/>
        <v>0</v>
      </c>
      <c r="B727" s="239">
        <v>705</v>
      </c>
      <c r="C727" s="258"/>
      <c r="D727" s="258"/>
      <c r="E727" s="240"/>
      <c r="F727" s="241" t="str">
        <f>IF(ISBLANK(E727), "", VLOOKUP(E727, Z!$A$2:$C$4127, 3, FALSE))</f>
        <v/>
      </c>
      <c r="G727" s="242"/>
      <c r="H727" s="242"/>
      <c r="I727" s="243"/>
      <c r="J727" s="244"/>
      <c r="K727" s="259"/>
      <c r="L727" s="260"/>
      <c r="M727" s="247" t="str" cm="1">
        <f t="array" ref="M727">IF($K727&gt;0, INDEX(Clean,1+AG727,$C$1), "")</f>
        <v/>
      </c>
      <c r="N727" s="245"/>
      <c r="O727" s="245"/>
      <c r="P727" s="246"/>
      <c r="Q727" s="248">
        <f t="shared" si="675"/>
        <v>0</v>
      </c>
      <c r="R727" s="247" t="str" cm="1">
        <f t="array" ref="R727">IF($K727&gt;0, INDEX(Clean,1+AH727,$C$1), "")</f>
        <v/>
      </c>
      <c r="S727" s="245"/>
      <c r="T727" s="245"/>
      <c r="U727" s="246"/>
      <c r="V727" s="248">
        <f t="shared" si="676"/>
        <v>0</v>
      </c>
      <c r="W727" s="261"/>
      <c r="X727" s="258"/>
      <c r="Y727" s="240"/>
      <c r="Z727" s="241" t="str">
        <f>IF(ISBLANK(Y727), "", VLOOKUP(Y727, Z!$A$2:$C$4127, 3, FALSE))</f>
        <v/>
      </c>
      <c r="AA727" s="262"/>
      <c r="AB727" s="249">
        <f t="shared" si="674"/>
        <v>0</v>
      </c>
      <c r="AC727" s="210"/>
      <c r="AD727" s="236">
        <f t="shared" si="699"/>
        <v>1</v>
      </c>
      <c r="AE727" s="236">
        <f t="shared" si="700"/>
        <v>1</v>
      </c>
      <c r="AF727" s="236">
        <f t="shared" si="701"/>
        <v>0</v>
      </c>
      <c r="AG727" s="236">
        <v>1</v>
      </c>
      <c r="AH727" s="236">
        <v>0</v>
      </c>
      <c r="AI727" s="236">
        <f t="shared" si="677"/>
        <v>-100</v>
      </c>
      <c r="AJ727" s="210"/>
      <c r="AK727" s="254"/>
      <c r="AL727" s="254"/>
      <c r="AM727" s="255"/>
      <c r="AN727" s="255"/>
      <c r="AO727" s="255"/>
      <c r="AP727" s="255"/>
      <c r="AQ727" s="255"/>
      <c r="AR727" s="255"/>
      <c r="AS727" s="255"/>
      <c r="AT727" s="255"/>
      <c r="AU727" s="255"/>
      <c r="AV727" s="255"/>
      <c r="AW727" s="255"/>
      <c r="AX727" s="210"/>
      <c r="AY727" s="236" cm="1">
        <f t="array" ref="AY727">INDEX(Use, $AD727, 4)</f>
        <v>7</v>
      </c>
      <c r="AZ727" s="236">
        <f t="shared" si="678"/>
        <v>32</v>
      </c>
      <c r="BA727" s="236">
        <f t="shared" ref="BA727:BA790" si="703">IF($AF727=1, 6, IF($AD727=4, 10, 13))</f>
        <v>13</v>
      </c>
      <c r="BB727" s="236">
        <f t="shared" ref="BB727:BB790" si="704">IF($AF727=1, 9, 0)</f>
        <v>0</v>
      </c>
      <c r="BC727" s="252" cm="1">
        <f t="array" ref="BC727">K727/IF($L727&gt;0, INDEX($AO$23:$AU$77, $L727+20, $AD727), 1)</f>
        <v>0</v>
      </c>
      <c r="BD727" s="237">
        <f t="shared" si="679"/>
        <v>0</v>
      </c>
      <c r="BE727" s="236">
        <v>35</v>
      </c>
      <c r="BF727" s="237">
        <f t="shared" si="680"/>
        <v>52.55</v>
      </c>
      <c r="BG727" s="253">
        <f t="shared" si="681"/>
        <v>2.7676728869374316</v>
      </c>
      <c r="BH727" s="253" cm="1">
        <f t="array" ref="BH727">$BC727 * SUMPRODUCT(INDEX($AL$77:$AN$82,,$AE727),INDEX($AO$77:$AU$82,,$AD727), N($AK$77:$AK$82&gt;$AI727)) / BG727 / 1000</f>
        <v>0</v>
      </c>
      <c r="BI727" s="250">
        <f t="shared" ref="BI727:BI790" si="705">IF($AD727&lt;=2, 30, 25)</f>
        <v>30</v>
      </c>
      <c r="BJ727" s="237">
        <f t="shared" si="682"/>
        <v>46.033333333333331</v>
      </c>
      <c r="BK727" s="253">
        <f t="shared" si="683"/>
        <v>3.2297395388556791</v>
      </c>
      <c r="BL727" s="253" cm="1">
        <f t="array" ref="BL727">$BC727 * IF($AD727&lt;=2,
SUMPRODUCT(INDEX($AL$72:$AN$76,,$AE727), INDEX($AO$72:$AU$76,,$AD727), 1 / ($AV$72:$AV$76*BK727 + (1-$AV$72:$AV$76)*BG727), N($AK$72:$AK$76&gt;$AI727)),
SUMPRODUCT(INDEX($AL$67:$AN$76,,$AE727), INDEX($AO$67:$AU$76,,$AD727), 1 / ($AW$67:$AW$76*BK727 + (1-$AW$67:$AW$76)*BG727), N($AK$67:$AK$76&gt;$AI727))
) / 1000</f>
        <v>0</v>
      </c>
      <c r="BM727" s="250">
        <f t="shared" ref="BM727:BM790" si="706">IF($AD727&lt;=2, 25, 15)</f>
        <v>25</v>
      </c>
      <c r="BN727" s="237">
        <f t="shared" si="684"/>
        <v>39.516666666666666</v>
      </c>
      <c r="BO727" s="253">
        <f t="shared" si="685"/>
        <v>3.877011788826243</v>
      </c>
      <c r="BP727" s="253" cm="1">
        <f t="array" ref="BP727">$BC727 * IF($AD727&lt;=2,
SUMPRODUCT(INDEX($AL$67:$AN$71,,$AE727), INDEX($AO$67:$AU$71,,$AD727), 1 / ($AV$67:$AV$71*BO727 + (1-$AV$67:$AV$71)*BK727), N($AK$67:$AK$71&gt;$AI727)),
SUMPRODUCT(INDEX($AL$57:$AN$66,,$AE727), INDEX($AO$57:$AU$66,,$AD727), 1 / ($AW$57:$AW$66*BO727 + (1-$AW$57:$AW$66)*BK727), N($AK$57:$AK$66&gt;$AI727))
) / 1000</f>
        <v>0</v>
      </c>
      <c r="BQ727" s="250">
        <f t="shared" ref="BQ727:BQ790" si="707">IF($AD727&lt;=2, 20, 5)</f>
        <v>20</v>
      </c>
      <c r="BR727" s="237">
        <f t="shared" si="686"/>
        <v>33</v>
      </c>
      <c r="BS727" s="253">
        <f t="shared" si="687"/>
        <v>4.8487499999999999</v>
      </c>
      <c r="BT727" s="253" cm="1">
        <f t="array" ref="BT727">$BC727 * IF($AD727&lt;=2,
SUMPRODUCT(INDEX($AL$62:$AN$66,,$AE727), INDEX($AO$62:$AU$66,,$AD727), 1 / ($AV$62:$AV$66*BS727 + (1-$AV$62:$AV$66)*BO727), N($AK$62:$AK$66&gt;$AI727)),
SUMPRODUCT(INDEX($AL$47:$AN$56,,$AE727), INDEX($AO$47:$AU$56,,$AD727), 1 / ($AW$47:$AW$56*BS727 + (1-$AW$47:$AW$56)*BO727), N($AK$47:$AK$56&gt;$AI727))
) / 1000</f>
        <v>0</v>
      </c>
      <c r="BU727" s="253" cm="1">
        <f t="array" ref="BU727">$BC727 * IF($AD727&lt;=2,
SUMPRODUCT(INDEX($AL$23:$AN$61,,$AE727), INDEX($AO$23:$AU$61,,$AD727), 1 / ($AV$23:$AV$61*BS727), N($AK$23:$AK$61&gt;$AI727)),
SUMPRODUCT(INDEX($AL$23:$AN$46,,$AE727), INDEX($AO$23:$AU$46,,$AD727), 1 / ($AW$23:$AW$46*BS727), N($AK$23:$AK$46&gt;$AI727))
) / 1000</f>
        <v>0</v>
      </c>
      <c r="BV727" s="237">
        <f t="shared" si="688"/>
        <v>0</v>
      </c>
      <c r="BW727" s="210"/>
      <c r="BX727" s="237">
        <f t="shared" si="689"/>
        <v>0</v>
      </c>
      <c r="BY727" s="236">
        <v>35</v>
      </c>
      <c r="BZ727" s="237">
        <f t="shared" si="690"/>
        <v>48</v>
      </c>
      <c r="CA727" s="253">
        <f t="shared" si="691"/>
        <v>3.0748170731707316</v>
      </c>
      <c r="CB727" s="253" cm="1">
        <f t="array" ref="CB727">$BC727 * SUMPRODUCT(INDEX($AL$77:$AN$82,,$AE727),INDEX($AO$77:$AU$82,,$AD727), N($AK$77:$AK$82&gt;$AI727)) / CA727 / 1000</f>
        <v>0</v>
      </c>
      <c r="CC727" s="250">
        <f t="shared" ref="CC727:CC790" si="708">IF($AD727&lt;=2, 30, 25)</f>
        <v>30</v>
      </c>
      <c r="CD727" s="237">
        <f t="shared" si="692"/>
        <v>43</v>
      </c>
      <c r="CE727" s="253">
        <f t="shared" si="693"/>
        <v>3.5018750000000001</v>
      </c>
      <c r="CF727" s="253" cm="1">
        <f t="array" ref="CF727">$BC727 * IF($AD727&lt;=2,
SUMPRODUCT(INDEX($AL$72:$AN$76,,$AE727), INDEX($AO$72:$AU$76,,$AD727), 1 / ($AV$72:$AV$76*CE727 + (1-$AV$72:$AV$76)*CA727), N($AK$72:$AK$76&gt;$AI727)),
SUMPRODUCT(INDEX($AL$67:$AN$76,,$AE727), INDEX($AO$67:$AU$76,,$AD727), 1 / ($AW$67:$AW$76*CE727 + (1-$AW$67:$AW$76)*CA727), N($AK$67:$AK$76&gt;$AI727))
) / 1000</f>
        <v>0</v>
      </c>
      <c r="CG727" s="250">
        <f t="shared" ref="CG727:CG790" si="709">IF($AD727&lt;=2, 25, 15)</f>
        <v>25</v>
      </c>
      <c r="CH727" s="237">
        <f t="shared" si="694"/>
        <v>38</v>
      </c>
      <c r="CI727" s="253">
        <f t="shared" si="695"/>
        <v>4.0666935483870965</v>
      </c>
      <c r="CJ727" s="253" cm="1">
        <f t="array" ref="CJ727">$BC727 * IF($AD727&lt;=2,
SUMPRODUCT(INDEX($AL$67:$AN$71,,$AE727), INDEX($AO$67:$AU$71,,$AD727), 1 / ($AV$67:$AV$71*CI727 + (1-$AV$67:$AV$71)*CE727), N($AK$67:$AK$71&gt;$AI727)),
SUMPRODUCT(INDEX($AL$57:$AN$66,,$AE727), INDEX($AO$57:$AU$66,,$AD727), 1 / ($AW$57:$AW$66*CI727 + (1-$AW$57:$AW$66)*CE727), N($AK$57:$AK$66&gt;$AI727))
) / 1000</f>
        <v>0</v>
      </c>
      <c r="CK727" s="250">
        <f t="shared" ref="CK727:CK790" si="710">IF($AD727&lt;=2, 20, 5)</f>
        <v>20</v>
      </c>
      <c r="CL727" s="237">
        <f t="shared" si="696"/>
        <v>33</v>
      </c>
      <c r="CM727" s="253">
        <f t="shared" si="697"/>
        <v>4.8487499999999999</v>
      </c>
      <c r="CN727" s="253" cm="1">
        <f t="array" ref="CN727">$BC727 * IF($AD727&lt;=2,
SUMPRODUCT(INDEX($AL$62:$AN$66,,$AE727), INDEX($AO$62:$AU$66,,$AD727), 1 / ($AV$62:$AV$66*CM727 + (1-$AV$62:$AV$66)*CI727), N($AK$62:$AK$66&gt;$AI727)),
SUMPRODUCT(INDEX($AL$47:$AN$56,,$AE727), INDEX($AO$47:$AU$56,,$AD727), 1 / ($AW$47:$AW$56*CM727 + (1-$AW$47:$AW$56)*CI727), N($AK$47:$AK$56&gt;$AI727))
) / 1000</f>
        <v>0</v>
      </c>
      <c r="CO727" s="253" cm="1">
        <f t="array" ref="CO727">$BC727 * IF($AD727&lt;=2,
SUMPRODUCT(INDEX($AL$23:$AN$61,,$AE727), INDEX($AO$23:$AU$61,,$AD727), 1 / ($AV$23:$AV$61*CM727), N($AK$23:$AK$61&gt;$AI727)),
SUMPRODUCT(INDEX($AL$23:$AN$46,,$AE727), INDEX($AO$23:$AU$46,,$AD727), 1 / ($AW$23:$AW$46*CM727), N($AK$23:$AK$46&gt;$AI727))
) / 1000</f>
        <v>0</v>
      </c>
      <c r="CP727" s="237">
        <f t="shared" si="698"/>
        <v>0</v>
      </c>
      <c r="CQ727" s="210"/>
    </row>
    <row r="728" spans="1:95" s="76" customFormat="1" ht="14.25" customHeight="1" x14ac:dyDescent="0.2">
      <c r="A728" s="238" t="b">
        <f t="shared" si="702"/>
        <v>0</v>
      </c>
      <c r="B728" s="239">
        <v>706</v>
      </c>
      <c r="C728" s="258"/>
      <c r="D728" s="258"/>
      <c r="E728" s="240"/>
      <c r="F728" s="241" t="str">
        <f>IF(ISBLANK(E728), "", VLOOKUP(E728, Z!$A$2:$C$4127, 3, FALSE))</f>
        <v/>
      </c>
      <c r="G728" s="242"/>
      <c r="H728" s="242"/>
      <c r="I728" s="243"/>
      <c r="J728" s="244"/>
      <c r="K728" s="259"/>
      <c r="L728" s="260"/>
      <c r="M728" s="247" t="str" cm="1">
        <f t="array" ref="M728">IF($K728&gt;0, INDEX(Clean,1+AG728,$C$1), "")</f>
        <v/>
      </c>
      <c r="N728" s="245"/>
      <c r="O728" s="245"/>
      <c r="P728" s="246"/>
      <c r="Q728" s="248">
        <f t="shared" si="675"/>
        <v>0</v>
      </c>
      <c r="R728" s="247" t="str" cm="1">
        <f t="array" ref="R728">IF($K728&gt;0, INDEX(Clean,1+AH728,$C$1), "")</f>
        <v/>
      </c>
      <c r="S728" s="245"/>
      <c r="T728" s="245"/>
      <c r="U728" s="246"/>
      <c r="V728" s="248">
        <f t="shared" si="676"/>
        <v>0</v>
      </c>
      <c r="W728" s="261"/>
      <c r="X728" s="258"/>
      <c r="Y728" s="240"/>
      <c r="Z728" s="241" t="str">
        <f>IF(ISBLANK(Y728), "", VLOOKUP(Y728, Z!$A$2:$C$4127, 3, FALSE))</f>
        <v/>
      </c>
      <c r="AA728" s="262"/>
      <c r="AB728" s="249">
        <f t="shared" ref="AB728:AB791" si="711">0.75*$AJ$22*(Q728-V728)</f>
        <v>0</v>
      </c>
      <c r="AC728" s="210"/>
      <c r="AD728" s="236">
        <f t="shared" si="699"/>
        <v>1</v>
      </c>
      <c r="AE728" s="236">
        <f t="shared" si="700"/>
        <v>1</v>
      </c>
      <c r="AF728" s="236">
        <f t="shared" si="701"/>
        <v>0</v>
      </c>
      <c r="AG728" s="236">
        <v>1</v>
      </c>
      <c r="AH728" s="236">
        <v>0</v>
      </c>
      <c r="AI728" s="236">
        <f t="shared" si="677"/>
        <v>-100</v>
      </c>
      <c r="AJ728" s="210"/>
      <c r="AK728" s="254"/>
      <c r="AL728" s="254"/>
      <c r="AM728" s="255"/>
      <c r="AN728" s="255"/>
      <c r="AO728" s="255"/>
      <c r="AP728" s="255"/>
      <c r="AQ728" s="255"/>
      <c r="AR728" s="255"/>
      <c r="AS728" s="255"/>
      <c r="AT728" s="255"/>
      <c r="AU728" s="255"/>
      <c r="AV728" s="255"/>
      <c r="AW728" s="255"/>
      <c r="AX728" s="210"/>
      <c r="AY728" s="236" cm="1">
        <f t="array" ref="AY728">INDEX(Use, $AD728, 4)</f>
        <v>7</v>
      </c>
      <c r="AZ728" s="236">
        <f t="shared" si="678"/>
        <v>32</v>
      </c>
      <c r="BA728" s="236">
        <f t="shared" si="703"/>
        <v>13</v>
      </c>
      <c r="BB728" s="236">
        <f t="shared" si="704"/>
        <v>0</v>
      </c>
      <c r="BC728" s="252" cm="1">
        <f t="array" ref="BC728">K728/IF($L728&gt;0, INDEX($AO$23:$AU$77, $L728+20, $AD728), 1)</f>
        <v>0</v>
      </c>
      <c r="BD728" s="237">
        <f t="shared" si="679"/>
        <v>0</v>
      </c>
      <c r="BE728" s="236">
        <v>35</v>
      </c>
      <c r="BF728" s="237">
        <f t="shared" si="680"/>
        <v>52.55</v>
      </c>
      <c r="BG728" s="253">
        <f t="shared" si="681"/>
        <v>2.7676728869374316</v>
      </c>
      <c r="BH728" s="253" cm="1">
        <f t="array" ref="BH728">$BC728 * SUMPRODUCT(INDEX($AL$77:$AN$82,,$AE728),INDEX($AO$77:$AU$82,,$AD728), N($AK$77:$AK$82&gt;$AI728)) / BG728 / 1000</f>
        <v>0</v>
      </c>
      <c r="BI728" s="250">
        <f t="shared" si="705"/>
        <v>30</v>
      </c>
      <c r="BJ728" s="237">
        <f t="shared" si="682"/>
        <v>46.033333333333331</v>
      </c>
      <c r="BK728" s="253">
        <f t="shared" si="683"/>
        <v>3.2297395388556791</v>
      </c>
      <c r="BL728" s="253" cm="1">
        <f t="array" ref="BL728">$BC728 * IF($AD728&lt;=2,
SUMPRODUCT(INDEX($AL$72:$AN$76,,$AE728), INDEX($AO$72:$AU$76,,$AD728), 1 / ($AV$72:$AV$76*BK728 + (1-$AV$72:$AV$76)*BG728), N($AK$72:$AK$76&gt;$AI728)),
SUMPRODUCT(INDEX($AL$67:$AN$76,,$AE728), INDEX($AO$67:$AU$76,,$AD728), 1 / ($AW$67:$AW$76*BK728 + (1-$AW$67:$AW$76)*BG728), N($AK$67:$AK$76&gt;$AI728))
) / 1000</f>
        <v>0</v>
      </c>
      <c r="BM728" s="250">
        <f t="shared" si="706"/>
        <v>25</v>
      </c>
      <c r="BN728" s="237">
        <f t="shared" si="684"/>
        <v>39.516666666666666</v>
      </c>
      <c r="BO728" s="253">
        <f t="shared" si="685"/>
        <v>3.877011788826243</v>
      </c>
      <c r="BP728" s="253" cm="1">
        <f t="array" ref="BP728">$BC728 * IF($AD728&lt;=2,
SUMPRODUCT(INDEX($AL$67:$AN$71,,$AE728), INDEX($AO$67:$AU$71,,$AD728), 1 / ($AV$67:$AV$71*BO728 + (1-$AV$67:$AV$71)*BK728), N($AK$67:$AK$71&gt;$AI728)),
SUMPRODUCT(INDEX($AL$57:$AN$66,,$AE728), INDEX($AO$57:$AU$66,,$AD728), 1 / ($AW$57:$AW$66*BO728 + (1-$AW$57:$AW$66)*BK728), N($AK$57:$AK$66&gt;$AI728))
) / 1000</f>
        <v>0</v>
      </c>
      <c r="BQ728" s="250">
        <f t="shared" si="707"/>
        <v>20</v>
      </c>
      <c r="BR728" s="237">
        <f t="shared" si="686"/>
        <v>33</v>
      </c>
      <c r="BS728" s="253">
        <f t="shared" si="687"/>
        <v>4.8487499999999999</v>
      </c>
      <c r="BT728" s="253" cm="1">
        <f t="array" ref="BT728">$BC728 * IF($AD728&lt;=2,
SUMPRODUCT(INDEX($AL$62:$AN$66,,$AE728), INDEX($AO$62:$AU$66,,$AD728), 1 / ($AV$62:$AV$66*BS728 + (1-$AV$62:$AV$66)*BO728), N($AK$62:$AK$66&gt;$AI728)),
SUMPRODUCT(INDEX($AL$47:$AN$56,,$AE728), INDEX($AO$47:$AU$56,,$AD728), 1 / ($AW$47:$AW$56*BS728 + (1-$AW$47:$AW$56)*BO728), N($AK$47:$AK$56&gt;$AI728))
) / 1000</f>
        <v>0</v>
      </c>
      <c r="BU728" s="253" cm="1">
        <f t="array" ref="BU728">$BC728 * IF($AD728&lt;=2,
SUMPRODUCT(INDEX($AL$23:$AN$61,,$AE728), INDEX($AO$23:$AU$61,,$AD728), 1 / ($AV$23:$AV$61*BS728), N($AK$23:$AK$61&gt;$AI728)),
SUMPRODUCT(INDEX($AL$23:$AN$46,,$AE728), INDEX($AO$23:$AU$46,,$AD728), 1 / ($AW$23:$AW$46*BS728), N($AK$23:$AK$46&gt;$AI728))
) / 1000</f>
        <v>0</v>
      </c>
      <c r="BV728" s="237">
        <f t="shared" si="688"/>
        <v>0</v>
      </c>
      <c r="BW728" s="210"/>
      <c r="BX728" s="237">
        <f t="shared" si="689"/>
        <v>0</v>
      </c>
      <c r="BY728" s="236">
        <v>35</v>
      </c>
      <c r="BZ728" s="237">
        <f t="shared" si="690"/>
        <v>48</v>
      </c>
      <c r="CA728" s="253">
        <f t="shared" si="691"/>
        <v>3.0748170731707316</v>
      </c>
      <c r="CB728" s="253" cm="1">
        <f t="array" ref="CB728">$BC728 * SUMPRODUCT(INDEX($AL$77:$AN$82,,$AE728),INDEX($AO$77:$AU$82,,$AD728), N($AK$77:$AK$82&gt;$AI728)) / CA728 / 1000</f>
        <v>0</v>
      </c>
      <c r="CC728" s="250">
        <f t="shared" si="708"/>
        <v>30</v>
      </c>
      <c r="CD728" s="237">
        <f t="shared" si="692"/>
        <v>43</v>
      </c>
      <c r="CE728" s="253">
        <f t="shared" si="693"/>
        <v>3.5018750000000001</v>
      </c>
      <c r="CF728" s="253" cm="1">
        <f t="array" ref="CF728">$BC728 * IF($AD728&lt;=2,
SUMPRODUCT(INDEX($AL$72:$AN$76,,$AE728), INDEX($AO$72:$AU$76,,$AD728), 1 / ($AV$72:$AV$76*CE728 + (1-$AV$72:$AV$76)*CA728), N($AK$72:$AK$76&gt;$AI728)),
SUMPRODUCT(INDEX($AL$67:$AN$76,,$AE728), INDEX($AO$67:$AU$76,,$AD728), 1 / ($AW$67:$AW$76*CE728 + (1-$AW$67:$AW$76)*CA728), N($AK$67:$AK$76&gt;$AI728))
) / 1000</f>
        <v>0</v>
      </c>
      <c r="CG728" s="250">
        <f t="shared" si="709"/>
        <v>25</v>
      </c>
      <c r="CH728" s="237">
        <f t="shared" si="694"/>
        <v>38</v>
      </c>
      <c r="CI728" s="253">
        <f t="shared" si="695"/>
        <v>4.0666935483870965</v>
      </c>
      <c r="CJ728" s="253" cm="1">
        <f t="array" ref="CJ728">$BC728 * IF($AD728&lt;=2,
SUMPRODUCT(INDEX($AL$67:$AN$71,,$AE728), INDEX($AO$67:$AU$71,,$AD728), 1 / ($AV$67:$AV$71*CI728 + (1-$AV$67:$AV$71)*CE728), N($AK$67:$AK$71&gt;$AI728)),
SUMPRODUCT(INDEX($AL$57:$AN$66,,$AE728), INDEX($AO$57:$AU$66,,$AD728), 1 / ($AW$57:$AW$66*CI728 + (1-$AW$57:$AW$66)*CE728), N($AK$57:$AK$66&gt;$AI728))
) / 1000</f>
        <v>0</v>
      </c>
      <c r="CK728" s="250">
        <f t="shared" si="710"/>
        <v>20</v>
      </c>
      <c r="CL728" s="237">
        <f t="shared" si="696"/>
        <v>33</v>
      </c>
      <c r="CM728" s="253">
        <f t="shared" si="697"/>
        <v>4.8487499999999999</v>
      </c>
      <c r="CN728" s="253" cm="1">
        <f t="array" ref="CN728">$BC728 * IF($AD728&lt;=2,
SUMPRODUCT(INDEX($AL$62:$AN$66,,$AE728), INDEX($AO$62:$AU$66,,$AD728), 1 / ($AV$62:$AV$66*CM728 + (1-$AV$62:$AV$66)*CI728), N($AK$62:$AK$66&gt;$AI728)),
SUMPRODUCT(INDEX($AL$47:$AN$56,,$AE728), INDEX($AO$47:$AU$56,,$AD728), 1 / ($AW$47:$AW$56*CM728 + (1-$AW$47:$AW$56)*CI728), N($AK$47:$AK$56&gt;$AI728))
) / 1000</f>
        <v>0</v>
      </c>
      <c r="CO728" s="253" cm="1">
        <f t="array" ref="CO728">$BC728 * IF($AD728&lt;=2,
SUMPRODUCT(INDEX($AL$23:$AN$61,,$AE728), INDEX($AO$23:$AU$61,,$AD728), 1 / ($AV$23:$AV$61*CM728), N($AK$23:$AK$61&gt;$AI728)),
SUMPRODUCT(INDEX($AL$23:$AN$46,,$AE728), INDEX($AO$23:$AU$46,,$AD728), 1 / ($AW$23:$AW$46*CM728), N($AK$23:$AK$46&gt;$AI728))
) / 1000</f>
        <v>0</v>
      </c>
      <c r="CP728" s="237">
        <f t="shared" si="698"/>
        <v>0</v>
      </c>
      <c r="CQ728" s="210"/>
    </row>
    <row r="729" spans="1:95" s="76" customFormat="1" ht="14.25" customHeight="1" x14ac:dyDescent="0.2">
      <c r="A729" s="238" t="b">
        <f t="shared" si="702"/>
        <v>0</v>
      </c>
      <c r="B729" s="239">
        <v>707</v>
      </c>
      <c r="C729" s="258"/>
      <c r="D729" s="258"/>
      <c r="E729" s="240"/>
      <c r="F729" s="241" t="str">
        <f>IF(ISBLANK(E729), "", VLOOKUP(E729, Z!$A$2:$C$4127, 3, FALSE))</f>
        <v/>
      </c>
      <c r="G729" s="242"/>
      <c r="H729" s="242"/>
      <c r="I729" s="243"/>
      <c r="J729" s="244"/>
      <c r="K729" s="259"/>
      <c r="L729" s="260"/>
      <c r="M729" s="247" t="str" cm="1">
        <f t="array" ref="M729">IF($K729&gt;0, INDEX(Clean,1+AG729,$C$1), "")</f>
        <v/>
      </c>
      <c r="N729" s="245"/>
      <c r="O729" s="245"/>
      <c r="P729" s="246"/>
      <c r="Q729" s="248">
        <f t="shared" si="675"/>
        <v>0</v>
      </c>
      <c r="R729" s="247" t="str" cm="1">
        <f t="array" ref="R729">IF($K729&gt;0, INDEX(Clean,1+AH729,$C$1), "")</f>
        <v/>
      </c>
      <c r="S729" s="245"/>
      <c r="T729" s="245"/>
      <c r="U729" s="246"/>
      <c r="V729" s="248">
        <f t="shared" si="676"/>
        <v>0</v>
      </c>
      <c r="W729" s="261"/>
      <c r="X729" s="258"/>
      <c r="Y729" s="240"/>
      <c r="Z729" s="241" t="str">
        <f>IF(ISBLANK(Y729), "", VLOOKUP(Y729, Z!$A$2:$C$4127, 3, FALSE))</f>
        <v/>
      </c>
      <c r="AA729" s="262"/>
      <c r="AB729" s="249">
        <f t="shared" si="711"/>
        <v>0</v>
      </c>
      <c r="AC729" s="210"/>
      <c r="AD729" s="236">
        <f t="shared" si="699"/>
        <v>1</v>
      </c>
      <c r="AE729" s="236">
        <f t="shared" si="700"/>
        <v>1</v>
      </c>
      <c r="AF729" s="236">
        <f t="shared" si="701"/>
        <v>0</v>
      </c>
      <c r="AG729" s="236">
        <v>1</v>
      </c>
      <c r="AH729" s="236">
        <v>0</v>
      </c>
      <c r="AI729" s="236">
        <f t="shared" si="677"/>
        <v>-100</v>
      </c>
      <c r="AJ729" s="210"/>
      <c r="AK729" s="254"/>
      <c r="AL729" s="254"/>
      <c r="AM729" s="255"/>
      <c r="AN729" s="255"/>
      <c r="AO729" s="255"/>
      <c r="AP729" s="255"/>
      <c r="AQ729" s="255"/>
      <c r="AR729" s="255"/>
      <c r="AS729" s="255"/>
      <c r="AT729" s="255"/>
      <c r="AU729" s="255"/>
      <c r="AV729" s="255"/>
      <c r="AW729" s="255"/>
      <c r="AX729" s="210"/>
      <c r="AY729" s="236" cm="1">
        <f t="array" ref="AY729">INDEX(Use, $AD729, 4)</f>
        <v>7</v>
      </c>
      <c r="AZ729" s="236">
        <f t="shared" si="678"/>
        <v>32</v>
      </c>
      <c r="BA729" s="236">
        <f t="shared" si="703"/>
        <v>13</v>
      </c>
      <c r="BB729" s="236">
        <f t="shared" si="704"/>
        <v>0</v>
      </c>
      <c r="BC729" s="252" cm="1">
        <f t="array" ref="BC729">K729/IF($L729&gt;0, INDEX($AO$23:$AU$77, $L729+20, $AD729), 1)</f>
        <v>0</v>
      </c>
      <c r="BD729" s="237">
        <f t="shared" si="679"/>
        <v>0</v>
      </c>
      <c r="BE729" s="236">
        <v>35</v>
      </c>
      <c r="BF729" s="237">
        <f t="shared" si="680"/>
        <v>52.55</v>
      </c>
      <c r="BG729" s="253">
        <f t="shared" si="681"/>
        <v>2.7676728869374316</v>
      </c>
      <c r="BH729" s="253" cm="1">
        <f t="array" ref="BH729">$BC729 * SUMPRODUCT(INDEX($AL$77:$AN$82,,$AE729),INDEX($AO$77:$AU$82,,$AD729), N($AK$77:$AK$82&gt;$AI729)) / BG729 / 1000</f>
        <v>0</v>
      </c>
      <c r="BI729" s="250">
        <f t="shared" si="705"/>
        <v>30</v>
      </c>
      <c r="BJ729" s="237">
        <f t="shared" si="682"/>
        <v>46.033333333333331</v>
      </c>
      <c r="BK729" s="253">
        <f t="shared" si="683"/>
        <v>3.2297395388556791</v>
      </c>
      <c r="BL729" s="253" cm="1">
        <f t="array" ref="BL729">$BC729 * IF($AD729&lt;=2,
SUMPRODUCT(INDEX($AL$72:$AN$76,,$AE729), INDEX($AO$72:$AU$76,,$AD729), 1 / ($AV$72:$AV$76*BK729 + (1-$AV$72:$AV$76)*BG729), N($AK$72:$AK$76&gt;$AI729)),
SUMPRODUCT(INDEX($AL$67:$AN$76,,$AE729), INDEX($AO$67:$AU$76,,$AD729), 1 / ($AW$67:$AW$76*BK729 + (1-$AW$67:$AW$76)*BG729), N($AK$67:$AK$76&gt;$AI729))
) / 1000</f>
        <v>0</v>
      </c>
      <c r="BM729" s="250">
        <f t="shared" si="706"/>
        <v>25</v>
      </c>
      <c r="BN729" s="237">
        <f t="shared" si="684"/>
        <v>39.516666666666666</v>
      </c>
      <c r="BO729" s="253">
        <f t="shared" si="685"/>
        <v>3.877011788826243</v>
      </c>
      <c r="BP729" s="253" cm="1">
        <f t="array" ref="BP729">$BC729 * IF($AD729&lt;=2,
SUMPRODUCT(INDEX($AL$67:$AN$71,,$AE729), INDEX($AO$67:$AU$71,,$AD729), 1 / ($AV$67:$AV$71*BO729 + (1-$AV$67:$AV$71)*BK729), N($AK$67:$AK$71&gt;$AI729)),
SUMPRODUCT(INDEX($AL$57:$AN$66,,$AE729), INDEX($AO$57:$AU$66,,$AD729), 1 / ($AW$57:$AW$66*BO729 + (1-$AW$57:$AW$66)*BK729), N($AK$57:$AK$66&gt;$AI729))
) / 1000</f>
        <v>0</v>
      </c>
      <c r="BQ729" s="250">
        <f t="shared" si="707"/>
        <v>20</v>
      </c>
      <c r="BR729" s="237">
        <f t="shared" si="686"/>
        <v>33</v>
      </c>
      <c r="BS729" s="253">
        <f t="shared" si="687"/>
        <v>4.8487499999999999</v>
      </c>
      <c r="BT729" s="253" cm="1">
        <f t="array" ref="BT729">$BC729 * IF($AD729&lt;=2,
SUMPRODUCT(INDEX($AL$62:$AN$66,,$AE729), INDEX($AO$62:$AU$66,,$AD729), 1 / ($AV$62:$AV$66*BS729 + (1-$AV$62:$AV$66)*BO729), N($AK$62:$AK$66&gt;$AI729)),
SUMPRODUCT(INDEX($AL$47:$AN$56,,$AE729), INDEX($AO$47:$AU$56,,$AD729), 1 / ($AW$47:$AW$56*BS729 + (1-$AW$47:$AW$56)*BO729), N($AK$47:$AK$56&gt;$AI729))
) / 1000</f>
        <v>0</v>
      </c>
      <c r="BU729" s="253" cm="1">
        <f t="array" ref="BU729">$BC729 * IF($AD729&lt;=2,
SUMPRODUCT(INDEX($AL$23:$AN$61,,$AE729), INDEX($AO$23:$AU$61,,$AD729), 1 / ($AV$23:$AV$61*BS729), N($AK$23:$AK$61&gt;$AI729)),
SUMPRODUCT(INDEX($AL$23:$AN$46,,$AE729), INDEX($AO$23:$AU$46,,$AD729), 1 / ($AW$23:$AW$46*BS729), N($AK$23:$AK$46&gt;$AI729))
) / 1000</f>
        <v>0</v>
      </c>
      <c r="BV729" s="237">
        <f t="shared" si="688"/>
        <v>0</v>
      </c>
      <c r="BW729" s="210"/>
      <c r="BX729" s="237">
        <f t="shared" si="689"/>
        <v>0</v>
      </c>
      <c r="BY729" s="236">
        <v>35</v>
      </c>
      <c r="BZ729" s="237">
        <f t="shared" si="690"/>
        <v>48</v>
      </c>
      <c r="CA729" s="253">
        <f t="shared" si="691"/>
        <v>3.0748170731707316</v>
      </c>
      <c r="CB729" s="253" cm="1">
        <f t="array" ref="CB729">$BC729 * SUMPRODUCT(INDEX($AL$77:$AN$82,,$AE729),INDEX($AO$77:$AU$82,,$AD729), N($AK$77:$AK$82&gt;$AI729)) / CA729 / 1000</f>
        <v>0</v>
      </c>
      <c r="CC729" s="250">
        <f t="shared" si="708"/>
        <v>30</v>
      </c>
      <c r="CD729" s="237">
        <f t="shared" si="692"/>
        <v>43</v>
      </c>
      <c r="CE729" s="253">
        <f t="shared" si="693"/>
        <v>3.5018750000000001</v>
      </c>
      <c r="CF729" s="253" cm="1">
        <f t="array" ref="CF729">$BC729 * IF($AD729&lt;=2,
SUMPRODUCT(INDEX($AL$72:$AN$76,,$AE729), INDEX($AO$72:$AU$76,,$AD729), 1 / ($AV$72:$AV$76*CE729 + (1-$AV$72:$AV$76)*CA729), N($AK$72:$AK$76&gt;$AI729)),
SUMPRODUCT(INDEX($AL$67:$AN$76,,$AE729), INDEX($AO$67:$AU$76,,$AD729), 1 / ($AW$67:$AW$76*CE729 + (1-$AW$67:$AW$76)*CA729), N($AK$67:$AK$76&gt;$AI729))
) / 1000</f>
        <v>0</v>
      </c>
      <c r="CG729" s="250">
        <f t="shared" si="709"/>
        <v>25</v>
      </c>
      <c r="CH729" s="237">
        <f t="shared" si="694"/>
        <v>38</v>
      </c>
      <c r="CI729" s="253">
        <f t="shared" si="695"/>
        <v>4.0666935483870965</v>
      </c>
      <c r="CJ729" s="253" cm="1">
        <f t="array" ref="CJ729">$BC729 * IF($AD729&lt;=2,
SUMPRODUCT(INDEX($AL$67:$AN$71,,$AE729), INDEX($AO$67:$AU$71,,$AD729), 1 / ($AV$67:$AV$71*CI729 + (1-$AV$67:$AV$71)*CE729), N($AK$67:$AK$71&gt;$AI729)),
SUMPRODUCT(INDEX($AL$57:$AN$66,,$AE729), INDEX($AO$57:$AU$66,,$AD729), 1 / ($AW$57:$AW$66*CI729 + (1-$AW$57:$AW$66)*CE729), N($AK$57:$AK$66&gt;$AI729))
) / 1000</f>
        <v>0</v>
      </c>
      <c r="CK729" s="250">
        <f t="shared" si="710"/>
        <v>20</v>
      </c>
      <c r="CL729" s="237">
        <f t="shared" si="696"/>
        <v>33</v>
      </c>
      <c r="CM729" s="253">
        <f t="shared" si="697"/>
        <v>4.8487499999999999</v>
      </c>
      <c r="CN729" s="253" cm="1">
        <f t="array" ref="CN729">$BC729 * IF($AD729&lt;=2,
SUMPRODUCT(INDEX($AL$62:$AN$66,,$AE729), INDEX($AO$62:$AU$66,,$AD729), 1 / ($AV$62:$AV$66*CM729 + (1-$AV$62:$AV$66)*CI729), N($AK$62:$AK$66&gt;$AI729)),
SUMPRODUCT(INDEX($AL$47:$AN$56,,$AE729), INDEX($AO$47:$AU$56,,$AD729), 1 / ($AW$47:$AW$56*CM729 + (1-$AW$47:$AW$56)*CI729), N($AK$47:$AK$56&gt;$AI729))
) / 1000</f>
        <v>0</v>
      </c>
      <c r="CO729" s="253" cm="1">
        <f t="array" ref="CO729">$BC729 * IF($AD729&lt;=2,
SUMPRODUCT(INDEX($AL$23:$AN$61,,$AE729), INDEX($AO$23:$AU$61,,$AD729), 1 / ($AV$23:$AV$61*CM729), N($AK$23:$AK$61&gt;$AI729)),
SUMPRODUCT(INDEX($AL$23:$AN$46,,$AE729), INDEX($AO$23:$AU$46,,$AD729), 1 / ($AW$23:$AW$46*CM729), N($AK$23:$AK$46&gt;$AI729))
) / 1000</f>
        <v>0</v>
      </c>
      <c r="CP729" s="237">
        <f t="shared" si="698"/>
        <v>0</v>
      </c>
      <c r="CQ729" s="210"/>
    </row>
    <row r="730" spans="1:95" s="76" customFormat="1" ht="14.25" customHeight="1" x14ac:dyDescent="0.2">
      <c r="A730" s="238" t="b">
        <f t="shared" si="702"/>
        <v>0</v>
      </c>
      <c r="B730" s="239">
        <v>708</v>
      </c>
      <c r="C730" s="258"/>
      <c r="D730" s="258"/>
      <c r="E730" s="240"/>
      <c r="F730" s="241" t="str">
        <f>IF(ISBLANK(E730), "", VLOOKUP(E730, Z!$A$2:$C$4127, 3, FALSE))</f>
        <v/>
      </c>
      <c r="G730" s="242"/>
      <c r="H730" s="242"/>
      <c r="I730" s="243"/>
      <c r="J730" s="244"/>
      <c r="K730" s="259"/>
      <c r="L730" s="260"/>
      <c r="M730" s="247" t="str" cm="1">
        <f t="array" ref="M730">IF($K730&gt;0, INDEX(Clean,1+AG730,$C$1), "")</f>
        <v/>
      </c>
      <c r="N730" s="245"/>
      <c r="O730" s="245"/>
      <c r="P730" s="246"/>
      <c r="Q730" s="248">
        <f t="shared" si="675"/>
        <v>0</v>
      </c>
      <c r="R730" s="247" t="str" cm="1">
        <f t="array" ref="R730">IF($K730&gt;0, INDEX(Clean,1+AH730,$C$1), "")</f>
        <v/>
      </c>
      <c r="S730" s="245"/>
      <c r="T730" s="245"/>
      <c r="U730" s="246"/>
      <c r="V730" s="248">
        <f t="shared" si="676"/>
        <v>0</v>
      </c>
      <c r="W730" s="261"/>
      <c r="X730" s="258"/>
      <c r="Y730" s="240"/>
      <c r="Z730" s="241" t="str">
        <f>IF(ISBLANK(Y730), "", VLOOKUP(Y730, Z!$A$2:$C$4127, 3, FALSE))</f>
        <v/>
      </c>
      <c r="AA730" s="262"/>
      <c r="AB730" s="249">
        <f t="shared" si="711"/>
        <v>0</v>
      </c>
      <c r="AC730" s="210"/>
      <c r="AD730" s="236">
        <f t="shared" si="699"/>
        <v>1</v>
      </c>
      <c r="AE730" s="236">
        <f t="shared" si="700"/>
        <v>1</v>
      </c>
      <c r="AF730" s="236">
        <f t="shared" si="701"/>
        <v>0</v>
      </c>
      <c r="AG730" s="236">
        <v>1</v>
      </c>
      <c r="AH730" s="236">
        <v>0</v>
      </c>
      <c r="AI730" s="236">
        <f t="shared" si="677"/>
        <v>-100</v>
      </c>
      <c r="AJ730" s="210"/>
      <c r="AK730" s="254"/>
      <c r="AL730" s="254"/>
      <c r="AM730" s="255"/>
      <c r="AN730" s="255"/>
      <c r="AO730" s="255"/>
      <c r="AP730" s="255"/>
      <c r="AQ730" s="255"/>
      <c r="AR730" s="255"/>
      <c r="AS730" s="255"/>
      <c r="AT730" s="255"/>
      <c r="AU730" s="255"/>
      <c r="AV730" s="255"/>
      <c r="AW730" s="255"/>
      <c r="AX730" s="210"/>
      <c r="AY730" s="236" cm="1">
        <f t="array" ref="AY730">INDEX(Use, $AD730, 4)</f>
        <v>7</v>
      </c>
      <c r="AZ730" s="236">
        <f t="shared" si="678"/>
        <v>32</v>
      </c>
      <c r="BA730" s="236">
        <f t="shared" si="703"/>
        <v>13</v>
      </c>
      <c r="BB730" s="236">
        <f t="shared" si="704"/>
        <v>0</v>
      </c>
      <c r="BC730" s="252" cm="1">
        <f t="array" ref="BC730">K730/IF($L730&gt;0, INDEX($AO$23:$AU$77, $L730+20, $AD730), 1)</f>
        <v>0</v>
      </c>
      <c r="BD730" s="237">
        <f t="shared" si="679"/>
        <v>0</v>
      </c>
      <c r="BE730" s="236">
        <v>35</v>
      </c>
      <c r="BF730" s="237">
        <f t="shared" si="680"/>
        <v>52.55</v>
      </c>
      <c r="BG730" s="253">
        <f t="shared" si="681"/>
        <v>2.7676728869374316</v>
      </c>
      <c r="BH730" s="253" cm="1">
        <f t="array" ref="BH730">$BC730 * SUMPRODUCT(INDEX($AL$77:$AN$82,,$AE730),INDEX($AO$77:$AU$82,,$AD730), N($AK$77:$AK$82&gt;$AI730)) / BG730 / 1000</f>
        <v>0</v>
      </c>
      <c r="BI730" s="250">
        <f t="shared" si="705"/>
        <v>30</v>
      </c>
      <c r="BJ730" s="237">
        <f t="shared" si="682"/>
        <v>46.033333333333331</v>
      </c>
      <c r="BK730" s="253">
        <f t="shared" si="683"/>
        <v>3.2297395388556791</v>
      </c>
      <c r="BL730" s="253" cm="1">
        <f t="array" ref="BL730">$BC730 * IF($AD730&lt;=2,
SUMPRODUCT(INDEX($AL$72:$AN$76,,$AE730), INDEX($AO$72:$AU$76,,$AD730), 1 / ($AV$72:$AV$76*BK730 + (1-$AV$72:$AV$76)*BG730), N($AK$72:$AK$76&gt;$AI730)),
SUMPRODUCT(INDEX($AL$67:$AN$76,,$AE730), INDEX($AO$67:$AU$76,,$AD730), 1 / ($AW$67:$AW$76*BK730 + (1-$AW$67:$AW$76)*BG730), N($AK$67:$AK$76&gt;$AI730))
) / 1000</f>
        <v>0</v>
      </c>
      <c r="BM730" s="250">
        <f t="shared" si="706"/>
        <v>25</v>
      </c>
      <c r="BN730" s="237">
        <f t="shared" si="684"/>
        <v>39.516666666666666</v>
      </c>
      <c r="BO730" s="253">
        <f t="shared" si="685"/>
        <v>3.877011788826243</v>
      </c>
      <c r="BP730" s="253" cm="1">
        <f t="array" ref="BP730">$BC730 * IF($AD730&lt;=2,
SUMPRODUCT(INDEX($AL$67:$AN$71,,$AE730), INDEX($AO$67:$AU$71,,$AD730), 1 / ($AV$67:$AV$71*BO730 + (1-$AV$67:$AV$71)*BK730), N($AK$67:$AK$71&gt;$AI730)),
SUMPRODUCT(INDEX($AL$57:$AN$66,,$AE730), INDEX($AO$57:$AU$66,,$AD730), 1 / ($AW$57:$AW$66*BO730 + (1-$AW$57:$AW$66)*BK730), N($AK$57:$AK$66&gt;$AI730))
) / 1000</f>
        <v>0</v>
      </c>
      <c r="BQ730" s="250">
        <f t="shared" si="707"/>
        <v>20</v>
      </c>
      <c r="BR730" s="237">
        <f t="shared" si="686"/>
        <v>33</v>
      </c>
      <c r="BS730" s="253">
        <f t="shared" si="687"/>
        <v>4.8487499999999999</v>
      </c>
      <c r="BT730" s="253" cm="1">
        <f t="array" ref="BT730">$BC730 * IF($AD730&lt;=2,
SUMPRODUCT(INDEX($AL$62:$AN$66,,$AE730), INDEX($AO$62:$AU$66,,$AD730), 1 / ($AV$62:$AV$66*BS730 + (1-$AV$62:$AV$66)*BO730), N($AK$62:$AK$66&gt;$AI730)),
SUMPRODUCT(INDEX($AL$47:$AN$56,,$AE730), INDEX($AO$47:$AU$56,,$AD730), 1 / ($AW$47:$AW$56*BS730 + (1-$AW$47:$AW$56)*BO730), N($AK$47:$AK$56&gt;$AI730))
) / 1000</f>
        <v>0</v>
      </c>
      <c r="BU730" s="253" cm="1">
        <f t="array" ref="BU730">$BC730 * IF($AD730&lt;=2,
SUMPRODUCT(INDEX($AL$23:$AN$61,,$AE730), INDEX($AO$23:$AU$61,,$AD730), 1 / ($AV$23:$AV$61*BS730), N($AK$23:$AK$61&gt;$AI730)),
SUMPRODUCT(INDEX($AL$23:$AN$46,,$AE730), INDEX($AO$23:$AU$46,,$AD730), 1 / ($AW$23:$AW$46*BS730), N($AK$23:$AK$46&gt;$AI730))
) / 1000</f>
        <v>0</v>
      </c>
      <c r="BV730" s="237">
        <f t="shared" si="688"/>
        <v>0</v>
      </c>
      <c r="BW730" s="210"/>
      <c r="BX730" s="237">
        <f t="shared" si="689"/>
        <v>0</v>
      </c>
      <c r="BY730" s="236">
        <v>35</v>
      </c>
      <c r="BZ730" s="237">
        <f t="shared" si="690"/>
        <v>48</v>
      </c>
      <c r="CA730" s="253">
        <f t="shared" si="691"/>
        <v>3.0748170731707316</v>
      </c>
      <c r="CB730" s="253" cm="1">
        <f t="array" ref="CB730">$BC730 * SUMPRODUCT(INDEX($AL$77:$AN$82,,$AE730),INDEX($AO$77:$AU$82,,$AD730), N($AK$77:$AK$82&gt;$AI730)) / CA730 / 1000</f>
        <v>0</v>
      </c>
      <c r="CC730" s="250">
        <f t="shared" si="708"/>
        <v>30</v>
      </c>
      <c r="CD730" s="237">
        <f t="shared" si="692"/>
        <v>43</v>
      </c>
      <c r="CE730" s="253">
        <f t="shared" si="693"/>
        <v>3.5018750000000001</v>
      </c>
      <c r="CF730" s="253" cm="1">
        <f t="array" ref="CF730">$BC730 * IF($AD730&lt;=2,
SUMPRODUCT(INDEX($AL$72:$AN$76,,$AE730), INDEX($AO$72:$AU$76,,$AD730), 1 / ($AV$72:$AV$76*CE730 + (1-$AV$72:$AV$76)*CA730), N($AK$72:$AK$76&gt;$AI730)),
SUMPRODUCT(INDEX($AL$67:$AN$76,,$AE730), INDEX($AO$67:$AU$76,,$AD730), 1 / ($AW$67:$AW$76*CE730 + (1-$AW$67:$AW$76)*CA730), N($AK$67:$AK$76&gt;$AI730))
) / 1000</f>
        <v>0</v>
      </c>
      <c r="CG730" s="250">
        <f t="shared" si="709"/>
        <v>25</v>
      </c>
      <c r="CH730" s="237">
        <f t="shared" si="694"/>
        <v>38</v>
      </c>
      <c r="CI730" s="253">
        <f t="shared" si="695"/>
        <v>4.0666935483870965</v>
      </c>
      <c r="CJ730" s="253" cm="1">
        <f t="array" ref="CJ730">$BC730 * IF($AD730&lt;=2,
SUMPRODUCT(INDEX($AL$67:$AN$71,,$AE730), INDEX($AO$67:$AU$71,,$AD730), 1 / ($AV$67:$AV$71*CI730 + (1-$AV$67:$AV$71)*CE730), N($AK$67:$AK$71&gt;$AI730)),
SUMPRODUCT(INDEX($AL$57:$AN$66,,$AE730), INDEX($AO$57:$AU$66,,$AD730), 1 / ($AW$57:$AW$66*CI730 + (1-$AW$57:$AW$66)*CE730), N($AK$57:$AK$66&gt;$AI730))
) / 1000</f>
        <v>0</v>
      </c>
      <c r="CK730" s="250">
        <f t="shared" si="710"/>
        <v>20</v>
      </c>
      <c r="CL730" s="237">
        <f t="shared" si="696"/>
        <v>33</v>
      </c>
      <c r="CM730" s="253">
        <f t="shared" si="697"/>
        <v>4.8487499999999999</v>
      </c>
      <c r="CN730" s="253" cm="1">
        <f t="array" ref="CN730">$BC730 * IF($AD730&lt;=2,
SUMPRODUCT(INDEX($AL$62:$AN$66,,$AE730), INDEX($AO$62:$AU$66,,$AD730), 1 / ($AV$62:$AV$66*CM730 + (1-$AV$62:$AV$66)*CI730), N($AK$62:$AK$66&gt;$AI730)),
SUMPRODUCT(INDEX($AL$47:$AN$56,,$AE730), INDEX($AO$47:$AU$56,,$AD730), 1 / ($AW$47:$AW$56*CM730 + (1-$AW$47:$AW$56)*CI730), N($AK$47:$AK$56&gt;$AI730))
) / 1000</f>
        <v>0</v>
      </c>
      <c r="CO730" s="253" cm="1">
        <f t="array" ref="CO730">$BC730 * IF($AD730&lt;=2,
SUMPRODUCT(INDEX($AL$23:$AN$61,,$AE730), INDEX($AO$23:$AU$61,,$AD730), 1 / ($AV$23:$AV$61*CM730), N($AK$23:$AK$61&gt;$AI730)),
SUMPRODUCT(INDEX($AL$23:$AN$46,,$AE730), INDEX($AO$23:$AU$46,,$AD730), 1 / ($AW$23:$AW$46*CM730), N($AK$23:$AK$46&gt;$AI730))
) / 1000</f>
        <v>0</v>
      </c>
      <c r="CP730" s="237">
        <f t="shared" si="698"/>
        <v>0</v>
      </c>
      <c r="CQ730" s="210"/>
    </row>
    <row r="731" spans="1:95" s="76" customFormat="1" ht="14.25" customHeight="1" x14ac:dyDescent="0.2">
      <c r="A731" s="238" t="b">
        <f t="shared" si="702"/>
        <v>0</v>
      </c>
      <c r="B731" s="239">
        <v>709</v>
      </c>
      <c r="C731" s="258"/>
      <c r="D731" s="258"/>
      <c r="E731" s="240"/>
      <c r="F731" s="241" t="str">
        <f>IF(ISBLANK(E731), "", VLOOKUP(E731, Z!$A$2:$C$4127, 3, FALSE))</f>
        <v/>
      </c>
      <c r="G731" s="242"/>
      <c r="H731" s="242"/>
      <c r="I731" s="243"/>
      <c r="J731" s="244"/>
      <c r="K731" s="259"/>
      <c r="L731" s="260"/>
      <c r="M731" s="247" t="str" cm="1">
        <f t="array" ref="M731">IF($K731&gt;0, INDEX(Clean,1+AG731,$C$1), "")</f>
        <v/>
      </c>
      <c r="N731" s="245"/>
      <c r="O731" s="245"/>
      <c r="P731" s="246"/>
      <c r="Q731" s="248">
        <f t="shared" si="675"/>
        <v>0</v>
      </c>
      <c r="R731" s="247" t="str" cm="1">
        <f t="array" ref="R731">IF($K731&gt;0, INDEX(Clean,1+AH731,$C$1), "")</f>
        <v/>
      </c>
      <c r="S731" s="245"/>
      <c r="T731" s="245"/>
      <c r="U731" s="246"/>
      <c r="V731" s="248">
        <f t="shared" si="676"/>
        <v>0</v>
      </c>
      <c r="W731" s="261"/>
      <c r="X731" s="258"/>
      <c r="Y731" s="240"/>
      <c r="Z731" s="241" t="str">
        <f>IF(ISBLANK(Y731), "", VLOOKUP(Y731, Z!$A$2:$C$4127, 3, FALSE))</f>
        <v/>
      </c>
      <c r="AA731" s="262"/>
      <c r="AB731" s="249">
        <f t="shared" si="711"/>
        <v>0</v>
      </c>
      <c r="AC731" s="210"/>
      <c r="AD731" s="236">
        <f t="shared" si="699"/>
        <v>1</v>
      </c>
      <c r="AE731" s="236">
        <f t="shared" si="700"/>
        <v>1</v>
      </c>
      <c r="AF731" s="236">
        <f t="shared" si="701"/>
        <v>0</v>
      </c>
      <c r="AG731" s="236">
        <v>1</v>
      </c>
      <c r="AH731" s="236">
        <v>0</v>
      </c>
      <c r="AI731" s="236">
        <f t="shared" si="677"/>
        <v>-100</v>
      </c>
      <c r="AJ731" s="210"/>
      <c r="AK731" s="254"/>
      <c r="AL731" s="254"/>
      <c r="AM731" s="255"/>
      <c r="AN731" s="255"/>
      <c r="AO731" s="255"/>
      <c r="AP731" s="255"/>
      <c r="AQ731" s="255"/>
      <c r="AR731" s="255"/>
      <c r="AS731" s="255"/>
      <c r="AT731" s="255"/>
      <c r="AU731" s="255"/>
      <c r="AV731" s="255"/>
      <c r="AW731" s="255"/>
      <c r="AX731" s="210"/>
      <c r="AY731" s="236" cm="1">
        <f t="array" ref="AY731">INDEX(Use, $AD731, 4)</f>
        <v>7</v>
      </c>
      <c r="AZ731" s="236">
        <f t="shared" si="678"/>
        <v>32</v>
      </c>
      <c r="BA731" s="236">
        <f t="shared" si="703"/>
        <v>13</v>
      </c>
      <c r="BB731" s="236">
        <f t="shared" si="704"/>
        <v>0</v>
      </c>
      <c r="BC731" s="252" cm="1">
        <f t="array" ref="BC731">K731/IF($L731&gt;0, INDEX($AO$23:$AU$77, $L731+20, $AD731), 1)</f>
        <v>0</v>
      </c>
      <c r="BD731" s="237">
        <f t="shared" si="679"/>
        <v>0</v>
      </c>
      <c r="BE731" s="236">
        <v>35</v>
      </c>
      <c r="BF731" s="237">
        <f t="shared" si="680"/>
        <v>52.55</v>
      </c>
      <c r="BG731" s="253">
        <f t="shared" si="681"/>
        <v>2.7676728869374316</v>
      </c>
      <c r="BH731" s="253" cm="1">
        <f t="array" ref="BH731">$BC731 * SUMPRODUCT(INDEX($AL$77:$AN$82,,$AE731),INDEX($AO$77:$AU$82,,$AD731), N($AK$77:$AK$82&gt;$AI731)) / BG731 / 1000</f>
        <v>0</v>
      </c>
      <c r="BI731" s="250">
        <f t="shared" si="705"/>
        <v>30</v>
      </c>
      <c r="BJ731" s="237">
        <f t="shared" si="682"/>
        <v>46.033333333333331</v>
      </c>
      <c r="BK731" s="253">
        <f t="shared" si="683"/>
        <v>3.2297395388556791</v>
      </c>
      <c r="BL731" s="253" cm="1">
        <f t="array" ref="BL731">$BC731 * IF($AD731&lt;=2,
SUMPRODUCT(INDEX($AL$72:$AN$76,,$AE731), INDEX($AO$72:$AU$76,,$AD731), 1 / ($AV$72:$AV$76*BK731 + (1-$AV$72:$AV$76)*BG731), N($AK$72:$AK$76&gt;$AI731)),
SUMPRODUCT(INDEX($AL$67:$AN$76,,$AE731), INDEX($AO$67:$AU$76,,$AD731), 1 / ($AW$67:$AW$76*BK731 + (1-$AW$67:$AW$76)*BG731), N($AK$67:$AK$76&gt;$AI731))
) / 1000</f>
        <v>0</v>
      </c>
      <c r="BM731" s="250">
        <f t="shared" si="706"/>
        <v>25</v>
      </c>
      <c r="BN731" s="237">
        <f t="shared" si="684"/>
        <v>39.516666666666666</v>
      </c>
      <c r="BO731" s="253">
        <f t="shared" si="685"/>
        <v>3.877011788826243</v>
      </c>
      <c r="BP731" s="253" cm="1">
        <f t="array" ref="BP731">$BC731 * IF($AD731&lt;=2,
SUMPRODUCT(INDEX($AL$67:$AN$71,,$AE731), INDEX($AO$67:$AU$71,,$AD731), 1 / ($AV$67:$AV$71*BO731 + (1-$AV$67:$AV$71)*BK731), N($AK$67:$AK$71&gt;$AI731)),
SUMPRODUCT(INDEX($AL$57:$AN$66,,$AE731), INDEX($AO$57:$AU$66,,$AD731), 1 / ($AW$57:$AW$66*BO731 + (1-$AW$57:$AW$66)*BK731), N($AK$57:$AK$66&gt;$AI731))
) / 1000</f>
        <v>0</v>
      </c>
      <c r="BQ731" s="250">
        <f t="shared" si="707"/>
        <v>20</v>
      </c>
      <c r="BR731" s="237">
        <f t="shared" si="686"/>
        <v>33</v>
      </c>
      <c r="BS731" s="253">
        <f t="shared" si="687"/>
        <v>4.8487499999999999</v>
      </c>
      <c r="BT731" s="253" cm="1">
        <f t="array" ref="BT731">$BC731 * IF($AD731&lt;=2,
SUMPRODUCT(INDEX($AL$62:$AN$66,,$AE731), INDEX($AO$62:$AU$66,,$AD731), 1 / ($AV$62:$AV$66*BS731 + (1-$AV$62:$AV$66)*BO731), N($AK$62:$AK$66&gt;$AI731)),
SUMPRODUCT(INDEX($AL$47:$AN$56,,$AE731), INDEX($AO$47:$AU$56,,$AD731), 1 / ($AW$47:$AW$56*BS731 + (1-$AW$47:$AW$56)*BO731), N($AK$47:$AK$56&gt;$AI731))
) / 1000</f>
        <v>0</v>
      </c>
      <c r="BU731" s="253" cm="1">
        <f t="array" ref="BU731">$BC731 * IF($AD731&lt;=2,
SUMPRODUCT(INDEX($AL$23:$AN$61,,$AE731), INDEX($AO$23:$AU$61,,$AD731), 1 / ($AV$23:$AV$61*BS731), N($AK$23:$AK$61&gt;$AI731)),
SUMPRODUCT(INDEX($AL$23:$AN$46,,$AE731), INDEX($AO$23:$AU$46,,$AD731), 1 / ($AW$23:$AW$46*BS731), N($AK$23:$AK$46&gt;$AI731))
) / 1000</f>
        <v>0</v>
      </c>
      <c r="BV731" s="237">
        <f t="shared" si="688"/>
        <v>0</v>
      </c>
      <c r="BW731" s="210"/>
      <c r="BX731" s="237">
        <f t="shared" si="689"/>
        <v>0</v>
      </c>
      <c r="BY731" s="236">
        <v>35</v>
      </c>
      <c r="BZ731" s="237">
        <f t="shared" si="690"/>
        <v>48</v>
      </c>
      <c r="CA731" s="253">
        <f t="shared" si="691"/>
        <v>3.0748170731707316</v>
      </c>
      <c r="CB731" s="253" cm="1">
        <f t="array" ref="CB731">$BC731 * SUMPRODUCT(INDEX($AL$77:$AN$82,,$AE731),INDEX($AO$77:$AU$82,,$AD731), N($AK$77:$AK$82&gt;$AI731)) / CA731 / 1000</f>
        <v>0</v>
      </c>
      <c r="CC731" s="250">
        <f t="shared" si="708"/>
        <v>30</v>
      </c>
      <c r="CD731" s="237">
        <f t="shared" si="692"/>
        <v>43</v>
      </c>
      <c r="CE731" s="253">
        <f t="shared" si="693"/>
        <v>3.5018750000000001</v>
      </c>
      <c r="CF731" s="253" cm="1">
        <f t="array" ref="CF731">$BC731 * IF($AD731&lt;=2,
SUMPRODUCT(INDEX($AL$72:$AN$76,,$AE731), INDEX($AO$72:$AU$76,,$AD731), 1 / ($AV$72:$AV$76*CE731 + (1-$AV$72:$AV$76)*CA731), N($AK$72:$AK$76&gt;$AI731)),
SUMPRODUCT(INDEX($AL$67:$AN$76,,$AE731), INDEX($AO$67:$AU$76,,$AD731), 1 / ($AW$67:$AW$76*CE731 + (1-$AW$67:$AW$76)*CA731), N($AK$67:$AK$76&gt;$AI731))
) / 1000</f>
        <v>0</v>
      </c>
      <c r="CG731" s="250">
        <f t="shared" si="709"/>
        <v>25</v>
      </c>
      <c r="CH731" s="237">
        <f t="shared" si="694"/>
        <v>38</v>
      </c>
      <c r="CI731" s="253">
        <f t="shared" si="695"/>
        <v>4.0666935483870965</v>
      </c>
      <c r="CJ731" s="253" cm="1">
        <f t="array" ref="CJ731">$BC731 * IF($AD731&lt;=2,
SUMPRODUCT(INDEX($AL$67:$AN$71,,$AE731), INDEX($AO$67:$AU$71,,$AD731), 1 / ($AV$67:$AV$71*CI731 + (1-$AV$67:$AV$71)*CE731), N($AK$67:$AK$71&gt;$AI731)),
SUMPRODUCT(INDEX($AL$57:$AN$66,,$AE731), INDEX($AO$57:$AU$66,,$AD731), 1 / ($AW$57:$AW$66*CI731 + (1-$AW$57:$AW$66)*CE731), N($AK$57:$AK$66&gt;$AI731))
) / 1000</f>
        <v>0</v>
      </c>
      <c r="CK731" s="250">
        <f t="shared" si="710"/>
        <v>20</v>
      </c>
      <c r="CL731" s="237">
        <f t="shared" si="696"/>
        <v>33</v>
      </c>
      <c r="CM731" s="253">
        <f t="shared" si="697"/>
        <v>4.8487499999999999</v>
      </c>
      <c r="CN731" s="253" cm="1">
        <f t="array" ref="CN731">$BC731 * IF($AD731&lt;=2,
SUMPRODUCT(INDEX($AL$62:$AN$66,,$AE731), INDEX($AO$62:$AU$66,,$AD731), 1 / ($AV$62:$AV$66*CM731 + (1-$AV$62:$AV$66)*CI731), N($AK$62:$AK$66&gt;$AI731)),
SUMPRODUCT(INDEX($AL$47:$AN$56,,$AE731), INDEX($AO$47:$AU$56,,$AD731), 1 / ($AW$47:$AW$56*CM731 + (1-$AW$47:$AW$56)*CI731), N($AK$47:$AK$56&gt;$AI731))
) / 1000</f>
        <v>0</v>
      </c>
      <c r="CO731" s="253" cm="1">
        <f t="array" ref="CO731">$BC731 * IF($AD731&lt;=2,
SUMPRODUCT(INDEX($AL$23:$AN$61,,$AE731), INDEX($AO$23:$AU$61,,$AD731), 1 / ($AV$23:$AV$61*CM731), N($AK$23:$AK$61&gt;$AI731)),
SUMPRODUCT(INDEX($AL$23:$AN$46,,$AE731), INDEX($AO$23:$AU$46,,$AD731), 1 / ($AW$23:$AW$46*CM731), N($AK$23:$AK$46&gt;$AI731))
) / 1000</f>
        <v>0</v>
      </c>
      <c r="CP731" s="237">
        <f t="shared" si="698"/>
        <v>0</v>
      </c>
      <c r="CQ731" s="210"/>
    </row>
    <row r="732" spans="1:95" s="76" customFormat="1" ht="14.25" customHeight="1" x14ac:dyDescent="0.2">
      <c r="A732" s="238" t="b">
        <f t="shared" si="702"/>
        <v>0</v>
      </c>
      <c r="B732" s="239">
        <v>710</v>
      </c>
      <c r="C732" s="258"/>
      <c r="D732" s="258"/>
      <c r="E732" s="240"/>
      <c r="F732" s="241" t="str">
        <f>IF(ISBLANK(E732), "", VLOOKUP(E732, Z!$A$2:$C$4127, 3, FALSE))</f>
        <v/>
      </c>
      <c r="G732" s="242"/>
      <c r="H732" s="242"/>
      <c r="I732" s="243"/>
      <c r="J732" s="244"/>
      <c r="K732" s="259"/>
      <c r="L732" s="260"/>
      <c r="M732" s="247" t="str" cm="1">
        <f t="array" ref="M732">IF($K732&gt;0, INDEX(Clean,1+AG732,$C$1), "")</f>
        <v/>
      </c>
      <c r="N732" s="245"/>
      <c r="O732" s="245"/>
      <c r="P732" s="246"/>
      <c r="Q732" s="248">
        <f t="shared" si="675"/>
        <v>0</v>
      </c>
      <c r="R732" s="247" t="str" cm="1">
        <f t="array" ref="R732">IF($K732&gt;0, INDEX(Clean,1+AH732,$C$1), "")</f>
        <v/>
      </c>
      <c r="S732" s="245"/>
      <c r="T732" s="245"/>
      <c r="U732" s="246"/>
      <c r="V732" s="248">
        <f t="shared" si="676"/>
        <v>0</v>
      </c>
      <c r="W732" s="261"/>
      <c r="X732" s="258"/>
      <c r="Y732" s="240"/>
      <c r="Z732" s="241" t="str">
        <f>IF(ISBLANK(Y732), "", VLOOKUP(Y732, Z!$A$2:$C$4127, 3, FALSE))</f>
        <v/>
      </c>
      <c r="AA732" s="262"/>
      <c r="AB732" s="249">
        <f t="shared" si="711"/>
        <v>0</v>
      </c>
      <c r="AC732" s="210"/>
      <c r="AD732" s="236">
        <f t="shared" si="699"/>
        <v>1</v>
      </c>
      <c r="AE732" s="236">
        <f t="shared" si="700"/>
        <v>1</v>
      </c>
      <c r="AF732" s="236">
        <f t="shared" si="701"/>
        <v>0</v>
      </c>
      <c r="AG732" s="236">
        <v>1</v>
      </c>
      <c r="AH732" s="236">
        <v>0</v>
      </c>
      <c r="AI732" s="236">
        <f t="shared" si="677"/>
        <v>-100</v>
      </c>
      <c r="AJ732" s="210"/>
      <c r="AK732" s="254"/>
      <c r="AL732" s="254"/>
      <c r="AM732" s="255"/>
      <c r="AN732" s="255"/>
      <c r="AO732" s="255"/>
      <c r="AP732" s="255"/>
      <c r="AQ732" s="255"/>
      <c r="AR732" s="255"/>
      <c r="AS732" s="255"/>
      <c r="AT732" s="255"/>
      <c r="AU732" s="255"/>
      <c r="AV732" s="255"/>
      <c r="AW732" s="255"/>
      <c r="AX732" s="210"/>
      <c r="AY732" s="236" cm="1">
        <f t="array" ref="AY732">INDEX(Use, $AD732, 4)</f>
        <v>7</v>
      </c>
      <c r="AZ732" s="236">
        <f t="shared" si="678"/>
        <v>32</v>
      </c>
      <c r="BA732" s="236">
        <f t="shared" si="703"/>
        <v>13</v>
      </c>
      <c r="BB732" s="236">
        <f t="shared" si="704"/>
        <v>0</v>
      </c>
      <c r="BC732" s="252" cm="1">
        <f t="array" ref="BC732">K732/IF($L732&gt;0, INDEX($AO$23:$AU$77, $L732+20, $AD732), 1)</f>
        <v>0</v>
      </c>
      <c r="BD732" s="237">
        <f t="shared" si="679"/>
        <v>0</v>
      </c>
      <c r="BE732" s="236">
        <v>35</v>
      </c>
      <c r="BF732" s="237">
        <f t="shared" si="680"/>
        <v>52.55</v>
      </c>
      <c r="BG732" s="253">
        <f t="shared" si="681"/>
        <v>2.7676728869374316</v>
      </c>
      <c r="BH732" s="253" cm="1">
        <f t="array" ref="BH732">$BC732 * SUMPRODUCT(INDEX($AL$77:$AN$82,,$AE732),INDEX($AO$77:$AU$82,,$AD732), N($AK$77:$AK$82&gt;$AI732)) / BG732 / 1000</f>
        <v>0</v>
      </c>
      <c r="BI732" s="250">
        <f t="shared" si="705"/>
        <v>30</v>
      </c>
      <c r="BJ732" s="237">
        <f t="shared" si="682"/>
        <v>46.033333333333331</v>
      </c>
      <c r="BK732" s="253">
        <f t="shared" si="683"/>
        <v>3.2297395388556791</v>
      </c>
      <c r="BL732" s="253" cm="1">
        <f t="array" ref="BL732">$BC732 * IF($AD732&lt;=2,
SUMPRODUCT(INDEX($AL$72:$AN$76,,$AE732), INDEX($AO$72:$AU$76,,$AD732), 1 / ($AV$72:$AV$76*BK732 + (1-$AV$72:$AV$76)*BG732), N($AK$72:$AK$76&gt;$AI732)),
SUMPRODUCT(INDEX($AL$67:$AN$76,,$AE732), INDEX($AO$67:$AU$76,,$AD732), 1 / ($AW$67:$AW$76*BK732 + (1-$AW$67:$AW$76)*BG732), N($AK$67:$AK$76&gt;$AI732))
) / 1000</f>
        <v>0</v>
      </c>
      <c r="BM732" s="250">
        <f t="shared" si="706"/>
        <v>25</v>
      </c>
      <c r="BN732" s="237">
        <f t="shared" si="684"/>
        <v>39.516666666666666</v>
      </c>
      <c r="BO732" s="253">
        <f t="shared" si="685"/>
        <v>3.877011788826243</v>
      </c>
      <c r="BP732" s="253" cm="1">
        <f t="array" ref="BP732">$BC732 * IF($AD732&lt;=2,
SUMPRODUCT(INDEX($AL$67:$AN$71,,$AE732), INDEX($AO$67:$AU$71,,$AD732), 1 / ($AV$67:$AV$71*BO732 + (1-$AV$67:$AV$71)*BK732), N($AK$67:$AK$71&gt;$AI732)),
SUMPRODUCT(INDEX($AL$57:$AN$66,,$AE732), INDEX($AO$57:$AU$66,,$AD732), 1 / ($AW$57:$AW$66*BO732 + (1-$AW$57:$AW$66)*BK732), N($AK$57:$AK$66&gt;$AI732))
) / 1000</f>
        <v>0</v>
      </c>
      <c r="BQ732" s="250">
        <f t="shared" si="707"/>
        <v>20</v>
      </c>
      <c r="BR732" s="237">
        <f t="shared" si="686"/>
        <v>33</v>
      </c>
      <c r="BS732" s="253">
        <f t="shared" si="687"/>
        <v>4.8487499999999999</v>
      </c>
      <c r="BT732" s="253" cm="1">
        <f t="array" ref="BT732">$BC732 * IF($AD732&lt;=2,
SUMPRODUCT(INDEX($AL$62:$AN$66,,$AE732), INDEX($AO$62:$AU$66,,$AD732), 1 / ($AV$62:$AV$66*BS732 + (1-$AV$62:$AV$66)*BO732), N($AK$62:$AK$66&gt;$AI732)),
SUMPRODUCT(INDEX($AL$47:$AN$56,,$AE732), INDEX($AO$47:$AU$56,,$AD732), 1 / ($AW$47:$AW$56*BS732 + (1-$AW$47:$AW$56)*BO732), N($AK$47:$AK$56&gt;$AI732))
) / 1000</f>
        <v>0</v>
      </c>
      <c r="BU732" s="253" cm="1">
        <f t="array" ref="BU732">$BC732 * IF($AD732&lt;=2,
SUMPRODUCT(INDEX($AL$23:$AN$61,,$AE732), INDEX($AO$23:$AU$61,,$AD732), 1 / ($AV$23:$AV$61*BS732), N($AK$23:$AK$61&gt;$AI732)),
SUMPRODUCT(INDEX($AL$23:$AN$46,,$AE732), INDEX($AO$23:$AU$46,,$AD732), 1 / ($AW$23:$AW$46*BS732), N($AK$23:$AK$46&gt;$AI732))
) / 1000</f>
        <v>0</v>
      </c>
      <c r="BV732" s="237">
        <f t="shared" si="688"/>
        <v>0</v>
      </c>
      <c r="BW732" s="210"/>
      <c r="BX732" s="237">
        <f t="shared" si="689"/>
        <v>0</v>
      </c>
      <c r="BY732" s="236">
        <v>35</v>
      </c>
      <c r="BZ732" s="237">
        <f t="shared" si="690"/>
        <v>48</v>
      </c>
      <c r="CA732" s="253">
        <f t="shared" si="691"/>
        <v>3.0748170731707316</v>
      </c>
      <c r="CB732" s="253" cm="1">
        <f t="array" ref="CB732">$BC732 * SUMPRODUCT(INDEX($AL$77:$AN$82,,$AE732),INDEX($AO$77:$AU$82,,$AD732), N($AK$77:$AK$82&gt;$AI732)) / CA732 / 1000</f>
        <v>0</v>
      </c>
      <c r="CC732" s="250">
        <f t="shared" si="708"/>
        <v>30</v>
      </c>
      <c r="CD732" s="237">
        <f t="shared" si="692"/>
        <v>43</v>
      </c>
      <c r="CE732" s="253">
        <f t="shared" si="693"/>
        <v>3.5018750000000001</v>
      </c>
      <c r="CF732" s="253" cm="1">
        <f t="array" ref="CF732">$BC732 * IF($AD732&lt;=2,
SUMPRODUCT(INDEX($AL$72:$AN$76,,$AE732), INDEX($AO$72:$AU$76,,$AD732), 1 / ($AV$72:$AV$76*CE732 + (1-$AV$72:$AV$76)*CA732), N($AK$72:$AK$76&gt;$AI732)),
SUMPRODUCT(INDEX($AL$67:$AN$76,,$AE732), INDEX($AO$67:$AU$76,,$AD732), 1 / ($AW$67:$AW$76*CE732 + (1-$AW$67:$AW$76)*CA732), N($AK$67:$AK$76&gt;$AI732))
) / 1000</f>
        <v>0</v>
      </c>
      <c r="CG732" s="250">
        <f t="shared" si="709"/>
        <v>25</v>
      </c>
      <c r="CH732" s="237">
        <f t="shared" si="694"/>
        <v>38</v>
      </c>
      <c r="CI732" s="253">
        <f t="shared" si="695"/>
        <v>4.0666935483870965</v>
      </c>
      <c r="CJ732" s="253" cm="1">
        <f t="array" ref="CJ732">$BC732 * IF($AD732&lt;=2,
SUMPRODUCT(INDEX($AL$67:$AN$71,,$AE732), INDEX($AO$67:$AU$71,,$AD732), 1 / ($AV$67:$AV$71*CI732 + (1-$AV$67:$AV$71)*CE732), N($AK$67:$AK$71&gt;$AI732)),
SUMPRODUCT(INDEX($AL$57:$AN$66,,$AE732), INDEX($AO$57:$AU$66,,$AD732), 1 / ($AW$57:$AW$66*CI732 + (1-$AW$57:$AW$66)*CE732), N($AK$57:$AK$66&gt;$AI732))
) / 1000</f>
        <v>0</v>
      </c>
      <c r="CK732" s="250">
        <f t="shared" si="710"/>
        <v>20</v>
      </c>
      <c r="CL732" s="237">
        <f t="shared" si="696"/>
        <v>33</v>
      </c>
      <c r="CM732" s="253">
        <f t="shared" si="697"/>
        <v>4.8487499999999999</v>
      </c>
      <c r="CN732" s="253" cm="1">
        <f t="array" ref="CN732">$BC732 * IF($AD732&lt;=2,
SUMPRODUCT(INDEX($AL$62:$AN$66,,$AE732), INDEX($AO$62:$AU$66,,$AD732), 1 / ($AV$62:$AV$66*CM732 + (1-$AV$62:$AV$66)*CI732), N($AK$62:$AK$66&gt;$AI732)),
SUMPRODUCT(INDEX($AL$47:$AN$56,,$AE732), INDEX($AO$47:$AU$56,,$AD732), 1 / ($AW$47:$AW$56*CM732 + (1-$AW$47:$AW$56)*CI732), N($AK$47:$AK$56&gt;$AI732))
) / 1000</f>
        <v>0</v>
      </c>
      <c r="CO732" s="253" cm="1">
        <f t="array" ref="CO732">$BC732 * IF($AD732&lt;=2,
SUMPRODUCT(INDEX($AL$23:$AN$61,,$AE732), INDEX($AO$23:$AU$61,,$AD732), 1 / ($AV$23:$AV$61*CM732), N($AK$23:$AK$61&gt;$AI732)),
SUMPRODUCT(INDEX($AL$23:$AN$46,,$AE732), INDEX($AO$23:$AU$46,,$AD732), 1 / ($AW$23:$AW$46*CM732), N($AK$23:$AK$46&gt;$AI732))
) / 1000</f>
        <v>0</v>
      </c>
      <c r="CP732" s="237">
        <f t="shared" si="698"/>
        <v>0</v>
      </c>
      <c r="CQ732" s="210"/>
    </row>
    <row r="733" spans="1:95" s="76" customFormat="1" ht="14.25" customHeight="1" x14ac:dyDescent="0.2">
      <c r="A733" s="238" t="b">
        <f t="shared" si="702"/>
        <v>0</v>
      </c>
      <c r="B733" s="239">
        <v>711</v>
      </c>
      <c r="C733" s="258"/>
      <c r="D733" s="258"/>
      <c r="E733" s="240"/>
      <c r="F733" s="241" t="str">
        <f>IF(ISBLANK(E733), "", VLOOKUP(E733, Z!$A$2:$C$4127, 3, FALSE))</f>
        <v/>
      </c>
      <c r="G733" s="242"/>
      <c r="H733" s="242"/>
      <c r="I733" s="243"/>
      <c r="J733" s="244"/>
      <c r="K733" s="259"/>
      <c r="L733" s="260"/>
      <c r="M733" s="247" t="str" cm="1">
        <f t="array" ref="M733">IF($K733&gt;0, INDEX(Clean,1+AG733,$C$1), "")</f>
        <v/>
      </c>
      <c r="N733" s="245"/>
      <c r="O733" s="245"/>
      <c r="P733" s="246"/>
      <c r="Q733" s="248">
        <f t="shared" si="675"/>
        <v>0</v>
      </c>
      <c r="R733" s="247" t="str" cm="1">
        <f t="array" ref="R733">IF($K733&gt;0, INDEX(Clean,1+AH733,$C$1), "")</f>
        <v/>
      </c>
      <c r="S733" s="245"/>
      <c r="T733" s="245"/>
      <c r="U733" s="246"/>
      <c r="V733" s="248">
        <f t="shared" si="676"/>
        <v>0</v>
      </c>
      <c r="W733" s="261"/>
      <c r="X733" s="258"/>
      <c r="Y733" s="240"/>
      <c r="Z733" s="241" t="str">
        <f>IF(ISBLANK(Y733), "", VLOOKUP(Y733, Z!$A$2:$C$4127, 3, FALSE))</f>
        <v/>
      </c>
      <c r="AA733" s="262"/>
      <c r="AB733" s="249">
        <f t="shared" si="711"/>
        <v>0</v>
      </c>
      <c r="AC733" s="210"/>
      <c r="AD733" s="236">
        <f t="shared" si="699"/>
        <v>1</v>
      </c>
      <c r="AE733" s="236">
        <f t="shared" si="700"/>
        <v>1</v>
      </c>
      <c r="AF733" s="236">
        <f t="shared" si="701"/>
        <v>0</v>
      </c>
      <c r="AG733" s="236">
        <v>1</v>
      </c>
      <c r="AH733" s="236">
        <v>0</v>
      </c>
      <c r="AI733" s="236">
        <f t="shared" si="677"/>
        <v>-100</v>
      </c>
      <c r="AJ733" s="210"/>
      <c r="AK733" s="254"/>
      <c r="AL733" s="254"/>
      <c r="AM733" s="255"/>
      <c r="AN733" s="255"/>
      <c r="AO733" s="255"/>
      <c r="AP733" s="255"/>
      <c r="AQ733" s="255"/>
      <c r="AR733" s="255"/>
      <c r="AS733" s="255"/>
      <c r="AT733" s="255"/>
      <c r="AU733" s="255"/>
      <c r="AV733" s="255"/>
      <c r="AW733" s="255"/>
      <c r="AX733" s="210"/>
      <c r="AY733" s="236" cm="1">
        <f t="array" ref="AY733">INDEX(Use, $AD733, 4)</f>
        <v>7</v>
      </c>
      <c r="AZ733" s="236">
        <f t="shared" si="678"/>
        <v>32</v>
      </c>
      <c r="BA733" s="236">
        <f t="shared" si="703"/>
        <v>13</v>
      </c>
      <c r="BB733" s="236">
        <f t="shared" si="704"/>
        <v>0</v>
      </c>
      <c r="BC733" s="252" cm="1">
        <f t="array" ref="BC733">K733/IF($L733&gt;0, INDEX($AO$23:$AU$77, $L733+20, $AD733), 1)</f>
        <v>0</v>
      </c>
      <c r="BD733" s="237">
        <f t="shared" si="679"/>
        <v>0</v>
      </c>
      <c r="BE733" s="236">
        <v>35</v>
      </c>
      <c r="BF733" s="237">
        <f t="shared" si="680"/>
        <v>52.55</v>
      </c>
      <c r="BG733" s="253">
        <f t="shared" si="681"/>
        <v>2.7676728869374316</v>
      </c>
      <c r="BH733" s="253" cm="1">
        <f t="array" ref="BH733">$BC733 * SUMPRODUCT(INDEX($AL$77:$AN$82,,$AE733),INDEX($AO$77:$AU$82,,$AD733), N($AK$77:$AK$82&gt;$AI733)) / BG733 / 1000</f>
        <v>0</v>
      </c>
      <c r="BI733" s="250">
        <f t="shared" si="705"/>
        <v>30</v>
      </c>
      <c r="BJ733" s="237">
        <f t="shared" si="682"/>
        <v>46.033333333333331</v>
      </c>
      <c r="BK733" s="253">
        <f t="shared" si="683"/>
        <v>3.2297395388556791</v>
      </c>
      <c r="BL733" s="253" cm="1">
        <f t="array" ref="BL733">$BC733 * IF($AD733&lt;=2,
SUMPRODUCT(INDEX($AL$72:$AN$76,,$AE733), INDEX($AO$72:$AU$76,,$AD733), 1 / ($AV$72:$AV$76*BK733 + (1-$AV$72:$AV$76)*BG733), N($AK$72:$AK$76&gt;$AI733)),
SUMPRODUCT(INDEX($AL$67:$AN$76,,$AE733), INDEX($AO$67:$AU$76,,$AD733), 1 / ($AW$67:$AW$76*BK733 + (1-$AW$67:$AW$76)*BG733), N($AK$67:$AK$76&gt;$AI733))
) / 1000</f>
        <v>0</v>
      </c>
      <c r="BM733" s="250">
        <f t="shared" si="706"/>
        <v>25</v>
      </c>
      <c r="BN733" s="237">
        <f t="shared" si="684"/>
        <v>39.516666666666666</v>
      </c>
      <c r="BO733" s="253">
        <f t="shared" si="685"/>
        <v>3.877011788826243</v>
      </c>
      <c r="BP733" s="253" cm="1">
        <f t="array" ref="BP733">$BC733 * IF($AD733&lt;=2,
SUMPRODUCT(INDEX($AL$67:$AN$71,,$AE733), INDEX($AO$67:$AU$71,,$AD733), 1 / ($AV$67:$AV$71*BO733 + (1-$AV$67:$AV$71)*BK733), N($AK$67:$AK$71&gt;$AI733)),
SUMPRODUCT(INDEX($AL$57:$AN$66,,$AE733), INDEX($AO$57:$AU$66,,$AD733), 1 / ($AW$57:$AW$66*BO733 + (1-$AW$57:$AW$66)*BK733), N($AK$57:$AK$66&gt;$AI733))
) / 1000</f>
        <v>0</v>
      </c>
      <c r="BQ733" s="250">
        <f t="shared" si="707"/>
        <v>20</v>
      </c>
      <c r="BR733" s="237">
        <f t="shared" si="686"/>
        <v>33</v>
      </c>
      <c r="BS733" s="253">
        <f t="shared" si="687"/>
        <v>4.8487499999999999</v>
      </c>
      <c r="BT733" s="253" cm="1">
        <f t="array" ref="BT733">$BC733 * IF($AD733&lt;=2,
SUMPRODUCT(INDEX($AL$62:$AN$66,,$AE733), INDEX($AO$62:$AU$66,,$AD733), 1 / ($AV$62:$AV$66*BS733 + (1-$AV$62:$AV$66)*BO733), N($AK$62:$AK$66&gt;$AI733)),
SUMPRODUCT(INDEX($AL$47:$AN$56,,$AE733), INDEX($AO$47:$AU$56,,$AD733), 1 / ($AW$47:$AW$56*BS733 + (1-$AW$47:$AW$56)*BO733), N($AK$47:$AK$56&gt;$AI733))
) / 1000</f>
        <v>0</v>
      </c>
      <c r="BU733" s="253" cm="1">
        <f t="array" ref="BU733">$BC733 * IF($AD733&lt;=2,
SUMPRODUCT(INDEX($AL$23:$AN$61,,$AE733), INDEX($AO$23:$AU$61,,$AD733), 1 / ($AV$23:$AV$61*BS733), N($AK$23:$AK$61&gt;$AI733)),
SUMPRODUCT(INDEX($AL$23:$AN$46,,$AE733), INDEX($AO$23:$AU$46,,$AD733), 1 / ($AW$23:$AW$46*BS733), N($AK$23:$AK$46&gt;$AI733))
) / 1000</f>
        <v>0</v>
      </c>
      <c r="BV733" s="237">
        <f t="shared" si="688"/>
        <v>0</v>
      </c>
      <c r="BW733" s="210"/>
      <c r="BX733" s="237">
        <f t="shared" si="689"/>
        <v>0</v>
      </c>
      <c r="BY733" s="236">
        <v>35</v>
      </c>
      <c r="BZ733" s="237">
        <f t="shared" si="690"/>
        <v>48</v>
      </c>
      <c r="CA733" s="253">
        <f t="shared" si="691"/>
        <v>3.0748170731707316</v>
      </c>
      <c r="CB733" s="253" cm="1">
        <f t="array" ref="CB733">$BC733 * SUMPRODUCT(INDEX($AL$77:$AN$82,,$AE733),INDEX($AO$77:$AU$82,,$AD733), N($AK$77:$AK$82&gt;$AI733)) / CA733 / 1000</f>
        <v>0</v>
      </c>
      <c r="CC733" s="250">
        <f t="shared" si="708"/>
        <v>30</v>
      </c>
      <c r="CD733" s="237">
        <f t="shared" si="692"/>
        <v>43</v>
      </c>
      <c r="CE733" s="253">
        <f t="shared" si="693"/>
        <v>3.5018750000000001</v>
      </c>
      <c r="CF733" s="253" cm="1">
        <f t="array" ref="CF733">$BC733 * IF($AD733&lt;=2,
SUMPRODUCT(INDEX($AL$72:$AN$76,,$AE733), INDEX($AO$72:$AU$76,,$AD733), 1 / ($AV$72:$AV$76*CE733 + (1-$AV$72:$AV$76)*CA733), N($AK$72:$AK$76&gt;$AI733)),
SUMPRODUCT(INDEX($AL$67:$AN$76,,$AE733), INDEX($AO$67:$AU$76,,$AD733), 1 / ($AW$67:$AW$76*CE733 + (1-$AW$67:$AW$76)*CA733), N($AK$67:$AK$76&gt;$AI733))
) / 1000</f>
        <v>0</v>
      </c>
      <c r="CG733" s="250">
        <f t="shared" si="709"/>
        <v>25</v>
      </c>
      <c r="CH733" s="237">
        <f t="shared" si="694"/>
        <v>38</v>
      </c>
      <c r="CI733" s="253">
        <f t="shared" si="695"/>
        <v>4.0666935483870965</v>
      </c>
      <c r="CJ733" s="253" cm="1">
        <f t="array" ref="CJ733">$BC733 * IF($AD733&lt;=2,
SUMPRODUCT(INDEX($AL$67:$AN$71,,$AE733), INDEX($AO$67:$AU$71,,$AD733), 1 / ($AV$67:$AV$71*CI733 + (1-$AV$67:$AV$71)*CE733), N($AK$67:$AK$71&gt;$AI733)),
SUMPRODUCT(INDEX($AL$57:$AN$66,,$AE733), INDEX($AO$57:$AU$66,,$AD733), 1 / ($AW$57:$AW$66*CI733 + (1-$AW$57:$AW$66)*CE733), N($AK$57:$AK$66&gt;$AI733))
) / 1000</f>
        <v>0</v>
      </c>
      <c r="CK733" s="250">
        <f t="shared" si="710"/>
        <v>20</v>
      </c>
      <c r="CL733" s="237">
        <f t="shared" si="696"/>
        <v>33</v>
      </c>
      <c r="CM733" s="253">
        <f t="shared" si="697"/>
        <v>4.8487499999999999</v>
      </c>
      <c r="CN733" s="253" cm="1">
        <f t="array" ref="CN733">$BC733 * IF($AD733&lt;=2,
SUMPRODUCT(INDEX($AL$62:$AN$66,,$AE733), INDEX($AO$62:$AU$66,,$AD733), 1 / ($AV$62:$AV$66*CM733 + (1-$AV$62:$AV$66)*CI733), N($AK$62:$AK$66&gt;$AI733)),
SUMPRODUCT(INDEX($AL$47:$AN$56,,$AE733), INDEX($AO$47:$AU$56,,$AD733), 1 / ($AW$47:$AW$56*CM733 + (1-$AW$47:$AW$56)*CI733), N($AK$47:$AK$56&gt;$AI733))
) / 1000</f>
        <v>0</v>
      </c>
      <c r="CO733" s="253" cm="1">
        <f t="array" ref="CO733">$BC733 * IF($AD733&lt;=2,
SUMPRODUCT(INDEX($AL$23:$AN$61,,$AE733), INDEX($AO$23:$AU$61,,$AD733), 1 / ($AV$23:$AV$61*CM733), N($AK$23:$AK$61&gt;$AI733)),
SUMPRODUCT(INDEX($AL$23:$AN$46,,$AE733), INDEX($AO$23:$AU$46,,$AD733), 1 / ($AW$23:$AW$46*CM733), N($AK$23:$AK$46&gt;$AI733))
) / 1000</f>
        <v>0</v>
      </c>
      <c r="CP733" s="237">
        <f t="shared" si="698"/>
        <v>0</v>
      </c>
      <c r="CQ733" s="210"/>
    </row>
    <row r="734" spans="1:95" s="76" customFormat="1" ht="14.25" customHeight="1" x14ac:dyDescent="0.2">
      <c r="A734" s="238" t="b">
        <f t="shared" si="702"/>
        <v>0</v>
      </c>
      <c r="B734" s="239">
        <v>712</v>
      </c>
      <c r="C734" s="258"/>
      <c r="D734" s="258"/>
      <c r="E734" s="240"/>
      <c r="F734" s="241" t="str">
        <f>IF(ISBLANK(E734), "", VLOOKUP(E734, Z!$A$2:$C$4127, 3, FALSE))</f>
        <v/>
      </c>
      <c r="G734" s="242"/>
      <c r="H734" s="242"/>
      <c r="I734" s="243"/>
      <c r="J734" s="244"/>
      <c r="K734" s="259"/>
      <c r="L734" s="260"/>
      <c r="M734" s="247" t="str" cm="1">
        <f t="array" ref="M734">IF($K734&gt;0, INDEX(Clean,1+AG734,$C$1), "")</f>
        <v/>
      </c>
      <c r="N734" s="245"/>
      <c r="O734" s="245"/>
      <c r="P734" s="246"/>
      <c r="Q734" s="248">
        <f t="shared" si="675"/>
        <v>0</v>
      </c>
      <c r="R734" s="247" t="str" cm="1">
        <f t="array" ref="R734">IF($K734&gt;0, INDEX(Clean,1+AH734,$C$1), "")</f>
        <v/>
      </c>
      <c r="S734" s="245"/>
      <c r="T734" s="245"/>
      <c r="U734" s="246"/>
      <c r="V734" s="248">
        <f t="shared" si="676"/>
        <v>0</v>
      </c>
      <c r="W734" s="261"/>
      <c r="X734" s="258"/>
      <c r="Y734" s="240"/>
      <c r="Z734" s="241" t="str">
        <f>IF(ISBLANK(Y734), "", VLOOKUP(Y734, Z!$A$2:$C$4127, 3, FALSE))</f>
        <v/>
      </c>
      <c r="AA734" s="262"/>
      <c r="AB734" s="249">
        <f t="shared" si="711"/>
        <v>0</v>
      </c>
      <c r="AC734" s="210"/>
      <c r="AD734" s="236">
        <f t="shared" si="699"/>
        <v>1</v>
      </c>
      <c r="AE734" s="236">
        <f t="shared" si="700"/>
        <v>1</v>
      </c>
      <c r="AF734" s="236">
        <f t="shared" si="701"/>
        <v>0</v>
      </c>
      <c r="AG734" s="236">
        <v>1</v>
      </c>
      <c r="AH734" s="236">
        <v>0</v>
      </c>
      <c r="AI734" s="236">
        <f t="shared" si="677"/>
        <v>-100</v>
      </c>
      <c r="AJ734" s="210"/>
      <c r="AK734" s="254"/>
      <c r="AL734" s="254"/>
      <c r="AM734" s="255"/>
      <c r="AN734" s="255"/>
      <c r="AO734" s="255"/>
      <c r="AP734" s="255"/>
      <c r="AQ734" s="255"/>
      <c r="AR734" s="255"/>
      <c r="AS734" s="255"/>
      <c r="AT734" s="255"/>
      <c r="AU734" s="255"/>
      <c r="AV734" s="255"/>
      <c r="AW734" s="255"/>
      <c r="AX734" s="210"/>
      <c r="AY734" s="236" cm="1">
        <f t="array" ref="AY734">INDEX(Use, $AD734, 4)</f>
        <v>7</v>
      </c>
      <c r="AZ734" s="236">
        <f t="shared" si="678"/>
        <v>32</v>
      </c>
      <c r="BA734" s="236">
        <f t="shared" si="703"/>
        <v>13</v>
      </c>
      <c r="BB734" s="236">
        <f t="shared" si="704"/>
        <v>0</v>
      </c>
      <c r="BC734" s="252" cm="1">
        <f t="array" ref="BC734">K734/IF($L734&gt;0, INDEX($AO$23:$AU$77, $L734+20, $AD734), 1)</f>
        <v>0</v>
      </c>
      <c r="BD734" s="237">
        <f t="shared" si="679"/>
        <v>0</v>
      </c>
      <c r="BE734" s="236">
        <v>35</v>
      </c>
      <c r="BF734" s="237">
        <f t="shared" si="680"/>
        <v>52.55</v>
      </c>
      <c r="BG734" s="253">
        <f t="shared" si="681"/>
        <v>2.7676728869374316</v>
      </c>
      <c r="BH734" s="253" cm="1">
        <f t="array" ref="BH734">$BC734 * SUMPRODUCT(INDEX($AL$77:$AN$82,,$AE734),INDEX($AO$77:$AU$82,,$AD734), N($AK$77:$AK$82&gt;$AI734)) / BG734 / 1000</f>
        <v>0</v>
      </c>
      <c r="BI734" s="250">
        <f t="shared" si="705"/>
        <v>30</v>
      </c>
      <c r="BJ734" s="237">
        <f t="shared" si="682"/>
        <v>46.033333333333331</v>
      </c>
      <c r="BK734" s="253">
        <f t="shared" si="683"/>
        <v>3.2297395388556791</v>
      </c>
      <c r="BL734" s="253" cm="1">
        <f t="array" ref="BL734">$BC734 * IF($AD734&lt;=2,
SUMPRODUCT(INDEX($AL$72:$AN$76,,$AE734), INDEX($AO$72:$AU$76,,$AD734), 1 / ($AV$72:$AV$76*BK734 + (1-$AV$72:$AV$76)*BG734), N($AK$72:$AK$76&gt;$AI734)),
SUMPRODUCT(INDEX($AL$67:$AN$76,,$AE734), INDEX($AO$67:$AU$76,,$AD734), 1 / ($AW$67:$AW$76*BK734 + (1-$AW$67:$AW$76)*BG734), N($AK$67:$AK$76&gt;$AI734))
) / 1000</f>
        <v>0</v>
      </c>
      <c r="BM734" s="250">
        <f t="shared" si="706"/>
        <v>25</v>
      </c>
      <c r="BN734" s="237">
        <f t="shared" si="684"/>
        <v>39.516666666666666</v>
      </c>
      <c r="BO734" s="253">
        <f t="shared" si="685"/>
        <v>3.877011788826243</v>
      </c>
      <c r="BP734" s="253" cm="1">
        <f t="array" ref="BP734">$BC734 * IF($AD734&lt;=2,
SUMPRODUCT(INDEX($AL$67:$AN$71,,$AE734), INDEX($AO$67:$AU$71,,$AD734), 1 / ($AV$67:$AV$71*BO734 + (1-$AV$67:$AV$71)*BK734), N($AK$67:$AK$71&gt;$AI734)),
SUMPRODUCT(INDEX($AL$57:$AN$66,,$AE734), INDEX($AO$57:$AU$66,,$AD734), 1 / ($AW$57:$AW$66*BO734 + (1-$AW$57:$AW$66)*BK734), N($AK$57:$AK$66&gt;$AI734))
) / 1000</f>
        <v>0</v>
      </c>
      <c r="BQ734" s="250">
        <f t="shared" si="707"/>
        <v>20</v>
      </c>
      <c r="BR734" s="237">
        <f t="shared" si="686"/>
        <v>33</v>
      </c>
      <c r="BS734" s="253">
        <f t="shared" si="687"/>
        <v>4.8487499999999999</v>
      </c>
      <c r="BT734" s="253" cm="1">
        <f t="array" ref="BT734">$BC734 * IF($AD734&lt;=2,
SUMPRODUCT(INDEX($AL$62:$AN$66,,$AE734), INDEX($AO$62:$AU$66,,$AD734), 1 / ($AV$62:$AV$66*BS734 + (1-$AV$62:$AV$66)*BO734), N($AK$62:$AK$66&gt;$AI734)),
SUMPRODUCT(INDEX($AL$47:$AN$56,,$AE734), INDEX($AO$47:$AU$56,,$AD734), 1 / ($AW$47:$AW$56*BS734 + (1-$AW$47:$AW$56)*BO734), N($AK$47:$AK$56&gt;$AI734))
) / 1000</f>
        <v>0</v>
      </c>
      <c r="BU734" s="253" cm="1">
        <f t="array" ref="BU734">$BC734 * IF($AD734&lt;=2,
SUMPRODUCT(INDEX($AL$23:$AN$61,,$AE734), INDEX($AO$23:$AU$61,,$AD734), 1 / ($AV$23:$AV$61*BS734), N($AK$23:$AK$61&gt;$AI734)),
SUMPRODUCT(INDEX($AL$23:$AN$46,,$AE734), INDEX($AO$23:$AU$46,,$AD734), 1 / ($AW$23:$AW$46*BS734), N($AK$23:$AK$46&gt;$AI734))
) / 1000</f>
        <v>0</v>
      </c>
      <c r="BV734" s="237">
        <f t="shared" si="688"/>
        <v>0</v>
      </c>
      <c r="BW734" s="210"/>
      <c r="BX734" s="237">
        <f t="shared" si="689"/>
        <v>0</v>
      </c>
      <c r="BY734" s="236">
        <v>35</v>
      </c>
      <c r="BZ734" s="237">
        <f t="shared" si="690"/>
        <v>48</v>
      </c>
      <c r="CA734" s="253">
        <f t="shared" si="691"/>
        <v>3.0748170731707316</v>
      </c>
      <c r="CB734" s="253" cm="1">
        <f t="array" ref="CB734">$BC734 * SUMPRODUCT(INDEX($AL$77:$AN$82,,$AE734),INDEX($AO$77:$AU$82,,$AD734), N($AK$77:$AK$82&gt;$AI734)) / CA734 / 1000</f>
        <v>0</v>
      </c>
      <c r="CC734" s="250">
        <f t="shared" si="708"/>
        <v>30</v>
      </c>
      <c r="CD734" s="237">
        <f t="shared" si="692"/>
        <v>43</v>
      </c>
      <c r="CE734" s="253">
        <f t="shared" si="693"/>
        <v>3.5018750000000001</v>
      </c>
      <c r="CF734" s="253" cm="1">
        <f t="array" ref="CF734">$BC734 * IF($AD734&lt;=2,
SUMPRODUCT(INDEX($AL$72:$AN$76,,$AE734), INDEX($AO$72:$AU$76,,$AD734), 1 / ($AV$72:$AV$76*CE734 + (1-$AV$72:$AV$76)*CA734), N($AK$72:$AK$76&gt;$AI734)),
SUMPRODUCT(INDEX($AL$67:$AN$76,,$AE734), INDEX($AO$67:$AU$76,,$AD734), 1 / ($AW$67:$AW$76*CE734 + (1-$AW$67:$AW$76)*CA734), N($AK$67:$AK$76&gt;$AI734))
) / 1000</f>
        <v>0</v>
      </c>
      <c r="CG734" s="250">
        <f t="shared" si="709"/>
        <v>25</v>
      </c>
      <c r="CH734" s="237">
        <f t="shared" si="694"/>
        <v>38</v>
      </c>
      <c r="CI734" s="253">
        <f t="shared" si="695"/>
        <v>4.0666935483870965</v>
      </c>
      <c r="CJ734" s="253" cm="1">
        <f t="array" ref="CJ734">$BC734 * IF($AD734&lt;=2,
SUMPRODUCT(INDEX($AL$67:$AN$71,,$AE734), INDEX($AO$67:$AU$71,,$AD734), 1 / ($AV$67:$AV$71*CI734 + (1-$AV$67:$AV$71)*CE734), N($AK$67:$AK$71&gt;$AI734)),
SUMPRODUCT(INDEX($AL$57:$AN$66,,$AE734), INDEX($AO$57:$AU$66,,$AD734), 1 / ($AW$57:$AW$66*CI734 + (1-$AW$57:$AW$66)*CE734), N($AK$57:$AK$66&gt;$AI734))
) / 1000</f>
        <v>0</v>
      </c>
      <c r="CK734" s="250">
        <f t="shared" si="710"/>
        <v>20</v>
      </c>
      <c r="CL734" s="237">
        <f t="shared" si="696"/>
        <v>33</v>
      </c>
      <c r="CM734" s="253">
        <f t="shared" si="697"/>
        <v>4.8487499999999999</v>
      </c>
      <c r="CN734" s="253" cm="1">
        <f t="array" ref="CN734">$BC734 * IF($AD734&lt;=2,
SUMPRODUCT(INDEX($AL$62:$AN$66,,$AE734), INDEX($AO$62:$AU$66,,$AD734), 1 / ($AV$62:$AV$66*CM734 + (1-$AV$62:$AV$66)*CI734), N($AK$62:$AK$66&gt;$AI734)),
SUMPRODUCT(INDEX($AL$47:$AN$56,,$AE734), INDEX($AO$47:$AU$56,,$AD734), 1 / ($AW$47:$AW$56*CM734 + (1-$AW$47:$AW$56)*CI734), N($AK$47:$AK$56&gt;$AI734))
) / 1000</f>
        <v>0</v>
      </c>
      <c r="CO734" s="253" cm="1">
        <f t="array" ref="CO734">$BC734 * IF($AD734&lt;=2,
SUMPRODUCT(INDEX($AL$23:$AN$61,,$AE734), INDEX($AO$23:$AU$61,,$AD734), 1 / ($AV$23:$AV$61*CM734), N($AK$23:$AK$61&gt;$AI734)),
SUMPRODUCT(INDEX($AL$23:$AN$46,,$AE734), INDEX($AO$23:$AU$46,,$AD734), 1 / ($AW$23:$AW$46*CM734), N($AK$23:$AK$46&gt;$AI734))
) / 1000</f>
        <v>0</v>
      </c>
      <c r="CP734" s="237">
        <f t="shared" si="698"/>
        <v>0</v>
      </c>
      <c r="CQ734" s="210"/>
    </row>
    <row r="735" spans="1:95" s="76" customFormat="1" ht="14.25" customHeight="1" x14ac:dyDescent="0.2">
      <c r="A735" s="238" t="b">
        <f t="shared" si="702"/>
        <v>0</v>
      </c>
      <c r="B735" s="239">
        <v>713</v>
      </c>
      <c r="C735" s="258"/>
      <c r="D735" s="258"/>
      <c r="E735" s="240"/>
      <c r="F735" s="241" t="str">
        <f>IF(ISBLANK(E735), "", VLOOKUP(E735, Z!$A$2:$C$4127, 3, FALSE))</f>
        <v/>
      </c>
      <c r="G735" s="242"/>
      <c r="H735" s="242"/>
      <c r="I735" s="243"/>
      <c r="J735" s="244"/>
      <c r="K735" s="259"/>
      <c r="L735" s="260"/>
      <c r="M735" s="247" t="str" cm="1">
        <f t="array" ref="M735">IF($K735&gt;0, INDEX(Clean,1+AG735,$C$1), "")</f>
        <v/>
      </c>
      <c r="N735" s="245"/>
      <c r="O735" s="245"/>
      <c r="P735" s="246"/>
      <c r="Q735" s="248">
        <f t="shared" si="675"/>
        <v>0</v>
      </c>
      <c r="R735" s="247" t="str" cm="1">
        <f t="array" ref="R735">IF($K735&gt;0, INDEX(Clean,1+AH735,$C$1), "")</f>
        <v/>
      </c>
      <c r="S735" s="245"/>
      <c r="T735" s="245"/>
      <c r="U735" s="246"/>
      <c r="V735" s="248">
        <f t="shared" si="676"/>
        <v>0</v>
      </c>
      <c r="W735" s="261"/>
      <c r="X735" s="258"/>
      <c r="Y735" s="240"/>
      <c r="Z735" s="241" t="str">
        <f>IF(ISBLANK(Y735), "", VLOOKUP(Y735, Z!$A$2:$C$4127, 3, FALSE))</f>
        <v/>
      </c>
      <c r="AA735" s="262"/>
      <c r="AB735" s="249">
        <f t="shared" si="711"/>
        <v>0</v>
      </c>
      <c r="AC735" s="210"/>
      <c r="AD735" s="236">
        <f t="shared" si="699"/>
        <v>1</v>
      </c>
      <c r="AE735" s="236">
        <f t="shared" si="700"/>
        <v>1</v>
      </c>
      <c r="AF735" s="236">
        <f t="shared" si="701"/>
        <v>0</v>
      </c>
      <c r="AG735" s="236">
        <v>1</v>
      </c>
      <c r="AH735" s="236">
        <v>0</v>
      </c>
      <c r="AI735" s="236">
        <f t="shared" si="677"/>
        <v>-100</v>
      </c>
      <c r="AJ735" s="210"/>
      <c r="AK735" s="254"/>
      <c r="AL735" s="254"/>
      <c r="AM735" s="255"/>
      <c r="AN735" s="255"/>
      <c r="AO735" s="255"/>
      <c r="AP735" s="255"/>
      <c r="AQ735" s="255"/>
      <c r="AR735" s="255"/>
      <c r="AS735" s="255"/>
      <c r="AT735" s="255"/>
      <c r="AU735" s="255"/>
      <c r="AV735" s="255"/>
      <c r="AW735" s="255"/>
      <c r="AX735" s="210"/>
      <c r="AY735" s="236" cm="1">
        <f t="array" ref="AY735">INDEX(Use, $AD735, 4)</f>
        <v>7</v>
      </c>
      <c r="AZ735" s="236">
        <f t="shared" si="678"/>
        <v>32</v>
      </c>
      <c r="BA735" s="236">
        <f t="shared" si="703"/>
        <v>13</v>
      </c>
      <c r="BB735" s="236">
        <f t="shared" si="704"/>
        <v>0</v>
      </c>
      <c r="BC735" s="252" cm="1">
        <f t="array" ref="BC735">K735/IF($L735&gt;0, INDEX($AO$23:$AU$77, $L735+20, $AD735), 1)</f>
        <v>0</v>
      </c>
      <c r="BD735" s="237">
        <f t="shared" si="679"/>
        <v>0</v>
      </c>
      <c r="BE735" s="236">
        <v>35</v>
      </c>
      <c r="BF735" s="237">
        <f t="shared" si="680"/>
        <v>52.55</v>
      </c>
      <c r="BG735" s="253">
        <f t="shared" si="681"/>
        <v>2.7676728869374316</v>
      </c>
      <c r="BH735" s="253" cm="1">
        <f t="array" ref="BH735">$BC735 * SUMPRODUCT(INDEX($AL$77:$AN$82,,$AE735),INDEX($AO$77:$AU$82,,$AD735), N($AK$77:$AK$82&gt;$AI735)) / BG735 / 1000</f>
        <v>0</v>
      </c>
      <c r="BI735" s="250">
        <f t="shared" si="705"/>
        <v>30</v>
      </c>
      <c r="BJ735" s="237">
        <f t="shared" si="682"/>
        <v>46.033333333333331</v>
      </c>
      <c r="BK735" s="253">
        <f t="shared" si="683"/>
        <v>3.2297395388556791</v>
      </c>
      <c r="BL735" s="253" cm="1">
        <f t="array" ref="BL735">$BC735 * IF($AD735&lt;=2,
SUMPRODUCT(INDEX($AL$72:$AN$76,,$AE735), INDEX($AO$72:$AU$76,,$AD735), 1 / ($AV$72:$AV$76*BK735 + (1-$AV$72:$AV$76)*BG735), N($AK$72:$AK$76&gt;$AI735)),
SUMPRODUCT(INDEX($AL$67:$AN$76,,$AE735), INDEX($AO$67:$AU$76,,$AD735), 1 / ($AW$67:$AW$76*BK735 + (1-$AW$67:$AW$76)*BG735), N($AK$67:$AK$76&gt;$AI735))
) / 1000</f>
        <v>0</v>
      </c>
      <c r="BM735" s="250">
        <f t="shared" si="706"/>
        <v>25</v>
      </c>
      <c r="BN735" s="237">
        <f t="shared" si="684"/>
        <v>39.516666666666666</v>
      </c>
      <c r="BO735" s="253">
        <f t="shared" si="685"/>
        <v>3.877011788826243</v>
      </c>
      <c r="BP735" s="253" cm="1">
        <f t="array" ref="BP735">$BC735 * IF($AD735&lt;=2,
SUMPRODUCT(INDEX($AL$67:$AN$71,,$AE735), INDEX($AO$67:$AU$71,,$AD735), 1 / ($AV$67:$AV$71*BO735 + (1-$AV$67:$AV$71)*BK735), N($AK$67:$AK$71&gt;$AI735)),
SUMPRODUCT(INDEX($AL$57:$AN$66,,$AE735), INDEX($AO$57:$AU$66,,$AD735), 1 / ($AW$57:$AW$66*BO735 + (1-$AW$57:$AW$66)*BK735), N($AK$57:$AK$66&gt;$AI735))
) / 1000</f>
        <v>0</v>
      </c>
      <c r="BQ735" s="250">
        <f t="shared" si="707"/>
        <v>20</v>
      </c>
      <c r="BR735" s="237">
        <f t="shared" si="686"/>
        <v>33</v>
      </c>
      <c r="BS735" s="253">
        <f t="shared" si="687"/>
        <v>4.8487499999999999</v>
      </c>
      <c r="BT735" s="253" cm="1">
        <f t="array" ref="BT735">$BC735 * IF($AD735&lt;=2,
SUMPRODUCT(INDEX($AL$62:$AN$66,,$AE735), INDEX($AO$62:$AU$66,,$AD735), 1 / ($AV$62:$AV$66*BS735 + (1-$AV$62:$AV$66)*BO735), N($AK$62:$AK$66&gt;$AI735)),
SUMPRODUCT(INDEX($AL$47:$AN$56,,$AE735), INDEX($AO$47:$AU$56,,$AD735), 1 / ($AW$47:$AW$56*BS735 + (1-$AW$47:$AW$56)*BO735), N($AK$47:$AK$56&gt;$AI735))
) / 1000</f>
        <v>0</v>
      </c>
      <c r="BU735" s="253" cm="1">
        <f t="array" ref="BU735">$BC735 * IF($AD735&lt;=2,
SUMPRODUCT(INDEX($AL$23:$AN$61,,$AE735), INDEX($AO$23:$AU$61,,$AD735), 1 / ($AV$23:$AV$61*BS735), N($AK$23:$AK$61&gt;$AI735)),
SUMPRODUCT(INDEX($AL$23:$AN$46,,$AE735), INDEX($AO$23:$AU$46,,$AD735), 1 / ($AW$23:$AW$46*BS735), N($AK$23:$AK$46&gt;$AI735))
) / 1000</f>
        <v>0</v>
      </c>
      <c r="BV735" s="237">
        <f t="shared" si="688"/>
        <v>0</v>
      </c>
      <c r="BW735" s="210"/>
      <c r="BX735" s="237">
        <f t="shared" si="689"/>
        <v>0</v>
      </c>
      <c r="BY735" s="236">
        <v>35</v>
      </c>
      <c r="BZ735" s="237">
        <f t="shared" si="690"/>
        <v>48</v>
      </c>
      <c r="CA735" s="253">
        <f t="shared" si="691"/>
        <v>3.0748170731707316</v>
      </c>
      <c r="CB735" s="253" cm="1">
        <f t="array" ref="CB735">$BC735 * SUMPRODUCT(INDEX($AL$77:$AN$82,,$AE735),INDEX($AO$77:$AU$82,,$AD735), N($AK$77:$AK$82&gt;$AI735)) / CA735 / 1000</f>
        <v>0</v>
      </c>
      <c r="CC735" s="250">
        <f t="shared" si="708"/>
        <v>30</v>
      </c>
      <c r="CD735" s="237">
        <f t="shared" si="692"/>
        <v>43</v>
      </c>
      <c r="CE735" s="253">
        <f t="shared" si="693"/>
        <v>3.5018750000000001</v>
      </c>
      <c r="CF735" s="253" cm="1">
        <f t="array" ref="CF735">$BC735 * IF($AD735&lt;=2,
SUMPRODUCT(INDEX($AL$72:$AN$76,,$AE735), INDEX($AO$72:$AU$76,,$AD735), 1 / ($AV$72:$AV$76*CE735 + (1-$AV$72:$AV$76)*CA735), N($AK$72:$AK$76&gt;$AI735)),
SUMPRODUCT(INDEX($AL$67:$AN$76,,$AE735), INDEX($AO$67:$AU$76,,$AD735), 1 / ($AW$67:$AW$76*CE735 + (1-$AW$67:$AW$76)*CA735), N($AK$67:$AK$76&gt;$AI735))
) / 1000</f>
        <v>0</v>
      </c>
      <c r="CG735" s="250">
        <f t="shared" si="709"/>
        <v>25</v>
      </c>
      <c r="CH735" s="237">
        <f t="shared" si="694"/>
        <v>38</v>
      </c>
      <c r="CI735" s="253">
        <f t="shared" si="695"/>
        <v>4.0666935483870965</v>
      </c>
      <c r="CJ735" s="253" cm="1">
        <f t="array" ref="CJ735">$BC735 * IF($AD735&lt;=2,
SUMPRODUCT(INDEX($AL$67:$AN$71,,$AE735), INDEX($AO$67:$AU$71,,$AD735), 1 / ($AV$67:$AV$71*CI735 + (1-$AV$67:$AV$71)*CE735), N($AK$67:$AK$71&gt;$AI735)),
SUMPRODUCT(INDEX($AL$57:$AN$66,,$AE735), INDEX($AO$57:$AU$66,,$AD735), 1 / ($AW$57:$AW$66*CI735 + (1-$AW$57:$AW$66)*CE735), N($AK$57:$AK$66&gt;$AI735))
) / 1000</f>
        <v>0</v>
      </c>
      <c r="CK735" s="250">
        <f t="shared" si="710"/>
        <v>20</v>
      </c>
      <c r="CL735" s="237">
        <f t="shared" si="696"/>
        <v>33</v>
      </c>
      <c r="CM735" s="253">
        <f t="shared" si="697"/>
        <v>4.8487499999999999</v>
      </c>
      <c r="CN735" s="253" cm="1">
        <f t="array" ref="CN735">$BC735 * IF($AD735&lt;=2,
SUMPRODUCT(INDEX($AL$62:$AN$66,,$AE735), INDEX($AO$62:$AU$66,,$AD735), 1 / ($AV$62:$AV$66*CM735 + (1-$AV$62:$AV$66)*CI735), N($AK$62:$AK$66&gt;$AI735)),
SUMPRODUCT(INDEX($AL$47:$AN$56,,$AE735), INDEX($AO$47:$AU$56,,$AD735), 1 / ($AW$47:$AW$56*CM735 + (1-$AW$47:$AW$56)*CI735), N($AK$47:$AK$56&gt;$AI735))
) / 1000</f>
        <v>0</v>
      </c>
      <c r="CO735" s="253" cm="1">
        <f t="array" ref="CO735">$BC735 * IF($AD735&lt;=2,
SUMPRODUCT(INDEX($AL$23:$AN$61,,$AE735), INDEX($AO$23:$AU$61,,$AD735), 1 / ($AV$23:$AV$61*CM735), N($AK$23:$AK$61&gt;$AI735)),
SUMPRODUCT(INDEX($AL$23:$AN$46,,$AE735), INDEX($AO$23:$AU$46,,$AD735), 1 / ($AW$23:$AW$46*CM735), N($AK$23:$AK$46&gt;$AI735))
) / 1000</f>
        <v>0</v>
      </c>
      <c r="CP735" s="237">
        <f t="shared" si="698"/>
        <v>0</v>
      </c>
      <c r="CQ735" s="210"/>
    </row>
    <row r="736" spans="1:95" s="76" customFormat="1" ht="14.25" customHeight="1" x14ac:dyDescent="0.2">
      <c r="A736" s="238" t="b">
        <f t="shared" si="702"/>
        <v>0</v>
      </c>
      <c r="B736" s="239">
        <v>714</v>
      </c>
      <c r="C736" s="258"/>
      <c r="D736" s="258"/>
      <c r="E736" s="240"/>
      <c r="F736" s="241" t="str">
        <f>IF(ISBLANK(E736), "", VLOOKUP(E736, Z!$A$2:$C$4127, 3, FALSE))</f>
        <v/>
      </c>
      <c r="G736" s="242"/>
      <c r="H736" s="242"/>
      <c r="I736" s="243"/>
      <c r="J736" s="244"/>
      <c r="K736" s="259"/>
      <c r="L736" s="260"/>
      <c r="M736" s="247" t="str" cm="1">
        <f t="array" ref="M736">IF($K736&gt;0, INDEX(Clean,1+AG736,$C$1), "")</f>
        <v/>
      </c>
      <c r="N736" s="245"/>
      <c r="O736" s="245"/>
      <c r="P736" s="246"/>
      <c r="Q736" s="248">
        <f t="shared" si="675"/>
        <v>0</v>
      </c>
      <c r="R736" s="247" t="str" cm="1">
        <f t="array" ref="R736">IF($K736&gt;0, INDEX(Clean,1+AH736,$C$1), "")</f>
        <v/>
      </c>
      <c r="S736" s="245"/>
      <c r="T736" s="245"/>
      <c r="U736" s="246"/>
      <c r="V736" s="248">
        <f t="shared" si="676"/>
        <v>0</v>
      </c>
      <c r="W736" s="261"/>
      <c r="X736" s="258"/>
      <c r="Y736" s="240"/>
      <c r="Z736" s="241" t="str">
        <f>IF(ISBLANK(Y736), "", VLOOKUP(Y736, Z!$A$2:$C$4127, 3, FALSE))</f>
        <v/>
      </c>
      <c r="AA736" s="262"/>
      <c r="AB736" s="249">
        <f t="shared" si="711"/>
        <v>0</v>
      </c>
      <c r="AC736" s="210"/>
      <c r="AD736" s="236">
        <f t="shared" si="699"/>
        <v>1</v>
      </c>
      <c r="AE736" s="236">
        <f t="shared" si="700"/>
        <v>1</v>
      </c>
      <c r="AF736" s="236">
        <f t="shared" si="701"/>
        <v>0</v>
      </c>
      <c r="AG736" s="236">
        <v>1</v>
      </c>
      <c r="AH736" s="236">
        <v>0</v>
      </c>
      <c r="AI736" s="236">
        <f t="shared" si="677"/>
        <v>-100</v>
      </c>
      <c r="AJ736" s="210"/>
      <c r="AK736" s="254"/>
      <c r="AL736" s="254"/>
      <c r="AM736" s="255"/>
      <c r="AN736" s="255"/>
      <c r="AO736" s="255"/>
      <c r="AP736" s="255"/>
      <c r="AQ736" s="255"/>
      <c r="AR736" s="255"/>
      <c r="AS736" s="255"/>
      <c r="AT736" s="255"/>
      <c r="AU736" s="255"/>
      <c r="AV736" s="255"/>
      <c r="AW736" s="255"/>
      <c r="AX736" s="210"/>
      <c r="AY736" s="236" cm="1">
        <f t="array" ref="AY736">INDEX(Use, $AD736, 4)</f>
        <v>7</v>
      </c>
      <c r="AZ736" s="236">
        <f t="shared" si="678"/>
        <v>32</v>
      </c>
      <c r="BA736" s="236">
        <f t="shared" si="703"/>
        <v>13</v>
      </c>
      <c r="BB736" s="236">
        <f t="shared" si="704"/>
        <v>0</v>
      </c>
      <c r="BC736" s="252" cm="1">
        <f t="array" ref="BC736">K736/IF($L736&gt;0, INDEX($AO$23:$AU$77, $L736+20, $AD736), 1)</f>
        <v>0</v>
      </c>
      <c r="BD736" s="237">
        <f t="shared" si="679"/>
        <v>0</v>
      </c>
      <c r="BE736" s="236">
        <v>35</v>
      </c>
      <c r="BF736" s="237">
        <f t="shared" si="680"/>
        <v>52.55</v>
      </c>
      <c r="BG736" s="253">
        <f t="shared" si="681"/>
        <v>2.7676728869374316</v>
      </c>
      <c r="BH736" s="253" cm="1">
        <f t="array" ref="BH736">$BC736 * SUMPRODUCT(INDEX($AL$77:$AN$82,,$AE736),INDEX($AO$77:$AU$82,,$AD736), N($AK$77:$AK$82&gt;$AI736)) / BG736 / 1000</f>
        <v>0</v>
      </c>
      <c r="BI736" s="250">
        <f t="shared" si="705"/>
        <v>30</v>
      </c>
      <c r="BJ736" s="237">
        <f t="shared" si="682"/>
        <v>46.033333333333331</v>
      </c>
      <c r="BK736" s="253">
        <f t="shared" si="683"/>
        <v>3.2297395388556791</v>
      </c>
      <c r="BL736" s="253" cm="1">
        <f t="array" ref="BL736">$BC736 * IF($AD736&lt;=2,
SUMPRODUCT(INDEX($AL$72:$AN$76,,$AE736), INDEX($AO$72:$AU$76,,$AD736), 1 / ($AV$72:$AV$76*BK736 + (1-$AV$72:$AV$76)*BG736), N($AK$72:$AK$76&gt;$AI736)),
SUMPRODUCT(INDEX($AL$67:$AN$76,,$AE736), INDEX($AO$67:$AU$76,,$AD736), 1 / ($AW$67:$AW$76*BK736 + (1-$AW$67:$AW$76)*BG736), N($AK$67:$AK$76&gt;$AI736))
) / 1000</f>
        <v>0</v>
      </c>
      <c r="BM736" s="250">
        <f t="shared" si="706"/>
        <v>25</v>
      </c>
      <c r="BN736" s="237">
        <f t="shared" si="684"/>
        <v>39.516666666666666</v>
      </c>
      <c r="BO736" s="253">
        <f t="shared" si="685"/>
        <v>3.877011788826243</v>
      </c>
      <c r="BP736" s="253" cm="1">
        <f t="array" ref="BP736">$BC736 * IF($AD736&lt;=2,
SUMPRODUCT(INDEX($AL$67:$AN$71,,$AE736), INDEX($AO$67:$AU$71,,$AD736), 1 / ($AV$67:$AV$71*BO736 + (1-$AV$67:$AV$71)*BK736), N($AK$67:$AK$71&gt;$AI736)),
SUMPRODUCT(INDEX($AL$57:$AN$66,,$AE736), INDEX($AO$57:$AU$66,,$AD736), 1 / ($AW$57:$AW$66*BO736 + (1-$AW$57:$AW$66)*BK736), N($AK$57:$AK$66&gt;$AI736))
) / 1000</f>
        <v>0</v>
      </c>
      <c r="BQ736" s="250">
        <f t="shared" si="707"/>
        <v>20</v>
      </c>
      <c r="BR736" s="237">
        <f t="shared" si="686"/>
        <v>33</v>
      </c>
      <c r="BS736" s="253">
        <f t="shared" si="687"/>
        <v>4.8487499999999999</v>
      </c>
      <c r="BT736" s="253" cm="1">
        <f t="array" ref="BT736">$BC736 * IF($AD736&lt;=2,
SUMPRODUCT(INDEX($AL$62:$AN$66,,$AE736), INDEX($AO$62:$AU$66,,$AD736), 1 / ($AV$62:$AV$66*BS736 + (1-$AV$62:$AV$66)*BO736), N($AK$62:$AK$66&gt;$AI736)),
SUMPRODUCT(INDEX($AL$47:$AN$56,,$AE736), INDEX($AO$47:$AU$56,,$AD736), 1 / ($AW$47:$AW$56*BS736 + (1-$AW$47:$AW$56)*BO736), N($AK$47:$AK$56&gt;$AI736))
) / 1000</f>
        <v>0</v>
      </c>
      <c r="BU736" s="253" cm="1">
        <f t="array" ref="BU736">$BC736 * IF($AD736&lt;=2,
SUMPRODUCT(INDEX($AL$23:$AN$61,,$AE736), INDEX($AO$23:$AU$61,,$AD736), 1 / ($AV$23:$AV$61*BS736), N($AK$23:$AK$61&gt;$AI736)),
SUMPRODUCT(INDEX($AL$23:$AN$46,,$AE736), INDEX($AO$23:$AU$46,,$AD736), 1 / ($AW$23:$AW$46*BS736), N($AK$23:$AK$46&gt;$AI736))
) / 1000</f>
        <v>0</v>
      </c>
      <c r="BV736" s="237">
        <f t="shared" si="688"/>
        <v>0</v>
      </c>
      <c r="BW736" s="210"/>
      <c r="BX736" s="237">
        <f t="shared" si="689"/>
        <v>0</v>
      </c>
      <c r="BY736" s="236">
        <v>35</v>
      </c>
      <c r="BZ736" s="237">
        <f t="shared" si="690"/>
        <v>48</v>
      </c>
      <c r="CA736" s="253">
        <f t="shared" si="691"/>
        <v>3.0748170731707316</v>
      </c>
      <c r="CB736" s="253" cm="1">
        <f t="array" ref="CB736">$BC736 * SUMPRODUCT(INDEX($AL$77:$AN$82,,$AE736),INDEX($AO$77:$AU$82,,$AD736), N($AK$77:$AK$82&gt;$AI736)) / CA736 / 1000</f>
        <v>0</v>
      </c>
      <c r="CC736" s="250">
        <f t="shared" si="708"/>
        <v>30</v>
      </c>
      <c r="CD736" s="237">
        <f t="shared" si="692"/>
        <v>43</v>
      </c>
      <c r="CE736" s="253">
        <f t="shared" si="693"/>
        <v>3.5018750000000001</v>
      </c>
      <c r="CF736" s="253" cm="1">
        <f t="array" ref="CF736">$BC736 * IF($AD736&lt;=2,
SUMPRODUCT(INDEX($AL$72:$AN$76,,$AE736), INDEX($AO$72:$AU$76,,$AD736), 1 / ($AV$72:$AV$76*CE736 + (1-$AV$72:$AV$76)*CA736), N($AK$72:$AK$76&gt;$AI736)),
SUMPRODUCT(INDEX($AL$67:$AN$76,,$AE736), INDEX($AO$67:$AU$76,,$AD736), 1 / ($AW$67:$AW$76*CE736 + (1-$AW$67:$AW$76)*CA736), N($AK$67:$AK$76&gt;$AI736))
) / 1000</f>
        <v>0</v>
      </c>
      <c r="CG736" s="250">
        <f t="shared" si="709"/>
        <v>25</v>
      </c>
      <c r="CH736" s="237">
        <f t="shared" si="694"/>
        <v>38</v>
      </c>
      <c r="CI736" s="253">
        <f t="shared" si="695"/>
        <v>4.0666935483870965</v>
      </c>
      <c r="CJ736" s="253" cm="1">
        <f t="array" ref="CJ736">$BC736 * IF($AD736&lt;=2,
SUMPRODUCT(INDEX($AL$67:$AN$71,,$AE736), INDEX($AO$67:$AU$71,,$AD736), 1 / ($AV$67:$AV$71*CI736 + (1-$AV$67:$AV$71)*CE736), N($AK$67:$AK$71&gt;$AI736)),
SUMPRODUCT(INDEX($AL$57:$AN$66,,$AE736), INDEX($AO$57:$AU$66,,$AD736), 1 / ($AW$57:$AW$66*CI736 + (1-$AW$57:$AW$66)*CE736), N($AK$57:$AK$66&gt;$AI736))
) / 1000</f>
        <v>0</v>
      </c>
      <c r="CK736" s="250">
        <f t="shared" si="710"/>
        <v>20</v>
      </c>
      <c r="CL736" s="237">
        <f t="shared" si="696"/>
        <v>33</v>
      </c>
      <c r="CM736" s="253">
        <f t="shared" si="697"/>
        <v>4.8487499999999999</v>
      </c>
      <c r="CN736" s="253" cm="1">
        <f t="array" ref="CN736">$BC736 * IF($AD736&lt;=2,
SUMPRODUCT(INDEX($AL$62:$AN$66,,$AE736), INDEX($AO$62:$AU$66,,$AD736), 1 / ($AV$62:$AV$66*CM736 + (1-$AV$62:$AV$66)*CI736), N($AK$62:$AK$66&gt;$AI736)),
SUMPRODUCT(INDEX($AL$47:$AN$56,,$AE736), INDEX($AO$47:$AU$56,,$AD736), 1 / ($AW$47:$AW$56*CM736 + (1-$AW$47:$AW$56)*CI736), N($AK$47:$AK$56&gt;$AI736))
) / 1000</f>
        <v>0</v>
      </c>
      <c r="CO736" s="253" cm="1">
        <f t="array" ref="CO736">$BC736 * IF($AD736&lt;=2,
SUMPRODUCT(INDEX($AL$23:$AN$61,,$AE736), INDEX($AO$23:$AU$61,,$AD736), 1 / ($AV$23:$AV$61*CM736), N($AK$23:$AK$61&gt;$AI736)),
SUMPRODUCT(INDEX($AL$23:$AN$46,,$AE736), INDEX($AO$23:$AU$46,,$AD736), 1 / ($AW$23:$AW$46*CM736), N($AK$23:$AK$46&gt;$AI736))
) / 1000</f>
        <v>0</v>
      </c>
      <c r="CP736" s="237">
        <f t="shared" si="698"/>
        <v>0</v>
      </c>
      <c r="CQ736" s="210"/>
    </row>
    <row r="737" spans="1:95" s="76" customFormat="1" ht="14.25" customHeight="1" x14ac:dyDescent="0.2">
      <c r="A737" s="238" t="b">
        <f t="shared" si="702"/>
        <v>0</v>
      </c>
      <c r="B737" s="239">
        <v>715</v>
      </c>
      <c r="C737" s="258"/>
      <c r="D737" s="258"/>
      <c r="E737" s="240"/>
      <c r="F737" s="241" t="str">
        <f>IF(ISBLANK(E737), "", VLOOKUP(E737, Z!$A$2:$C$4127, 3, FALSE))</f>
        <v/>
      </c>
      <c r="G737" s="242"/>
      <c r="H737" s="242"/>
      <c r="I737" s="243"/>
      <c r="J737" s="244"/>
      <c r="K737" s="259"/>
      <c r="L737" s="260"/>
      <c r="M737" s="247" t="str" cm="1">
        <f t="array" ref="M737">IF($K737&gt;0, INDEX(Clean,1+AG737,$C$1), "")</f>
        <v/>
      </c>
      <c r="N737" s="245"/>
      <c r="O737" s="245"/>
      <c r="P737" s="246"/>
      <c r="Q737" s="248">
        <f t="shared" si="675"/>
        <v>0</v>
      </c>
      <c r="R737" s="247" t="str" cm="1">
        <f t="array" ref="R737">IF($K737&gt;0, INDEX(Clean,1+AH737,$C$1), "")</f>
        <v/>
      </c>
      <c r="S737" s="245"/>
      <c r="T737" s="245"/>
      <c r="U737" s="246"/>
      <c r="V737" s="248">
        <f t="shared" si="676"/>
        <v>0</v>
      </c>
      <c r="W737" s="261"/>
      <c r="X737" s="258"/>
      <c r="Y737" s="240"/>
      <c r="Z737" s="241" t="str">
        <f>IF(ISBLANK(Y737), "", VLOOKUP(Y737, Z!$A$2:$C$4127, 3, FALSE))</f>
        <v/>
      </c>
      <c r="AA737" s="262"/>
      <c r="AB737" s="249">
        <f t="shared" si="711"/>
        <v>0</v>
      </c>
      <c r="AC737" s="210"/>
      <c r="AD737" s="236">
        <f t="shared" si="699"/>
        <v>1</v>
      </c>
      <c r="AE737" s="236">
        <f t="shared" si="700"/>
        <v>1</v>
      </c>
      <c r="AF737" s="236">
        <f t="shared" si="701"/>
        <v>0</v>
      </c>
      <c r="AG737" s="236">
        <v>1</v>
      </c>
      <c r="AH737" s="236">
        <v>0</v>
      </c>
      <c r="AI737" s="236">
        <f t="shared" si="677"/>
        <v>-100</v>
      </c>
      <c r="AJ737" s="210"/>
      <c r="AK737" s="254"/>
      <c r="AL737" s="254"/>
      <c r="AM737" s="255"/>
      <c r="AN737" s="255"/>
      <c r="AO737" s="255"/>
      <c r="AP737" s="255"/>
      <c r="AQ737" s="255"/>
      <c r="AR737" s="255"/>
      <c r="AS737" s="255"/>
      <c r="AT737" s="255"/>
      <c r="AU737" s="255"/>
      <c r="AV737" s="255"/>
      <c r="AW737" s="255"/>
      <c r="AX737" s="210"/>
      <c r="AY737" s="236" cm="1">
        <f t="array" ref="AY737">INDEX(Use, $AD737, 4)</f>
        <v>7</v>
      </c>
      <c r="AZ737" s="236">
        <f t="shared" si="678"/>
        <v>32</v>
      </c>
      <c r="BA737" s="236">
        <f t="shared" si="703"/>
        <v>13</v>
      </c>
      <c r="BB737" s="236">
        <f t="shared" si="704"/>
        <v>0</v>
      </c>
      <c r="BC737" s="252" cm="1">
        <f t="array" ref="BC737">K737/IF($L737&gt;0, INDEX($AO$23:$AU$77, $L737+20, $AD737), 1)</f>
        <v>0</v>
      </c>
      <c r="BD737" s="237">
        <f t="shared" si="679"/>
        <v>0</v>
      </c>
      <c r="BE737" s="236">
        <v>35</v>
      </c>
      <c r="BF737" s="237">
        <f t="shared" si="680"/>
        <v>52.55</v>
      </c>
      <c r="BG737" s="253">
        <f t="shared" si="681"/>
        <v>2.7676728869374316</v>
      </c>
      <c r="BH737" s="253" cm="1">
        <f t="array" ref="BH737">$BC737 * SUMPRODUCT(INDEX($AL$77:$AN$82,,$AE737),INDEX($AO$77:$AU$82,,$AD737), N($AK$77:$AK$82&gt;$AI737)) / BG737 / 1000</f>
        <v>0</v>
      </c>
      <c r="BI737" s="250">
        <f t="shared" si="705"/>
        <v>30</v>
      </c>
      <c r="BJ737" s="237">
        <f t="shared" si="682"/>
        <v>46.033333333333331</v>
      </c>
      <c r="BK737" s="253">
        <f t="shared" si="683"/>
        <v>3.2297395388556791</v>
      </c>
      <c r="BL737" s="253" cm="1">
        <f t="array" ref="BL737">$BC737 * IF($AD737&lt;=2,
SUMPRODUCT(INDEX($AL$72:$AN$76,,$AE737), INDEX($AO$72:$AU$76,,$AD737), 1 / ($AV$72:$AV$76*BK737 + (1-$AV$72:$AV$76)*BG737), N($AK$72:$AK$76&gt;$AI737)),
SUMPRODUCT(INDEX($AL$67:$AN$76,,$AE737), INDEX($AO$67:$AU$76,,$AD737), 1 / ($AW$67:$AW$76*BK737 + (1-$AW$67:$AW$76)*BG737), N($AK$67:$AK$76&gt;$AI737))
) / 1000</f>
        <v>0</v>
      </c>
      <c r="BM737" s="250">
        <f t="shared" si="706"/>
        <v>25</v>
      </c>
      <c r="BN737" s="237">
        <f t="shared" si="684"/>
        <v>39.516666666666666</v>
      </c>
      <c r="BO737" s="253">
        <f t="shared" si="685"/>
        <v>3.877011788826243</v>
      </c>
      <c r="BP737" s="253" cm="1">
        <f t="array" ref="BP737">$BC737 * IF($AD737&lt;=2,
SUMPRODUCT(INDEX($AL$67:$AN$71,,$AE737), INDEX($AO$67:$AU$71,,$AD737), 1 / ($AV$67:$AV$71*BO737 + (1-$AV$67:$AV$71)*BK737), N($AK$67:$AK$71&gt;$AI737)),
SUMPRODUCT(INDEX($AL$57:$AN$66,,$AE737), INDEX($AO$57:$AU$66,,$AD737), 1 / ($AW$57:$AW$66*BO737 + (1-$AW$57:$AW$66)*BK737), N($AK$57:$AK$66&gt;$AI737))
) / 1000</f>
        <v>0</v>
      </c>
      <c r="BQ737" s="250">
        <f t="shared" si="707"/>
        <v>20</v>
      </c>
      <c r="BR737" s="237">
        <f t="shared" si="686"/>
        <v>33</v>
      </c>
      <c r="BS737" s="253">
        <f t="shared" si="687"/>
        <v>4.8487499999999999</v>
      </c>
      <c r="BT737" s="253" cm="1">
        <f t="array" ref="BT737">$BC737 * IF($AD737&lt;=2,
SUMPRODUCT(INDEX($AL$62:$AN$66,,$AE737), INDEX($AO$62:$AU$66,,$AD737), 1 / ($AV$62:$AV$66*BS737 + (1-$AV$62:$AV$66)*BO737), N($AK$62:$AK$66&gt;$AI737)),
SUMPRODUCT(INDEX($AL$47:$AN$56,,$AE737), INDEX($AO$47:$AU$56,,$AD737), 1 / ($AW$47:$AW$56*BS737 + (1-$AW$47:$AW$56)*BO737), N($AK$47:$AK$56&gt;$AI737))
) / 1000</f>
        <v>0</v>
      </c>
      <c r="BU737" s="253" cm="1">
        <f t="array" ref="BU737">$BC737 * IF($AD737&lt;=2,
SUMPRODUCT(INDEX($AL$23:$AN$61,,$AE737), INDEX($AO$23:$AU$61,,$AD737), 1 / ($AV$23:$AV$61*BS737), N($AK$23:$AK$61&gt;$AI737)),
SUMPRODUCT(INDEX($AL$23:$AN$46,,$AE737), INDEX($AO$23:$AU$46,,$AD737), 1 / ($AW$23:$AW$46*BS737), N($AK$23:$AK$46&gt;$AI737))
) / 1000</f>
        <v>0</v>
      </c>
      <c r="BV737" s="237">
        <f t="shared" si="688"/>
        <v>0</v>
      </c>
      <c r="BW737" s="210"/>
      <c r="BX737" s="237">
        <f t="shared" si="689"/>
        <v>0</v>
      </c>
      <c r="BY737" s="236">
        <v>35</v>
      </c>
      <c r="BZ737" s="237">
        <f t="shared" si="690"/>
        <v>48</v>
      </c>
      <c r="CA737" s="253">
        <f t="shared" si="691"/>
        <v>3.0748170731707316</v>
      </c>
      <c r="CB737" s="253" cm="1">
        <f t="array" ref="CB737">$BC737 * SUMPRODUCT(INDEX($AL$77:$AN$82,,$AE737),INDEX($AO$77:$AU$82,,$AD737), N($AK$77:$AK$82&gt;$AI737)) / CA737 / 1000</f>
        <v>0</v>
      </c>
      <c r="CC737" s="250">
        <f t="shared" si="708"/>
        <v>30</v>
      </c>
      <c r="CD737" s="237">
        <f t="shared" si="692"/>
        <v>43</v>
      </c>
      <c r="CE737" s="253">
        <f t="shared" si="693"/>
        <v>3.5018750000000001</v>
      </c>
      <c r="CF737" s="253" cm="1">
        <f t="array" ref="CF737">$BC737 * IF($AD737&lt;=2,
SUMPRODUCT(INDEX($AL$72:$AN$76,,$AE737), INDEX($AO$72:$AU$76,,$AD737), 1 / ($AV$72:$AV$76*CE737 + (1-$AV$72:$AV$76)*CA737), N($AK$72:$AK$76&gt;$AI737)),
SUMPRODUCT(INDEX($AL$67:$AN$76,,$AE737), INDEX($AO$67:$AU$76,,$AD737), 1 / ($AW$67:$AW$76*CE737 + (1-$AW$67:$AW$76)*CA737), N($AK$67:$AK$76&gt;$AI737))
) / 1000</f>
        <v>0</v>
      </c>
      <c r="CG737" s="250">
        <f t="shared" si="709"/>
        <v>25</v>
      </c>
      <c r="CH737" s="237">
        <f t="shared" si="694"/>
        <v>38</v>
      </c>
      <c r="CI737" s="253">
        <f t="shared" si="695"/>
        <v>4.0666935483870965</v>
      </c>
      <c r="CJ737" s="253" cm="1">
        <f t="array" ref="CJ737">$BC737 * IF($AD737&lt;=2,
SUMPRODUCT(INDEX($AL$67:$AN$71,,$AE737), INDEX($AO$67:$AU$71,,$AD737), 1 / ($AV$67:$AV$71*CI737 + (1-$AV$67:$AV$71)*CE737), N($AK$67:$AK$71&gt;$AI737)),
SUMPRODUCT(INDEX($AL$57:$AN$66,,$AE737), INDEX($AO$57:$AU$66,,$AD737), 1 / ($AW$57:$AW$66*CI737 + (1-$AW$57:$AW$66)*CE737), N($AK$57:$AK$66&gt;$AI737))
) / 1000</f>
        <v>0</v>
      </c>
      <c r="CK737" s="250">
        <f t="shared" si="710"/>
        <v>20</v>
      </c>
      <c r="CL737" s="237">
        <f t="shared" si="696"/>
        <v>33</v>
      </c>
      <c r="CM737" s="253">
        <f t="shared" si="697"/>
        <v>4.8487499999999999</v>
      </c>
      <c r="CN737" s="253" cm="1">
        <f t="array" ref="CN737">$BC737 * IF($AD737&lt;=2,
SUMPRODUCT(INDEX($AL$62:$AN$66,,$AE737), INDEX($AO$62:$AU$66,,$AD737), 1 / ($AV$62:$AV$66*CM737 + (1-$AV$62:$AV$66)*CI737), N($AK$62:$AK$66&gt;$AI737)),
SUMPRODUCT(INDEX($AL$47:$AN$56,,$AE737), INDEX($AO$47:$AU$56,,$AD737), 1 / ($AW$47:$AW$56*CM737 + (1-$AW$47:$AW$56)*CI737), N($AK$47:$AK$56&gt;$AI737))
) / 1000</f>
        <v>0</v>
      </c>
      <c r="CO737" s="253" cm="1">
        <f t="array" ref="CO737">$BC737 * IF($AD737&lt;=2,
SUMPRODUCT(INDEX($AL$23:$AN$61,,$AE737), INDEX($AO$23:$AU$61,,$AD737), 1 / ($AV$23:$AV$61*CM737), N($AK$23:$AK$61&gt;$AI737)),
SUMPRODUCT(INDEX($AL$23:$AN$46,,$AE737), INDEX($AO$23:$AU$46,,$AD737), 1 / ($AW$23:$AW$46*CM737), N($AK$23:$AK$46&gt;$AI737))
) / 1000</f>
        <v>0</v>
      </c>
      <c r="CP737" s="237">
        <f t="shared" si="698"/>
        <v>0</v>
      </c>
      <c r="CQ737" s="210"/>
    </row>
    <row r="738" spans="1:95" s="76" customFormat="1" ht="14.25" customHeight="1" x14ac:dyDescent="0.2">
      <c r="A738" s="238" t="b">
        <f t="shared" si="702"/>
        <v>0</v>
      </c>
      <c r="B738" s="239">
        <v>716</v>
      </c>
      <c r="C738" s="258"/>
      <c r="D738" s="258"/>
      <c r="E738" s="240"/>
      <c r="F738" s="241" t="str">
        <f>IF(ISBLANK(E738), "", VLOOKUP(E738, Z!$A$2:$C$4127, 3, FALSE))</f>
        <v/>
      </c>
      <c r="G738" s="242"/>
      <c r="H738" s="242"/>
      <c r="I738" s="243"/>
      <c r="J738" s="244"/>
      <c r="K738" s="259"/>
      <c r="L738" s="260"/>
      <c r="M738" s="247" t="str" cm="1">
        <f t="array" ref="M738">IF($K738&gt;0, INDEX(Clean,1+AG738,$C$1), "")</f>
        <v/>
      </c>
      <c r="N738" s="245"/>
      <c r="O738" s="245"/>
      <c r="P738" s="246"/>
      <c r="Q738" s="248">
        <f t="shared" si="675"/>
        <v>0</v>
      </c>
      <c r="R738" s="247" t="str" cm="1">
        <f t="array" ref="R738">IF($K738&gt;0, INDEX(Clean,1+AH738,$C$1), "")</f>
        <v/>
      </c>
      <c r="S738" s="245"/>
      <c r="T738" s="245"/>
      <c r="U738" s="246"/>
      <c r="V738" s="248">
        <f t="shared" si="676"/>
        <v>0</v>
      </c>
      <c r="W738" s="261"/>
      <c r="X738" s="258"/>
      <c r="Y738" s="240"/>
      <c r="Z738" s="241" t="str">
        <f>IF(ISBLANK(Y738), "", VLOOKUP(Y738, Z!$A$2:$C$4127, 3, FALSE))</f>
        <v/>
      </c>
      <c r="AA738" s="262"/>
      <c r="AB738" s="249">
        <f t="shared" si="711"/>
        <v>0</v>
      </c>
      <c r="AC738" s="210"/>
      <c r="AD738" s="236">
        <f t="shared" si="699"/>
        <v>1</v>
      </c>
      <c r="AE738" s="236">
        <f t="shared" si="700"/>
        <v>1</v>
      </c>
      <c r="AF738" s="236">
        <f t="shared" si="701"/>
        <v>0</v>
      </c>
      <c r="AG738" s="236">
        <v>1</v>
      </c>
      <c r="AH738" s="236">
        <v>0</v>
      </c>
      <c r="AI738" s="236">
        <f t="shared" si="677"/>
        <v>-100</v>
      </c>
      <c r="AJ738" s="210"/>
      <c r="AK738" s="254"/>
      <c r="AL738" s="254"/>
      <c r="AM738" s="255"/>
      <c r="AN738" s="255"/>
      <c r="AO738" s="255"/>
      <c r="AP738" s="255"/>
      <c r="AQ738" s="255"/>
      <c r="AR738" s="255"/>
      <c r="AS738" s="255"/>
      <c r="AT738" s="255"/>
      <c r="AU738" s="255"/>
      <c r="AV738" s="255"/>
      <c r="AW738" s="255"/>
      <c r="AX738" s="210"/>
      <c r="AY738" s="236" cm="1">
        <f t="array" ref="AY738">INDEX(Use, $AD738, 4)</f>
        <v>7</v>
      </c>
      <c r="AZ738" s="236">
        <f t="shared" si="678"/>
        <v>32</v>
      </c>
      <c r="BA738" s="236">
        <f t="shared" si="703"/>
        <v>13</v>
      </c>
      <c r="BB738" s="236">
        <f t="shared" si="704"/>
        <v>0</v>
      </c>
      <c r="BC738" s="252" cm="1">
        <f t="array" ref="BC738">K738/IF($L738&gt;0, INDEX($AO$23:$AU$77, $L738+20, $AD738), 1)</f>
        <v>0</v>
      </c>
      <c r="BD738" s="237">
        <f t="shared" si="679"/>
        <v>0</v>
      </c>
      <c r="BE738" s="236">
        <v>35</v>
      </c>
      <c r="BF738" s="237">
        <f t="shared" si="680"/>
        <v>52.55</v>
      </c>
      <c r="BG738" s="253">
        <f t="shared" si="681"/>
        <v>2.7676728869374316</v>
      </c>
      <c r="BH738" s="253" cm="1">
        <f t="array" ref="BH738">$BC738 * SUMPRODUCT(INDEX($AL$77:$AN$82,,$AE738),INDEX($AO$77:$AU$82,,$AD738), N($AK$77:$AK$82&gt;$AI738)) / BG738 / 1000</f>
        <v>0</v>
      </c>
      <c r="BI738" s="250">
        <f t="shared" si="705"/>
        <v>30</v>
      </c>
      <c r="BJ738" s="237">
        <f t="shared" si="682"/>
        <v>46.033333333333331</v>
      </c>
      <c r="BK738" s="253">
        <f t="shared" si="683"/>
        <v>3.2297395388556791</v>
      </c>
      <c r="BL738" s="253" cm="1">
        <f t="array" ref="BL738">$BC738 * IF($AD738&lt;=2,
SUMPRODUCT(INDEX($AL$72:$AN$76,,$AE738), INDEX($AO$72:$AU$76,,$AD738), 1 / ($AV$72:$AV$76*BK738 + (1-$AV$72:$AV$76)*BG738), N($AK$72:$AK$76&gt;$AI738)),
SUMPRODUCT(INDEX($AL$67:$AN$76,,$AE738), INDEX($AO$67:$AU$76,,$AD738), 1 / ($AW$67:$AW$76*BK738 + (1-$AW$67:$AW$76)*BG738), N($AK$67:$AK$76&gt;$AI738))
) / 1000</f>
        <v>0</v>
      </c>
      <c r="BM738" s="250">
        <f t="shared" si="706"/>
        <v>25</v>
      </c>
      <c r="BN738" s="237">
        <f t="shared" si="684"/>
        <v>39.516666666666666</v>
      </c>
      <c r="BO738" s="253">
        <f t="shared" si="685"/>
        <v>3.877011788826243</v>
      </c>
      <c r="BP738" s="253" cm="1">
        <f t="array" ref="BP738">$BC738 * IF($AD738&lt;=2,
SUMPRODUCT(INDEX($AL$67:$AN$71,,$AE738), INDEX($AO$67:$AU$71,,$AD738), 1 / ($AV$67:$AV$71*BO738 + (1-$AV$67:$AV$71)*BK738), N($AK$67:$AK$71&gt;$AI738)),
SUMPRODUCT(INDEX($AL$57:$AN$66,,$AE738), INDEX($AO$57:$AU$66,,$AD738), 1 / ($AW$57:$AW$66*BO738 + (1-$AW$57:$AW$66)*BK738), N($AK$57:$AK$66&gt;$AI738))
) / 1000</f>
        <v>0</v>
      </c>
      <c r="BQ738" s="250">
        <f t="shared" si="707"/>
        <v>20</v>
      </c>
      <c r="BR738" s="237">
        <f t="shared" si="686"/>
        <v>33</v>
      </c>
      <c r="BS738" s="253">
        <f t="shared" si="687"/>
        <v>4.8487499999999999</v>
      </c>
      <c r="BT738" s="253" cm="1">
        <f t="array" ref="BT738">$BC738 * IF($AD738&lt;=2,
SUMPRODUCT(INDEX($AL$62:$AN$66,,$AE738), INDEX($AO$62:$AU$66,,$AD738), 1 / ($AV$62:$AV$66*BS738 + (1-$AV$62:$AV$66)*BO738), N($AK$62:$AK$66&gt;$AI738)),
SUMPRODUCT(INDEX($AL$47:$AN$56,,$AE738), INDEX($AO$47:$AU$56,,$AD738), 1 / ($AW$47:$AW$56*BS738 + (1-$AW$47:$AW$56)*BO738), N($AK$47:$AK$56&gt;$AI738))
) / 1000</f>
        <v>0</v>
      </c>
      <c r="BU738" s="253" cm="1">
        <f t="array" ref="BU738">$BC738 * IF($AD738&lt;=2,
SUMPRODUCT(INDEX($AL$23:$AN$61,,$AE738), INDEX($AO$23:$AU$61,,$AD738), 1 / ($AV$23:$AV$61*BS738), N($AK$23:$AK$61&gt;$AI738)),
SUMPRODUCT(INDEX($AL$23:$AN$46,,$AE738), INDEX($AO$23:$AU$46,,$AD738), 1 / ($AW$23:$AW$46*BS738), N($AK$23:$AK$46&gt;$AI738))
) / 1000</f>
        <v>0</v>
      </c>
      <c r="BV738" s="237">
        <f t="shared" si="688"/>
        <v>0</v>
      </c>
      <c r="BW738" s="210"/>
      <c r="BX738" s="237">
        <f t="shared" si="689"/>
        <v>0</v>
      </c>
      <c r="BY738" s="236">
        <v>35</v>
      </c>
      <c r="BZ738" s="237">
        <f t="shared" si="690"/>
        <v>48</v>
      </c>
      <c r="CA738" s="253">
        <f t="shared" si="691"/>
        <v>3.0748170731707316</v>
      </c>
      <c r="CB738" s="253" cm="1">
        <f t="array" ref="CB738">$BC738 * SUMPRODUCT(INDEX($AL$77:$AN$82,,$AE738),INDEX($AO$77:$AU$82,,$AD738), N($AK$77:$AK$82&gt;$AI738)) / CA738 / 1000</f>
        <v>0</v>
      </c>
      <c r="CC738" s="250">
        <f t="shared" si="708"/>
        <v>30</v>
      </c>
      <c r="CD738" s="237">
        <f t="shared" si="692"/>
        <v>43</v>
      </c>
      <c r="CE738" s="253">
        <f t="shared" si="693"/>
        <v>3.5018750000000001</v>
      </c>
      <c r="CF738" s="253" cm="1">
        <f t="array" ref="CF738">$BC738 * IF($AD738&lt;=2,
SUMPRODUCT(INDEX($AL$72:$AN$76,,$AE738), INDEX($AO$72:$AU$76,,$AD738), 1 / ($AV$72:$AV$76*CE738 + (1-$AV$72:$AV$76)*CA738), N($AK$72:$AK$76&gt;$AI738)),
SUMPRODUCT(INDEX($AL$67:$AN$76,,$AE738), INDEX($AO$67:$AU$76,,$AD738), 1 / ($AW$67:$AW$76*CE738 + (1-$AW$67:$AW$76)*CA738), N($AK$67:$AK$76&gt;$AI738))
) / 1000</f>
        <v>0</v>
      </c>
      <c r="CG738" s="250">
        <f t="shared" si="709"/>
        <v>25</v>
      </c>
      <c r="CH738" s="237">
        <f t="shared" si="694"/>
        <v>38</v>
      </c>
      <c r="CI738" s="253">
        <f t="shared" si="695"/>
        <v>4.0666935483870965</v>
      </c>
      <c r="CJ738" s="253" cm="1">
        <f t="array" ref="CJ738">$BC738 * IF($AD738&lt;=2,
SUMPRODUCT(INDEX($AL$67:$AN$71,,$AE738), INDEX($AO$67:$AU$71,,$AD738), 1 / ($AV$67:$AV$71*CI738 + (1-$AV$67:$AV$71)*CE738), N($AK$67:$AK$71&gt;$AI738)),
SUMPRODUCT(INDEX($AL$57:$AN$66,,$AE738), INDEX($AO$57:$AU$66,,$AD738), 1 / ($AW$57:$AW$66*CI738 + (1-$AW$57:$AW$66)*CE738), N($AK$57:$AK$66&gt;$AI738))
) / 1000</f>
        <v>0</v>
      </c>
      <c r="CK738" s="250">
        <f t="shared" si="710"/>
        <v>20</v>
      </c>
      <c r="CL738" s="237">
        <f t="shared" si="696"/>
        <v>33</v>
      </c>
      <c r="CM738" s="253">
        <f t="shared" si="697"/>
        <v>4.8487499999999999</v>
      </c>
      <c r="CN738" s="253" cm="1">
        <f t="array" ref="CN738">$BC738 * IF($AD738&lt;=2,
SUMPRODUCT(INDEX($AL$62:$AN$66,,$AE738), INDEX($AO$62:$AU$66,,$AD738), 1 / ($AV$62:$AV$66*CM738 + (1-$AV$62:$AV$66)*CI738), N($AK$62:$AK$66&gt;$AI738)),
SUMPRODUCT(INDEX($AL$47:$AN$56,,$AE738), INDEX($AO$47:$AU$56,,$AD738), 1 / ($AW$47:$AW$56*CM738 + (1-$AW$47:$AW$56)*CI738), N($AK$47:$AK$56&gt;$AI738))
) / 1000</f>
        <v>0</v>
      </c>
      <c r="CO738" s="253" cm="1">
        <f t="array" ref="CO738">$BC738 * IF($AD738&lt;=2,
SUMPRODUCT(INDEX($AL$23:$AN$61,,$AE738), INDEX($AO$23:$AU$61,,$AD738), 1 / ($AV$23:$AV$61*CM738), N($AK$23:$AK$61&gt;$AI738)),
SUMPRODUCT(INDEX($AL$23:$AN$46,,$AE738), INDEX($AO$23:$AU$46,,$AD738), 1 / ($AW$23:$AW$46*CM738), N($AK$23:$AK$46&gt;$AI738))
) / 1000</f>
        <v>0</v>
      </c>
      <c r="CP738" s="237">
        <f t="shared" si="698"/>
        <v>0</v>
      </c>
      <c r="CQ738" s="210"/>
    </row>
    <row r="739" spans="1:95" s="76" customFormat="1" ht="14.25" customHeight="1" x14ac:dyDescent="0.2">
      <c r="A739" s="238" t="b">
        <f t="shared" si="702"/>
        <v>0</v>
      </c>
      <c r="B739" s="239">
        <v>717</v>
      </c>
      <c r="C739" s="258"/>
      <c r="D739" s="258"/>
      <c r="E739" s="240"/>
      <c r="F739" s="241" t="str">
        <f>IF(ISBLANK(E739), "", VLOOKUP(E739, Z!$A$2:$C$4127, 3, FALSE))</f>
        <v/>
      </c>
      <c r="G739" s="242"/>
      <c r="H739" s="242"/>
      <c r="I739" s="243"/>
      <c r="J739" s="244"/>
      <c r="K739" s="259"/>
      <c r="L739" s="260"/>
      <c r="M739" s="247" t="str" cm="1">
        <f t="array" ref="M739">IF($K739&gt;0, INDEX(Clean,1+AG739,$C$1), "")</f>
        <v/>
      </c>
      <c r="N739" s="245"/>
      <c r="O739" s="245"/>
      <c r="P739" s="246"/>
      <c r="Q739" s="248">
        <f t="shared" si="675"/>
        <v>0</v>
      </c>
      <c r="R739" s="247" t="str" cm="1">
        <f t="array" ref="R739">IF($K739&gt;0, INDEX(Clean,1+AH739,$C$1), "")</f>
        <v/>
      </c>
      <c r="S739" s="245"/>
      <c r="T739" s="245"/>
      <c r="U739" s="246"/>
      <c r="V739" s="248">
        <f t="shared" si="676"/>
        <v>0</v>
      </c>
      <c r="W739" s="261"/>
      <c r="X739" s="258"/>
      <c r="Y739" s="240"/>
      <c r="Z739" s="241" t="str">
        <f>IF(ISBLANK(Y739), "", VLOOKUP(Y739, Z!$A$2:$C$4127, 3, FALSE))</f>
        <v/>
      </c>
      <c r="AA739" s="262"/>
      <c r="AB739" s="249">
        <f t="shared" si="711"/>
        <v>0</v>
      </c>
      <c r="AC739" s="210"/>
      <c r="AD739" s="236">
        <f t="shared" si="699"/>
        <v>1</v>
      </c>
      <c r="AE739" s="236">
        <f t="shared" si="700"/>
        <v>1</v>
      </c>
      <c r="AF739" s="236">
        <f t="shared" si="701"/>
        <v>0</v>
      </c>
      <c r="AG739" s="236">
        <v>1</v>
      </c>
      <c r="AH739" s="236">
        <v>0</v>
      </c>
      <c r="AI739" s="236">
        <f t="shared" si="677"/>
        <v>-100</v>
      </c>
      <c r="AJ739" s="210"/>
      <c r="AK739" s="254"/>
      <c r="AL739" s="254"/>
      <c r="AM739" s="255"/>
      <c r="AN739" s="255"/>
      <c r="AO739" s="255"/>
      <c r="AP739" s="255"/>
      <c r="AQ739" s="255"/>
      <c r="AR739" s="255"/>
      <c r="AS739" s="255"/>
      <c r="AT739" s="255"/>
      <c r="AU739" s="255"/>
      <c r="AV739" s="255"/>
      <c r="AW739" s="255"/>
      <c r="AX739" s="210"/>
      <c r="AY739" s="236" cm="1">
        <f t="array" ref="AY739">INDEX(Use, $AD739, 4)</f>
        <v>7</v>
      </c>
      <c r="AZ739" s="236">
        <f t="shared" si="678"/>
        <v>32</v>
      </c>
      <c r="BA739" s="236">
        <f t="shared" si="703"/>
        <v>13</v>
      </c>
      <c r="BB739" s="236">
        <f t="shared" si="704"/>
        <v>0</v>
      </c>
      <c r="BC739" s="252" cm="1">
        <f t="array" ref="BC739">K739/IF($L739&gt;0, INDEX($AO$23:$AU$77, $L739+20, $AD739), 1)</f>
        <v>0</v>
      </c>
      <c r="BD739" s="237">
        <f t="shared" si="679"/>
        <v>0</v>
      </c>
      <c r="BE739" s="236">
        <v>35</v>
      </c>
      <c r="BF739" s="237">
        <f t="shared" si="680"/>
        <v>52.55</v>
      </c>
      <c r="BG739" s="253">
        <f t="shared" si="681"/>
        <v>2.7676728869374316</v>
      </c>
      <c r="BH739" s="253" cm="1">
        <f t="array" ref="BH739">$BC739 * SUMPRODUCT(INDEX($AL$77:$AN$82,,$AE739),INDEX($AO$77:$AU$82,,$AD739), N($AK$77:$AK$82&gt;$AI739)) / BG739 / 1000</f>
        <v>0</v>
      </c>
      <c r="BI739" s="250">
        <f t="shared" si="705"/>
        <v>30</v>
      </c>
      <c r="BJ739" s="237">
        <f t="shared" si="682"/>
        <v>46.033333333333331</v>
      </c>
      <c r="BK739" s="253">
        <f t="shared" si="683"/>
        <v>3.2297395388556791</v>
      </c>
      <c r="BL739" s="253" cm="1">
        <f t="array" ref="BL739">$BC739 * IF($AD739&lt;=2,
SUMPRODUCT(INDEX($AL$72:$AN$76,,$AE739), INDEX($AO$72:$AU$76,,$AD739), 1 / ($AV$72:$AV$76*BK739 + (1-$AV$72:$AV$76)*BG739), N($AK$72:$AK$76&gt;$AI739)),
SUMPRODUCT(INDEX($AL$67:$AN$76,,$AE739), INDEX($AO$67:$AU$76,,$AD739), 1 / ($AW$67:$AW$76*BK739 + (1-$AW$67:$AW$76)*BG739), N($AK$67:$AK$76&gt;$AI739))
) / 1000</f>
        <v>0</v>
      </c>
      <c r="BM739" s="250">
        <f t="shared" si="706"/>
        <v>25</v>
      </c>
      <c r="BN739" s="237">
        <f t="shared" si="684"/>
        <v>39.516666666666666</v>
      </c>
      <c r="BO739" s="253">
        <f t="shared" si="685"/>
        <v>3.877011788826243</v>
      </c>
      <c r="BP739" s="253" cm="1">
        <f t="array" ref="BP739">$BC739 * IF($AD739&lt;=2,
SUMPRODUCT(INDEX($AL$67:$AN$71,,$AE739), INDEX($AO$67:$AU$71,,$AD739), 1 / ($AV$67:$AV$71*BO739 + (1-$AV$67:$AV$71)*BK739), N($AK$67:$AK$71&gt;$AI739)),
SUMPRODUCT(INDEX($AL$57:$AN$66,,$AE739), INDEX($AO$57:$AU$66,,$AD739), 1 / ($AW$57:$AW$66*BO739 + (1-$AW$57:$AW$66)*BK739), N($AK$57:$AK$66&gt;$AI739))
) / 1000</f>
        <v>0</v>
      </c>
      <c r="BQ739" s="250">
        <f t="shared" si="707"/>
        <v>20</v>
      </c>
      <c r="BR739" s="237">
        <f t="shared" si="686"/>
        <v>33</v>
      </c>
      <c r="BS739" s="253">
        <f t="shared" si="687"/>
        <v>4.8487499999999999</v>
      </c>
      <c r="BT739" s="253" cm="1">
        <f t="array" ref="BT739">$BC739 * IF($AD739&lt;=2,
SUMPRODUCT(INDEX($AL$62:$AN$66,,$AE739), INDEX($AO$62:$AU$66,,$AD739), 1 / ($AV$62:$AV$66*BS739 + (1-$AV$62:$AV$66)*BO739), N($AK$62:$AK$66&gt;$AI739)),
SUMPRODUCT(INDEX($AL$47:$AN$56,,$AE739), INDEX($AO$47:$AU$56,,$AD739), 1 / ($AW$47:$AW$56*BS739 + (1-$AW$47:$AW$56)*BO739), N($AK$47:$AK$56&gt;$AI739))
) / 1000</f>
        <v>0</v>
      </c>
      <c r="BU739" s="253" cm="1">
        <f t="array" ref="BU739">$BC739 * IF($AD739&lt;=2,
SUMPRODUCT(INDEX($AL$23:$AN$61,,$AE739), INDEX($AO$23:$AU$61,,$AD739), 1 / ($AV$23:$AV$61*BS739), N($AK$23:$AK$61&gt;$AI739)),
SUMPRODUCT(INDEX($AL$23:$AN$46,,$AE739), INDEX($AO$23:$AU$46,,$AD739), 1 / ($AW$23:$AW$46*BS739), N($AK$23:$AK$46&gt;$AI739))
) / 1000</f>
        <v>0</v>
      </c>
      <c r="BV739" s="237">
        <f t="shared" si="688"/>
        <v>0</v>
      </c>
      <c r="BW739" s="210"/>
      <c r="BX739" s="237">
        <f t="shared" si="689"/>
        <v>0</v>
      </c>
      <c r="BY739" s="236">
        <v>35</v>
      </c>
      <c r="BZ739" s="237">
        <f t="shared" si="690"/>
        <v>48</v>
      </c>
      <c r="CA739" s="253">
        <f t="shared" si="691"/>
        <v>3.0748170731707316</v>
      </c>
      <c r="CB739" s="253" cm="1">
        <f t="array" ref="CB739">$BC739 * SUMPRODUCT(INDEX($AL$77:$AN$82,,$AE739),INDEX($AO$77:$AU$82,,$AD739), N($AK$77:$AK$82&gt;$AI739)) / CA739 / 1000</f>
        <v>0</v>
      </c>
      <c r="CC739" s="250">
        <f t="shared" si="708"/>
        <v>30</v>
      </c>
      <c r="CD739" s="237">
        <f t="shared" si="692"/>
        <v>43</v>
      </c>
      <c r="CE739" s="253">
        <f t="shared" si="693"/>
        <v>3.5018750000000001</v>
      </c>
      <c r="CF739" s="253" cm="1">
        <f t="array" ref="CF739">$BC739 * IF($AD739&lt;=2,
SUMPRODUCT(INDEX($AL$72:$AN$76,,$AE739), INDEX($AO$72:$AU$76,,$AD739), 1 / ($AV$72:$AV$76*CE739 + (1-$AV$72:$AV$76)*CA739), N($AK$72:$AK$76&gt;$AI739)),
SUMPRODUCT(INDEX($AL$67:$AN$76,,$AE739), INDEX($AO$67:$AU$76,,$AD739), 1 / ($AW$67:$AW$76*CE739 + (1-$AW$67:$AW$76)*CA739), N($AK$67:$AK$76&gt;$AI739))
) / 1000</f>
        <v>0</v>
      </c>
      <c r="CG739" s="250">
        <f t="shared" si="709"/>
        <v>25</v>
      </c>
      <c r="CH739" s="237">
        <f t="shared" si="694"/>
        <v>38</v>
      </c>
      <c r="CI739" s="253">
        <f t="shared" si="695"/>
        <v>4.0666935483870965</v>
      </c>
      <c r="CJ739" s="253" cm="1">
        <f t="array" ref="CJ739">$BC739 * IF($AD739&lt;=2,
SUMPRODUCT(INDEX($AL$67:$AN$71,,$AE739), INDEX($AO$67:$AU$71,,$AD739), 1 / ($AV$67:$AV$71*CI739 + (1-$AV$67:$AV$71)*CE739), N($AK$67:$AK$71&gt;$AI739)),
SUMPRODUCT(INDEX($AL$57:$AN$66,,$AE739), INDEX($AO$57:$AU$66,,$AD739), 1 / ($AW$57:$AW$66*CI739 + (1-$AW$57:$AW$66)*CE739), N($AK$57:$AK$66&gt;$AI739))
) / 1000</f>
        <v>0</v>
      </c>
      <c r="CK739" s="250">
        <f t="shared" si="710"/>
        <v>20</v>
      </c>
      <c r="CL739" s="237">
        <f t="shared" si="696"/>
        <v>33</v>
      </c>
      <c r="CM739" s="253">
        <f t="shared" si="697"/>
        <v>4.8487499999999999</v>
      </c>
      <c r="CN739" s="253" cm="1">
        <f t="array" ref="CN739">$BC739 * IF($AD739&lt;=2,
SUMPRODUCT(INDEX($AL$62:$AN$66,,$AE739), INDEX($AO$62:$AU$66,,$AD739), 1 / ($AV$62:$AV$66*CM739 + (1-$AV$62:$AV$66)*CI739), N($AK$62:$AK$66&gt;$AI739)),
SUMPRODUCT(INDEX($AL$47:$AN$56,,$AE739), INDEX($AO$47:$AU$56,,$AD739), 1 / ($AW$47:$AW$56*CM739 + (1-$AW$47:$AW$56)*CI739), N($AK$47:$AK$56&gt;$AI739))
) / 1000</f>
        <v>0</v>
      </c>
      <c r="CO739" s="253" cm="1">
        <f t="array" ref="CO739">$BC739 * IF($AD739&lt;=2,
SUMPRODUCT(INDEX($AL$23:$AN$61,,$AE739), INDEX($AO$23:$AU$61,,$AD739), 1 / ($AV$23:$AV$61*CM739), N($AK$23:$AK$61&gt;$AI739)),
SUMPRODUCT(INDEX($AL$23:$AN$46,,$AE739), INDEX($AO$23:$AU$46,,$AD739), 1 / ($AW$23:$AW$46*CM739), N($AK$23:$AK$46&gt;$AI739))
) / 1000</f>
        <v>0</v>
      </c>
      <c r="CP739" s="237">
        <f t="shared" si="698"/>
        <v>0</v>
      </c>
      <c r="CQ739" s="210"/>
    </row>
    <row r="740" spans="1:95" s="76" customFormat="1" ht="14.25" customHeight="1" x14ac:dyDescent="0.2">
      <c r="A740" s="238" t="b">
        <f t="shared" si="702"/>
        <v>0</v>
      </c>
      <c r="B740" s="239">
        <v>718</v>
      </c>
      <c r="C740" s="258"/>
      <c r="D740" s="258"/>
      <c r="E740" s="240"/>
      <c r="F740" s="241" t="str">
        <f>IF(ISBLANK(E740), "", VLOOKUP(E740, Z!$A$2:$C$4127, 3, FALSE))</f>
        <v/>
      </c>
      <c r="G740" s="242"/>
      <c r="H740" s="242"/>
      <c r="I740" s="243"/>
      <c r="J740" s="244"/>
      <c r="K740" s="259"/>
      <c r="L740" s="260"/>
      <c r="M740" s="247" t="str" cm="1">
        <f t="array" ref="M740">IF($K740&gt;0, INDEX(Clean,1+AG740,$C$1), "")</f>
        <v/>
      </c>
      <c r="N740" s="245"/>
      <c r="O740" s="245"/>
      <c r="P740" s="246"/>
      <c r="Q740" s="248">
        <f t="shared" si="675"/>
        <v>0</v>
      </c>
      <c r="R740" s="247" t="str" cm="1">
        <f t="array" ref="R740">IF($K740&gt;0, INDEX(Clean,1+AH740,$C$1), "")</f>
        <v/>
      </c>
      <c r="S740" s="245"/>
      <c r="T740" s="245"/>
      <c r="U740" s="246"/>
      <c r="V740" s="248">
        <f t="shared" si="676"/>
        <v>0</v>
      </c>
      <c r="W740" s="261"/>
      <c r="X740" s="258"/>
      <c r="Y740" s="240"/>
      <c r="Z740" s="241" t="str">
        <f>IF(ISBLANK(Y740), "", VLOOKUP(Y740, Z!$A$2:$C$4127, 3, FALSE))</f>
        <v/>
      </c>
      <c r="AA740" s="262"/>
      <c r="AB740" s="249">
        <f t="shared" si="711"/>
        <v>0</v>
      </c>
      <c r="AC740" s="210"/>
      <c r="AD740" s="236">
        <f t="shared" si="699"/>
        <v>1</v>
      </c>
      <c r="AE740" s="236">
        <f t="shared" si="700"/>
        <v>1</v>
      </c>
      <c r="AF740" s="236">
        <f t="shared" si="701"/>
        <v>0</v>
      </c>
      <c r="AG740" s="236">
        <v>1</v>
      </c>
      <c r="AH740" s="236">
        <v>0</v>
      </c>
      <c r="AI740" s="236">
        <f t="shared" si="677"/>
        <v>-100</v>
      </c>
      <c r="AJ740" s="210"/>
      <c r="AK740" s="254"/>
      <c r="AL740" s="254"/>
      <c r="AM740" s="255"/>
      <c r="AN740" s="255"/>
      <c r="AO740" s="255"/>
      <c r="AP740" s="255"/>
      <c r="AQ740" s="255"/>
      <c r="AR740" s="255"/>
      <c r="AS740" s="255"/>
      <c r="AT740" s="255"/>
      <c r="AU740" s="255"/>
      <c r="AV740" s="255"/>
      <c r="AW740" s="255"/>
      <c r="AX740" s="210"/>
      <c r="AY740" s="236" cm="1">
        <f t="array" ref="AY740">INDEX(Use, $AD740, 4)</f>
        <v>7</v>
      </c>
      <c r="AZ740" s="236">
        <f t="shared" si="678"/>
        <v>32</v>
      </c>
      <c r="BA740" s="236">
        <f t="shared" si="703"/>
        <v>13</v>
      </c>
      <c r="BB740" s="236">
        <f t="shared" si="704"/>
        <v>0</v>
      </c>
      <c r="BC740" s="252" cm="1">
        <f t="array" ref="BC740">K740/IF($L740&gt;0, INDEX($AO$23:$AU$77, $L740+20, $AD740), 1)</f>
        <v>0</v>
      </c>
      <c r="BD740" s="237">
        <f t="shared" si="679"/>
        <v>0</v>
      </c>
      <c r="BE740" s="236">
        <v>35</v>
      </c>
      <c r="BF740" s="237">
        <f t="shared" si="680"/>
        <v>52.55</v>
      </c>
      <c r="BG740" s="253">
        <f t="shared" si="681"/>
        <v>2.7676728869374316</v>
      </c>
      <c r="BH740" s="253" cm="1">
        <f t="array" ref="BH740">$BC740 * SUMPRODUCT(INDEX($AL$77:$AN$82,,$AE740),INDEX($AO$77:$AU$82,,$AD740), N($AK$77:$AK$82&gt;$AI740)) / BG740 / 1000</f>
        <v>0</v>
      </c>
      <c r="BI740" s="250">
        <f t="shared" si="705"/>
        <v>30</v>
      </c>
      <c r="BJ740" s="237">
        <f t="shared" si="682"/>
        <v>46.033333333333331</v>
      </c>
      <c r="BK740" s="253">
        <f t="shared" si="683"/>
        <v>3.2297395388556791</v>
      </c>
      <c r="BL740" s="253" cm="1">
        <f t="array" ref="BL740">$BC740 * IF($AD740&lt;=2,
SUMPRODUCT(INDEX($AL$72:$AN$76,,$AE740), INDEX($AO$72:$AU$76,,$AD740), 1 / ($AV$72:$AV$76*BK740 + (1-$AV$72:$AV$76)*BG740), N($AK$72:$AK$76&gt;$AI740)),
SUMPRODUCT(INDEX($AL$67:$AN$76,,$AE740), INDEX($AO$67:$AU$76,,$AD740), 1 / ($AW$67:$AW$76*BK740 + (1-$AW$67:$AW$76)*BG740), N($AK$67:$AK$76&gt;$AI740))
) / 1000</f>
        <v>0</v>
      </c>
      <c r="BM740" s="250">
        <f t="shared" si="706"/>
        <v>25</v>
      </c>
      <c r="BN740" s="237">
        <f t="shared" si="684"/>
        <v>39.516666666666666</v>
      </c>
      <c r="BO740" s="253">
        <f t="shared" si="685"/>
        <v>3.877011788826243</v>
      </c>
      <c r="BP740" s="253" cm="1">
        <f t="array" ref="BP740">$BC740 * IF($AD740&lt;=2,
SUMPRODUCT(INDEX($AL$67:$AN$71,,$AE740), INDEX($AO$67:$AU$71,,$AD740), 1 / ($AV$67:$AV$71*BO740 + (1-$AV$67:$AV$71)*BK740), N($AK$67:$AK$71&gt;$AI740)),
SUMPRODUCT(INDEX($AL$57:$AN$66,,$AE740), INDEX($AO$57:$AU$66,,$AD740), 1 / ($AW$57:$AW$66*BO740 + (1-$AW$57:$AW$66)*BK740), N($AK$57:$AK$66&gt;$AI740))
) / 1000</f>
        <v>0</v>
      </c>
      <c r="BQ740" s="250">
        <f t="shared" si="707"/>
        <v>20</v>
      </c>
      <c r="BR740" s="237">
        <f t="shared" si="686"/>
        <v>33</v>
      </c>
      <c r="BS740" s="253">
        <f t="shared" si="687"/>
        <v>4.8487499999999999</v>
      </c>
      <c r="BT740" s="253" cm="1">
        <f t="array" ref="BT740">$BC740 * IF($AD740&lt;=2,
SUMPRODUCT(INDEX($AL$62:$AN$66,,$AE740), INDEX($AO$62:$AU$66,,$AD740), 1 / ($AV$62:$AV$66*BS740 + (1-$AV$62:$AV$66)*BO740), N($AK$62:$AK$66&gt;$AI740)),
SUMPRODUCT(INDEX($AL$47:$AN$56,,$AE740), INDEX($AO$47:$AU$56,,$AD740), 1 / ($AW$47:$AW$56*BS740 + (1-$AW$47:$AW$56)*BO740), N($AK$47:$AK$56&gt;$AI740))
) / 1000</f>
        <v>0</v>
      </c>
      <c r="BU740" s="253" cm="1">
        <f t="array" ref="BU740">$BC740 * IF($AD740&lt;=2,
SUMPRODUCT(INDEX($AL$23:$AN$61,,$AE740), INDEX($AO$23:$AU$61,,$AD740), 1 / ($AV$23:$AV$61*BS740), N($AK$23:$AK$61&gt;$AI740)),
SUMPRODUCT(INDEX($AL$23:$AN$46,,$AE740), INDEX($AO$23:$AU$46,,$AD740), 1 / ($AW$23:$AW$46*BS740), N($AK$23:$AK$46&gt;$AI740))
) / 1000</f>
        <v>0</v>
      </c>
      <c r="BV740" s="237">
        <f t="shared" si="688"/>
        <v>0</v>
      </c>
      <c r="BW740" s="210"/>
      <c r="BX740" s="237">
        <f t="shared" si="689"/>
        <v>0</v>
      </c>
      <c r="BY740" s="236">
        <v>35</v>
      </c>
      <c r="BZ740" s="237">
        <f t="shared" si="690"/>
        <v>48</v>
      </c>
      <c r="CA740" s="253">
        <f t="shared" si="691"/>
        <v>3.0748170731707316</v>
      </c>
      <c r="CB740" s="253" cm="1">
        <f t="array" ref="CB740">$BC740 * SUMPRODUCT(INDEX($AL$77:$AN$82,,$AE740),INDEX($AO$77:$AU$82,,$AD740), N($AK$77:$AK$82&gt;$AI740)) / CA740 / 1000</f>
        <v>0</v>
      </c>
      <c r="CC740" s="250">
        <f t="shared" si="708"/>
        <v>30</v>
      </c>
      <c r="CD740" s="237">
        <f t="shared" si="692"/>
        <v>43</v>
      </c>
      <c r="CE740" s="253">
        <f t="shared" si="693"/>
        <v>3.5018750000000001</v>
      </c>
      <c r="CF740" s="253" cm="1">
        <f t="array" ref="CF740">$BC740 * IF($AD740&lt;=2,
SUMPRODUCT(INDEX($AL$72:$AN$76,,$AE740), INDEX($AO$72:$AU$76,,$AD740), 1 / ($AV$72:$AV$76*CE740 + (1-$AV$72:$AV$76)*CA740), N($AK$72:$AK$76&gt;$AI740)),
SUMPRODUCT(INDEX($AL$67:$AN$76,,$AE740), INDEX($AO$67:$AU$76,,$AD740), 1 / ($AW$67:$AW$76*CE740 + (1-$AW$67:$AW$76)*CA740), N($AK$67:$AK$76&gt;$AI740))
) / 1000</f>
        <v>0</v>
      </c>
      <c r="CG740" s="250">
        <f t="shared" si="709"/>
        <v>25</v>
      </c>
      <c r="CH740" s="237">
        <f t="shared" si="694"/>
        <v>38</v>
      </c>
      <c r="CI740" s="253">
        <f t="shared" si="695"/>
        <v>4.0666935483870965</v>
      </c>
      <c r="CJ740" s="253" cm="1">
        <f t="array" ref="CJ740">$BC740 * IF($AD740&lt;=2,
SUMPRODUCT(INDEX($AL$67:$AN$71,,$AE740), INDEX($AO$67:$AU$71,,$AD740), 1 / ($AV$67:$AV$71*CI740 + (1-$AV$67:$AV$71)*CE740), N($AK$67:$AK$71&gt;$AI740)),
SUMPRODUCT(INDEX($AL$57:$AN$66,,$AE740), INDEX($AO$57:$AU$66,,$AD740), 1 / ($AW$57:$AW$66*CI740 + (1-$AW$57:$AW$66)*CE740), N($AK$57:$AK$66&gt;$AI740))
) / 1000</f>
        <v>0</v>
      </c>
      <c r="CK740" s="250">
        <f t="shared" si="710"/>
        <v>20</v>
      </c>
      <c r="CL740" s="237">
        <f t="shared" si="696"/>
        <v>33</v>
      </c>
      <c r="CM740" s="253">
        <f t="shared" si="697"/>
        <v>4.8487499999999999</v>
      </c>
      <c r="CN740" s="253" cm="1">
        <f t="array" ref="CN740">$BC740 * IF($AD740&lt;=2,
SUMPRODUCT(INDEX($AL$62:$AN$66,,$AE740), INDEX($AO$62:$AU$66,,$AD740), 1 / ($AV$62:$AV$66*CM740 + (1-$AV$62:$AV$66)*CI740), N($AK$62:$AK$66&gt;$AI740)),
SUMPRODUCT(INDEX($AL$47:$AN$56,,$AE740), INDEX($AO$47:$AU$56,,$AD740), 1 / ($AW$47:$AW$56*CM740 + (1-$AW$47:$AW$56)*CI740), N($AK$47:$AK$56&gt;$AI740))
) / 1000</f>
        <v>0</v>
      </c>
      <c r="CO740" s="253" cm="1">
        <f t="array" ref="CO740">$BC740 * IF($AD740&lt;=2,
SUMPRODUCT(INDEX($AL$23:$AN$61,,$AE740), INDEX($AO$23:$AU$61,,$AD740), 1 / ($AV$23:$AV$61*CM740), N($AK$23:$AK$61&gt;$AI740)),
SUMPRODUCT(INDEX($AL$23:$AN$46,,$AE740), INDEX($AO$23:$AU$46,,$AD740), 1 / ($AW$23:$AW$46*CM740), N($AK$23:$AK$46&gt;$AI740))
) / 1000</f>
        <v>0</v>
      </c>
      <c r="CP740" s="237">
        <f t="shared" si="698"/>
        <v>0</v>
      </c>
      <c r="CQ740" s="210"/>
    </row>
    <row r="741" spans="1:95" s="76" customFormat="1" ht="14.25" customHeight="1" x14ac:dyDescent="0.2">
      <c r="A741" s="238" t="b">
        <f t="shared" si="702"/>
        <v>0</v>
      </c>
      <c r="B741" s="239">
        <v>719</v>
      </c>
      <c r="C741" s="258"/>
      <c r="D741" s="258"/>
      <c r="E741" s="240"/>
      <c r="F741" s="241" t="str">
        <f>IF(ISBLANK(E741), "", VLOOKUP(E741, Z!$A$2:$C$4127, 3, FALSE))</f>
        <v/>
      </c>
      <c r="G741" s="242"/>
      <c r="H741" s="242"/>
      <c r="I741" s="243"/>
      <c r="J741" s="244"/>
      <c r="K741" s="259"/>
      <c r="L741" s="260"/>
      <c r="M741" s="247" t="str" cm="1">
        <f t="array" ref="M741">IF($K741&gt;0, INDEX(Clean,1+AG741,$C$1), "")</f>
        <v/>
      </c>
      <c r="N741" s="245"/>
      <c r="O741" s="245"/>
      <c r="P741" s="246"/>
      <c r="Q741" s="248">
        <f t="shared" si="675"/>
        <v>0</v>
      </c>
      <c r="R741" s="247" t="str" cm="1">
        <f t="array" ref="R741">IF($K741&gt;0, INDEX(Clean,1+AH741,$C$1), "")</f>
        <v/>
      </c>
      <c r="S741" s="245"/>
      <c r="T741" s="245"/>
      <c r="U741" s="246"/>
      <c r="V741" s="248">
        <f t="shared" si="676"/>
        <v>0</v>
      </c>
      <c r="W741" s="261"/>
      <c r="X741" s="258"/>
      <c r="Y741" s="240"/>
      <c r="Z741" s="241" t="str">
        <f>IF(ISBLANK(Y741), "", VLOOKUP(Y741, Z!$A$2:$C$4127, 3, FALSE))</f>
        <v/>
      </c>
      <c r="AA741" s="262"/>
      <c r="AB741" s="249">
        <f t="shared" si="711"/>
        <v>0</v>
      </c>
      <c r="AC741" s="210"/>
      <c r="AD741" s="236">
        <f t="shared" si="699"/>
        <v>1</v>
      </c>
      <c r="AE741" s="236">
        <f t="shared" si="700"/>
        <v>1</v>
      </c>
      <c r="AF741" s="236">
        <f t="shared" si="701"/>
        <v>0</v>
      </c>
      <c r="AG741" s="236">
        <v>1</v>
      </c>
      <c r="AH741" s="236">
        <v>0</v>
      </c>
      <c r="AI741" s="236">
        <f t="shared" si="677"/>
        <v>-100</v>
      </c>
      <c r="AJ741" s="210"/>
      <c r="AK741" s="254"/>
      <c r="AL741" s="254"/>
      <c r="AM741" s="255"/>
      <c r="AN741" s="255"/>
      <c r="AO741" s="255"/>
      <c r="AP741" s="255"/>
      <c r="AQ741" s="255"/>
      <c r="AR741" s="255"/>
      <c r="AS741" s="255"/>
      <c r="AT741" s="255"/>
      <c r="AU741" s="255"/>
      <c r="AV741" s="255"/>
      <c r="AW741" s="255"/>
      <c r="AX741" s="210"/>
      <c r="AY741" s="236" cm="1">
        <f t="array" ref="AY741">INDEX(Use, $AD741, 4)</f>
        <v>7</v>
      </c>
      <c r="AZ741" s="236">
        <f t="shared" si="678"/>
        <v>32</v>
      </c>
      <c r="BA741" s="236">
        <f t="shared" si="703"/>
        <v>13</v>
      </c>
      <c r="BB741" s="236">
        <f t="shared" si="704"/>
        <v>0</v>
      </c>
      <c r="BC741" s="252" cm="1">
        <f t="array" ref="BC741">K741/IF($L741&gt;0, INDEX($AO$23:$AU$77, $L741+20, $AD741), 1)</f>
        <v>0</v>
      </c>
      <c r="BD741" s="237">
        <f t="shared" si="679"/>
        <v>0</v>
      </c>
      <c r="BE741" s="236">
        <v>35</v>
      </c>
      <c r="BF741" s="237">
        <f t="shared" si="680"/>
        <v>52.55</v>
      </c>
      <c r="BG741" s="253">
        <f t="shared" si="681"/>
        <v>2.7676728869374316</v>
      </c>
      <c r="BH741" s="253" cm="1">
        <f t="array" ref="BH741">$BC741 * SUMPRODUCT(INDEX($AL$77:$AN$82,,$AE741),INDEX($AO$77:$AU$82,,$AD741), N($AK$77:$AK$82&gt;$AI741)) / BG741 / 1000</f>
        <v>0</v>
      </c>
      <c r="BI741" s="250">
        <f t="shared" si="705"/>
        <v>30</v>
      </c>
      <c r="BJ741" s="237">
        <f t="shared" si="682"/>
        <v>46.033333333333331</v>
      </c>
      <c r="BK741" s="253">
        <f t="shared" si="683"/>
        <v>3.2297395388556791</v>
      </c>
      <c r="BL741" s="253" cm="1">
        <f t="array" ref="BL741">$BC741 * IF($AD741&lt;=2,
SUMPRODUCT(INDEX($AL$72:$AN$76,,$AE741), INDEX($AO$72:$AU$76,,$AD741), 1 / ($AV$72:$AV$76*BK741 + (1-$AV$72:$AV$76)*BG741), N($AK$72:$AK$76&gt;$AI741)),
SUMPRODUCT(INDEX($AL$67:$AN$76,,$AE741), INDEX($AO$67:$AU$76,,$AD741), 1 / ($AW$67:$AW$76*BK741 + (1-$AW$67:$AW$76)*BG741), N($AK$67:$AK$76&gt;$AI741))
) / 1000</f>
        <v>0</v>
      </c>
      <c r="BM741" s="250">
        <f t="shared" si="706"/>
        <v>25</v>
      </c>
      <c r="BN741" s="237">
        <f t="shared" si="684"/>
        <v>39.516666666666666</v>
      </c>
      <c r="BO741" s="253">
        <f t="shared" si="685"/>
        <v>3.877011788826243</v>
      </c>
      <c r="BP741" s="253" cm="1">
        <f t="array" ref="BP741">$BC741 * IF($AD741&lt;=2,
SUMPRODUCT(INDEX($AL$67:$AN$71,,$AE741), INDEX($AO$67:$AU$71,,$AD741), 1 / ($AV$67:$AV$71*BO741 + (1-$AV$67:$AV$71)*BK741), N($AK$67:$AK$71&gt;$AI741)),
SUMPRODUCT(INDEX($AL$57:$AN$66,,$AE741), INDEX($AO$57:$AU$66,,$AD741), 1 / ($AW$57:$AW$66*BO741 + (1-$AW$57:$AW$66)*BK741), N($AK$57:$AK$66&gt;$AI741))
) / 1000</f>
        <v>0</v>
      </c>
      <c r="BQ741" s="250">
        <f t="shared" si="707"/>
        <v>20</v>
      </c>
      <c r="BR741" s="237">
        <f t="shared" si="686"/>
        <v>33</v>
      </c>
      <c r="BS741" s="253">
        <f t="shared" si="687"/>
        <v>4.8487499999999999</v>
      </c>
      <c r="BT741" s="253" cm="1">
        <f t="array" ref="BT741">$BC741 * IF($AD741&lt;=2,
SUMPRODUCT(INDEX($AL$62:$AN$66,,$AE741), INDEX($AO$62:$AU$66,,$AD741), 1 / ($AV$62:$AV$66*BS741 + (1-$AV$62:$AV$66)*BO741), N($AK$62:$AK$66&gt;$AI741)),
SUMPRODUCT(INDEX($AL$47:$AN$56,,$AE741), INDEX($AO$47:$AU$56,,$AD741), 1 / ($AW$47:$AW$56*BS741 + (1-$AW$47:$AW$56)*BO741), N($AK$47:$AK$56&gt;$AI741))
) / 1000</f>
        <v>0</v>
      </c>
      <c r="BU741" s="253" cm="1">
        <f t="array" ref="BU741">$BC741 * IF($AD741&lt;=2,
SUMPRODUCT(INDEX($AL$23:$AN$61,,$AE741), INDEX($AO$23:$AU$61,,$AD741), 1 / ($AV$23:$AV$61*BS741), N($AK$23:$AK$61&gt;$AI741)),
SUMPRODUCT(INDEX($AL$23:$AN$46,,$AE741), INDEX($AO$23:$AU$46,,$AD741), 1 / ($AW$23:$AW$46*BS741), N($AK$23:$AK$46&gt;$AI741))
) / 1000</f>
        <v>0</v>
      </c>
      <c r="BV741" s="237">
        <f t="shared" si="688"/>
        <v>0</v>
      </c>
      <c r="BW741" s="210"/>
      <c r="BX741" s="237">
        <f t="shared" si="689"/>
        <v>0</v>
      </c>
      <c r="BY741" s="236">
        <v>35</v>
      </c>
      <c r="BZ741" s="237">
        <f t="shared" si="690"/>
        <v>48</v>
      </c>
      <c r="CA741" s="253">
        <f t="shared" si="691"/>
        <v>3.0748170731707316</v>
      </c>
      <c r="CB741" s="253" cm="1">
        <f t="array" ref="CB741">$BC741 * SUMPRODUCT(INDEX($AL$77:$AN$82,,$AE741),INDEX($AO$77:$AU$82,,$AD741), N($AK$77:$AK$82&gt;$AI741)) / CA741 / 1000</f>
        <v>0</v>
      </c>
      <c r="CC741" s="250">
        <f t="shared" si="708"/>
        <v>30</v>
      </c>
      <c r="CD741" s="237">
        <f t="shared" si="692"/>
        <v>43</v>
      </c>
      <c r="CE741" s="253">
        <f t="shared" si="693"/>
        <v>3.5018750000000001</v>
      </c>
      <c r="CF741" s="253" cm="1">
        <f t="array" ref="CF741">$BC741 * IF($AD741&lt;=2,
SUMPRODUCT(INDEX($AL$72:$AN$76,,$AE741), INDEX($AO$72:$AU$76,,$AD741), 1 / ($AV$72:$AV$76*CE741 + (1-$AV$72:$AV$76)*CA741), N($AK$72:$AK$76&gt;$AI741)),
SUMPRODUCT(INDEX($AL$67:$AN$76,,$AE741), INDEX($AO$67:$AU$76,,$AD741), 1 / ($AW$67:$AW$76*CE741 + (1-$AW$67:$AW$76)*CA741), N($AK$67:$AK$76&gt;$AI741))
) / 1000</f>
        <v>0</v>
      </c>
      <c r="CG741" s="250">
        <f t="shared" si="709"/>
        <v>25</v>
      </c>
      <c r="CH741" s="237">
        <f t="shared" si="694"/>
        <v>38</v>
      </c>
      <c r="CI741" s="253">
        <f t="shared" si="695"/>
        <v>4.0666935483870965</v>
      </c>
      <c r="CJ741" s="253" cm="1">
        <f t="array" ref="CJ741">$BC741 * IF($AD741&lt;=2,
SUMPRODUCT(INDEX($AL$67:$AN$71,,$AE741), INDEX($AO$67:$AU$71,,$AD741), 1 / ($AV$67:$AV$71*CI741 + (1-$AV$67:$AV$71)*CE741), N($AK$67:$AK$71&gt;$AI741)),
SUMPRODUCT(INDEX($AL$57:$AN$66,,$AE741), INDEX($AO$57:$AU$66,,$AD741), 1 / ($AW$57:$AW$66*CI741 + (1-$AW$57:$AW$66)*CE741), N($AK$57:$AK$66&gt;$AI741))
) / 1000</f>
        <v>0</v>
      </c>
      <c r="CK741" s="250">
        <f t="shared" si="710"/>
        <v>20</v>
      </c>
      <c r="CL741" s="237">
        <f t="shared" si="696"/>
        <v>33</v>
      </c>
      <c r="CM741" s="253">
        <f t="shared" si="697"/>
        <v>4.8487499999999999</v>
      </c>
      <c r="CN741" s="253" cm="1">
        <f t="array" ref="CN741">$BC741 * IF($AD741&lt;=2,
SUMPRODUCT(INDEX($AL$62:$AN$66,,$AE741), INDEX($AO$62:$AU$66,,$AD741), 1 / ($AV$62:$AV$66*CM741 + (1-$AV$62:$AV$66)*CI741), N($AK$62:$AK$66&gt;$AI741)),
SUMPRODUCT(INDEX($AL$47:$AN$56,,$AE741), INDEX($AO$47:$AU$56,,$AD741), 1 / ($AW$47:$AW$56*CM741 + (1-$AW$47:$AW$56)*CI741), N($AK$47:$AK$56&gt;$AI741))
) / 1000</f>
        <v>0</v>
      </c>
      <c r="CO741" s="253" cm="1">
        <f t="array" ref="CO741">$BC741 * IF($AD741&lt;=2,
SUMPRODUCT(INDEX($AL$23:$AN$61,,$AE741), INDEX($AO$23:$AU$61,,$AD741), 1 / ($AV$23:$AV$61*CM741), N($AK$23:$AK$61&gt;$AI741)),
SUMPRODUCT(INDEX($AL$23:$AN$46,,$AE741), INDEX($AO$23:$AU$46,,$AD741), 1 / ($AW$23:$AW$46*CM741), N($AK$23:$AK$46&gt;$AI741))
) / 1000</f>
        <v>0</v>
      </c>
      <c r="CP741" s="237">
        <f t="shared" si="698"/>
        <v>0</v>
      </c>
      <c r="CQ741" s="210"/>
    </row>
    <row r="742" spans="1:95" s="76" customFormat="1" ht="14.25" customHeight="1" x14ac:dyDescent="0.2">
      <c r="A742" s="238" t="b">
        <f t="shared" si="702"/>
        <v>0</v>
      </c>
      <c r="B742" s="239">
        <v>720</v>
      </c>
      <c r="C742" s="258"/>
      <c r="D742" s="258"/>
      <c r="E742" s="240"/>
      <c r="F742" s="241" t="str">
        <f>IF(ISBLANK(E742), "", VLOOKUP(E742, Z!$A$2:$C$4127, 3, FALSE))</f>
        <v/>
      </c>
      <c r="G742" s="242"/>
      <c r="H742" s="242"/>
      <c r="I742" s="243"/>
      <c r="J742" s="244"/>
      <c r="K742" s="259"/>
      <c r="L742" s="260"/>
      <c r="M742" s="247" t="str" cm="1">
        <f t="array" ref="M742">IF($K742&gt;0, INDEX(Clean,1+AG742,$C$1), "")</f>
        <v/>
      </c>
      <c r="N742" s="245"/>
      <c r="O742" s="245"/>
      <c r="P742" s="246"/>
      <c r="Q742" s="248">
        <f t="shared" si="675"/>
        <v>0</v>
      </c>
      <c r="R742" s="247" t="str" cm="1">
        <f t="array" ref="R742">IF($K742&gt;0, INDEX(Clean,1+AH742,$C$1), "")</f>
        <v/>
      </c>
      <c r="S742" s="245"/>
      <c r="T742" s="245"/>
      <c r="U742" s="246"/>
      <c r="V742" s="248">
        <f t="shared" si="676"/>
        <v>0</v>
      </c>
      <c r="W742" s="261"/>
      <c r="X742" s="258"/>
      <c r="Y742" s="240"/>
      <c r="Z742" s="241" t="str">
        <f>IF(ISBLANK(Y742), "", VLOOKUP(Y742, Z!$A$2:$C$4127, 3, FALSE))</f>
        <v/>
      </c>
      <c r="AA742" s="262"/>
      <c r="AB742" s="249">
        <f t="shared" si="711"/>
        <v>0</v>
      </c>
      <c r="AC742" s="210"/>
      <c r="AD742" s="236">
        <f t="shared" si="699"/>
        <v>1</v>
      </c>
      <c r="AE742" s="236">
        <f t="shared" si="700"/>
        <v>1</v>
      </c>
      <c r="AF742" s="236">
        <f t="shared" si="701"/>
        <v>0</v>
      </c>
      <c r="AG742" s="236">
        <v>1</v>
      </c>
      <c r="AH742" s="236">
        <v>0</v>
      </c>
      <c r="AI742" s="236">
        <f t="shared" si="677"/>
        <v>-100</v>
      </c>
      <c r="AJ742" s="210"/>
      <c r="AK742" s="254"/>
      <c r="AL742" s="254"/>
      <c r="AM742" s="255"/>
      <c r="AN742" s="255"/>
      <c r="AO742" s="255"/>
      <c r="AP742" s="255"/>
      <c r="AQ742" s="255"/>
      <c r="AR742" s="255"/>
      <c r="AS742" s="255"/>
      <c r="AT742" s="255"/>
      <c r="AU742" s="255"/>
      <c r="AV742" s="255"/>
      <c r="AW742" s="255"/>
      <c r="AX742" s="210"/>
      <c r="AY742" s="236" cm="1">
        <f t="array" ref="AY742">INDEX(Use, $AD742, 4)</f>
        <v>7</v>
      </c>
      <c r="AZ742" s="236">
        <f t="shared" si="678"/>
        <v>32</v>
      </c>
      <c r="BA742" s="236">
        <f t="shared" si="703"/>
        <v>13</v>
      </c>
      <c r="BB742" s="236">
        <f t="shared" si="704"/>
        <v>0</v>
      </c>
      <c r="BC742" s="252" cm="1">
        <f t="array" ref="BC742">K742/IF($L742&gt;0, INDEX($AO$23:$AU$77, $L742+20, $AD742), 1)</f>
        <v>0</v>
      </c>
      <c r="BD742" s="237">
        <f t="shared" si="679"/>
        <v>0</v>
      </c>
      <c r="BE742" s="236">
        <v>35</v>
      </c>
      <c r="BF742" s="237">
        <f t="shared" si="680"/>
        <v>52.55</v>
      </c>
      <c r="BG742" s="253">
        <f t="shared" si="681"/>
        <v>2.7676728869374316</v>
      </c>
      <c r="BH742" s="253" cm="1">
        <f t="array" ref="BH742">$BC742 * SUMPRODUCT(INDEX($AL$77:$AN$82,,$AE742),INDEX($AO$77:$AU$82,,$AD742), N($AK$77:$AK$82&gt;$AI742)) / BG742 / 1000</f>
        <v>0</v>
      </c>
      <c r="BI742" s="250">
        <f t="shared" si="705"/>
        <v>30</v>
      </c>
      <c r="BJ742" s="237">
        <f t="shared" si="682"/>
        <v>46.033333333333331</v>
      </c>
      <c r="BK742" s="253">
        <f t="shared" si="683"/>
        <v>3.2297395388556791</v>
      </c>
      <c r="BL742" s="253" cm="1">
        <f t="array" ref="BL742">$BC742 * IF($AD742&lt;=2,
SUMPRODUCT(INDEX($AL$72:$AN$76,,$AE742), INDEX($AO$72:$AU$76,,$AD742), 1 / ($AV$72:$AV$76*BK742 + (1-$AV$72:$AV$76)*BG742), N($AK$72:$AK$76&gt;$AI742)),
SUMPRODUCT(INDEX($AL$67:$AN$76,,$AE742), INDEX($AO$67:$AU$76,,$AD742), 1 / ($AW$67:$AW$76*BK742 + (1-$AW$67:$AW$76)*BG742), N($AK$67:$AK$76&gt;$AI742))
) / 1000</f>
        <v>0</v>
      </c>
      <c r="BM742" s="250">
        <f t="shared" si="706"/>
        <v>25</v>
      </c>
      <c r="BN742" s="237">
        <f t="shared" si="684"/>
        <v>39.516666666666666</v>
      </c>
      <c r="BO742" s="253">
        <f t="shared" si="685"/>
        <v>3.877011788826243</v>
      </c>
      <c r="BP742" s="253" cm="1">
        <f t="array" ref="BP742">$BC742 * IF($AD742&lt;=2,
SUMPRODUCT(INDEX($AL$67:$AN$71,,$AE742), INDEX($AO$67:$AU$71,,$AD742), 1 / ($AV$67:$AV$71*BO742 + (1-$AV$67:$AV$71)*BK742), N($AK$67:$AK$71&gt;$AI742)),
SUMPRODUCT(INDEX($AL$57:$AN$66,,$AE742), INDEX($AO$57:$AU$66,,$AD742), 1 / ($AW$57:$AW$66*BO742 + (1-$AW$57:$AW$66)*BK742), N($AK$57:$AK$66&gt;$AI742))
) / 1000</f>
        <v>0</v>
      </c>
      <c r="BQ742" s="250">
        <f t="shared" si="707"/>
        <v>20</v>
      </c>
      <c r="BR742" s="237">
        <f t="shared" si="686"/>
        <v>33</v>
      </c>
      <c r="BS742" s="253">
        <f t="shared" si="687"/>
        <v>4.8487499999999999</v>
      </c>
      <c r="BT742" s="253" cm="1">
        <f t="array" ref="BT742">$BC742 * IF($AD742&lt;=2,
SUMPRODUCT(INDEX($AL$62:$AN$66,,$AE742), INDEX($AO$62:$AU$66,,$AD742), 1 / ($AV$62:$AV$66*BS742 + (1-$AV$62:$AV$66)*BO742), N($AK$62:$AK$66&gt;$AI742)),
SUMPRODUCT(INDEX($AL$47:$AN$56,,$AE742), INDEX($AO$47:$AU$56,,$AD742), 1 / ($AW$47:$AW$56*BS742 + (1-$AW$47:$AW$56)*BO742), N($AK$47:$AK$56&gt;$AI742))
) / 1000</f>
        <v>0</v>
      </c>
      <c r="BU742" s="253" cm="1">
        <f t="array" ref="BU742">$BC742 * IF($AD742&lt;=2,
SUMPRODUCT(INDEX($AL$23:$AN$61,,$AE742), INDEX($AO$23:$AU$61,,$AD742), 1 / ($AV$23:$AV$61*BS742), N($AK$23:$AK$61&gt;$AI742)),
SUMPRODUCT(INDEX($AL$23:$AN$46,,$AE742), INDEX($AO$23:$AU$46,,$AD742), 1 / ($AW$23:$AW$46*BS742), N($AK$23:$AK$46&gt;$AI742))
) / 1000</f>
        <v>0</v>
      </c>
      <c r="BV742" s="237">
        <f t="shared" si="688"/>
        <v>0</v>
      </c>
      <c r="BW742" s="210"/>
      <c r="BX742" s="237">
        <f t="shared" si="689"/>
        <v>0</v>
      </c>
      <c r="BY742" s="236">
        <v>35</v>
      </c>
      <c r="BZ742" s="237">
        <f t="shared" si="690"/>
        <v>48</v>
      </c>
      <c r="CA742" s="253">
        <f t="shared" si="691"/>
        <v>3.0748170731707316</v>
      </c>
      <c r="CB742" s="253" cm="1">
        <f t="array" ref="CB742">$BC742 * SUMPRODUCT(INDEX($AL$77:$AN$82,,$AE742),INDEX($AO$77:$AU$82,,$AD742), N($AK$77:$AK$82&gt;$AI742)) / CA742 / 1000</f>
        <v>0</v>
      </c>
      <c r="CC742" s="250">
        <f t="shared" si="708"/>
        <v>30</v>
      </c>
      <c r="CD742" s="237">
        <f t="shared" si="692"/>
        <v>43</v>
      </c>
      <c r="CE742" s="253">
        <f t="shared" si="693"/>
        <v>3.5018750000000001</v>
      </c>
      <c r="CF742" s="253" cm="1">
        <f t="array" ref="CF742">$BC742 * IF($AD742&lt;=2,
SUMPRODUCT(INDEX($AL$72:$AN$76,,$AE742), INDEX($AO$72:$AU$76,,$AD742), 1 / ($AV$72:$AV$76*CE742 + (1-$AV$72:$AV$76)*CA742), N($AK$72:$AK$76&gt;$AI742)),
SUMPRODUCT(INDEX($AL$67:$AN$76,,$AE742), INDEX($AO$67:$AU$76,,$AD742), 1 / ($AW$67:$AW$76*CE742 + (1-$AW$67:$AW$76)*CA742), N($AK$67:$AK$76&gt;$AI742))
) / 1000</f>
        <v>0</v>
      </c>
      <c r="CG742" s="250">
        <f t="shared" si="709"/>
        <v>25</v>
      </c>
      <c r="CH742" s="237">
        <f t="shared" si="694"/>
        <v>38</v>
      </c>
      <c r="CI742" s="253">
        <f t="shared" si="695"/>
        <v>4.0666935483870965</v>
      </c>
      <c r="CJ742" s="253" cm="1">
        <f t="array" ref="CJ742">$BC742 * IF($AD742&lt;=2,
SUMPRODUCT(INDEX($AL$67:$AN$71,,$AE742), INDEX($AO$67:$AU$71,,$AD742), 1 / ($AV$67:$AV$71*CI742 + (1-$AV$67:$AV$71)*CE742), N($AK$67:$AK$71&gt;$AI742)),
SUMPRODUCT(INDEX($AL$57:$AN$66,,$AE742), INDEX($AO$57:$AU$66,,$AD742), 1 / ($AW$57:$AW$66*CI742 + (1-$AW$57:$AW$66)*CE742), N($AK$57:$AK$66&gt;$AI742))
) / 1000</f>
        <v>0</v>
      </c>
      <c r="CK742" s="250">
        <f t="shared" si="710"/>
        <v>20</v>
      </c>
      <c r="CL742" s="237">
        <f t="shared" si="696"/>
        <v>33</v>
      </c>
      <c r="CM742" s="253">
        <f t="shared" si="697"/>
        <v>4.8487499999999999</v>
      </c>
      <c r="CN742" s="253" cm="1">
        <f t="array" ref="CN742">$BC742 * IF($AD742&lt;=2,
SUMPRODUCT(INDEX($AL$62:$AN$66,,$AE742), INDEX($AO$62:$AU$66,,$AD742), 1 / ($AV$62:$AV$66*CM742 + (1-$AV$62:$AV$66)*CI742), N($AK$62:$AK$66&gt;$AI742)),
SUMPRODUCT(INDEX($AL$47:$AN$56,,$AE742), INDEX($AO$47:$AU$56,,$AD742), 1 / ($AW$47:$AW$56*CM742 + (1-$AW$47:$AW$56)*CI742), N($AK$47:$AK$56&gt;$AI742))
) / 1000</f>
        <v>0</v>
      </c>
      <c r="CO742" s="253" cm="1">
        <f t="array" ref="CO742">$BC742 * IF($AD742&lt;=2,
SUMPRODUCT(INDEX($AL$23:$AN$61,,$AE742), INDEX($AO$23:$AU$61,,$AD742), 1 / ($AV$23:$AV$61*CM742), N($AK$23:$AK$61&gt;$AI742)),
SUMPRODUCT(INDEX($AL$23:$AN$46,,$AE742), INDEX($AO$23:$AU$46,,$AD742), 1 / ($AW$23:$AW$46*CM742), N($AK$23:$AK$46&gt;$AI742))
) / 1000</f>
        <v>0</v>
      </c>
      <c r="CP742" s="237">
        <f t="shared" si="698"/>
        <v>0</v>
      </c>
      <c r="CQ742" s="210"/>
    </row>
    <row r="743" spans="1:95" s="76" customFormat="1" ht="14.25" customHeight="1" x14ac:dyDescent="0.2">
      <c r="A743" s="238" t="b">
        <f t="shared" si="702"/>
        <v>0</v>
      </c>
      <c r="B743" s="239">
        <v>721</v>
      </c>
      <c r="C743" s="258"/>
      <c r="D743" s="258"/>
      <c r="E743" s="240"/>
      <c r="F743" s="241" t="str">
        <f>IF(ISBLANK(E743), "", VLOOKUP(E743, Z!$A$2:$C$4127, 3, FALSE))</f>
        <v/>
      </c>
      <c r="G743" s="242"/>
      <c r="H743" s="242"/>
      <c r="I743" s="243"/>
      <c r="J743" s="244"/>
      <c r="K743" s="259"/>
      <c r="L743" s="260"/>
      <c r="M743" s="247" t="str" cm="1">
        <f t="array" ref="M743">IF($K743&gt;0, INDEX(Clean,1+AG743,$C$1), "")</f>
        <v/>
      </c>
      <c r="N743" s="245"/>
      <c r="O743" s="245"/>
      <c r="P743" s="246"/>
      <c r="Q743" s="248">
        <f t="shared" si="675"/>
        <v>0</v>
      </c>
      <c r="R743" s="247" t="str" cm="1">
        <f t="array" ref="R743">IF($K743&gt;0, INDEX(Clean,1+AH743,$C$1), "")</f>
        <v/>
      </c>
      <c r="S743" s="245"/>
      <c r="T743" s="245"/>
      <c r="U743" s="246"/>
      <c r="V743" s="248">
        <f t="shared" si="676"/>
        <v>0</v>
      </c>
      <c r="W743" s="261"/>
      <c r="X743" s="258"/>
      <c r="Y743" s="240"/>
      <c r="Z743" s="241" t="str">
        <f>IF(ISBLANK(Y743), "", VLOOKUP(Y743, Z!$A$2:$C$4127, 3, FALSE))</f>
        <v/>
      </c>
      <c r="AA743" s="262"/>
      <c r="AB743" s="249">
        <f t="shared" si="711"/>
        <v>0</v>
      </c>
      <c r="AC743" s="210"/>
      <c r="AD743" s="236">
        <f t="shared" si="699"/>
        <v>1</v>
      </c>
      <c r="AE743" s="236">
        <f t="shared" si="700"/>
        <v>1</v>
      </c>
      <c r="AF743" s="236">
        <f t="shared" si="701"/>
        <v>0</v>
      </c>
      <c r="AG743" s="236">
        <v>1</v>
      </c>
      <c r="AH743" s="236">
        <v>0</v>
      </c>
      <c r="AI743" s="236">
        <f t="shared" si="677"/>
        <v>-100</v>
      </c>
      <c r="AJ743" s="210"/>
      <c r="AK743" s="254"/>
      <c r="AL743" s="254"/>
      <c r="AM743" s="255"/>
      <c r="AN743" s="255"/>
      <c r="AO743" s="255"/>
      <c r="AP743" s="255"/>
      <c r="AQ743" s="255"/>
      <c r="AR743" s="255"/>
      <c r="AS743" s="255"/>
      <c r="AT743" s="255"/>
      <c r="AU743" s="255"/>
      <c r="AV743" s="255"/>
      <c r="AW743" s="255"/>
      <c r="AX743" s="210"/>
      <c r="AY743" s="236" cm="1">
        <f t="array" ref="AY743">INDEX(Use, $AD743, 4)</f>
        <v>7</v>
      </c>
      <c r="AZ743" s="236">
        <f t="shared" si="678"/>
        <v>32</v>
      </c>
      <c r="BA743" s="236">
        <f t="shared" si="703"/>
        <v>13</v>
      </c>
      <c r="BB743" s="236">
        <f t="shared" si="704"/>
        <v>0</v>
      </c>
      <c r="BC743" s="252" cm="1">
        <f t="array" ref="BC743">K743/IF($L743&gt;0, INDEX($AO$23:$AU$77, $L743+20, $AD743), 1)</f>
        <v>0</v>
      </c>
      <c r="BD743" s="237">
        <f t="shared" si="679"/>
        <v>0</v>
      </c>
      <c r="BE743" s="236">
        <v>35</v>
      </c>
      <c r="BF743" s="237">
        <f t="shared" si="680"/>
        <v>52.55</v>
      </c>
      <c r="BG743" s="253">
        <f t="shared" si="681"/>
        <v>2.7676728869374316</v>
      </c>
      <c r="BH743" s="253" cm="1">
        <f t="array" ref="BH743">$BC743 * SUMPRODUCT(INDEX($AL$77:$AN$82,,$AE743),INDEX($AO$77:$AU$82,,$AD743), N($AK$77:$AK$82&gt;$AI743)) / BG743 / 1000</f>
        <v>0</v>
      </c>
      <c r="BI743" s="250">
        <f t="shared" si="705"/>
        <v>30</v>
      </c>
      <c r="BJ743" s="237">
        <f t="shared" si="682"/>
        <v>46.033333333333331</v>
      </c>
      <c r="BK743" s="253">
        <f t="shared" si="683"/>
        <v>3.2297395388556791</v>
      </c>
      <c r="BL743" s="253" cm="1">
        <f t="array" ref="BL743">$BC743 * IF($AD743&lt;=2,
SUMPRODUCT(INDEX($AL$72:$AN$76,,$AE743), INDEX($AO$72:$AU$76,,$AD743), 1 / ($AV$72:$AV$76*BK743 + (1-$AV$72:$AV$76)*BG743), N($AK$72:$AK$76&gt;$AI743)),
SUMPRODUCT(INDEX($AL$67:$AN$76,,$AE743), INDEX($AO$67:$AU$76,,$AD743), 1 / ($AW$67:$AW$76*BK743 + (1-$AW$67:$AW$76)*BG743), N($AK$67:$AK$76&gt;$AI743))
) / 1000</f>
        <v>0</v>
      </c>
      <c r="BM743" s="250">
        <f t="shared" si="706"/>
        <v>25</v>
      </c>
      <c r="BN743" s="237">
        <f t="shared" si="684"/>
        <v>39.516666666666666</v>
      </c>
      <c r="BO743" s="253">
        <f t="shared" si="685"/>
        <v>3.877011788826243</v>
      </c>
      <c r="BP743" s="253" cm="1">
        <f t="array" ref="BP743">$BC743 * IF($AD743&lt;=2,
SUMPRODUCT(INDEX($AL$67:$AN$71,,$AE743), INDEX($AO$67:$AU$71,,$AD743), 1 / ($AV$67:$AV$71*BO743 + (1-$AV$67:$AV$71)*BK743), N($AK$67:$AK$71&gt;$AI743)),
SUMPRODUCT(INDEX($AL$57:$AN$66,,$AE743), INDEX($AO$57:$AU$66,,$AD743), 1 / ($AW$57:$AW$66*BO743 + (1-$AW$57:$AW$66)*BK743), N($AK$57:$AK$66&gt;$AI743))
) / 1000</f>
        <v>0</v>
      </c>
      <c r="BQ743" s="250">
        <f t="shared" si="707"/>
        <v>20</v>
      </c>
      <c r="BR743" s="237">
        <f t="shared" si="686"/>
        <v>33</v>
      </c>
      <c r="BS743" s="253">
        <f t="shared" si="687"/>
        <v>4.8487499999999999</v>
      </c>
      <c r="BT743" s="253" cm="1">
        <f t="array" ref="BT743">$BC743 * IF($AD743&lt;=2,
SUMPRODUCT(INDEX($AL$62:$AN$66,,$AE743), INDEX($AO$62:$AU$66,,$AD743), 1 / ($AV$62:$AV$66*BS743 + (1-$AV$62:$AV$66)*BO743), N($AK$62:$AK$66&gt;$AI743)),
SUMPRODUCT(INDEX($AL$47:$AN$56,,$AE743), INDEX($AO$47:$AU$56,,$AD743), 1 / ($AW$47:$AW$56*BS743 + (1-$AW$47:$AW$56)*BO743), N($AK$47:$AK$56&gt;$AI743))
) / 1000</f>
        <v>0</v>
      </c>
      <c r="BU743" s="253" cm="1">
        <f t="array" ref="BU743">$BC743 * IF($AD743&lt;=2,
SUMPRODUCT(INDEX($AL$23:$AN$61,,$AE743), INDEX($AO$23:$AU$61,,$AD743), 1 / ($AV$23:$AV$61*BS743), N($AK$23:$AK$61&gt;$AI743)),
SUMPRODUCT(INDEX($AL$23:$AN$46,,$AE743), INDEX($AO$23:$AU$46,,$AD743), 1 / ($AW$23:$AW$46*BS743), N($AK$23:$AK$46&gt;$AI743))
) / 1000</f>
        <v>0</v>
      </c>
      <c r="BV743" s="237">
        <f t="shared" si="688"/>
        <v>0</v>
      </c>
      <c r="BW743" s="210"/>
      <c r="BX743" s="237">
        <f t="shared" si="689"/>
        <v>0</v>
      </c>
      <c r="BY743" s="236">
        <v>35</v>
      </c>
      <c r="BZ743" s="237">
        <f t="shared" si="690"/>
        <v>48</v>
      </c>
      <c r="CA743" s="253">
        <f t="shared" si="691"/>
        <v>3.0748170731707316</v>
      </c>
      <c r="CB743" s="253" cm="1">
        <f t="array" ref="CB743">$BC743 * SUMPRODUCT(INDEX($AL$77:$AN$82,,$AE743),INDEX($AO$77:$AU$82,,$AD743), N($AK$77:$AK$82&gt;$AI743)) / CA743 / 1000</f>
        <v>0</v>
      </c>
      <c r="CC743" s="250">
        <f t="shared" si="708"/>
        <v>30</v>
      </c>
      <c r="CD743" s="237">
        <f t="shared" si="692"/>
        <v>43</v>
      </c>
      <c r="CE743" s="253">
        <f t="shared" si="693"/>
        <v>3.5018750000000001</v>
      </c>
      <c r="CF743" s="253" cm="1">
        <f t="array" ref="CF743">$BC743 * IF($AD743&lt;=2,
SUMPRODUCT(INDEX($AL$72:$AN$76,,$AE743), INDEX($AO$72:$AU$76,,$AD743), 1 / ($AV$72:$AV$76*CE743 + (1-$AV$72:$AV$76)*CA743), N($AK$72:$AK$76&gt;$AI743)),
SUMPRODUCT(INDEX($AL$67:$AN$76,,$AE743), INDEX($AO$67:$AU$76,,$AD743), 1 / ($AW$67:$AW$76*CE743 + (1-$AW$67:$AW$76)*CA743), N($AK$67:$AK$76&gt;$AI743))
) / 1000</f>
        <v>0</v>
      </c>
      <c r="CG743" s="250">
        <f t="shared" si="709"/>
        <v>25</v>
      </c>
      <c r="CH743" s="237">
        <f t="shared" si="694"/>
        <v>38</v>
      </c>
      <c r="CI743" s="253">
        <f t="shared" si="695"/>
        <v>4.0666935483870965</v>
      </c>
      <c r="CJ743" s="253" cm="1">
        <f t="array" ref="CJ743">$BC743 * IF($AD743&lt;=2,
SUMPRODUCT(INDEX($AL$67:$AN$71,,$AE743), INDEX($AO$67:$AU$71,,$AD743), 1 / ($AV$67:$AV$71*CI743 + (1-$AV$67:$AV$71)*CE743), N($AK$67:$AK$71&gt;$AI743)),
SUMPRODUCT(INDEX($AL$57:$AN$66,,$AE743), INDEX($AO$57:$AU$66,,$AD743), 1 / ($AW$57:$AW$66*CI743 + (1-$AW$57:$AW$66)*CE743), N($AK$57:$AK$66&gt;$AI743))
) / 1000</f>
        <v>0</v>
      </c>
      <c r="CK743" s="250">
        <f t="shared" si="710"/>
        <v>20</v>
      </c>
      <c r="CL743" s="237">
        <f t="shared" si="696"/>
        <v>33</v>
      </c>
      <c r="CM743" s="253">
        <f t="shared" si="697"/>
        <v>4.8487499999999999</v>
      </c>
      <c r="CN743" s="253" cm="1">
        <f t="array" ref="CN743">$BC743 * IF($AD743&lt;=2,
SUMPRODUCT(INDEX($AL$62:$AN$66,,$AE743), INDEX($AO$62:$AU$66,,$AD743), 1 / ($AV$62:$AV$66*CM743 + (1-$AV$62:$AV$66)*CI743), N($AK$62:$AK$66&gt;$AI743)),
SUMPRODUCT(INDEX($AL$47:$AN$56,,$AE743), INDEX($AO$47:$AU$56,,$AD743), 1 / ($AW$47:$AW$56*CM743 + (1-$AW$47:$AW$56)*CI743), N($AK$47:$AK$56&gt;$AI743))
) / 1000</f>
        <v>0</v>
      </c>
      <c r="CO743" s="253" cm="1">
        <f t="array" ref="CO743">$BC743 * IF($AD743&lt;=2,
SUMPRODUCT(INDEX($AL$23:$AN$61,,$AE743), INDEX($AO$23:$AU$61,,$AD743), 1 / ($AV$23:$AV$61*CM743), N($AK$23:$AK$61&gt;$AI743)),
SUMPRODUCT(INDEX($AL$23:$AN$46,,$AE743), INDEX($AO$23:$AU$46,,$AD743), 1 / ($AW$23:$AW$46*CM743), N($AK$23:$AK$46&gt;$AI743))
) / 1000</f>
        <v>0</v>
      </c>
      <c r="CP743" s="237">
        <f t="shared" si="698"/>
        <v>0</v>
      </c>
      <c r="CQ743" s="210"/>
    </row>
    <row r="744" spans="1:95" s="76" customFormat="1" ht="14.25" customHeight="1" x14ac:dyDescent="0.2">
      <c r="A744" s="238" t="b">
        <f t="shared" si="702"/>
        <v>0</v>
      </c>
      <c r="B744" s="239">
        <v>722</v>
      </c>
      <c r="C744" s="258"/>
      <c r="D744" s="258"/>
      <c r="E744" s="240"/>
      <c r="F744" s="241" t="str">
        <f>IF(ISBLANK(E744), "", VLOOKUP(E744, Z!$A$2:$C$4127, 3, FALSE))</f>
        <v/>
      </c>
      <c r="G744" s="242"/>
      <c r="H744" s="242"/>
      <c r="I744" s="243"/>
      <c r="J744" s="244"/>
      <c r="K744" s="259"/>
      <c r="L744" s="260"/>
      <c r="M744" s="247" t="str" cm="1">
        <f t="array" ref="M744">IF($K744&gt;0, INDEX(Clean,1+AG744,$C$1), "")</f>
        <v/>
      </c>
      <c r="N744" s="245"/>
      <c r="O744" s="245"/>
      <c r="P744" s="246"/>
      <c r="Q744" s="248">
        <f t="shared" si="675"/>
        <v>0</v>
      </c>
      <c r="R744" s="247" t="str" cm="1">
        <f t="array" ref="R744">IF($K744&gt;0, INDEX(Clean,1+AH744,$C$1), "")</f>
        <v/>
      </c>
      <c r="S744" s="245"/>
      <c r="T744" s="245"/>
      <c r="U744" s="246"/>
      <c r="V744" s="248">
        <f t="shared" si="676"/>
        <v>0</v>
      </c>
      <c r="W744" s="261"/>
      <c r="X744" s="258"/>
      <c r="Y744" s="240"/>
      <c r="Z744" s="241" t="str">
        <f>IF(ISBLANK(Y744), "", VLOOKUP(Y744, Z!$A$2:$C$4127, 3, FALSE))</f>
        <v/>
      </c>
      <c r="AA744" s="262"/>
      <c r="AB744" s="249">
        <f t="shared" si="711"/>
        <v>0</v>
      </c>
      <c r="AC744" s="210"/>
      <c r="AD744" s="236">
        <f t="shared" si="699"/>
        <v>1</v>
      </c>
      <c r="AE744" s="236">
        <f t="shared" si="700"/>
        <v>1</v>
      </c>
      <c r="AF744" s="236">
        <f t="shared" si="701"/>
        <v>0</v>
      </c>
      <c r="AG744" s="236">
        <v>1</v>
      </c>
      <c r="AH744" s="236">
        <v>0</v>
      </c>
      <c r="AI744" s="236">
        <f t="shared" si="677"/>
        <v>-100</v>
      </c>
      <c r="AJ744" s="210"/>
      <c r="AK744" s="254"/>
      <c r="AL744" s="254"/>
      <c r="AM744" s="255"/>
      <c r="AN744" s="255"/>
      <c r="AO744" s="255"/>
      <c r="AP744" s="255"/>
      <c r="AQ744" s="255"/>
      <c r="AR744" s="255"/>
      <c r="AS744" s="255"/>
      <c r="AT744" s="255"/>
      <c r="AU744" s="255"/>
      <c r="AV744" s="255"/>
      <c r="AW744" s="255"/>
      <c r="AX744" s="210"/>
      <c r="AY744" s="236" cm="1">
        <f t="array" ref="AY744">INDEX(Use, $AD744, 4)</f>
        <v>7</v>
      </c>
      <c r="AZ744" s="236">
        <f t="shared" si="678"/>
        <v>32</v>
      </c>
      <c r="BA744" s="236">
        <f t="shared" si="703"/>
        <v>13</v>
      </c>
      <c r="BB744" s="236">
        <f t="shared" si="704"/>
        <v>0</v>
      </c>
      <c r="BC744" s="252" cm="1">
        <f t="array" ref="BC744">K744/IF($L744&gt;0, INDEX($AO$23:$AU$77, $L744+20, $AD744), 1)</f>
        <v>0</v>
      </c>
      <c r="BD744" s="237">
        <f t="shared" si="679"/>
        <v>0</v>
      </c>
      <c r="BE744" s="236">
        <v>35</v>
      </c>
      <c r="BF744" s="237">
        <f t="shared" si="680"/>
        <v>52.55</v>
      </c>
      <c r="BG744" s="253">
        <f t="shared" si="681"/>
        <v>2.7676728869374316</v>
      </c>
      <c r="BH744" s="253" cm="1">
        <f t="array" ref="BH744">$BC744 * SUMPRODUCT(INDEX($AL$77:$AN$82,,$AE744),INDEX($AO$77:$AU$82,,$AD744), N($AK$77:$AK$82&gt;$AI744)) / BG744 / 1000</f>
        <v>0</v>
      </c>
      <c r="BI744" s="250">
        <f t="shared" si="705"/>
        <v>30</v>
      </c>
      <c r="BJ744" s="237">
        <f t="shared" si="682"/>
        <v>46.033333333333331</v>
      </c>
      <c r="BK744" s="253">
        <f t="shared" si="683"/>
        <v>3.2297395388556791</v>
      </c>
      <c r="BL744" s="253" cm="1">
        <f t="array" ref="BL744">$BC744 * IF($AD744&lt;=2,
SUMPRODUCT(INDEX($AL$72:$AN$76,,$AE744), INDEX($AO$72:$AU$76,,$AD744), 1 / ($AV$72:$AV$76*BK744 + (1-$AV$72:$AV$76)*BG744), N($AK$72:$AK$76&gt;$AI744)),
SUMPRODUCT(INDEX($AL$67:$AN$76,,$AE744), INDEX($AO$67:$AU$76,,$AD744), 1 / ($AW$67:$AW$76*BK744 + (1-$AW$67:$AW$76)*BG744), N($AK$67:$AK$76&gt;$AI744))
) / 1000</f>
        <v>0</v>
      </c>
      <c r="BM744" s="250">
        <f t="shared" si="706"/>
        <v>25</v>
      </c>
      <c r="BN744" s="237">
        <f t="shared" si="684"/>
        <v>39.516666666666666</v>
      </c>
      <c r="BO744" s="253">
        <f t="shared" si="685"/>
        <v>3.877011788826243</v>
      </c>
      <c r="BP744" s="253" cm="1">
        <f t="array" ref="BP744">$BC744 * IF($AD744&lt;=2,
SUMPRODUCT(INDEX($AL$67:$AN$71,,$AE744), INDEX($AO$67:$AU$71,,$AD744), 1 / ($AV$67:$AV$71*BO744 + (1-$AV$67:$AV$71)*BK744), N($AK$67:$AK$71&gt;$AI744)),
SUMPRODUCT(INDEX($AL$57:$AN$66,,$AE744), INDEX($AO$57:$AU$66,,$AD744), 1 / ($AW$57:$AW$66*BO744 + (1-$AW$57:$AW$66)*BK744), N($AK$57:$AK$66&gt;$AI744))
) / 1000</f>
        <v>0</v>
      </c>
      <c r="BQ744" s="250">
        <f t="shared" si="707"/>
        <v>20</v>
      </c>
      <c r="BR744" s="237">
        <f t="shared" si="686"/>
        <v>33</v>
      </c>
      <c r="BS744" s="253">
        <f t="shared" si="687"/>
        <v>4.8487499999999999</v>
      </c>
      <c r="BT744" s="253" cm="1">
        <f t="array" ref="BT744">$BC744 * IF($AD744&lt;=2,
SUMPRODUCT(INDEX($AL$62:$AN$66,,$AE744), INDEX($AO$62:$AU$66,,$AD744), 1 / ($AV$62:$AV$66*BS744 + (1-$AV$62:$AV$66)*BO744), N($AK$62:$AK$66&gt;$AI744)),
SUMPRODUCT(INDEX($AL$47:$AN$56,,$AE744), INDEX($AO$47:$AU$56,,$AD744), 1 / ($AW$47:$AW$56*BS744 + (1-$AW$47:$AW$56)*BO744), N($AK$47:$AK$56&gt;$AI744))
) / 1000</f>
        <v>0</v>
      </c>
      <c r="BU744" s="253" cm="1">
        <f t="array" ref="BU744">$BC744 * IF($AD744&lt;=2,
SUMPRODUCT(INDEX($AL$23:$AN$61,,$AE744), INDEX($AO$23:$AU$61,,$AD744), 1 / ($AV$23:$AV$61*BS744), N($AK$23:$AK$61&gt;$AI744)),
SUMPRODUCT(INDEX($AL$23:$AN$46,,$AE744), INDEX($AO$23:$AU$46,,$AD744), 1 / ($AW$23:$AW$46*BS744), N($AK$23:$AK$46&gt;$AI744))
) / 1000</f>
        <v>0</v>
      </c>
      <c r="BV744" s="237">
        <f t="shared" si="688"/>
        <v>0</v>
      </c>
      <c r="BW744" s="210"/>
      <c r="BX744" s="237">
        <f t="shared" si="689"/>
        <v>0</v>
      </c>
      <c r="BY744" s="236">
        <v>35</v>
      </c>
      <c r="BZ744" s="237">
        <f t="shared" si="690"/>
        <v>48</v>
      </c>
      <c r="CA744" s="253">
        <f t="shared" si="691"/>
        <v>3.0748170731707316</v>
      </c>
      <c r="CB744" s="253" cm="1">
        <f t="array" ref="CB744">$BC744 * SUMPRODUCT(INDEX($AL$77:$AN$82,,$AE744),INDEX($AO$77:$AU$82,,$AD744), N($AK$77:$AK$82&gt;$AI744)) / CA744 / 1000</f>
        <v>0</v>
      </c>
      <c r="CC744" s="250">
        <f t="shared" si="708"/>
        <v>30</v>
      </c>
      <c r="CD744" s="237">
        <f t="shared" si="692"/>
        <v>43</v>
      </c>
      <c r="CE744" s="253">
        <f t="shared" si="693"/>
        <v>3.5018750000000001</v>
      </c>
      <c r="CF744" s="253" cm="1">
        <f t="array" ref="CF744">$BC744 * IF($AD744&lt;=2,
SUMPRODUCT(INDEX($AL$72:$AN$76,,$AE744), INDEX($AO$72:$AU$76,,$AD744), 1 / ($AV$72:$AV$76*CE744 + (1-$AV$72:$AV$76)*CA744), N($AK$72:$AK$76&gt;$AI744)),
SUMPRODUCT(INDEX($AL$67:$AN$76,,$AE744), INDEX($AO$67:$AU$76,,$AD744), 1 / ($AW$67:$AW$76*CE744 + (1-$AW$67:$AW$76)*CA744), N($AK$67:$AK$76&gt;$AI744))
) / 1000</f>
        <v>0</v>
      </c>
      <c r="CG744" s="250">
        <f t="shared" si="709"/>
        <v>25</v>
      </c>
      <c r="CH744" s="237">
        <f t="shared" si="694"/>
        <v>38</v>
      </c>
      <c r="CI744" s="253">
        <f t="shared" si="695"/>
        <v>4.0666935483870965</v>
      </c>
      <c r="CJ744" s="253" cm="1">
        <f t="array" ref="CJ744">$BC744 * IF($AD744&lt;=2,
SUMPRODUCT(INDEX($AL$67:$AN$71,,$AE744), INDEX($AO$67:$AU$71,,$AD744), 1 / ($AV$67:$AV$71*CI744 + (1-$AV$67:$AV$71)*CE744), N($AK$67:$AK$71&gt;$AI744)),
SUMPRODUCT(INDEX($AL$57:$AN$66,,$AE744), INDEX($AO$57:$AU$66,,$AD744), 1 / ($AW$57:$AW$66*CI744 + (1-$AW$57:$AW$66)*CE744), N($AK$57:$AK$66&gt;$AI744))
) / 1000</f>
        <v>0</v>
      </c>
      <c r="CK744" s="250">
        <f t="shared" si="710"/>
        <v>20</v>
      </c>
      <c r="CL744" s="237">
        <f t="shared" si="696"/>
        <v>33</v>
      </c>
      <c r="CM744" s="253">
        <f t="shared" si="697"/>
        <v>4.8487499999999999</v>
      </c>
      <c r="CN744" s="253" cm="1">
        <f t="array" ref="CN744">$BC744 * IF($AD744&lt;=2,
SUMPRODUCT(INDEX($AL$62:$AN$66,,$AE744), INDEX($AO$62:$AU$66,,$AD744), 1 / ($AV$62:$AV$66*CM744 + (1-$AV$62:$AV$66)*CI744), N($AK$62:$AK$66&gt;$AI744)),
SUMPRODUCT(INDEX($AL$47:$AN$56,,$AE744), INDEX($AO$47:$AU$56,,$AD744), 1 / ($AW$47:$AW$56*CM744 + (1-$AW$47:$AW$56)*CI744), N($AK$47:$AK$56&gt;$AI744))
) / 1000</f>
        <v>0</v>
      </c>
      <c r="CO744" s="253" cm="1">
        <f t="array" ref="CO744">$BC744 * IF($AD744&lt;=2,
SUMPRODUCT(INDEX($AL$23:$AN$61,,$AE744), INDEX($AO$23:$AU$61,,$AD744), 1 / ($AV$23:$AV$61*CM744), N($AK$23:$AK$61&gt;$AI744)),
SUMPRODUCT(INDEX($AL$23:$AN$46,,$AE744), INDEX($AO$23:$AU$46,,$AD744), 1 / ($AW$23:$AW$46*CM744), N($AK$23:$AK$46&gt;$AI744))
) / 1000</f>
        <v>0</v>
      </c>
      <c r="CP744" s="237">
        <f t="shared" si="698"/>
        <v>0</v>
      </c>
      <c r="CQ744" s="210"/>
    </row>
    <row r="745" spans="1:95" s="76" customFormat="1" ht="14.25" customHeight="1" x14ac:dyDescent="0.2">
      <c r="A745" s="238" t="b">
        <f t="shared" si="702"/>
        <v>0</v>
      </c>
      <c r="B745" s="239">
        <v>723</v>
      </c>
      <c r="C745" s="258"/>
      <c r="D745" s="258"/>
      <c r="E745" s="240"/>
      <c r="F745" s="241" t="str">
        <f>IF(ISBLANK(E745), "", VLOOKUP(E745, Z!$A$2:$C$4127, 3, FALSE))</f>
        <v/>
      </c>
      <c r="G745" s="242"/>
      <c r="H745" s="242"/>
      <c r="I745" s="243"/>
      <c r="J745" s="244"/>
      <c r="K745" s="259"/>
      <c r="L745" s="260"/>
      <c r="M745" s="247" t="str" cm="1">
        <f t="array" ref="M745">IF($K745&gt;0, INDEX(Clean,1+AG745,$C$1), "")</f>
        <v/>
      </c>
      <c r="N745" s="245"/>
      <c r="O745" s="245"/>
      <c r="P745" s="246"/>
      <c r="Q745" s="248">
        <f t="shared" si="675"/>
        <v>0</v>
      </c>
      <c r="R745" s="247" t="str" cm="1">
        <f t="array" ref="R745">IF($K745&gt;0, INDEX(Clean,1+AH745,$C$1), "")</f>
        <v/>
      </c>
      <c r="S745" s="245"/>
      <c r="T745" s="245"/>
      <c r="U745" s="246"/>
      <c r="V745" s="248">
        <f t="shared" si="676"/>
        <v>0</v>
      </c>
      <c r="W745" s="261"/>
      <c r="X745" s="258"/>
      <c r="Y745" s="240"/>
      <c r="Z745" s="241" t="str">
        <f>IF(ISBLANK(Y745), "", VLOOKUP(Y745, Z!$A$2:$C$4127, 3, FALSE))</f>
        <v/>
      </c>
      <c r="AA745" s="262"/>
      <c r="AB745" s="249">
        <f t="shared" si="711"/>
        <v>0</v>
      </c>
      <c r="AC745" s="210"/>
      <c r="AD745" s="236">
        <f t="shared" si="699"/>
        <v>1</v>
      </c>
      <c r="AE745" s="236">
        <f t="shared" si="700"/>
        <v>1</v>
      </c>
      <c r="AF745" s="236">
        <f t="shared" si="701"/>
        <v>0</v>
      </c>
      <c r="AG745" s="236">
        <v>1</v>
      </c>
      <c r="AH745" s="236">
        <v>0</v>
      </c>
      <c r="AI745" s="236">
        <f t="shared" si="677"/>
        <v>-100</v>
      </c>
      <c r="AJ745" s="210"/>
      <c r="AK745" s="254"/>
      <c r="AL745" s="254"/>
      <c r="AM745" s="255"/>
      <c r="AN745" s="255"/>
      <c r="AO745" s="255"/>
      <c r="AP745" s="255"/>
      <c r="AQ745" s="255"/>
      <c r="AR745" s="255"/>
      <c r="AS745" s="255"/>
      <c r="AT745" s="255"/>
      <c r="AU745" s="255"/>
      <c r="AV745" s="255"/>
      <c r="AW745" s="255"/>
      <c r="AX745" s="210"/>
      <c r="AY745" s="236" cm="1">
        <f t="array" ref="AY745">INDEX(Use, $AD745, 4)</f>
        <v>7</v>
      </c>
      <c r="AZ745" s="236">
        <f t="shared" si="678"/>
        <v>32</v>
      </c>
      <c r="BA745" s="236">
        <f t="shared" si="703"/>
        <v>13</v>
      </c>
      <c r="BB745" s="236">
        <f t="shared" si="704"/>
        <v>0</v>
      </c>
      <c r="BC745" s="252" cm="1">
        <f t="array" ref="BC745">K745/IF($L745&gt;0, INDEX($AO$23:$AU$77, $L745+20, $AD745), 1)</f>
        <v>0</v>
      </c>
      <c r="BD745" s="237">
        <f t="shared" si="679"/>
        <v>0</v>
      </c>
      <c r="BE745" s="236">
        <v>35</v>
      </c>
      <c r="BF745" s="237">
        <f t="shared" si="680"/>
        <v>52.55</v>
      </c>
      <c r="BG745" s="253">
        <f t="shared" si="681"/>
        <v>2.7676728869374316</v>
      </c>
      <c r="BH745" s="253" cm="1">
        <f t="array" ref="BH745">$BC745 * SUMPRODUCT(INDEX($AL$77:$AN$82,,$AE745),INDEX($AO$77:$AU$82,,$AD745), N($AK$77:$AK$82&gt;$AI745)) / BG745 / 1000</f>
        <v>0</v>
      </c>
      <c r="BI745" s="250">
        <f t="shared" si="705"/>
        <v>30</v>
      </c>
      <c r="BJ745" s="237">
        <f t="shared" si="682"/>
        <v>46.033333333333331</v>
      </c>
      <c r="BK745" s="253">
        <f t="shared" si="683"/>
        <v>3.2297395388556791</v>
      </c>
      <c r="BL745" s="253" cm="1">
        <f t="array" ref="BL745">$BC745 * IF($AD745&lt;=2,
SUMPRODUCT(INDEX($AL$72:$AN$76,,$AE745), INDEX($AO$72:$AU$76,,$AD745), 1 / ($AV$72:$AV$76*BK745 + (1-$AV$72:$AV$76)*BG745), N($AK$72:$AK$76&gt;$AI745)),
SUMPRODUCT(INDEX($AL$67:$AN$76,,$AE745), INDEX($AO$67:$AU$76,,$AD745), 1 / ($AW$67:$AW$76*BK745 + (1-$AW$67:$AW$76)*BG745), N($AK$67:$AK$76&gt;$AI745))
) / 1000</f>
        <v>0</v>
      </c>
      <c r="BM745" s="250">
        <f t="shared" si="706"/>
        <v>25</v>
      </c>
      <c r="BN745" s="237">
        <f t="shared" si="684"/>
        <v>39.516666666666666</v>
      </c>
      <c r="BO745" s="253">
        <f t="shared" si="685"/>
        <v>3.877011788826243</v>
      </c>
      <c r="BP745" s="253" cm="1">
        <f t="array" ref="BP745">$BC745 * IF($AD745&lt;=2,
SUMPRODUCT(INDEX($AL$67:$AN$71,,$AE745), INDEX($AO$67:$AU$71,,$AD745), 1 / ($AV$67:$AV$71*BO745 + (1-$AV$67:$AV$71)*BK745), N($AK$67:$AK$71&gt;$AI745)),
SUMPRODUCT(INDEX($AL$57:$AN$66,,$AE745), INDEX($AO$57:$AU$66,,$AD745), 1 / ($AW$57:$AW$66*BO745 + (1-$AW$57:$AW$66)*BK745), N($AK$57:$AK$66&gt;$AI745))
) / 1000</f>
        <v>0</v>
      </c>
      <c r="BQ745" s="250">
        <f t="shared" si="707"/>
        <v>20</v>
      </c>
      <c r="BR745" s="237">
        <f t="shared" si="686"/>
        <v>33</v>
      </c>
      <c r="BS745" s="253">
        <f t="shared" si="687"/>
        <v>4.8487499999999999</v>
      </c>
      <c r="BT745" s="253" cm="1">
        <f t="array" ref="BT745">$BC745 * IF($AD745&lt;=2,
SUMPRODUCT(INDEX($AL$62:$AN$66,,$AE745), INDEX($AO$62:$AU$66,,$AD745), 1 / ($AV$62:$AV$66*BS745 + (1-$AV$62:$AV$66)*BO745), N($AK$62:$AK$66&gt;$AI745)),
SUMPRODUCT(INDEX($AL$47:$AN$56,,$AE745), INDEX($AO$47:$AU$56,,$AD745), 1 / ($AW$47:$AW$56*BS745 + (1-$AW$47:$AW$56)*BO745), N($AK$47:$AK$56&gt;$AI745))
) / 1000</f>
        <v>0</v>
      </c>
      <c r="BU745" s="253" cm="1">
        <f t="array" ref="BU745">$BC745 * IF($AD745&lt;=2,
SUMPRODUCT(INDEX($AL$23:$AN$61,,$AE745), INDEX($AO$23:$AU$61,,$AD745), 1 / ($AV$23:$AV$61*BS745), N($AK$23:$AK$61&gt;$AI745)),
SUMPRODUCT(INDEX($AL$23:$AN$46,,$AE745), INDEX($AO$23:$AU$46,,$AD745), 1 / ($AW$23:$AW$46*BS745), N($AK$23:$AK$46&gt;$AI745))
) / 1000</f>
        <v>0</v>
      </c>
      <c r="BV745" s="237">
        <f t="shared" si="688"/>
        <v>0</v>
      </c>
      <c r="BW745" s="210"/>
      <c r="BX745" s="237">
        <f t="shared" si="689"/>
        <v>0</v>
      </c>
      <c r="BY745" s="236">
        <v>35</v>
      </c>
      <c r="BZ745" s="237">
        <f t="shared" si="690"/>
        <v>48</v>
      </c>
      <c r="CA745" s="253">
        <f t="shared" si="691"/>
        <v>3.0748170731707316</v>
      </c>
      <c r="CB745" s="253" cm="1">
        <f t="array" ref="CB745">$BC745 * SUMPRODUCT(INDEX($AL$77:$AN$82,,$AE745),INDEX($AO$77:$AU$82,,$AD745), N($AK$77:$AK$82&gt;$AI745)) / CA745 / 1000</f>
        <v>0</v>
      </c>
      <c r="CC745" s="250">
        <f t="shared" si="708"/>
        <v>30</v>
      </c>
      <c r="CD745" s="237">
        <f t="shared" si="692"/>
        <v>43</v>
      </c>
      <c r="CE745" s="253">
        <f t="shared" si="693"/>
        <v>3.5018750000000001</v>
      </c>
      <c r="CF745" s="253" cm="1">
        <f t="array" ref="CF745">$BC745 * IF($AD745&lt;=2,
SUMPRODUCT(INDEX($AL$72:$AN$76,,$AE745), INDEX($AO$72:$AU$76,,$AD745), 1 / ($AV$72:$AV$76*CE745 + (1-$AV$72:$AV$76)*CA745), N($AK$72:$AK$76&gt;$AI745)),
SUMPRODUCT(INDEX($AL$67:$AN$76,,$AE745), INDEX($AO$67:$AU$76,,$AD745), 1 / ($AW$67:$AW$76*CE745 + (1-$AW$67:$AW$76)*CA745), N($AK$67:$AK$76&gt;$AI745))
) / 1000</f>
        <v>0</v>
      </c>
      <c r="CG745" s="250">
        <f t="shared" si="709"/>
        <v>25</v>
      </c>
      <c r="CH745" s="237">
        <f t="shared" si="694"/>
        <v>38</v>
      </c>
      <c r="CI745" s="253">
        <f t="shared" si="695"/>
        <v>4.0666935483870965</v>
      </c>
      <c r="CJ745" s="253" cm="1">
        <f t="array" ref="CJ745">$BC745 * IF($AD745&lt;=2,
SUMPRODUCT(INDEX($AL$67:$AN$71,,$AE745), INDEX($AO$67:$AU$71,,$AD745), 1 / ($AV$67:$AV$71*CI745 + (1-$AV$67:$AV$71)*CE745), N($AK$67:$AK$71&gt;$AI745)),
SUMPRODUCT(INDEX($AL$57:$AN$66,,$AE745), INDEX($AO$57:$AU$66,,$AD745), 1 / ($AW$57:$AW$66*CI745 + (1-$AW$57:$AW$66)*CE745), N($AK$57:$AK$66&gt;$AI745))
) / 1000</f>
        <v>0</v>
      </c>
      <c r="CK745" s="250">
        <f t="shared" si="710"/>
        <v>20</v>
      </c>
      <c r="CL745" s="237">
        <f t="shared" si="696"/>
        <v>33</v>
      </c>
      <c r="CM745" s="253">
        <f t="shared" si="697"/>
        <v>4.8487499999999999</v>
      </c>
      <c r="CN745" s="253" cm="1">
        <f t="array" ref="CN745">$BC745 * IF($AD745&lt;=2,
SUMPRODUCT(INDEX($AL$62:$AN$66,,$AE745), INDEX($AO$62:$AU$66,,$AD745), 1 / ($AV$62:$AV$66*CM745 + (1-$AV$62:$AV$66)*CI745), N($AK$62:$AK$66&gt;$AI745)),
SUMPRODUCT(INDEX($AL$47:$AN$56,,$AE745), INDEX($AO$47:$AU$56,,$AD745), 1 / ($AW$47:$AW$56*CM745 + (1-$AW$47:$AW$56)*CI745), N($AK$47:$AK$56&gt;$AI745))
) / 1000</f>
        <v>0</v>
      </c>
      <c r="CO745" s="253" cm="1">
        <f t="array" ref="CO745">$BC745 * IF($AD745&lt;=2,
SUMPRODUCT(INDEX($AL$23:$AN$61,,$AE745), INDEX($AO$23:$AU$61,,$AD745), 1 / ($AV$23:$AV$61*CM745), N($AK$23:$AK$61&gt;$AI745)),
SUMPRODUCT(INDEX($AL$23:$AN$46,,$AE745), INDEX($AO$23:$AU$46,,$AD745), 1 / ($AW$23:$AW$46*CM745), N($AK$23:$AK$46&gt;$AI745))
) / 1000</f>
        <v>0</v>
      </c>
      <c r="CP745" s="237">
        <f t="shared" si="698"/>
        <v>0</v>
      </c>
      <c r="CQ745" s="210"/>
    </row>
    <row r="746" spans="1:95" s="76" customFormat="1" ht="14.25" customHeight="1" x14ac:dyDescent="0.2">
      <c r="A746" s="238" t="b">
        <f t="shared" si="702"/>
        <v>0</v>
      </c>
      <c r="B746" s="239">
        <v>724</v>
      </c>
      <c r="C746" s="258"/>
      <c r="D746" s="258"/>
      <c r="E746" s="240"/>
      <c r="F746" s="241" t="str">
        <f>IF(ISBLANK(E746), "", VLOOKUP(E746, Z!$A$2:$C$4127, 3, FALSE))</f>
        <v/>
      </c>
      <c r="G746" s="242"/>
      <c r="H746" s="242"/>
      <c r="I746" s="243"/>
      <c r="J746" s="244"/>
      <c r="K746" s="259"/>
      <c r="L746" s="260"/>
      <c r="M746" s="247" t="str" cm="1">
        <f t="array" ref="M746">IF($K746&gt;0, INDEX(Clean,1+AG746,$C$1), "")</f>
        <v/>
      </c>
      <c r="N746" s="245"/>
      <c r="O746" s="245"/>
      <c r="P746" s="246"/>
      <c r="Q746" s="248">
        <f t="shared" si="675"/>
        <v>0</v>
      </c>
      <c r="R746" s="247" t="str" cm="1">
        <f t="array" ref="R746">IF($K746&gt;0, INDEX(Clean,1+AH746,$C$1), "")</f>
        <v/>
      </c>
      <c r="S746" s="245"/>
      <c r="T746" s="245"/>
      <c r="U746" s="246"/>
      <c r="V746" s="248">
        <f t="shared" si="676"/>
        <v>0</v>
      </c>
      <c r="W746" s="261"/>
      <c r="X746" s="258"/>
      <c r="Y746" s="240"/>
      <c r="Z746" s="241" t="str">
        <f>IF(ISBLANK(Y746), "", VLOOKUP(Y746, Z!$A$2:$C$4127, 3, FALSE))</f>
        <v/>
      </c>
      <c r="AA746" s="262"/>
      <c r="AB746" s="249">
        <f t="shared" si="711"/>
        <v>0</v>
      </c>
      <c r="AC746" s="210"/>
      <c r="AD746" s="236">
        <f t="shared" si="699"/>
        <v>1</v>
      </c>
      <c r="AE746" s="236">
        <f t="shared" si="700"/>
        <v>1</v>
      </c>
      <c r="AF746" s="236">
        <f t="shared" si="701"/>
        <v>0</v>
      </c>
      <c r="AG746" s="236">
        <v>1</v>
      </c>
      <c r="AH746" s="236">
        <v>0</v>
      </c>
      <c r="AI746" s="236">
        <f t="shared" si="677"/>
        <v>-100</v>
      </c>
      <c r="AJ746" s="210"/>
      <c r="AK746" s="254"/>
      <c r="AL746" s="254"/>
      <c r="AM746" s="255"/>
      <c r="AN746" s="255"/>
      <c r="AO746" s="255"/>
      <c r="AP746" s="255"/>
      <c r="AQ746" s="255"/>
      <c r="AR746" s="255"/>
      <c r="AS746" s="255"/>
      <c r="AT746" s="255"/>
      <c r="AU746" s="255"/>
      <c r="AV746" s="255"/>
      <c r="AW746" s="255"/>
      <c r="AX746" s="210"/>
      <c r="AY746" s="236" cm="1">
        <f t="array" ref="AY746">INDEX(Use, $AD746, 4)</f>
        <v>7</v>
      </c>
      <c r="AZ746" s="236">
        <f t="shared" si="678"/>
        <v>32</v>
      </c>
      <c r="BA746" s="236">
        <f t="shared" si="703"/>
        <v>13</v>
      </c>
      <c r="BB746" s="236">
        <f t="shared" si="704"/>
        <v>0</v>
      </c>
      <c r="BC746" s="252" cm="1">
        <f t="array" ref="BC746">K746/IF($L746&gt;0, INDEX($AO$23:$AU$77, $L746+20, $AD746), 1)</f>
        <v>0</v>
      </c>
      <c r="BD746" s="237">
        <f t="shared" si="679"/>
        <v>0</v>
      </c>
      <c r="BE746" s="236">
        <v>35</v>
      </c>
      <c r="BF746" s="237">
        <f t="shared" si="680"/>
        <v>52.55</v>
      </c>
      <c r="BG746" s="253">
        <f t="shared" si="681"/>
        <v>2.7676728869374316</v>
      </c>
      <c r="BH746" s="253" cm="1">
        <f t="array" ref="BH746">$BC746 * SUMPRODUCT(INDEX($AL$77:$AN$82,,$AE746),INDEX($AO$77:$AU$82,,$AD746), N($AK$77:$AK$82&gt;$AI746)) / BG746 / 1000</f>
        <v>0</v>
      </c>
      <c r="BI746" s="250">
        <f t="shared" si="705"/>
        <v>30</v>
      </c>
      <c r="BJ746" s="237">
        <f t="shared" si="682"/>
        <v>46.033333333333331</v>
      </c>
      <c r="BK746" s="253">
        <f t="shared" si="683"/>
        <v>3.2297395388556791</v>
      </c>
      <c r="BL746" s="253" cm="1">
        <f t="array" ref="BL746">$BC746 * IF($AD746&lt;=2,
SUMPRODUCT(INDEX($AL$72:$AN$76,,$AE746), INDEX($AO$72:$AU$76,,$AD746), 1 / ($AV$72:$AV$76*BK746 + (1-$AV$72:$AV$76)*BG746), N($AK$72:$AK$76&gt;$AI746)),
SUMPRODUCT(INDEX($AL$67:$AN$76,,$AE746), INDEX($AO$67:$AU$76,,$AD746), 1 / ($AW$67:$AW$76*BK746 + (1-$AW$67:$AW$76)*BG746), N($AK$67:$AK$76&gt;$AI746))
) / 1000</f>
        <v>0</v>
      </c>
      <c r="BM746" s="250">
        <f t="shared" si="706"/>
        <v>25</v>
      </c>
      <c r="BN746" s="237">
        <f t="shared" si="684"/>
        <v>39.516666666666666</v>
      </c>
      <c r="BO746" s="253">
        <f t="shared" si="685"/>
        <v>3.877011788826243</v>
      </c>
      <c r="BP746" s="253" cm="1">
        <f t="array" ref="BP746">$BC746 * IF($AD746&lt;=2,
SUMPRODUCT(INDEX($AL$67:$AN$71,,$AE746), INDEX($AO$67:$AU$71,,$AD746), 1 / ($AV$67:$AV$71*BO746 + (1-$AV$67:$AV$71)*BK746), N($AK$67:$AK$71&gt;$AI746)),
SUMPRODUCT(INDEX($AL$57:$AN$66,,$AE746), INDEX($AO$57:$AU$66,,$AD746), 1 / ($AW$57:$AW$66*BO746 + (1-$AW$57:$AW$66)*BK746), N($AK$57:$AK$66&gt;$AI746))
) / 1000</f>
        <v>0</v>
      </c>
      <c r="BQ746" s="250">
        <f t="shared" si="707"/>
        <v>20</v>
      </c>
      <c r="BR746" s="237">
        <f t="shared" si="686"/>
        <v>33</v>
      </c>
      <c r="BS746" s="253">
        <f t="shared" si="687"/>
        <v>4.8487499999999999</v>
      </c>
      <c r="BT746" s="253" cm="1">
        <f t="array" ref="BT746">$BC746 * IF($AD746&lt;=2,
SUMPRODUCT(INDEX($AL$62:$AN$66,,$AE746), INDEX($AO$62:$AU$66,,$AD746), 1 / ($AV$62:$AV$66*BS746 + (1-$AV$62:$AV$66)*BO746), N($AK$62:$AK$66&gt;$AI746)),
SUMPRODUCT(INDEX($AL$47:$AN$56,,$AE746), INDEX($AO$47:$AU$56,,$AD746), 1 / ($AW$47:$AW$56*BS746 + (1-$AW$47:$AW$56)*BO746), N($AK$47:$AK$56&gt;$AI746))
) / 1000</f>
        <v>0</v>
      </c>
      <c r="BU746" s="253" cm="1">
        <f t="array" ref="BU746">$BC746 * IF($AD746&lt;=2,
SUMPRODUCT(INDEX($AL$23:$AN$61,,$AE746), INDEX($AO$23:$AU$61,,$AD746), 1 / ($AV$23:$AV$61*BS746), N($AK$23:$AK$61&gt;$AI746)),
SUMPRODUCT(INDEX($AL$23:$AN$46,,$AE746), INDEX($AO$23:$AU$46,,$AD746), 1 / ($AW$23:$AW$46*BS746), N($AK$23:$AK$46&gt;$AI746))
) / 1000</f>
        <v>0</v>
      </c>
      <c r="BV746" s="237">
        <f t="shared" si="688"/>
        <v>0</v>
      </c>
      <c r="BW746" s="210"/>
      <c r="BX746" s="237">
        <f t="shared" si="689"/>
        <v>0</v>
      </c>
      <c r="BY746" s="236">
        <v>35</v>
      </c>
      <c r="BZ746" s="237">
        <f t="shared" si="690"/>
        <v>48</v>
      </c>
      <c r="CA746" s="253">
        <f t="shared" si="691"/>
        <v>3.0748170731707316</v>
      </c>
      <c r="CB746" s="253" cm="1">
        <f t="array" ref="CB746">$BC746 * SUMPRODUCT(INDEX($AL$77:$AN$82,,$AE746),INDEX($AO$77:$AU$82,,$AD746), N($AK$77:$AK$82&gt;$AI746)) / CA746 / 1000</f>
        <v>0</v>
      </c>
      <c r="CC746" s="250">
        <f t="shared" si="708"/>
        <v>30</v>
      </c>
      <c r="CD746" s="237">
        <f t="shared" si="692"/>
        <v>43</v>
      </c>
      <c r="CE746" s="253">
        <f t="shared" si="693"/>
        <v>3.5018750000000001</v>
      </c>
      <c r="CF746" s="253" cm="1">
        <f t="array" ref="CF746">$BC746 * IF($AD746&lt;=2,
SUMPRODUCT(INDEX($AL$72:$AN$76,,$AE746), INDEX($AO$72:$AU$76,,$AD746), 1 / ($AV$72:$AV$76*CE746 + (1-$AV$72:$AV$76)*CA746), N($AK$72:$AK$76&gt;$AI746)),
SUMPRODUCT(INDEX($AL$67:$AN$76,,$AE746), INDEX($AO$67:$AU$76,,$AD746), 1 / ($AW$67:$AW$76*CE746 + (1-$AW$67:$AW$76)*CA746), N($AK$67:$AK$76&gt;$AI746))
) / 1000</f>
        <v>0</v>
      </c>
      <c r="CG746" s="250">
        <f t="shared" si="709"/>
        <v>25</v>
      </c>
      <c r="CH746" s="237">
        <f t="shared" si="694"/>
        <v>38</v>
      </c>
      <c r="CI746" s="253">
        <f t="shared" si="695"/>
        <v>4.0666935483870965</v>
      </c>
      <c r="CJ746" s="253" cm="1">
        <f t="array" ref="CJ746">$BC746 * IF($AD746&lt;=2,
SUMPRODUCT(INDEX($AL$67:$AN$71,,$AE746), INDEX($AO$67:$AU$71,,$AD746), 1 / ($AV$67:$AV$71*CI746 + (1-$AV$67:$AV$71)*CE746), N($AK$67:$AK$71&gt;$AI746)),
SUMPRODUCT(INDEX($AL$57:$AN$66,,$AE746), INDEX($AO$57:$AU$66,,$AD746), 1 / ($AW$57:$AW$66*CI746 + (1-$AW$57:$AW$66)*CE746), N($AK$57:$AK$66&gt;$AI746))
) / 1000</f>
        <v>0</v>
      </c>
      <c r="CK746" s="250">
        <f t="shared" si="710"/>
        <v>20</v>
      </c>
      <c r="CL746" s="237">
        <f t="shared" si="696"/>
        <v>33</v>
      </c>
      <c r="CM746" s="253">
        <f t="shared" si="697"/>
        <v>4.8487499999999999</v>
      </c>
      <c r="CN746" s="253" cm="1">
        <f t="array" ref="CN746">$BC746 * IF($AD746&lt;=2,
SUMPRODUCT(INDEX($AL$62:$AN$66,,$AE746), INDEX($AO$62:$AU$66,,$AD746), 1 / ($AV$62:$AV$66*CM746 + (1-$AV$62:$AV$66)*CI746), N($AK$62:$AK$66&gt;$AI746)),
SUMPRODUCT(INDEX($AL$47:$AN$56,,$AE746), INDEX($AO$47:$AU$56,,$AD746), 1 / ($AW$47:$AW$56*CM746 + (1-$AW$47:$AW$56)*CI746), N($AK$47:$AK$56&gt;$AI746))
) / 1000</f>
        <v>0</v>
      </c>
      <c r="CO746" s="253" cm="1">
        <f t="array" ref="CO746">$BC746 * IF($AD746&lt;=2,
SUMPRODUCT(INDEX($AL$23:$AN$61,,$AE746), INDEX($AO$23:$AU$61,,$AD746), 1 / ($AV$23:$AV$61*CM746), N($AK$23:$AK$61&gt;$AI746)),
SUMPRODUCT(INDEX($AL$23:$AN$46,,$AE746), INDEX($AO$23:$AU$46,,$AD746), 1 / ($AW$23:$AW$46*CM746), N($AK$23:$AK$46&gt;$AI746))
) / 1000</f>
        <v>0</v>
      </c>
      <c r="CP746" s="237">
        <f t="shared" si="698"/>
        <v>0</v>
      </c>
      <c r="CQ746" s="210"/>
    </row>
    <row r="747" spans="1:95" s="76" customFormat="1" ht="14.25" customHeight="1" x14ac:dyDescent="0.2">
      <c r="A747" s="238" t="b">
        <f t="shared" si="702"/>
        <v>0</v>
      </c>
      <c r="B747" s="239">
        <v>725</v>
      </c>
      <c r="C747" s="258"/>
      <c r="D747" s="258"/>
      <c r="E747" s="240"/>
      <c r="F747" s="241" t="str">
        <f>IF(ISBLANK(E747), "", VLOOKUP(E747, Z!$A$2:$C$4127, 3, FALSE))</f>
        <v/>
      </c>
      <c r="G747" s="242"/>
      <c r="H747" s="242"/>
      <c r="I747" s="243"/>
      <c r="J747" s="244"/>
      <c r="K747" s="259"/>
      <c r="L747" s="260"/>
      <c r="M747" s="247" t="str" cm="1">
        <f t="array" ref="M747">IF($K747&gt;0, INDEX(Clean,1+AG747,$C$1), "")</f>
        <v/>
      </c>
      <c r="N747" s="245"/>
      <c r="O747" s="245"/>
      <c r="P747" s="246"/>
      <c r="Q747" s="248">
        <f t="shared" si="675"/>
        <v>0</v>
      </c>
      <c r="R747" s="247" t="str" cm="1">
        <f t="array" ref="R747">IF($K747&gt;0, INDEX(Clean,1+AH747,$C$1), "")</f>
        <v/>
      </c>
      <c r="S747" s="245"/>
      <c r="T747" s="245"/>
      <c r="U747" s="246"/>
      <c r="V747" s="248">
        <f t="shared" si="676"/>
        <v>0</v>
      </c>
      <c r="W747" s="261"/>
      <c r="X747" s="258"/>
      <c r="Y747" s="240"/>
      <c r="Z747" s="241" t="str">
        <f>IF(ISBLANK(Y747), "", VLOOKUP(Y747, Z!$A$2:$C$4127, 3, FALSE))</f>
        <v/>
      </c>
      <c r="AA747" s="262"/>
      <c r="AB747" s="249">
        <f t="shared" si="711"/>
        <v>0</v>
      </c>
      <c r="AC747" s="210"/>
      <c r="AD747" s="236">
        <f t="shared" si="699"/>
        <v>1</v>
      </c>
      <c r="AE747" s="236">
        <f t="shared" si="700"/>
        <v>1</v>
      </c>
      <c r="AF747" s="236">
        <f t="shared" si="701"/>
        <v>0</v>
      </c>
      <c r="AG747" s="236">
        <v>1</v>
      </c>
      <c r="AH747" s="236">
        <v>0</v>
      </c>
      <c r="AI747" s="236">
        <f t="shared" si="677"/>
        <v>-100</v>
      </c>
      <c r="AJ747" s="210"/>
      <c r="AK747" s="254"/>
      <c r="AL747" s="254"/>
      <c r="AM747" s="255"/>
      <c r="AN747" s="255"/>
      <c r="AO747" s="255"/>
      <c r="AP747" s="255"/>
      <c r="AQ747" s="255"/>
      <c r="AR747" s="255"/>
      <c r="AS747" s="255"/>
      <c r="AT747" s="255"/>
      <c r="AU747" s="255"/>
      <c r="AV747" s="255"/>
      <c r="AW747" s="255"/>
      <c r="AX747" s="210"/>
      <c r="AY747" s="236" cm="1">
        <f t="array" ref="AY747">INDEX(Use, $AD747, 4)</f>
        <v>7</v>
      </c>
      <c r="AZ747" s="236">
        <f t="shared" si="678"/>
        <v>32</v>
      </c>
      <c r="BA747" s="236">
        <f t="shared" si="703"/>
        <v>13</v>
      </c>
      <c r="BB747" s="236">
        <f t="shared" si="704"/>
        <v>0</v>
      </c>
      <c r="BC747" s="252" cm="1">
        <f t="array" ref="BC747">K747/IF($L747&gt;0, INDEX($AO$23:$AU$77, $L747+20, $AD747), 1)</f>
        <v>0</v>
      </c>
      <c r="BD747" s="237">
        <f t="shared" si="679"/>
        <v>0</v>
      </c>
      <c r="BE747" s="236">
        <v>35</v>
      </c>
      <c r="BF747" s="237">
        <f t="shared" si="680"/>
        <v>52.55</v>
      </c>
      <c r="BG747" s="253">
        <f t="shared" si="681"/>
        <v>2.7676728869374316</v>
      </c>
      <c r="BH747" s="253" cm="1">
        <f t="array" ref="BH747">$BC747 * SUMPRODUCT(INDEX($AL$77:$AN$82,,$AE747),INDEX($AO$77:$AU$82,,$AD747), N($AK$77:$AK$82&gt;$AI747)) / BG747 / 1000</f>
        <v>0</v>
      </c>
      <c r="BI747" s="250">
        <f t="shared" si="705"/>
        <v>30</v>
      </c>
      <c r="BJ747" s="237">
        <f t="shared" si="682"/>
        <v>46.033333333333331</v>
      </c>
      <c r="BK747" s="253">
        <f t="shared" si="683"/>
        <v>3.2297395388556791</v>
      </c>
      <c r="BL747" s="253" cm="1">
        <f t="array" ref="BL747">$BC747 * IF($AD747&lt;=2,
SUMPRODUCT(INDEX($AL$72:$AN$76,,$AE747), INDEX($AO$72:$AU$76,,$AD747), 1 / ($AV$72:$AV$76*BK747 + (1-$AV$72:$AV$76)*BG747), N($AK$72:$AK$76&gt;$AI747)),
SUMPRODUCT(INDEX($AL$67:$AN$76,,$AE747), INDEX($AO$67:$AU$76,,$AD747), 1 / ($AW$67:$AW$76*BK747 + (1-$AW$67:$AW$76)*BG747), N($AK$67:$AK$76&gt;$AI747))
) / 1000</f>
        <v>0</v>
      </c>
      <c r="BM747" s="250">
        <f t="shared" si="706"/>
        <v>25</v>
      </c>
      <c r="BN747" s="237">
        <f t="shared" si="684"/>
        <v>39.516666666666666</v>
      </c>
      <c r="BO747" s="253">
        <f t="shared" si="685"/>
        <v>3.877011788826243</v>
      </c>
      <c r="BP747" s="253" cm="1">
        <f t="array" ref="BP747">$BC747 * IF($AD747&lt;=2,
SUMPRODUCT(INDEX($AL$67:$AN$71,,$AE747), INDEX($AO$67:$AU$71,,$AD747), 1 / ($AV$67:$AV$71*BO747 + (1-$AV$67:$AV$71)*BK747), N($AK$67:$AK$71&gt;$AI747)),
SUMPRODUCT(INDEX($AL$57:$AN$66,,$AE747), INDEX($AO$57:$AU$66,,$AD747), 1 / ($AW$57:$AW$66*BO747 + (1-$AW$57:$AW$66)*BK747), N($AK$57:$AK$66&gt;$AI747))
) / 1000</f>
        <v>0</v>
      </c>
      <c r="BQ747" s="250">
        <f t="shared" si="707"/>
        <v>20</v>
      </c>
      <c r="BR747" s="237">
        <f t="shared" si="686"/>
        <v>33</v>
      </c>
      <c r="BS747" s="253">
        <f t="shared" si="687"/>
        <v>4.8487499999999999</v>
      </c>
      <c r="BT747" s="253" cm="1">
        <f t="array" ref="BT747">$BC747 * IF($AD747&lt;=2,
SUMPRODUCT(INDEX($AL$62:$AN$66,,$AE747), INDEX($AO$62:$AU$66,,$AD747), 1 / ($AV$62:$AV$66*BS747 + (1-$AV$62:$AV$66)*BO747), N($AK$62:$AK$66&gt;$AI747)),
SUMPRODUCT(INDEX($AL$47:$AN$56,,$AE747), INDEX($AO$47:$AU$56,,$AD747), 1 / ($AW$47:$AW$56*BS747 + (1-$AW$47:$AW$56)*BO747), N($AK$47:$AK$56&gt;$AI747))
) / 1000</f>
        <v>0</v>
      </c>
      <c r="BU747" s="253" cm="1">
        <f t="array" ref="BU747">$BC747 * IF($AD747&lt;=2,
SUMPRODUCT(INDEX($AL$23:$AN$61,,$AE747), INDEX($AO$23:$AU$61,,$AD747), 1 / ($AV$23:$AV$61*BS747), N($AK$23:$AK$61&gt;$AI747)),
SUMPRODUCT(INDEX($AL$23:$AN$46,,$AE747), INDEX($AO$23:$AU$46,,$AD747), 1 / ($AW$23:$AW$46*BS747), N($AK$23:$AK$46&gt;$AI747))
) / 1000</f>
        <v>0</v>
      </c>
      <c r="BV747" s="237">
        <f t="shared" si="688"/>
        <v>0</v>
      </c>
      <c r="BW747" s="210"/>
      <c r="BX747" s="237">
        <f t="shared" si="689"/>
        <v>0</v>
      </c>
      <c r="BY747" s="236">
        <v>35</v>
      </c>
      <c r="BZ747" s="237">
        <f t="shared" si="690"/>
        <v>48</v>
      </c>
      <c r="CA747" s="253">
        <f t="shared" si="691"/>
        <v>3.0748170731707316</v>
      </c>
      <c r="CB747" s="253" cm="1">
        <f t="array" ref="CB747">$BC747 * SUMPRODUCT(INDEX($AL$77:$AN$82,,$AE747),INDEX($AO$77:$AU$82,,$AD747), N($AK$77:$AK$82&gt;$AI747)) / CA747 / 1000</f>
        <v>0</v>
      </c>
      <c r="CC747" s="250">
        <f t="shared" si="708"/>
        <v>30</v>
      </c>
      <c r="CD747" s="237">
        <f t="shared" si="692"/>
        <v>43</v>
      </c>
      <c r="CE747" s="253">
        <f t="shared" si="693"/>
        <v>3.5018750000000001</v>
      </c>
      <c r="CF747" s="253" cm="1">
        <f t="array" ref="CF747">$BC747 * IF($AD747&lt;=2,
SUMPRODUCT(INDEX($AL$72:$AN$76,,$AE747), INDEX($AO$72:$AU$76,,$AD747), 1 / ($AV$72:$AV$76*CE747 + (1-$AV$72:$AV$76)*CA747), N($AK$72:$AK$76&gt;$AI747)),
SUMPRODUCT(INDEX($AL$67:$AN$76,,$AE747), INDEX($AO$67:$AU$76,,$AD747), 1 / ($AW$67:$AW$76*CE747 + (1-$AW$67:$AW$76)*CA747), N($AK$67:$AK$76&gt;$AI747))
) / 1000</f>
        <v>0</v>
      </c>
      <c r="CG747" s="250">
        <f t="shared" si="709"/>
        <v>25</v>
      </c>
      <c r="CH747" s="237">
        <f t="shared" si="694"/>
        <v>38</v>
      </c>
      <c r="CI747" s="253">
        <f t="shared" si="695"/>
        <v>4.0666935483870965</v>
      </c>
      <c r="CJ747" s="253" cm="1">
        <f t="array" ref="CJ747">$BC747 * IF($AD747&lt;=2,
SUMPRODUCT(INDEX($AL$67:$AN$71,,$AE747), INDEX($AO$67:$AU$71,,$AD747), 1 / ($AV$67:$AV$71*CI747 + (1-$AV$67:$AV$71)*CE747), N($AK$67:$AK$71&gt;$AI747)),
SUMPRODUCT(INDEX($AL$57:$AN$66,,$AE747), INDEX($AO$57:$AU$66,,$AD747), 1 / ($AW$57:$AW$66*CI747 + (1-$AW$57:$AW$66)*CE747), N($AK$57:$AK$66&gt;$AI747))
) / 1000</f>
        <v>0</v>
      </c>
      <c r="CK747" s="250">
        <f t="shared" si="710"/>
        <v>20</v>
      </c>
      <c r="CL747" s="237">
        <f t="shared" si="696"/>
        <v>33</v>
      </c>
      <c r="CM747" s="253">
        <f t="shared" si="697"/>
        <v>4.8487499999999999</v>
      </c>
      <c r="CN747" s="253" cm="1">
        <f t="array" ref="CN747">$BC747 * IF($AD747&lt;=2,
SUMPRODUCT(INDEX($AL$62:$AN$66,,$AE747), INDEX($AO$62:$AU$66,,$AD747), 1 / ($AV$62:$AV$66*CM747 + (1-$AV$62:$AV$66)*CI747), N($AK$62:$AK$66&gt;$AI747)),
SUMPRODUCT(INDEX($AL$47:$AN$56,,$AE747), INDEX($AO$47:$AU$56,,$AD747), 1 / ($AW$47:$AW$56*CM747 + (1-$AW$47:$AW$56)*CI747), N($AK$47:$AK$56&gt;$AI747))
) / 1000</f>
        <v>0</v>
      </c>
      <c r="CO747" s="253" cm="1">
        <f t="array" ref="CO747">$BC747 * IF($AD747&lt;=2,
SUMPRODUCT(INDEX($AL$23:$AN$61,,$AE747), INDEX($AO$23:$AU$61,,$AD747), 1 / ($AV$23:$AV$61*CM747), N($AK$23:$AK$61&gt;$AI747)),
SUMPRODUCT(INDEX($AL$23:$AN$46,,$AE747), INDEX($AO$23:$AU$46,,$AD747), 1 / ($AW$23:$AW$46*CM747), N($AK$23:$AK$46&gt;$AI747))
) / 1000</f>
        <v>0</v>
      </c>
      <c r="CP747" s="237">
        <f t="shared" si="698"/>
        <v>0</v>
      </c>
      <c r="CQ747" s="210"/>
    </row>
    <row r="748" spans="1:95" s="76" customFormat="1" ht="14.25" customHeight="1" x14ac:dyDescent="0.2">
      <c r="A748" s="238" t="b">
        <f t="shared" si="702"/>
        <v>0</v>
      </c>
      <c r="B748" s="239">
        <v>726</v>
      </c>
      <c r="C748" s="258"/>
      <c r="D748" s="258"/>
      <c r="E748" s="240"/>
      <c r="F748" s="241" t="str">
        <f>IF(ISBLANK(E748), "", VLOOKUP(E748, Z!$A$2:$C$4127, 3, FALSE))</f>
        <v/>
      </c>
      <c r="G748" s="242"/>
      <c r="H748" s="242"/>
      <c r="I748" s="243"/>
      <c r="J748" s="244"/>
      <c r="K748" s="259"/>
      <c r="L748" s="260"/>
      <c r="M748" s="247" t="str" cm="1">
        <f t="array" ref="M748">IF($K748&gt;0, INDEX(Clean,1+AG748,$C$1), "")</f>
        <v/>
      </c>
      <c r="N748" s="245"/>
      <c r="O748" s="245"/>
      <c r="P748" s="246"/>
      <c r="Q748" s="248">
        <f t="shared" si="675"/>
        <v>0</v>
      </c>
      <c r="R748" s="247" t="str" cm="1">
        <f t="array" ref="R748">IF($K748&gt;0, INDEX(Clean,1+AH748,$C$1), "")</f>
        <v/>
      </c>
      <c r="S748" s="245"/>
      <c r="T748" s="245"/>
      <c r="U748" s="246"/>
      <c r="V748" s="248">
        <f t="shared" si="676"/>
        <v>0</v>
      </c>
      <c r="W748" s="261"/>
      <c r="X748" s="258"/>
      <c r="Y748" s="240"/>
      <c r="Z748" s="241" t="str">
        <f>IF(ISBLANK(Y748), "", VLOOKUP(Y748, Z!$A$2:$C$4127, 3, FALSE))</f>
        <v/>
      </c>
      <c r="AA748" s="262"/>
      <c r="AB748" s="249">
        <f t="shared" si="711"/>
        <v>0</v>
      </c>
      <c r="AC748" s="210"/>
      <c r="AD748" s="236">
        <f t="shared" si="699"/>
        <v>1</v>
      </c>
      <c r="AE748" s="236">
        <f t="shared" si="700"/>
        <v>1</v>
      </c>
      <c r="AF748" s="236">
        <f t="shared" si="701"/>
        <v>0</v>
      </c>
      <c r="AG748" s="236">
        <v>1</v>
      </c>
      <c r="AH748" s="236">
        <v>0</v>
      </c>
      <c r="AI748" s="236">
        <f t="shared" si="677"/>
        <v>-100</v>
      </c>
      <c r="AJ748" s="210"/>
      <c r="AK748" s="254"/>
      <c r="AL748" s="254"/>
      <c r="AM748" s="255"/>
      <c r="AN748" s="255"/>
      <c r="AO748" s="255"/>
      <c r="AP748" s="255"/>
      <c r="AQ748" s="255"/>
      <c r="AR748" s="255"/>
      <c r="AS748" s="255"/>
      <c r="AT748" s="255"/>
      <c r="AU748" s="255"/>
      <c r="AV748" s="255"/>
      <c r="AW748" s="255"/>
      <c r="AX748" s="210"/>
      <c r="AY748" s="236" cm="1">
        <f t="array" ref="AY748">INDEX(Use, $AD748, 4)</f>
        <v>7</v>
      </c>
      <c r="AZ748" s="236">
        <f t="shared" si="678"/>
        <v>32</v>
      </c>
      <c r="BA748" s="236">
        <f t="shared" si="703"/>
        <v>13</v>
      </c>
      <c r="BB748" s="236">
        <f t="shared" si="704"/>
        <v>0</v>
      </c>
      <c r="BC748" s="252" cm="1">
        <f t="array" ref="BC748">K748/IF($L748&gt;0, INDEX($AO$23:$AU$77, $L748+20, $AD748), 1)</f>
        <v>0</v>
      </c>
      <c r="BD748" s="237">
        <f t="shared" si="679"/>
        <v>0</v>
      </c>
      <c r="BE748" s="236">
        <v>35</v>
      </c>
      <c r="BF748" s="237">
        <f t="shared" si="680"/>
        <v>52.55</v>
      </c>
      <c r="BG748" s="253">
        <f t="shared" si="681"/>
        <v>2.7676728869374316</v>
      </c>
      <c r="BH748" s="253" cm="1">
        <f t="array" ref="BH748">$BC748 * SUMPRODUCT(INDEX($AL$77:$AN$82,,$AE748),INDEX($AO$77:$AU$82,,$AD748), N($AK$77:$AK$82&gt;$AI748)) / BG748 / 1000</f>
        <v>0</v>
      </c>
      <c r="BI748" s="250">
        <f t="shared" si="705"/>
        <v>30</v>
      </c>
      <c r="BJ748" s="237">
        <f t="shared" si="682"/>
        <v>46.033333333333331</v>
      </c>
      <c r="BK748" s="253">
        <f t="shared" si="683"/>
        <v>3.2297395388556791</v>
      </c>
      <c r="BL748" s="253" cm="1">
        <f t="array" ref="BL748">$BC748 * IF($AD748&lt;=2,
SUMPRODUCT(INDEX($AL$72:$AN$76,,$AE748), INDEX($AO$72:$AU$76,,$AD748), 1 / ($AV$72:$AV$76*BK748 + (1-$AV$72:$AV$76)*BG748), N($AK$72:$AK$76&gt;$AI748)),
SUMPRODUCT(INDEX($AL$67:$AN$76,,$AE748), INDEX($AO$67:$AU$76,,$AD748), 1 / ($AW$67:$AW$76*BK748 + (1-$AW$67:$AW$76)*BG748), N($AK$67:$AK$76&gt;$AI748))
) / 1000</f>
        <v>0</v>
      </c>
      <c r="BM748" s="250">
        <f t="shared" si="706"/>
        <v>25</v>
      </c>
      <c r="BN748" s="237">
        <f t="shared" si="684"/>
        <v>39.516666666666666</v>
      </c>
      <c r="BO748" s="253">
        <f t="shared" si="685"/>
        <v>3.877011788826243</v>
      </c>
      <c r="BP748" s="253" cm="1">
        <f t="array" ref="BP748">$BC748 * IF($AD748&lt;=2,
SUMPRODUCT(INDEX($AL$67:$AN$71,,$AE748), INDEX($AO$67:$AU$71,,$AD748), 1 / ($AV$67:$AV$71*BO748 + (1-$AV$67:$AV$71)*BK748), N($AK$67:$AK$71&gt;$AI748)),
SUMPRODUCT(INDEX($AL$57:$AN$66,,$AE748), INDEX($AO$57:$AU$66,,$AD748), 1 / ($AW$57:$AW$66*BO748 + (1-$AW$57:$AW$66)*BK748), N($AK$57:$AK$66&gt;$AI748))
) / 1000</f>
        <v>0</v>
      </c>
      <c r="BQ748" s="250">
        <f t="shared" si="707"/>
        <v>20</v>
      </c>
      <c r="BR748" s="237">
        <f t="shared" si="686"/>
        <v>33</v>
      </c>
      <c r="BS748" s="253">
        <f t="shared" si="687"/>
        <v>4.8487499999999999</v>
      </c>
      <c r="BT748" s="253" cm="1">
        <f t="array" ref="BT748">$BC748 * IF($AD748&lt;=2,
SUMPRODUCT(INDEX($AL$62:$AN$66,,$AE748), INDEX($AO$62:$AU$66,,$AD748), 1 / ($AV$62:$AV$66*BS748 + (1-$AV$62:$AV$66)*BO748), N($AK$62:$AK$66&gt;$AI748)),
SUMPRODUCT(INDEX($AL$47:$AN$56,,$AE748), INDEX($AO$47:$AU$56,,$AD748), 1 / ($AW$47:$AW$56*BS748 + (1-$AW$47:$AW$56)*BO748), N($AK$47:$AK$56&gt;$AI748))
) / 1000</f>
        <v>0</v>
      </c>
      <c r="BU748" s="253" cm="1">
        <f t="array" ref="BU748">$BC748 * IF($AD748&lt;=2,
SUMPRODUCT(INDEX($AL$23:$AN$61,,$AE748), INDEX($AO$23:$AU$61,,$AD748), 1 / ($AV$23:$AV$61*BS748), N($AK$23:$AK$61&gt;$AI748)),
SUMPRODUCT(INDEX($AL$23:$AN$46,,$AE748), INDEX($AO$23:$AU$46,,$AD748), 1 / ($AW$23:$AW$46*BS748), N($AK$23:$AK$46&gt;$AI748))
) / 1000</f>
        <v>0</v>
      </c>
      <c r="BV748" s="237">
        <f t="shared" si="688"/>
        <v>0</v>
      </c>
      <c r="BW748" s="210"/>
      <c r="BX748" s="237">
        <f t="shared" si="689"/>
        <v>0</v>
      </c>
      <c r="BY748" s="236">
        <v>35</v>
      </c>
      <c r="BZ748" s="237">
        <f t="shared" si="690"/>
        <v>48</v>
      </c>
      <c r="CA748" s="253">
        <f t="shared" si="691"/>
        <v>3.0748170731707316</v>
      </c>
      <c r="CB748" s="253" cm="1">
        <f t="array" ref="CB748">$BC748 * SUMPRODUCT(INDEX($AL$77:$AN$82,,$AE748),INDEX($AO$77:$AU$82,,$AD748), N($AK$77:$AK$82&gt;$AI748)) / CA748 / 1000</f>
        <v>0</v>
      </c>
      <c r="CC748" s="250">
        <f t="shared" si="708"/>
        <v>30</v>
      </c>
      <c r="CD748" s="237">
        <f t="shared" si="692"/>
        <v>43</v>
      </c>
      <c r="CE748" s="253">
        <f t="shared" si="693"/>
        <v>3.5018750000000001</v>
      </c>
      <c r="CF748" s="253" cm="1">
        <f t="array" ref="CF748">$BC748 * IF($AD748&lt;=2,
SUMPRODUCT(INDEX($AL$72:$AN$76,,$AE748), INDEX($AO$72:$AU$76,,$AD748), 1 / ($AV$72:$AV$76*CE748 + (1-$AV$72:$AV$76)*CA748), N($AK$72:$AK$76&gt;$AI748)),
SUMPRODUCT(INDEX($AL$67:$AN$76,,$AE748), INDEX($AO$67:$AU$76,,$AD748), 1 / ($AW$67:$AW$76*CE748 + (1-$AW$67:$AW$76)*CA748), N($AK$67:$AK$76&gt;$AI748))
) / 1000</f>
        <v>0</v>
      </c>
      <c r="CG748" s="250">
        <f t="shared" si="709"/>
        <v>25</v>
      </c>
      <c r="CH748" s="237">
        <f t="shared" si="694"/>
        <v>38</v>
      </c>
      <c r="CI748" s="253">
        <f t="shared" si="695"/>
        <v>4.0666935483870965</v>
      </c>
      <c r="CJ748" s="253" cm="1">
        <f t="array" ref="CJ748">$BC748 * IF($AD748&lt;=2,
SUMPRODUCT(INDEX($AL$67:$AN$71,,$AE748), INDEX($AO$67:$AU$71,,$AD748), 1 / ($AV$67:$AV$71*CI748 + (1-$AV$67:$AV$71)*CE748), N($AK$67:$AK$71&gt;$AI748)),
SUMPRODUCT(INDEX($AL$57:$AN$66,,$AE748), INDEX($AO$57:$AU$66,,$AD748), 1 / ($AW$57:$AW$66*CI748 + (1-$AW$57:$AW$66)*CE748), N($AK$57:$AK$66&gt;$AI748))
) / 1000</f>
        <v>0</v>
      </c>
      <c r="CK748" s="250">
        <f t="shared" si="710"/>
        <v>20</v>
      </c>
      <c r="CL748" s="237">
        <f t="shared" si="696"/>
        <v>33</v>
      </c>
      <c r="CM748" s="253">
        <f t="shared" si="697"/>
        <v>4.8487499999999999</v>
      </c>
      <c r="CN748" s="253" cm="1">
        <f t="array" ref="CN748">$BC748 * IF($AD748&lt;=2,
SUMPRODUCT(INDEX($AL$62:$AN$66,,$AE748), INDEX($AO$62:$AU$66,,$AD748), 1 / ($AV$62:$AV$66*CM748 + (1-$AV$62:$AV$66)*CI748), N($AK$62:$AK$66&gt;$AI748)),
SUMPRODUCT(INDEX($AL$47:$AN$56,,$AE748), INDEX($AO$47:$AU$56,,$AD748), 1 / ($AW$47:$AW$56*CM748 + (1-$AW$47:$AW$56)*CI748), N($AK$47:$AK$56&gt;$AI748))
) / 1000</f>
        <v>0</v>
      </c>
      <c r="CO748" s="253" cm="1">
        <f t="array" ref="CO748">$BC748 * IF($AD748&lt;=2,
SUMPRODUCT(INDEX($AL$23:$AN$61,,$AE748), INDEX($AO$23:$AU$61,,$AD748), 1 / ($AV$23:$AV$61*CM748), N($AK$23:$AK$61&gt;$AI748)),
SUMPRODUCT(INDEX($AL$23:$AN$46,,$AE748), INDEX($AO$23:$AU$46,,$AD748), 1 / ($AW$23:$AW$46*CM748), N($AK$23:$AK$46&gt;$AI748))
) / 1000</f>
        <v>0</v>
      </c>
      <c r="CP748" s="237">
        <f t="shared" si="698"/>
        <v>0</v>
      </c>
      <c r="CQ748" s="210"/>
    </row>
    <row r="749" spans="1:95" s="76" customFormat="1" ht="14.25" customHeight="1" x14ac:dyDescent="0.2">
      <c r="A749" s="238" t="b">
        <f t="shared" si="702"/>
        <v>0</v>
      </c>
      <c r="B749" s="239">
        <v>727</v>
      </c>
      <c r="C749" s="258"/>
      <c r="D749" s="258"/>
      <c r="E749" s="240"/>
      <c r="F749" s="241" t="str">
        <f>IF(ISBLANK(E749), "", VLOOKUP(E749, Z!$A$2:$C$4127, 3, FALSE))</f>
        <v/>
      </c>
      <c r="G749" s="242"/>
      <c r="H749" s="242"/>
      <c r="I749" s="243"/>
      <c r="J749" s="244"/>
      <c r="K749" s="259"/>
      <c r="L749" s="260"/>
      <c r="M749" s="247" t="str" cm="1">
        <f t="array" ref="M749">IF($K749&gt;0, INDEX(Clean,1+AG749,$C$1), "")</f>
        <v/>
      </c>
      <c r="N749" s="245"/>
      <c r="O749" s="245"/>
      <c r="P749" s="246"/>
      <c r="Q749" s="248">
        <f t="shared" si="675"/>
        <v>0</v>
      </c>
      <c r="R749" s="247" t="str" cm="1">
        <f t="array" ref="R749">IF($K749&gt;0, INDEX(Clean,1+AH749,$C$1), "")</f>
        <v/>
      </c>
      <c r="S749" s="245"/>
      <c r="T749" s="245"/>
      <c r="U749" s="246"/>
      <c r="V749" s="248">
        <f t="shared" si="676"/>
        <v>0</v>
      </c>
      <c r="W749" s="261"/>
      <c r="X749" s="258"/>
      <c r="Y749" s="240"/>
      <c r="Z749" s="241" t="str">
        <f>IF(ISBLANK(Y749), "", VLOOKUP(Y749, Z!$A$2:$C$4127, 3, FALSE))</f>
        <v/>
      </c>
      <c r="AA749" s="262"/>
      <c r="AB749" s="249">
        <f t="shared" si="711"/>
        <v>0</v>
      </c>
      <c r="AC749" s="210"/>
      <c r="AD749" s="236">
        <f t="shared" si="699"/>
        <v>1</v>
      </c>
      <c r="AE749" s="236">
        <f t="shared" si="700"/>
        <v>1</v>
      </c>
      <c r="AF749" s="236">
        <f t="shared" si="701"/>
        <v>0</v>
      </c>
      <c r="AG749" s="236">
        <v>1</v>
      </c>
      <c r="AH749" s="236">
        <v>0</v>
      </c>
      <c r="AI749" s="236">
        <f t="shared" si="677"/>
        <v>-100</v>
      </c>
      <c r="AJ749" s="210"/>
      <c r="AK749" s="254"/>
      <c r="AL749" s="254"/>
      <c r="AM749" s="255"/>
      <c r="AN749" s="255"/>
      <c r="AO749" s="255"/>
      <c r="AP749" s="255"/>
      <c r="AQ749" s="255"/>
      <c r="AR749" s="255"/>
      <c r="AS749" s="255"/>
      <c r="AT749" s="255"/>
      <c r="AU749" s="255"/>
      <c r="AV749" s="255"/>
      <c r="AW749" s="255"/>
      <c r="AX749" s="210"/>
      <c r="AY749" s="236" cm="1">
        <f t="array" ref="AY749">INDEX(Use, $AD749, 4)</f>
        <v>7</v>
      </c>
      <c r="AZ749" s="236">
        <f t="shared" si="678"/>
        <v>32</v>
      </c>
      <c r="BA749" s="236">
        <f t="shared" si="703"/>
        <v>13</v>
      </c>
      <c r="BB749" s="236">
        <f t="shared" si="704"/>
        <v>0</v>
      </c>
      <c r="BC749" s="252" cm="1">
        <f t="array" ref="BC749">K749/IF($L749&gt;0, INDEX($AO$23:$AU$77, $L749+20, $AD749), 1)</f>
        <v>0</v>
      </c>
      <c r="BD749" s="237">
        <f t="shared" si="679"/>
        <v>0</v>
      </c>
      <c r="BE749" s="236">
        <v>35</v>
      </c>
      <c r="BF749" s="237">
        <f t="shared" si="680"/>
        <v>52.55</v>
      </c>
      <c r="BG749" s="253">
        <f t="shared" si="681"/>
        <v>2.7676728869374316</v>
      </c>
      <c r="BH749" s="253" cm="1">
        <f t="array" ref="BH749">$BC749 * SUMPRODUCT(INDEX($AL$77:$AN$82,,$AE749),INDEX($AO$77:$AU$82,,$AD749), N($AK$77:$AK$82&gt;$AI749)) / BG749 / 1000</f>
        <v>0</v>
      </c>
      <c r="BI749" s="250">
        <f t="shared" si="705"/>
        <v>30</v>
      </c>
      <c r="BJ749" s="237">
        <f t="shared" si="682"/>
        <v>46.033333333333331</v>
      </c>
      <c r="BK749" s="253">
        <f t="shared" si="683"/>
        <v>3.2297395388556791</v>
      </c>
      <c r="BL749" s="253" cm="1">
        <f t="array" ref="BL749">$BC749 * IF($AD749&lt;=2,
SUMPRODUCT(INDEX($AL$72:$AN$76,,$AE749), INDEX($AO$72:$AU$76,,$AD749), 1 / ($AV$72:$AV$76*BK749 + (1-$AV$72:$AV$76)*BG749), N($AK$72:$AK$76&gt;$AI749)),
SUMPRODUCT(INDEX($AL$67:$AN$76,,$AE749), INDEX($AO$67:$AU$76,,$AD749), 1 / ($AW$67:$AW$76*BK749 + (1-$AW$67:$AW$76)*BG749), N($AK$67:$AK$76&gt;$AI749))
) / 1000</f>
        <v>0</v>
      </c>
      <c r="BM749" s="250">
        <f t="shared" si="706"/>
        <v>25</v>
      </c>
      <c r="BN749" s="237">
        <f t="shared" si="684"/>
        <v>39.516666666666666</v>
      </c>
      <c r="BO749" s="253">
        <f t="shared" si="685"/>
        <v>3.877011788826243</v>
      </c>
      <c r="BP749" s="253" cm="1">
        <f t="array" ref="BP749">$BC749 * IF($AD749&lt;=2,
SUMPRODUCT(INDEX($AL$67:$AN$71,,$AE749), INDEX($AO$67:$AU$71,,$AD749), 1 / ($AV$67:$AV$71*BO749 + (1-$AV$67:$AV$71)*BK749), N($AK$67:$AK$71&gt;$AI749)),
SUMPRODUCT(INDEX($AL$57:$AN$66,,$AE749), INDEX($AO$57:$AU$66,,$AD749), 1 / ($AW$57:$AW$66*BO749 + (1-$AW$57:$AW$66)*BK749), N($AK$57:$AK$66&gt;$AI749))
) / 1000</f>
        <v>0</v>
      </c>
      <c r="BQ749" s="250">
        <f t="shared" si="707"/>
        <v>20</v>
      </c>
      <c r="BR749" s="237">
        <f t="shared" si="686"/>
        <v>33</v>
      </c>
      <c r="BS749" s="253">
        <f t="shared" si="687"/>
        <v>4.8487499999999999</v>
      </c>
      <c r="BT749" s="253" cm="1">
        <f t="array" ref="BT749">$BC749 * IF($AD749&lt;=2,
SUMPRODUCT(INDEX($AL$62:$AN$66,,$AE749), INDEX($AO$62:$AU$66,,$AD749), 1 / ($AV$62:$AV$66*BS749 + (1-$AV$62:$AV$66)*BO749), N($AK$62:$AK$66&gt;$AI749)),
SUMPRODUCT(INDEX($AL$47:$AN$56,,$AE749), INDEX($AO$47:$AU$56,,$AD749), 1 / ($AW$47:$AW$56*BS749 + (1-$AW$47:$AW$56)*BO749), N($AK$47:$AK$56&gt;$AI749))
) / 1000</f>
        <v>0</v>
      </c>
      <c r="BU749" s="253" cm="1">
        <f t="array" ref="BU749">$BC749 * IF($AD749&lt;=2,
SUMPRODUCT(INDEX($AL$23:$AN$61,,$AE749), INDEX($AO$23:$AU$61,,$AD749), 1 / ($AV$23:$AV$61*BS749), N($AK$23:$AK$61&gt;$AI749)),
SUMPRODUCT(INDEX($AL$23:$AN$46,,$AE749), INDEX($AO$23:$AU$46,,$AD749), 1 / ($AW$23:$AW$46*BS749), N($AK$23:$AK$46&gt;$AI749))
) / 1000</f>
        <v>0</v>
      </c>
      <c r="BV749" s="237">
        <f t="shared" si="688"/>
        <v>0</v>
      </c>
      <c r="BW749" s="210"/>
      <c r="BX749" s="237">
        <f t="shared" si="689"/>
        <v>0</v>
      </c>
      <c r="BY749" s="236">
        <v>35</v>
      </c>
      <c r="BZ749" s="237">
        <f t="shared" si="690"/>
        <v>48</v>
      </c>
      <c r="CA749" s="253">
        <f t="shared" si="691"/>
        <v>3.0748170731707316</v>
      </c>
      <c r="CB749" s="253" cm="1">
        <f t="array" ref="CB749">$BC749 * SUMPRODUCT(INDEX($AL$77:$AN$82,,$AE749),INDEX($AO$77:$AU$82,,$AD749), N($AK$77:$AK$82&gt;$AI749)) / CA749 / 1000</f>
        <v>0</v>
      </c>
      <c r="CC749" s="250">
        <f t="shared" si="708"/>
        <v>30</v>
      </c>
      <c r="CD749" s="237">
        <f t="shared" si="692"/>
        <v>43</v>
      </c>
      <c r="CE749" s="253">
        <f t="shared" si="693"/>
        <v>3.5018750000000001</v>
      </c>
      <c r="CF749" s="253" cm="1">
        <f t="array" ref="CF749">$BC749 * IF($AD749&lt;=2,
SUMPRODUCT(INDEX($AL$72:$AN$76,,$AE749), INDEX($AO$72:$AU$76,,$AD749), 1 / ($AV$72:$AV$76*CE749 + (1-$AV$72:$AV$76)*CA749), N($AK$72:$AK$76&gt;$AI749)),
SUMPRODUCT(INDEX($AL$67:$AN$76,,$AE749), INDEX($AO$67:$AU$76,,$AD749), 1 / ($AW$67:$AW$76*CE749 + (1-$AW$67:$AW$76)*CA749), N($AK$67:$AK$76&gt;$AI749))
) / 1000</f>
        <v>0</v>
      </c>
      <c r="CG749" s="250">
        <f t="shared" si="709"/>
        <v>25</v>
      </c>
      <c r="CH749" s="237">
        <f t="shared" si="694"/>
        <v>38</v>
      </c>
      <c r="CI749" s="253">
        <f t="shared" si="695"/>
        <v>4.0666935483870965</v>
      </c>
      <c r="CJ749" s="253" cm="1">
        <f t="array" ref="CJ749">$BC749 * IF($AD749&lt;=2,
SUMPRODUCT(INDEX($AL$67:$AN$71,,$AE749), INDEX($AO$67:$AU$71,,$AD749), 1 / ($AV$67:$AV$71*CI749 + (1-$AV$67:$AV$71)*CE749), N($AK$67:$AK$71&gt;$AI749)),
SUMPRODUCT(INDEX($AL$57:$AN$66,,$AE749), INDEX($AO$57:$AU$66,,$AD749), 1 / ($AW$57:$AW$66*CI749 + (1-$AW$57:$AW$66)*CE749), N($AK$57:$AK$66&gt;$AI749))
) / 1000</f>
        <v>0</v>
      </c>
      <c r="CK749" s="250">
        <f t="shared" si="710"/>
        <v>20</v>
      </c>
      <c r="CL749" s="237">
        <f t="shared" si="696"/>
        <v>33</v>
      </c>
      <c r="CM749" s="253">
        <f t="shared" si="697"/>
        <v>4.8487499999999999</v>
      </c>
      <c r="CN749" s="253" cm="1">
        <f t="array" ref="CN749">$BC749 * IF($AD749&lt;=2,
SUMPRODUCT(INDEX($AL$62:$AN$66,,$AE749), INDEX($AO$62:$AU$66,,$AD749), 1 / ($AV$62:$AV$66*CM749 + (1-$AV$62:$AV$66)*CI749), N($AK$62:$AK$66&gt;$AI749)),
SUMPRODUCT(INDEX($AL$47:$AN$56,,$AE749), INDEX($AO$47:$AU$56,,$AD749), 1 / ($AW$47:$AW$56*CM749 + (1-$AW$47:$AW$56)*CI749), N($AK$47:$AK$56&gt;$AI749))
) / 1000</f>
        <v>0</v>
      </c>
      <c r="CO749" s="253" cm="1">
        <f t="array" ref="CO749">$BC749 * IF($AD749&lt;=2,
SUMPRODUCT(INDEX($AL$23:$AN$61,,$AE749), INDEX($AO$23:$AU$61,,$AD749), 1 / ($AV$23:$AV$61*CM749), N($AK$23:$AK$61&gt;$AI749)),
SUMPRODUCT(INDEX($AL$23:$AN$46,,$AE749), INDEX($AO$23:$AU$46,,$AD749), 1 / ($AW$23:$AW$46*CM749), N($AK$23:$AK$46&gt;$AI749))
) / 1000</f>
        <v>0</v>
      </c>
      <c r="CP749" s="237">
        <f t="shared" si="698"/>
        <v>0</v>
      </c>
      <c r="CQ749" s="210"/>
    </row>
    <row r="750" spans="1:95" s="76" customFormat="1" ht="14.25" customHeight="1" x14ac:dyDescent="0.2">
      <c r="A750" s="238" t="b">
        <f t="shared" si="702"/>
        <v>0</v>
      </c>
      <c r="B750" s="239">
        <v>728</v>
      </c>
      <c r="C750" s="258"/>
      <c r="D750" s="258"/>
      <c r="E750" s="240"/>
      <c r="F750" s="241" t="str">
        <f>IF(ISBLANK(E750), "", VLOOKUP(E750, Z!$A$2:$C$4127, 3, FALSE))</f>
        <v/>
      </c>
      <c r="G750" s="242"/>
      <c r="H750" s="242"/>
      <c r="I750" s="243"/>
      <c r="J750" s="244"/>
      <c r="K750" s="259"/>
      <c r="L750" s="260"/>
      <c r="M750" s="247" t="str" cm="1">
        <f t="array" ref="M750">IF($K750&gt;0, INDEX(Clean,1+AG750,$C$1), "")</f>
        <v/>
      </c>
      <c r="N750" s="245"/>
      <c r="O750" s="245"/>
      <c r="P750" s="246"/>
      <c r="Q750" s="248">
        <f t="shared" si="675"/>
        <v>0</v>
      </c>
      <c r="R750" s="247" t="str" cm="1">
        <f t="array" ref="R750">IF($K750&gt;0, INDEX(Clean,1+AH750,$C$1), "")</f>
        <v/>
      </c>
      <c r="S750" s="245"/>
      <c r="T750" s="245"/>
      <c r="U750" s="246"/>
      <c r="V750" s="248">
        <f t="shared" si="676"/>
        <v>0</v>
      </c>
      <c r="W750" s="261"/>
      <c r="X750" s="258"/>
      <c r="Y750" s="240"/>
      <c r="Z750" s="241" t="str">
        <f>IF(ISBLANK(Y750), "", VLOOKUP(Y750, Z!$A$2:$C$4127, 3, FALSE))</f>
        <v/>
      </c>
      <c r="AA750" s="262"/>
      <c r="AB750" s="249">
        <f t="shared" si="711"/>
        <v>0</v>
      </c>
      <c r="AC750" s="210"/>
      <c r="AD750" s="236">
        <f t="shared" si="699"/>
        <v>1</v>
      </c>
      <c r="AE750" s="236">
        <f t="shared" si="700"/>
        <v>1</v>
      </c>
      <c r="AF750" s="236">
        <f t="shared" si="701"/>
        <v>0</v>
      </c>
      <c r="AG750" s="236">
        <v>1</v>
      </c>
      <c r="AH750" s="236">
        <v>0</v>
      </c>
      <c r="AI750" s="236">
        <f t="shared" si="677"/>
        <v>-100</v>
      </c>
      <c r="AJ750" s="210"/>
      <c r="AK750" s="254"/>
      <c r="AL750" s="254"/>
      <c r="AM750" s="255"/>
      <c r="AN750" s="255"/>
      <c r="AO750" s="255"/>
      <c r="AP750" s="255"/>
      <c r="AQ750" s="255"/>
      <c r="AR750" s="255"/>
      <c r="AS750" s="255"/>
      <c r="AT750" s="255"/>
      <c r="AU750" s="255"/>
      <c r="AV750" s="255"/>
      <c r="AW750" s="255"/>
      <c r="AX750" s="210"/>
      <c r="AY750" s="236" cm="1">
        <f t="array" ref="AY750">INDEX(Use, $AD750, 4)</f>
        <v>7</v>
      </c>
      <c r="AZ750" s="236">
        <f t="shared" si="678"/>
        <v>32</v>
      </c>
      <c r="BA750" s="236">
        <f t="shared" si="703"/>
        <v>13</v>
      </c>
      <c r="BB750" s="236">
        <f t="shared" si="704"/>
        <v>0</v>
      </c>
      <c r="BC750" s="252" cm="1">
        <f t="array" ref="BC750">K750/IF($L750&gt;0, INDEX($AO$23:$AU$77, $L750+20, $AD750), 1)</f>
        <v>0</v>
      </c>
      <c r="BD750" s="237">
        <f t="shared" si="679"/>
        <v>0</v>
      </c>
      <c r="BE750" s="236">
        <v>35</v>
      </c>
      <c r="BF750" s="237">
        <f t="shared" si="680"/>
        <v>52.55</v>
      </c>
      <c r="BG750" s="253">
        <f t="shared" si="681"/>
        <v>2.7676728869374316</v>
      </c>
      <c r="BH750" s="253" cm="1">
        <f t="array" ref="BH750">$BC750 * SUMPRODUCT(INDEX($AL$77:$AN$82,,$AE750),INDEX($AO$77:$AU$82,,$AD750), N($AK$77:$AK$82&gt;$AI750)) / BG750 / 1000</f>
        <v>0</v>
      </c>
      <c r="BI750" s="250">
        <f t="shared" si="705"/>
        <v>30</v>
      </c>
      <c r="BJ750" s="237">
        <f t="shared" si="682"/>
        <v>46.033333333333331</v>
      </c>
      <c r="BK750" s="253">
        <f t="shared" si="683"/>
        <v>3.2297395388556791</v>
      </c>
      <c r="BL750" s="253" cm="1">
        <f t="array" ref="BL750">$BC750 * IF($AD750&lt;=2,
SUMPRODUCT(INDEX($AL$72:$AN$76,,$AE750), INDEX($AO$72:$AU$76,,$AD750), 1 / ($AV$72:$AV$76*BK750 + (1-$AV$72:$AV$76)*BG750), N($AK$72:$AK$76&gt;$AI750)),
SUMPRODUCT(INDEX($AL$67:$AN$76,,$AE750), INDEX($AO$67:$AU$76,,$AD750), 1 / ($AW$67:$AW$76*BK750 + (1-$AW$67:$AW$76)*BG750), N($AK$67:$AK$76&gt;$AI750))
) / 1000</f>
        <v>0</v>
      </c>
      <c r="BM750" s="250">
        <f t="shared" si="706"/>
        <v>25</v>
      </c>
      <c r="BN750" s="237">
        <f t="shared" si="684"/>
        <v>39.516666666666666</v>
      </c>
      <c r="BO750" s="253">
        <f t="shared" si="685"/>
        <v>3.877011788826243</v>
      </c>
      <c r="BP750" s="253" cm="1">
        <f t="array" ref="BP750">$BC750 * IF($AD750&lt;=2,
SUMPRODUCT(INDEX($AL$67:$AN$71,,$AE750), INDEX($AO$67:$AU$71,,$AD750), 1 / ($AV$67:$AV$71*BO750 + (1-$AV$67:$AV$71)*BK750), N($AK$67:$AK$71&gt;$AI750)),
SUMPRODUCT(INDEX($AL$57:$AN$66,,$AE750), INDEX($AO$57:$AU$66,,$AD750), 1 / ($AW$57:$AW$66*BO750 + (1-$AW$57:$AW$66)*BK750), N($AK$57:$AK$66&gt;$AI750))
) / 1000</f>
        <v>0</v>
      </c>
      <c r="BQ750" s="250">
        <f t="shared" si="707"/>
        <v>20</v>
      </c>
      <c r="BR750" s="237">
        <f t="shared" si="686"/>
        <v>33</v>
      </c>
      <c r="BS750" s="253">
        <f t="shared" si="687"/>
        <v>4.8487499999999999</v>
      </c>
      <c r="BT750" s="253" cm="1">
        <f t="array" ref="BT750">$BC750 * IF($AD750&lt;=2,
SUMPRODUCT(INDEX($AL$62:$AN$66,,$AE750), INDEX($AO$62:$AU$66,,$AD750), 1 / ($AV$62:$AV$66*BS750 + (1-$AV$62:$AV$66)*BO750), N($AK$62:$AK$66&gt;$AI750)),
SUMPRODUCT(INDEX($AL$47:$AN$56,,$AE750), INDEX($AO$47:$AU$56,,$AD750), 1 / ($AW$47:$AW$56*BS750 + (1-$AW$47:$AW$56)*BO750), N($AK$47:$AK$56&gt;$AI750))
) / 1000</f>
        <v>0</v>
      </c>
      <c r="BU750" s="253" cm="1">
        <f t="array" ref="BU750">$BC750 * IF($AD750&lt;=2,
SUMPRODUCT(INDEX($AL$23:$AN$61,,$AE750), INDEX($AO$23:$AU$61,,$AD750), 1 / ($AV$23:$AV$61*BS750), N($AK$23:$AK$61&gt;$AI750)),
SUMPRODUCT(INDEX($AL$23:$AN$46,,$AE750), INDEX($AO$23:$AU$46,,$AD750), 1 / ($AW$23:$AW$46*BS750), N($AK$23:$AK$46&gt;$AI750))
) / 1000</f>
        <v>0</v>
      </c>
      <c r="BV750" s="237">
        <f t="shared" si="688"/>
        <v>0</v>
      </c>
      <c r="BW750" s="210"/>
      <c r="BX750" s="237">
        <f t="shared" si="689"/>
        <v>0</v>
      </c>
      <c r="BY750" s="236">
        <v>35</v>
      </c>
      <c r="BZ750" s="237">
        <f t="shared" si="690"/>
        <v>48</v>
      </c>
      <c r="CA750" s="253">
        <f t="shared" si="691"/>
        <v>3.0748170731707316</v>
      </c>
      <c r="CB750" s="253" cm="1">
        <f t="array" ref="CB750">$BC750 * SUMPRODUCT(INDEX($AL$77:$AN$82,,$AE750),INDEX($AO$77:$AU$82,,$AD750), N($AK$77:$AK$82&gt;$AI750)) / CA750 / 1000</f>
        <v>0</v>
      </c>
      <c r="CC750" s="250">
        <f t="shared" si="708"/>
        <v>30</v>
      </c>
      <c r="CD750" s="237">
        <f t="shared" si="692"/>
        <v>43</v>
      </c>
      <c r="CE750" s="253">
        <f t="shared" si="693"/>
        <v>3.5018750000000001</v>
      </c>
      <c r="CF750" s="253" cm="1">
        <f t="array" ref="CF750">$BC750 * IF($AD750&lt;=2,
SUMPRODUCT(INDEX($AL$72:$AN$76,,$AE750), INDEX($AO$72:$AU$76,,$AD750), 1 / ($AV$72:$AV$76*CE750 + (1-$AV$72:$AV$76)*CA750), N($AK$72:$AK$76&gt;$AI750)),
SUMPRODUCT(INDEX($AL$67:$AN$76,,$AE750), INDEX($AO$67:$AU$76,,$AD750), 1 / ($AW$67:$AW$76*CE750 + (1-$AW$67:$AW$76)*CA750), N($AK$67:$AK$76&gt;$AI750))
) / 1000</f>
        <v>0</v>
      </c>
      <c r="CG750" s="250">
        <f t="shared" si="709"/>
        <v>25</v>
      </c>
      <c r="CH750" s="237">
        <f t="shared" si="694"/>
        <v>38</v>
      </c>
      <c r="CI750" s="253">
        <f t="shared" si="695"/>
        <v>4.0666935483870965</v>
      </c>
      <c r="CJ750" s="253" cm="1">
        <f t="array" ref="CJ750">$BC750 * IF($AD750&lt;=2,
SUMPRODUCT(INDEX($AL$67:$AN$71,,$AE750), INDEX($AO$67:$AU$71,,$AD750), 1 / ($AV$67:$AV$71*CI750 + (1-$AV$67:$AV$71)*CE750), N($AK$67:$AK$71&gt;$AI750)),
SUMPRODUCT(INDEX($AL$57:$AN$66,,$AE750), INDEX($AO$57:$AU$66,,$AD750), 1 / ($AW$57:$AW$66*CI750 + (1-$AW$57:$AW$66)*CE750), N($AK$57:$AK$66&gt;$AI750))
) / 1000</f>
        <v>0</v>
      </c>
      <c r="CK750" s="250">
        <f t="shared" si="710"/>
        <v>20</v>
      </c>
      <c r="CL750" s="237">
        <f t="shared" si="696"/>
        <v>33</v>
      </c>
      <c r="CM750" s="253">
        <f t="shared" si="697"/>
        <v>4.8487499999999999</v>
      </c>
      <c r="CN750" s="253" cm="1">
        <f t="array" ref="CN750">$BC750 * IF($AD750&lt;=2,
SUMPRODUCT(INDEX($AL$62:$AN$66,,$AE750), INDEX($AO$62:$AU$66,,$AD750), 1 / ($AV$62:$AV$66*CM750 + (1-$AV$62:$AV$66)*CI750), N($AK$62:$AK$66&gt;$AI750)),
SUMPRODUCT(INDEX($AL$47:$AN$56,,$AE750), INDEX($AO$47:$AU$56,,$AD750), 1 / ($AW$47:$AW$56*CM750 + (1-$AW$47:$AW$56)*CI750), N($AK$47:$AK$56&gt;$AI750))
) / 1000</f>
        <v>0</v>
      </c>
      <c r="CO750" s="253" cm="1">
        <f t="array" ref="CO750">$BC750 * IF($AD750&lt;=2,
SUMPRODUCT(INDEX($AL$23:$AN$61,,$AE750), INDEX($AO$23:$AU$61,,$AD750), 1 / ($AV$23:$AV$61*CM750), N($AK$23:$AK$61&gt;$AI750)),
SUMPRODUCT(INDEX($AL$23:$AN$46,,$AE750), INDEX($AO$23:$AU$46,,$AD750), 1 / ($AW$23:$AW$46*CM750), N($AK$23:$AK$46&gt;$AI750))
) / 1000</f>
        <v>0</v>
      </c>
      <c r="CP750" s="237">
        <f t="shared" si="698"/>
        <v>0</v>
      </c>
      <c r="CQ750" s="210"/>
    </row>
    <row r="751" spans="1:95" s="76" customFormat="1" ht="14.25" customHeight="1" x14ac:dyDescent="0.2">
      <c r="A751" s="238" t="b">
        <f t="shared" si="702"/>
        <v>0</v>
      </c>
      <c r="B751" s="239">
        <v>729</v>
      </c>
      <c r="C751" s="258"/>
      <c r="D751" s="258"/>
      <c r="E751" s="240"/>
      <c r="F751" s="241" t="str">
        <f>IF(ISBLANK(E751), "", VLOOKUP(E751, Z!$A$2:$C$4127, 3, FALSE))</f>
        <v/>
      </c>
      <c r="G751" s="242"/>
      <c r="H751" s="242"/>
      <c r="I751" s="243"/>
      <c r="J751" s="244"/>
      <c r="K751" s="259"/>
      <c r="L751" s="260"/>
      <c r="M751" s="247" t="str" cm="1">
        <f t="array" ref="M751">IF($K751&gt;0, INDEX(Clean,1+AG751,$C$1), "")</f>
        <v/>
      </c>
      <c r="N751" s="245"/>
      <c r="O751" s="245"/>
      <c r="P751" s="246"/>
      <c r="Q751" s="248">
        <f t="shared" si="675"/>
        <v>0</v>
      </c>
      <c r="R751" s="247" t="str" cm="1">
        <f t="array" ref="R751">IF($K751&gt;0, INDEX(Clean,1+AH751,$C$1), "")</f>
        <v/>
      </c>
      <c r="S751" s="245"/>
      <c r="T751" s="245"/>
      <c r="U751" s="246"/>
      <c r="V751" s="248">
        <f t="shared" si="676"/>
        <v>0</v>
      </c>
      <c r="W751" s="261"/>
      <c r="X751" s="258"/>
      <c r="Y751" s="240"/>
      <c r="Z751" s="241" t="str">
        <f>IF(ISBLANK(Y751), "", VLOOKUP(Y751, Z!$A$2:$C$4127, 3, FALSE))</f>
        <v/>
      </c>
      <c r="AA751" s="262"/>
      <c r="AB751" s="249">
        <f t="shared" si="711"/>
        <v>0</v>
      </c>
      <c r="AC751" s="210"/>
      <c r="AD751" s="236">
        <f t="shared" si="699"/>
        <v>1</v>
      </c>
      <c r="AE751" s="236">
        <f t="shared" si="700"/>
        <v>1</v>
      </c>
      <c r="AF751" s="236">
        <f t="shared" si="701"/>
        <v>0</v>
      </c>
      <c r="AG751" s="236">
        <v>1</v>
      </c>
      <c r="AH751" s="236">
        <v>0</v>
      </c>
      <c r="AI751" s="236">
        <f t="shared" si="677"/>
        <v>-100</v>
      </c>
      <c r="AJ751" s="210"/>
      <c r="AK751" s="254"/>
      <c r="AL751" s="254"/>
      <c r="AM751" s="255"/>
      <c r="AN751" s="255"/>
      <c r="AO751" s="255"/>
      <c r="AP751" s="255"/>
      <c r="AQ751" s="255"/>
      <c r="AR751" s="255"/>
      <c r="AS751" s="255"/>
      <c r="AT751" s="255"/>
      <c r="AU751" s="255"/>
      <c r="AV751" s="255"/>
      <c r="AW751" s="255"/>
      <c r="AX751" s="210"/>
      <c r="AY751" s="236" cm="1">
        <f t="array" ref="AY751">INDEX(Use, $AD751, 4)</f>
        <v>7</v>
      </c>
      <c r="AZ751" s="236">
        <f t="shared" si="678"/>
        <v>32</v>
      </c>
      <c r="BA751" s="236">
        <f t="shared" si="703"/>
        <v>13</v>
      </c>
      <c r="BB751" s="236">
        <f t="shared" si="704"/>
        <v>0</v>
      </c>
      <c r="BC751" s="252" cm="1">
        <f t="array" ref="BC751">K751/IF($L751&gt;0, INDEX($AO$23:$AU$77, $L751+20, $AD751), 1)</f>
        <v>0</v>
      </c>
      <c r="BD751" s="237">
        <f t="shared" si="679"/>
        <v>0</v>
      </c>
      <c r="BE751" s="236">
        <v>35</v>
      </c>
      <c r="BF751" s="237">
        <f t="shared" si="680"/>
        <v>52.55</v>
      </c>
      <c r="BG751" s="253">
        <f t="shared" si="681"/>
        <v>2.7676728869374316</v>
      </c>
      <c r="BH751" s="253" cm="1">
        <f t="array" ref="BH751">$BC751 * SUMPRODUCT(INDEX($AL$77:$AN$82,,$AE751),INDEX($AO$77:$AU$82,,$AD751), N($AK$77:$AK$82&gt;$AI751)) / BG751 / 1000</f>
        <v>0</v>
      </c>
      <c r="BI751" s="250">
        <f t="shared" si="705"/>
        <v>30</v>
      </c>
      <c r="BJ751" s="237">
        <f t="shared" si="682"/>
        <v>46.033333333333331</v>
      </c>
      <c r="BK751" s="253">
        <f t="shared" si="683"/>
        <v>3.2297395388556791</v>
      </c>
      <c r="BL751" s="253" cm="1">
        <f t="array" ref="BL751">$BC751 * IF($AD751&lt;=2,
SUMPRODUCT(INDEX($AL$72:$AN$76,,$AE751), INDEX($AO$72:$AU$76,,$AD751), 1 / ($AV$72:$AV$76*BK751 + (1-$AV$72:$AV$76)*BG751), N($AK$72:$AK$76&gt;$AI751)),
SUMPRODUCT(INDEX($AL$67:$AN$76,,$AE751), INDEX($AO$67:$AU$76,,$AD751), 1 / ($AW$67:$AW$76*BK751 + (1-$AW$67:$AW$76)*BG751), N($AK$67:$AK$76&gt;$AI751))
) / 1000</f>
        <v>0</v>
      </c>
      <c r="BM751" s="250">
        <f t="shared" si="706"/>
        <v>25</v>
      </c>
      <c r="BN751" s="237">
        <f t="shared" si="684"/>
        <v>39.516666666666666</v>
      </c>
      <c r="BO751" s="253">
        <f t="shared" si="685"/>
        <v>3.877011788826243</v>
      </c>
      <c r="BP751" s="253" cm="1">
        <f t="array" ref="BP751">$BC751 * IF($AD751&lt;=2,
SUMPRODUCT(INDEX($AL$67:$AN$71,,$AE751), INDEX($AO$67:$AU$71,,$AD751), 1 / ($AV$67:$AV$71*BO751 + (1-$AV$67:$AV$71)*BK751), N($AK$67:$AK$71&gt;$AI751)),
SUMPRODUCT(INDEX($AL$57:$AN$66,,$AE751), INDEX($AO$57:$AU$66,,$AD751), 1 / ($AW$57:$AW$66*BO751 + (1-$AW$57:$AW$66)*BK751), N($AK$57:$AK$66&gt;$AI751))
) / 1000</f>
        <v>0</v>
      </c>
      <c r="BQ751" s="250">
        <f t="shared" si="707"/>
        <v>20</v>
      </c>
      <c r="BR751" s="237">
        <f t="shared" si="686"/>
        <v>33</v>
      </c>
      <c r="BS751" s="253">
        <f t="shared" si="687"/>
        <v>4.8487499999999999</v>
      </c>
      <c r="BT751" s="253" cm="1">
        <f t="array" ref="BT751">$BC751 * IF($AD751&lt;=2,
SUMPRODUCT(INDEX($AL$62:$AN$66,,$AE751), INDEX($AO$62:$AU$66,,$AD751), 1 / ($AV$62:$AV$66*BS751 + (1-$AV$62:$AV$66)*BO751), N($AK$62:$AK$66&gt;$AI751)),
SUMPRODUCT(INDEX($AL$47:$AN$56,,$AE751), INDEX($AO$47:$AU$56,,$AD751), 1 / ($AW$47:$AW$56*BS751 + (1-$AW$47:$AW$56)*BO751), N($AK$47:$AK$56&gt;$AI751))
) / 1000</f>
        <v>0</v>
      </c>
      <c r="BU751" s="253" cm="1">
        <f t="array" ref="BU751">$BC751 * IF($AD751&lt;=2,
SUMPRODUCT(INDEX($AL$23:$AN$61,,$AE751), INDEX($AO$23:$AU$61,,$AD751), 1 / ($AV$23:$AV$61*BS751), N($AK$23:$AK$61&gt;$AI751)),
SUMPRODUCT(INDEX($AL$23:$AN$46,,$AE751), INDEX($AO$23:$AU$46,,$AD751), 1 / ($AW$23:$AW$46*BS751), N($AK$23:$AK$46&gt;$AI751))
) / 1000</f>
        <v>0</v>
      </c>
      <c r="BV751" s="237">
        <f t="shared" si="688"/>
        <v>0</v>
      </c>
      <c r="BW751" s="210"/>
      <c r="BX751" s="237">
        <f t="shared" si="689"/>
        <v>0</v>
      </c>
      <c r="BY751" s="236">
        <v>35</v>
      </c>
      <c r="BZ751" s="237">
        <f t="shared" si="690"/>
        <v>48</v>
      </c>
      <c r="CA751" s="253">
        <f t="shared" si="691"/>
        <v>3.0748170731707316</v>
      </c>
      <c r="CB751" s="253" cm="1">
        <f t="array" ref="CB751">$BC751 * SUMPRODUCT(INDEX($AL$77:$AN$82,,$AE751),INDEX($AO$77:$AU$82,,$AD751), N($AK$77:$AK$82&gt;$AI751)) / CA751 / 1000</f>
        <v>0</v>
      </c>
      <c r="CC751" s="250">
        <f t="shared" si="708"/>
        <v>30</v>
      </c>
      <c r="CD751" s="237">
        <f t="shared" si="692"/>
        <v>43</v>
      </c>
      <c r="CE751" s="253">
        <f t="shared" si="693"/>
        <v>3.5018750000000001</v>
      </c>
      <c r="CF751" s="253" cm="1">
        <f t="array" ref="CF751">$BC751 * IF($AD751&lt;=2,
SUMPRODUCT(INDEX($AL$72:$AN$76,,$AE751), INDEX($AO$72:$AU$76,,$AD751), 1 / ($AV$72:$AV$76*CE751 + (1-$AV$72:$AV$76)*CA751), N($AK$72:$AK$76&gt;$AI751)),
SUMPRODUCT(INDEX($AL$67:$AN$76,,$AE751), INDEX($AO$67:$AU$76,,$AD751), 1 / ($AW$67:$AW$76*CE751 + (1-$AW$67:$AW$76)*CA751), N($AK$67:$AK$76&gt;$AI751))
) / 1000</f>
        <v>0</v>
      </c>
      <c r="CG751" s="250">
        <f t="shared" si="709"/>
        <v>25</v>
      </c>
      <c r="CH751" s="237">
        <f t="shared" si="694"/>
        <v>38</v>
      </c>
      <c r="CI751" s="253">
        <f t="shared" si="695"/>
        <v>4.0666935483870965</v>
      </c>
      <c r="CJ751" s="253" cm="1">
        <f t="array" ref="CJ751">$BC751 * IF($AD751&lt;=2,
SUMPRODUCT(INDEX($AL$67:$AN$71,,$AE751), INDEX($AO$67:$AU$71,,$AD751), 1 / ($AV$67:$AV$71*CI751 + (1-$AV$67:$AV$71)*CE751), N($AK$67:$AK$71&gt;$AI751)),
SUMPRODUCT(INDEX($AL$57:$AN$66,,$AE751), INDEX($AO$57:$AU$66,,$AD751), 1 / ($AW$57:$AW$66*CI751 + (1-$AW$57:$AW$66)*CE751), N($AK$57:$AK$66&gt;$AI751))
) / 1000</f>
        <v>0</v>
      </c>
      <c r="CK751" s="250">
        <f t="shared" si="710"/>
        <v>20</v>
      </c>
      <c r="CL751" s="237">
        <f t="shared" si="696"/>
        <v>33</v>
      </c>
      <c r="CM751" s="253">
        <f t="shared" si="697"/>
        <v>4.8487499999999999</v>
      </c>
      <c r="CN751" s="253" cm="1">
        <f t="array" ref="CN751">$BC751 * IF($AD751&lt;=2,
SUMPRODUCT(INDEX($AL$62:$AN$66,,$AE751), INDEX($AO$62:$AU$66,,$AD751), 1 / ($AV$62:$AV$66*CM751 + (1-$AV$62:$AV$66)*CI751), N($AK$62:$AK$66&gt;$AI751)),
SUMPRODUCT(INDEX($AL$47:$AN$56,,$AE751), INDEX($AO$47:$AU$56,,$AD751), 1 / ($AW$47:$AW$56*CM751 + (1-$AW$47:$AW$56)*CI751), N($AK$47:$AK$56&gt;$AI751))
) / 1000</f>
        <v>0</v>
      </c>
      <c r="CO751" s="253" cm="1">
        <f t="array" ref="CO751">$BC751 * IF($AD751&lt;=2,
SUMPRODUCT(INDEX($AL$23:$AN$61,,$AE751), INDEX($AO$23:$AU$61,,$AD751), 1 / ($AV$23:$AV$61*CM751), N($AK$23:$AK$61&gt;$AI751)),
SUMPRODUCT(INDEX($AL$23:$AN$46,,$AE751), INDEX($AO$23:$AU$46,,$AD751), 1 / ($AW$23:$AW$46*CM751), N($AK$23:$AK$46&gt;$AI751))
) / 1000</f>
        <v>0</v>
      </c>
      <c r="CP751" s="237">
        <f t="shared" si="698"/>
        <v>0</v>
      </c>
      <c r="CQ751" s="210"/>
    </row>
    <row r="752" spans="1:95" s="76" customFormat="1" ht="14.25" customHeight="1" x14ac:dyDescent="0.2">
      <c r="A752" s="238" t="b">
        <f t="shared" si="702"/>
        <v>0</v>
      </c>
      <c r="B752" s="239">
        <v>730</v>
      </c>
      <c r="C752" s="258"/>
      <c r="D752" s="258"/>
      <c r="E752" s="240"/>
      <c r="F752" s="241" t="str">
        <f>IF(ISBLANK(E752), "", VLOOKUP(E752, Z!$A$2:$C$4127, 3, FALSE))</f>
        <v/>
      </c>
      <c r="G752" s="242"/>
      <c r="H752" s="242"/>
      <c r="I752" s="243"/>
      <c r="J752" s="244"/>
      <c r="K752" s="259"/>
      <c r="L752" s="260"/>
      <c r="M752" s="247" t="str" cm="1">
        <f t="array" ref="M752">IF($K752&gt;0, INDEX(Clean,1+AG752,$C$1), "")</f>
        <v/>
      </c>
      <c r="N752" s="245"/>
      <c r="O752" s="245"/>
      <c r="P752" s="246"/>
      <c r="Q752" s="248">
        <f t="shared" si="675"/>
        <v>0</v>
      </c>
      <c r="R752" s="247" t="str" cm="1">
        <f t="array" ref="R752">IF($K752&gt;0, INDEX(Clean,1+AH752,$C$1), "")</f>
        <v/>
      </c>
      <c r="S752" s="245"/>
      <c r="T752" s="245"/>
      <c r="U752" s="246"/>
      <c r="V752" s="248">
        <f t="shared" si="676"/>
        <v>0</v>
      </c>
      <c r="W752" s="261"/>
      <c r="X752" s="258"/>
      <c r="Y752" s="240"/>
      <c r="Z752" s="241" t="str">
        <f>IF(ISBLANK(Y752), "", VLOOKUP(Y752, Z!$A$2:$C$4127, 3, FALSE))</f>
        <v/>
      </c>
      <c r="AA752" s="262"/>
      <c r="AB752" s="249">
        <f t="shared" si="711"/>
        <v>0</v>
      </c>
      <c r="AC752" s="210"/>
      <c r="AD752" s="236">
        <f t="shared" si="699"/>
        <v>1</v>
      </c>
      <c r="AE752" s="236">
        <f t="shared" si="700"/>
        <v>1</v>
      </c>
      <c r="AF752" s="236">
        <f t="shared" si="701"/>
        <v>0</v>
      </c>
      <c r="AG752" s="236">
        <v>1</v>
      </c>
      <c r="AH752" s="236">
        <v>0</v>
      </c>
      <c r="AI752" s="236">
        <f t="shared" si="677"/>
        <v>-100</v>
      </c>
      <c r="AJ752" s="210"/>
      <c r="AK752" s="254"/>
      <c r="AL752" s="254"/>
      <c r="AM752" s="255"/>
      <c r="AN752" s="255"/>
      <c r="AO752" s="255"/>
      <c r="AP752" s="255"/>
      <c r="AQ752" s="255"/>
      <c r="AR752" s="255"/>
      <c r="AS752" s="255"/>
      <c r="AT752" s="255"/>
      <c r="AU752" s="255"/>
      <c r="AV752" s="255"/>
      <c r="AW752" s="255"/>
      <c r="AX752" s="210"/>
      <c r="AY752" s="236" cm="1">
        <f t="array" ref="AY752">INDEX(Use, $AD752, 4)</f>
        <v>7</v>
      </c>
      <c r="AZ752" s="236">
        <f t="shared" si="678"/>
        <v>32</v>
      </c>
      <c r="BA752" s="236">
        <f t="shared" si="703"/>
        <v>13</v>
      </c>
      <c r="BB752" s="236">
        <f t="shared" si="704"/>
        <v>0</v>
      </c>
      <c r="BC752" s="252" cm="1">
        <f t="array" ref="BC752">K752/IF($L752&gt;0, INDEX($AO$23:$AU$77, $L752+20, $AD752), 1)</f>
        <v>0</v>
      </c>
      <c r="BD752" s="237">
        <f t="shared" si="679"/>
        <v>0</v>
      </c>
      <c r="BE752" s="236">
        <v>35</v>
      </c>
      <c r="BF752" s="237">
        <f t="shared" si="680"/>
        <v>52.55</v>
      </c>
      <c r="BG752" s="253">
        <f t="shared" si="681"/>
        <v>2.7676728869374316</v>
      </c>
      <c r="BH752" s="253" cm="1">
        <f t="array" ref="BH752">$BC752 * SUMPRODUCT(INDEX($AL$77:$AN$82,,$AE752),INDEX($AO$77:$AU$82,,$AD752), N($AK$77:$AK$82&gt;$AI752)) / BG752 / 1000</f>
        <v>0</v>
      </c>
      <c r="BI752" s="250">
        <f t="shared" si="705"/>
        <v>30</v>
      </c>
      <c r="BJ752" s="237">
        <f t="shared" si="682"/>
        <v>46.033333333333331</v>
      </c>
      <c r="BK752" s="253">
        <f t="shared" si="683"/>
        <v>3.2297395388556791</v>
      </c>
      <c r="BL752" s="253" cm="1">
        <f t="array" ref="BL752">$BC752 * IF($AD752&lt;=2,
SUMPRODUCT(INDEX($AL$72:$AN$76,,$AE752), INDEX($AO$72:$AU$76,,$AD752), 1 / ($AV$72:$AV$76*BK752 + (1-$AV$72:$AV$76)*BG752), N($AK$72:$AK$76&gt;$AI752)),
SUMPRODUCT(INDEX($AL$67:$AN$76,,$AE752), INDEX($AO$67:$AU$76,,$AD752), 1 / ($AW$67:$AW$76*BK752 + (1-$AW$67:$AW$76)*BG752), N($AK$67:$AK$76&gt;$AI752))
) / 1000</f>
        <v>0</v>
      </c>
      <c r="BM752" s="250">
        <f t="shared" si="706"/>
        <v>25</v>
      </c>
      <c r="BN752" s="237">
        <f t="shared" si="684"/>
        <v>39.516666666666666</v>
      </c>
      <c r="BO752" s="253">
        <f t="shared" si="685"/>
        <v>3.877011788826243</v>
      </c>
      <c r="BP752" s="253" cm="1">
        <f t="array" ref="BP752">$BC752 * IF($AD752&lt;=2,
SUMPRODUCT(INDEX($AL$67:$AN$71,,$AE752), INDEX($AO$67:$AU$71,,$AD752), 1 / ($AV$67:$AV$71*BO752 + (1-$AV$67:$AV$71)*BK752), N($AK$67:$AK$71&gt;$AI752)),
SUMPRODUCT(INDEX($AL$57:$AN$66,,$AE752), INDEX($AO$57:$AU$66,,$AD752), 1 / ($AW$57:$AW$66*BO752 + (1-$AW$57:$AW$66)*BK752), N($AK$57:$AK$66&gt;$AI752))
) / 1000</f>
        <v>0</v>
      </c>
      <c r="BQ752" s="250">
        <f t="shared" si="707"/>
        <v>20</v>
      </c>
      <c r="BR752" s="237">
        <f t="shared" si="686"/>
        <v>33</v>
      </c>
      <c r="BS752" s="253">
        <f t="shared" si="687"/>
        <v>4.8487499999999999</v>
      </c>
      <c r="BT752" s="253" cm="1">
        <f t="array" ref="BT752">$BC752 * IF($AD752&lt;=2,
SUMPRODUCT(INDEX($AL$62:$AN$66,,$AE752), INDEX($AO$62:$AU$66,,$AD752), 1 / ($AV$62:$AV$66*BS752 + (1-$AV$62:$AV$66)*BO752), N($AK$62:$AK$66&gt;$AI752)),
SUMPRODUCT(INDEX($AL$47:$AN$56,,$AE752), INDEX($AO$47:$AU$56,,$AD752), 1 / ($AW$47:$AW$56*BS752 + (1-$AW$47:$AW$56)*BO752), N($AK$47:$AK$56&gt;$AI752))
) / 1000</f>
        <v>0</v>
      </c>
      <c r="BU752" s="253" cm="1">
        <f t="array" ref="BU752">$BC752 * IF($AD752&lt;=2,
SUMPRODUCT(INDEX($AL$23:$AN$61,,$AE752), INDEX($AO$23:$AU$61,,$AD752), 1 / ($AV$23:$AV$61*BS752), N($AK$23:$AK$61&gt;$AI752)),
SUMPRODUCT(INDEX($AL$23:$AN$46,,$AE752), INDEX($AO$23:$AU$46,,$AD752), 1 / ($AW$23:$AW$46*BS752), N($AK$23:$AK$46&gt;$AI752))
) / 1000</f>
        <v>0</v>
      </c>
      <c r="BV752" s="237">
        <f t="shared" si="688"/>
        <v>0</v>
      </c>
      <c r="BW752" s="210"/>
      <c r="BX752" s="237">
        <f t="shared" si="689"/>
        <v>0</v>
      </c>
      <c r="BY752" s="236">
        <v>35</v>
      </c>
      <c r="BZ752" s="237">
        <f t="shared" si="690"/>
        <v>48</v>
      </c>
      <c r="CA752" s="253">
        <f t="shared" si="691"/>
        <v>3.0748170731707316</v>
      </c>
      <c r="CB752" s="253" cm="1">
        <f t="array" ref="CB752">$BC752 * SUMPRODUCT(INDEX($AL$77:$AN$82,,$AE752),INDEX($AO$77:$AU$82,,$AD752), N($AK$77:$AK$82&gt;$AI752)) / CA752 / 1000</f>
        <v>0</v>
      </c>
      <c r="CC752" s="250">
        <f t="shared" si="708"/>
        <v>30</v>
      </c>
      <c r="CD752" s="237">
        <f t="shared" si="692"/>
        <v>43</v>
      </c>
      <c r="CE752" s="253">
        <f t="shared" si="693"/>
        <v>3.5018750000000001</v>
      </c>
      <c r="CF752" s="253" cm="1">
        <f t="array" ref="CF752">$BC752 * IF($AD752&lt;=2,
SUMPRODUCT(INDEX($AL$72:$AN$76,,$AE752), INDEX($AO$72:$AU$76,,$AD752), 1 / ($AV$72:$AV$76*CE752 + (1-$AV$72:$AV$76)*CA752), N($AK$72:$AK$76&gt;$AI752)),
SUMPRODUCT(INDEX($AL$67:$AN$76,,$AE752), INDEX($AO$67:$AU$76,,$AD752), 1 / ($AW$67:$AW$76*CE752 + (1-$AW$67:$AW$76)*CA752), N($AK$67:$AK$76&gt;$AI752))
) / 1000</f>
        <v>0</v>
      </c>
      <c r="CG752" s="250">
        <f t="shared" si="709"/>
        <v>25</v>
      </c>
      <c r="CH752" s="237">
        <f t="shared" si="694"/>
        <v>38</v>
      </c>
      <c r="CI752" s="253">
        <f t="shared" si="695"/>
        <v>4.0666935483870965</v>
      </c>
      <c r="CJ752" s="253" cm="1">
        <f t="array" ref="CJ752">$BC752 * IF($AD752&lt;=2,
SUMPRODUCT(INDEX($AL$67:$AN$71,,$AE752), INDEX($AO$67:$AU$71,,$AD752), 1 / ($AV$67:$AV$71*CI752 + (1-$AV$67:$AV$71)*CE752), N($AK$67:$AK$71&gt;$AI752)),
SUMPRODUCT(INDEX($AL$57:$AN$66,,$AE752), INDEX($AO$57:$AU$66,,$AD752), 1 / ($AW$57:$AW$66*CI752 + (1-$AW$57:$AW$66)*CE752), N($AK$57:$AK$66&gt;$AI752))
) / 1000</f>
        <v>0</v>
      </c>
      <c r="CK752" s="250">
        <f t="shared" si="710"/>
        <v>20</v>
      </c>
      <c r="CL752" s="237">
        <f t="shared" si="696"/>
        <v>33</v>
      </c>
      <c r="CM752" s="253">
        <f t="shared" si="697"/>
        <v>4.8487499999999999</v>
      </c>
      <c r="CN752" s="253" cm="1">
        <f t="array" ref="CN752">$BC752 * IF($AD752&lt;=2,
SUMPRODUCT(INDEX($AL$62:$AN$66,,$AE752), INDEX($AO$62:$AU$66,,$AD752), 1 / ($AV$62:$AV$66*CM752 + (1-$AV$62:$AV$66)*CI752), N($AK$62:$AK$66&gt;$AI752)),
SUMPRODUCT(INDEX($AL$47:$AN$56,,$AE752), INDEX($AO$47:$AU$56,,$AD752), 1 / ($AW$47:$AW$56*CM752 + (1-$AW$47:$AW$56)*CI752), N($AK$47:$AK$56&gt;$AI752))
) / 1000</f>
        <v>0</v>
      </c>
      <c r="CO752" s="253" cm="1">
        <f t="array" ref="CO752">$BC752 * IF($AD752&lt;=2,
SUMPRODUCT(INDEX($AL$23:$AN$61,,$AE752), INDEX($AO$23:$AU$61,,$AD752), 1 / ($AV$23:$AV$61*CM752), N($AK$23:$AK$61&gt;$AI752)),
SUMPRODUCT(INDEX($AL$23:$AN$46,,$AE752), INDEX($AO$23:$AU$46,,$AD752), 1 / ($AW$23:$AW$46*CM752), N($AK$23:$AK$46&gt;$AI752))
) / 1000</f>
        <v>0</v>
      </c>
      <c r="CP752" s="237">
        <f t="shared" si="698"/>
        <v>0</v>
      </c>
      <c r="CQ752" s="210"/>
    </row>
    <row r="753" spans="1:95" s="76" customFormat="1" ht="14.25" customHeight="1" x14ac:dyDescent="0.2">
      <c r="A753" s="238" t="b">
        <f t="shared" si="702"/>
        <v>0</v>
      </c>
      <c r="B753" s="239">
        <v>731</v>
      </c>
      <c r="C753" s="258"/>
      <c r="D753" s="258"/>
      <c r="E753" s="240"/>
      <c r="F753" s="241" t="str">
        <f>IF(ISBLANK(E753), "", VLOOKUP(E753, Z!$A$2:$C$4127, 3, FALSE))</f>
        <v/>
      </c>
      <c r="G753" s="242"/>
      <c r="H753" s="242"/>
      <c r="I753" s="243"/>
      <c r="J753" s="244"/>
      <c r="K753" s="259"/>
      <c r="L753" s="260"/>
      <c r="M753" s="247" t="str" cm="1">
        <f t="array" ref="M753">IF($K753&gt;0, INDEX(Clean,1+AG753,$C$1), "")</f>
        <v/>
      </c>
      <c r="N753" s="245"/>
      <c r="O753" s="245"/>
      <c r="P753" s="246"/>
      <c r="Q753" s="248">
        <f t="shared" si="675"/>
        <v>0</v>
      </c>
      <c r="R753" s="247" t="str" cm="1">
        <f t="array" ref="R753">IF($K753&gt;0, INDEX(Clean,1+AH753,$C$1), "")</f>
        <v/>
      </c>
      <c r="S753" s="245"/>
      <c r="T753" s="245"/>
      <c r="U753" s="246"/>
      <c r="V753" s="248">
        <f t="shared" si="676"/>
        <v>0</v>
      </c>
      <c r="W753" s="261"/>
      <c r="X753" s="258"/>
      <c r="Y753" s="240"/>
      <c r="Z753" s="241" t="str">
        <f>IF(ISBLANK(Y753), "", VLOOKUP(Y753, Z!$A$2:$C$4127, 3, FALSE))</f>
        <v/>
      </c>
      <c r="AA753" s="262"/>
      <c r="AB753" s="249">
        <f t="shared" si="711"/>
        <v>0</v>
      </c>
      <c r="AC753" s="210"/>
      <c r="AD753" s="236">
        <f t="shared" si="699"/>
        <v>1</v>
      </c>
      <c r="AE753" s="236">
        <f t="shared" si="700"/>
        <v>1</v>
      </c>
      <c r="AF753" s="236">
        <f t="shared" si="701"/>
        <v>0</v>
      </c>
      <c r="AG753" s="236">
        <v>1</v>
      </c>
      <c r="AH753" s="236">
        <v>0</v>
      </c>
      <c r="AI753" s="236">
        <f t="shared" si="677"/>
        <v>-100</v>
      </c>
      <c r="AJ753" s="210"/>
      <c r="AK753" s="254"/>
      <c r="AL753" s="254"/>
      <c r="AM753" s="255"/>
      <c r="AN753" s="255"/>
      <c r="AO753" s="255"/>
      <c r="AP753" s="255"/>
      <c r="AQ753" s="255"/>
      <c r="AR753" s="255"/>
      <c r="AS753" s="255"/>
      <c r="AT753" s="255"/>
      <c r="AU753" s="255"/>
      <c r="AV753" s="255"/>
      <c r="AW753" s="255"/>
      <c r="AX753" s="210"/>
      <c r="AY753" s="236" cm="1">
        <f t="array" ref="AY753">INDEX(Use, $AD753, 4)</f>
        <v>7</v>
      </c>
      <c r="AZ753" s="236">
        <f t="shared" si="678"/>
        <v>32</v>
      </c>
      <c r="BA753" s="236">
        <f t="shared" si="703"/>
        <v>13</v>
      </c>
      <c r="BB753" s="236">
        <f t="shared" si="704"/>
        <v>0</v>
      </c>
      <c r="BC753" s="252" cm="1">
        <f t="array" ref="BC753">K753/IF($L753&gt;0, INDEX($AO$23:$AU$77, $L753+20, $AD753), 1)</f>
        <v>0</v>
      </c>
      <c r="BD753" s="237">
        <f t="shared" si="679"/>
        <v>0</v>
      </c>
      <c r="BE753" s="236">
        <v>35</v>
      </c>
      <c r="BF753" s="237">
        <f t="shared" si="680"/>
        <v>52.55</v>
      </c>
      <c r="BG753" s="253">
        <f t="shared" si="681"/>
        <v>2.7676728869374316</v>
      </c>
      <c r="BH753" s="253" cm="1">
        <f t="array" ref="BH753">$BC753 * SUMPRODUCT(INDEX($AL$77:$AN$82,,$AE753),INDEX($AO$77:$AU$82,,$AD753), N($AK$77:$AK$82&gt;$AI753)) / BG753 / 1000</f>
        <v>0</v>
      </c>
      <c r="BI753" s="250">
        <f t="shared" si="705"/>
        <v>30</v>
      </c>
      <c r="BJ753" s="237">
        <f t="shared" si="682"/>
        <v>46.033333333333331</v>
      </c>
      <c r="BK753" s="253">
        <f t="shared" si="683"/>
        <v>3.2297395388556791</v>
      </c>
      <c r="BL753" s="253" cm="1">
        <f t="array" ref="BL753">$BC753 * IF($AD753&lt;=2,
SUMPRODUCT(INDEX($AL$72:$AN$76,,$AE753), INDEX($AO$72:$AU$76,,$AD753), 1 / ($AV$72:$AV$76*BK753 + (1-$AV$72:$AV$76)*BG753), N($AK$72:$AK$76&gt;$AI753)),
SUMPRODUCT(INDEX($AL$67:$AN$76,,$AE753), INDEX($AO$67:$AU$76,,$AD753), 1 / ($AW$67:$AW$76*BK753 + (1-$AW$67:$AW$76)*BG753), N($AK$67:$AK$76&gt;$AI753))
) / 1000</f>
        <v>0</v>
      </c>
      <c r="BM753" s="250">
        <f t="shared" si="706"/>
        <v>25</v>
      </c>
      <c r="BN753" s="237">
        <f t="shared" si="684"/>
        <v>39.516666666666666</v>
      </c>
      <c r="BO753" s="253">
        <f t="shared" si="685"/>
        <v>3.877011788826243</v>
      </c>
      <c r="BP753" s="253" cm="1">
        <f t="array" ref="BP753">$BC753 * IF($AD753&lt;=2,
SUMPRODUCT(INDEX($AL$67:$AN$71,,$AE753), INDEX($AO$67:$AU$71,,$AD753), 1 / ($AV$67:$AV$71*BO753 + (1-$AV$67:$AV$71)*BK753), N($AK$67:$AK$71&gt;$AI753)),
SUMPRODUCT(INDEX($AL$57:$AN$66,,$AE753), INDEX($AO$57:$AU$66,,$AD753), 1 / ($AW$57:$AW$66*BO753 + (1-$AW$57:$AW$66)*BK753), N($AK$57:$AK$66&gt;$AI753))
) / 1000</f>
        <v>0</v>
      </c>
      <c r="BQ753" s="250">
        <f t="shared" si="707"/>
        <v>20</v>
      </c>
      <c r="BR753" s="237">
        <f t="shared" si="686"/>
        <v>33</v>
      </c>
      <c r="BS753" s="253">
        <f t="shared" si="687"/>
        <v>4.8487499999999999</v>
      </c>
      <c r="BT753" s="253" cm="1">
        <f t="array" ref="BT753">$BC753 * IF($AD753&lt;=2,
SUMPRODUCT(INDEX($AL$62:$AN$66,,$AE753), INDEX($AO$62:$AU$66,,$AD753), 1 / ($AV$62:$AV$66*BS753 + (1-$AV$62:$AV$66)*BO753), N($AK$62:$AK$66&gt;$AI753)),
SUMPRODUCT(INDEX($AL$47:$AN$56,,$AE753), INDEX($AO$47:$AU$56,,$AD753), 1 / ($AW$47:$AW$56*BS753 + (1-$AW$47:$AW$56)*BO753), N($AK$47:$AK$56&gt;$AI753))
) / 1000</f>
        <v>0</v>
      </c>
      <c r="BU753" s="253" cm="1">
        <f t="array" ref="BU753">$BC753 * IF($AD753&lt;=2,
SUMPRODUCT(INDEX($AL$23:$AN$61,,$AE753), INDEX($AO$23:$AU$61,,$AD753), 1 / ($AV$23:$AV$61*BS753), N($AK$23:$AK$61&gt;$AI753)),
SUMPRODUCT(INDEX($AL$23:$AN$46,,$AE753), INDEX($AO$23:$AU$46,,$AD753), 1 / ($AW$23:$AW$46*BS753), N($AK$23:$AK$46&gt;$AI753))
) / 1000</f>
        <v>0</v>
      </c>
      <c r="BV753" s="237">
        <f t="shared" si="688"/>
        <v>0</v>
      </c>
      <c r="BW753" s="210"/>
      <c r="BX753" s="237">
        <f t="shared" si="689"/>
        <v>0</v>
      </c>
      <c r="BY753" s="236">
        <v>35</v>
      </c>
      <c r="BZ753" s="237">
        <f t="shared" si="690"/>
        <v>48</v>
      </c>
      <c r="CA753" s="253">
        <f t="shared" si="691"/>
        <v>3.0748170731707316</v>
      </c>
      <c r="CB753" s="253" cm="1">
        <f t="array" ref="CB753">$BC753 * SUMPRODUCT(INDEX($AL$77:$AN$82,,$AE753),INDEX($AO$77:$AU$82,,$AD753), N($AK$77:$AK$82&gt;$AI753)) / CA753 / 1000</f>
        <v>0</v>
      </c>
      <c r="CC753" s="250">
        <f t="shared" si="708"/>
        <v>30</v>
      </c>
      <c r="CD753" s="237">
        <f t="shared" si="692"/>
        <v>43</v>
      </c>
      <c r="CE753" s="253">
        <f t="shared" si="693"/>
        <v>3.5018750000000001</v>
      </c>
      <c r="CF753" s="253" cm="1">
        <f t="array" ref="CF753">$BC753 * IF($AD753&lt;=2,
SUMPRODUCT(INDEX($AL$72:$AN$76,,$AE753), INDEX($AO$72:$AU$76,,$AD753), 1 / ($AV$72:$AV$76*CE753 + (1-$AV$72:$AV$76)*CA753), N($AK$72:$AK$76&gt;$AI753)),
SUMPRODUCT(INDEX($AL$67:$AN$76,,$AE753), INDEX($AO$67:$AU$76,,$AD753), 1 / ($AW$67:$AW$76*CE753 + (1-$AW$67:$AW$76)*CA753), N($AK$67:$AK$76&gt;$AI753))
) / 1000</f>
        <v>0</v>
      </c>
      <c r="CG753" s="250">
        <f t="shared" si="709"/>
        <v>25</v>
      </c>
      <c r="CH753" s="237">
        <f t="shared" si="694"/>
        <v>38</v>
      </c>
      <c r="CI753" s="253">
        <f t="shared" si="695"/>
        <v>4.0666935483870965</v>
      </c>
      <c r="CJ753" s="253" cm="1">
        <f t="array" ref="CJ753">$BC753 * IF($AD753&lt;=2,
SUMPRODUCT(INDEX($AL$67:$AN$71,,$AE753), INDEX($AO$67:$AU$71,,$AD753), 1 / ($AV$67:$AV$71*CI753 + (1-$AV$67:$AV$71)*CE753), N($AK$67:$AK$71&gt;$AI753)),
SUMPRODUCT(INDEX($AL$57:$AN$66,,$AE753), INDEX($AO$57:$AU$66,,$AD753), 1 / ($AW$57:$AW$66*CI753 + (1-$AW$57:$AW$66)*CE753), N($AK$57:$AK$66&gt;$AI753))
) / 1000</f>
        <v>0</v>
      </c>
      <c r="CK753" s="250">
        <f t="shared" si="710"/>
        <v>20</v>
      </c>
      <c r="CL753" s="237">
        <f t="shared" si="696"/>
        <v>33</v>
      </c>
      <c r="CM753" s="253">
        <f t="shared" si="697"/>
        <v>4.8487499999999999</v>
      </c>
      <c r="CN753" s="253" cm="1">
        <f t="array" ref="CN753">$BC753 * IF($AD753&lt;=2,
SUMPRODUCT(INDEX($AL$62:$AN$66,,$AE753), INDEX($AO$62:$AU$66,,$AD753), 1 / ($AV$62:$AV$66*CM753 + (1-$AV$62:$AV$66)*CI753), N($AK$62:$AK$66&gt;$AI753)),
SUMPRODUCT(INDEX($AL$47:$AN$56,,$AE753), INDEX($AO$47:$AU$56,,$AD753), 1 / ($AW$47:$AW$56*CM753 + (1-$AW$47:$AW$56)*CI753), N($AK$47:$AK$56&gt;$AI753))
) / 1000</f>
        <v>0</v>
      </c>
      <c r="CO753" s="253" cm="1">
        <f t="array" ref="CO753">$BC753 * IF($AD753&lt;=2,
SUMPRODUCT(INDEX($AL$23:$AN$61,,$AE753), INDEX($AO$23:$AU$61,,$AD753), 1 / ($AV$23:$AV$61*CM753), N($AK$23:$AK$61&gt;$AI753)),
SUMPRODUCT(INDEX($AL$23:$AN$46,,$AE753), INDEX($AO$23:$AU$46,,$AD753), 1 / ($AW$23:$AW$46*CM753), N($AK$23:$AK$46&gt;$AI753))
) / 1000</f>
        <v>0</v>
      </c>
      <c r="CP753" s="237">
        <f t="shared" si="698"/>
        <v>0</v>
      </c>
      <c r="CQ753" s="210"/>
    </row>
    <row r="754" spans="1:95" s="76" customFormat="1" ht="14.25" customHeight="1" x14ac:dyDescent="0.2">
      <c r="A754" s="238" t="b">
        <f t="shared" si="702"/>
        <v>0</v>
      </c>
      <c r="B754" s="239">
        <v>732</v>
      </c>
      <c r="C754" s="258"/>
      <c r="D754" s="258"/>
      <c r="E754" s="240"/>
      <c r="F754" s="241" t="str">
        <f>IF(ISBLANK(E754), "", VLOOKUP(E754, Z!$A$2:$C$4127, 3, FALSE))</f>
        <v/>
      </c>
      <c r="G754" s="242"/>
      <c r="H754" s="242"/>
      <c r="I754" s="243"/>
      <c r="J754" s="244"/>
      <c r="K754" s="259"/>
      <c r="L754" s="260"/>
      <c r="M754" s="247" t="str" cm="1">
        <f t="array" ref="M754">IF($K754&gt;0, INDEX(Clean,1+AG754,$C$1), "")</f>
        <v/>
      </c>
      <c r="N754" s="245"/>
      <c r="O754" s="245"/>
      <c r="P754" s="246"/>
      <c r="Q754" s="248">
        <f t="shared" si="675"/>
        <v>0</v>
      </c>
      <c r="R754" s="247" t="str" cm="1">
        <f t="array" ref="R754">IF($K754&gt;0, INDEX(Clean,1+AH754,$C$1), "")</f>
        <v/>
      </c>
      <c r="S754" s="245"/>
      <c r="T754" s="245"/>
      <c r="U754" s="246"/>
      <c r="V754" s="248">
        <f t="shared" si="676"/>
        <v>0</v>
      </c>
      <c r="W754" s="261"/>
      <c r="X754" s="258"/>
      <c r="Y754" s="240"/>
      <c r="Z754" s="241" t="str">
        <f>IF(ISBLANK(Y754), "", VLOOKUP(Y754, Z!$A$2:$C$4127, 3, FALSE))</f>
        <v/>
      </c>
      <c r="AA754" s="262"/>
      <c r="AB754" s="249">
        <f t="shared" si="711"/>
        <v>0</v>
      </c>
      <c r="AC754" s="210"/>
      <c r="AD754" s="236">
        <f t="shared" si="699"/>
        <v>1</v>
      </c>
      <c r="AE754" s="236">
        <f t="shared" si="700"/>
        <v>1</v>
      </c>
      <c r="AF754" s="236">
        <f t="shared" si="701"/>
        <v>0</v>
      </c>
      <c r="AG754" s="236">
        <v>1</v>
      </c>
      <c r="AH754" s="236">
        <v>0</v>
      </c>
      <c r="AI754" s="236">
        <f t="shared" si="677"/>
        <v>-100</v>
      </c>
      <c r="AJ754" s="210"/>
      <c r="AK754" s="254"/>
      <c r="AL754" s="254"/>
      <c r="AM754" s="255"/>
      <c r="AN754" s="255"/>
      <c r="AO754" s="255"/>
      <c r="AP754" s="255"/>
      <c r="AQ754" s="255"/>
      <c r="AR754" s="255"/>
      <c r="AS754" s="255"/>
      <c r="AT754" s="255"/>
      <c r="AU754" s="255"/>
      <c r="AV754" s="255"/>
      <c r="AW754" s="255"/>
      <c r="AX754" s="210"/>
      <c r="AY754" s="236" cm="1">
        <f t="array" ref="AY754">INDEX(Use, $AD754, 4)</f>
        <v>7</v>
      </c>
      <c r="AZ754" s="236">
        <f t="shared" si="678"/>
        <v>32</v>
      </c>
      <c r="BA754" s="236">
        <f t="shared" si="703"/>
        <v>13</v>
      </c>
      <c r="BB754" s="236">
        <f t="shared" si="704"/>
        <v>0</v>
      </c>
      <c r="BC754" s="252" cm="1">
        <f t="array" ref="BC754">K754/IF($L754&gt;0, INDEX($AO$23:$AU$77, $L754+20, $AD754), 1)</f>
        <v>0</v>
      </c>
      <c r="BD754" s="237">
        <f t="shared" si="679"/>
        <v>0</v>
      </c>
      <c r="BE754" s="236">
        <v>35</v>
      </c>
      <c r="BF754" s="237">
        <f t="shared" si="680"/>
        <v>52.55</v>
      </c>
      <c r="BG754" s="253">
        <f t="shared" si="681"/>
        <v>2.7676728869374316</v>
      </c>
      <c r="BH754" s="253" cm="1">
        <f t="array" ref="BH754">$BC754 * SUMPRODUCT(INDEX($AL$77:$AN$82,,$AE754),INDEX($AO$77:$AU$82,,$AD754), N($AK$77:$AK$82&gt;$AI754)) / BG754 / 1000</f>
        <v>0</v>
      </c>
      <c r="BI754" s="250">
        <f t="shared" si="705"/>
        <v>30</v>
      </c>
      <c r="BJ754" s="237">
        <f t="shared" si="682"/>
        <v>46.033333333333331</v>
      </c>
      <c r="BK754" s="253">
        <f t="shared" si="683"/>
        <v>3.2297395388556791</v>
      </c>
      <c r="BL754" s="253" cm="1">
        <f t="array" ref="BL754">$BC754 * IF($AD754&lt;=2,
SUMPRODUCT(INDEX($AL$72:$AN$76,,$AE754), INDEX($AO$72:$AU$76,,$AD754), 1 / ($AV$72:$AV$76*BK754 + (1-$AV$72:$AV$76)*BG754), N($AK$72:$AK$76&gt;$AI754)),
SUMPRODUCT(INDEX($AL$67:$AN$76,,$AE754), INDEX($AO$67:$AU$76,,$AD754), 1 / ($AW$67:$AW$76*BK754 + (1-$AW$67:$AW$76)*BG754), N($AK$67:$AK$76&gt;$AI754))
) / 1000</f>
        <v>0</v>
      </c>
      <c r="BM754" s="250">
        <f t="shared" si="706"/>
        <v>25</v>
      </c>
      <c r="BN754" s="237">
        <f t="shared" si="684"/>
        <v>39.516666666666666</v>
      </c>
      <c r="BO754" s="253">
        <f t="shared" si="685"/>
        <v>3.877011788826243</v>
      </c>
      <c r="BP754" s="253" cm="1">
        <f t="array" ref="BP754">$BC754 * IF($AD754&lt;=2,
SUMPRODUCT(INDEX($AL$67:$AN$71,,$AE754), INDEX($AO$67:$AU$71,,$AD754), 1 / ($AV$67:$AV$71*BO754 + (1-$AV$67:$AV$71)*BK754), N($AK$67:$AK$71&gt;$AI754)),
SUMPRODUCT(INDEX($AL$57:$AN$66,,$AE754), INDEX($AO$57:$AU$66,,$AD754), 1 / ($AW$57:$AW$66*BO754 + (1-$AW$57:$AW$66)*BK754), N($AK$57:$AK$66&gt;$AI754))
) / 1000</f>
        <v>0</v>
      </c>
      <c r="BQ754" s="250">
        <f t="shared" si="707"/>
        <v>20</v>
      </c>
      <c r="BR754" s="237">
        <f t="shared" si="686"/>
        <v>33</v>
      </c>
      <c r="BS754" s="253">
        <f t="shared" si="687"/>
        <v>4.8487499999999999</v>
      </c>
      <c r="BT754" s="253" cm="1">
        <f t="array" ref="BT754">$BC754 * IF($AD754&lt;=2,
SUMPRODUCT(INDEX($AL$62:$AN$66,,$AE754), INDEX($AO$62:$AU$66,,$AD754), 1 / ($AV$62:$AV$66*BS754 + (1-$AV$62:$AV$66)*BO754), N($AK$62:$AK$66&gt;$AI754)),
SUMPRODUCT(INDEX($AL$47:$AN$56,,$AE754), INDEX($AO$47:$AU$56,,$AD754), 1 / ($AW$47:$AW$56*BS754 + (1-$AW$47:$AW$56)*BO754), N($AK$47:$AK$56&gt;$AI754))
) / 1000</f>
        <v>0</v>
      </c>
      <c r="BU754" s="253" cm="1">
        <f t="array" ref="BU754">$BC754 * IF($AD754&lt;=2,
SUMPRODUCT(INDEX($AL$23:$AN$61,,$AE754), INDEX($AO$23:$AU$61,,$AD754), 1 / ($AV$23:$AV$61*BS754), N($AK$23:$AK$61&gt;$AI754)),
SUMPRODUCT(INDEX($AL$23:$AN$46,,$AE754), INDEX($AO$23:$AU$46,,$AD754), 1 / ($AW$23:$AW$46*BS754), N($AK$23:$AK$46&gt;$AI754))
) / 1000</f>
        <v>0</v>
      </c>
      <c r="BV754" s="237">
        <f t="shared" si="688"/>
        <v>0</v>
      </c>
      <c r="BW754" s="210"/>
      <c r="BX754" s="237">
        <f t="shared" si="689"/>
        <v>0</v>
      </c>
      <c r="BY754" s="236">
        <v>35</v>
      </c>
      <c r="BZ754" s="237">
        <f t="shared" si="690"/>
        <v>48</v>
      </c>
      <c r="CA754" s="253">
        <f t="shared" si="691"/>
        <v>3.0748170731707316</v>
      </c>
      <c r="CB754" s="253" cm="1">
        <f t="array" ref="CB754">$BC754 * SUMPRODUCT(INDEX($AL$77:$AN$82,,$AE754),INDEX($AO$77:$AU$82,,$AD754), N($AK$77:$AK$82&gt;$AI754)) / CA754 / 1000</f>
        <v>0</v>
      </c>
      <c r="CC754" s="250">
        <f t="shared" si="708"/>
        <v>30</v>
      </c>
      <c r="CD754" s="237">
        <f t="shared" si="692"/>
        <v>43</v>
      </c>
      <c r="CE754" s="253">
        <f t="shared" si="693"/>
        <v>3.5018750000000001</v>
      </c>
      <c r="CF754" s="253" cm="1">
        <f t="array" ref="CF754">$BC754 * IF($AD754&lt;=2,
SUMPRODUCT(INDEX($AL$72:$AN$76,,$AE754), INDEX($AO$72:$AU$76,,$AD754), 1 / ($AV$72:$AV$76*CE754 + (1-$AV$72:$AV$76)*CA754), N($AK$72:$AK$76&gt;$AI754)),
SUMPRODUCT(INDEX($AL$67:$AN$76,,$AE754), INDEX($AO$67:$AU$76,,$AD754), 1 / ($AW$67:$AW$76*CE754 + (1-$AW$67:$AW$76)*CA754), N($AK$67:$AK$76&gt;$AI754))
) / 1000</f>
        <v>0</v>
      </c>
      <c r="CG754" s="250">
        <f t="shared" si="709"/>
        <v>25</v>
      </c>
      <c r="CH754" s="237">
        <f t="shared" si="694"/>
        <v>38</v>
      </c>
      <c r="CI754" s="253">
        <f t="shared" si="695"/>
        <v>4.0666935483870965</v>
      </c>
      <c r="CJ754" s="253" cm="1">
        <f t="array" ref="CJ754">$BC754 * IF($AD754&lt;=2,
SUMPRODUCT(INDEX($AL$67:$AN$71,,$AE754), INDEX($AO$67:$AU$71,,$AD754), 1 / ($AV$67:$AV$71*CI754 + (1-$AV$67:$AV$71)*CE754), N($AK$67:$AK$71&gt;$AI754)),
SUMPRODUCT(INDEX($AL$57:$AN$66,,$AE754), INDEX($AO$57:$AU$66,,$AD754), 1 / ($AW$57:$AW$66*CI754 + (1-$AW$57:$AW$66)*CE754), N($AK$57:$AK$66&gt;$AI754))
) / 1000</f>
        <v>0</v>
      </c>
      <c r="CK754" s="250">
        <f t="shared" si="710"/>
        <v>20</v>
      </c>
      <c r="CL754" s="237">
        <f t="shared" si="696"/>
        <v>33</v>
      </c>
      <c r="CM754" s="253">
        <f t="shared" si="697"/>
        <v>4.8487499999999999</v>
      </c>
      <c r="CN754" s="253" cm="1">
        <f t="array" ref="CN754">$BC754 * IF($AD754&lt;=2,
SUMPRODUCT(INDEX($AL$62:$AN$66,,$AE754), INDEX($AO$62:$AU$66,,$AD754), 1 / ($AV$62:$AV$66*CM754 + (1-$AV$62:$AV$66)*CI754), N($AK$62:$AK$66&gt;$AI754)),
SUMPRODUCT(INDEX($AL$47:$AN$56,,$AE754), INDEX($AO$47:$AU$56,,$AD754), 1 / ($AW$47:$AW$56*CM754 + (1-$AW$47:$AW$56)*CI754), N($AK$47:$AK$56&gt;$AI754))
) / 1000</f>
        <v>0</v>
      </c>
      <c r="CO754" s="253" cm="1">
        <f t="array" ref="CO754">$BC754 * IF($AD754&lt;=2,
SUMPRODUCT(INDEX($AL$23:$AN$61,,$AE754), INDEX($AO$23:$AU$61,,$AD754), 1 / ($AV$23:$AV$61*CM754), N($AK$23:$AK$61&gt;$AI754)),
SUMPRODUCT(INDEX($AL$23:$AN$46,,$AE754), INDEX($AO$23:$AU$46,,$AD754), 1 / ($AW$23:$AW$46*CM754), N($AK$23:$AK$46&gt;$AI754))
) / 1000</f>
        <v>0</v>
      </c>
      <c r="CP754" s="237">
        <f t="shared" si="698"/>
        <v>0</v>
      </c>
      <c r="CQ754" s="210"/>
    </row>
    <row r="755" spans="1:95" s="76" customFormat="1" ht="14.25" customHeight="1" x14ac:dyDescent="0.2">
      <c r="A755" s="238" t="b">
        <f t="shared" si="702"/>
        <v>0</v>
      </c>
      <c r="B755" s="239">
        <v>733</v>
      </c>
      <c r="C755" s="258"/>
      <c r="D755" s="258"/>
      <c r="E755" s="240"/>
      <c r="F755" s="241" t="str">
        <f>IF(ISBLANK(E755), "", VLOOKUP(E755, Z!$A$2:$C$4127, 3, FALSE))</f>
        <v/>
      </c>
      <c r="G755" s="242"/>
      <c r="H755" s="242"/>
      <c r="I755" s="243"/>
      <c r="J755" s="244"/>
      <c r="K755" s="259"/>
      <c r="L755" s="260"/>
      <c r="M755" s="247" t="str" cm="1">
        <f t="array" ref="M755">IF($K755&gt;0, INDEX(Clean,1+AG755,$C$1), "")</f>
        <v/>
      </c>
      <c r="N755" s="245"/>
      <c r="O755" s="245"/>
      <c r="P755" s="246"/>
      <c r="Q755" s="248">
        <f t="shared" si="675"/>
        <v>0</v>
      </c>
      <c r="R755" s="247" t="str" cm="1">
        <f t="array" ref="R755">IF($K755&gt;0, INDEX(Clean,1+AH755,$C$1), "")</f>
        <v/>
      </c>
      <c r="S755" s="245"/>
      <c r="T755" s="245"/>
      <c r="U755" s="246"/>
      <c r="V755" s="248">
        <f t="shared" si="676"/>
        <v>0</v>
      </c>
      <c r="W755" s="261"/>
      <c r="X755" s="258"/>
      <c r="Y755" s="240"/>
      <c r="Z755" s="241" t="str">
        <f>IF(ISBLANK(Y755), "", VLOOKUP(Y755, Z!$A$2:$C$4127, 3, FALSE))</f>
        <v/>
      </c>
      <c r="AA755" s="262"/>
      <c r="AB755" s="249">
        <f t="shared" si="711"/>
        <v>0</v>
      </c>
      <c r="AC755" s="210"/>
      <c r="AD755" s="236">
        <f t="shared" si="699"/>
        <v>1</v>
      </c>
      <c r="AE755" s="236">
        <f t="shared" si="700"/>
        <v>1</v>
      </c>
      <c r="AF755" s="236">
        <f t="shared" si="701"/>
        <v>0</v>
      </c>
      <c r="AG755" s="236">
        <v>1</v>
      </c>
      <c r="AH755" s="236">
        <v>0</v>
      </c>
      <c r="AI755" s="236">
        <f t="shared" si="677"/>
        <v>-100</v>
      </c>
      <c r="AJ755" s="210"/>
      <c r="AK755" s="254"/>
      <c r="AL755" s="254"/>
      <c r="AM755" s="255"/>
      <c r="AN755" s="255"/>
      <c r="AO755" s="255"/>
      <c r="AP755" s="255"/>
      <c r="AQ755" s="255"/>
      <c r="AR755" s="255"/>
      <c r="AS755" s="255"/>
      <c r="AT755" s="255"/>
      <c r="AU755" s="255"/>
      <c r="AV755" s="255"/>
      <c r="AW755" s="255"/>
      <c r="AX755" s="210"/>
      <c r="AY755" s="236" cm="1">
        <f t="array" ref="AY755">INDEX(Use, $AD755, 4)</f>
        <v>7</v>
      </c>
      <c r="AZ755" s="236">
        <f t="shared" si="678"/>
        <v>32</v>
      </c>
      <c r="BA755" s="236">
        <f t="shared" si="703"/>
        <v>13</v>
      </c>
      <c r="BB755" s="236">
        <f t="shared" si="704"/>
        <v>0</v>
      </c>
      <c r="BC755" s="252" cm="1">
        <f t="array" ref="BC755">K755/IF($L755&gt;0, INDEX($AO$23:$AU$77, $L755+20, $AD755), 1)</f>
        <v>0</v>
      </c>
      <c r="BD755" s="237">
        <f t="shared" si="679"/>
        <v>0</v>
      </c>
      <c r="BE755" s="236">
        <v>35</v>
      </c>
      <c r="BF755" s="237">
        <f t="shared" si="680"/>
        <v>52.55</v>
      </c>
      <c r="BG755" s="253">
        <f t="shared" si="681"/>
        <v>2.7676728869374316</v>
      </c>
      <c r="BH755" s="253" cm="1">
        <f t="array" ref="BH755">$BC755 * SUMPRODUCT(INDEX($AL$77:$AN$82,,$AE755),INDEX($AO$77:$AU$82,,$AD755), N($AK$77:$AK$82&gt;$AI755)) / BG755 / 1000</f>
        <v>0</v>
      </c>
      <c r="BI755" s="250">
        <f t="shared" si="705"/>
        <v>30</v>
      </c>
      <c r="BJ755" s="237">
        <f t="shared" si="682"/>
        <v>46.033333333333331</v>
      </c>
      <c r="BK755" s="253">
        <f t="shared" si="683"/>
        <v>3.2297395388556791</v>
      </c>
      <c r="BL755" s="253" cm="1">
        <f t="array" ref="BL755">$BC755 * IF($AD755&lt;=2,
SUMPRODUCT(INDEX($AL$72:$AN$76,,$AE755), INDEX($AO$72:$AU$76,,$AD755), 1 / ($AV$72:$AV$76*BK755 + (1-$AV$72:$AV$76)*BG755), N($AK$72:$AK$76&gt;$AI755)),
SUMPRODUCT(INDEX($AL$67:$AN$76,,$AE755), INDEX($AO$67:$AU$76,,$AD755), 1 / ($AW$67:$AW$76*BK755 + (1-$AW$67:$AW$76)*BG755), N($AK$67:$AK$76&gt;$AI755))
) / 1000</f>
        <v>0</v>
      </c>
      <c r="BM755" s="250">
        <f t="shared" si="706"/>
        <v>25</v>
      </c>
      <c r="BN755" s="237">
        <f t="shared" si="684"/>
        <v>39.516666666666666</v>
      </c>
      <c r="BO755" s="253">
        <f t="shared" si="685"/>
        <v>3.877011788826243</v>
      </c>
      <c r="BP755" s="253" cm="1">
        <f t="array" ref="BP755">$BC755 * IF($AD755&lt;=2,
SUMPRODUCT(INDEX($AL$67:$AN$71,,$AE755), INDEX($AO$67:$AU$71,,$AD755), 1 / ($AV$67:$AV$71*BO755 + (1-$AV$67:$AV$71)*BK755), N($AK$67:$AK$71&gt;$AI755)),
SUMPRODUCT(INDEX($AL$57:$AN$66,,$AE755), INDEX($AO$57:$AU$66,,$AD755), 1 / ($AW$57:$AW$66*BO755 + (1-$AW$57:$AW$66)*BK755), N($AK$57:$AK$66&gt;$AI755))
) / 1000</f>
        <v>0</v>
      </c>
      <c r="BQ755" s="250">
        <f t="shared" si="707"/>
        <v>20</v>
      </c>
      <c r="BR755" s="237">
        <f t="shared" si="686"/>
        <v>33</v>
      </c>
      <c r="BS755" s="253">
        <f t="shared" si="687"/>
        <v>4.8487499999999999</v>
      </c>
      <c r="BT755" s="253" cm="1">
        <f t="array" ref="BT755">$BC755 * IF($AD755&lt;=2,
SUMPRODUCT(INDEX($AL$62:$AN$66,,$AE755), INDEX($AO$62:$AU$66,,$AD755), 1 / ($AV$62:$AV$66*BS755 + (1-$AV$62:$AV$66)*BO755), N($AK$62:$AK$66&gt;$AI755)),
SUMPRODUCT(INDEX($AL$47:$AN$56,,$AE755), INDEX($AO$47:$AU$56,,$AD755), 1 / ($AW$47:$AW$56*BS755 + (1-$AW$47:$AW$56)*BO755), N($AK$47:$AK$56&gt;$AI755))
) / 1000</f>
        <v>0</v>
      </c>
      <c r="BU755" s="253" cm="1">
        <f t="array" ref="BU755">$BC755 * IF($AD755&lt;=2,
SUMPRODUCT(INDEX($AL$23:$AN$61,,$AE755), INDEX($AO$23:$AU$61,,$AD755), 1 / ($AV$23:$AV$61*BS755), N($AK$23:$AK$61&gt;$AI755)),
SUMPRODUCT(INDEX($AL$23:$AN$46,,$AE755), INDEX($AO$23:$AU$46,,$AD755), 1 / ($AW$23:$AW$46*BS755), N($AK$23:$AK$46&gt;$AI755))
) / 1000</f>
        <v>0</v>
      </c>
      <c r="BV755" s="237">
        <f t="shared" si="688"/>
        <v>0</v>
      </c>
      <c r="BW755" s="210"/>
      <c r="BX755" s="237">
        <f t="shared" si="689"/>
        <v>0</v>
      </c>
      <c r="BY755" s="236">
        <v>35</v>
      </c>
      <c r="BZ755" s="237">
        <f t="shared" si="690"/>
        <v>48</v>
      </c>
      <c r="CA755" s="253">
        <f t="shared" si="691"/>
        <v>3.0748170731707316</v>
      </c>
      <c r="CB755" s="253" cm="1">
        <f t="array" ref="CB755">$BC755 * SUMPRODUCT(INDEX($AL$77:$AN$82,,$AE755),INDEX($AO$77:$AU$82,,$AD755), N($AK$77:$AK$82&gt;$AI755)) / CA755 / 1000</f>
        <v>0</v>
      </c>
      <c r="CC755" s="250">
        <f t="shared" si="708"/>
        <v>30</v>
      </c>
      <c r="CD755" s="237">
        <f t="shared" si="692"/>
        <v>43</v>
      </c>
      <c r="CE755" s="253">
        <f t="shared" si="693"/>
        <v>3.5018750000000001</v>
      </c>
      <c r="CF755" s="253" cm="1">
        <f t="array" ref="CF755">$BC755 * IF($AD755&lt;=2,
SUMPRODUCT(INDEX($AL$72:$AN$76,,$AE755), INDEX($AO$72:$AU$76,,$AD755), 1 / ($AV$72:$AV$76*CE755 + (1-$AV$72:$AV$76)*CA755), N($AK$72:$AK$76&gt;$AI755)),
SUMPRODUCT(INDEX($AL$67:$AN$76,,$AE755), INDEX($AO$67:$AU$76,,$AD755), 1 / ($AW$67:$AW$76*CE755 + (1-$AW$67:$AW$76)*CA755), N($AK$67:$AK$76&gt;$AI755))
) / 1000</f>
        <v>0</v>
      </c>
      <c r="CG755" s="250">
        <f t="shared" si="709"/>
        <v>25</v>
      </c>
      <c r="CH755" s="237">
        <f t="shared" si="694"/>
        <v>38</v>
      </c>
      <c r="CI755" s="253">
        <f t="shared" si="695"/>
        <v>4.0666935483870965</v>
      </c>
      <c r="CJ755" s="253" cm="1">
        <f t="array" ref="CJ755">$BC755 * IF($AD755&lt;=2,
SUMPRODUCT(INDEX($AL$67:$AN$71,,$AE755), INDEX($AO$67:$AU$71,,$AD755), 1 / ($AV$67:$AV$71*CI755 + (1-$AV$67:$AV$71)*CE755), N($AK$67:$AK$71&gt;$AI755)),
SUMPRODUCT(INDEX($AL$57:$AN$66,,$AE755), INDEX($AO$57:$AU$66,,$AD755), 1 / ($AW$57:$AW$66*CI755 + (1-$AW$57:$AW$66)*CE755), N($AK$57:$AK$66&gt;$AI755))
) / 1000</f>
        <v>0</v>
      </c>
      <c r="CK755" s="250">
        <f t="shared" si="710"/>
        <v>20</v>
      </c>
      <c r="CL755" s="237">
        <f t="shared" si="696"/>
        <v>33</v>
      </c>
      <c r="CM755" s="253">
        <f t="shared" si="697"/>
        <v>4.8487499999999999</v>
      </c>
      <c r="CN755" s="253" cm="1">
        <f t="array" ref="CN755">$BC755 * IF($AD755&lt;=2,
SUMPRODUCT(INDEX($AL$62:$AN$66,,$AE755), INDEX($AO$62:$AU$66,,$AD755), 1 / ($AV$62:$AV$66*CM755 + (1-$AV$62:$AV$66)*CI755), N($AK$62:$AK$66&gt;$AI755)),
SUMPRODUCT(INDEX($AL$47:$AN$56,,$AE755), INDEX($AO$47:$AU$56,,$AD755), 1 / ($AW$47:$AW$56*CM755 + (1-$AW$47:$AW$56)*CI755), N($AK$47:$AK$56&gt;$AI755))
) / 1000</f>
        <v>0</v>
      </c>
      <c r="CO755" s="253" cm="1">
        <f t="array" ref="CO755">$BC755 * IF($AD755&lt;=2,
SUMPRODUCT(INDEX($AL$23:$AN$61,,$AE755), INDEX($AO$23:$AU$61,,$AD755), 1 / ($AV$23:$AV$61*CM755), N($AK$23:$AK$61&gt;$AI755)),
SUMPRODUCT(INDEX($AL$23:$AN$46,,$AE755), INDEX($AO$23:$AU$46,,$AD755), 1 / ($AW$23:$AW$46*CM755), N($AK$23:$AK$46&gt;$AI755))
) / 1000</f>
        <v>0</v>
      </c>
      <c r="CP755" s="237">
        <f t="shared" si="698"/>
        <v>0</v>
      </c>
      <c r="CQ755" s="210"/>
    </row>
    <row r="756" spans="1:95" s="76" customFormat="1" ht="14.25" customHeight="1" x14ac:dyDescent="0.2">
      <c r="A756" s="238" t="b">
        <f t="shared" si="702"/>
        <v>0</v>
      </c>
      <c r="B756" s="239">
        <v>734</v>
      </c>
      <c r="C756" s="258"/>
      <c r="D756" s="258"/>
      <c r="E756" s="240"/>
      <c r="F756" s="241" t="str">
        <f>IF(ISBLANK(E756), "", VLOOKUP(E756, Z!$A$2:$C$4127, 3, FALSE))</f>
        <v/>
      </c>
      <c r="G756" s="242"/>
      <c r="H756" s="242"/>
      <c r="I756" s="243"/>
      <c r="J756" s="244"/>
      <c r="K756" s="259"/>
      <c r="L756" s="260"/>
      <c r="M756" s="247" t="str" cm="1">
        <f t="array" ref="M756">IF($K756&gt;0, INDEX(Clean,1+AG756,$C$1), "")</f>
        <v/>
      </c>
      <c r="N756" s="245"/>
      <c r="O756" s="245"/>
      <c r="P756" s="246"/>
      <c r="Q756" s="248">
        <f t="shared" si="675"/>
        <v>0</v>
      </c>
      <c r="R756" s="247" t="str" cm="1">
        <f t="array" ref="R756">IF($K756&gt;0, INDEX(Clean,1+AH756,$C$1), "")</f>
        <v/>
      </c>
      <c r="S756" s="245"/>
      <c r="T756" s="245"/>
      <c r="U756" s="246"/>
      <c r="V756" s="248">
        <f t="shared" si="676"/>
        <v>0</v>
      </c>
      <c r="W756" s="261"/>
      <c r="X756" s="258"/>
      <c r="Y756" s="240"/>
      <c r="Z756" s="241" t="str">
        <f>IF(ISBLANK(Y756), "", VLOOKUP(Y756, Z!$A$2:$C$4127, 3, FALSE))</f>
        <v/>
      </c>
      <c r="AA756" s="262"/>
      <c r="AB756" s="249">
        <f t="shared" si="711"/>
        <v>0</v>
      </c>
      <c r="AC756" s="210"/>
      <c r="AD756" s="236">
        <f t="shared" si="699"/>
        <v>1</v>
      </c>
      <c r="AE756" s="236">
        <f t="shared" si="700"/>
        <v>1</v>
      </c>
      <c r="AF756" s="236">
        <f t="shared" si="701"/>
        <v>0</v>
      </c>
      <c r="AG756" s="236">
        <v>1</v>
      </c>
      <c r="AH756" s="236">
        <v>0</v>
      </c>
      <c r="AI756" s="236">
        <f t="shared" si="677"/>
        <v>-100</v>
      </c>
      <c r="AJ756" s="210"/>
      <c r="AK756" s="254"/>
      <c r="AL756" s="254"/>
      <c r="AM756" s="255"/>
      <c r="AN756" s="255"/>
      <c r="AO756" s="255"/>
      <c r="AP756" s="255"/>
      <c r="AQ756" s="255"/>
      <c r="AR756" s="255"/>
      <c r="AS756" s="255"/>
      <c r="AT756" s="255"/>
      <c r="AU756" s="255"/>
      <c r="AV756" s="255"/>
      <c r="AW756" s="255"/>
      <c r="AX756" s="210"/>
      <c r="AY756" s="236" cm="1">
        <f t="array" ref="AY756">INDEX(Use, $AD756, 4)</f>
        <v>7</v>
      </c>
      <c r="AZ756" s="236">
        <f t="shared" si="678"/>
        <v>32</v>
      </c>
      <c r="BA756" s="236">
        <f t="shared" si="703"/>
        <v>13</v>
      </c>
      <c r="BB756" s="236">
        <f t="shared" si="704"/>
        <v>0</v>
      </c>
      <c r="BC756" s="252" cm="1">
        <f t="array" ref="BC756">K756/IF($L756&gt;0, INDEX($AO$23:$AU$77, $L756+20, $AD756), 1)</f>
        <v>0</v>
      </c>
      <c r="BD756" s="237">
        <f t="shared" si="679"/>
        <v>0</v>
      </c>
      <c r="BE756" s="236">
        <v>35</v>
      </c>
      <c r="BF756" s="237">
        <f t="shared" si="680"/>
        <v>52.55</v>
      </c>
      <c r="BG756" s="253">
        <f t="shared" si="681"/>
        <v>2.7676728869374316</v>
      </c>
      <c r="BH756" s="253" cm="1">
        <f t="array" ref="BH756">$BC756 * SUMPRODUCT(INDEX($AL$77:$AN$82,,$AE756),INDEX($AO$77:$AU$82,,$AD756), N($AK$77:$AK$82&gt;$AI756)) / BG756 / 1000</f>
        <v>0</v>
      </c>
      <c r="BI756" s="250">
        <f t="shared" si="705"/>
        <v>30</v>
      </c>
      <c r="BJ756" s="237">
        <f t="shared" si="682"/>
        <v>46.033333333333331</v>
      </c>
      <c r="BK756" s="253">
        <f t="shared" si="683"/>
        <v>3.2297395388556791</v>
      </c>
      <c r="BL756" s="253" cm="1">
        <f t="array" ref="BL756">$BC756 * IF($AD756&lt;=2,
SUMPRODUCT(INDEX($AL$72:$AN$76,,$AE756), INDEX($AO$72:$AU$76,,$AD756), 1 / ($AV$72:$AV$76*BK756 + (1-$AV$72:$AV$76)*BG756), N($AK$72:$AK$76&gt;$AI756)),
SUMPRODUCT(INDEX($AL$67:$AN$76,,$AE756), INDEX($AO$67:$AU$76,,$AD756), 1 / ($AW$67:$AW$76*BK756 + (1-$AW$67:$AW$76)*BG756), N($AK$67:$AK$76&gt;$AI756))
) / 1000</f>
        <v>0</v>
      </c>
      <c r="BM756" s="250">
        <f t="shared" si="706"/>
        <v>25</v>
      </c>
      <c r="BN756" s="237">
        <f t="shared" si="684"/>
        <v>39.516666666666666</v>
      </c>
      <c r="BO756" s="253">
        <f t="shared" si="685"/>
        <v>3.877011788826243</v>
      </c>
      <c r="BP756" s="253" cm="1">
        <f t="array" ref="BP756">$BC756 * IF($AD756&lt;=2,
SUMPRODUCT(INDEX($AL$67:$AN$71,,$AE756), INDEX($AO$67:$AU$71,,$AD756), 1 / ($AV$67:$AV$71*BO756 + (1-$AV$67:$AV$71)*BK756), N($AK$67:$AK$71&gt;$AI756)),
SUMPRODUCT(INDEX($AL$57:$AN$66,,$AE756), INDEX($AO$57:$AU$66,,$AD756), 1 / ($AW$57:$AW$66*BO756 + (1-$AW$57:$AW$66)*BK756), N($AK$57:$AK$66&gt;$AI756))
) / 1000</f>
        <v>0</v>
      </c>
      <c r="BQ756" s="250">
        <f t="shared" si="707"/>
        <v>20</v>
      </c>
      <c r="BR756" s="237">
        <f t="shared" si="686"/>
        <v>33</v>
      </c>
      <c r="BS756" s="253">
        <f t="shared" si="687"/>
        <v>4.8487499999999999</v>
      </c>
      <c r="BT756" s="253" cm="1">
        <f t="array" ref="BT756">$BC756 * IF($AD756&lt;=2,
SUMPRODUCT(INDEX($AL$62:$AN$66,,$AE756), INDEX($AO$62:$AU$66,,$AD756), 1 / ($AV$62:$AV$66*BS756 + (1-$AV$62:$AV$66)*BO756), N($AK$62:$AK$66&gt;$AI756)),
SUMPRODUCT(INDEX($AL$47:$AN$56,,$AE756), INDEX($AO$47:$AU$56,,$AD756), 1 / ($AW$47:$AW$56*BS756 + (1-$AW$47:$AW$56)*BO756), N($AK$47:$AK$56&gt;$AI756))
) / 1000</f>
        <v>0</v>
      </c>
      <c r="BU756" s="253" cm="1">
        <f t="array" ref="BU756">$BC756 * IF($AD756&lt;=2,
SUMPRODUCT(INDEX($AL$23:$AN$61,,$AE756), INDEX($AO$23:$AU$61,,$AD756), 1 / ($AV$23:$AV$61*BS756), N($AK$23:$AK$61&gt;$AI756)),
SUMPRODUCT(INDEX($AL$23:$AN$46,,$AE756), INDEX($AO$23:$AU$46,,$AD756), 1 / ($AW$23:$AW$46*BS756), N($AK$23:$AK$46&gt;$AI756))
) / 1000</f>
        <v>0</v>
      </c>
      <c r="BV756" s="237">
        <f t="shared" si="688"/>
        <v>0</v>
      </c>
      <c r="BW756" s="210"/>
      <c r="BX756" s="237">
        <f t="shared" si="689"/>
        <v>0</v>
      </c>
      <c r="BY756" s="236">
        <v>35</v>
      </c>
      <c r="BZ756" s="237">
        <f t="shared" si="690"/>
        <v>48</v>
      </c>
      <c r="CA756" s="253">
        <f t="shared" si="691"/>
        <v>3.0748170731707316</v>
      </c>
      <c r="CB756" s="253" cm="1">
        <f t="array" ref="CB756">$BC756 * SUMPRODUCT(INDEX($AL$77:$AN$82,,$AE756),INDEX($AO$77:$AU$82,,$AD756), N($AK$77:$AK$82&gt;$AI756)) / CA756 / 1000</f>
        <v>0</v>
      </c>
      <c r="CC756" s="250">
        <f t="shared" si="708"/>
        <v>30</v>
      </c>
      <c r="CD756" s="237">
        <f t="shared" si="692"/>
        <v>43</v>
      </c>
      <c r="CE756" s="253">
        <f t="shared" si="693"/>
        <v>3.5018750000000001</v>
      </c>
      <c r="CF756" s="253" cm="1">
        <f t="array" ref="CF756">$BC756 * IF($AD756&lt;=2,
SUMPRODUCT(INDEX($AL$72:$AN$76,,$AE756), INDEX($AO$72:$AU$76,,$AD756), 1 / ($AV$72:$AV$76*CE756 + (1-$AV$72:$AV$76)*CA756), N($AK$72:$AK$76&gt;$AI756)),
SUMPRODUCT(INDEX($AL$67:$AN$76,,$AE756), INDEX($AO$67:$AU$76,,$AD756), 1 / ($AW$67:$AW$76*CE756 + (1-$AW$67:$AW$76)*CA756), N($AK$67:$AK$76&gt;$AI756))
) / 1000</f>
        <v>0</v>
      </c>
      <c r="CG756" s="250">
        <f t="shared" si="709"/>
        <v>25</v>
      </c>
      <c r="CH756" s="237">
        <f t="shared" si="694"/>
        <v>38</v>
      </c>
      <c r="CI756" s="253">
        <f t="shared" si="695"/>
        <v>4.0666935483870965</v>
      </c>
      <c r="CJ756" s="253" cm="1">
        <f t="array" ref="CJ756">$BC756 * IF($AD756&lt;=2,
SUMPRODUCT(INDEX($AL$67:$AN$71,,$AE756), INDEX($AO$67:$AU$71,,$AD756), 1 / ($AV$67:$AV$71*CI756 + (1-$AV$67:$AV$71)*CE756), N($AK$67:$AK$71&gt;$AI756)),
SUMPRODUCT(INDEX($AL$57:$AN$66,,$AE756), INDEX($AO$57:$AU$66,,$AD756), 1 / ($AW$57:$AW$66*CI756 + (1-$AW$57:$AW$66)*CE756), N($AK$57:$AK$66&gt;$AI756))
) / 1000</f>
        <v>0</v>
      </c>
      <c r="CK756" s="250">
        <f t="shared" si="710"/>
        <v>20</v>
      </c>
      <c r="CL756" s="237">
        <f t="shared" si="696"/>
        <v>33</v>
      </c>
      <c r="CM756" s="253">
        <f t="shared" si="697"/>
        <v>4.8487499999999999</v>
      </c>
      <c r="CN756" s="253" cm="1">
        <f t="array" ref="CN756">$BC756 * IF($AD756&lt;=2,
SUMPRODUCT(INDEX($AL$62:$AN$66,,$AE756), INDEX($AO$62:$AU$66,,$AD756), 1 / ($AV$62:$AV$66*CM756 + (1-$AV$62:$AV$66)*CI756), N($AK$62:$AK$66&gt;$AI756)),
SUMPRODUCT(INDEX($AL$47:$AN$56,,$AE756), INDEX($AO$47:$AU$56,,$AD756), 1 / ($AW$47:$AW$56*CM756 + (1-$AW$47:$AW$56)*CI756), N($AK$47:$AK$56&gt;$AI756))
) / 1000</f>
        <v>0</v>
      </c>
      <c r="CO756" s="253" cm="1">
        <f t="array" ref="CO756">$BC756 * IF($AD756&lt;=2,
SUMPRODUCT(INDEX($AL$23:$AN$61,,$AE756), INDEX($AO$23:$AU$61,,$AD756), 1 / ($AV$23:$AV$61*CM756), N($AK$23:$AK$61&gt;$AI756)),
SUMPRODUCT(INDEX($AL$23:$AN$46,,$AE756), INDEX($AO$23:$AU$46,,$AD756), 1 / ($AW$23:$AW$46*CM756), N($AK$23:$AK$46&gt;$AI756))
) / 1000</f>
        <v>0</v>
      </c>
      <c r="CP756" s="237">
        <f t="shared" si="698"/>
        <v>0</v>
      </c>
      <c r="CQ756" s="210"/>
    </row>
    <row r="757" spans="1:95" s="76" customFormat="1" ht="14.25" customHeight="1" x14ac:dyDescent="0.2">
      <c r="A757" s="238" t="b">
        <f t="shared" si="702"/>
        <v>0</v>
      </c>
      <c r="B757" s="239">
        <v>735</v>
      </c>
      <c r="C757" s="258"/>
      <c r="D757" s="258"/>
      <c r="E757" s="240"/>
      <c r="F757" s="241" t="str">
        <f>IF(ISBLANK(E757), "", VLOOKUP(E757, Z!$A$2:$C$4127, 3, FALSE))</f>
        <v/>
      </c>
      <c r="G757" s="242"/>
      <c r="H757" s="242"/>
      <c r="I757" s="243"/>
      <c r="J757" s="244"/>
      <c r="K757" s="259"/>
      <c r="L757" s="260"/>
      <c r="M757" s="247" t="str" cm="1">
        <f t="array" ref="M757">IF($K757&gt;0, INDEX(Clean,1+AG757,$C$1), "")</f>
        <v/>
      </c>
      <c r="N757" s="245"/>
      <c r="O757" s="245"/>
      <c r="P757" s="246"/>
      <c r="Q757" s="248">
        <f t="shared" si="675"/>
        <v>0</v>
      </c>
      <c r="R757" s="247" t="str" cm="1">
        <f t="array" ref="R757">IF($K757&gt;0, INDEX(Clean,1+AH757,$C$1), "")</f>
        <v/>
      </c>
      <c r="S757" s="245"/>
      <c r="T757" s="245"/>
      <c r="U757" s="246"/>
      <c r="V757" s="248">
        <f t="shared" si="676"/>
        <v>0</v>
      </c>
      <c r="W757" s="261"/>
      <c r="X757" s="258"/>
      <c r="Y757" s="240"/>
      <c r="Z757" s="241" t="str">
        <f>IF(ISBLANK(Y757), "", VLOOKUP(Y757, Z!$A$2:$C$4127, 3, FALSE))</f>
        <v/>
      </c>
      <c r="AA757" s="262"/>
      <c r="AB757" s="249">
        <f t="shared" si="711"/>
        <v>0</v>
      </c>
      <c r="AC757" s="210"/>
      <c r="AD757" s="236">
        <f t="shared" si="699"/>
        <v>1</v>
      </c>
      <c r="AE757" s="236">
        <f t="shared" si="700"/>
        <v>1</v>
      </c>
      <c r="AF757" s="236">
        <f t="shared" si="701"/>
        <v>0</v>
      </c>
      <c r="AG757" s="236">
        <v>1</v>
      </c>
      <c r="AH757" s="236">
        <v>0</v>
      </c>
      <c r="AI757" s="236">
        <f t="shared" si="677"/>
        <v>-100</v>
      </c>
      <c r="AJ757" s="210"/>
      <c r="AK757" s="254"/>
      <c r="AL757" s="254"/>
      <c r="AM757" s="255"/>
      <c r="AN757" s="255"/>
      <c r="AO757" s="255"/>
      <c r="AP757" s="255"/>
      <c r="AQ757" s="255"/>
      <c r="AR757" s="255"/>
      <c r="AS757" s="255"/>
      <c r="AT757" s="255"/>
      <c r="AU757" s="255"/>
      <c r="AV757" s="255"/>
      <c r="AW757" s="255"/>
      <c r="AX757" s="210"/>
      <c r="AY757" s="236" cm="1">
        <f t="array" ref="AY757">INDEX(Use, $AD757, 4)</f>
        <v>7</v>
      </c>
      <c r="AZ757" s="236">
        <f t="shared" si="678"/>
        <v>32</v>
      </c>
      <c r="BA757" s="236">
        <f t="shared" si="703"/>
        <v>13</v>
      </c>
      <c r="BB757" s="236">
        <f t="shared" si="704"/>
        <v>0</v>
      </c>
      <c r="BC757" s="252" cm="1">
        <f t="array" ref="BC757">K757/IF($L757&gt;0, INDEX($AO$23:$AU$77, $L757+20, $AD757), 1)</f>
        <v>0</v>
      </c>
      <c r="BD757" s="237">
        <f t="shared" si="679"/>
        <v>0</v>
      </c>
      <c r="BE757" s="236">
        <v>35</v>
      </c>
      <c r="BF757" s="237">
        <f t="shared" si="680"/>
        <v>52.55</v>
      </c>
      <c r="BG757" s="253">
        <f t="shared" si="681"/>
        <v>2.7676728869374316</v>
      </c>
      <c r="BH757" s="253" cm="1">
        <f t="array" ref="BH757">$BC757 * SUMPRODUCT(INDEX($AL$77:$AN$82,,$AE757),INDEX($AO$77:$AU$82,,$AD757), N($AK$77:$AK$82&gt;$AI757)) / BG757 / 1000</f>
        <v>0</v>
      </c>
      <c r="BI757" s="250">
        <f t="shared" si="705"/>
        <v>30</v>
      </c>
      <c r="BJ757" s="237">
        <f t="shared" si="682"/>
        <v>46.033333333333331</v>
      </c>
      <c r="BK757" s="253">
        <f t="shared" si="683"/>
        <v>3.2297395388556791</v>
      </c>
      <c r="BL757" s="253" cm="1">
        <f t="array" ref="BL757">$BC757 * IF($AD757&lt;=2,
SUMPRODUCT(INDEX($AL$72:$AN$76,,$AE757), INDEX($AO$72:$AU$76,,$AD757), 1 / ($AV$72:$AV$76*BK757 + (1-$AV$72:$AV$76)*BG757), N($AK$72:$AK$76&gt;$AI757)),
SUMPRODUCT(INDEX($AL$67:$AN$76,,$AE757), INDEX($AO$67:$AU$76,,$AD757), 1 / ($AW$67:$AW$76*BK757 + (1-$AW$67:$AW$76)*BG757), N($AK$67:$AK$76&gt;$AI757))
) / 1000</f>
        <v>0</v>
      </c>
      <c r="BM757" s="250">
        <f t="shared" si="706"/>
        <v>25</v>
      </c>
      <c r="BN757" s="237">
        <f t="shared" si="684"/>
        <v>39.516666666666666</v>
      </c>
      <c r="BO757" s="253">
        <f t="shared" si="685"/>
        <v>3.877011788826243</v>
      </c>
      <c r="BP757" s="253" cm="1">
        <f t="array" ref="BP757">$BC757 * IF($AD757&lt;=2,
SUMPRODUCT(INDEX($AL$67:$AN$71,,$AE757), INDEX($AO$67:$AU$71,,$AD757), 1 / ($AV$67:$AV$71*BO757 + (1-$AV$67:$AV$71)*BK757), N($AK$67:$AK$71&gt;$AI757)),
SUMPRODUCT(INDEX($AL$57:$AN$66,,$AE757), INDEX($AO$57:$AU$66,,$AD757), 1 / ($AW$57:$AW$66*BO757 + (1-$AW$57:$AW$66)*BK757), N($AK$57:$AK$66&gt;$AI757))
) / 1000</f>
        <v>0</v>
      </c>
      <c r="BQ757" s="250">
        <f t="shared" si="707"/>
        <v>20</v>
      </c>
      <c r="BR757" s="237">
        <f t="shared" si="686"/>
        <v>33</v>
      </c>
      <c r="BS757" s="253">
        <f t="shared" si="687"/>
        <v>4.8487499999999999</v>
      </c>
      <c r="BT757" s="253" cm="1">
        <f t="array" ref="BT757">$BC757 * IF($AD757&lt;=2,
SUMPRODUCT(INDEX($AL$62:$AN$66,,$AE757), INDEX($AO$62:$AU$66,,$AD757), 1 / ($AV$62:$AV$66*BS757 + (1-$AV$62:$AV$66)*BO757), N($AK$62:$AK$66&gt;$AI757)),
SUMPRODUCT(INDEX($AL$47:$AN$56,,$AE757), INDEX($AO$47:$AU$56,,$AD757), 1 / ($AW$47:$AW$56*BS757 + (1-$AW$47:$AW$56)*BO757), N($AK$47:$AK$56&gt;$AI757))
) / 1000</f>
        <v>0</v>
      </c>
      <c r="BU757" s="253" cm="1">
        <f t="array" ref="BU757">$BC757 * IF($AD757&lt;=2,
SUMPRODUCT(INDEX($AL$23:$AN$61,,$AE757), INDEX($AO$23:$AU$61,,$AD757), 1 / ($AV$23:$AV$61*BS757), N($AK$23:$AK$61&gt;$AI757)),
SUMPRODUCT(INDEX($AL$23:$AN$46,,$AE757), INDEX($AO$23:$AU$46,,$AD757), 1 / ($AW$23:$AW$46*BS757), N($AK$23:$AK$46&gt;$AI757))
) / 1000</f>
        <v>0</v>
      </c>
      <c r="BV757" s="237">
        <f t="shared" si="688"/>
        <v>0</v>
      </c>
      <c r="BW757" s="210"/>
      <c r="BX757" s="237">
        <f t="shared" si="689"/>
        <v>0</v>
      </c>
      <c r="BY757" s="236">
        <v>35</v>
      </c>
      <c r="BZ757" s="237">
        <f t="shared" si="690"/>
        <v>48</v>
      </c>
      <c r="CA757" s="253">
        <f t="shared" si="691"/>
        <v>3.0748170731707316</v>
      </c>
      <c r="CB757" s="253" cm="1">
        <f t="array" ref="CB757">$BC757 * SUMPRODUCT(INDEX($AL$77:$AN$82,,$AE757),INDEX($AO$77:$AU$82,,$AD757), N($AK$77:$AK$82&gt;$AI757)) / CA757 / 1000</f>
        <v>0</v>
      </c>
      <c r="CC757" s="250">
        <f t="shared" si="708"/>
        <v>30</v>
      </c>
      <c r="CD757" s="237">
        <f t="shared" si="692"/>
        <v>43</v>
      </c>
      <c r="CE757" s="253">
        <f t="shared" si="693"/>
        <v>3.5018750000000001</v>
      </c>
      <c r="CF757" s="253" cm="1">
        <f t="array" ref="CF757">$BC757 * IF($AD757&lt;=2,
SUMPRODUCT(INDEX($AL$72:$AN$76,,$AE757), INDEX($AO$72:$AU$76,,$AD757), 1 / ($AV$72:$AV$76*CE757 + (1-$AV$72:$AV$76)*CA757), N($AK$72:$AK$76&gt;$AI757)),
SUMPRODUCT(INDEX($AL$67:$AN$76,,$AE757), INDEX($AO$67:$AU$76,,$AD757), 1 / ($AW$67:$AW$76*CE757 + (1-$AW$67:$AW$76)*CA757), N($AK$67:$AK$76&gt;$AI757))
) / 1000</f>
        <v>0</v>
      </c>
      <c r="CG757" s="250">
        <f t="shared" si="709"/>
        <v>25</v>
      </c>
      <c r="CH757" s="237">
        <f t="shared" si="694"/>
        <v>38</v>
      </c>
      <c r="CI757" s="253">
        <f t="shared" si="695"/>
        <v>4.0666935483870965</v>
      </c>
      <c r="CJ757" s="253" cm="1">
        <f t="array" ref="CJ757">$BC757 * IF($AD757&lt;=2,
SUMPRODUCT(INDEX($AL$67:$AN$71,,$AE757), INDEX($AO$67:$AU$71,,$AD757), 1 / ($AV$67:$AV$71*CI757 + (1-$AV$67:$AV$71)*CE757), N($AK$67:$AK$71&gt;$AI757)),
SUMPRODUCT(INDEX($AL$57:$AN$66,,$AE757), INDEX($AO$57:$AU$66,,$AD757), 1 / ($AW$57:$AW$66*CI757 + (1-$AW$57:$AW$66)*CE757), N($AK$57:$AK$66&gt;$AI757))
) / 1000</f>
        <v>0</v>
      </c>
      <c r="CK757" s="250">
        <f t="shared" si="710"/>
        <v>20</v>
      </c>
      <c r="CL757" s="237">
        <f t="shared" si="696"/>
        <v>33</v>
      </c>
      <c r="CM757" s="253">
        <f t="shared" si="697"/>
        <v>4.8487499999999999</v>
      </c>
      <c r="CN757" s="253" cm="1">
        <f t="array" ref="CN757">$BC757 * IF($AD757&lt;=2,
SUMPRODUCT(INDEX($AL$62:$AN$66,,$AE757), INDEX($AO$62:$AU$66,,$AD757), 1 / ($AV$62:$AV$66*CM757 + (1-$AV$62:$AV$66)*CI757), N($AK$62:$AK$66&gt;$AI757)),
SUMPRODUCT(INDEX($AL$47:$AN$56,,$AE757), INDEX($AO$47:$AU$56,,$AD757), 1 / ($AW$47:$AW$56*CM757 + (1-$AW$47:$AW$56)*CI757), N($AK$47:$AK$56&gt;$AI757))
) / 1000</f>
        <v>0</v>
      </c>
      <c r="CO757" s="253" cm="1">
        <f t="array" ref="CO757">$BC757 * IF($AD757&lt;=2,
SUMPRODUCT(INDEX($AL$23:$AN$61,,$AE757), INDEX($AO$23:$AU$61,,$AD757), 1 / ($AV$23:$AV$61*CM757), N($AK$23:$AK$61&gt;$AI757)),
SUMPRODUCT(INDEX($AL$23:$AN$46,,$AE757), INDEX($AO$23:$AU$46,,$AD757), 1 / ($AW$23:$AW$46*CM757), N($AK$23:$AK$46&gt;$AI757))
) / 1000</f>
        <v>0</v>
      </c>
      <c r="CP757" s="237">
        <f t="shared" si="698"/>
        <v>0</v>
      </c>
      <c r="CQ757" s="210"/>
    </row>
    <row r="758" spans="1:95" s="76" customFormat="1" ht="14.25" customHeight="1" x14ac:dyDescent="0.2">
      <c r="A758" s="238" t="b">
        <f t="shared" si="702"/>
        <v>0</v>
      </c>
      <c r="B758" s="239">
        <v>736</v>
      </c>
      <c r="C758" s="258"/>
      <c r="D758" s="258"/>
      <c r="E758" s="240"/>
      <c r="F758" s="241" t="str">
        <f>IF(ISBLANK(E758), "", VLOOKUP(E758, Z!$A$2:$C$4127, 3, FALSE))</f>
        <v/>
      </c>
      <c r="G758" s="242"/>
      <c r="H758" s="242"/>
      <c r="I758" s="243"/>
      <c r="J758" s="244"/>
      <c r="K758" s="259"/>
      <c r="L758" s="260"/>
      <c r="M758" s="247" t="str" cm="1">
        <f t="array" ref="M758">IF($K758&gt;0, INDEX(Clean,1+AG758,$C$1), "")</f>
        <v/>
      </c>
      <c r="N758" s="245"/>
      <c r="O758" s="245"/>
      <c r="P758" s="246"/>
      <c r="Q758" s="248">
        <f t="shared" si="675"/>
        <v>0</v>
      </c>
      <c r="R758" s="247" t="str" cm="1">
        <f t="array" ref="R758">IF($K758&gt;0, INDEX(Clean,1+AH758,$C$1), "")</f>
        <v/>
      </c>
      <c r="S758" s="245"/>
      <c r="T758" s="245"/>
      <c r="U758" s="246"/>
      <c r="V758" s="248">
        <f t="shared" si="676"/>
        <v>0</v>
      </c>
      <c r="W758" s="261"/>
      <c r="X758" s="258"/>
      <c r="Y758" s="240"/>
      <c r="Z758" s="241" t="str">
        <f>IF(ISBLANK(Y758), "", VLOOKUP(Y758, Z!$A$2:$C$4127, 3, FALSE))</f>
        <v/>
      </c>
      <c r="AA758" s="262"/>
      <c r="AB758" s="249">
        <f t="shared" si="711"/>
        <v>0</v>
      </c>
      <c r="AC758" s="210"/>
      <c r="AD758" s="236">
        <f t="shared" si="699"/>
        <v>1</v>
      </c>
      <c r="AE758" s="236">
        <f t="shared" si="700"/>
        <v>1</v>
      </c>
      <c r="AF758" s="236">
        <f t="shared" si="701"/>
        <v>0</v>
      </c>
      <c r="AG758" s="236">
        <v>1</v>
      </c>
      <c r="AH758" s="236">
        <v>0</v>
      </c>
      <c r="AI758" s="236">
        <f t="shared" si="677"/>
        <v>-100</v>
      </c>
      <c r="AJ758" s="210"/>
      <c r="AK758" s="254"/>
      <c r="AL758" s="254"/>
      <c r="AM758" s="255"/>
      <c r="AN758" s="255"/>
      <c r="AO758" s="255"/>
      <c r="AP758" s="255"/>
      <c r="AQ758" s="255"/>
      <c r="AR758" s="255"/>
      <c r="AS758" s="255"/>
      <c r="AT758" s="255"/>
      <c r="AU758" s="255"/>
      <c r="AV758" s="255"/>
      <c r="AW758" s="255"/>
      <c r="AX758" s="210"/>
      <c r="AY758" s="236" cm="1">
        <f t="array" ref="AY758">INDEX(Use, $AD758, 4)</f>
        <v>7</v>
      </c>
      <c r="AZ758" s="236">
        <f t="shared" si="678"/>
        <v>32</v>
      </c>
      <c r="BA758" s="236">
        <f t="shared" si="703"/>
        <v>13</v>
      </c>
      <c r="BB758" s="236">
        <f t="shared" si="704"/>
        <v>0</v>
      </c>
      <c r="BC758" s="252" cm="1">
        <f t="array" ref="BC758">K758/IF($L758&gt;0, INDEX($AO$23:$AU$77, $L758+20, $AD758), 1)</f>
        <v>0</v>
      </c>
      <c r="BD758" s="237">
        <f t="shared" si="679"/>
        <v>0</v>
      </c>
      <c r="BE758" s="236">
        <v>35</v>
      </c>
      <c r="BF758" s="237">
        <f t="shared" si="680"/>
        <v>52.55</v>
      </c>
      <c r="BG758" s="253">
        <f t="shared" si="681"/>
        <v>2.7676728869374316</v>
      </c>
      <c r="BH758" s="253" cm="1">
        <f t="array" ref="BH758">$BC758 * SUMPRODUCT(INDEX($AL$77:$AN$82,,$AE758),INDEX($AO$77:$AU$82,,$AD758), N($AK$77:$AK$82&gt;$AI758)) / BG758 / 1000</f>
        <v>0</v>
      </c>
      <c r="BI758" s="250">
        <f t="shared" si="705"/>
        <v>30</v>
      </c>
      <c r="BJ758" s="237">
        <f t="shared" si="682"/>
        <v>46.033333333333331</v>
      </c>
      <c r="BK758" s="253">
        <f t="shared" si="683"/>
        <v>3.2297395388556791</v>
      </c>
      <c r="BL758" s="253" cm="1">
        <f t="array" ref="BL758">$BC758 * IF($AD758&lt;=2,
SUMPRODUCT(INDEX($AL$72:$AN$76,,$AE758), INDEX($AO$72:$AU$76,,$AD758), 1 / ($AV$72:$AV$76*BK758 + (1-$AV$72:$AV$76)*BG758), N($AK$72:$AK$76&gt;$AI758)),
SUMPRODUCT(INDEX($AL$67:$AN$76,,$AE758), INDEX($AO$67:$AU$76,,$AD758), 1 / ($AW$67:$AW$76*BK758 + (1-$AW$67:$AW$76)*BG758), N($AK$67:$AK$76&gt;$AI758))
) / 1000</f>
        <v>0</v>
      </c>
      <c r="BM758" s="250">
        <f t="shared" si="706"/>
        <v>25</v>
      </c>
      <c r="BN758" s="237">
        <f t="shared" si="684"/>
        <v>39.516666666666666</v>
      </c>
      <c r="BO758" s="253">
        <f t="shared" si="685"/>
        <v>3.877011788826243</v>
      </c>
      <c r="BP758" s="253" cm="1">
        <f t="array" ref="BP758">$BC758 * IF($AD758&lt;=2,
SUMPRODUCT(INDEX($AL$67:$AN$71,,$AE758), INDEX($AO$67:$AU$71,,$AD758), 1 / ($AV$67:$AV$71*BO758 + (1-$AV$67:$AV$71)*BK758), N($AK$67:$AK$71&gt;$AI758)),
SUMPRODUCT(INDEX($AL$57:$AN$66,,$AE758), INDEX($AO$57:$AU$66,,$AD758), 1 / ($AW$57:$AW$66*BO758 + (1-$AW$57:$AW$66)*BK758), N($AK$57:$AK$66&gt;$AI758))
) / 1000</f>
        <v>0</v>
      </c>
      <c r="BQ758" s="250">
        <f t="shared" si="707"/>
        <v>20</v>
      </c>
      <c r="BR758" s="237">
        <f t="shared" si="686"/>
        <v>33</v>
      </c>
      <c r="BS758" s="253">
        <f t="shared" si="687"/>
        <v>4.8487499999999999</v>
      </c>
      <c r="BT758" s="253" cm="1">
        <f t="array" ref="BT758">$BC758 * IF($AD758&lt;=2,
SUMPRODUCT(INDEX($AL$62:$AN$66,,$AE758), INDEX($AO$62:$AU$66,,$AD758), 1 / ($AV$62:$AV$66*BS758 + (1-$AV$62:$AV$66)*BO758), N($AK$62:$AK$66&gt;$AI758)),
SUMPRODUCT(INDEX($AL$47:$AN$56,,$AE758), INDEX($AO$47:$AU$56,,$AD758), 1 / ($AW$47:$AW$56*BS758 + (1-$AW$47:$AW$56)*BO758), N($AK$47:$AK$56&gt;$AI758))
) / 1000</f>
        <v>0</v>
      </c>
      <c r="BU758" s="253" cm="1">
        <f t="array" ref="BU758">$BC758 * IF($AD758&lt;=2,
SUMPRODUCT(INDEX($AL$23:$AN$61,,$AE758), INDEX($AO$23:$AU$61,,$AD758), 1 / ($AV$23:$AV$61*BS758), N($AK$23:$AK$61&gt;$AI758)),
SUMPRODUCT(INDEX($AL$23:$AN$46,,$AE758), INDEX($AO$23:$AU$46,,$AD758), 1 / ($AW$23:$AW$46*BS758), N($AK$23:$AK$46&gt;$AI758))
) / 1000</f>
        <v>0</v>
      </c>
      <c r="BV758" s="237">
        <f t="shared" si="688"/>
        <v>0</v>
      </c>
      <c r="BW758" s="210"/>
      <c r="BX758" s="237">
        <f t="shared" si="689"/>
        <v>0</v>
      </c>
      <c r="BY758" s="236">
        <v>35</v>
      </c>
      <c r="BZ758" s="237">
        <f t="shared" si="690"/>
        <v>48</v>
      </c>
      <c r="CA758" s="253">
        <f t="shared" si="691"/>
        <v>3.0748170731707316</v>
      </c>
      <c r="CB758" s="253" cm="1">
        <f t="array" ref="CB758">$BC758 * SUMPRODUCT(INDEX($AL$77:$AN$82,,$AE758),INDEX($AO$77:$AU$82,,$AD758), N($AK$77:$AK$82&gt;$AI758)) / CA758 / 1000</f>
        <v>0</v>
      </c>
      <c r="CC758" s="250">
        <f t="shared" si="708"/>
        <v>30</v>
      </c>
      <c r="CD758" s="237">
        <f t="shared" si="692"/>
        <v>43</v>
      </c>
      <c r="CE758" s="253">
        <f t="shared" si="693"/>
        <v>3.5018750000000001</v>
      </c>
      <c r="CF758" s="253" cm="1">
        <f t="array" ref="CF758">$BC758 * IF($AD758&lt;=2,
SUMPRODUCT(INDEX($AL$72:$AN$76,,$AE758), INDEX($AO$72:$AU$76,,$AD758), 1 / ($AV$72:$AV$76*CE758 + (1-$AV$72:$AV$76)*CA758), N($AK$72:$AK$76&gt;$AI758)),
SUMPRODUCT(INDEX($AL$67:$AN$76,,$AE758), INDEX($AO$67:$AU$76,,$AD758), 1 / ($AW$67:$AW$76*CE758 + (1-$AW$67:$AW$76)*CA758), N($AK$67:$AK$76&gt;$AI758))
) / 1000</f>
        <v>0</v>
      </c>
      <c r="CG758" s="250">
        <f t="shared" si="709"/>
        <v>25</v>
      </c>
      <c r="CH758" s="237">
        <f t="shared" si="694"/>
        <v>38</v>
      </c>
      <c r="CI758" s="253">
        <f t="shared" si="695"/>
        <v>4.0666935483870965</v>
      </c>
      <c r="CJ758" s="253" cm="1">
        <f t="array" ref="CJ758">$BC758 * IF($AD758&lt;=2,
SUMPRODUCT(INDEX($AL$67:$AN$71,,$AE758), INDEX($AO$67:$AU$71,,$AD758), 1 / ($AV$67:$AV$71*CI758 + (1-$AV$67:$AV$71)*CE758), N($AK$67:$AK$71&gt;$AI758)),
SUMPRODUCT(INDEX($AL$57:$AN$66,,$AE758), INDEX($AO$57:$AU$66,,$AD758), 1 / ($AW$57:$AW$66*CI758 + (1-$AW$57:$AW$66)*CE758), N($AK$57:$AK$66&gt;$AI758))
) / 1000</f>
        <v>0</v>
      </c>
      <c r="CK758" s="250">
        <f t="shared" si="710"/>
        <v>20</v>
      </c>
      <c r="CL758" s="237">
        <f t="shared" si="696"/>
        <v>33</v>
      </c>
      <c r="CM758" s="253">
        <f t="shared" si="697"/>
        <v>4.8487499999999999</v>
      </c>
      <c r="CN758" s="253" cm="1">
        <f t="array" ref="CN758">$BC758 * IF($AD758&lt;=2,
SUMPRODUCT(INDEX($AL$62:$AN$66,,$AE758), INDEX($AO$62:$AU$66,,$AD758), 1 / ($AV$62:$AV$66*CM758 + (1-$AV$62:$AV$66)*CI758), N($AK$62:$AK$66&gt;$AI758)),
SUMPRODUCT(INDEX($AL$47:$AN$56,,$AE758), INDEX($AO$47:$AU$56,,$AD758), 1 / ($AW$47:$AW$56*CM758 + (1-$AW$47:$AW$56)*CI758), N($AK$47:$AK$56&gt;$AI758))
) / 1000</f>
        <v>0</v>
      </c>
      <c r="CO758" s="253" cm="1">
        <f t="array" ref="CO758">$BC758 * IF($AD758&lt;=2,
SUMPRODUCT(INDEX($AL$23:$AN$61,,$AE758), INDEX($AO$23:$AU$61,,$AD758), 1 / ($AV$23:$AV$61*CM758), N($AK$23:$AK$61&gt;$AI758)),
SUMPRODUCT(INDEX($AL$23:$AN$46,,$AE758), INDEX($AO$23:$AU$46,,$AD758), 1 / ($AW$23:$AW$46*CM758), N($AK$23:$AK$46&gt;$AI758))
) / 1000</f>
        <v>0</v>
      </c>
      <c r="CP758" s="237">
        <f t="shared" si="698"/>
        <v>0</v>
      </c>
      <c r="CQ758" s="210"/>
    </row>
    <row r="759" spans="1:95" s="76" customFormat="1" ht="14.25" customHeight="1" x14ac:dyDescent="0.2">
      <c r="A759" s="238" t="b">
        <f t="shared" si="702"/>
        <v>0</v>
      </c>
      <c r="B759" s="239">
        <v>737</v>
      </c>
      <c r="C759" s="258"/>
      <c r="D759" s="258"/>
      <c r="E759" s="240"/>
      <c r="F759" s="241" t="str">
        <f>IF(ISBLANK(E759), "", VLOOKUP(E759, Z!$A$2:$C$4127, 3, FALSE))</f>
        <v/>
      </c>
      <c r="G759" s="242"/>
      <c r="H759" s="242"/>
      <c r="I759" s="243"/>
      <c r="J759" s="244"/>
      <c r="K759" s="259"/>
      <c r="L759" s="260"/>
      <c r="M759" s="247" t="str" cm="1">
        <f t="array" ref="M759">IF($K759&gt;0, INDEX(Clean,1+AG759,$C$1), "")</f>
        <v/>
      </c>
      <c r="N759" s="245"/>
      <c r="O759" s="245"/>
      <c r="P759" s="246"/>
      <c r="Q759" s="248">
        <f t="shared" si="675"/>
        <v>0</v>
      </c>
      <c r="R759" s="247" t="str" cm="1">
        <f t="array" ref="R759">IF($K759&gt;0, INDEX(Clean,1+AH759,$C$1), "")</f>
        <v/>
      </c>
      <c r="S759" s="245"/>
      <c r="T759" s="245"/>
      <c r="U759" s="246"/>
      <c r="V759" s="248">
        <f t="shared" si="676"/>
        <v>0</v>
      </c>
      <c r="W759" s="261"/>
      <c r="X759" s="258"/>
      <c r="Y759" s="240"/>
      <c r="Z759" s="241" t="str">
        <f>IF(ISBLANK(Y759), "", VLOOKUP(Y759, Z!$A$2:$C$4127, 3, FALSE))</f>
        <v/>
      </c>
      <c r="AA759" s="262"/>
      <c r="AB759" s="249">
        <f t="shared" si="711"/>
        <v>0</v>
      </c>
      <c r="AC759" s="210"/>
      <c r="AD759" s="236">
        <f t="shared" si="699"/>
        <v>1</v>
      </c>
      <c r="AE759" s="236">
        <f t="shared" si="700"/>
        <v>1</v>
      </c>
      <c r="AF759" s="236">
        <f t="shared" si="701"/>
        <v>0</v>
      </c>
      <c r="AG759" s="236">
        <v>1</v>
      </c>
      <c r="AH759" s="236">
        <v>0</v>
      </c>
      <c r="AI759" s="236">
        <f t="shared" si="677"/>
        <v>-100</v>
      </c>
      <c r="AJ759" s="210"/>
      <c r="AK759" s="254"/>
      <c r="AL759" s="254"/>
      <c r="AM759" s="255"/>
      <c r="AN759" s="255"/>
      <c r="AO759" s="255"/>
      <c r="AP759" s="255"/>
      <c r="AQ759" s="255"/>
      <c r="AR759" s="255"/>
      <c r="AS759" s="255"/>
      <c r="AT759" s="255"/>
      <c r="AU759" s="255"/>
      <c r="AV759" s="255"/>
      <c r="AW759" s="255"/>
      <c r="AX759" s="210"/>
      <c r="AY759" s="236" cm="1">
        <f t="array" ref="AY759">INDEX(Use, $AD759, 4)</f>
        <v>7</v>
      </c>
      <c r="AZ759" s="236">
        <f t="shared" si="678"/>
        <v>32</v>
      </c>
      <c r="BA759" s="236">
        <f t="shared" si="703"/>
        <v>13</v>
      </c>
      <c r="BB759" s="236">
        <f t="shared" si="704"/>
        <v>0</v>
      </c>
      <c r="BC759" s="252" cm="1">
        <f t="array" ref="BC759">K759/IF($L759&gt;0, INDEX($AO$23:$AU$77, $L759+20, $AD759), 1)</f>
        <v>0</v>
      </c>
      <c r="BD759" s="237">
        <f t="shared" si="679"/>
        <v>0</v>
      </c>
      <c r="BE759" s="236">
        <v>35</v>
      </c>
      <c r="BF759" s="237">
        <f t="shared" si="680"/>
        <v>52.55</v>
      </c>
      <c r="BG759" s="253">
        <f t="shared" si="681"/>
        <v>2.7676728869374316</v>
      </c>
      <c r="BH759" s="253" cm="1">
        <f t="array" ref="BH759">$BC759 * SUMPRODUCT(INDEX($AL$77:$AN$82,,$AE759),INDEX($AO$77:$AU$82,,$AD759), N($AK$77:$AK$82&gt;$AI759)) / BG759 / 1000</f>
        <v>0</v>
      </c>
      <c r="BI759" s="250">
        <f t="shared" si="705"/>
        <v>30</v>
      </c>
      <c r="BJ759" s="237">
        <f t="shared" si="682"/>
        <v>46.033333333333331</v>
      </c>
      <c r="BK759" s="253">
        <f t="shared" si="683"/>
        <v>3.2297395388556791</v>
      </c>
      <c r="BL759" s="253" cm="1">
        <f t="array" ref="BL759">$BC759 * IF($AD759&lt;=2,
SUMPRODUCT(INDEX($AL$72:$AN$76,,$AE759), INDEX($AO$72:$AU$76,,$AD759), 1 / ($AV$72:$AV$76*BK759 + (1-$AV$72:$AV$76)*BG759), N($AK$72:$AK$76&gt;$AI759)),
SUMPRODUCT(INDEX($AL$67:$AN$76,,$AE759), INDEX($AO$67:$AU$76,,$AD759), 1 / ($AW$67:$AW$76*BK759 + (1-$AW$67:$AW$76)*BG759), N($AK$67:$AK$76&gt;$AI759))
) / 1000</f>
        <v>0</v>
      </c>
      <c r="BM759" s="250">
        <f t="shared" si="706"/>
        <v>25</v>
      </c>
      <c r="BN759" s="237">
        <f t="shared" si="684"/>
        <v>39.516666666666666</v>
      </c>
      <c r="BO759" s="253">
        <f t="shared" si="685"/>
        <v>3.877011788826243</v>
      </c>
      <c r="BP759" s="253" cm="1">
        <f t="array" ref="BP759">$BC759 * IF($AD759&lt;=2,
SUMPRODUCT(INDEX($AL$67:$AN$71,,$AE759), INDEX($AO$67:$AU$71,,$AD759), 1 / ($AV$67:$AV$71*BO759 + (1-$AV$67:$AV$71)*BK759), N($AK$67:$AK$71&gt;$AI759)),
SUMPRODUCT(INDEX($AL$57:$AN$66,,$AE759), INDEX($AO$57:$AU$66,,$AD759), 1 / ($AW$57:$AW$66*BO759 + (1-$AW$57:$AW$66)*BK759), N($AK$57:$AK$66&gt;$AI759))
) / 1000</f>
        <v>0</v>
      </c>
      <c r="BQ759" s="250">
        <f t="shared" si="707"/>
        <v>20</v>
      </c>
      <c r="BR759" s="237">
        <f t="shared" si="686"/>
        <v>33</v>
      </c>
      <c r="BS759" s="253">
        <f t="shared" si="687"/>
        <v>4.8487499999999999</v>
      </c>
      <c r="BT759" s="253" cm="1">
        <f t="array" ref="BT759">$BC759 * IF($AD759&lt;=2,
SUMPRODUCT(INDEX($AL$62:$AN$66,,$AE759), INDEX($AO$62:$AU$66,,$AD759), 1 / ($AV$62:$AV$66*BS759 + (1-$AV$62:$AV$66)*BO759), N($AK$62:$AK$66&gt;$AI759)),
SUMPRODUCT(INDEX($AL$47:$AN$56,,$AE759), INDEX($AO$47:$AU$56,,$AD759), 1 / ($AW$47:$AW$56*BS759 + (1-$AW$47:$AW$56)*BO759), N($AK$47:$AK$56&gt;$AI759))
) / 1000</f>
        <v>0</v>
      </c>
      <c r="BU759" s="253" cm="1">
        <f t="array" ref="BU759">$BC759 * IF($AD759&lt;=2,
SUMPRODUCT(INDEX($AL$23:$AN$61,,$AE759), INDEX($AO$23:$AU$61,,$AD759), 1 / ($AV$23:$AV$61*BS759), N($AK$23:$AK$61&gt;$AI759)),
SUMPRODUCT(INDEX($AL$23:$AN$46,,$AE759), INDEX($AO$23:$AU$46,,$AD759), 1 / ($AW$23:$AW$46*BS759), N($AK$23:$AK$46&gt;$AI759))
) / 1000</f>
        <v>0</v>
      </c>
      <c r="BV759" s="237">
        <f t="shared" si="688"/>
        <v>0</v>
      </c>
      <c r="BW759" s="210"/>
      <c r="BX759" s="237">
        <f t="shared" si="689"/>
        <v>0</v>
      </c>
      <c r="BY759" s="236">
        <v>35</v>
      </c>
      <c r="BZ759" s="237">
        <f t="shared" si="690"/>
        <v>48</v>
      </c>
      <c r="CA759" s="253">
        <f t="shared" si="691"/>
        <v>3.0748170731707316</v>
      </c>
      <c r="CB759" s="253" cm="1">
        <f t="array" ref="CB759">$BC759 * SUMPRODUCT(INDEX($AL$77:$AN$82,,$AE759),INDEX($AO$77:$AU$82,,$AD759), N($AK$77:$AK$82&gt;$AI759)) / CA759 / 1000</f>
        <v>0</v>
      </c>
      <c r="CC759" s="250">
        <f t="shared" si="708"/>
        <v>30</v>
      </c>
      <c r="CD759" s="237">
        <f t="shared" si="692"/>
        <v>43</v>
      </c>
      <c r="CE759" s="253">
        <f t="shared" si="693"/>
        <v>3.5018750000000001</v>
      </c>
      <c r="CF759" s="253" cm="1">
        <f t="array" ref="CF759">$BC759 * IF($AD759&lt;=2,
SUMPRODUCT(INDEX($AL$72:$AN$76,,$AE759), INDEX($AO$72:$AU$76,,$AD759), 1 / ($AV$72:$AV$76*CE759 + (1-$AV$72:$AV$76)*CA759), N($AK$72:$AK$76&gt;$AI759)),
SUMPRODUCT(INDEX($AL$67:$AN$76,,$AE759), INDEX($AO$67:$AU$76,,$AD759), 1 / ($AW$67:$AW$76*CE759 + (1-$AW$67:$AW$76)*CA759), N($AK$67:$AK$76&gt;$AI759))
) / 1000</f>
        <v>0</v>
      </c>
      <c r="CG759" s="250">
        <f t="shared" si="709"/>
        <v>25</v>
      </c>
      <c r="CH759" s="237">
        <f t="shared" si="694"/>
        <v>38</v>
      </c>
      <c r="CI759" s="253">
        <f t="shared" si="695"/>
        <v>4.0666935483870965</v>
      </c>
      <c r="CJ759" s="253" cm="1">
        <f t="array" ref="CJ759">$BC759 * IF($AD759&lt;=2,
SUMPRODUCT(INDEX($AL$67:$AN$71,,$AE759), INDEX($AO$67:$AU$71,,$AD759), 1 / ($AV$67:$AV$71*CI759 + (1-$AV$67:$AV$71)*CE759), N($AK$67:$AK$71&gt;$AI759)),
SUMPRODUCT(INDEX($AL$57:$AN$66,,$AE759), INDEX($AO$57:$AU$66,,$AD759), 1 / ($AW$57:$AW$66*CI759 + (1-$AW$57:$AW$66)*CE759), N($AK$57:$AK$66&gt;$AI759))
) / 1000</f>
        <v>0</v>
      </c>
      <c r="CK759" s="250">
        <f t="shared" si="710"/>
        <v>20</v>
      </c>
      <c r="CL759" s="237">
        <f t="shared" si="696"/>
        <v>33</v>
      </c>
      <c r="CM759" s="253">
        <f t="shared" si="697"/>
        <v>4.8487499999999999</v>
      </c>
      <c r="CN759" s="253" cm="1">
        <f t="array" ref="CN759">$BC759 * IF($AD759&lt;=2,
SUMPRODUCT(INDEX($AL$62:$AN$66,,$AE759), INDEX($AO$62:$AU$66,,$AD759), 1 / ($AV$62:$AV$66*CM759 + (1-$AV$62:$AV$66)*CI759), N($AK$62:$AK$66&gt;$AI759)),
SUMPRODUCT(INDEX($AL$47:$AN$56,,$AE759), INDEX($AO$47:$AU$56,,$AD759), 1 / ($AW$47:$AW$56*CM759 + (1-$AW$47:$AW$56)*CI759), N($AK$47:$AK$56&gt;$AI759))
) / 1000</f>
        <v>0</v>
      </c>
      <c r="CO759" s="253" cm="1">
        <f t="array" ref="CO759">$BC759 * IF($AD759&lt;=2,
SUMPRODUCT(INDEX($AL$23:$AN$61,,$AE759), INDEX($AO$23:$AU$61,,$AD759), 1 / ($AV$23:$AV$61*CM759), N($AK$23:$AK$61&gt;$AI759)),
SUMPRODUCT(INDEX($AL$23:$AN$46,,$AE759), INDEX($AO$23:$AU$46,,$AD759), 1 / ($AW$23:$AW$46*CM759), N($AK$23:$AK$46&gt;$AI759))
) / 1000</f>
        <v>0</v>
      </c>
      <c r="CP759" s="237">
        <f t="shared" si="698"/>
        <v>0</v>
      </c>
      <c r="CQ759" s="210"/>
    </row>
    <row r="760" spans="1:95" s="76" customFormat="1" ht="14.25" customHeight="1" x14ac:dyDescent="0.2">
      <c r="A760" s="238" t="b">
        <f t="shared" si="702"/>
        <v>0</v>
      </c>
      <c r="B760" s="239">
        <v>738</v>
      </c>
      <c r="C760" s="258"/>
      <c r="D760" s="258"/>
      <c r="E760" s="240"/>
      <c r="F760" s="241" t="str">
        <f>IF(ISBLANK(E760), "", VLOOKUP(E760, Z!$A$2:$C$4127, 3, FALSE))</f>
        <v/>
      </c>
      <c r="G760" s="242"/>
      <c r="H760" s="242"/>
      <c r="I760" s="243"/>
      <c r="J760" s="244"/>
      <c r="K760" s="259"/>
      <c r="L760" s="260"/>
      <c r="M760" s="247" t="str" cm="1">
        <f t="array" ref="M760">IF($K760&gt;0, INDEX(Clean,1+AG760,$C$1), "")</f>
        <v/>
      </c>
      <c r="N760" s="245"/>
      <c r="O760" s="245"/>
      <c r="P760" s="246"/>
      <c r="Q760" s="248">
        <f t="shared" si="675"/>
        <v>0</v>
      </c>
      <c r="R760" s="247" t="str" cm="1">
        <f t="array" ref="R760">IF($K760&gt;0, INDEX(Clean,1+AH760,$C$1), "")</f>
        <v/>
      </c>
      <c r="S760" s="245"/>
      <c r="T760" s="245"/>
      <c r="U760" s="246"/>
      <c r="V760" s="248">
        <f t="shared" si="676"/>
        <v>0</v>
      </c>
      <c r="W760" s="261"/>
      <c r="X760" s="258"/>
      <c r="Y760" s="240"/>
      <c r="Z760" s="241" t="str">
        <f>IF(ISBLANK(Y760), "", VLOOKUP(Y760, Z!$A$2:$C$4127, 3, FALSE))</f>
        <v/>
      </c>
      <c r="AA760" s="262"/>
      <c r="AB760" s="249">
        <f t="shared" si="711"/>
        <v>0</v>
      </c>
      <c r="AC760" s="210"/>
      <c r="AD760" s="236">
        <f t="shared" si="699"/>
        <v>1</v>
      </c>
      <c r="AE760" s="236">
        <f t="shared" si="700"/>
        <v>1</v>
      </c>
      <c r="AF760" s="236">
        <f t="shared" si="701"/>
        <v>0</v>
      </c>
      <c r="AG760" s="236">
        <v>1</v>
      </c>
      <c r="AH760" s="236">
        <v>0</v>
      </c>
      <c r="AI760" s="236">
        <f t="shared" si="677"/>
        <v>-100</v>
      </c>
      <c r="AJ760" s="210"/>
      <c r="AK760" s="254"/>
      <c r="AL760" s="254"/>
      <c r="AM760" s="255"/>
      <c r="AN760" s="255"/>
      <c r="AO760" s="255"/>
      <c r="AP760" s="255"/>
      <c r="AQ760" s="255"/>
      <c r="AR760" s="255"/>
      <c r="AS760" s="255"/>
      <c r="AT760" s="255"/>
      <c r="AU760" s="255"/>
      <c r="AV760" s="255"/>
      <c r="AW760" s="255"/>
      <c r="AX760" s="210"/>
      <c r="AY760" s="236" cm="1">
        <f t="array" ref="AY760">INDEX(Use, $AD760, 4)</f>
        <v>7</v>
      </c>
      <c r="AZ760" s="236">
        <f t="shared" si="678"/>
        <v>32</v>
      </c>
      <c r="BA760" s="236">
        <f t="shared" si="703"/>
        <v>13</v>
      </c>
      <c r="BB760" s="236">
        <f t="shared" si="704"/>
        <v>0</v>
      </c>
      <c r="BC760" s="252" cm="1">
        <f t="array" ref="BC760">K760/IF($L760&gt;0, INDEX($AO$23:$AU$77, $L760+20, $AD760), 1)</f>
        <v>0</v>
      </c>
      <c r="BD760" s="237">
        <f t="shared" si="679"/>
        <v>0</v>
      </c>
      <c r="BE760" s="236">
        <v>35</v>
      </c>
      <c r="BF760" s="237">
        <f t="shared" si="680"/>
        <v>52.55</v>
      </c>
      <c r="BG760" s="253">
        <f t="shared" si="681"/>
        <v>2.7676728869374316</v>
      </c>
      <c r="BH760" s="253" cm="1">
        <f t="array" ref="BH760">$BC760 * SUMPRODUCT(INDEX($AL$77:$AN$82,,$AE760),INDEX($AO$77:$AU$82,,$AD760), N($AK$77:$AK$82&gt;$AI760)) / BG760 / 1000</f>
        <v>0</v>
      </c>
      <c r="BI760" s="250">
        <f t="shared" si="705"/>
        <v>30</v>
      </c>
      <c r="BJ760" s="237">
        <f t="shared" si="682"/>
        <v>46.033333333333331</v>
      </c>
      <c r="BK760" s="253">
        <f t="shared" si="683"/>
        <v>3.2297395388556791</v>
      </c>
      <c r="BL760" s="253" cm="1">
        <f t="array" ref="BL760">$BC760 * IF($AD760&lt;=2,
SUMPRODUCT(INDEX($AL$72:$AN$76,,$AE760), INDEX($AO$72:$AU$76,,$AD760), 1 / ($AV$72:$AV$76*BK760 + (1-$AV$72:$AV$76)*BG760), N($AK$72:$AK$76&gt;$AI760)),
SUMPRODUCT(INDEX($AL$67:$AN$76,,$AE760), INDEX($AO$67:$AU$76,,$AD760), 1 / ($AW$67:$AW$76*BK760 + (1-$AW$67:$AW$76)*BG760), N($AK$67:$AK$76&gt;$AI760))
) / 1000</f>
        <v>0</v>
      </c>
      <c r="BM760" s="250">
        <f t="shared" si="706"/>
        <v>25</v>
      </c>
      <c r="BN760" s="237">
        <f t="shared" si="684"/>
        <v>39.516666666666666</v>
      </c>
      <c r="BO760" s="253">
        <f t="shared" si="685"/>
        <v>3.877011788826243</v>
      </c>
      <c r="BP760" s="253" cm="1">
        <f t="array" ref="BP760">$BC760 * IF($AD760&lt;=2,
SUMPRODUCT(INDEX($AL$67:$AN$71,,$AE760), INDEX($AO$67:$AU$71,,$AD760), 1 / ($AV$67:$AV$71*BO760 + (1-$AV$67:$AV$71)*BK760), N($AK$67:$AK$71&gt;$AI760)),
SUMPRODUCT(INDEX($AL$57:$AN$66,,$AE760), INDEX($AO$57:$AU$66,,$AD760), 1 / ($AW$57:$AW$66*BO760 + (1-$AW$57:$AW$66)*BK760), N($AK$57:$AK$66&gt;$AI760))
) / 1000</f>
        <v>0</v>
      </c>
      <c r="BQ760" s="250">
        <f t="shared" si="707"/>
        <v>20</v>
      </c>
      <c r="BR760" s="237">
        <f t="shared" si="686"/>
        <v>33</v>
      </c>
      <c r="BS760" s="253">
        <f t="shared" si="687"/>
        <v>4.8487499999999999</v>
      </c>
      <c r="BT760" s="253" cm="1">
        <f t="array" ref="BT760">$BC760 * IF($AD760&lt;=2,
SUMPRODUCT(INDEX($AL$62:$AN$66,,$AE760), INDEX($AO$62:$AU$66,,$AD760), 1 / ($AV$62:$AV$66*BS760 + (1-$AV$62:$AV$66)*BO760), N($AK$62:$AK$66&gt;$AI760)),
SUMPRODUCT(INDEX($AL$47:$AN$56,,$AE760), INDEX($AO$47:$AU$56,,$AD760), 1 / ($AW$47:$AW$56*BS760 + (1-$AW$47:$AW$56)*BO760), N($AK$47:$AK$56&gt;$AI760))
) / 1000</f>
        <v>0</v>
      </c>
      <c r="BU760" s="253" cm="1">
        <f t="array" ref="BU760">$BC760 * IF($AD760&lt;=2,
SUMPRODUCT(INDEX($AL$23:$AN$61,,$AE760), INDEX($AO$23:$AU$61,,$AD760), 1 / ($AV$23:$AV$61*BS760), N($AK$23:$AK$61&gt;$AI760)),
SUMPRODUCT(INDEX($AL$23:$AN$46,,$AE760), INDEX($AO$23:$AU$46,,$AD760), 1 / ($AW$23:$AW$46*BS760), N($AK$23:$AK$46&gt;$AI760))
) / 1000</f>
        <v>0</v>
      </c>
      <c r="BV760" s="237">
        <f t="shared" si="688"/>
        <v>0</v>
      </c>
      <c r="BW760" s="210"/>
      <c r="BX760" s="237">
        <f t="shared" si="689"/>
        <v>0</v>
      </c>
      <c r="BY760" s="236">
        <v>35</v>
      </c>
      <c r="BZ760" s="237">
        <f t="shared" si="690"/>
        <v>48</v>
      </c>
      <c r="CA760" s="253">
        <f t="shared" si="691"/>
        <v>3.0748170731707316</v>
      </c>
      <c r="CB760" s="253" cm="1">
        <f t="array" ref="CB760">$BC760 * SUMPRODUCT(INDEX($AL$77:$AN$82,,$AE760),INDEX($AO$77:$AU$82,,$AD760), N($AK$77:$AK$82&gt;$AI760)) / CA760 / 1000</f>
        <v>0</v>
      </c>
      <c r="CC760" s="250">
        <f t="shared" si="708"/>
        <v>30</v>
      </c>
      <c r="CD760" s="237">
        <f t="shared" si="692"/>
        <v>43</v>
      </c>
      <c r="CE760" s="253">
        <f t="shared" si="693"/>
        <v>3.5018750000000001</v>
      </c>
      <c r="CF760" s="253" cm="1">
        <f t="array" ref="CF760">$BC760 * IF($AD760&lt;=2,
SUMPRODUCT(INDEX($AL$72:$AN$76,,$AE760), INDEX($AO$72:$AU$76,,$AD760), 1 / ($AV$72:$AV$76*CE760 + (1-$AV$72:$AV$76)*CA760), N($AK$72:$AK$76&gt;$AI760)),
SUMPRODUCT(INDEX($AL$67:$AN$76,,$AE760), INDEX($AO$67:$AU$76,,$AD760), 1 / ($AW$67:$AW$76*CE760 + (1-$AW$67:$AW$76)*CA760), N($AK$67:$AK$76&gt;$AI760))
) / 1000</f>
        <v>0</v>
      </c>
      <c r="CG760" s="250">
        <f t="shared" si="709"/>
        <v>25</v>
      </c>
      <c r="CH760" s="237">
        <f t="shared" si="694"/>
        <v>38</v>
      </c>
      <c r="CI760" s="253">
        <f t="shared" si="695"/>
        <v>4.0666935483870965</v>
      </c>
      <c r="CJ760" s="253" cm="1">
        <f t="array" ref="CJ760">$BC760 * IF($AD760&lt;=2,
SUMPRODUCT(INDEX($AL$67:$AN$71,,$AE760), INDEX($AO$67:$AU$71,,$AD760), 1 / ($AV$67:$AV$71*CI760 + (1-$AV$67:$AV$71)*CE760), N($AK$67:$AK$71&gt;$AI760)),
SUMPRODUCT(INDEX($AL$57:$AN$66,,$AE760), INDEX($AO$57:$AU$66,,$AD760), 1 / ($AW$57:$AW$66*CI760 + (1-$AW$57:$AW$66)*CE760), N($AK$57:$AK$66&gt;$AI760))
) / 1000</f>
        <v>0</v>
      </c>
      <c r="CK760" s="250">
        <f t="shared" si="710"/>
        <v>20</v>
      </c>
      <c r="CL760" s="237">
        <f t="shared" si="696"/>
        <v>33</v>
      </c>
      <c r="CM760" s="253">
        <f t="shared" si="697"/>
        <v>4.8487499999999999</v>
      </c>
      <c r="CN760" s="253" cm="1">
        <f t="array" ref="CN760">$BC760 * IF($AD760&lt;=2,
SUMPRODUCT(INDEX($AL$62:$AN$66,,$AE760), INDEX($AO$62:$AU$66,,$AD760), 1 / ($AV$62:$AV$66*CM760 + (1-$AV$62:$AV$66)*CI760), N($AK$62:$AK$66&gt;$AI760)),
SUMPRODUCT(INDEX($AL$47:$AN$56,,$AE760), INDEX($AO$47:$AU$56,,$AD760), 1 / ($AW$47:$AW$56*CM760 + (1-$AW$47:$AW$56)*CI760), N($AK$47:$AK$56&gt;$AI760))
) / 1000</f>
        <v>0</v>
      </c>
      <c r="CO760" s="253" cm="1">
        <f t="array" ref="CO760">$BC760 * IF($AD760&lt;=2,
SUMPRODUCT(INDEX($AL$23:$AN$61,,$AE760), INDEX($AO$23:$AU$61,,$AD760), 1 / ($AV$23:$AV$61*CM760), N($AK$23:$AK$61&gt;$AI760)),
SUMPRODUCT(INDEX($AL$23:$AN$46,,$AE760), INDEX($AO$23:$AU$46,,$AD760), 1 / ($AW$23:$AW$46*CM760), N($AK$23:$AK$46&gt;$AI760))
) / 1000</f>
        <v>0</v>
      </c>
      <c r="CP760" s="237">
        <f t="shared" si="698"/>
        <v>0</v>
      </c>
      <c r="CQ760" s="210"/>
    </row>
    <row r="761" spans="1:95" s="76" customFormat="1" ht="14.25" customHeight="1" x14ac:dyDescent="0.2">
      <c r="A761" s="238" t="b">
        <f t="shared" si="702"/>
        <v>0</v>
      </c>
      <c r="B761" s="239">
        <v>739</v>
      </c>
      <c r="C761" s="258"/>
      <c r="D761" s="258"/>
      <c r="E761" s="240"/>
      <c r="F761" s="241" t="str">
        <f>IF(ISBLANK(E761), "", VLOOKUP(E761, Z!$A$2:$C$4127, 3, FALSE))</f>
        <v/>
      </c>
      <c r="G761" s="242"/>
      <c r="H761" s="242"/>
      <c r="I761" s="243"/>
      <c r="J761" s="244"/>
      <c r="K761" s="259"/>
      <c r="L761" s="260"/>
      <c r="M761" s="247" t="str" cm="1">
        <f t="array" ref="M761">IF($K761&gt;0, INDEX(Clean,1+AG761,$C$1), "")</f>
        <v/>
      </c>
      <c r="N761" s="245"/>
      <c r="O761" s="245"/>
      <c r="P761" s="246"/>
      <c r="Q761" s="248">
        <f t="shared" si="675"/>
        <v>0</v>
      </c>
      <c r="R761" s="247" t="str" cm="1">
        <f t="array" ref="R761">IF($K761&gt;0, INDEX(Clean,1+AH761,$C$1), "")</f>
        <v/>
      </c>
      <c r="S761" s="245"/>
      <c r="T761" s="245"/>
      <c r="U761" s="246"/>
      <c r="V761" s="248">
        <f t="shared" si="676"/>
        <v>0</v>
      </c>
      <c r="W761" s="261"/>
      <c r="X761" s="258"/>
      <c r="Y761" s="240"/>
      <c r="Z761" s="241" t="str">
        <f>IF(ISBLANK(Y761), "", VLOOKUP(Y761, Z!$A$2:$C$4127, 3, FALSE))</f>
        <v/>
      </c>
      <c r="AA761" s="262"/>
      <c r="AB761" s="249">
        <f t="shared" si="711"/>
        <v>0</v>
      </c>
      <c r="AC761" s="210"/>
      <c r="AD761" s="236">
        <f t="shared" si="699"/>
        <v>1</v>
      </c>
      <c r="AE761" s="236">
        <f t="shared" si="700"/>
        <v>1</v>
      </c>
      <c r="AF761" s="236">
        <f t="shared" si="701"/>
        <v>0</v>
      </c>
      <c r="AG761" s="236">
        <v>1</v>
      </c>
      <c r="AH761" s="236">
        <v>0</v>
      </c>
      <c r="AI761" s="236">
        <f t="shared" si="677"/>
        <v>-100</v>
      </c>
      <c r="AJ761" s="210"/>
      <c r="AK761" s="254"/>
      <c r="AL761" s="254"/>
      <c r="AM761" s="255"/>
      <c r="AN761" s="255"/>
      <c r="AO761" s="255"/>
      <c r="AP761" s="255"/>
      <c r="AQ761" s="255"/>
      <c r="AR761" s="255"/>
      <c r="AS761" s="255"/>
      <c r="AT761" s="255"/>
      <c r="AU761" s="255"/>
      <c r="AV761" s="255"/>
      <c r="AW761" s="255"/>
      <c r="AX761" s="210"/>
      <c r="AY761" s="236" cm="1">
        <f t="array" ref="AY761">INDEX(Use, $AD761, 4)</f>
        <v>7</v>
      </c>
      <c r="AZ761" s="236">
        <f t="shared" si="678"/>
        <v>32</v>
      </c>
      <c r="BA761" s="236">
        <f t="shared" si="703"/>
        <v>13</v>
      </c>
      <c r="BB761" s="236">
        <f t="shared" si="704"/>
        <v>0</v>
      </c>
      <c r="BC761" s="252" cm="1">
        <f t="array" ref="BC761">K761/IF($L761&gt;0, INDEX($AO$23:$AU$77, $L761+20, $AD761), 1)</f>
        <v>0</v>
      </c>
      <c r="BD761" s="237">
        <f t="shared" si="679"/>
        <v>0</v>
      </c>
      <c r="BE761" s="236">
        <v>35</v>
      </c>
      <c r="BF761" s="237">
        <f t="shared" si="680"/>
        <v>52.55</v>
      </c>
      <c r="BG761" s="253">
        <f t="shared" si="681"/>
        <v>2.7676728869374316</v>
      </c>
      <c r="BH761" s="253" cm="1">
        <f t="array" ref="BH761">$BC761 * SUMPRODUCT(INDEX($AL$77:$AN$82,,$AE761),INDEX($AO$77:$AU$82,,$AD761), N($AK$77:$AK$82&gt;$AI761)) / BG761 / 1000</f>
        <v>0</v>
      </c>
      <c r="BI761" s="250">
        <f t="shared" si="705"/>
        <v>30</v>
      </c>
      <c r="BJ761" s="237">
        <f t="shared" si="682"/>
        <v>46.033333333333331</v>
      </c>
      <c r="BK761" s="253">
        <f t="shared" si="683"/>
        <v>3.2297395388556791</v>
      </c>
      <c r="BL761" s="253" cm="1">
        <f t="array" ref="BL761">$BC761 * IF($AD761&lt;=2,
SUMPRODUCT(INDEX($AL$72:$AN$76,,$AE761), INDEX($AO$72:$AU$76,,$AD761), 1 / ($AV$72:$AV$76*BK761 + (1-$AV$72:$AV$76)*BG761), N($AK$72:$AK$76&gt;$AI761)),
SUMPRODUCT(INDEX($AL$67:$AN$76,,$AE761), INDEX($AO$67:$AU$76,,$AD761), 1 / ($AW$67:$AW$76*BK761 + (1-$AW$67:$AW$76)*BG761), N($AK$67:$AK$76&gt;$AI761))
) / 1000</f>
        <v>0</v>
      </c>
      <c r="BM761" s="250">
        <f t="shared" si="706"/>
        <v>25</v>
      </c>
      <c r="BN761" s="237">
        <f t="shared" si="684"/>
        <v>39.516666666666666</v>
      </c>
      <c r="BO761" s="253">
        <f t="shared" si="685"/>
        <v>3.877011788826243</v>
      </c>
      <c r="BP761" s="253" cm="1">
        <f t="array" ref="BP761">$BC761 * IF($AD761&lt;=2,
SUMPRODUCT(INDEX($AL$67:$AN$71,,$AE761), INDEX($AO$67:$AU$71,,$AD761), 1 / ($AV$67:$AV$71*BO761 + (1-$AV$67:$AV$71)*BK761), N($AK$67:$AK$71&gt;$AI761)),
SUMPRODUCT(INDEX($AL$57:$AN$66,,$AE761), INDEX($AO$57:$AU$66,,$AD761), 1 / ($AW$57:$AW$66*BO761 + (1-$AW$57:$AW$66)*BK761), N($AK$57:$AK$66&gt;$AI761))
) / 1000</f>
        <v>0</v>
      </c>
      <c r="BQ761" s="250">
        <f t="shared" si="707"/>
        <v>20</v>
      </c>
      <c r="BR761" s="237">
        <f t="shared" si="686"/>
        <v>33</v>
      </c>
      <c r="BS761" s="253">
        <f t="shared" si="687"/>
        <v>4.8487499999999999</v>
      </c>
      <c r="BT761" s="253" cm="1">
        <f t="array" ref="BT761">$BC761 * IF($AD761&lt;=2,
SUMPRODUCT(INDEX($AL$62:$AN$66,,$AE761), INDEX($AO$62:$AU$66,,$AD761), 1 / ($AV$62:$AV$66*BS761 + (1-$AV$62:$AV$66)*BO761), N($AK$62:$AK$66&gt;$AI761)),
SUMPRODUCT(INDEX($AL$47:$AN$56,,$AE761), INDEX($AO$47:$AU$56,,$AD761), 1 / ($AW$47:$AW$56*BS761 + (1-$AW$47:$AW$56)*BO761), N($AK$47:$AK$56&gt;$AI761))
) / 1000</f>
        <v>0</v>
      </c>
      <c r="BU761" s="253" cm="1">
        <f t="array" ref="BU761">$BC761 * IF($AD761&lt;=2,
SUMPRODUCT(INDEX($AL$23:$AN$61,,$AE761), INDEX($AO$23:$AU$61,,$AD761), 1 / ($AV$23:$AV$61*BS761), N($AK$23:$AK$61&gt;$AI761)),
SUMPRODUCT(INDEX($AL$23:$AN$46,,$AE761), INDEX($AO$23:$AU$46,,$AD761), 1 / ($AW$23:$AW$46*BS761), N($AK$23:$AK$46&gt;$AI761))
) / 1000</f>
        <v>0</v>
      </c>
      <c r="BV761" s="237">
        <f t="shared" si="688"/>
        <v>0</v>
      </c>
      <c r="BW761" s="210"/>
      <c r="BX761" s="237">
        <f t="shared" si="689"/>
        <v>0</v>
      </c>
      <c r="BY761" s="236">
        <v>35</v>
      </c>
      <c r="BZ761" s="237">
        <f t="shared" si="690"/>
        <v>48</v>
      </c>
      <c r="CA761" s="253">
        <f t="shared" si="691"/>
        <v>3.0748170731707316</v>
      </c>
      <c r="CB761" s="253" cm="1">
        <f t="array" ref="CB761">$BC761 * SUMPRODUCT(INDEX($AL$77:$AN$82,,$AE761),INDEX($AO$77:$AU$82,,$AD761), N($AK$77:$AK$82&gt;$AI761)) / CA761 / 1000</f>
        <v>0</v>
      </c>
      <c r="CC761" s="250">
        <f t="shared" si="708"/>
        <v>30</v>
      </c>
      <c r="CD761" s="237">
        <f t="shared" si="692"/>
        <v>43</v>
      </c>
      <c r="CE761" s="253">
        <f t="shared" si="693"/>
        <v>3.5018750000000001</v>
      </c>
      <c r="CF761" s="253" cm="1">
        <f t="array" ref="CF761">$BC761 * IF($AD761&lt;=2,
SUMPRODUCT(INDEX($AL$72:$AN$76,,$AE761), INDEX($AO$72:$AU$76,,$AD761), 1 / ($AV$72:$AV$76*CE761 + (1-$AV$72:$AV$76)*CA761), N($AK$72:$AK$76&gt;$AI761)),
SUMPRODUCT(INDEX($AL$67:$AN$76,,$AE761), INDEX($AO$67:$AU$76,,$AD761), 1 / ($AW$67:$AW$76*CE761 + (1-$AW$67:$AW$76)*CA761), N($AK$67:$AK$76&gt;$AI761))
) / 1000</f>
        <v>0</v>
      </c>
      <c r="CG761" s="250">
        <f t="shared" si="709"/>
        <v>25</v>
      </c>
      <c r="CH761" s="237">
        <f t="shared" si="694"/>
        <v>38</v>
      </c>
      <c r="CI761" s="253">
        <f t="shared" si="695"/>
        <v>4.0666935483870965</v>
      </c>
      <c r="CJ761" s="253" cm="1">
        <f t="array" ref="CJ761">$BC761 * IF($AD761&lt;=2,
SUMPRODUCT(INDEX($AL$67:$AN$71,,$AE761), INDEX($AO$67:$AU$71,,$AD761), 1 / ($AV$67:$AV$71*CI761 + (1-$AV$67:$AV$71)*CE761), N($AK$67:$AK$71&gt;$AI761)),
SUMPRODUCT(INDEX($AL$57:$AN$66,,$AE761), INDEX($AO$57:$AU$66,,$AD761), 1 / ($AW$57:$AW$66*CI761 + (1-$AW$57:$AW$66)*CE761), N($AK$57:$AK$66&gt;$AI761))
) / 1000</f>
        <v>0</v>
      </c>
      <c r="CK761" s="250">
        <f t="shared" si="710"/>
        <v>20</v>
      </c>
      <c r="CL761" s="237">
        <f t="shared" si="696"/>
        <v>33</v>
      </c>
      <c r="CM761" s="253">
        <f t="shared" si="697"/>
        <v>4.8487499999999999</v>
      </c>
      <c r="CN761" s="253" cm="1">
        <f t="array" ref="CN761">$BC761 * IF($AD761&lt;=2,
SUMPRODUCT(INDEX($AL$62:$AN$66,,$AE761), INDEX($AO$62:$AU$66,,$AD761), 1 / ($AV$62:$AV$66*CM761 + (1-$AV$62:$AV$66)*CI761), N($AK$62:$AK$66&gt;$AI761)),
SUMPRODUCT(INDEX($AL$47:$AN$56,,$AE761), INDEX($AO$47:$AU$56,,$AD761), 1 / ($AW$47:$AW$56*CM761 + (1-$AW$47:$AW$56)*CI761), N($AK$47:$AK$56&gt;$AI761))
) / 1000</f>
        <v>0</v>
      </c>
      <c r="CO761" s="253" cm="1">
        <f t="array" ref="CO761">$BC761 * IF($AD761&lt;=2,
SUMPRODUCT(INDEX($AL$23:$AN$61,,$AE761), INDEX($AO$23:$AU$61,,$AD761), 1 / ($AV$23:$AV$61*CM761), N($AK$23:$AK$61&gt;$AI761)),
SUMPRODUCT(INDEX($AL$23:$AN$46,,$AE761), INDEX($AO$23:$AU$46,,$AD761), 1 / ($AW$23:$AW$46*CM761), N($AK$23:$AK$46&gt;$AI761))
) / 1000</f>
        <v>0</v>
      </c>
      <c r="CP761" s="237">
        <f t="shared" si="698"/>
        <v>0</v>
      </c>
      <c r="CQ761" s="210"/>
    </row>
    <row r="762" spans="1:95" s="76" customFormat="1" ht="14.25" customHeight="1" x14ac:dyDescent="0.2">
      <c r="A762" s="238" t="b">
        <f t="shared" si="702"/>
        <v>0</v>
      </c>
      <c r="B762" s="239">
        <v>740</v>
      </c>
      <c r="C762" s="258"/>
      <c r="D762" s="258"/>
      <c r="E762" s="240"/>
      <c r="F762" s="241" t="str">
        <f>IF(ISBLANK(E762), "", VLOOKUP(E762, Z!$A$2:$C$4127, 3, FALSE))</f>
        <v/>
      </c>
      <c r="G762" s="242"/>
      <c r="H762" s="242"/>
      <c r="I762" s="243"/>
      <c r="J762" s="244"/>
      <c r="K762" s="259"/>
      <c r="L762" s="260"/>
      <c r="M762" s="247" t="str" cm="1">
        <f t="array" ref="M762">IF($K762&gt;0, INDEX(Clean,1+AG762,$C$1), "")</f>
        <v/>
      </c>
      <c r="N762" s="245"/>
      <c r="O762" s="245"/>
      <c r="P762" s="246"/>
      <c r="Q762" s="248">
        <f t="shared" si="675"/>
        <v>0</v>
      </c>
      <c r="R762" s="247" t="str" cm="1">
        <f t="array" ref="R762">IF($K762&gt;0, INDEX(Clean,1+AH762,$C$1), "")</f>
        <v/>
      </c>
      <c r="S762" s="245"/>
      <c r="T762" s="245"/>
      <c r="U762" s="246"/>
      <c r="V762" s="248">
        <f t="shared" si="676"/>
        <v>0</v>
      </c>
      <c r="W762" s="261"/>
      <c r="X762" s="258"/>
      <c r="Y762" s="240"/>
      <c r="Z762" s="241" t="str">
        <f>IF(ISBLANK(Y762), "", VLOOKUP(Y762, Z!$A$2:$C$4127, 3, FALSE))</f>
        <v/>
      </c>
      <c r="AA762" s="262"/>
      <c r="AB762" s="249">
        <f t="shared" si="711"/>
        <v>0</v>
      </c>
      <c r="AC762" s="210"/>
      <c r="AD762" s="236">
        <f t="shared" si="699"/>
        <v>1</v>
      </c>
      <c r="AE762" s="236">
        <f t="shared" si="700"/>
        <v>1</v>
      </c>
      <c r="AF762" s="236">
        <f t="shared" si="701"/>
        <v>0</v>
      </c>
      <c r="AG762" s="236">
        <v>1</v>
      </c>
      <c r="AH762" s="236">
        <v>0</v>
      </c>
      <c r="AI762" s="236">
        <f t="shared" si="677"/>
        <v>-100</v>
      </c>
      <c r="AJ762" s="210"/>
      <c r="AK762" s="254"/>
      <c r="AL762" s="254"/>
      <c r="AM762" s="255"/>
      <c r="AN762" s="255"/>
      <c r="AO762" s="255"/>
      <c r="AP762" s="255"/>
      <c r="AQ762" s="255"/>
      <c r="AR762" s="255"/>
      <c r="AS762" s="255"/>
      <c r="AT762" s="255"/>
      <c r="AU762" s="255"/>
      <c r="AV762" s="255"/>
      <c r="AW762" s="255"/>
      <c r="AX762" s="210"/>
      <c r="AY762" s="236" cm="1">
        <f t="array" ref="AY762">INDEX(Use, $AD762, 4)</f>
        <v>7</v>
      </c>
      <c r="AZ762" s="236">
        <f t="shared" si="678"/>
        <v>32</v>
      </c>
      <c r="BA762" s="236">
        <f t="shared" si="703"/>
        <v>13</v>
      </c>
      <c r="BB762" s="236">
        <f t="shared" si="704"/>
        <v>0</v>
      </c>
      <c r="BC762" s="252" cm="1">
        <f t="array" ref="BC762">K762/IF($L762&gt;0, INDEX($AO$23:$AU$77, $L762+20, $AD762), 1)</f>
        <v>0</v>
      </c>
      <c r="BD762" s="237">
        <f t="shared" si="679"/>
        <v>0</v>
      </c>
      <c r="BE762" s="236">
        <v>35</v>
      </c>
      <c r="BF762" s="237">
        <f t="shared" si="680"/>
        <v>52.55</v>
      </c>
      <c r="BG762" s="253">
        <f t="shared" si="681"/>
        <v>2.7676728869374316</v>
      </c>
      <c r="BH762" s="253" cm="1">
        <f t="array" ref="BH762">$BC762 * SUMPRODUCT(INDEX($AL$77:$AN$82,,$AE762),INDEX($AO$77:$AU$82,,$AD762), N($AK$77:$AK$82&gt;$AI762)) / BG762 / 1000</f>
        <v>0</v>
      </c>
      <c r="BI762" s="250">
        <f t="shared" si="705"/>
        <v>30</v>
      </c>
      <c r="BJ762" s="237">
        <f t="shared" si="682"/>
        <v>46.033333333333331</v>
      </c>
      <c r="BK762" s="253">
        <f t="shared" si="683"/>
        <v>3.2297395388556791</v>
      </c>
      <c r="BL762" s="253" cm="1">
        <f t="array" ref="BL762">$BC762 * IF($AD762&lt;=2,
SUMPRODUCT(INDEX($AL$72:$AN$76,,$AE762), INDEX($AO$72:$AU$76,,$AD762), 1 / ($AV$72:$AV$76*BK762 + (1-$AV$72:$AV$76)*BG762), N($AK$72:$AK$76&gt;$AI762)),
SUMPRODUCT(INDEX($AL$67:$AN$76,,$AE762), INDEX($AO$67:$AU$76,,$AD762), 1 / ($AW$67:$AW$76*BK762 + (1-$AW$67:$AW$76)*BG762), N($AK$67:$AK$76&gt;$AI762))
) / 1000</f>
        <v>0</v>
      </c>
      <c r="BM762" s="250">
        <f t="shared" si="706"/>
        <v>25</v>
      </c>
      <c r="BN762" s="237">
        <f t="shared" si="684"/>
        <v>39.516666666666666</v>
      </c>
      <c r="BO762" s="253">
        <f t="shared" si="685"/>
        <v>3.877011788826243</v>
      </c>
      <c r="BP762" s="253" cm="1">
        <f t="array" ref="BP762">$BC762 * IF($AD762&lt;=2,
SUMPRODUCT(INDEX($AL$67:$AN$71,,$AE762), INDEX($AO$67:$AU$71,,$AD762), 1 / ($AV$67:$AV$71*BO762 + (1-$AV$67:$AV$71)*BK762), N($AK$67:$AK$71&gt;$AI762)),
SUMPRODUCT(INDEX($AL$57:$AN$66,,$AE762), INDEX($AO$57:$AU$66,,$AD762), 1 / ($AW$57:$AW$66*BO762 + (1-$AW$57:$AW$66)*BK762), N($AK$57:$AK$66&gt;$AI762))
) / 1000</f>
        <v>0</v>
      </c>
      <c r="BQ762" s="250">
        <f t="shared" si="707"/>
        <v>20</v>
      </c>
      <c r="BR762" s="237">
        <f t="shared" si="686"/>
        <v>33</v>
      </c>
      <c r="BS762" s="253">
        <f t="shared" si="687"/>
        <v>4.8487499999999999</v>
      </c>
      <c r="BT762" s="253" cm="1">
        <f t="array" ref="BT762">$BC762 * IF($AD762&lt;=2,
SUMPRODUCT(INDEX($AL$62:$AN$66,,$AE762), INDEX($AO$62:$AU$66,,$AD762), 1 / ($AV$62:$AV$66*BS762 + (1-$AV$62:$AV$66)*BO762), N($AK$62:$AK$66&gt;$AI762)),
SUMPRODUCT(INDEX($AL$47:$AN$56,,$AE762), INDEX($AO$47:$AU$56,,$AD762), 1 / ($AW$47:$AW$56*BS762 + (1-$AW$47:$AW$56)*BO762), N($AK$47:$AK$56&gt;$AI762))
) / 1000</f>
        <v>0</v>
      </c>
      <c r="BU762" s="253" cm="1">
        <f t="array" ref="BU762">$BC762 * IF($AD762&lt;=2,
SUMPRODUCT(INDEX($AL$23:$AN$61,,$AE762), INDEX($AO$23:$AU$61,,$AD762), 1 / ($AV$23:$AV$61*BS762), N($AK$23:$AK$61&gt;$AI762)),
SUMPRODUCT(INDEX($AL$23:$AN$46,,$AE762), INDEX($AO$23:$AU$46,,$AD762), 1 / ($AW$23:$AW$46*BS762), N($AK$23:$AK$46&gt;$AI762))
) / 1000</f>
        <v>0</v>
      </c>
      <c r="BV762" s="237">
        <f t="shared" si="688"/>
        <v>0</v>
      </c>
      <c r="BW762" s="210"/>
      <c r="BX762" s="237">
        <f t="shared" si="689"/>
        <v>0</v>
      </c>
      <c r="BY762" s="236">
        <v>35</v>
      </c>
      <c r="BZ762" s="237">
        <f t="shared" si="690"/>
        <v>48</v>
      </c>
      <c r="CA762" s="253">
        <f t="shared" si="691"/>
        <v>3.0748170731707316</v>
      </c>
      <c r="CB762" s="253" cm="1">
        <f t="array" ref="CB762">$BC762 * SUMPRODUCT(INDEX($AL$77:$AN$82,,$AE762),INDEX($AO$77:$AU$82,,$AD762), N($AK$77:$AK$82&gt;$AI762)) / CA762 / 1000</f>
        <v>0</v>
      </c>
      <c r="CC762" s="250">
        <f t="shared" si="708"/>
        <v>30</v>
      </c>
      <c r="CD762" s="237">
        <f t="shared" si="692"/>
        <v>43</v>
      </c>
      <c r="CE762" s="253">
        <f t="shared" si="693"/>
        <v>3.5018750000000001</v>
      </c>
      <c r="CF762" s="253" cm="1">
        <f t="array" ref="CF762">$BC762 * IF($AD762&lt;=2,
SUMPRODUCT(INDEX($AL$72:$AN$76,,$AE762), INDEX($AO$72:$AU$76,,$AD762), 1 / ($AV$72:$AV$76*CE762 + (1-$AV$72:$AV$76)*CA762), N($AK$72:$AK$76&gt;$AI762)),
SUMPRODUCT(INDEX($AL$67:$AN$76,,$AE762), INDEX($AO$67:$AU$76,,$AD762), 1 / ($AW$67:$AW$76*CE762 + (1-$AW$67:$AW$76)*CA762), N($AK$67:$AK$76&gt;$AI762))
) / 1000</f>
        <v>0</v>
      </c>
      <c r="CG762" s="250">
        <f t="shared" si="709"/>
        <v>25</v>
      </c>
      <c r="CH762" s="237">
        <f t="shared" si="694"/>
        <v>38</v>
      </c>
      <c r="CI762" s="253">
        <f t="shared" si="695"/>
        <v>4.0666935483870965</v>
      </c>
      <c r="CJ762" s="253" cm="1">
        <f t="array" ref="CJ762">$BC762 * IF($AD762&lt;=2,
SUMPRODUCT(INDEX($AL$67:$AN$71,,$AE762), INDEX($AO$67:$AU$71,,$AD762), 1 / ($AV$67:$AV$71*CI762 + (1-$AV$67:$AV$71)*CE762), N($AK$67:$AK$71&gt;$AI762)),
SUMPRODUCT(INDEX($AL$57:$AN$66,,$AE762), INDEX($AO$57:$AU$66,,$AD762), 1 / ($AW$57:$AW$66*CI762 + (1-$AW$57:$AW$66)*CE762), N($AK$57:$AK$66&gt;$AI762))
) / 1000</f>
        <v>0</v>
      </c>
      <c r="CK762" s="250">
        <f t="shared" si="710"/>
        <v>20</v>
      </c>
      <c r="CL762" s="237">
        <f t="shared" si="696"/>
        <v>33</v>
      </c>
      <c r="CM762" s="253">
        <f t="shared" si="697"/>
        <v>4.8487499999999999</v>
      </c>
      <c r="CN762" s="253" cm="1">
        <f t="array" ref="CN762">$BC762 * IF($AD762&lt;=2,
SUMPRODUCT(INDEX($AL$62:$AN$66,,$AE762), INDEX($AO$62:$AU$66,,$AD762), 1 / ($AV$62:$AV$66*CM762 + (1-$AV$62:$AV$66)*CI762), N($AK$62:$AK$66&gt;$AI762)),
SUMPRODUCT(INDEX($AL$47:$AN$56,,$AE762), INDEX($AO$47:$AU$56,,$AD762), 1 / ($AW$47:$AW$56*CM762 + (1-$AW$47:$AW$56)*CI762), N($AK$47:$AK$56&gt;$AI762))
) / 1000</f>
        <v>0</v>
      </c>
      <c r="CO762" s="253" cm="1">
        <f t="array" ref="CO762">$BC762 * IF($AD762&lt;=2,
SUMPRODUCT(INDEX($AL$23:$AN$61,,$AE762), INDEX($AO$23:$AU$61,,$AD762), 1 / ($AV$23:$AV$61*CM762), N($AK$23:$AK$61&gt;$AI762)),
SUMPRODUCT(INDEX($AL$23:$AN$46,,$AE762), INDEX($AO$23:$AU$46,,$AD762), 1 / ($AW$23:$AW$46*CM762), N($AK$23:$AK$46&gt;$AI762))
) / 1000</f>
        <v>0</v>
      </c>
      <c r="CP762" s="237">
        <f t="shared" si="698"/>
        <v>0</v>
      </c>
      <c r="CQ762" s="210"/>
    </row>
    <row r="763" spans="1:95" s="76" customFormat="1" ht="14.25" customHeight="1" x14ac:dyDescent="0.2">
      <c r="A763" s="238" t="b">
        <f t="shared" si="702"/>
        <v>0</v>
      </c>
      <c r="B763" s="239">
        <v>741</v>
      </c>
      <c r="C763" s="258"/>
      <c r="D763" s="258"/>
      <c r="E763" s="240"/>
      <c r="F763" s="241" t="str">
        <f>IF(ISBLANK(E763), "", VLOOKUP(E763, Z!$A$2:$C$4127, 3, FALSE))</f>
        <v/>
      </c>
      <c r="G763" s="242"/>
      <c r="H763" s="242"/>
      <c r="I763" s="243"/>
      <c r="J763" s="244"/>
      <c r="K763" s="259"/>
      <c r="L763" s="260"/>
      <c r="M763" s="247" t="str" cm="1">
        <f t="array" ref="M763">IF($K763&gt;0, INDEX(Clean,1+AG763,$C$1), "")</f>
        <v/>
      </c>
      <c r="N763" s="245"/>
      <c r="O763" s="245"/>
      <c r="P763" s="246"/>
      <c r="Q763" s="248">
        <f t="shared" ref="Q763:Q826" si="712">BV763*1000</f>
        <v>0</v>
      </c>
      <c r="R763" s="247" t="str" cm="1">
        <f t="array" ref="R763">IF($K763&gt;0, INDEX(Clean,1+AH763,$C$1), "")</f>
        <v/>
      </c>
      <c r="S763" s="245"/>
      <c r="T763" s="245"/>
      <c r="U763" s="246"/>
      <c r="V763" s="248">
        <f t="shared" ref="V763:V826" si="713">CP763*1000</f>
        <v>0</v>
      </c>
      <c r="W763" s="261"/>
      <c r="X763" s="258"/>
      <c r="Y763" s="240"/>
      <c r="Z763" s="241" t="str">
        <f>IF(ISBLANK(Y763), "", VLOOKUP(Y763, Z!$A$2:$C$4127, 3, FALSE))</f>
        <v/>
      </c>
      <c r="AA763" s="262"/>
      <c r="AB763" s="249">
        <f t="shared" si="711"/>
        <v>0</v>
      </c>
      <c r="AC763" s="210"/>
      <c r="AD763" s="236">
        <f t="shared" si="699"/>
        <v>1</v>
      </c>
      <c r="AE763" s="236">
        <f t="shared" si="700"/>
        <v>1</v>
      </c>
      <c r="AF763" s="236">
        <f t="shared" si="701"/>
        <v>0</v>
      </c>
      <c r="AG763" s="236">
        <v>1</v>
      </c>
      <c r="AH763" s="236">
        <v>0</v>
      </c>
      <c r="AI763" s="236">
        <f t="shared" ref="AI763:AI826" si="714">IF(AND(J763="x", AD763=5), 11, IF(AND(J763="x", AD763=6), 19, -100))</f>
        <v>-100</v>
      </c>
      <c r="AJ763" s="210"/>
      <c r="AK763" s="254"/>
      <c r="AL763" s="254"/>
      <c r="AM763" s="255"/>
      <c r="AN763" s="255"/>
      <c r="AO763" s="255"/>
      <c r="AP763" s="255"/>
      <c r="AQ763" s="255"/>
      <c r="AR763" s="255"/>
      <c r="AS763" s="255"/>
      <c r="AT763" s="255"/>
      <c r="AU763" s="255"/>
      <c r="AV763" s="255"/>
      <c r="AW763" s="255"/>
      <c r="AX763" s="210"/>
      <c r="AY763" s="236" cm="1">
        <f t="array" ref="AY763">INDEX(Use, $AD763, 4)</f>
        <v>7</v>
      </c>
      <c r="AZ763" s="236">
        <f t="shared" ref="AZ763:AZ826" si="715">MAX(25, AY763+25)</f>
        <v>32</v>
      </c>
      <c r="BA763" s="236">
        <f t="shared" si="703"/>
        <v>13</v>
      </c>
      <c r="BB763" s="236">
        <f t="shared" si="704"/>
        <v>0</v>
      </c>
      <c r="BC763" s="252" cm="1">
        <f t="array" ref="BC763">K763/IF($L763&gt;0, INDEX($AO$23:$AU$77, $L763+20, $AD763), 1)</f>
        <v>0</v>
      </c>
      <c r="BD763" s="237">
        <f t="shared" ref="BD763:BD826" si="716">P763 /  IF(AD763&lt;=2, 0.7 + 0.3 * (O763-20)/(35-20), 0.4 + 0.6 * (O763-5)/(35-5))</f>
        <v>0</v>
      </c>
      <c r="BE763" s="236">
        <v>35</v>
      </c>
      <c r="BF763" s="237">
        <f t="shared" ref="BF763:BF826" si="717">MAX($N763, MAX($AZ763, $BE763 + $BA763 + $BB763 + 0.35*$AG763*$BA763 + BD763))</f>
        <v>52.55</v>
      </c>
      <c r="BG763" s="253">
        <f t="shared" ref="BG763:BG826" si="718">0.45*($AY763+273.15)/(BF763-$AY763)</f>
        <v>2.7676728869374316</v>
      </c>
      <c r="BH763" s="253" cm="1">
        <f t="array" ref="BH763">$BC763 * SUMPRODUCT(INDEX($AL$77:$AN$82,,$AE763),INDEX($AO$77:$AU$82,,$AD763), N($AK$77:$AK$82&gt;$AI763)) / BG763 / 1000</f>
        <v>0</v>
      </c>
      <c r="BI763" s="250">
        <f t="shared" si="705"/>
        <v>30</v>
      </c>
      <c r="BJ763" s="237">
        <f t="shared" ref="BJ763:BJ826" si="719">MAX($N763, MAX($AZ763, BI763 + $BA763 + $BB763 + IF($AD763&lt;=2, (BI763-20)/(35-20), 0.6+0.4*(BI763-5)/(35-5))*0.35*$AG763*$BA763) + IF($AD763&lt;=2,0.9,0.8)*$BD763)</f>
        <v>46.033333333333331</v>
      </c>
      <c r="BK763" s="253">
        <f t="shared" ref="BK763:BK826" si="720">0.45*($AY763+273.15)/(BJ763-$AY763)</f>
        <v>3.2297395388556791</v>
      </c>
      <c r="BL763" s="253" cm="1">
        <f t="array" ref="BL763">$BC763 * IF($AD763&lt;=2,
SUMPRODUCT(INDEX($AL$72:$AN$76,,$AE763), INDEX($AO$72:$AU$76,,$AD763), 1 / ($AV$72:$AV$76*BK763 + (1-$AV$72:$AV$76)*BG763), N($AK$72:$AK$76&gt;$AI763)),
SUMPRODUCT(INDEX($AL$67:$AN$76,,$AE763), INDEX($AO$67:$AU$76,,$AD763), 1 / ($AW$67:$AW$76*BK763 + (1-$AW$67:$AW$76)*BG763), N($AK$67:$AK$76&gt;$AI763))
) / 1000</f>
        <v>0</v>
      </c>
      <c r="BM763" s="250">
        <f t="shared" si="706"/>
        <v>25</v>
      </c>
      <c r="BN763" s="237">
        <f t="shared" ref="BN763:BN826" si="721">MAX($N763, MAX($AZ763, BM763 + $BA763 + $BB763 + IF($AD763&lt;=2, (BM763-20)/(35-20), 0.6+0.4*(BM763-5)/(35-5))*0.35*$AG763*$BA763) + IF($AD763&lt;=2,0.8,0.6)*$BD763)</f>
        <v>39.516666666666666</v>
      </c>
      <c r="BO763" s="253">
        <f t="shared" ref="BO763:BO826" si="722">0.45*($AY763+273.15)/(BN763-$AY763)</f>
        <v>3.877011788826243</v>
      </c>
      <c r="BP763" s="253" cm="1">
        <f t="array" ref="BP763">$BC763 * IF($AD763&lt;=2,
SUMPRODUCT(INDEX($AL$67:$AN$71,,$AE763), INDEX($AO$67:$AU$71,,$AD763), 1 / ($AV$67:$AV$71*BO763 + (1-$AV$67:$AV$71)*BK763), N($AK$67:$AK$71&gt;$AI763)),
SUMPRODUCT(INDEX($AL$57:$AN$66,,$AE763), INDEX($AO$57:$AU$66,,$AD763), 1 / ($AW$57:$AW$66*BO763 + (1-$AW$57:$AW$66)*BK763), N($AK$57:$AK$66&gt;$AI763))
) / 1000</f>
        <v>0</v>
      </c>
      <c r="BQ763" s="250">
        <f t="shared" si="707"/>
        <v>20</v>
      </c>
      <c r="BR763" s="237">
        <f t="shared" ref="BR763:BR826" si="723">MAX($N763, MAX($AZ763, BQ763 + $BA763 + $BB763 + IF($AD763&lt;=2, (BQ763-20)/(35-20), 0.6+0.4*(BQ763-5)/(35-5))*0.35*$AG763*$BA763) + IF($AD763&lt;=2,0.7,0.4)*$BD763)</f>
        <v>33</v>
      </c>
      <c r="BS763" s="253">
        <f t="shared" ref="BS763:BS826" si="724">0.45*($AY763+273.15)/(BR763-$AY763)</f>
        <v>4.8487499999999999</v>
      </c>
      <c r="BT763" s="253" cm="1">
        <f t="array" ref="BT763">$BC763 * IF($AD763&lt;=2,
SUMPRODUCT(INDEX($AL$62:$AN$66,,$AE763), INDEX($AO$62:$AU$66,,$AD763), 1 / ($AV$62:$AV$66*BS763 + (1-$AV$62:$AV$66)*BO763), N($AK$62:$AK$66&gt;$AI763)),
SUMPRODUCT(INDEX($AL$47:$AN$56,,$AE763), INDEX($AO$47:$AU$56,,$AD763), 1 / ($AW$47:$AW$56*BS763 + (1-$AW$47:$AW$56)*BO763), N($AK$47:$AK$56&gt;$AI763))
) / 1000</f>
        <v>0</v>
      </c>
      <c r="BU763" s="253" cm="1">
        <f t="array" ref="BU763">$BC763 * IF($AD763&lt;=2,
SUMPRODUCT(INDEX($AL$23:$AN$61,,$AE763), INDEX($AO$23:$AU$61,,$AD763), 1 / ($AV$23:$AV$61*BS763), N($AK$23:$AK$61&gt;$AI763)),
SUMPRODUCT(INDEX($AL$23:$AN$46,,$AE763), INDEX($AO$23:$AU$46,,$AD763), 1 / ($AW$23:$AW$46*BS763), N($AK$23:$AK$46&gt;$AI763))
) / 1000</f>
        <v>0</v>
      </c>
      <c r="BV763" s="237">
        <f t="shared" ref="BV763:BV826" si="725">BH763+BL763+BP763+BT763+BU763</f>
        <v>0</v>
      </c>
      <c r="BW763" s="210"/>
      <c r="BX763" s="237">
        <f t="shared" ref="BX763:BX826" si="726">U763 /  IF(AD763&lt;=2, 0.7 + 0.3 * (T763-20)/(35-20), 0.4 + 0.6 * (T763-5)/(35-5))</f>
        <v>0</v>
      </c>
      <c r="BY763" s="236">
        <v>35</v>
      </c>
      <c r="BZ763" s="237">
        <f t="shared" ref="BZ763:BZ826" si="727">MAX($S763, MAX($AZ763, $BE763 + $BA763 + $BB763 + 0.35*$AH763*$BA763 + BX763))</f>
        <v>48</v>
      </c>
      <c r="CA763" s="253">
        <f t="shared" ref="CA763:CA826" si="728">0.45*($AY763+273.15)/(BZ763-$AY763)</f>
        <v>3.0748170731707316</v>
      </c>
      <c r="CB763" s="253" cm="1">
        <f t="array" ref="CB763">$BC763 * SUMPRODUCT(INDEX($AL$77:$AN$82,,$AE763),INDEX($AO$77:$AU$82,,$AD763), N($AK$77:$AK$82&gt;$AI763)) / CA763 / 1000</f>
        <v>0</v>
      </c>
      <c r="CC763" s="250">
        <f t="shared" si="708"/>
        <v>30</v>
      </c>
      <c r="CD763" s="237">
        <f t="shared" ref="CD763:CD826" si="729">MAX($S763, MAX($AZ763, CC763 + $BA763 + $BB763 + IF($AD763&lt;=2, (CC763-20)/(35-20), 0.6+0.4*(CC763-5)/(35-5))*0.35*$AH763*$BA763) + IF($AD763&lt;=2,0.9,0.8)*$BX763)</f>
        <v>43</v>
      </c>
      <c r="CE763" s="253">
        <f t="shared" ref="CE763:CE826" si="730">0.45*($AY763+273.15)/(CD763-$AY763)</f>
        <v>3.5018750000000001</v>
      </c>
      <c r="CF763" s="253" cm="1">
        <f t="array" ref="CF763">$BC763 * IF($AD763&lt;=2,
SUMPRODUCT(INDEX($AL$72:$AN$76,,$AE763), INDEX($AO$72:$AU$76,,$AD763), 1 / ($AV$72:$AV$76*CE763 + (1-$AV$72:$AV$76)*CA763), N($AK$72:$AK$76&gt;$AI763)),
SUMPRODUCT(INDEX($AL$67:$AN$76,,$AE763), INDEX($AO$67:$AU$76,,$AD763), 1 / ($AW$67:$AW$76*CE763 + (1-$AW$67:$AW$76)*CA763), N($AK$67:$AK$76&gt;$AI763))
) / 1000</f>
        <v>0</v>
      </c>
      <c r="CG763" s="250">
        <f t="shared" si="709"/>
        <v>25</v>
      </c>
      <c r="CH763" s="237">
        <f t="shared" ref="CH763:CH826" si="731">MAX($S763, MAX($AZ763, CG763 + $BA763 + $BB763 + IF($AD763&lt;=2, (CG763-20)/(35-20), 0.6+0.4*(CG763-5)/(35-5))*0.35*$AH763*$BA763) + IF($AD763&lt;=2,0.8,0.6)*$BX763)</f>
        <v>38</v>
      </c>
      <c r="CI763" s="253">
        <f t="shared" ref="CI763:CI826" si="732">0.45*($AY763+273.15)/(CH763-$AY763)</f>
        <v>4.0666935483870965</v>
      </c>
      <c r="CJ763" s="253" cm="1">
        <f t="array" ref="CJ763">$BC763 * IF($AD763&lt;=2,
SUMPRODUCT(INDEX($AL$67:$AN$71,,$AE763), INDEX($AO$67:$AU$71,,$AD763), 1 / ($AV$67:$AV$71*CI763 + (1-$AV$67:$AV$71)*CE763), N($AK$67:$AK$71&gt;$AI763)),
SUMPRODUCT(INDEX($AL$57:$AN$66,,$AE763), INDEX($AO$57:$AU$66,,$AD763), 1 / ($AW$57:$AW$66*CI763 + (1-$AW$57:$AW$66)*CE763), N($AK$57:$AK$66&gt;$AI763))
) / 1000</f>
        <v>0</v>
      </c>
      <c r="CK763" s="250">
        <f t="shared" si="710"/>
        <v>20</v>
      </c>
      <c r="CL763" s="237">
        <f t="shared" ref="CL763:CL826" si="733">MAX($S763, MAX($AZ763, CK763 + $BA763 + $BB763 + IF($AD763&lt;=2, (CK763-20)/(35-20), 0.6+0.4*(CK763-5)/(35-5))*0.35*$AH763*$BA763) + IF($AD763&lt;=2,0.7,0.4)*$BX763)</f>
        <v>33</v>
      </c>
      <c r="CM763" s="253">
        <f t="shared" ref="CM763:CM826" si="734">0.45*($AY763+273.15)/(CL763-$AY763)</f>
        <v>4.8487499999999999</v>
      </c>
      <c r="CN763" s="253" cm="1">
        <f t="array" ref="CN763">$BC763 * IF($AD763&lt;=2,
SUMPRODUCT(INDEX($AL$62:$AN$66,,$AE763), INDEX($AO$62:$AU$66,,$AD763), 1 / ($AV$62:$AV$66*CM763 + (1-$AV$62:$AV$66)*CI763), N($AK$62:$AK$66&gt;$AI763)),
SUMPRODUCT(INDEX($AL$47:$AN$56,,$AE763), INDEX($AO$47:$AU$56,,$AD763), 1 / ($AW$47:$AW$56*CM763 + (1-$AW$47:$AW$56)*CI763), N($AK$47:$AK$56&gt;$AI763))
) / 1000</f>
        <v>0</v>
      </c>
      <c r="CO763" s="253" cm="1">
        <f t="array" ref="CO763">$BC763 * IF($AD763&lt;=2,
SUMPRODUCT(INDEX($AL$23:$AN$61,,$AE763), INDEX($AO$23:$AU$61,,$AD763), 1 / ($AV$23:$AV$61*CM763), N($AK$23:$AK$61&gt;$AI763)),
SUMPRODUCT(INDEX($AL$23:$AN$46,,$AE763), INDEX($AO$23:$AU$46,,$AD763), 1 / ($AW$23:$AW$46*CM763), N($AK$23:$AK$46&gt;$AI763))
) / 1000</f>
        <v>0</v>
      </c>
      <c r="CP763" s="237">
        <f t="shared" ref="CP763:CP826" si="735">CB763+CF763+CJ763+CN763+CO763</f>
        <v>0</v>
      </c>
      <c r="CQ763" s="210"/>
    </row>
    <row r="764" spans="1:95" s="76" customFormat="1" ht="14.25" customHeight="1" x14ac:dyDescent="0.2">
      <c r="A764" s="238" t="b">
        <f t="shared" si="702"/>
        <v>0</v>
      </c>
      <c r="B764" s="239">
        <v>742</v>
      </c>
      <c r="C764" s="258"/>
      <c r="D764" s="258"/>
      <c r="E764" s="240"/>
      <c r="F764" s="241" t="str">
        <f>IF(ISBLANK(E764), "", VLOOKUP(E764, Z!$A$2:$C$4127, 3, FALSE))</f>
        <v/>
      </c>
      <c r="G764" s="242"/>
      <c r="H764" s="242"/>
      <c r="I764" s="243"/>
      <c r="J764" s="244"/>
      <c r="K764" s="259"/>
      <c r="L764" s="260"/>
      <c r="M764" s="247" t="str" cm="1">
        <f t="array" ref="M764">IF($K764&gt;0, INDEX(Clean,1+AG764,$C$1), "")</f>
        <v/>
      </c>
      <c r="N764" s="245"/>
      <c r="O764" s="245"/>
      <c r="P764" s="246"/>
      <c r="Q764" s="248">
        <f t="shared" si="712"/>
        <v>0</v>
      </c>
      <c r="R764" s="247" t="str" cm="1">
        <f t="array" ref="R764">IF($K764&gt;0, INDEX(Clean,1+AH764,$C$1), "")</f>
        <v/>
      </c>
      <c r="S764" s="245"/>
      <c r="T764" s="245"/>
      <c r="U764" s="246"/>
      <c r="V764" s="248">
        <f t="shared" si="713"/>
        <v>0</v>
      </c>
      <c r="W764" s="261"/>
      <c r="X764" s="258"/>
      <c r="Y764" s="240"/>
      <c r="Z764" s="241" t="str">
        <f>IF(ISBLANK(Y764), "", VLOOKUP(Y764, Z!$A$2:$C$4127, 3, FALSE))</f>
        <v/>
      </c>
      <c r="AA764" s="262"/>
      <c r="AB764" s="249">
        <f t="shared" si="711"/>
        <v>0</v>
      </c>
      <c r="AC764" s="210"/>
      <c r="AD764" s="236">
        <f t="shared" ref="AD764:AD827" si="736">IF(ISBLANK(H764), 1, IFERROR(MATCH(H764, INDEX(Use,,1), 0), IFERROR(MATCH(H764, INDEX(Use,,2), 0), MATCH(H764, INDEX(Use,,3), 0))))</f>
        <v>1</v>
      </c>
      <c r="AE764" s="236">
        <f t="shared" ref="AE764:AE827" si="737">IF(ISBLANK(G764), 1, IFERROR(MATCH(G764, INDEX(Loc,,1), 0), IFERROR(MATCH(G764, INDEX(Loc,,2), 0), MATCH(G764, INDEX(Loc,,3), 0))))</f>
        <v>1</v>
      </c>
      <c r="AF764" s="236">
        <f t="shared" ref="AF764:AF827" si="738">_xlfn.IFNA(IF(IFERROR(MATCH(I764, INDEX(Medium,,1), 0), IFERROR(MATCH(I764, INDEX(Medium,,2), 0), MATCH(I764, INDEX(Medium,,3), 0))) = 2, 1, 0), 0)</f>
        <v>0</v>
      </c>
      <c r="AG764" s="236">
        <v>1</v>
      </c>
      <c r="AH764" s="236">
        <v>0</v>
      </c>
      <c r="AI764" s="236">
        <f t="shared" si="714"/>
        <v>-100</v>
      </c>
      <c r="AJ764" s="210"/>
      <c r="AK764" s="254"/>
      <c r="AL764" s="254"/>
      <c r="AM764" s="255"/>
      <c r="AN764" s="255"/>
      <c r="AO764" s="255"/>
      <c r="AP764" s="255"/>
      <c r="AQ764" s="255"/>
      <c r="AR764" s="255"/>
      <c r="AS764" s="255"/>
      <c r="AT764" s="255"/>
      <c r="AU764" s="255"/>
      <c r="AV764" s="255"/>
      <c r="AW764" s="255"/>
      <c r="AX764" s="210"/>
      <c r="AY764" s="236" cm="1">
        <f t="array" ref="AY764">INDEX(Use, $AD764, 4)</f>
        <v>7</v>
      </c>
      <c r="AZ764" s="236">
        <f t="shared" si="715"/>
        <v>32</v>
      </c>
      <c r="BA764" s="236">
        <f t="shared" si="703"/>
        <v>13</v>
      </c>
      <c r="BB764" s="236">
        <f t="shared" si="704"/>
        <v>0</v>
      </c>
      <c r="BC764" s="252" cm="1">
        <f t="array" ref="BC764">K764/IF($L764&gt;0, INDEX($AO$23:$AU$77, $L764+20, $AD764), 1)</f>
        <v>0</v>
      </c>
      <c r="BD764" s="237">
        <f t="shared" si="716"/>
        <v>0</v>
      </c>
      <c r="BE764" s="236">
        <v>35</v>
      </c>
      <c r="BF764" s="237">
        <f t="shared" si="717"/>
        <v>52.55</v>
      </c>
      <c r="BG764" s="253">
        <f t="shared" si="718"/>
        <v>2.7676728869374316</v>
      </c>
      <c r="BH764" s="253" cm="1">
        <f t="array" ref="BH764">$BC764 * SUMPRODUCT(INDEX($AL$77:$AN$82,,$AE764),INDEX($AO$77:$AU$82,,$AD764), N($AK$77:$AK$82&gt;$AI764)) / BG764 / 1000</f>
        <v>0</v>
      </c>
      <c r="BI764" s="250">
        <f t="shared" si="705"/>
        <v>30</v>
      </c>
      <c r="BJ764" s="237">
        <f t="shared" si="719"/>
        <v>46.033333333333331</v>
      </c>
      <c r="BK764" s="253">
        <f t="shared" si="720"/>
        <v>3.2297395388556791</v>
      </c>
      <c r="BL764" s="253" cm="1">
        <f t="array" ref="BL764">$BC764 * IF($AD764&lt;=2,
SUMPRODUCT(INDEX($AL$72:$AN$76,,$AE764), INDEX($AO$72:$AU$76,,$AD764), 1 / ($AV$72:$AV$76*BK764 + (1-$AV$72:$AV$76)*BG764), N($AK$72:$AK$76&gt;$AI764)),
SUMPRODUCT(INDEX($AL$67:$AN$76,,$AE764), INDEX($AO$67:$AU$76,,$AD764), 1 / ($AW$67:$AW$76*BK764 + (1-$AW$67:$AW$76)*BG764), N($AK$67:$AK$76&gt;$AI764))
) / 1000</f>
        <v>0</v>
      </c>
      <c r="BM764" s="250">
        <f t="shared" si="706"/>
        <v>25</v>
      </c>
      <c r="BN764" s="237">
        <f t="shared" si="721"/>
        <v>39.516666666666666</v>
      </c>
      <c r="BO764" s="253">
        <f t="shared" si="722"/>
        <v>3.877011788826243</v>
      </c>
      <c r="BP764" s="253" cm="1">
        <f t="array" ref="BP764">$BC764 * IF($AD764&lt;=2,
SUMPRODUCT(INDEX($AL$67:$AN$71,,$AE764), INDEX($AO$67:$AU$71,,$AD764), 1 / ($AV$67:$AV$71*BO764 + (1-$AV$67:$AV$71)*BK764), N($AK$67:$AK$71&gt;$AI764)),
SUMPRODUCT(INDEX($AL$57:$AN$66,,$AE764), INDEX($AO$57:$AU$66,,$AD764), 1 / ($AW$57:$AW$66*BO764 + (1-$AW$57:$AW$66)*BK764), N($AK$57:$AK$66&gt;$AI764))
) / 1000</f>
        <v>0</v>
      </c>
      <c r="BQ764" s="250">
        <f t="shared" si="707"/>
        <v>20</v>
      </c>
      <c r="BR764" s="237">
        <f t="shared" si="723"/>
        <v>33</v>
      </c>
      <c r="BS764" s="253">
        <f t="shared" si="724"/>
        <v>4.8487499999999999</v>
      </c>
      <c r="BT764" s="253" cm="1">
        <f t="array" ref="BT764">$BC764 * IF($AD764&lt;=2,
SUMPRODUCT(INDEX($AL$62:$AN$66,,$AE764), INDEX($AO$62:$AU$66,,$AD764), 1 / ($AV$62:$AV$66*BS764 + (1-$AV$62:$AV$66)*BO764), N($AK$62:$AK$66&gt;$AI764)),
SUMPRODUCT(INDEX($AL$47:$AN$56,,$AE764), INDEX($AO$47:$AU$56,,$AD764), 1 / ($AW$47:$AW$56*BS764 + (1-$AW$47:$AW$56)*BO764), N($AK$47:$AK$56&gt;$AI764))
) / 1000</f>
        <v>0</v>
      </c>
      <c r="BU764" s="253" cm="1">
        <f t="array" ref="BU764">$BC764 * IF($AD764&lt;=2,
SUMPRODUCT(INDEX($AL$23:$AN$61,,$AE764), INDEX($AO$23:$AU$61,,$AD764), 1 / ($AV$23:$AV$61*BS764), N($AK$23:$AK$61&gt;$AI764)),
SUMPRODUCT(INDEX($AL$23:$AN$46,,$AE764), INDEX($AO$23:$AU$46,,$AD764), 1 / ($AW$23:$AW$46*BS764), N($AK$23:$AK$46&gt;$AI764))
) / 1000</f>
        <v>0</v>
      </c>
      <c r="BV764" s="237">
        <f t="shared" si="725"/>
        <v>0</v>
      </c>
      <c r="BW764" s="210"/>
      <c r="BX764" s="237">
        <f t="shared" si="726"/>
        <v>0</v>
      </c>
      <c r="BY764" s="236">
        <v>35</v>
      </c>
      <c r="BZ764" s="237">
        <f t="shared" si="727"/>
        <v>48</v>
      </c>
      <c r="CA764" s="253">
        <f t="shared" si="728"/>
        <v>3.0748170731707316</v>
      </c>
      <c r="CB764" s="253" cm="1">
        <f t="array" ref="CB764">$BC764 * SUMPRODUCT(INDEX($AL$77:$AN$82,,$AE764),INDEX($AO$77:$AU$82,,$AD764), N($AK$77:$AK$82&gt;$AI764)) / CA764 / 1000</f>
        <v>0</v>
      </c>
      <c r="CC764" s="250">
        <f t="shared" si="708"/>
        <v>30</v>
      </c>
      <c r="CD764" s="237">
        <f t="shared" si="729"/>
        <v>43</v>
      </c>
      <c r="CE764" s="253">
        <f t="shared" si="730"/>
        <v>3.5018750000000001</v>
      </c>
      <c r="CF764" s="253" cm="1">
        <f t="array" ref="CF764">$BC764 * IF($AD764&lt;=2,
SUMPRODUCT(INDEX($AL$72:$AN$76,,$AE764), INDEX($AO$72:$AU$76,,$AD764), 1 / ($AV$72:$AV$76*CE764 + (1-$AV$72:$AV$76)*CA764), N($AK$72:$AK$76&gt;$AI764)),
SUMPRODUCT(INDEX($AL$67:$AN$76,,$AE764), INDEX($AO$67:$AU$76,,$AD764), 1 / ($AW$67:$AW$76*CE764 + (1-$AW$67:$AW$76)*CA764), N($AK$67:$AK$76&gt;$AI764))
) / 1000</f>
        <v>0</v>
      </c>
      <c r="CG764" s="250">
        <f t="shared" si="709"/>
        <v>25</v>
      </c>
      <c r="CH764" s="237">
        <f t="shared" si="731"/>
        <v>38</v>
      </c>
      <c r="CI764" s="253">
        <f t="shared" si="732"/>
        <v>4.0666935483870965</v>
      </c>
      <c r="CJ764" s="253" cm="1">
        <f t="array" ref="CJ764">$BC764 * IF($AD764&lt;=2,
SUMPRODUCT(INDEX($AL$67:$AN$71,,$AE764), INDEX($AO$67:$AU$71,,$AD764), 1 / ($AV$67:$AV$71*CI764 + (1-$AV$67:$AV$71)*CE764), N($AK$67:$AK$71&gt;$AI764)),
SUMPRODUCT(INDEX($AL$57:$AN$66,,$AE764), INDEX($AO$57:$AU$66,,$AD764), 1 / ($AW$57:$AW$66*CI764 + (1-$AW$57:$AW$66)*CE764), N($AK$57:$AK$66&gt;$AI764))
) / 1000</f>
        <v>0</v>
      </c>
      <c r="CK764" s="250">
        <f t="shared" si="710"/>
        <v>20</v>
      </c>
      <c r="CL764" s="237">
        <f t="shared" si="733"/>
        <v>33</v>
      </c>
      <c r="CM764" s="253">
        <f t="shared" si="734"/>
        <v>4.8487499999999999</v>
      </c>
      <c r="CN764" s="253" cm="1">
        <f t="array" ref="CN764">$BC764 * IF($AD764&lt;=2,
SUMPRODUCT(INDEX($AL$62:$AN$66,,$AE764), INDEX($AO$62:$AU$66,,$AD764), 1 / ($AV$62:$AV$66*CM764 + (1-$AV$62:$AV$66)*CI764), N($AK$62:$AK$66&gt;$AI764)),
SUMPRODUCT(INDEX($AL$47:$AN$56,,$AE764), INDEX($AO$47:$AU$56,,$AD764), 1 / ($AW$47:$AW$56*CM764 + (1-$AW$47:$AW$56)*CI764), N($AK$47:$AK$56&gt;$AI764))
) / 1000</f>
        <v>0</v>
      </c>
      <c r="CO764" s="253" cm="1">
        <f t="array" ref="CO764">$BC764 * IF($AD764&lt;=2,
SUMPRODUCT(INDEX($AL$23:$AN$61,,$AE764), INDEX($AO$23:$AU$61,,$AD764), 1 / ($AV$23:$AV$61*CM764), N($AK$23:$AK$61&gt;$AI764)),
SUMPRODUCT(INDEX($AL$23:$AN$46,,$AE764), INDEX($AO$23:$AU$46,,$AD764), 1 / ($AW$23:$AW$46*CM764), N($AK$23:$AK$46&gt;$AI764))
) / 1000</f>
        <v>0</v>
      </c>
      <c r="CP764" s="237">
        <f t="shared" si="735"/>
        <v>0</v>
      </c>
      <c r="CQ764" s="210"/>
    </row>
    <row r="765" spans="1:95" s="76" customFormat="1" ht="14.25" customHeight="1" x14ac:dyDescent="0.2">
      <c r="A765" s="238" t="b">
        <f t="shared" si="702"/>
        <v>0</v>
      </c>
      <c r="B765" s="239">
        <v>743</v>
      </c>
      <c r="C765" s="258"/>
      <c r="D765" s="258"/>
      <c r="E765" s="240"/>
      <c r="F765" s="241" t="str">
        <f>IF(ISBLANK(E765), "", VLOOKUP(E765, Z!$A$2:$C$4127, 3, FALSE))</f>
        <v/>
      </c>
      <c r="G765" s="242"/>
      <c r="H765" s="242"/>
      <c r="I765" s="243"/>
      <c r="J765" s="244"/>
      <c r="K765" s="259"/>
      <c r="L765" s="260"/>
      <c r="M765" s="247" t="str" cm="1">
        <f t="array" ref="M765">IF($K765&gt;0, INDEX(Clean,1+AG765,$C$1), "")</f>
        <v/>
      </c>
      <c r="N765" s="245"/>
      <c r="O765" s="245"/>
      <c r="P765" s="246"/>
      <c r="Q765" s="248">
        <f t="shared" si="712"/>
        <v>0</v>
      </c>
      <c r="R765" s="247" t="str" cm="1">
        <f t="array" ref="R765">IF($K765&gt;0, INDEX(Clean,1+AH765,$C$1), "")</f>
        <v/>
      </c>
      <c r="S765" s="245"/>
      <c r="T765" s="245"/>
      <c r="U765" s="246"/>
      <c r="V765" s="248">
        <f t="shared" si="713"/>
        <v>0</v>
      </c>
      <c r="W765" s="261"/>
      <c r="X765" s="258"/>
      <c r="Y765" s="240"/>
      <c r="Z765" s="241" t="str">
        <f>IF(ISBLANK(Y765), "", VLOOKUP(Y765, Z!$A$2:$C$4127, 3, FALSE))</f>
        <v/>
      </c>
      <c r="AA765" s="262"/>
      <c r="AB765" s="249">
        <f t="shared" si="711"/>
        <v>0</v>
      </c>
      <c r="AC765" s="210"/>
      <c r="AD765" s="236">
        <f t="shared" si="736"/>
        <v>1</v>
      </c>
      <c r="AE765" s="236">
        <f t="shared" si="737"/>
        <v>1</v>
      </c>
      <c r="AF765" s="236">
        <f t="shared" si="738"/>
        <v>0</v>
      </c>
      <c r="AG765" s="236">
        <v>1</v>
      </c>
      <c r="AH765" s="236">
        <v>0</v>
      </c>
      <c r="AI765" s="236">
        <f t="shared" si="714"/>
        <v>-100</v>
      </c>
      <c r="AJ765" s="210"/>
      <c r="AK765" s="254"/>
      <c r="AL765" s="254"/>
      <c r="AM765" s="255"/>
      <c r="AN765" s="255"/>
      <c r="AO765" s="255"/>
      <c r="AP765" s="255"/>
      <c r="AQ765" s="255"/>
      <c r="AR765" s="255"/>
      <c r="AS765" s="255"/>
      <c r="AT765" s="255"/>
      <c r="AU765" s="255"/>
      <c r="AV765" s="255"/>
      <c r="AW765" s="255"/>
      <c r="AX765" s="210"/>
      <c r="AY765" s="236" cm="1">
        <f t="array" ref="AY765">INDEX(Use, $AD765, 4)</f>
        <v>7</v>
      </c>
      <c r="AZ765" s="236">
        <f t="shared" si="715"/>
        <v>32</v>
      </c>
      <c r="BA765" s="236">
        <f t="shared" si="703"/>
        <v>13</v>
      </c>
      <c r="BB765" s="236">
        <f t="shared" si="704"/>
        <v>0</v>
      </c>
      <c r="BC765" s="252" cm="1">
        <f t="array" ref="BC765">K765/IF($L765&gt;0, INDEX($AO$23:$AU$77, $L765+20, $AD765), 1)</f>
        <v>0</v>
      </c>
      <c r="BD765" s="237">
        <f t="shared" si="716"/>
        <v>0</v>
      </c>
      <c r="BE765" s="236">
        <v>35</v>
      </c>
      <c r="BF765" s="237">
        <f t="shared" si="717"/>
        <v>52.55</v>
      </c>
      <c r="BG765" s="253">
        <f t="shared" si="718"/>
        <v>2.7676728869374316</v>
      </c>
      <c r="BH765" s="253" cm="1">
        <f t="array" ref="BH765">$BC765 * SUMPRODUCT(INDEX($AL$77:$AN$82,,$AE765),INDEX($AO$77:$AU$82,,$AD765), N($AK$77:$AK$82&gt;$AI765)) / BG765 / 1000</f>
        <v>0</v>
      </c>
      <c r="BI765" s="250">
        <f t="shared" si="705"/>
        <v>30</v>
      </c>
      <c r="BJ765" s="237">
        <f t="shared" si="719"/>
        <v>46.033333333333331</v>
      </c>
      <c r="BK765" s="253">
        <f t="shared" si="720"/>
        <v>3.2297395388556791</v>
      </c>
      <c r="BL765" s="253" cm="1">
        <f t="array" ref="BL765">$BC765 * IF($AD765&lt;=2,
SUMPRODUCT(INDEX($AL$72:$AN$76,,$AE765), INDEX($AO$72:$AU$76,,$AD765), 1 / ($AV$72:$AV$76*BK765 + (1-$AV$72:$AV$76)*BG765), N($AK$72:$AK$76&gt;$AI765)),
SUMPRODUCT(INDEX($AL$67:$AN$76,,$AE765), INDEX($AO$67:$AU$76,,$AD765), 1 / ($AW$67:$AW$76*BK765 + (1-$AW$67:$AW$76)*BG765), N($AK$67:$AK$76&gt;$AI765))
) / 1000</f>
        <v>0</v>
      </c>
      <c r="BM765" s="250">
        <f t="shared" si="706"/>
        <v>25</v>
      </c>
      <c r="BN765" s="237">
        <f t="shared" si="721"/>
        <v>39.516666666666666</v>
      </c>
      <c r="BO765" s="253">
        <f t="shared" si="722"/>
        <v>3.877011788826243</v>
      </c>
      <c r="BP765" s="253" cm="1">
        <f t="array" ref="BP765">$BC765 * IF($AD765&lt;=2,
SUMPRODUCT(INDEX($AL$67:$AN$71,,$AE765), INDEX($AO$67:$AU$71,,$AD765), 1 / ($AV$67:$AV$71*BO765 + (1-$AV$67:$AV$71)*BK765), N($AK$67:$AK$71&gt;$AI765)),
SUMPRODUCT(INDEX($AL$57:$AN$66,,$AE765), INDEX($AO$57:$AU$66,,$AD765), 1 / ($AW$57:$AW$66*BO765 + (1-$AW$57:$AW$66)*BK765), N($AK$57:$AK$66&gt;$AI765))
) / 1000</f>
        <v>0</v>
      </c>
      <c r="BQ765" s="250">
        <f t="shared" si="707"/>
        <v>20</v>
      </c>
      <c r="BR765" s="237">
        <f t="shared" si="723"/>
        <v>33</v>
      </c>
      <c r="BS765" s="253">
        <f t="shared" si="724"/>
        <v>4.8487499999999999</v>
      </c>
      <c r="BT765" s="253" cm="1">
        <f t="array" ref="BT765">$BC765 * IF($AD765&lt;=2,
SUMPRODUCT(INDEX($AL$62:$AN$66,,$AE765), INDEX($AO$62:$AU$66,,$AD765), 1 / ($AV$62:$AV$66*BS765 + (1-$AV$62:$AV$66)*BO765), N($AK$62:$AK$66&gt;$AI765)),
SUMPRODUCT(INDEX($AL$47:$AN$56,,$AE765), INDEX($AO$47:$AU$56,,$AD765), 1 / ($AW$47:$AW$56*BS765 + (1-$AW$47:$AW$56)*BO765), N($AK$47:$AK$56&gt;$AI765))
) / 1000</f>
        <v>0</v>
      </c>
      <c r="BU765" s="253" cm="1">
        <f t="array" ref="BU765">$BC765 * IF($AD765&lt;=2,
SUMPRODUCT(INDEX($AL$23:$AN$61,,$AE765), INDEX($AO$23:$AU$61,,$AD765), 1 / ($AV$23:$AV$61*BS765), N($AK$23:$AK$61&gt;$AI765)),
SUMPRODUCT(INDEX($AL$23:$AN$46,,$AE765), INDEX($AO$23:$AU$46,,$AD765), 1 / ($AW$23:$AW$46*BS765), N($AK$23:$AK$46&gt;$AI765))
) / 1000</f>
        <v>0</v>
      </c>
      <c r="BV765" s="237">
        <f t="shared" si="725"/>
        <v>0</v>
      </c>
      <c r="BW765" s="210"/>
      <c r="BX765" s="237">
        <f t="shared" si="726"/>
        <v>0</v>
      </c>
      <c r="BY765" s="236">
        <v>35</v>
      </c>
      <c r="BZ765" s="237">
        <f t="shared" si="727"/>
        <v>48</v>
      </c>
      <c r="CA765" s="253">
        <f t="shared" si="728"/>
        <v>3.0748170731707316</v>
      </c>
      <c r="CB765" s="253" cm="1">
        <f t="array" ref="CB765">$BC765 * SUMPRODUCT(INDEX($AL$77:$AN$82,,$AE765),INDEX($AO$77:$AU$82,,$AD765), N($AK$77:$AK$82&gt;$AI765)) / CA765 / 1000</f>
        <v>0</v>
      </c>
      <c r="CC765" s="250">
        <f t="shared" si="708"/>
        <v>30</v>
      </c>
      <c r="CD765" s="237">
        <f t="shared" si="729"/>
        <v>43</v>
      </c>
      <c r="CE765" s="253">
        <f t="shared" si="730"/>
        <v>3.5018750000000001</v>
      </c>
      <c r="CF765" s="253" cm="1">
        <f t="array" ref="CF765">$BC765 * IF($AD765&lt;=2,
SUMPRODUCT(INDEX($AL$72:$AN$76,,$AE765), INDEX($AO$72:$AU$76,,$AD765), 1 / ($AV$72:$AV$76*CE765 + (1-$AV$72:$AV$76)*CA765), N($AK$72:$AK$76&gt;$AI765)),
SUMPRODUCT(INDEX($AL$67:$AN$76,,$AE765), INDEX($AO$67:$AU$76,,$AD765), 1 / ($AW$67:$AW$76*CE765 + (1-$AW$67:$AW$76)*CA765), N($AK$67:$AK$76&gt;$AI765))
) / 1000</f>
        <v>0</v>
      </c>
      <c r="CG765" s="250">
        <f t="shared" si="709"/>
        <v>25</v>
      </c>
      <c r="CH765" s="237">
        <f t="shared" si="731"/>
        <v>38</v>
      </c>
      <c r="CI765" s="253">
        <f t="shared" si="732"/>
        <v>4.0666935483870965</v>
      </c>
      <c r="CJ765" s="253" cm="1">
        <f t="array" ref="CJ765">$BC765 * IF($AD765&lt;=2,
SUMPRODUCT(INDEX($AL$67:$AN$71,,$AE765), INDEX($AO$67:$AU$71,,$AD765), 1 / ($AV$67:$AV$71*CI765 + (1-$AV$67:$AV$71)*CE765), N($AK$67:$AK$71&gt;$AI765)),
SUMPRODUCT(INDEX($AL$57:$AN$66,,$AE765), INDEX($AO$57:$AU$66,,$AD765), 1 / ($AW$57:$AW$66*CI765 + (1-$AW$57:$AW$66)*CE765), N($AK$57:$AK$66&gt;$AI765))
) / 1000</f>
        <v>0</v>
      </c>
      <c r="CK765" s="250">
        <f t="shared" si="710"/>
        <v>20</v>
      </c>
      <c r="CL765" s="237">
        <f t="shared" si="733"/>
        <v>33</v>
      </c>
      <c r="CM765" s="253">
        <f t="shared" si="734"/>
        <v>4.8487499999999999</v>
      </c>
      <c r="CN765" s="253" cm="1">
        <f t="array" ref="CN765">$BC765 * IF($AD765&lt;=2,
SUMPRODUCT(INDEX($AL$62:$AN$66,,$AE765), INDEX($AO$62:$AU$66,,$AD765), 1 / ($AV$62:$AV$66*CM765 + (1-$AV$62:$AV$66)*CI765), N($AK$62:$AK$66&gt;$AI765)),
SUMPRODUCT(INDEX($AL$47:$AN$56,,$AE765), INDEX($AO$47:$AU$56,,$AD765), 1 / ($AW$47:$AW$56*CM765 + (1-$AW$47:$AW$56)*CI765), N($AK$47:$AK$56&gt;$AI765))
) / 1000</f>
        <v>0</v>
      </c>
      <c r="CO765" s="253" cm="1">
        <f t="array" ref="CO765">$BC765 * IF($AD765&lt;=2,
SUMPRODUCT(INDEX($AL$23:$AN$61,,$AE765), INDEX($AO$23:$AU$61,,$AD765), 1 / ($AV$23:$AV$61*CM765), N($AK$23:$AK$61&gt;$AI765)),
SUMPRODUCT(INDEX($AL$23:$AN$46,,$AE765), INDEX($AO$23:$AU$46,,$AD765), 1 / ($AW$23:$AW$46*CM765), N($AK$23:$AK$46&gt;$AI765))
) / 1000</f>
        <v>0</v>
      </c>
      <c r="CP765" s="237">
        <f t="shared" si="735"/>
        <v>0</v>
      </c>
      <c r="CQ765" s="210"/>
    </row>
    <row r="766" spans="1:95" s="76" customFormat="1" ht="14.25" customHeight="1" x14ac:dyDescent="0.2">
      <c r="A766" s="238" t="b">
        <f t="shared" si="702"/>
        <v>0</v>
      </c>
      <c r="B766" s="239">
        <v>744</v>
      </c>
      <c r="C766" s="258"/>
      <c r="D766" s="258"/>
      <c r="E766" s="240"/>
      <c r="F766" s="241" t="str">
        <f>IF(ISBLANK(E766), "", VLOOKUP(E766, Z!$A$2:$C$4127, 3, FALSE))</f>
        <v/>
      </c>
      <c r="G766" s="242"/>
      <c r="H766" s="242"/>
      <c r="I766" s="243"/>
      <c r="J766" s="244"/>
      <c r="K766" s="259"/>
      <c r="L766" s="260"/>
      <c r="M766" s="247" t="str" cm="1">
        <f t="array" ref="M766">IF($K766&gt;0, INDEX(Clean,1+AG766,$C$1), "")</f>
        <v/>
      </c>
      <c r="N766" s="245"/>
      <c r="O766" s="245"/>
      <c r="P766" s="246"/>
      <c r="Q766" s="248">
        <f t="shared" si="712"/>
        <v>0</v>
      </c>
      <c r="R766" s="247" t="str" cm="1">
        <f t="array" ref="R766">IF($K766&gt;0, INDEX(Clean,1+AH766,$C$1), "")</f>
        <v/>
      </c>
      <c r="S766" s="245"/>
      <c r="T766" s="245"/>
      <c r="U766" s="246"/>
      <c r="V766" s="248">
        <f t="shared" si="713"/>
        <v>0</v>
      </c>
      <c r="W766" s="261"/>
      <c r="X766" s="258"/>
      <c r="Y766" s="240"/>
      <c r="Z766" s="241" t="str">
        <f>IF(ISBLANK(Y766), "", VLOOKUP(Y766, Z!$A$2:$C$4127, 3, FALSE))</f>
        <v/>
      </c>
      <c r="AA766" s="262"/>
      <c r="AB766" s="249">
        <f t="shared" si="711"/>
        <v>0</v>
      </c>
      <c r="AC766" s="210"/>
      <c r="AD766" s="236">
        <f t="shared" si="736"/>
        <v>1</v>
      </c>
      <c r="AE766" s="236">
        <f t="shared" si="737"/>
        <v>1</v>
      </c>
      <c r="AF766" s="236">
        <f t="shared" si="738"/>
        <v>0</v>
      </c>
      <c r="AG766" s="236">
        <v>1</v>
      </c>
      <c r="AH766" s="236">
        <v>0</v>
      </c>
      <c r="AI766" s="236">
        <f t="shared" si="714"/>
        <v>-100</v>
      </c>
      <c r="AJ766" s="210"/>
      <c r="AK766" s="254"/>
      <c r="AL766" s="254"/>
      <c r="AM766" s="255"/>
      <c r="AN766" s="255"/>
      <c r="AO766" s="255"/>
      <c r="AP766" s="255"/>
      <c r="AQ766" s="255"/>
      <c r="AR766" s="255"/>
      <c r="AS766" s="255"/>
      <c r="AT766" s="255"/>
      <c r="AU766" s="255"/>
      <c r="AV766" s="255"/>
      <c r="AW766" s="255"/>
      <c r="AX766" s="210"/>
      <c r="AY766" s="236" cm="1">
        <f t="array" ref="AY766">INDEX(Use, $AD766, 4)</f>
        <v>7</v>
      </c>
      <c r="AZ766" s="236">
        <f t="shared" si="715"/>
        <v>32</v>
      </c>
      <c r="BA766" s="236">
        <f t="shared" si="703"/>
        <v>13</v>
      </c>
      <c r="BB766" s="236">
        <f t="shared" si="704"/>
        <v>0</v>
      </c>
      <c r="BC766" s="252" cm="1">
        <f t="array" ref="BC766">K766/IF($L766&gt;0, INDEX($AO$23:$AU$77, $L766+20, $AD766), 1)</f>
        <v>0</v>
      </c>
      <c r="BD766" s="237">
        <f t="shared" si="716"/>
        <v>0</v>
      </c>
      <c r="BE766" s="236">
        <v>35</v>
      </c>
      <c r="BF766" s="237">
        <f t="shared" si="717"/>
        <v>52.55</v>
      </c>
      <c r="BG766" s="253">
        <f t="shared" si="718"/>
        <v>2.7676728869374316</v>
      </c>
      <c r="BH766" s="253" cm="1">
        <f t="array" ref="BH766">$BC766 * SUMPRODUCT(INDEX($AL$77:$AN$82,,$AE766),INDEX($AO$77:$AU$82,,$AD766), N($AK$77:$AK$82&gt;$AI766)) / BG766 / 1000</f>
        <v>0</v>
      </c>
      <c r="BI766" s="250">
        <f t="shared" si="705"/>
        <v>30</v>
      </c>
      <c r="BJ766" s="237">
        <f t="shared" si="719"/>
        <v>46.033333333333331</v>
      </c>
      <c r="BK766" s="253">
        <f t="shared" si="720"/>
        <v>3.2297395388556791</v>
      </c>
      <c r="BL766" s="253" cm="1">
        <f t="array" ref="BL766">$BC766 * IF($AD766&lt;=2,
SUMPRODUCT(INDEX($AL$72:$AN$76,,$AE766), INDEX($AO$72:$AU$76,,$AD766), 1 / ($AV$72:$AV$76*BK766 + (1-$AV$72:$AV$76)*BG766), N($AK$72:$AK$76&gt;$AI766)),
SUMPRODUCT(INDEX($AL$67:$AN$76,,$AE766), INDEX($AO$67:$AU$76,,$AD766), 1 / ($AW$67:$AW$76*BK766 + (1-$AW$67:$AW$76)*BG766), N($AK$67:$AK$76&gt;$AI766))
) / 1000</f>
        <v>0</v>
      </c>
      <c r="BM766" s="250">
        <f t="shared" si="706"/>
        <v>25</v>
      </c>
      <c r="BN766" s="237">
        <f t="shared" si="721"/>
        <v>39.516666666666666</v>
      </c>
      <c r="BO766" s="253">
        <f t="shared" si="722"/>
        <v>3.877011788826243</v>
      </c>
      <c r="BP766" s="253" cm="1">
        <f t="array" ref="BP766">$BC766 * IF($AD766&lt;=2,
SUMPRODUCT(INDEX($AL$67:$AN$71,,$AE766), INDEX($AO$67:$AU$71,,$AD766), 1 / ($AV$67:$AV$71*BO766 + (1-$AV$67:$AV$71)*BK766), N($AK$67:$AK$71&gt;$AI766)),
SUMPRODUCT(INDEX($AL$57:$AN$66,,$AE766), INDEX($AO$57:$AU$66,,$AD766), 1 / ($AW$57:$AW$66*BO766 + (1-$AW$57:$AW$66)*BK766), N($AK$57:$AK$66&gt;$AI766))
) / 1000</f>
        <v>0</v>
      </c>
      <c r="BQ766" s="250">
        <f t="shared" si="707"/>
        <v>20</v>
      </c>
      <c r="BR766" s="237">
        <f t="shared" si="723"/>
        <v>33</v>
      </c>
      <c r="BS766" s="253">
        <f t="shared" si="724"/>
        <v>4.8487499999999999</v>
      </c>
      <c r="BT766" s="253" cm="1">
        <f t="array" ref="BT766">$BC766 * IF($AD766&lt;=2,
SUMPRODUCT(INDEX($AL$62:$AN$66,,$AE766), INDEX($AO$62:$AU$66,,$AD766), 1 / ($AV$62:$AV$66*BS766 + (1-$AV$62:$AV$66)*BO766), N($AK$62:$AK$66&gt;$AI766)),
SUMPRODUCT(INDEX($AL$47:$AN$56,,$AE766), INDEX($AO$47:$AU$56,,$AD766), 1 / ($AW$47:$AW$56*BS766 + (1-$AW$47:$AW$56)*BO766), N($AK$47:$AK$56&gt;$AI766))
) / 1000</f>
        <v>0</v>
      </c>
      <c r="BU766" s="253" cm="1">
        <f t="array" ref="BU766">$BC766 * IF($AD766&lt;=2,
SUMPRODUCT(INDEX($AL$23:$AN$61,,$AE766), INDEX($AO$23:$AU$61,,$AD766), 1 / ($AV$23:$AV$61*BS766), N($AK$23:$AK$61&gt;$AI766)),
SUMPRODUCT(INDEX($AL$23:$AN$46,,$AE766), INDEX($AO$23:$AU$46,,$AD766), 1 / ($AW$23:$AW$46*BS766), N($AK$23:$AK$46&gt;$AI766))
) / 1000</f>
        <v>0</v>
      </c>
      <c r="BV766" s="237">
        <f t="shared" si="725"/>
        <v>0</v>
      </c>
      <c r="BW766" s="210"/>
      <c r="BX766" s="237">
        <f t="shared" si="726"/>
        <v>0</v>
      </c>
      <c r="BY766" s="236">
        <v>35</v>
      </c>
      <c r="BZ766" s="237">
        <f t="shared" si="727"/>
        <v>48</v>
      </c>
      <c r="CA766" s="253">
        <f t="shared" si="728"/>
        <v>3.0748170731707316</v>
      </c>
      <c r="CB766" s="253" cm="1">
        <f t="array" ref="CB766">$BC766 * SUMPRODUCT(INDEX($AL$77:$AN$82,,$AE766),INDEX($AO$77:$AU$82,,$AD766), N($AK$77:$AK$82&gt;$AI766)) / CA766 / 1000</f>
        <v>0</v>
      </c>
      <c r="CC766" s="250">
        <f t="shared" si="708"/>
        <v>30</v>
      </c>
      <c r="CD766" s="237">
        <f t="shared" si="729"/>
        <v>43</v>
      </c>
      <c r="CE766" s="253">
        <f t="shared" si="730"/>
        <v>3.5018750000000001</v>
      </c>
      <c r="CF766" s="253" cm="1">
        <f t="array" ref="CF766">$BC766 * IF($AD766&lt;=2,
SUMPRODUCT(INDEX($AL$72:$AN$76,,$AE766), INDEX($AO$72:$AU$76,,$AD766), 1 / ($AV$72:$AV$76*CE766 + (1-$AV$72:$AV$76)*CA766), N($AK$72:$AK$76&gt;$AI766)),
SUMPRODUCT(INDEX($AL$67:$AN$76,,$AE766), INDEX($AO$67:$AU$76,,$AD766), 1 / ($AW$67:$AW$76*CE766 + (1-$AW$67:$AW$76)*CA766), N($AK$67:$AK$76&gt;$AI766))
) / 1000</f>
        <v>0</v>
      </c>
      <c r="CG766" s="250">
        <f t="shared" si="709"/>
        <v>25</v>
      </c>
      <c r="CH766" s="237">
        <f t="shared" si="731"/>
        <v>38</v>
      </c>
      <c r="CI766" s="253">
        <f t="shared" si="732"/>
        <v>4.0666935483870965</v>
      </c>
      <c r="CJ766" s="253" cm="1">
        <f t="array" ref="CJ766">$BC766 * IF($AD766&lt;=2,
SUMPRODUCT(INDEX($AL$67:$AN$71,,$AE766), INDEX($AO$67:$AU$71,,$AD766), 1 / ($AV$67:$AV$71*CI766 + (1-$AV$67:$AV$71)*CE766), N($AK$67:$AK$71&gt;$AI766)),
SUMPRODUCT(INDEX($AL$57:$AN$66,,$AE766), INDEX($AO$57:$AU$66,,$AD766), 1 / ($AW$57:$AW$66*CI766 + (1-$AW$57:$AW$66)*CE766), N($AK$57:$AK$66&gt;$AI766))
) / 1000</f>
        <v>0</v>
      </c>
      <c r="CK766" s="250">
        <f t="shared" si="710"/>
        <v>20</v>
      </c>
      <c r="CL766" s="237">
        <f t="shared" si="733"/>
        <v>33</v>
      </c>
      <c r="CM766" s="253">
        <f t="shared" si="734"/>
        <v>4.8487499999999999</v>
      </c>
      <c r="CN766" s="253" cm="1">
        <f t="array" ref="CN766">$BC766 * IF($AD766&lt;=2,
SUMPRODUCT(INDEX($AL$62:$AN$66,,$AE766), INDEX($AO$62:$AU$66,,$AD766), 1 / ($AV$62:$AV$66*CM766 + (1-$AV$62:$AV$66)*CI766), N($AK$62:$AK$66&gt;$AI766)),
SUMPRODUCT(INDEX($AL$47:$AN$56,,$AE766), INDEX($AO$47:$AU$56,,$AD766), 1 / ($AW$47:$AW$56*CM766 + (1-$AW$47:$AW$56)*CI766), N($AK$47:$AK$56&gt;$AI766))
) / 1000</f>
        <v>0</v>
      </c>
      <c r="CO766" s="253" cm="1">
        <f t="array" ref="CO766">$BC766 * IF($AD766&lt;=2,
SUMPRODUCT(INDEX($AL$23:$AN$61,,$AE766), INDEX($AO$23:$AU$61,,$AD766), 1 / ($AV$23:$AV$61*CM766), N($AK$23:$AK$61&gt;$AI766)),
SUMPRODUCT(INDEX($AL$23:$AN$46,,$AE766), INDEX($AO$23:$AU$46,,$AD766), 1 / ($AW$23:$AW$46*CM766), N($AK$23:$AK$46&gt;$AI766))
) / 1000</f>
        <v>0</v>
      </c>
      <c r="CP766" s="237">
        <f t="shared" si="735"/>
        <v>0</v>
      </c>
      <c r="CQ766" s="210"/>
    </row>
    <row r="767" spans="1:95" s="76" customFormat="1" ht="14.25" customHeight="1" x14ac:dyDescent="0.2">
      <c r="A767" s="238" t="b">
        <f t="shared" si="702"/>
        <v>0</v>
      </c>
      <c r="B767" s="239">
        <v>745</v>
      </c>
      <c r="C767" s="258"/>
      <c r="D767" s="258"/>
      <c r="E767" s="240"/>
      <c r="F767" s="241" t="str">
        <f>IF(ISBLANK(E767), "", VLOOKUP(E767, Z!$A$2:$C$4127, 3, FALSE))</f>
        <v/>
      </c>
      <c r="G767" s="242"/>
      <c r="H767" s="242"/>
      <c r="I767" s="243"/>
      <c r="J767" s="244"/>
      <c r="K767" s="259"/>
      <c r="L767" s="260"/>
      <c r="M767" s="247" t="str" cm="1">
        <f t="array" ref="M767">IF($K767&gt;0, INDEX(Clean,1+AG767,$C$1), "")</f>
        <v/>
      </c>
      <c r="N767" s="245"/>
      <c r="O767" s="245"/>
      <c r="P767" s="246"/>
      <c r="Q767" s="248">
        <f t="shared" si="712"/>
        <v>0</v>
      </c>
      <c r="R767" s="247" t="str" cm="1">
        <f t="array" ref="R767">IF($K767&gt;0, INDEX(Clean,1+AH767,$C$1), "")</f>
        <v/>
      </c>
      <c r="S767" s="245"/>
      <c r="T767" s="245"/>
      <c r="U767" s="246"/>
      <c r="V767" s="248">
        <f t="shared" si="713"/>
        <v>0</v>
      </c>
      <c r="W767" s="261"/>
      <c r="X767" s="258"/>
      <c r="Y767" s="240"/>
      <c r="Z767" s="241" t="str">
        <f>IF(ISBLANK(Y767), "", VLOOKUP(Y767, Z!$A$2:$C$4127, 3, FALSE))</f>
        <v/>
      </c>
      <c r="AA767" s="262"/>
      <c r="AB767" s="249">
        <f t="shared" si="711"/>
        <v>0</v>
      </c>
      <c r="AC767" s="210"/>
      <c r="AD767" s="236">
        <f t="shared" si="736"/>
        <v>1</v>
      </c>
      <c r="AE767" s="236">
        <f t="shared" si="737"/>
        <v>1</v>
      </c>
      <c r="AF767" s="236">
        <f t="shared" si="738"/>
        <v>0</v>
      </c>
      <c r="AG767" s="236">
        <v>1</v>
      </c>
      <c r="AH767" s="236">
        <v>0</v>
      </c>
      <c r="AI767" s="236">
        <f t="shared" si="714"/>
        <v>-100</v>
      </c>
      <c r="AJ767" s="210"/>
      <c r="AK767" s="254"/>
      <c r="AL767" s="254"/>
      <c r="AM767" s="255"/>
      <c r="AN767" s="255"/>
      <c r="AO767" s="255"/>
      <c r="AP767" s="255"/>
      <c r="AQ767" s="255"/>
      <c r="AR767" s="255"/>
      <c r="AS767" s="255"/>
      <c r="AT767" s="255"/>
      <c r="AU767" s="255"/>
      <c r="AV767" s="255"/>
      <c r="AW767" s="255"/>
      <c r="AX767" s="210"/>
      <c r="AY767" s="236" cm="1">
        <f t="array" ref="AY767">INDEX(Use, $AD767, 4)</f>
        <v>7</v>
      </c>
      <c r="AZ767" s="236">
        <f t="shared" si="715"/>
        <v>32</v>
      </c>
      <c r="BA767" s="236">
        <f t="shared" si="703"/>
        <v>13</v>
      </c>
      <c r="BB767" s="236">
        <f t="shared" si="704"/>
        <v>0</v>
      </c>
      <c r="BC767" s="252" cm="1">
        <f t="array" ref="BC767">K767/IF($L767&gt;0, INDEX($AO$23:$AU$77, $L767+20, $AD767), 1)</f>
        <v>0</v>
      </c>
      <c r="BD767" s="237">
        <f t="shared" si="716"/>
        <v>0</v>
      </c>
      <c r="BE767" s="236">
        <v>35</v>
      </c>
      <c r="BF767" s="237">
        <f t="shared" si="717"/>
        <v>52.55</v>
      </c>
      <c r="BG767" s="253">
        <f t="shared" si="718"/>
        <v>2.7676728869374316</v>
      </c>
      <c r="BH767" s="253" cm="1">
        <f t="array" ref="BH767">$BC767 * SUMPRODUCT(INDEX($AL$77:$AN$82,,$AE767),INDEX($AO$77:$AU$82,,$AD767), N($AK$77:$AK$82&gt;$AI767)) / BG767 / 1000</f>
        <v>0</v>
      </c>
      <c r="BI767" s="250">
        <f t="shared" si="705"/>
        <v>30</v>
      </c>
      <c r="BJ767" s="237">
        <f t="shared" si="719"/>
        <v>46.033333333333331</v>
      </c>
      <c r="BK767" s="253">
        <f t="shared" si="720"/>
        <v>3.2297395388556791</v>
      </c>
      <c r="BL767" s="253" cm="1">
        <f t="array" ref="BL767">$BC767 * IF($AD767&lt;=2,
SUMPRODUCT(INDEX($AL$72:$AN$76,,$AE767), INDEX($AO$72:$AU$76,,$AD767), 1 / ($AV$72:$AV$76*BK767 + (1-$AV$72:$AV$76)*BG767), N($AK$72:$AK$76&gt;$AI767)),
SUMPRODUCT(INDEX($AL$67:$AN$76,,$AE767), INDEX($AO$67:$AU$76,,$AD767), 1 / ($AW$67:$AW$76*BK767 + (1-$AW$67:$AW$76)*BG767), N($AK$67:$AK$76&gt;$AI767))
) / 1000</f>
        <v>0</v>
      </c>
      <c r="BM767" s="250">
        <f t="shared" si="706"/>
        <v>25</v>
      </c>
      <c r="BN767" s="237">
        <f t="shared" si="721"/>
        <v>39.516666666666666</v>
      </c>
      <c r="BO767" s="253">
        <f t="shared" si="722"/>
        <v>3.877011788826243</v>
      </c>
      <c r="BP767" s="253" cm="1">
        <f t="array" ref="BP767">$BC767 * IF($AD767&lt;=2,
SUMPRODUCT(INDEX($AL$67:$AN$71,,$AE767), INDEX($AO$67:$AU$71,,$AD767), 1 / ($AV$67:$AV$71*BO767 + (1-$AV$67:$AV$71)*BK767), N($AK$67:$AK$71&gt;$AI767)),
SUMPRODUCT(INDEX($AL$57:$AN$66,,$AE767), INDEX($AO$57:$AU$66,,$AD767), 1 / ($AW$57:$AW$66*BO767 + (1-$AW$57:$AW$66)*BK767), N($AK$57:$AK$66&gt;$AI767))
) / 1000</f>
        <v>0</v>
      </c>
      <c r="BQ767" s="250">
        <f t="shared" si="707"/>
        <v>20</v>
      </c>
      <c r="BR767" s="237">
        <f t="shared" si="723"/>
        <v>33</v>
      </c>
      <c r="BS767" s="253">
        <f t="shared" si="724"/>
        <v>4.8487499999999999</v>
      </c>
      <c r="BT767" s="253" cm="1">
        <f t="array" ref="BT767">$BC767 * IF($AD767&lt;=2,
SUMPRODUCT(INDEX($AL$62:$AN$66,,$AE767), INDEX($AO$62:$AU$66,,$AD767), 1 / ($AV$62:$AV$66*BS767 + (1-$AV$62:$AV$66)*BO767), N($AK$62:$AK$66&gt;$AI767)),
SUMPRODUCT(INDEX($AL$47:$AN$56,,$AE767), INDEX($AO$47:$AU$56,,$AD767), 1 / ($AW$47:$AW$56*BS767 + (1-$AW$47:$AW$56)*BO767), N($AK$47:$AK$56&gt;$AI767))
) / 1000</f>
        <v>0</v>
      </c>
      <c r="BU767" s="253" cm="1">
        <f t="array" ref="BU767">$BC767 * IF($AD767&lt;=2,
SUMPRODUCT(INDEX($AL$23:$AN$61,,$AE767), INDEX($AO$23:$AU$61,,$AD767), 1 / ($AV$23:$AV$61*BS767), N($AK$23:$AK$61&gt;$AI767)),
SUMPRODUCT(INDEX($AL$23:$AN$46,,$AE767), INDEX($AO$23:$AU$46,,$AD767), 1 / ($AW$23:$AW$46*BS767), N($AK$23:$AK$46&gt;$AI767))
) / 1000</f>
        <v>0</v>
      </c>
      <c r="BV767" s="237">
        <f t="shared" si="725"/>
        <v>0</v>
      </c>
      <c r="BW767" s="210"/>
      <c r="BX767" s="237">
        <f t="shared" si="726"/>
        <v>0</v>
      </c>
      <c r="BY767" s="236">
        <v>35</v>
      </c>
      <c r="BZ767" s="237">
        <f t="shared" si="727"/>
        <v>48</v>
      </c>
      <c r="CA767" s="253">
        <f t="shared" si="728"/>
        <v>3.0748170731707316</v>
      </c>
      <c r="CB767" s="253" cm="1">
        <f t="array" ref="CB767">$BC767 * SUMPRODUCT(INDEX($AL$77:$AN$82,,$AE767),INDEX($AO$77:$AU$82,,$AD767), N($AK$77:$AK$82&gt;$AI767)) / CA767 / 1000</f>
        <v>0</v>
      </c>
      <c r="CC767" s="250">
        <f t="shared" si="708"/>
        <v>30</v>
      </c>
      <c r="CD767" s="237">
        <f t="shared" si="729"/>
        <v>43</v>
      </c>
      <c r="CE767" s="253">
        <f t="shared" si="730"/>
        <v>3.5018750000000001</v>
      </c>
      <c r="CF767" s="253" cm="1">
        <f t="array" ref="CF767">$BC767 * IF($AD767&lt;=2,
SUMPRODUCT(INDEX($AL$72:$AN$76,,$AE767), INDEX($AO$72:$AU$76,,$AD767), 1 / ($AV$72:$AV$76*CE767 + (1-$AV$72:$AV$76)*CA767), N($AK$72:$AK$76&gt;$AI767)),
SUMPRODUCT(INDEX($AL$67:$AN$76,,$AE767), INDEX($AO$67:$AU$76,,$AD767), 1 / ($AW$67:$AW$76*CE767 + (1-$AW$67:$AW$76)*CA767), N($AK$67:$AK$76&gt;$AI767))
) / 1000</f>
        <v>0</v>
      </c>
      <c r="CG767" s="250">
        <f t="shared" si="709"/>
        <v>25</v>
      </c>
      <c r="CH767" s="237">
        <f t="shared" si="731"/>
        <v>38</v>
      </c>
      <c r="CI767" s="253">
        <f t="shared" si="732"/>
        <v>4.0666935483870965</v>
      </c>
      <c r="CJ767" s="253" cm="1">
        <f t="array" ref="CJ767">$BC767 * IF($AD767&lt;=2,
SUMPRODUCT(INDEX($AL$67:$AN$71,,$AE767), INDEX($AO$67:$AU$71,,$AD767), 1 / ($AV$67:$AV$71*CI767 + (1-$AV$67:$AV$71)*CE767), N($AK$67:$AK$71&gt;$AI767)),
SUMPRODUCT(INDEX($AL$57:$AN$66,,$AE767), INDEX($AO$57:$AU$66,,$AD767), 1 / ($AW$57:$AW$66*CI767 + (1-$AW$57:$AW$66)*CE767), N($AK$57:$AK$66&gt;$AI767))
) / 1000</f>
        <v>0</v>
      </c>
      <c r="CK767" s="250">
        <f t="shared" si="710"/>
        <v>20</v>
      </c>
      <c r="CL767" s="237">
        <f t="shared" si="733"/>
        <v>33</v>
      </c>
      <c r="CM767" s="253">
        <f t="shared" si="734"/>
        <v>4.8487499999999999</v>
      </c>
      <c r="CN767" s="253" cm="1">
        <f t="array" ref="CN767">$BC767 * IF($AD767&lt;=2,
SUMPRODUCT(INDEX($AL$62:$AN$66,,$AE767), INDEX($AO$62:$AU$66,,$AD767), 1 / ($AV$62:$AV$66*CM767 + (1-$AV$62:$AV$66)*CI767), N($AK$62:$AK$66&gt;$AI767)),
SUMPRODUCT(INDEX($AL$47:$AN$56,,$AE767), INDEX($AO$47:$AU$56,,$AD767), 1 / ($AW$47:$AW$56*CM767 + (1-$AW$47:$AW$56)*CI767), N($AK$47:$AK$56&gt;$AI767))
) / 1000</f>
        <v>0</v>
      </c>
      <c r="CO767" s="253" cm="1">
        <f t="array" ref="CO767">$BC767 * IF($AD767&lt;=2,
SUMPRODUCT(INDEX($AL$23:$AN$61,,$AE767), INDEX($AO$23:$AU$61,,$AD767), 1 / ($AV$23:$AV$61*CM767), N($AK$23:$AK$61&gt;$AI767)),
SUMPRODUCT(INDEX($AL$23:$AN$46,,$AE767), INDEX($AO$23:$AU$46,,$AD767), 1 / ($AW$23:$AW$46*CM767), N($AK$23:$AK$46&gt;$AI767))
) / 1000</f>
        <v>0</v>
      </c>
      <c r="CP767" s="237">
        <f t="shared" si="735"/>
        <v>0</v>
      </c>
      <c r="CQ767" s="210"/>
    </row>
    <row r="768" spans="1:95" s="76" customFormat="1" ht="14.25" customHeight="1" x14ac:dyDescent="0.2">
      <c r="A768" s="238" t="b">
        <f t="shared" si="702"/>
        <v>0</v>
      </c>
      <c r="B768" s="239">
        <v>746</v>
      </c>
      <c r="C768" s="258"/>
      <c r="D768" s="258"/>
      <c r="E768" s="240"/>
      <c r="F768" s="241" t="str">
        <f>IF(ISBLANK(E768), "", VLOOKUP(E768, Z!$A$2:$C$4127, 3, FALSE))</f>
        <v/>
      </c>
      <c r="G768" s="242"/>
      <c r="H768" s="242"/>
      <c r="I768" s="243"/>
      <c r="J768" s="244"/>
      <c r="K768" s="259"/>
      <c r="L768" s="260"/>
      <c r="M768" s="247" t="str" cm="1">
        <f t="array" ref="M768">IF($K768&gt;0, INDEX(Clean,1+AG768,$C$1), "")</f>
        <v/>
      </c>
      <c r="N768" s="245"/>
      <c r="O768" s="245"/>
      <c r="P768" s="246"/>
      <c r="Q768" s="248">
        <f t="shared" si="712"/>
        <v>0</v>
      </c>
      <c r="R768" s="247" t="str" cm="1">
        <f t="array" ref="R768">IF($K768&gt;0, INDEX(Clean,1+AH768,$C$1), "")</f>
        <v/>
      </c>
      <c r="S768" s="245"/>
      <c r="T768" s="245"/>
      <c r="U768" s="246"/>
      <c r="V768" s="248">
        <f t="shared" si="713"/>
        <v>0</v>
      </c>
      <c r="W768" s="261"/>
      <c r="X768" s="258"/>
      <c r="Y768" s="240"/>
      <c r="Z768" s="241" t="str">
        <f>IF(ISBLANK(Y768), "", VLOOKUP(Y768, Z!$A$2:$C$4127, 3, FALSE))</f>
        <v/>
      </c>
      <c r="AA768" s="262"/>
      <c r="AB768" s="249">
        <f t="shared" si="711"/>
        <v>0</v>
      </c>
      <c r="AC768" s="210"/>
      <c r="AD768" s="236">
        <f t="shared" si="736"/>
        <v>1</v>
      </c>
      <c r="AE768" s="236">
        <f t="shared" si="737"/>
        <v>1</v>
      </c>
      <c r="AF768" s="236">
        <f t="shared" si="738"/>
        <v>0</v>
      </c>
      <c r="AG768" s="236">
        <v>1</v>
      </c>
      <c r="AH768" s="236">
        <v>0</v>
      </c>
      <c r="AI768" s="236">
        <f t="shared" si="714"/>
        <v>-100</v>
      </c>
      <c r="AJ768" s="210"/>
      <c r="AK768" s="254"/>
      <c r="AL768" s="254"/>
      <c r="AM768" s="255"/>
      <c r="AN768" s="255"/>
      <c r="AO768" s="255"/>
      <c r="AP768" s="255"/>
      <c r="AQ768" s="255"/>
      <c r="AR768" s="255"/>
      <c r="AS768" s="255"/>
      <c r="AT768" s="255"/>
      <c r="AU768" s="255"/>
      <c r="AV768" s="255"/>
      <c r="AW768" s="255"/>
      <c r="AX768" s="210"/>
      <c r="AY768" s="236" cm="1">
        <f t="array" ref="AY768">INDEX(Use, $AD768, 4)</f>
        <v>7</v>
      </c>
      <c r="AZ768" s="236">
        <f t="shared" si="715"/>
        <v>32</v>
      </c>
      <c r="BA768" s="236">
        <f t="shared" si="703"/>
        <v>13</v>
      </c>
      <c r="BB768" s="236">
        <f t="shared" si="704"/>
        <v>0</v>
      </c>
      <c r="BC768" s="252" cm="1">
        <f t="array" ref="BC768">K768/IF($L768&gt;0, INDEX($AO$23:$AU$77, $L768+20, $AD768), 1)</f>
        <v>0</v>
      </c>
      <c r="BD768" s="237">
        <f t="shared" si="716"/>
        <v>0</v>
      </c>
      <c r="BE768" s="236">
        <v>35</v>
      </c>
      <c r="BF768" s="237">
        <f t="shared" si="717"/>
        <v>52.55</v>
      </c>
      <c r="BG768" s="253">
        <f t="shared" si="718"/>
        <v>2.7676728869374316</v>
      </c>
      <c r="BH768" s="253" cm="1">
        <f t="array" ref="BH768">$BC768 * SUMPRODUCT(INDEX($AL$77:$AN$82,,$AE768),INDEX($AO$77:$AU$82,,$AD768), N($AK$77:$AK$82&gt;$AI768)) / BG768 / 1000</f>
        <v>0</v>
      </c>
      <c r="BI768" s="250">
        <f t="shared" si="705"/>
        <v>30</v>
      </c>
      <c r="BJ768" s="237">
        <f t="shared" si="719"/>
        <v>46.033333333333331</v>
      </c>
      <c r="BK768" s="253">
        <f t="shared" si="720"/>
        <v>3.2297395388556791</v>
      </c>
      <c r="BL768" s="253" cm="1">
        <f t="array" ref="BL768">$BC768 * IF($AD768&lt;=2,
SUMPRODUCT(INDEX($AL$72:$AN$76,,$AE768), INDEX($AO$72:$AU$76,,$AD768), 1 / ($AV$72:$AV$76*BK768 + (1-$AV$72:$AV$76)*BG768), N($AK$72:$AK$76&gt;$AI768)),
SUMPRODUCT(INDEX($AL$67:$AN$76,,$AE768), INDEX($AO$67:$AU$76,,$AD768), 1 / ($AW$67:$AW$76*BK768 + (1-$AW$67:$AW$76)*BG768), N($AK$67:$AK$76&gt;$AI768))
) / 1000</f>
        <v>0</v>
      </c>
      <c r="BM768" s="250">
        <f t="shared" si="706"/>
        <v>25</v>
      </c>
      <c r="BN768" s="237">
        <f t="shared" si="721"/>
        <v>39.516666666666666</v>
      </c>
      <c r="BO768" s="253">
        <f t="shared" si="722"/>
        <v>3.877011788826243</v>
      </c>
      <c r="BP768" s="253" cm="1">
        <f t="array" ref="BP768">$BC768 * IF($AD768&lt;=2,
SUMPRODUCT(INDEX($AL$67:$AN$71,,$AE768), INDEX($AO$67:$AU$71,,$AD768), 1 / ($AV$67:$AV$71*BO768 + (1-$AV$67:$AV$71)*BK768), N($AK$67:$AK$71&gt;$AI768)),
SUMPRODUCT(INDEX($AL$57:$AN$66,,$AE768), INDEX($AO$57:$AU$66,,$AD768), 1 / ($AW$57:$AW$66*BO768 + (1-$AW$57:$AW$66)*BK768), N($AK$57:$AK$66&gt;$AI768))
) / 1000</f>
        <v>0</v>
      </c>
      <c r="BQ768" s="250">
        <f t="shared" si="707"/>
        <v>20</v>
      </c>
      <c r="BR768" s="237">
        <f t="shared" si="723"/>
        <v>33</v>
      </c>
      <c r="BS768" s="253">
        <f t="shared" si="724"/>
        <v>4.8487499999999999</v>
      </c>
      <c r="BT768" s="253" cm="1">
        <f t="array" ref="BT768">$BC768 * IF($AD768&lt;=2,
SUMPRODUCT(INDEX($AL$62:$AN$66,,$AE768), INDEX($AO$62:$AU$66,,$AD768), 1 / ($AV$62:$AV$66*BS768 + (1-$AV$62:$AV$66)*BO768), N($AK$62:$AK$66&gt;$AI768)),
SUMPRODUCT(INDEX($AL$47:$AN$56,,$AE768), INDEX($AO$47:$AU$56,,$AD768), 1 / ($AW$47:$AW$56*BS768 + (1-$AW$47:$AW$56)*BO768), N($AK$47:$AK$56&gt;$AI768))
) / 1000</f>
        <v>0</v>
      </c>
      <c r="BU768" s="253" cm="1">
        <f t="array" ref="BU768">$BC768 * IF($AD768&lt;=2,
SUMPRODUCT(INDEX($AL$23:$AN$61,,$AE768), INDEX($AO$23:$AU$61,,$AD768), 1 / ($AV$23:$AV$61*BS768), N($AK$23:$AK$61&gt;$AI768)),
SUMPRODUCT(INDEX($AL$23:$AN$46,,$AE768), INDEX($AO$23:$AU$46,,$AD768), 1 / ($AW$23:$AW$46*BS768), N($AK$23:$AK$46&gt;$AI768))
) / 1000</f>
        <v>0</v>
      </c>
      <c r="BV768" s="237">
        <f t="shared" si="725"/>
        <v>0</v>
      </c>
      <c r="BW768" s="210"/>
      <c r="BX768" s="237">
        <f t="shared" si="726"/>
        <v>0</v>
      </c>
      <c r="BY768" s="236">
        <v>35</v>
      </c>
      <c r="BZ768" s="237">
        <f t="shared" si="727"/>
        <v>48</v>
      </c>
      <c r="CA768" s="253">
        <f t="shared" si="728"/>
        <v>3.0748170731707316</v>
      </c>
      <c r="CB768" s="253" cm="1">
        <f t="array" ref="CB768">$BC768 * SUMPRODUCT(INDEX($AL$77:$AN$82,,$AE768),INDEX($AO$77:$AU$82,,$AD768), N($AK$77:$AK$82&gt;$AI768)) / CA768 / 1000</f>
        <v>0</v>
      </c>
      <c r="CC768" s="250">
        <f t="shared" si="708"/>
        <v>30</v>
      </c>
      <c r="CD768" s="237">
        <f t="shared" si="729"/>
        <v>43</v>
      </c>
      <c r="CE768" s="253">
        <f t="shared" si="730"/>
        <v>3.5018750000000001</v>
      </c>
      <c r="CF768" s="253" cm="1">
        <f t="array" ref="CF768">$BC768 * IF($AD768&lt;=2,
SUMPRODUCT(INDEX($AL$72:$AN$76,,$AE768), INDEX($AO$72:$AU$76,,$AD768), 1 / ($AV$72:$AV$76*CE768 + (1-$AV$72:$AV$76)*CA768), N($AK$72:$AK$76&gt;$AI768)),
SUMPRODUCT(INDEX($AL$67:$AN$76,,$AE768), INDEX($AO$67:$AU$76,,$AD768), 1 / ($AW$67:$AW$76*CE768 + (1-$AW$67:$AW$76)*CA768), N($AK$67:$AK$76&gt;$AI768))
) / 1000</f>
        <v>0</v>
      </c>
      <c r="CG768" s="250">
        <f t="shared" si="709"/>
        <v>25</v>
      </c>
      <c r="CH768" s="237">
        <f t="shared" si="731"/>
        <v>38</v>
      </c>
      <c r="CI768" s="253">
        <f t="shared" si="732"/>
        <v>4.0666935483870965</v>
      </c>
      <c r="CJ768" s="253" cm="1">
        <f t="array" ref="CJ768">$BC768 * IF($AD768&lt;=2,
SUMPRODUCT(INDEX($AL$67:$AN$71,,$AE768), INDEX($AO$67:$AU$71,,$AD768), 1 / ($AV$67:$AV$71*CI768 + (1-$AV$67:$AV$71)*CE768), N($AK$67:$AK$71&gt;$AI768)),
SUMPRODUCT(INDEX($AL$57:$AN$66,,$AE768), INDEX($AO$57:$AU$66,,$AD768), 1 / ($AW$57:$AW$66*CI768 + (1-$AW$57:$AW$66)*CE768), N($AK$57:$AK$66&gt;$AI768))
) / 1000</f>
        <v>0</v>
      </c>
      <c r="CK768" s="250">
        <f t="shared" si="710"/>
        <v>20</v>
      </c>
      <c r="CL768" s="237">
        <f t="shared" si="733"/>
        <v>33</v>
      </c>
      <c r="CM768" s="253">
        <f t="shared" si="734"/>
        <v>4.8487499999999999</v>
      </c>
      <c r="CN768" s="253" cm="1">
        <f t="array" ref="CN768">$BC768 * IF($AD768&lt;=2,
SUMPRODUCT(INDEX($AL$62:$AN$66,,$AE768), INDEX($AO$62:$AU$66,,$AD768), 1 / ($AV$62:$AV$66*CM768 + (1-$AV$62:$AV$66)*CI768), N($AK$62:$AK$66&gt;$AI768)),
SUMPRODUCT(INDEX($AL$47:$AN$56,,$AE768), INDEX($AO$47:$AU$56,,$AD768), 1 / ($AW$47:$AW$56*CM768 + (1-$AW$47:$AW$56)*CI768), N($AK$47:$AK$56&gt;$AI768))
) / 1000</f>
        <v>0</v>
      </c>
      <c r="CO768" s="253" cm="1">
        <f t="array" ref="CO768">$BC768 * IF($AD768&lt;=2,
SUMPRODUCT(INDEX($AL$23:$AN$61,,$AE768), INDEX($AO$23:$AU$61,,$AD768), 1 / ($AV$23:$AV$61*CM768), N($AK$23:$AK$61&gt;$AI768)),
SUMPRODUCT(INDEX($AL$23:$AN$46,,$AE768), INDEX($AO$23:$AU$46,,$AD768), 1 / ($AW$23:$AW$46*CM768), N($AK$23:$AK$46&gt;$AI768))
) / 1000</f>
        <v>0</v>
      </c>
      <c r="CP768" s="237">
        <f t="shared" si="735"/>
        <v>0</v>
      </c>
      <c r="CQ768" s="210"/>
    </row>
    <row r="769" spans="1:95" s="76" customFormat="1" ht="14.25" customHeight="1" x14ac:dyDescent="0.2">
      <c r="A769" s="238" t="b">
        <f t="shared" si="702"/>
        <v>0</v>
      </c>
      <c r="B769" s="239">
        <v>747</v>
      </c>
      <c r="C769" s="258"/>
      <c r="D769" s="258"/>
      <c r="E769" s="240"/>
      <c r="F769" s="241" t="str">
        <f>IF(ISBLANK(E769), "", VLOOKUP(E769, Z!$A$2:$C$4127, 3, FALSE))</f>
        <v/>
      </c>
      <c r="G769" s="242"/>
      <c r="H769" s="242"/>
      <c r="I769" s="243"/>
      <c r="J769" s="244"/>
      <c r="K769" s="259"/>
      <c r="L769" s="260"/>
      <c r="M769" s="247" t="str" cm="1">
        <f t="array" ref="M769">IF($K769&gt;0, INDEX(Clean,1+AG769,$C$1), "")</f>
        <v/>
      </c>
      <c r="N769" s="245"/>
      <c r="O769" s="245"/>
      <c r="P769" s="246"/>
      <c r="Q769" s="248">
        <f t="shared" si="712"/>
        <v>0</v>
      </c>
      <c r="R769" s="247" t="str" cm="1">
        <f t="array" ref="R769">IF($K769&gt;0, INDEX(Clean,1+AH769,$C$1), "")</f>
        <v/>
      </c>
      <c r="S769" s="245"/>
      <c r="T769" s="245"/>
      <c r="U769" s="246"/>
      <c r="V769" s="248">
        <f t="shared" si="713"/>
        <v>0</v>
      </c>
      <c r="W769" s="261"/>
      <c r="X769" s="258"/>
      <c r="Y769" s="240"/>
      <c r="Z769" s="241" t="str">
        <f>IF(ISBLANK(Y769), "", VLOOKUP(Y769, Z!$A$2:$C$4127, 3, FALSE))</f>
        <v/>
      </c>
      <c r="AA769" s="262"/>
      <c r="AB769" s="249">
        <f t="shared" si="711"/>
        <v>0</v>
      </c>
      <c r="AC769" s="210"/>
      <c r="AD769" s="236">
        <f t="shared" si="736"/>
        <v>1</v>
      </c>
      <c r="AE769" s="236">
        <f t="shared" si="737"/>
        <v>1</v>
      </c>
      <c r="AF769" s="236">
        <f t="shared" si="738"/>
        <v>0</v>
      </c>
      <c r="AG769" s="236">
        <v>1</v>
      </c>
      <c r="AH769" s="236">
        <v>0</v>
      </c>
      <c r="AI769" s="236">
        <f t="shared" si="714"/>
        <v>-100</v>
      </c>
      <c r="AJ769" s="210"/>
      <c r="AK769" s="254"/>
      <c r="AL769" s="254"/>
      <c r="AM769" s="255"/>
      <c r="AN769" s="255"/>
      <c r="AO769" s="255"/>
      <c r="AP769" s="255"/>
      <c r="AQ769" s="255"/>
      <c r="AR769" s="255"/>
      <c r="AS769" s="255"/>
      <c r="AT769" s="255"/>
      <c r="AU769" s="255"/>
      <c r="AV769" s="255"/>
      <c r="AW769" s="255"/>
      <c r="AX769" s="210"/>
      <c r="AY769" s="236" cm="1">
        <f t="array" ref="AY769">INDEX(Use, $AD769, 4)</f>
        <v>7</v>
      </c>
      <c r="AZ769" s="236">
        <f t="shared" si="715"/>
        <v>32</v>
      </c>
      <c r="BA769" s="236">
        <f t="shared" si="703"/>
        <v>13</v>
      </c>
      <c r="BB769" s="236">
        <f t="shared" si="704"/>
        <v>0</v>
      </c>
      <c r="BC769" s="252" cm="1">
        <f t="array" ref="BC769">K769/IF($L769&gt;0, INDEX($AO$23:$AU$77, $L769+20, $AD769), 1)</f>
        <v>0</v>
      </c>
      <c r="BD769" s="237">
        <f t="shared" si="716"/>
        <v>0</v>
      </c>
      <c r="BE769" s="236">
        <v>35</v>
      </c>
      <c r="BF769" s="237">
        <f t="shared" si="717"/>
        <v>52.55</v>
      </c>
      <c r="BG769" s="253">
        <f t="shared" si="718"/>
        <v>2.7676728869374316</v>
      </c>
      <c r="BH769" s="253" cm="1">
        <f t="array" ref="BH769">$BC769 * SUMPRODUCT(INDEX($AL$77:$AN$82,,$AE769),INDEX($AO$77:$AU$82,,$AD769), N($AK$77:$AK$82&gt;$AI769)) / BG769 / 1000</f>
        <v>0</v>
      </c>
      <c r="BI769" s="250">
        <f t="shared" si="705"/>
        <v>30</v>
      </c>
      <c r="BJ769" s="237">
        <f t="shared" si="719"/>
        <v>46.033333333333331</v>
      </c>
      <c r="BK769" s="253">
        <f t="shared" si="720"/>
        <v>3.2297395388556791</v>
      </c>
      <c r="BL769" s="253" cm="1">
        <f t="array" ref="BL769">$BC769 * IF($AD769&lt;=2,
SUMPRODUCT(INDEX($AL$72:$AN$76,,$AE769), INDEX($AO$72:$AU$76,,$AD769), 1 / ($AV$72:$AV$76*BK769 + (1-$AV$72:$AV$76)*BG769), N($AK$72:$AK$76&gt;$AI769)),
SUMPRODUCT(INDEX($AL$67:$AN$76,,$AE769), INDEX($AO$67:$AU$76,,$AD769), 1 / ($AW$67:$AW$76*BK769 + (1-$AW$67:$AW$76)*BG769), N($AK$67:$AK$76&gt;$AI769))
) / 1000</f>
        <v>0</v>
      </c>
      <c r="BM769" s="250">
        <f t="shared" si="706"/>
        <v>25</v>
      </c>
      <c r="BN769" s="237">
        <f t="shared" si="721"/>
        <v>39.516666666666666</v>
      </c>
      <c r="BO769" s="253">
        <f t="shared" si="722"/>
        <v>3.877011788826243</v>
      </c>
      <c r="BP769" s="253" cm="1">
        <f t="array" ref="BP769">$BC769 * IF($AD769&lt;=2,
SUMPRODUCT(INDEX($AL$67:$AN$71,,$AE769), INDEX($AO$67:$AU$71,,$AD769), 1 / ($AV$67:$AV$71*BO769 + (1-$AV$67:$AV$71)*BK769), N($AK$67:$AK$71&gt;$AI769)),
SUMPRODUCT(INDEX($AL$57:$AN$66,,$AE769), INDEX($AO$57:$AU$66,,$AD769), 1 / ($AW$57:$AW$66*BO769 + (1-$AW$57:$AW$66)*BK769), N($AK$57:$AK$66&gt;$AI769))
) / 1000</f>
        <v>0</v>
      </c>
      <c r="BQ769" s="250">
        <f t="shared" si="707"/>
        <v>20</v>
      </c>
      <c r="BR769" s="237">
        <f t="shared" si="723"/>
        <v>33</v>
      </c>
      <c r="BS769" s="253">
        <f t="shared" si="724"/>
        <v>4.8487499999999999</v>
      </c>
      <c r="BT769" s="253" cm="1">
        <f t="array" ref="BT769">$BC769 * IF($AD769&lt;=2,
SUMPRODUCT(INDEX($AL$62:$AN$66,,$AE769), INDEX($AO$62:$AU$66,,$AD769), 1 / ($AV$62:$AV$66*BS769 + (1-$AV$62:$AV$66)*BO769), N($AK$62:$AK$66&gt;$AI769)),
SUMPRODUCT(INDEX($AL$47:$AN$56,,$AE769), INDEX($AO$47:$AU$56,,$AD769), 1 / ($AW$47:$AW$56*BS769 + (1-$AW$47:$AW$56)*BO769), N($AK$47:$AK$56&gt;$AI769))
) / 1000</f>
        <v>0</v>
      </c>
      <c r="BU769" s="253" cm="1">
        <f t="array" ref="BU769">$BC769 * IF($AD769&lt;=2,
SUMPRODUCT(INDEX($AL$23:$AN$61,,$AE769), INDEX($AO$23:$AU$61,,$AD769), 1 / ($AV$23:$AV$61*BS769), N($AK$23:$AK$61&gt;$AI769)),
SUMPRODUCT(INDEX($AL$23:$AN$46,,$AE769), INDEX($AO$23:$AU$46,,$AD769), 1 / ($AW$23:$AW$46*BS769), N($AK$23:$AK$46&gt;$AI769))
) / 1000</f>
        <v>0</v>
      </c>
      <c r="BV769" s="237">
        <f t="shared" si="725"/>
        <v>0</v>
      </c>
      <c r="BW769" s="210"/>
      <c r="BX769" s="237">
        <f t="shared" si="726"/>
        <v>0</v>
      </c>
      <c r="BY769" s="236">
        <v>35</v>
      </c>
      <c r="BZ769" s="237">
        <f t="shared" si="727"/>
        <v>48</v>
      </c>
      <c r="CA769" s="253">
        <f t="shared" si="728"/>
        <v>3.0748170731707316</v>
      </c>
      <c r="CB769" s="253" cm="1">
        <f t="array" ref="CB769">$BC769 * SUMPRODUCT(INDEX($AL$77:$AN$82,,$AE769),INDEX($AO$77:$AU$82,,$AD769), N($AK$77:$AK$82&gt;$AI769)) / CA769 / 1000</f>
        <v>0</v>
      </c>
      <c r="CC769" s="250">
        <f t="shared" si="708"/>
        <v>30</v>
      </c>
      <c r="CD769" s="237">
        <f t="shared" si="729"/>
        <v>43</v>
      </c>
      <c r="CE769" s="253">
        <f t="shared" si="730"/>
        <v>3.5018750000000001</v>
      </c>
      <c r="CF769" s="253" cm="1">
        <f t="array" ref="CF769">$BC769 * IF($AD769&lt;=2,
SUMPRODUCT(INDEX($AL$72:$AN$76,,$AE769), INDEX($AO$72:$AU$76,,$AD769), 1 / ($AV$72:$AV$76*CE769 + (1-$AV$72:$AV$76)*CA769), N($AK$72:$AK$76&gt;$AI769)),
SUMPRODUCT(INDEX($AL$67:$AN$76,,$AE769), INDEX($AO$67:$AU$76,,$AD769), 1 / ($AW$67:$AW$76*CE769 + (1-$AW$67:$AW$76)*CA769), N($AK$67:$AK$76&gt;$AI769))
) / 1000</f>
        <v>0</v>
      </c>
      <c r="CG769" s="250">
        <f t="shared" si="709"/>
        <v>25</v>
      </c>
      <c r="CH769" s="237">
        <f t="shared" si="731"/>
        <v>38</v>
      </c>
      <c r="CI769" s="253">
        <f t="shared" si="732"/>
        <v>4.0666935483870965</v>
      </c>
      <c r="CJ769" s="253" cm="1">
        <f t="array" ref="CJ769">$BC769 * IF($AD769&lt;=2,
SUMPRODUCT(INDEX($AL$67:$AN$71,,$AE769), INDEX($AO$67:$AU$71,,$AD769), 1 / ($AV$67:$AV$71*CI769 + (1-$AV$67:$AV$71)*CE769), N($AK$67:$AK$71&gt;$AI769)),
SUMPRODUCT(INDEX($AL$57:$AN$66,,$AE769), INDEX($AO$57:$AU$66,,$AD769), 1 / ($AW$57:$AW$66*CI769 + (1-$AW$57:$AW$66)*CE769), N($AK$57:$AK$66&gt;$AI769))
) / 1000</f>
        <v>0</v>
      </c>
      <c r="CK769" s="250">
        <f t="shared" si="710"/>
        <v>20</v>
      </c>
      <c r="CL769" s="237">
        <f t="shared" si="733"/>
        <v>33</v>
      </c>
      <c r="CM769" s="253">
        <f t="shared" si="734"/>
        <v>4.8487499999999999</v>
      </c>
      <c r="CN769" s="253" cm="1">
        <f t="array" ref="CN769">$BC769 * IF($AD769&lt;=2,
SUMPRODUCT(INDEX($AL$62:$AN$66,,$AE769), INDEX($AO$62:$AU$66,,$AD769), 1 / ($AV$62:$AV$66*CM769 + (1-$AV$62:$AV$66)*CI769), N($AK$62:$AK$66&gt;$AI769)),
SUMPRODUCT(INDEX($AL$47:$AN$56,,$AE769), INDEX($AO$47:$AU$56,,$AD769), 1 / ($AW$47:$AW$56*CM769 + (1-$AW$47:$AW$56)*CI769), N($AK$47:$AK$56&gt;$AI769))
) / 1000</f>
        <v>0</v>
      </c>
      <c r="CO769" s="253" cm="1">
        <f t="array" ref="CO769">$BC769 * IF($AD769&lt;=2,
SUMPRODUCT(INDEX($AL$23:$AN$61,,$AE769), INDEX($AO$23:$AU$61,,$AD769), 1 / ($AV$23:$AV$61*CM769), N($AK$23:$AK$61&gt;$AI769)),
SUMPRODUCT(INDEX($AL$23:$AN$46,,$AE769), INDEX($AO$23:$AU$46,,$AD769), 1 / ($AW$23:$AW$46*CM769), N($AK$23:$AK$46&gt;$AI769))
) / 1000</f>
        <v>0</v>
      </c>
      <c r="CP769" s="237">
        <f t="shared" si="735"/>
        <v>0</v>
      </c>
      <c r="CQ769" s="210"/>
    </row>
    <row r="770" spans="1:95" s="76" customFormat="1" ht="14.25" customHeight="1" x14ac:dyDescent="0.2">
      <c r="A770" s="238" t="b">
        <f t="shared" si="702"/>
        <v>0</v>
      </c>
      <c r="B770" s="239">
        <v>748</v>
      </c>
      <c r="C770" s="258"/>
      <c r="D770" s="258"/>
      <c r="E770" s="240"/>
      <c r="F770" s="241" t="str">
        <f>IF(ISBLANK(E770), "", VLOOKUP(E770, Z!$A$2:$C$4127, 3, FALSE))</f>
        <v/>
      </c>
      <c r="G770" s="242"/>
      <c r="H770" s="242"/>
      <c r="I770" s="243"/>
      <c r="J770" s="244"/>
      <c r="K770" s="259"/>
      <c r="L770" s="260"/>
      <c r="M770" s="247" t="str" cm="1">
        <f t="array" ref="M770">IF($K770&gt;0, INDEX(Clean,1+AG770,$C$1), "")</f>
        <v/>
      </c>
      <c r="N770" s="245"/>
      <c r="O770" s="245"/>
      <c r="P770" s="246"/>
      <c r="Q770" s="248">
        <f t="shared" si="712"/>
        <v>0</v>
      </c>
      <c r="R770" s="247" t="str" cm="1">
        <f t="array" ref="R770">IF($K770&gt;0, INDEX(Clean,1+AH770,$C$1), "")</f>
        <v/>
      </c>
      <c r="S770" s="245"/>
      <c r="T770" s="245"/>
      <c r="U770" s="246"/>
      <c r="V770" s="248">
        <f t="shared" si="713"/>
        <v>0</v>
      </c>
      <c r="W770" s="261"/>
      <c r="X770" s="258"/>
      <c r="Y770" s="240"/>
      <c r="Z770" s="241" t="str">
        <f>IF(ISBLANK(Y770), "", VLOOKUP(Y770, Z!$A$2:$C$4127, 3, FALSE))</f>
        <v/>
      </c>
      <c r="AA770" s="262"/>
      <c r="AB770" s="249">
        <f t="shared" si="711"/>
        <v>0</v>
      </c>
      <c r="AC770" s="210"/>
      <c r="AD770" s="236">
        <f t="shared" si="736"/>
        <v>1</v>
      </c>
      <c r="AE770" s="236">
        <f t="shared" si="737"/>
        <v>1</v>
      </c>
      <c r="AF770" s="236">
        <f t="shared" si="738"/>
        <v>0</v>
      </c>
      <c r="AG770" s="236">
        <v>1</v>
      </c>
      <c r="AH770" s="236">
        <v>0</v>
      </c>
      <c r="AI770" s="236">
        <f t="shared" si="714"/>
        <v>-100</v>
      </c>
      <c r="AJ770" s="210"/>
      <c r="AK770" s="254"/>
      <c r="AL770" s="254"/>
      <c r="AM770" s="255"/>
      <c r="AN770" s="255"/>
      <c r="AO770" s="255"/>
      <c r="AP770" s="255"/>
      <c r="AQ770" s="255"/>
      <c r="AR770" s="255"/>
      <c r="AS770" s="255"/>
      <c r="AT770" s="255"/>
      <c r="AU770" s="255"/>
      <c r="AV770" s="255"/>
      <c r="AW770" s="255"/>
      <c r="AX770" s="210"/>
      <c r="AY770" s="236" cm="1">
        <f t="array" ref="AY770">INDEX(Use, $AD770, 4)</f>
        <v>7</v>
      </c>
      <c r="AZ770" s="236">
        <f t="shared" si="715"/>
        <v>32</v>
      </c>
      <c r="BA770" s="236">
        <f t="shared" si="703"/>
        <v>13</v>
      </c>
      <c r="BB770" s="236">
        <f t="shared" si="704"/>
        <v>0</v>
      </c>
      <c r="BC770" s="252" cm="1">
        <f t="array" ref="BC770">K770/IF($L770&gt;0, INDEX($AO$23:$AU$77, $L770+20, $AD770), 1)</f>
        <v>0</v>
      </c>
      <c r="BD770" s="237">
        <f t="shared" si="716"/>
        <v>0</v>
      </c>
      <c r="BE770" s="236">
        <v>35</v>
      </c>
      <c r="BF770" s="237">
        <f t="shared" si="717"/>
        <v>52.55</v>
      </c>
      <c r="BG770" s="253">
        <f t="shared" si="718"/>
        <v>2.7676728869374316</v>
      </c>
      <c r="BH770" s="253" cm="1">
        <f t="array" ref="BH770">$BC770 * SUMPRODUCT(INDEX($AL$77:$AN$82,,$AE770),INDEX($AO$77:$AU$82,,$AD770), N($AK$77:$AK$82&gt;$AI770)) / BG770 / 1000</f>
        <v>0</v>
      </c>
      <c r="BI770" s="250">
        <f t="shared" si="705"/>
        <v>30</v>
      </c>
      <c r="BJ770" s="237">
        <f t="shared" si="719"/>
        <v>46.033333333333331</v>
      </c>
      <c r="BK770" s="253">
        <f t="shared" si="720"/>
        <v>3.2297395388556791</v>
      </c>
      <c r="BL770" s="253" cm="1">
        <f t="array" ref="BL770">$BC770 * IF($AD770&lt;=2,
SUMPRODUCT(INDEX($AL$72:$AN$76,,$AE770), INDEX($AO$72:$AU$76,,$AD770), 1 / ($AV$72:$AV$76*BK770 + (1-$AV$72:$AV$76)*BG770), N($AK$72:$AK$76&gt;$AI770)),
SUMPRODUCT(INDEX($AL$67:$AN$76,,$AE770), INDEX($AO$67:$AU$76,,$AD770), 1 / ($AW$67:$AW$76*BK770 + (1-$AW$67:$AW$76)*BG770), N($AK$67:$AK$76&gt;$AI770))
) / 1000</f>
        <v>0</v>
      </c>
      <c r="BM770" s="250">
        <f t="shared" si="706"/>
        <v>25</v>
      </c>
      <c r="BN770" s="237">
        <f t="shared" si="721"/>
        <v>39.516666666666666</v>
      </c>
      <c r="BO770" s="253">
        <f t="shared" si="722"/>
        <v>3.877011788826243</v>
      </c>
      <c r="BP770" s="253" cm="1">
        <f t="array" ref="BP770">$BC770 * IF($AD770&lt;=2,
SUMPRODUCT(INDEX($AL$67:$AN$71,,$AE770), INDEX($AO$67:$AU$71,,$AD770), 1 / ($AV$67:$AV$71*BO770 + (1-$AV$67:$AV$71)*BK770), N($AK$67:$AK$71&gt;$AI770)),
SUMPRODUCT(INDEX($AL$57:$AN$66,,$AE770), INDEX($AO$57:$AU$66,,$AD770), 1 / ($AW$57:$AW$66*BO770 + (1-$AW$57:$AW$66)*BK770), N($AK$57:$AK$66&gt;$AI770))
) / 1000</f>
        <v>0</v>
      </c>
      <c r="BQ770" s="250">
        <f t="shared" si="707"/>
        <v>20</v>
      </c>
      <c r="BR770" s="237">
        <f t="shared" si="723"/>
        <v>33</v>
      </c>
      <c r="BS770" s="253">
        <f t="shared" si="724"/>
        <v>4.8487499999999999</v>
      </c>
      <c r="BT770" s="253" cm="1">
        <f t="array" ref="BT770">$BC770 * IF($AD770&lt;=2,
SUMPRODUCT(INDEX($AL$62:$AN$66,,$AE770), INDEX($AO$62:$AU$66,,$AD770), 1 / ($AV$62:$AV$66*BS770 + (1-$AV$62:$AV$66)*BO770), N($AK$62:$AK$66&gt;$AI770)),
SUMPRODUCT(INDEX($AL$47:$AN$56,,$AE770), INDEX($AO$47:$AU$56,,$AD770), 1 / ($AW$47:$AW$56*BS770 + (1-$AW$47:$AW$56)*BO770), N($AK$47:$AK$56&gt;$AI770))
) / 1000</f>
        <v>0</v>
      </c>
      <c r="BU770" s="253" cm="1">
        <f t="array" ref="BU770">$BC770 * IF($AD770&lt;=2,
SUMPRODUCT(INDEX($AL$23:$AN$61,,$AE770), INDEX($AO$23:$AU$61,,$AD770), 1 / ($AV$23:$AV$61*BS770), N($AK$23:$AK$61&gt;$AI770)),
SUMPRODUCT(INDEX($AL$23:$AN$46,,$AE770), INDEX($AO$23:$AU$46,,$AD770), 1 / ($AW$23:$AW$46*BS770), N($AK$23:$AK$46&gt;$AI770))
) / 1000</f>
        <v>0</v>
      </c>
      <c r="BV770" s="237">
        <f t="shared" si="725"/>
        <v>0</v>
      </c>
      <c r="BW770" s="210"/>
      <c r="BX770" s="237">
        <f t="shared" si="726"/>
        <v>0</v>
      </c>
      <c r="BY770" s="236">
        <v>35</v>
      </c>
      <c r="BZ770" s="237">
        <f t="shared" si="727"/>
        <v>48</v>
      </c>
      <c r="CA770" s="253">
        <f t="shared" si="728"/>
        <v>3.0748170731707316</v>
      </c>
      <c r="CB770" s="253" cm="1">
        <f t="array" ref="CB770">$BC770 * SUMPRODUCT(INDEX($AL$77:$AN$82,,$AE770),INDEX($AO$77:$AU$82,,$AD770), N($AK$77:$AK$82&gt;$AI770)) / CA770 / 1000</f>
        <v>0</v>
      </c>
      <c r="CC770" s="250">
        <f t="shared" si="708"/>
        <v>30</v>
      </c>
      <c r="CD770" s="237">
        <f t="shared" si="729"/>
        <v>43</v>
      </c>
      <c r="CE770" s="253">
        <f t="shared" si="730"/>
        <v>3.5018750000000001</v>
      </c>
      <c r="CF770" s="253" cm="1">
        <f t="array" ref="CF770">$BC770 * IF($AD770&lt;=2,
SUMPRODUCT(INDEX($AL$72:$AN$76,,$AE770), INDEX($AO$72:$AU$76,,$AD770), 1 / ($AV$72:$AV$76*CE770 + (1-$AV$72:$AV$76)*CA770), N($AK$72:$AK$76&gt;$AI770)),
SUMPRODUCT(INDEX($AL$67:$AN$76,,$AE770), INDEX($AO$67:$AU$76,,$AD770), 1 / ($AW$67:$AW$76*CE770 + (1-$AW$67:$AW$76)*CA770), N($AK$67:$AK$76&gt;$AI770))
) / 1000</f>
        <v>0</v>
      </c>
      <c r="CG770" s="250">
        <f t="shared" si="709"/>
        <v>25</v>
      </c>
      <c r="CH770" s="237">
        <f t="shared" si="731"/>
        <v>38</v>
      </c>
      <c r="CI770" s="253">
        <f t="shared" si="732"/>
        <v>4.0666935483870965</v>
      </c>
      <c r="CJ770" s="253" cm="1">
        <f t="array" ref="CJ770">$BC770 * IF($AD770&lt;=2,
SUMPRODUCT(INDEX($AL$67:$AN$71,,$AE770), INDEX($AO$67:$AU$71,,$AD770), 1 / ($AV$67:$AV$71*CI770 + (1-$AV$67:$AV$71)*CE770), N($AK$67:$AK$71&gt;$AI770)),
SUMPRODUCT(INDEX($AL$57:$AN$66,,$AE770), INDEX($AO$57:$AU$66,,$AD770), 1 / ($AW$57:$AW$66*CI770 + (1-$AW$57:$AW$66)*CE770), N($AK$57:$AK$66&gt;$AI770))
) / 1000</f>
        <v>0</v>
      </c>
      <c r="CK770" s="250">
        <f t="shared" si="710"/>
        <v>20</v>
      </c>
      <c r="CL770" s="237">
        <f t="shared" si="733"/>
        <v>33</v>
      </c>
      <c r="CM770" s="253">
        <f t="shared" si="734"/>
        <v>4.8487499999999999</v>
      </c>
      <c r="CN770" s="253" cm="1">
        <f t="array" ref="CN770">$BC770 * IF($AD770&lt;=2,
SUMPRODUCT(INDEX($AL$62:$AN$66,,$AE770), INDEX($AO$62:$AU$66,,$AD770), 1 / ($AV$62:$AV$66*CM770 + (1-$AV$62:$AV$66)*CI770), N($AK$62:$AK$66&gt;$AI770)),
SUMPRODUCT(INDEX($AL$47:$AN$56,,$AE770), INDEX($AO$47:$AU$56,,$AD770), 1 / ($AW$47:$AW$56*CM770 + (1-$AW$47:$AW$56)*CI770), N($AK$47:$AK$56&gt;$AI770))
) / 1000</f>
        <v>0</v>
      </c>
      <c r="CO770" s="253" cm="1">
        <f t="array" ref="CO770">$BC770 * IF($AD770&lt;=2,
SUMPRODUCT(INDEX($AL$23:$AN$61,,$AE770), INDEX($AO$23:$AU$61,,$AD770), 1 / ($AV$23:$AV$61*CM770), N($AK$23:$AK$61&gt;$AI770)),
SUMPRODUCT(INDEX($AL$23:$AN$46,,$AE770), INDEX($AO$23:$AU$46,,$AD770), 1 / ($AW$23:$AW$46*CM770), N($AK$23:$AK$46&gt;$AI770))
) / 1000</f>
        <v>0</v>
      </c>
      <c r="CP770" s="237">
        <f t="shared" si="735"/>
        <v>0</v>
      </c>
      <c r="CQ770" s="210"/>
    </row>
    <row r="771" spans="1:95" s="76" customFormat="1" ht="14.25" customHeight="1" x14ac:dyDescent="0.2">
      <c r="A771" s="238" t="b">
        <f t="shared" si="702"/>
        <v>0</v>
      </c>
      <c r="B771" s="239">
        <v>749</v>
      </c>
      <c r="C771" s="258"/>
      <c r="D771" s="258"/>
      <c r="E771" s="240"/>
      <c r="F771" s="241" t="str">
        <f>IF(ISBLANK(E771), "", VLOOKUP(E771, Z!$A$2:$C$4127, 3, FALSE))</f>
        <v/>
      </c>
      <c r="G771" s="242"/>
      <c r="H771" s="242"/>
      <c r="I771" s="243"/>
      <c r="J771" s="244"/>
      <c r="K771" s="259"/>
      <c r="L771" s="260"/>
      <c r="M771" s="247" t="str" cm="1">
        <f t="array" ref="M771">IF($K771&gt;0, INDEX(Clean,1+AG771,$C$1), "")</f>
        <v/>
      </c>
      <c r="N771" s="245"/>
      <c r="O771" s="245"/>
      <c r="P771" s="246"/>
      <c r="Q771" s="248">
        <f t="shared" si="712"/>
        <v>0</v>
      </c>
      <c r="R771" s="247" t="str" cm="1">
        <f t="array" ref="R771">IF($K771&gt;0, INDEX(Clean,1+AH771,$C$1), "")</f>
        <v/>
      </c>
      <c r="S771" s="245"/>
      <c r="T771" s="245"/>
      <c r="U771" s="246"/>
      <c r="V771" s="248">
        <f t="shared" si="713"/>
        <v>0</v>
      </c>
      <c r="W771" s="261"/>
      <c r="X771" s="258"/>
      <c r="Y771" s="240"/>
      <c r="Z771" s="241" t="str">
        <f>IF(ISBLANK(Y771), "", VLOOKUP(Y771, Z!$A$2:$C$4127, 3, FALSE))</f>
        <v/>
      </c>
      <c r="AA771" s="262"/>
      <c r="AB771" s="249">
        <f t="shared" si="711"/>
        <v>0</v>
      </c>
      <c r="AC771" s="210"/>
      <c r="AD771" s="236">
        <f t="shared" si="736"/>
        <v>1</v>
      </c>
      <c r="AE771" s="236">
        <f t="shared" si="737"/>
        <v>1</v>
      </c>
      <c r="AF771" s="236">
        <f t="shared" si="738"/>
        <v>0</v>
      </c>
      <c r="AG771" s="236">
        <v>1</v>
      </c>
      <c r="AH771" s="236">
        <v>0</v>
      </c>
      <c r="AI771" s="236">
        <f t="shared" si="714"/>
        <v>-100</v>
      </c>
      <c r="AJ771" s="210"/>
      <c r="AK771" s="254"/>
      <c r="AL771" s="254"/>
      <c r="AM771" s="255"/>
      <c r="AN771" s="255"/>
      <c r="AO771" s="255"/>
      <c r="AP771" s="255"/>
      <c r="AQ771" s="255"/>
      <c r="AR771" s="255"/>
      <c r="AS771" s="255"/>
      <c r="AT771" s="255"/>
      <c r="AU771" s="255"/>
      <c r="AV771" s="255"/>
      <c r="AW771" s="255"/>
      <c r="AX771" s="210"/>
      <c r="AY771" s="236" cm="1">
        <f t="array" ref="AY771">INDEX(Use, $AD771, 4)</f>
        <v>7</v>
      </c>
      <c r="AZ771" s="236">
        <f t="shared" si="715"/>
        <v>32</v>
      </c>
      <c r="BA771" s="236">
        <f t="shared" si="703"/>
        <v>13</v>
      </c>
      <c r="BB771" s="236">
        <f t="shared" si="704"/>
        <v>0</v>
      </c>
      <c r="BC771" s="252" cm="1">
        <f t="array" ref="BC771">K771/IF($L771&gt;0, INDEX($AO$23:$AU$77, $L771+20, $AD771), 1)</f>
        <v>0</v>
      </c>
      <c r="BD771" s="237">
        <f t="shared" si="716"/>
        <v>0</v>
      </c>
      <c r="BE771" s="236">
        <v>35</v>
      </c>
      <c r="BF771" s="237">
        <f t="shared" si="717"/>
        <v>52.55</v>
      </c>
      <c r="BG771" s="253">
        <f t="shared" si="718"/>
        <v>2.7676728869374316</v>
      </c>
      <c r="BH771" s="253" cm="1">
        <f t="array" ref="BH771">$BC771 * SUMPRODUCT(INDEX($AL$77:$AN$82,,$AE771),INDEX($AO$77:$AU$82,,$AD771), N($AK$77:$AK$82&gt;$AI771)) / BG771 / 1000</f>
        <v>0</v>
      </c>
      <c r="BI771" s="250">
        <f t="shared" si="705"/>
        <v>30</v>
      </c>
      <c r="BJ771" s="237">
        <f t="shared" si="719"/>
        <v>46.033333333333331</v>
      </c>
      <c r="BK771" s="253">
        <f t="shared" si="720"/>
        <v>3.2297395388556791</v>
      </c>
      <c r="BL771" s="253" cm="1">
        <f t="array" ref="BL771">$BC771 * IF($AD771&lt;=2,
SUMPRODUCT(INDEX($AL$72:$AN$76,,$AE771), INDEX($AO$72:$AU$76,,$AD771), 1 / ($AV$72:$AV$76*BK771 + (1-$AV$72:$AV$76)*BG771), N($AK$72:$AK$76&gt;$AI771)),
SUMPRODUCT(INDEX($AL$67:$AN$76,,$AE771), INDEX($AO$67:$AU$76,,$AD771), 1 / ($AW$67:$AW$76*BK771 + (1-$AW$67:$AW$76)*BG771), N($AK$67:$AK$76&gt;$AI771))
) / 1000</f>
        <v>0</v>
      </c>
      <c r="BM771" s="250">
        <f t="shared" si="706"/>
        <v>25</v>
      </c>
      <c r="BN771" s="237">
        <f t="shared" si="721"/>
        <v>39.516666666666666</v>
      </c>
      <c r="BO771" s="253">
        <f t="shared" si="722"/>
        <v>3.877011788826243</v>
      </c>
      <c r="BP771" s="253" cm="1">
        <f t="array" ref="BP771">$BC771 * IF($AD771&lt;=2,
SUMPRODUCT(INDEX($AL$67:$AN$71,,$AE771), INDEX($AO$67:$AU$71,,$AD771), 1 / ($AV$67:$AV$71*BO771 + (1-$AV$67:$AV$71)*BK771), N($AK$67:$AK$71&gt;$AI771)),
SUMPRODUCT(INDEX($AL$57:$AN$66,,$AE771), INDEX($AO$57:$AU$66,,$AD771), 1 / ($AW$57:$AW$66*BO771 + (1-$AW$57:$AW$66)*BK771), N($AK$57:$AK$66&gt;$AI771))
) / 1000</f>
        <v>0</v>
      </c>
      <c r="BQ771" s="250">
        <f t="shared" si="707"/>
        <v>20</v>
      </c>
      <c r="BR771" s="237">
        <f t="shared" si="723"/>
        <v>33</v>
      </c>
      <c r="BS771" s="253">
        <f t="shared" si="724"/>
        <v>4.8487499999999999</v>
      </c>
      <c r="BT771" s="253" cm="1">
        <f t="array" ref="BT771">$BC771 * IF($AD771&lt;=2,
SUMPRODUCT(INDEX($AL$62:$AN$66,,$AE771), INDEX($AO$62:$AU$66,,$AD771), 1 / ($AV$62:$AV$66*BS771 + (1-$AV$62:$AV$66)*BO771), N($AK$62:$AK$66&gt;$AI771)),
SUMPRODUCT(INDEX($AL$47:$AN$56,,$AE771), INDEX($AO$47:$AU$56,,$AD771), 1 / ($AW$47:$AW$56*BS771 + (1-$AW$47:$AW$56)*BO771), N($AK$47:$AK$56&gt;$AI771))
) / 1000</f>
        <v>0</v>
      </c>
      <c r="BU771" s="253" cm="1">
        <f t="array" ref="BU771">$BC771 * IF($AD771&lt;=2,
SUMPRODUCT(INDEX($AL$23:$AN$61,,$AE771), INDEX($AO$23:$AU$61,,$AD771), 1 / ($AV$23:$AV$61*BS771), N($AK$23:$AK$61&gt;$AI771)),
SUMPRODUCT(INDEX($AL$23:$AN$46,,$AE771), INDEX($AO$23:$AU$46,,$AD771), 1 / ($AW$23:$AW$46*BS771), N($AK$23:$AK$46&gt;$AI771))
) / 1000</f>
        <v>0</v>
      </c>
      <c r="BV771" s="237">
        <f t="shared" si="725"/>
        <v>0</v>
      </c>
      <c r="BW771" s="210"/>
      <c r="BX771" s="237">
        <f t="shared" si="726"/>
        <v>0</v>
      </c>
      <c r="BY771" s="236">
        <v>35</v>
      </c>
      <c r="BZ771" s="237">
        <f t="shared" si="727"/>
        <v>48</v>
      </c>
      <c r="CA771" s="253">
        <f t="shared" si="728"/>
        <v>3.0748170731707316</v>
      </c>
      <c r="CB771" s="253" cm="1">
        <f t="array" ref="CB771">$BC771 * SUMPRODUCT(INDEX($AL$77:$AN$82,,$AE771),INDEX($AO$77:$AU$82,,$AD771), N($AK$77:$AK$82&gt;$AI771)) / CA771 / 1000</f>
        <v>0</v>
      </c>
      <c r="CC771" s="250">
        <f t="shared" si="708"/>
        <v>30</v>
      </c>
      <c r="CD771" s="237">
        <f t="shared" si="729"/>
        <v>43</v>
      </c>
      <c r="CE771" s="253">
        <f t="shared" si="730"/>
        <v>3.5018750000000001</v>
      </c>
      <c r="CF771" s="253" cm="1">
        <f t="array" ref="CF771">$BC771 * IF($AD771&lt;=2,
SUMPRODUCT(INDEX($AL$72:$AN$76,,$AE771), INDEX($AO$72:$AU$76,,$AD771), 1 / ($AV$72:$AV$76*CE771 + (1-$AV$72:$AV$76)*CA771), N($AK$72:$AK$76&gt;$AI771)),
SUMPRODUCT(INDEX($AL$67:$AN$76,,$AE771), INDEX($AO$67:$AU$76,,$AD771), 1 / ($AW$67:$AW$76*CE771 + (1-$AW$67:$AW$76)*CA771), N($AK$67:$AK$76&gt;$AI771))
) / 1000</f>
        <v>0</v>
      </c>
      <c r="CG771" s="250">
        <f t="shared" si="709"/>
        <v>25</v>
      </c>
      <c r="CH771" s="237">
        <f t="shared" si="731"/>
        <v>38</v>
      </c>
      <c r="CI771" s="253">
        <f t="shared" si="732"/>
        <v>4.0666935483870965</v>
      </c>
      <c r="CJ771" s="253" cm="1">
        <f t="array" ref="CJ771">$BC771 * IF($AD771&lt;=2,
SUMPRODUCT(INDEX($AL$67:$AN$71,,$AE771), INDEX($AO$67:$AU$71,,$AD771), 1 / ($AV$67:$AV$71*CI771 + (1-$AV$67:$AV$71)*CE771), N($AK$67:$AK$71&gt;$AI771)),
SUMPRODUCT(INDEX($AL$57:$AN$66,,$AE771), INDEX($AO$57:$AU$66,,$AD771), 1 / ($AW$57:$AW$66*CI771 + (1-$AW$57:$AW$66)*CE771), N($AK$57:$AK$66&gt;$AI771))
) / 1000</f>
        <v>0</v>
      </c>
      <c r="CK771" s="250">
        <f t="shared" si="710"/>
        <v>20</v>
      </c>
      <c r="CL771" s="237">
        <f t="shared" si="733"/>
        <v>33</v>
      </c>
      <c r="CM771" s="253">
        <f t="shared" si="734"/>
        <v>4.8487499999999999</v>
      </c>
      <c r="CN771" s="253" cm="1">
        <f t="array" ref="CN771">$BC771 * IF($AD771&lt;=2,
SUMPRODUCT(INDEX($AL$62:$AN$66,,$AE771), INDEX($AO$62:$AU$66,,$AD771), 1 / ($AV$62:$AV$66*CM771 + (1-$AV$62:$AV$66)*CI771), N($AK$62:$AK$66&gt;$AI771)),
SUMPRODUCT(INDEX($AL$47:$AN$56,,$AE771), INDEX($AO$47:$AU$56,,$AD771), 1 / ($AW$47:$AW$56*CM771 + (1-$AW$47:$AW$56)*CI771), N($AK$47:$AK$56&gt;$AI771))
) / 1000</f>
        <v>0</v>
      </c>
      <c r="CO771" s="253" cm="1">
        <f t="array" ref="CO771">$BC771 * IF($AD771&lt;=2,
SUMPRODUCT(INDEX($AL$23:$AN$61,,$AE771), INDEX($AO$23:$AU$61,,$AD771), 1 / ($AV$23:$AV$61*CM771), N($AK$23:$AK$61&gt;$AI771)),
SUMPRODUCT(INDEX($AL$23:$AN$46,,$AE771), INDEX($AO$23:$AU$46,,$AD771), 1 / ($AW$23:$AW$46*CM771), N($AK$23:$AK$46&gt;$AI771))
) / 1000</f>
        <v>0</v>
      </c>
      <c r="CP771" s="237">
        <f t="shared" si="735"/>
        <v>0</v>
      </c>
      <c r="CQ771" s="210"/>
    </row>
    <row r="772" spans="1:95" s="76" customFormat="1" ht="14.25" customHeight="1" x14ac:dyDescent="0.2">
      <c r="A772" s="238" t="b">
        <f t="shared" si="702"/>
        <v>0</v>
      </c>
      <c r="B772" s="239">
        <v>750</v>
      </c>
      <c r="C772" s="258"/>
      <c r="D772" s="258"/>
      <c r="E772" s="240"/>
      <c r="F772" s="241" t="str">
        <f>IF(ISBLANK(E772), "", VLOOKUP(E772, Z!$A$2:$C$4127, 3, FALSE))</f>
        <v/>
      </c>
      <c r="G772" s="242"/>
      <c r="H772" s="242"/>
      <c r="I772" s="243"/>
      <c r="J772" s="244"/>
      <c r="K772" s="259"/>
      <c r="L772" s="260"/>
      <c r="M772" s="247" t="str" cm="1">
        <f t="array" ref="M772">IF($K772&gt;0, INDEX(Clean,1+AG772,$C$1), "")</f>
        <v/>
      </c>
      <c r="N772" s="245"/>
      <c r="O772" s="245"/>
      <c r="P772" s="246"/>
      <c r="Q772" s="248">
        <f t="shared" si="712"/>
        <v>0</v>
      </c>
      <c r="R772" s="247" t="str" cm="1">
        <f t="array" ref="R772">IF($K772&gt;0, INDEX(Clean,1+AH772,$C$1), "")</f>
        <v/>
      </c>
      <c r="S772" s="245"/>
      <c r="T772" s="245"/>
      <c r="U772" s="246"/>
      <c r="V772" s="248">
        <f t="shared" si="713"/>
        <v>0</v>
      </c>
      <c r="W772" s="261"/>
      <c r="X772" s="258"/>
      <c r="Y772" s="240"/>
      <c r="Z772" s="241" t="str">
        <f>IF(ISBLANK(Y772), "", VLOOKUP(Y772, Z!$A$2:$C$4127, 3, FALSE))</f>
        <v/>
      </c>
      <c r="AA772" s="262"/>
      <c r="AB772" s="249">
        <f t="shared" si="711"/>
        <v>0</v>
      </c>
      <c r="AC772" s="210"/>
      <c r="AD772" s="236">
        <f t="shared" si="736"/>
        <v>1</v>
      </c>
      <c r="AE772" s="236">
        <f t="shared" si="737"/>
        <v>1</v>
      </c>
      <c r="AF772" s="236">
        <f t="shared" si="738"/>
        <v>0</v>
      </c>
      <c r="AG772" s="236">
        <v>1</v>
      </c>
      <c r="AH772" s="236">
        <v>0</v>
      </c>
      <c r="AI772" s="236">
        <f t="shared" si="714"/>
        <v>-100</v>
      </c>
      <c r="AJ772" s="210"/>
      <c r="AK772" s="254"/>
      <c r="AL772" s="254"/>
      <c r="AM772" s="255"/>
      <c r="AN772" s="255"/>
      <c r="AO772" s="255"/>
      <c r="AP772" s="255"/>
      <c r="AQ772" s="255"/>
      <c r="AR772" s="255"/>
      <c r="AS772" s="255"/>
      <c r="AT772" s="255"/>
      <c r="AU772" s="255"/>
      <c r="AV772" s="255"/>
      <c r="AW772" s="255"/>
      <c r="AX772" s="210"/>
      <c r="AY772" s="236" cm="1">
        <f t="array" ref="AY772">INDEX(Use, $AD772, 4)</f>
        <v>7</v>
      </c>
      <c r="AZ772" s="236">
        <f t="shared" si="715"/>
        <v>32</v>
      </c>
      <c r="BA772" s="236">
        <f t="shared" si="703"/>
        <v>13</v>
      </c>
      <c r="BB772" s="236">
        <f t="shared" si="704"/>
        <v>0</v>
      </c>
      <c r="BC772" s="252" cm="1">
        <f t="array" ref="BC772">K772/IF($L772&gt;0, INDEX($AO$23:$AU$77, $L772+20, $AD772), 1)</f>
        <v>0</v>
      </c>
      <c r="BD772" s="237">
        <f t="shared" si="716"/>
        <v>0</v>
      </c>
      <c r="BE772" s="236">
        <v>35</v>
      </c>
      <c r="BF772" s="237">
        <f t="shared" si="717"/>
        <v>52.55</v>
      </c>
      <c r="BG772" s="253">
        <f t="shared" si="718"/>
        <v>2.7676728869374316</v>
      </c>
      <c r="BH772" s="253" cm="1">
        <f t="array" ref="BH772">$BC772 * SUMPRODUCT(INDEX($AL$77:$AN$82,,$AE772),INDEX($AO$77:$AU$82,,$AD772), N($AK$77:$AK$82&gt;$AI772)) / BG772 / 1000</f>
        <v>0</v>
      </c>
      <c r="BI772" s="250">
        <f t="shared" si="705"/>
        <v>30</v>
      </c>
      <c r="BJ772" s="237">
        <f t="shared" si="719"/>
        <v>46.033333333333331</v>
      </c>
      <c r="BK772" s="253">
        <f t="shared" si="720"/>
        <v>3.2297395388556791</v>
      </c>
      <c r="BL772" s="253" cm="1">
        <f t="array" ref="BL772">$BC772 * IF($AD772&lt;=2,
SUMPRODUCT(INDEX($AL$72:$AN$76,,$AE772), INDEX($AO$72:$AU$76,,$AD772), 1 / ($AV$72:$AV$76*BK772 + (1-$AV$72:$AV$76)*BG772), N($AK$72:$AK$76&gt;$AI772)),
SUMPRODUCT(INDEX($AL$67:$AN$76,,$AE772), INDEX($AO$67:$AU$76,,$AD772), 1 / ($AW$67:$AW$76*BK772 + (1-$AW$67:$AW$76)*BG772), N($AK$67:$AK$76&gt;$AI772))
) / 1000</f>
        <v>0</v>
      </c>
      <c r="BM772" s="250">
        <f t="shared" si="706"/>
        <v>25</v>
      </c>
      <c r="BN772" s="237">
        <f t="shared" si="721"/>
        <v>39.516666666666666</v>
      </c>
      <c r="BO772" s="253">
        <f t="shared" si="722"/>
        <v>3.877011788826243</v>
      </c>
      <c r="BP772" s="253" cm="1">
        <f t="array" ref="BP772">$BC772 * IF($AD772&lt;=2,
SUMPRODUCT(INDEX($AL$67:$AN$71,,$AE772), INDEX($AO$67:$AU$71,,$AD772), 1 / ($AV$67:$AV$71*BO772 + (1-$AV$67:$AV$71)*BK772), N($AK$67:$AK$71&gt;$AI772)),
SUMPRODUCT(INDEX($AL$57:$AN$66,,$AE772), INDEX($AO$57:$AU$66,,$AD772), 1 / ($AW$57:$AW$66*BO772 + (1-$AW$57:$AW$66)*BK772), N($AK$57:$AK$66&gt;$AI772))
) / 1000</f>
        <v>0</v>
      </c>
      <c r="BQ772" s="250">
        <f t="shared" si="707"/>
        <v>20</v>
      </c>
      <c r="BR772" s="237">
        <f t="shared" si="723"/>
        <v>33</v>
      </c>
      <c r="BS772" s="253">
        <f t="shared" si="724"/>
        <v>4.8487499999999999</v>
      </c>
      <c r="BT772" s="253" cm="1">
        <f t="array" ref="BT772">$BC772 * IF($AD772&lt;=2,
SUMPRODUCT(INDEX($AL$62:$AN$66,,$AE772), INDEX($AO$62:$AU$66,,$AD772), 1 / ($AV$62:$AV$66*BS772 + (1-$AV$62:$AV$66)*BO772), N($AK$62:$AK$66&gt;$AI772)),
SUMPRODUCT(INDEX($AL$47:$AN$56,,$AE772), INDEX($AO$47:$AU$56,,$AD772), 1 / ($AW$47:$AW$56*BS772 + (1-$AW$47:$AW$56)*BO772), N($AK$47:$AK$56&gt;$AI772))
) / 1000</f>
        <v>0</v>
      </c>
      <c r="BU772" s="253" cm="1">
        <f t="array" ref="BU772">$BC772 * IF($AD772&lt;=2,
SUMPRODUCT(INDEX($AL$23:$AN$61,,$AE772), INDEX($AO$23:$AU$61,,$AD772), 1 / ($AV$23:$AV$61*BS772), N($AK$23:$AK$61&gt;$AI772)),
SUMPRODUCT(INDEX($AL$23:$AN$46,,$AE772), INDEX($AO$23:$AU$46,,$AD772), 1 / ($AW$23:$AW$46*BS772), N($AK$23:$AK$46&gt;$AI772))
) / 1000</f>
        <v>0</v>
      </c>
      <c r="BV772" s="237">
        <f t="shared" si="725"/>
        <v>0</v>
      </c>
      <c r="BW772" s="210"/>
      <c r="BX772" s="237">
        <f t="shared" si="726"/>
        <v>0</v>
      </c>
      <c r="BY772" s="236">
        <v>35</v>
      </c>
      <c r="BZ772" s="237">
        <f t="shared" si="727"/>
        <v>48</v>
      </c>
      <c r="CA772" s="253">
        <f t="shared" si="728"/>
        <v>3.0748170731707316</v>
      </c>
      <c r="CB772" s="253" cm="1">
        <f t="array" ref="CB772">$BC772 * SUMPRODUCT(INDEX($AL$77:$AN$82,,$AE772),INDEX($AO$77:$AU$82,,$AD772), N($AK$77:$AK$82&gt;$AI772)) / CA772 / 1000</f>
        <v>0</v>
      </c>
      <c r="CC772" s="250">
        <f t="shared" si="708"/>
        <v>30</v>
      </c>
      <c r="CD772" s="237">
        <f t="shared" si="729"/>
        <v>43</v>
      </c>
      <c r="CE772" s="253">
        <f t="shared" si="730"/>
        <v>3.5018750000000001</v>
      </c>
      <c r="CF772" s="253" cm="1">
        <f t="array" ref="CF772">$BC772 * IF($AD772&lt;=2,
SUMPRODUCT(INDEX($AL$72:$AN$76,,$AE772), INDEX($AO$72:$AU$76,,$AD772), 1 / ($AV$72:$AV$76*CE772 + (1-$AV$72:$AV$76)*CA772), N($AK$72:$AK$76&gt;$AI772)),
SUMPRODUCT(INDEX($AL$67:$AN$76,,$AE772), INDEX($AO$67:$AU$76,,$AD772), 1 / ($AW$67:$AW$76*CE772 + (1-$AW$67:$AW$76)*CA772), N($AK$67:$AK$76&gt;$AI772))
) / 1000</f>
        <v>0</v>
      </c>
      <c r="CG772" s="250">
        <f t="shared" si="709"/>
        <v>25</v>
      </c>
      <c r="CH772" s="237">
        <f t="shared" si="731"/>
        <v>38</v>
      </c>
      <c r="CI772" s="253">
        <f t="shared" si="732"/>
        <v>4.0666935483870965</v>
      </c>
      <c r="CJ772" s="253" cm="1">
        <f t="array" ref="CJ772">$BC772 * IF($AD772&lt;=2,
SUMPRODUCT(INDEX($AL$67:$AN$71,,$AE772), INDEX($AO$67:$AU$71,,$AD772), 1 / ($AV$67:$AV$71*CI772 + (1-$AV$67:$AV$71)*CE772), N($AK$67:$AK$71&gt;$AI772)),
SUMPRODUCT(INDEX($AL$57:$AN$66,,$AE772), INDEX($AO$57:$AU$66,,$AD772), 1 / ($AW$57:$AW$66*CI772 + (1-$AW$57:$AW$66)*CE772), N($AK$57:$AK$66&gt;$AI772))
) / 1000</f>
        <v>0</v>
      </c>
      <c r="CK772" s="250">
        <f t="shared" si="710"/>
        <v>20</v>
      </c>
      <c r="CL772" s="237">
        <f t="shared" si="733"/>
        <v>33</v>
      </c>
      <c r="CM772" s="253">
        <f t="shared" si="734"/>
        <v>4.8487499999999999</v>
      </c>
      <c r="CN772" s="253" cm="1">
        <f t="array" ref="CN772">$BC772 * IF($AD772&lt;=2,
SUMPRODUCT(INDEX($AL$62:$AN$66,,$AE772), INDEX($AO$62:$AU$66,,$AD772), 1 / ($AV$62:$AV$66*CM772 + (1-$AV$62:$AV$66)*CI772), N($AK$62:$AK$66&gt;$AI772)),
SUMPRODUCT(INDEX($AL$47:$AN$56,,$AE772), INDEX($AO$47:$AU$56,,$AD772), 1 / ($AW$47:$AW$56*CM772 + (1-$AW$47:$AW$56)*CI772), N($AK$47:$AK$56&gt;$AI772))
) / 1000</f>
        <v>0</v>
      </c>
      <c r="CO772" s="253" cm="1">
        <f t="array" ref="CO772">$BC772 * IF($AD772&lt;=2,
SUMPRODUCT(INDEX($AL$23:$AN$61,,$AE772), INDEX($AO$23:$AU$61,,$AD772), 1 / ($AV$23:$AV$61*CM772), N($AK$23:$AK$61&gt;$AI772)),
SUMPRODUCT(INDEX($AL$23:$AN$46,,$AE772), INDEX($AO$23:$AU$46,,$AD772), 1 / ($AW$23:$AW$46*CM772), N($AK$23:$AK$46&gt;$AI772))
) / 1000</f>
        <v>0</v>
      </c>
      <c r="CP772" s="237">
        <f t="shared" si="735"/>
        <v>0</v>
      </c>
      <c r="CQ772" s="210"/>
    </row>
    <row r="773" spans="1:95" s="76" customFormat="1" ht="14.25" customHeight="1" x14ac:dyDescent="0.2">
      <c r="A773" s="238" t="b">
        <f t="shared" si="702"/>
        <v>0</v>
      </c>
      <c r="B773" s="239">
        <v>751</v>
      </c>
      <c r="C773" s="258"/>
      <c r="D773" s="258"/>
      <c r="E773" s="240"/>
      <c r="F773" s="241" t="str">
        <f>IF(ISBLANK(E773), "", VLOOKUP(E773, Z!$A$2:$C$4127, 3, FALSE))</f>
        <v/>
      </c>
      <c r="G773" s="242"/>
      <c r="H773" s="242"/>
      <c r="I773" s="243"/>
      <c r="J773" s="244"/>
      <c r="K773" s="259"/>
      <c r="L773" s="260"/>
      <c r="M773" s="247" t="str" cm="1">
        <f t="array" ref="M773">IF($K773&gt;0, INDEX(Clean,1+AG773,$C$1), "")</f>
        <v/>
      </c>
      <c r="N773" s="245"/>
      <c r="O773" s="245"/>
      <c r="P773" s="246"/>
      <c r="Q773" s="248">
        <f t="shared" si="712"/>
        <v>0</v>
      </c>
      <c r="R773" s="247" t="str" cm="1">
        <f t="array" ref="R773">IF($K773&gt;0, INDEX(Clean,1+AH773,$C$1), "")</f>
        <v/>
      </c>
      <c r="S773" s="245"/>
      <c r="T773" s="245"/>
      <c r="U773" s="246"/>
      <c r="V773" s="248">
        <f t="shared" si="713"/>
        <v>0</v>
      </c>
      <c r="W773" s="261"/>
      <c r="X773" s="258"/>
      <c r="Y773" s="240"/>
      <c r="Z773" s="241" t="str">
        <f>IF(ISBLANK(Y773), "", VLOOKUP(Y773, Z!$A$2:$C$4127, 3, FALSE))</f>
        <v/>
      </c>
      <c r="AA773" s="262"/>
      <c r="AB773" s="249">
        <f t="shared" si="711"/>
        <v>0</v>
      </c>
      <c r="AC773" s="210"/>
      <c r="AD773" s="236">
        <f t="shared" si="736"/>
        <v>1</v>
      </c>
      <c r="AE773" s="236">
        <f t="shared" si="737"/>
        <v>1</v>
      </c>
      <c r="AF773" s="236">
        <f t="shared" si="738"/>
        <v>0</v>
      </c>
      <c r="AG773" s="236">
        <v>1</v>
      </c>
      <c r="AH773" s="236">
        <v>0</v>
      </c>
      <c r="AI773" s="236">
        <f t="shared" si="714"/>
        <v>-100</v>
      </c>
      <c r="AJ773" s="210"/>
      <c r="AK773" s="254"/>
      <c r="AL773" s="254"/>
      <c r="AM773" s="255"/>
      <c r="AN773" s="255"/>
      <c r="AO773" s="255"/>
      <c r="AP773" s="255"/>
      <c r="AQ773" s="255"/>
      <c r="AR773" s="255"/>
      <c r="AS773" s="255"/>
      <c r="AT773" s="255"/>
      <c r="AU773" s="255"/>
      <c r="AV773" s="255"/>
      <c r="AW773" s="255"/>
      <c r="AX773" s="210"/>
      <c r="AY773" s="236" cm="1">
        <f t="array" ref="AY773">INDEX(Use, $AD773, 4)</f>
        <v>7</v>
      </c>
      <c r="AZ773" s="236">
        <f t="shared" si="715"/>
        <v>32</v>
      </c>
      <c r="BA773" s="236">
        <f t="shared" si="703"/>
        <v>13</v>
      </c>
      <c r="BB773" s="236">
        <f t="shared" si="704"/>
        <v>0</v>
      </c>
      <c r="BC773" s="252" cm="1">
        <f t="array" ref="BC773">K773/IF($L773&gt;0, INDEX($AO$23:$AU$77, $L773+20, $AD773), 1)</f>
        <v>0</v>
      </c>
      <c r="BD773" s="237">
        <f t="shared" si="716"/>
        <v>0</v>
      </c>
      <c r="BE773" s="236">
        <v>35</v>
      </c>
      <c r="BF773" s="237">
        <f t="shared" si="717"/>
        <v>52.55</v>
      </c>
      <c r="BG773" s="253">
        <f t="shared" si="718"/>
        <v>2.7676728869374316</v>
      </c>
      <c r="BH773" s="253" cm="1">
        <f t="array" ref="BH773">$BC773 * SUMPRODUCT(INDEX($AL$77:$AN$82,,$AE773),INDEX($AO$77:$AU$82,,$AD773), N($AK$77:$AK$82&gt;$AI773)) / BG773 / 1000</f>
        <v>0</v>
      </c>
      <c r="BI773" s="250">
        <f t="shared" si="705"/>
        <v>30</v>
      </c>
      <c r="BJ773" s="237">
        <f t="shared" si="719"/>
        <v>46.033333333333331</v>
      </c>
      <c r="BK773" s="253">
        <f t="shared" si="720"/>
        <v>3.2297395388556791</v>
      </c>
      <c r="BL773" s="253" cm="1">
        <f t="array" ref="BL773">$BC773 * IF($AD773&lt;=2,
SUMPRODUCT(INDEX($AL$72:$AN$76,,$AE773), INDEX($AO$72:$AU$76,,$AD773), 1 / ($AV$72:$AV$76*BK773 + (1-$AV$72:$AV$76)*BG773), N($AK$72:$AK$76&gt;$AI773)),
SUMPRODUCT(INDEX($AL$67:$AN$76,,$AE773), INDEX($AO$67:$AU$76,,$AD773), 1 / ($AW$67:$AW$76*BK773 + (1-$AW$67:$AW$76)*BG773), N($AK$67:$AK$76&gt;$AI773))
) / 1000</f>
        <v>0</v>
      </c>
      <c r="BM773" s="250">
        <f t="shared" si="706"/>
        <v>25</v>
      </c>
      <c r="BN773" s="237">
        <f t="shared" si="721"/>
        <v>39.516666666666666</v>
      </c>
      <c r="BO773" s="253">
        <f t="shared" si="722"/>
        <v>3.877011788826243</v>
      </c>
      <c r="BP773" s="253" cm="1">
        <f t="array" ref="BP773">$BC773 * IF($AD773&lt;=2,
SUMPRODUCT(INDEX($AL$67:$AN$71,,$AE773), INDEX($AO$67:$AU$71,,$AD773), 1 / ($AV$67:$AV$71*BO773 + (1-$AV$67:$AV$71)*BK773), N($AK$67:$AK$71&gt;$AI773)),
SUMPRODUCT(INDEX($AL$57:$AN$66,,$AE773), INDEX($AO$57:$AU$66,,$AD773), 1 / ($AW$57:$AW$66*BO773 + (1-$AW$57:$AW$66)*BK773), N($AK$57:$AK$66&gt;$AI773))
) / 1000</f>
        <v>0</v>
      </c>
      <c r="BQ773" s="250">
        <f t="shared" si="707"/>
        <v>20</v>
      </c>
      <c r="BR773" s="237">
        <f t="shared" si="723"/>
        <v>33</v>
      </c>
      <c r="BS773" s="253">
        <f t="shared" si="724"/>
        <v>4.8487499999999999</v>
      </c>
      <c r="BT773" s="253" cm="1">
        <f t="array" ref="BT773">$BC773 * IF($AD773&lt;=2,
SUMPRODUCT(INDEX($AL$62:$AN$66,,$AE773), INDEX($AO$62:$AU$66,,$AD773), 1 / ($AV$62:$AV$66*BS773 + (1-$AV$62:$AV$66)*BO773), N($AK$62:$AK$66&gt;$AI773)),
SUMPRODUCT(INDEX($AL$47:$AN$56,,$AE773), INDEX($AO$47:$AU$56,,$AD773), 1 / ($AW$47:$AW$56*BS773 + (1-$AW$47:$AW$56)*BO773), N($AK$47:$AK$56&gt;$AI773))
) / 1000</f>
        <v>0</v>
      </c>
      <c r="BU773" s="253" cm="1">
        <f t="array" ref="BU773">$BC773 * IF($AD773&lt;=2,
SUMPRODUCT(INDEX($AL$23:$AN$61,,$AE773), INDEX($AO$23:$AU$61,,$AD773), 1 / ($AV$23:$AV$61*BS773), N($AK$23:$AK$61&gt;$AI773)),
SUMPRODUCT(INDEX($AL$23:$AN$46,,$AE773), INDEX($AO$23:$AU$46,,$AD773), 1 / ($AW$23:$AW$46*BS773), N($AK$23:$AK$46&gt;$AI773))
) / 1000</f>
        <v>0</v>
      </c>
      <c r="BV773" s="237">
        <f t="shared" si="725"/>
        <v>0</v>
      </c>
      <c r="BW773" s="210"/>
      <c r="BX773" s="237">
        <f t="shared" si="726"/>
        <v>0</v>
      </c>
      <c r="BY773" s="236">
        <v>35</v>
      </c>
      <c r="BZ773" s="237">
        <f t="shared" si="727"/>
        <v>48</v>
      </c>
      <c r="CA773" s="253">
        <f t="shared" si="728"/>
        <v>3.0748170731707316</v>
      </c>
      <c r="CB773" s="253" cm="1">
        <f t="array" ref="CB773">$BC773 * SUMPRODUCT(INDEX($AL$77:$AN$82,,$AE773),INDEX($AO$77:$AU$82,,$AD773), N($AK$77:$AK$82&gt;$AI773)) / CA773 / 1000</f>
        <v>0</v>
      </c>
      <c r="CC773" s="250">
        <f t="shared" si="708"/>
        <v>30</v>
      </c>
      <c r="CD773" s="237">
        <f t="shared" si="729"/>
        <v>43</v>
      </c>
      <c r="CE773" s="253">
        <f t="shared" si="730"/>
        <v>3.5018750000000001</v>
      </c>
      <c r="CF773" s="253" cm="1">
        <f t="array" ref="CF773">$BC773 * IF($AD773&lt;=2,
SUMPRODUCT(INDEX($AL$72:$AN$76,,$AE773), INDEX($AO$72:$AU$76,,$AD773), 1 / ($AV$72:$AV$76*CE773 + (1-$AV$72:$AV$76)*CA773), N($AK$72:$AK$76&gt;$AI773)),
SUMPRODUCT(INDEX($AL$67:$AN$76,,$AE773), INDEX($AO$67:$AU$76,,$AD773), 1 / ($AW$67:$AW$76*CE773 + (1-$AW$67:$AW$76)*CA773), N($AK$67:$AK$76&gt;$AI773))
) / 1000</f>
        <v>0</v>
      </c>
      <c r="CG773" s="250">
        <f t="shared" si="709"/>
        <v>25</v>
      </c>
      <c r="CH773" s="237">
        <f t="shared" si="731"/>
        <v>38</v>
      </c>
      <c r="CI773" s="253">
        <f t="shared" si="732"/>
        <v>4.0666935483870965</v>
      </c>
      <c r="CJ773" s="253" cm="1">
        <f t="array" ref="CJ773">$BC773 * IF($AD773&lt;=2,
SUMPRODUCT(INDEX($AL$67:$AN$71,,$AE773), INDEX($AO$67:$AU$71,,$AD773), 1 / ($AV$67:$AV$71*CI773 + (1-$AV$67:$AV$71)*CE773), N($AK$67:$AK$71&gt;$AI773)),
SUMPRODUCT(INDEX($AL$57:$AN$66,,$AE773), INDEX($AO$57:$AU$66,,$AD773), 1 / ($AW$57:$AW$66*CI773 + (1-$AW$57:$AW$66)*CE773), N($AK$57:$AK$66&gt;$AI773))
) / 1000</f>
        <v>0</v>
      </c>
      <c r="CK773" s="250">
        <f t="shared" si="710"/>
        <v>20</v>
      </c>
      <c r="CL773" s="237">
        <f t="shared" si="733"/>
        <v>33</v>
      </c>
      <c r="CM773" s="253">
        <f t="shared" si="734"/>
        <v>4.8487499999999999</v>
      </c>
      <c r="CN773" s="253" cm="1">
        <f t="array" ref="CN773">$BC773 * IF($AD773&lt;=2,
SUMPRODUCT(INDEX($AL$62:$AN$66,,$AE773), INDEX($AO$62:$AU$66,,$AD773), 1 / ($AV$62:$AV$66*CM773 + (1-$AV$62:$AV$66)*CI773), N($AK$62:$AK$66&gt;$AI773)),
SUMPRODUCT(INDEX($AL$47:$AN$56,,$AE773), INDEX($AO$47:$AU$56,,$AD773), 1 / ($AW$47:$AW$56*CM773 + (1-$AW$47:$AW$56)*CI773), N($AK$47:$AK$56&gt;$AI773))
) / 1000</f>
        <v>0</v>
      </c>
      <c r="CO773" s="253" cm="1">
        <f t="array" ref="CO773">$BC773 * IF($AD773&lt;=2,
SUMPRODUCT(INDEX($AL$23:$AN$61,,$AE773), INDEX($AO$23:$AU$61,,$AD773), 1 / ($AV$23:$AV$61*CM773), N($AK$23:$AK$61&gt;$AI773)),
SUMPRODUCT(INDEX($AL$23:$AN$46,,$AE773), INDEX($AO$23:$AU$46,,$AD773), 1 / ($AW$23:$AW$46*CM773), N($AK$23:$AK$46&gt;$AI773))
) / 1000</f>
        <v>0</v>
      </c>
      <c r="CP773" s="237">
        <f t="shared" si="735"/>
        <v>0</v>
      </c>
      <c r="CQ773" s="210"/>
    </row>
    <row r="774" spans="1:95" s="76" customFormat="1" ht="14.25" customHeight="1" x14ac:dyDescent="0.2">
      <c r="A774" s="238" t="b">
        <f t="shared" si="702"/>
        <v>0</v>
      </c>
      <c r="B774" s="239">
        <v>752</v>
      </c>
      <c r="C774" s="258"/>
      <c r="D774" s="258"/>
      <c r="E774" s="240"/>
      <c r="F774" s="241" t="str">
        <f>IF(ISBLANK(E774), "", VLOOKUP(E774, Z!$A$2:$C$4127, 3, FALSE))</f>
        <v/>
      </c>
      <c r="G774" s="242"/>
      <c r="H774" s="242"/>
      <c r="I774" s="243"/>
      <c r="J774" s="244"/>
      <c r="K774" s="259"/>
      <c r="L774" s="260"/>
      <c r="M774" s="247" t="str" cm="1">
        <f t="array" ref="M774">IF($K774&gt;0, INDEX(Clean,1+AG774,$C$1), "")</f>
        <v/>
      </c>
      <c r="N774" s="245"/>
      <c r="O774" s="245"/>
      <c r="P774" s="246"/>
      <c r="Q774" s="248">
        <f t="shared" si="712"/>
        <v>0</v>
      </c>
      <c r="R774" s="247" t="str" cm="1">
        <f t="array" ref="R774">IF($K774&gt;0, INDEX(Clean,1+AH774,$C$1), "")</f>
        <v/>
      </c>
      <c r="S774" s="245"/>
      <c r="T774" s="245"/>
      <c r="U774" s="246"/>
      <c r="V774" s="248">
        <f t="shared" si="713"/>
        <v>0</v>
      </c>
      <c r="W774" s="261"/>
      <c r="X774" s="258"/>
      <c r="Y774" s="240"/>
      <c r="Z774" s="241" t="str">
        <f>IF(ISBLANK(Y774), "", VLOOKUP(Y774, Z!$A$2:$C$4127, 3, FALSE))</f>
        <v/>
      </c>
      <c r="AA774" s="262"/>
      <c r="AB774" s="249">
        <f t="shared" si="711"/>
        <v>0</v>
      </c>
      <c r="AC774" s="210"/>
      <c r="AD774" s="236">
        <f t="shared" si="736"/>
        <v>1</v>
      </c>
      <c r="AE774" s="236">
        <f t="shared" si="737"/>
        <v>1</v>
      </c>
      <c r="AF774" s="236">
        <f t="shared" si="738"/>
        <v>0</v>
      </c>
      <c r="AG774" s="236">
        <v>1</v>
      </c>
      <c r="AH774" s="236">
        <v>0</v>
      </c>
      <c r="AI774" s="236">
        <f t="shared" si="714"/>
        <v>-100</v>
      </c>
      <c r="AJ774" s="210"/>
      <c r="AK774" s="254"/>
      <c r="AL774" s="254"/>
      <c r="AM774" s="255"/>
      <c r="AN774" s="255"/>
      <c r="AO774" s="255"/>
      <c r="AP774" s="255"/>
      <c r="AQ774" s="255"/>
      <c r="AR774" s="255"/>
      <c r="AS774" s="255"/>
      <c r="AT774" s="255"/>
      <c r="AU774" s="255"/>
      <c r="AV774" s="255"/>
      <c r="AW774" s="255"/>
      <c r="AX774" s="210"/>
      <c r="AY774" s="236" cm="1">
        <f t="array" ref="AY774">INDEX(Use, $AD774, 4)</f>
        <v>7</v>
      </c>
      <c r="AZ774" s="236">
        <f t="shared" si="715"/>
        <v>32</v>
      </c>
      <c r="BA774" s="236">
        <f t="shared" si="703"/>
        <v>13</v>
      </c>
      <c r="BB774" s="236">
        <f t="shared" si="704"/>
        <v>0</v>
      </c>
      <c r="BC774" s="252" cm="1">
        <f t="array" ref="BC774">K774/IF($L774&gt;0, INDEX($AO$23:$AU$77, $L774+20, $AD774), 1)</f>
        <v>0</v>
      </c>
      <c r="BD774" s="237">
        <f t="shared" si="716"/>
        <v>0</v>
      </c>
      <c r="BE774" s="236">
        <v>35</v>
      </c>
      <c r="BF774" s="237">
        <f t="shared" si="717"/>
        <v>52.55</v>
      </c>
      <c r="BG774" s="253">
        <f t="shared" si="718"/>
        <v>2.7676728869374316</v>
      </c>
      <c r="BH774" s="253" cm="1">
        <f t="array" ref="BH774">$BC774 * SUMPRODUCT(INDEX($AL$77:$AN$82,,$AE774),INDEX($AO$77:$AU$82,,$AD774), N($AK$77:$AK$82&gt;$AI774)) / BG774 / 1000</f>
        <v>0</v>
      </c>
      <c r="BI774" s="250">
        <f t="shared" si="705"/>
        <v>30</v>
      </c>
      <c r="BJ774" s="237">
        <f t="shared" si="719"/>
        <v>46.033333333333331</v>
      </c>
      <c r="BK774" s="253">
        <f t="shared" si="720"/>
        <v>3.2297395388556791</v>
      </c>
      <c r="BL774" s="253" cm="1">
        <f t="array" ref="BL774">$BC774 * IF($AD774&lt;=2,
SUMPRODUCT(INDEX($AL$72:$AN$76,,$AE774), INDEX($AO$72:$AU$76,,$AD774), 1 / ($AV$72:$AV$76*BK774 + (1-$AV$72:$AV$76)*BG774), N($AK$72:$AK$76&gt;$AI774)),
SUMPRODUCT(INDEX($AL$67:$AN$76,,$AE774), INDEX($AO$67:$AU$76,,$AD774), 1 / ($AW$67:$AW$76*BK774 + (1-$AW$67:$AW$76)*BG774), N($AK$67:$AK$76&gt;$AI774))
) / 1000</f>
        <v>0</v>
      </c>
      <c r="BM774" s="250">
        <f t="shared" si="706"/>
        <v>25</v>
      </c>
      <c r="BN774" s="237">
        <f t="shared" si="721"/>
        <v>39.516666666666666</v>
      </c>
      <c r="BO774" s="253">
        <f t="shared" si="722"/>
        <v>3.877011788826243</v>
      </c>
      <c r="BP774" s="253" cm="1">
        <f t="array" ref="BP774">$BC774 * IF($AD774&lt;=2,
SUMPRODUCT(INDEX($AL$67:$AN$71,,$AE774), INDEX($AO$67:$AU$71,,$AD774), 1 / ($AV$67:$AV$71*BO774 + (1-$AV$67:$AV$71)*BK774), N($AK$67:$AK$71&gt;$AI774)),
SUMPRODUCT(INDEX($AL$57:$AN$66,,$AE774), INDEX($AO$57:$AU$66,,$AD774), 1 / ($AW$57:$AW$66*BO774 + (1-$AW$57:$AW$66)*BK774), N($AK$57:$AK$66&gt;$AI774))
) / 1000</f>
        <v>0</v>
      </c>
      <c r="BQ774" s="250">
        <f t="shared" si="707"/>
        <v>20</v>
      </c>
      <c r="BR774" s="237">
        <f t="shared" si="723"/>
        <v>33</v>
      </c>
      <c r="BS774" s="253">
        <f t="shared" si="724"/>
        <v>4.8487499999999999</v>
      </c>
      <c r="BT774" s="253" cm="1">
        <f t="array" ref="BT774">$BC774 * IF($AD774&lt;=2,
SUMPRODUCT(INDEX($AL$62:$AN$66,,$AE774), INDEX($AO$62:$AU$66,,$AD774), 1 / ($AV$62:$AV$66*BS774 + (1-$AV$62:$AV$66)*BO774), N($AK$62:$AK$66&gt;$AI774)),
SUMPRODUCT(INDEX($AL$47:$AN$56,,$AE774), INDEX($AO$47:$AU$56,,$AD774), 1 / ($AW$47:$AW$56*BS774 + (1-$AW$47:$AW$56)*BO774), N($AK$47:$AK$56&gt;$AI774))
) / 1000</f>
        <v>0</v>
      </c>
      <c r="BU774" s="253" cm="1">
        <f t="array" ref="BU774">$BC774 * IF($AD774&lt;=2,
SUMPRODUCT(INDEX($AL$23:$AN$61,,$AE774), INDEX($AO$23:$AU$61,,$AD774), 1 / ($AV$23:$AV$61*BS774), N($AK$23:$AK$61&gt;$AI774)),
SUMPRODUCT(INDEX($AL$23:$AN$46,,$AE774), INDEX($AO$23:$AU$46,,$AD774), 1 / ($AW$23:$AW$46*BS774), N($AK$23:$AK$46&gt;$AI774))
) / 1000</f>
        <v>0</v>
      </c>
      <c r="BV774" s="237">
        <f t="shared" si="725"/>
        <v>0</v>
      </c>
      <c r="BW774" s="210"/>
      <c r="BX774" s="237">
        <f t="shared" si="726"/>
        <v>0</v>
      </c>
      <c r="BY774" s="236">
        <v>35</v>
      </c>
      <c r="BZ774" s="237">
        <f t="shared" si="727"/>
        <v>48</v>
      </c>
      <c r="CA774" s="253">
        <f t="shared" si="728"/>
        <v>3.0748170731707316</v>
      </c>
      <c r="CB774" s="253" cm="1">
        <f t="array" ref="CB774">$BC774 * SUMPRODUCT(INDEX($AL$77:$AN$82,,$AE774),INDEX($AO$77:$AU$82,,$AD774), N($AK$77:$AK$82&gt;$AI774)) / CA774 / 1000</f>
        <v>0</v>
      </c>
      <c r="CC774" s="250">
        <f t="shared" si="708"/>
        <v>30</v>
      </c>
      <c r="CD774" s="237">
        <f t="shared" si="729"/>
        <v>43</v>
      </c>
      <c r="CE774" s="253">
        <f t="shared" si="730"/>
        <v>3.5018750000000001</v>
      </c>
      <c r="CF774" s="253" cm="1">
        <f t="array" ref="CF774">$BC774 * IF($AD774&lt;=2,
SUMPRODUCT(INDEX($AL$72:$AN$76,,$AE774), INDEX($AO$72:$AU$76,,$AD774), 1 / ($AV$72:$AV$76*CE774 + (1-$AV$72:$AV$76)*CA774), N($AK$72:$AK$76&gt;$AI774)),
SUMPRODUCT(INDEX($AL$67:$AN$76,,$AE774), INDEX($AO$67:$AU$76,,$AD774), 1 / ($AW$67:$AW$76*CE774 + (1-$AW$67:$AW$76)*CA774), N($AK$67:$AK$76&gt;$AI774))
) / 1000</f>
        <v>0</v>
      </c>
      <c r="CG774" s="250">
        <f t="shared" si="709"/>
        <v>25</v>
      </c>
      <c r="CH774" s="237">
        <f t="shared" si="731"/>
        <v>38</v>
      </c>
      <c r="CI774" s="253">
        <f t="shared" si="732"/>
        <v>4.0666935483870965</v>
      </c>
      <c r="CJ774" s="253" cm="1">
        <f t="array" ref="CJ774">$BC774 * IF($AD774&lt;=2,
SUMPRODUCT(INDEX($AL$67:$AN$71,,$AE774), INDEX($AO$67:$AU$71,,$AD774), 1 / ($AV$67:$AV$71*CI774 + (1-$AV$67:$AV$71)*CE774), N($AK$67:$AK$71&gt;$AI774)),
SUMPRODUCT(INDEX($AL$57:$AN$66,,$AE774), INDEX($AO$57:$AU$66,,$AD774), 1 / ($AW$57:$AW$66*CI774 + (1-$AW$57:$AW$66)*CE774), N($AK$57:$AK$66&gt;$AI774))
) / 1000</f>
        <v>0</v>
      </c>
      <c r="CK774" s="250">
        <f t="shared" si="710"/>
        <v>20</v>
      </c>
      <c r="CL774" s="237">
        <f t="shared" si="733"/>
        <v>33</v>
      </c>
      <c r="CM774" s="253">
        <f t="shared" si="734"/>
        <v>4.8487499999999999</v>
      </c>
      <c r="CN774" s="253" cm="1">
        <f t="array" ref="CN774">$BC774 * IF($AD774&lt;=2,
SUMPRODUCT(INDEX($AL$62:$AN$66,,$AE774), INDEX($AO$62:$AU$66,,$AD774), 1 / ($AV$62:$AV$66*CM774 + (1-$AV$62:$AV$66)*CI774), N($AK$62:$AK$66&gt;$AI774)),
SUMPRODUCT(INDEX($AL$47:$AN$56,,$AE774), INDEX($AO$47:$AU$56,,$AD774), 1 / ($AW$47:$AW$56*CM774 + (1-$AW$47:$AW$56)*CI774), N($AK$47:$AK$56&gt;$AI774))
) / 1000</f>
        <v>0</v>
      </c>
      <c r="CO774" s="253" cm="1">
        <f t="array" ref="CO774">$BC774 * IF($AD774&lt;=2,
SUMPRODUCT(INDEX($AL$23:$AN$61,,$AE774), INDEX($AO$23:$AU$61,,$AD774), 1 / ($AV$23:$AV$61*CM774), N($AK$23:$AK$61&gt;$AI774)),
SUMPRODUCT(INDEX($AL$23:$AN$46,,$AE774), INDEX($AO$23:$AU$46,,$AD774), 1 / ($AW$23:$AW$46*CM774), N($AK$23:$AK$46&gt;$AI774))
) / 1000</f>
        <v>0</v>
      </c>
      <c r="CP774" s="237">
        <f t="shared" si="735"/>
        <v>0</v>
      </c>
      <c r="CQ774" s="210"/>
    </row>
    <row r="775" spans="1:95" s="76" customFormat="1" ht="14.25" customHeight="1" x14ac:dyDescent="0.2">
      <c r="A775" s="238" t="b">
        <f t="shared" si="702"/>
        <v>0</v>
      </c>
      <c r="B775" s="239">
        <v>753</v>
      </c>
      <c r="C775" s="258"/>
      <c r="D775" s="258"/>
      <c r="E775" s="240"/>
      <c r="F775" s="241" t="str">
        <f>IF(ISBLANK(E775), "", VLOOKUP(E775, Z!$A$2:$C$4127, 3, FALSE))</f>
        <v/>
      </c>
      <c r="G775" s="242"/>
      <c r="H775" s="242"/>
      <c r="I775" s="243"/>
      <c r="J775" s="244"/>
      <c r="K775" s="259"/>
      <c r="L775" s="260"/>
      <c r="M775" s="247" t="str" cm="1">
        <f t="array" ref="M775">IF($K775&gt;0, INDEX(Clean,1+AG775,$C$1), "")</f>
        <v/>
      </c>
      <c r="N775" s="245"/>
      <c r="O775" s="245"/>
      <c r="P775" s="246"/>
      <c r="Q775" s="248">
        <f t="shared" si="712"/>
        <v>0</v>
      </c>
      <c r="R775" s="247" t="str" cm="1">
        <f t="array" ref="R775">IF($K775&gt;0, INDEX(Clean,1+AH775,$C$1), "")</f>
        <v/>
      </c>
      <c r="S775" s="245"/>
      <c r="T775" s="245"/>
      <c r="U775" s="246"/>
      <c r="V775" s="248">
        <f t="shared" si="713"/>
        <v>0</v>
      </c>
      <c r="W775" s="261"/>
      <c r="X775" s="258"/>
      <c r="Y775" s="240"/>
      <c r="Z775" s="241" t="str">
        <f>IF(ISBLANK(Y775), "", VLOOKUP(Y775, Z!$A$2:$C$4127, 3, FALSE))</f>
        <v/>
      </c>
      <c r="AA775" s="262"/>
      <c r="AB775" s="249">
        <f t="shared" si="711"/>
        <v>0</v>
      </c>
      <c r="AC775" s="210"/>
      <c r="AD775" s="236">
        <f t="shared" si="736"/>
        <v>1</v>
      </c>
      <c r="AE775" s="236">
        <f t="shared" si="737"/>
        <v>1</v>
      </c>
      <c r="AF775" s="236">
        <f t="shared" si="738"/>
        <v>0</v>
      </c>
      <c r="AG775" s="236">
        <v>1</v>
      </c>
      <c r="AH775" s="236">
        <v>0</v>
      </c>
      <c r="AI775" s="236">
        <f t="shared" si="714"/>
        <v>-100</v>
      </c>
      <c r="AJ775" s="210"/>
      <c r="AK775" s="254"/>
      <c r="AL775" s="254"/>
      <c r="AM775" s="255"/>
      <c r="AN775" s="255"/>
      <c r="AO775" s="255"/>
      <c r="AP775" s="255"/>
      <c r="AQ775" s="255"/>
      <c r="AR775" s="255"/>
      <c r="AS775" s="255"/>
      <c r="AT775" s="255"/>
      <c r="AU775" s="255"/>
      <c r="AV775" s="255"/>
      <c r="AW775" s="255"/>
      <c r="AX775" s="210"/>
      <c r="AY775" s="236" cm="1">
        <f t="array" ref="AY775">INDEX(Use, $AD775, 4)</f>
        <v>7</v>
      </c>
      <c r="AZ775" s="236">
        <f t="shared" si="715"/>
        <v>32</v>
      </c>
      <c r="BA775" s="236">
        <f t="shared" si="703"/>
        <v>13</v>
      </c>
      <c r="BB775" s="236">
        <f t="shared" si="704"/>
        <v>0</v>
      </c>
      <c r="BC775" s="252" cm="1">
        <f t="array" ref="BC775">K775/IF($L775&gt;0, INDEX($AO$23:$AU$77, $L775+20, $AD775), 1)</f>
        <v>0</v>
      </c>
      <c r="BD775" s="237">
        <f t="shared" si="716"/>
        <v>0</v>
      </c>
      <c r="BE775" s="236">
        <v>35</v>
      </c>
      <c r="BF775" s="237">
        <f t="shared" si="717"/>
        <v>52.55</v>
      </c>
      <c r="BG775" s="253">
        <f t="shared" si="718"/>
        <v>2.7676728869374316</v>
      </c>
      <c r="BH775" s="253" cm="1">
        <f t="array" ref="BH775">$BC775 * SUMPRODUCT(INDEX($AL$77:$AN$82,,$AE775),INDEX($AO$77:$AU$82,,$AD775), N($AK$77:$AK$82&gt;$AI775)) / BG775 / 1000</f>
        <v>0</v>
      </c>
      <c r="BI775" s="250">
        <f t="shared" si="705"/>
        <v>30</v>
      </c>
      <c r="BJ775" s="237">
        <f t="shared" si="719"/>
        <v>46.033333333333331</v>
      </c>
      <c r="BK775" s="253">
        <f t="shared" si="720"/>
        <v>3.2297395388556791</v>
      </c>
      <c r="BL775" s="253" cm="1">
        <f t="array" ref="BL775">$BC775 * IF($AD775&lt;=2,
SUMPRODUCT(INDEX($AL$72:$AN$76,,$AE775), INDEX($AO$72:$AU$76,,$AD775), 1 / ($AV$72:$AV$76*BK775 + (1-$AV$72:$AV$76)*BG775), N($AK$72:$AK$76&gt;$AI775)),
SUMPRODUCT(INDEX($AL$67:$AN$76,,$AE775), INDEX($AO$67:$AU$76,,$AD775), 1 / ($AW$67:$AW$76*BK775 + (1-$AW$67:$AW$76)*BG775), N($AK$67:$AK$76&gt;$AI775))
) / 1000</f>
        <v>0</v>
      </c>
      <c r="BM775" s="250">
        <f t="shared" si="706"/>
        <v>25</v>
      </c>
      <c r="BN775" s="237">
        <f t="shared" si="721"/>
        <v>39.516666666666666</v>
      </c>
      <c r="BO775" s="253">
        <f t="shared" si="722"/>
        <v>3.877011788826243</v>
      </c>
      <c r="BP775" s="253" cm="1">
        <f t="array" ref="BP775">$BC775 * IF($AD775&lt;=2,
SUMPRODUCT(INDEX($AL$67:$AN$71,,$AE775), INDEX($AO$67:$AU$71,,$AD775), 1 / ($AV$67:$AV$71*BO775 + (1-$AV$67:$AV$71)*BK775), N($AK$67:$AK$71&gt;$AI775)),
SUMPRODUCT(INDEX($AL$57:$AN$66,,$AE775), INDEX($AO$57:$AU$66,,$AD775), 1 / ($AW$57:$AW$66*BO775 + (1-$AW$57:$AW$66)*BK775), N($AK$57:$AK$66&gt;$AI775))
) / 1000</f>
        <v>0</v>
      </c>
      <c r="BQ775" s="250">
        <f t="shared" si="707"/>
        <v>20</v>
      </c>
      <c r="BR775" s="237">
        <f t="shared" si="723"/>
        <v>33</v>
      </c>
      <c r="BS775" s="253">
        <f t="shared" si="724"/>
        <v>4.8487499999999999</v>
      </c>
      <c r="BT775" s="253" cm="1">
        <f t="array" ref="BT775">$BC775 * IF($AD775&lt;=2,
SUMPRODUCT(INDEX($AL$62:$AN$66,,$AE775), INDEX($AO$62:$AU$66,,$AD775), 1 / ($AV$62:$AV$66*BS775 + (1-$AV$62:$AV$66)*BO775), N($AK$62:$AK$66&gt;$AI775)),
SUMPRODUCT(INDEX($AL$47:$AN$56,,$AE775), INDEX($AO$47:$AU$56,,$AD775), 1 / ($AW$47:$AW$56*BS775 + (1-$AW$47:$AW$56)*BO775), N($AK$47:$AK$56&gt;$AI775))
) / 1000</f>
        <v>0</v>
      </c>
      <c r="BU775" s="253" cm="1">
        <f t="array" ref="BU775">$BC775 * IF($AD775&lt;=2,
SUMPRODUCT(INDEX($AL$23:$AN$61,,$AE775), INDEX($AO$23:$AU$61,,$AD775), 1 / ($AV$23:$AV$61*BS775), N($AK$23:$AK$61&gt;$AI775)),
SUMPRODUCT(INDEX($AL$23:$AN$46,,$AE775), INDEX($AO$23:$AU$46,,$AD775), 1 / ($AW$23:$AW$46*BS775), N($AK$23:$AK$46&gt;$AI775))
) / 1000</f>
        <v>0</v>
      </c>
      <c r="BV775" s="237">
        <f t="shared" si="725"/>
        <v>0</v>
      </c>
      <c r="BW775" s="210"/>
      <c r="BX775" s="237">
        <f t="shared" si="726"/>
        <v>0</v>
      </c>
      <c r="BY775" s="236">
        <v>35</v>
      </c>
      <c r="BZ775" s="237">
        <f t="shared" si="727"/>
        <v>48</v>
      </c>
      <c r="CA775" s="253">
        <f t="shared" si="728"/>
        <v>3.0748170731707316</v>
      </c>
      <c r="CB775" s="253" cm="1">
        <f t="array" ref="CB775">$BC775 * SUMPRODUCT(INDEX($AL$77:$AN$82,,$AE775),INDEX($AO$77:$AU$82,,$AD775), N($AK$77:$AK$82&gt;$AI775)) / CA775 / 1000</f>
        <v>0</v>
      </c>
      <c r="CC775" s="250">
        <f t="shared" si="708"/>
        <v>30</v>
      </c>
      <c r="CD775" s="237">
        <f t="shared" si="729"/>
        <v>43</v>
      </c>
      <c r="CE775" s="253">
        <f t="shared" si="730"/>
        <v>3.5018750000000001</v>
      </c>
      <c r="CF775" s="253" cm="1">
        <f t="array" ref="CF775">$BC775 * IF($AD775&lt;=2,
SUMPRODUCT(INDEX($AL$72:$AN$76,,$AE775), INDEX($AO$72:$AU$76,,$AD775), 1 / ($AV$72:$AV$76*CE775 + (1-$AV$72:$AV$76)*CA775), N($AK$72:$AK$76&gt;$AI775)),
SUMPRODUCT(INDEX($AL$67:$AN$76,,$AE775), INDEX($AO$67:$AU$76,,$AD775), 1 / ($AW$67:$AW$76*CE775 + (1-$AW$67:$AW$76)*CA775), N($AK$67:$AK$76&gt;$AI775))
) / 1000</f>
        <v>0</v>
      </c>
      <c r="CG775" s="250">
        <f t="shared" si="709"/>
        <v>25</v>
      </c>
      <c r="CH775" s="237">
        <f t="shared" si="731"/>
        <v>38</v>
      </c>
      <c r="CI775" s="253">
        <f t="shared" si="732"/>
        <v>4.0666935483870965</v>
      </c>
      <c r="CJ775" s="253" cm="1">
        <f t="array" ref="CJ775">$BC775 * IF($AD775&lt;=2,
SUMPRODUCT(INDEX($AL$67:$AN$71,,$AE775), INDEX($AO$67:$AU$71,,$AD775), 1 / ($AV$67:$AV$71*CI775 + (1-$AV$67:$AV$71)*CE775), N($AK$67:$AK$71&gt;$AI775)),
SUMPRODUCT(INDEX($AL$57:$AN$66,,$AE775), INDEX($AO$57:$AU$66,,$AD775), 1 / ($AW$57:$AW$66*CI775 + (1-$AW$57:$AW$66)*CE775), N($AK$57:$AK$66&gt;$AI775))
) / 1000</f>
        <v>0</v>
      </c>
      <c r="CK775" s="250">
        <f t="shared" si="710"/>
        <v>20</v>
      </c>
      <c r="CL775" s="237">
        <f t="shared" si="733"/>
        <v>33</v>
      </c>
      <c r="CM775" s="253">
        <f t="shared" si="734"/>
        <v>4.8487499999999999</v>
      </c>
      <c r="CN775" s="253" cm="1">
        <f t="array" ref="CN775">$BC775 * IF($AD775&lt;=2,
SUMPRODUCT(INDEX($AL$62:$AN$66,,$AE775), INDEX($AO$62:$AU$66,,$AD775), 1 / ($AV$62:$AV$66*CM775 + (1-$AV$62:$AV$66)*CI775), N($AK$62:$AK$66&gt;$AI775)),
SUMPRODUCT(INDEX($AL$47:$AN$56,,$AE775), INDEX($AO$47:$AU$56,,$AD775), 1 / ($AW$47:$AW$56*CM775 + (1-$AW$47:$AW$56)*CI775), N($AK$47:$AK$56&gt;$AI775))
) / 1000</f>
        <v>0</v>
      </c>
      <c r="CO775" s="253" cm="1">
        <f t="array" ref="CO775">$BC775 * IF($AD775&lt;=2,
SUMPRODUCT(INDEX($AL$23:$AN$61,,$AE775), INDEX($AO$23:$AU$61,,$AD775), 1 / ($AV$23:$AV$61*CM775), N($AK$23:$AK$61&gt;$AI775)),
SUMPRODUCT(INDEX($AL$23:$AN$46,,$AE775), INDEX($AO$23:$AU$46,,$AD775), 1 / ($AW$23:$AW$46*CM775), N($AK$23:$AK$46&gt;$AI775))
) / 1000</f>
        <v>0</v>
      </c>
      <c r="CP775" s="237">
        <f t="shared" si="735"/>
        <v>0</v>
      </c>
      <c r="CQ775" s="210"/>
    </row>
    <row r="776" spans="1:95" s="76" customFormat="1" ht="14.25" customHeight="1" x14ac:dyDescent="0.2">
      <c r="A776" s="238" t="b">
        <f t="shared" si="702"/>
        <v>0</v>
      </c>
      <c r="B776" s="239">
        <v>754</v>
      </c>
      <c r="C776" s="258"/>
      <c r="D776" s="258"/>
      <c r="E776" s="240"/>
      <c r="F776" s="241" t="str">
        <f>IF(ISBLANK(E776), "", VLOOKUP(E776, Z!$A$2:$C$4127, 3, FALSE))</f>
        <v/>
      </c>
      <c r="G776" s="242"/>
      <c r="H776" s="242"/>
      <c r="I776" s="243"/>
      <c r="J776" s="244"/>
      <c r="K776" s="259"/>
      <c r="L776" s="260"/>
      <c r="M776" s="247" t="str" cm="1">
        <f t="array" ref="M776">IF($K776&gt;0, INDEX(Clean,1+AG776,$C$1), "")</f>
        <v/>
      </c>
      <c r="N776" s="245"/>
      <c r="O776" s="245"/>
      <c r="P776" s="246"/>
      <c r="Q776" s="248">
        <f t="shared" si="712"/>
        <v>0</v>
      </c>
      <c r="R776" s="247" t="str" cm="1">
        <f t="array" ref="R776">IF($K776&gt;0, INDEX(Clean,1+AH776,$C$1), "")</f>
        <v/>
      </c>
      <c r="S776" s="245"/>
      <c r="T776" s="245"/>
      <c r="U776" s="246"/>
      <c r="V776" s="248">
        <f t="shared" si="713"/>
        <v>0</v>
      </c>
      <c r="W776" s="261"/>
      <c r="X776" s="258"/>
      <c r="Y776" s="240"/>
      <c r="Z776" s="241" t="str">
        <f>IF(ISBLANK(Y776), "", VLOOKUP(Y776, Z!$A$2:$C$4127, 3, FALSE))</f>
        <v/>
      </c>
      <c r="AA776" s="262"/>
      <c r="AB776" s="249">
        <f t="shared" si="711"/>
        <v>0</v>
      </c>
      <c r="AC776" s="210"/>
      <c r="AD776" s="236">
        <f t="shared" si="736"/>
        <v>1</v>
      </c>
      <c r="AE776" s="236">
        <f t="shared" si="737"/>
        <v>1</v>
      </c>
      <c r="AF776" s="236">
        <f t="shared" si="738"/>
        <v>0</v>
      </c>
      <c r="AG776" s="236">
        <v>1</v>
      </c>
      <c r="AH776" s="236">
        <v>0</v>
      </c>
      <c r="AI776" s="236">
        <f t="shared" si="714"/>
        <v>-100</v>
      </c>
      <c r="AJ776" s="210"/>
      <c r="AK776" s="254"/>
      <c r="AL776" s="254"/>
      <c r="AM776" s="255"/>
      <c r="AN776" s="255"/>
      <c r="AO776" s="255"/>
      <c r="AP776" s="255"/>
      <c r="AQ776" s="255"/>
      <c r="AR776" s="255"/>
      <c r="AS776" s="255"/>
      <c r="AT776" s="255"/>
      <c r="AU776" s="255"/>
      <c r="AV776" s="255"/>
      <c r="AW776" s="255"/>
      <c r="AX776" s="210"/>
      <c r="AY776" s="236" cm="1">
        <f t="array" ref="AY776">INDEX(Use, $AD776, 4)</f>
        <v>7</v>
      </c>
      <c r="AZ776" s="236">
        <f t="shared" si="715"/>
        <v>32</v>
      </c>
      <c r="BA776" s="236">
        <f t="shared" si="703"/>
        <v>13</v>
      </c>
      <c r="BB776" s="236">
        <f t="shared" si="704"/>
        <v>0</v>
      </c>
      <c r="BC776" s="252" cm="1">
        <f t="array" ref="BC776">K776/IF($L776&gt;0, INDEX($AO$23:$AU$77, $L776+20, $AD776), 1)</f>
        <v>0</v>
      </c>
      <c r="BD776" s="237">
        <f t="shared" si="716"/>
        <v>0</v>
      </c>
      <c r="BE776" s="236">
        <v>35</v>
      </c>
      <c r="BF776" s="237">
        <f t="shared" si="717"/>
        <v>52.55</v>
      </c>
      <c r="BG776" s="253">
        <f t="shared" si="718"/>
        <v>2.7676728869374316</v>
      </c>
      <c r="BH776" s="253" cm="1">
        <f t="array" ref="BH776">$BC776 * SUMPRODUCT(INDEX($AL$77:$AN$82,,$AE776),INDEX($AO$77:$AU$82,,$AD776), N($AK$77:$AK$82&gt;$AI776)) / BG776 / 1000</f>
        <v>0</v>
      </c>
      <c r="BI776" s="250">
        <f t="shared" si="705"/>
        <v>30</v>
      </c>
      <c r="BJ776" s="237">
        <f t="shared" si="719"/>
        <v>46.033333333333331</v>
      </c>
      <c r="BK776" s="253">
        <f t="shared" si="720"/>
        <v>3.2297395388556791</v>
      </c>
      <c r="BL776" s="253" cm="1">
        <f t="array" ref="BL776">$BC776 * IF($AD776&lt;=2,
SUMPRODUCT(INDEX($AL$72:$AN$76,,$AE776), INDEX($AO$72:$AU$76,,$AD776), 1 / ($AV$72:$AV$76*BK776 + (1-$AV$72:$AV$76)*BG776), N($AK$72:$AK$76&gt;$AI776)),
SUMPRODUCT(INDEX($AL$67:$AN$76,,$AE776), INDEX($AO$67:$AU$76,,$AD776), 1 / ($AW$67:$AW$76*BK776 + (1-$AW$67:$AW$76)*BG776), N($AK$67:$AK$76&gt;$AI776))
) / 1000</f>
        <v>0</v>
      </c>
      <c r="BM776" s="250">
        <f t="shared" si="706"/>
        <v>25</v>
      </c>
      <c r="BN776" s="237">
        <f t="shared" si="721"/>
        <v>39.516666666666666</v>
      </c>
      <c r="BO776" s="253">
        <f t="shared" si="722"/>
        <v>3.877011788826243</v>
      </c>
      <c r="BP776" s="253" cm="1">
        <f t="array" ref="BP776">$BC776 * IF($AD776&lt;=2,
SUMPRODUCT(INDEX($AL$67:$AN$71,,$AE776), INDEX($AO$67:$AU$71,,$AD776), 1 / ($AV$67:$AV$71*BO776 + (1-$AV$67:$AV$71)*BK776), N($AK$67:$AK$71&gt;$AI776)),
SUMPRODUCT(INDEX($AL$57:$AN$66,,$AE776), INDEX($AO$57:$AU$66,,$AD776), 1 / ($AW$57:$AW$66*BO776 + (1-$AW$57:$AW$66)*BK776), N($AK$57:$AK$66&gt;$AI776))
) / 1000</f>
        <v>0</v>
      </c>
      <c r="BQ776" s="250">
        <f t="shared" si="707"/>
        <v>20</v>
      </c>
      <c r="BR776" s="237">
        <f t="shared" si="723"/>
        <v>33</v>
      </c>
      <c r="BS776" s="253">
        <f t="shared" si="724"/>
        <v>4.8487499999999999</v>
      </c>
      <c r="BT776" s="253" cm="1">
        <f t="array" ref="BT776">$BC776 * IF($AD776&lt;=2,
SUMPRODUCT(INDEX($AL$62:$AN$66,,$AE776), INDEX($AO$62:$AU$66,,$AD776), 1 / ($AV$62:$AV$66*BS776 + (1-$AV$62:$AV$66)*BO776), N($AK$62:$AK$66&gt;$AI776)),
SUMPRODUCT(INDEX($AL$47:$AN$56,,$AE776), INDEX($AO$47:$AU$56,,$AD776), 1 / ($AW$47:$AW$56*BS776 + (1-$AW$47:$AW$56)*BO776), N($AK$47:$AK$56&gt;$AI776))
) / 1000</f>
        <v>0</v>
      </c>
      <c r="BU776" s="253" cm="1">
        <f t="array" ref="BU776">$BC776 * IF($AD776&lt;=2,
SUMPRODUCT(INDEX($AL$23:$AN$61,,$AE776), INDEX($AO$23:$AU$61,,$AD776), 1 / ($AV$23:$AV$61*BS776), N($AK$23:$AK$61&gt;$AI776)),
SUMPRODUCT(INDEX($AL$23:$AN$46,,$AE776), INDEX($AO$23:$AU$46,,$AD776), 1 / ($AW$23:$AW$46*BS776), N($AK$23:$AK$46&gt;$AI776))
) / 1000</f>
        <v>0</v>
      </c>
      <c r="BV776" s="237">
        <f t="shared" si="725"/>
        <v>0</v>
      </c>
      <c r="BW776" s="210"/>
      <c r="BX776" s="237">
        <f t="shared" si="726"/>
        <v>0</v>
      </c>
      <c r="BY776" s="236">
        <v>35</v>
      </c>
      <c r="BZ776" s="237">
        <f t="shared" si="727"/>
        <v>48</v>
      </c>
      <c r="CA776" s="253">
        <f t="shared" si="728"/>
        <v>3.0748170731707316</v>
      </c>
      <c r="CB776" s="253" cm="1">
        <f t="array" ref="CB776">$BC776 * SUMPRODUCT(INDEX($AL$77:$AN$82,,$AE776),INDEX($AO$77:$AU$82,,$AD776), N($AK$77:$AK$82&gt;$AI776)) / CA776 / 1000</f>
        <v>0</v>
      </c>
      <c r="CC776" s="250">
        <f t="shared" si="708"/>
        <v>30</v>
      </c>
      <c r="CD776" s="237">
        <f t="shared" si="729"/>
        <v>43</v>
      </c>
      <c r="CE776" s="253">
        <f t="shared" si="730"/>
        <v>3.5018750000000001</v>
      </c>
      <c r="CF776" s="253" cm="1">
        <f t="array" ref="CF776">$BC776 * IF($AD776&lt;=2,
SUMPRODUCT(INDEX($AL$72:$AN$76,,$AE776), INDEX($AO$72:$AU$76,,$AD776), 1 / ($AV$72:$AV$76*CE776 + (1-$AV$72:$AV$76)*CA776), N($AK$72:$AK$76&gt;$AI776)),
SUMPRODUCT(INDEX($AL$67:$AN$76,,$AE776), INDEX($AO$67:$AU$76,,$AD776), 1 / ($AW$67:$AW$76*CE776 + (1-$AW$67:$AW$76)*CA776), N($AK$67:$AK$76&gt;$AI776))
) / 1000</f>
        <v>0</v>
      </c>
      <c r="CG776" s="250">
        <f t="shared" si="709"/>
        <v>25</v>
      </c>
      <c r="CH776" s="237">
        <f t="shared" si="731"/>
        <v>38</v>
      </c>
      <c r="CI776" s="253">
        <f t="shared" si="732"/>
        <v>4.0666935483870965</v>
      </c>
      <c r="CJ776" s="253" cm="1">
        <f t="array" ref="CJ776">$BC776 * IF($AD776&lt;=2,
SUMPRODUCT(INDEX($AL$67:$AN$71,,$AE776), INDEX($AO$67:$AU$71,,$AD776), 1 / ($AV$67:$AV$71*CI776 + (1-$AV$67:$AV$71)*CE776), N($AK$67:$AK$71&gt;$AI776)),
SUMPRODUCT(INDEX($AL$57:$AN$66,,$AE776), INDEX($AO$57:$AU$66,,$AD776), 1 / ($AW$57:$AW$66*CI776 + (1-$AW$57:$AW$66)*CE776), N($AK$57:$AK$66&gt;$AI776))
) / 1000</f>
        <v>0</v>
      </c>
      <c r="CK776" s="250">
        <f t="shared" si="710"/>
        <v>20</v>
      </c>
      <c r="CL776" s="237">
        <f t="shared" si="733"/>
        <v>33</v>
      </c>
      <c r="CM776" s="253">
        <f t="shared" si="734"/>
        <v>4.8487499999999999</v>
      </c>
      <c r="CN776" s="253" cm="1">
        <f t="array" ref="CN776">$BC776 * IF($AD776&lt;=2,
SUMPRODUCT(INDEX($AL$62:$AN$66,,$AE776), INDEX($AO$62:$AU$66,,$AD776), 1 / ($AV$62:$AV$66*CM776 + (1-$AV$62:$AV$66)*CI776), N($AK$62:$AK$66&gt;$AI776)),
SUMPRODUCT(INDEX($AL$47:$AN$56,,$AE776), INDEX($AO$47:$AU$56,,$AD776), 1 / ($AW$47:$AW$56*CM776 + (1-$AW$47:$AW$56)*CI776), N($AK$47:$AK$56&gt;$AI776))
) / 1000</f>
        <v>0</v>
      </c>
      <c r="CO776" s="253" cm="1">
        <f t="array" ref="CO776">$BC776 * IF($AD776&lt;=2,
SUMPRODUCT(INDEX($AL$23:$AN$61,,$AE776), INDEX($AO$23:$AU$61,,$AD776), 1 / ($AV$23:$AV$61*CM776), N($AK$23:$AK$61&gt;$AI776)),
SUMPRODUCT(INDEX($AL$23:$AN$46,,$AE776), INDEX($AO$23:$AU$46,,$AD776), 1 / ($AW$23:$AW$46*CM776), N($AK$23:$AK$46&gt;$AI776))
) / 1000</f>
        <v>0</v>
      </c>
      <c r="CP776" s="237">
        <f t="shared" si="735"/>
        <v>0</v>
      </c>
      <c r="CQ776" s="210"/>
    </row>
    <row r="777" spans="1:95" s="76" customFormat="1" ht="14.25" customHeight="1" x14ac:dyDescent="0.2">
      <c r="A777" s="238" t="b">
        <f t="shared" si="702"/>
        <v>0</v>
      </c>
      <c r="B777" s="239">
        <v>755</v>
      </c>
      <c r="C777" s="258"/>
      <c r="D777" s="258"/>
      <c r="E777" s="240"/>
      <c r="F777" s="241" t="str">
        <f>IF(ISBLANK(E777), "", VLOOKUP(E777, Z!$A$2:$C$4127, 3, FALSE))</f>
        <v/>
      </c>
      <c r="G777" s="242"/>
      <c r="H777" s="242"/>
      <c r="I777" s="243"/>
      <c r="J777" s="244"/>
      <c r="K777" s="259"/>
      <c r="L777" s="260"/>
      <c r="M777" s="247" t="str" cm="1">
        <f t="array" ref="M777">IF($K777&gt;0, INDEX(Clean,1+AG777,$C$1), "")</f>
        <v/>
      </c>
      <c r="N777" s="245"/>
      <c r="O777" s="245"/>
      <c r="P777" s="246"/>
      <c r="Q777" s="248">
        <f t="shared" si="712"/>
        <v>0</v>
      </c>
      <c r="R777" s="247" t="str" cm="1">
        <f t="array" ref="R777">IF($K777&gt;0, INDEX(Clean,1+AH777,$C$1), "")</f>
        <v/>
      </c>
      <c r="S777" s="245"/>
      <c r="T777" s="245"/>
      <c r="U777" s="246"/>
      <c r="V777" s="248">
        <f t="shared" si="713"/>
        <v>0</v>
      </c>
      <c r="W777" s="261"/>
      <c r="X777" s="258"/>
      <c r="Y777" s="240"/>
      <c r="Z777" s="241" t="str">
        <f>IF(ISBLANK(Y777), "", VLOOKUP(Y777, Z!$A$2:$C$4127, 3, FALSE))</f>
        <v/>
      </c>
      <c r="AA777" s="262"/>
      <c r="AB777" s="249">
        <f t="shared" si="711"/>
        <v>0</v>
      </c>
      <c r="AC777" s="210"/>
      <c r="AD777" s="236">
        <f t="shared" si="736"/>
        <v>1</v>
      </c>
      <c r="AE777" s="236">
        <f t="shared" si="737"/>
        <v>1</v>
      </c>
      <c r="AF777" s="236">
        <f t="shared" si="738"/>
        <v>0</v>
      </c>
      <c r="AG777" s="236">
        <v>1</v>
      </c>
      <c r="AH777" s="236">
        <v>0</v>
      </c>
      <c r="AI777" s="236">
        <f t="shared" si="714"/>
        <v>-100</v>
      </c>
      <c r="AJ777" s="210"/>
      <c r="AK777" s="254"/>
      <c r="AL777" s="254"/>
      <c r="AM777" s="255"/>
      <c r="AN777" s="255"/>
      <c r="AO777" s="255"/>
      <c r="AP777" s="255"/>
      <c r="AQ777" s="255"/>
      <c r="AR777" s="255"/>
      <c r="AS777" s="255"/>
      <c r="AT777" s="255"/>
      <c r="AU777" s="255"/>
      <c r="AV777" s="255"/>
      <c r="AW777" s="255"/>
      <c r="AX777" s="210"/>
      <c r="AY777" s="236" cm="1">
        <f t="array" ref="AY777">INDEX(Use, $AD777, 4)</f>
        <v>7</v>
      </c>
      <c r="AZ777" s="236">
        <f t="shared" si="715"/>
        <v>32</v>
      </c>
      <c r="BA777" s="236">
        <f t="shared" si="703"/>
        <v>13</v>
      </c>
      <c r="BB777" s="236">
        <f t="shared" si="704"/>
        <v>0</v>
      </c>
      <c r="BC777" s="252" cm="1">
        <f t="array" ref="BC777">K777/IF($L777&gt;0, INDEX($AO$23:$AU$77, $L777+20, $AD777), 1)</f>
        <v>0</v>
      </c>
      <c r="BD777" s="237">
        <f t="shared" si="716"/>
        <v>0</v>
      </c>
      <c r="BE777" s="236">
        <v>35</v>
      </c>
      <c r="BF777" s="237">
        <f t="shared" si="717"/>
        <v>52.55</v>
      </c>
      <c r="BG777" s="253">
        <f t="shared" si="718"/>
        <v>2.7676728869374316</v>
      </c>
      <c r="BH777" s="253" cm="1">
        <f t="array" ref="BH777">$BC777 * SUMPRODUCT(INDEX($AL$77:$AN$82,,$AE777),INDEX($AO$77:$AU$82,,$AD777), N($AK$77:$AK$82&gt;$AI777)) / BG777 / 1000</f>
        <v>0</v>
      </c>
      <c r="BI777" s="250">
        <f t="shared" si="705"/>
        <v>30</v>
      </c>
      <c r="BJ777" s="237">
        <f t="shared" si="719"/>
        <v>46.033333333333331</v>
      </c>
      <c r="BK777" s="253">
        <f t="shared" si="720"/>
        <v>3.2297395388556791</v>
      </c>
      <c r="BL777" s="253" cm="1">
        <f t="array" ref="BL777">$BC777 * IF($AD777&lt;=2,
SUMPRODUCT(INDEX($AL$72:$AN$76,,$AE777), INDEX($AO$72:$AU$76,,$AD777), 1 / ($AV$72:$AV$76*BK777 + (1-$AV$72:$AV$76)*BG777), N($AK$72:$AK$76&gt;$AI777)),
SUMPRODUCT(INDEX($AL$67:$AN$76,,$AE777), INDEX($AO$67:$AU$76,,$AD777), 1 / ($AW$67:$AW$76*BK777 + (1-$AW$67:$AW$76)*BG777), N($AK$67:$AK$76&gt;$AI777))
) / 1000</f>
        <v>0</v>
      </c>
      <c r="BM777" s="250">
        <f t="shared" si="706"/>
        <v>25</v>
      </c>
      <c r="BN777" s="237">
        <f t="shared" si="721"/>
        <v>39.516666666666666</v>
      </c>
      <c r="BO777" s="253">
        <f t="shared" si="722"/>
        <v>3.877011788826243</v>
      </c>
      <c r="BP777" s="253" cm="1">
        <f t="array" ref="BP777">$BC777 * IF($AD777&lt;=2,
SUMPRODUCT(INDEX($AL$67:$AN$71,,$AE777), INDEX($AO$67:$AU$71,,$AD777), 1 / ($AV$67:$AV$71*BO777 + (1-$AV$67:$AV$71)*BK777), N($AK$67:$AK$71&gt;$AI777)),
SUMPRODUCT(INDEX($AL$57:$AN$66,,$AE777), INDEX($AO$57:$AU$66,,$AD777), 1 / ($AW$57:$AW$66*BO777 + (1-$AW$57:$AW$66)*BK777), N($AK$57:$AK$66&gt;$AI777))
) / 1000</f>
        <v>0</v>
      </c>
      <c r="BQ777" s="250">
        <f t="shared" si="707"/>
        <v>20</v>
      </c>
      <c r="BR777" s="237">
        <f t="shared" si="723"/>
        <v>33</v>
      </c>
      <c r="BS777" s="253">
        <f t="shared" si="724"/>
        <v>4.8487499999999999</v>
      </c>
      <c r="BT777" s="253" cm="1">
        <f t="array" ref="BT777">$BC777 * IF($AD777&lt;=2,
SUMPRODUCT(INDEX($AL$62:$AN$66,,$AE777), INDEX($AO$62:$AU$66,,$AD777), 1 / ($AV$62:$AV$66*BS777 + (1-$AV$62:$AV$66)*BO777), N($AK$62:$AK$66&gt;$AI777)),
SUMPRODUCT(INDEX($AL$47:$AN$56,,$AE777), INDEX($AO$47:$AU$56,,$AD777), 1 / ($AW$47:$AW$56*BS777 + (1-$AW$47:$AW$56)*BO777), N($AK$47:$AK$56&gt;$AI777))
) / 1000</f>
        <v>0</v>
      </c>
      <c r="BU777" s="253" cm="1">
        <f t="array" ref="BU777">$BC777 * IF($AD777&lt;=2,
SUMPRODUCT(INDEX($AL$23:$AN$61,,$AE777), INDEX($AO$23:$AU$61,,$AD777), 1 / ($AV$23:$AV$61*BS777), N($AK$23:$AK$61&gt;$AI777)),
SUMPRODUCT(INDEX($AL$23:$AN$46,,$AE777), INDEX($AO$23:$AU$46,,$AD777), 1 / ($AW$23:$AW$46*BS777), N($AK$23:$AK$46&gt;$AI777))
) / 1000</f>
        <v>0</v>
      </c>
      <c r="BV777" s="237">
        <f t="shared" si="725"/>
        <v>0</v>
      </c>
      <c r="BW777" s="210"/>
      <c r="BX777" s="237">
        <f t="shared" si="726"/>
        <v>0</v>
      </c>
      <c r="BY777" s="236">
        <v>35</v>
      </c>
      <c r="BZ777" s="237">
        <f t="shared" si="727"/>
        <v>48</v>
      </c>
      <c r="CA777" s="253">
        <f t="shared" si="728"/>
        <v>3.0748170731707316</v>
      </c>
      <c r="CB777" s="253" cm="1">
        <f t="array" ref="CB777">$BC777 * SUMPRODUCT(INDEX($AL$77:$AN$82,,$AE777),INDEX($AO$77:$AU$82,,$AD777), N($AK$77:$AK$82&gt;$AI777)) / CA777 / 1000</f>
        <v>0</v>
      </c>
      <c r="CC777" s="250">
        <f t="shared" si="708"/>
        <v>30</v>
      </c>
      <c r="CD777" s="237">
        <f t="shared" si="729"/>
        <v>43</v>
      </c>
      <c r="CE777" s="253">
        <f t="shared" si="730"/>
        <v>3.5018750000000001</v>
      </c>
      <c r="CF777" s="253" cm="1">
        <f t="array" ref="CF777">$BC777 * IF($AD777&lt;=2,
SUMPRODUCT(INDEX($AL$72:$AN$76,,$AE777), INDEX($AO$72:$AU$76,,$AD777), 1 / ($AV$72:$AV$76*CE777 + (1-$AV$72:$AV$76)*CA777), N($AK$72:$AK$76&gt;$AI777)),
SUMPRODUCT(INDEX($AL$67:$AN$76,,$AE777), INDEX($AO$67:$AU$76,,$AD777), 1 / ($AW$67:$AW$76*CE777 + (1-$AW$67:$AW$76)*CA777), N($AK$67:$AK$76&gt;$AI777))
) / 1000</f>
        <v>0</v>
      </c>
      <c r="CG777" s="250">
        <f t="shared" si="709"/>
        <v>25</v>
      </c>
      <c r="CH777" s="237">
        <f t="shared" si="731"/>
        <v>38</v>
      </c>
      <c r="CI777" s="253">
        <f t="shared" si="732"/>
        <v>4.0666935483870965</v>
      </c>
      <c r="CJ777" s="253" cm="1">
        <f t="array" ref="CJ777">$BC777 * IF($AD777&lt;=2,
SUMPRODUCT(INDEX($AL$67:$AN$71,,$AE777), INDEX($AO$67:$AU$71,,$AD777), 1 / ($AV$67:$AV$71*CI777 + (1-$AV$67:$AV$71)*CE777), N($AK$67:$AK$71&gt;$AI777)),
SUMPRODUCT(INDEX($AL$57:$AN$66,,$AE777), INDEX($AO$57:$AU$66,,$AD777), 1 / ($AW$57:$AW$66*CI777 + (1-$AW$57:$AW$66)*CE777), N($AK$57:$AK$66&gt;$AI777))
) / 1000</f>
        <v>0</v>
      </c>
      <c r="CK777" s="250">
        <f t="shared" si="710"/>
        <v>20</v>
      </c>
      <c r="CL777" s="237">
        <f t="shared" si="733"/>
        <v>33</v>
      </c>
      <c r="CM777" s="253">
        <f t="shared" si="734"/>
        <v>4.8487499999999999</v>
      </c>
      <c r="CN777" s="253" cm="1">
        <f t="array" ref="CN777">$BC777 * IF($AD777&lt;=2,
SUMPRODUCT(INDEX($AL$62:$AN$66,,$AE777), INDEX($AO$62:$AU$66,,$AD777), 1 / ($AV$62:$AV$66*CM777 + (1-$AV$62:$AV$66)*CI777), N($AK$62:$AK$66&gt;$AI777)),
SUMPRODUCT(INDEX($AL$47:$AN$56,,$AE777), INDEX($AO$47:$AU$56,,$AD777), 1 / ($AW$47:$AW$56*CM777 + (1-$AW$47:$AW$56)*CI777), N($AK$47:$AK$56&gt;$AI777))
) / 1000</f>
        <v>0</v>
      </c>
      <c r="CO777" s="253" cm="1">
        <f t="array" ref="CO777">$BC777 * IF($AD777&lt;=2,
SUMPRODUCT(INDEX($AL$23:$AN$61,,$AE777), INDEX($AO$23:$AU$61,,$AD777), 1 / ($AV$23:$AV$61*CM777), N($AK$23:$AK$61&gt;$AI777)),
SUMPRODUCT(INDEX($AL$23:$AN$46,,$AE777), INDEX($AO$23:$AU$46,,$AD777), 1 / ($AW$23:$AW$46*CM777), N($AK$23:$AK$46&gt;$AI777))
) / 1000</f>
        <v>0</v>
      </c>
      <c r="CP777" s="237">
        <f t="shared" si="735"/>
        <v>0</v>
      </c>
      <c r="CQ777" s="210"/>
    </row>
    <row r="778" spans="1:95" s="76" customFormat="1" ht="14.25" customHeight="1" x14ac:dyDescent="0.2">
      <c r="A778" s="238" t="b">
        <f t="shared" si="702"/>
        <v>0</v>
      </c>
      <c r="B778" s="239">
        <v>756</v>
      </c>
      <c r="C778" s="258"/>
      <c r="D778" s="258"/>
      <c r="E778" s="240"/>
      <c r="F778" s="241" t="str">
        <f>IF(ISBLANK(E778), "", VLOOKUP(E778, Z!$A$2:$C$4127, 3, FALSE))</f>
        <v/>
      </c>
      <c r="G778" s="242"/>
      <c r="H778" s="242"/>
      <c r="I778" s="243"/>
      <c r="J778" s="244"/>
      <c r="K778" s="259"/>
      <c r="L778" s="260"/>
      <c r="M778" s="247" t="str" cm="1">
        <f t="array" ref="M778">IF($K778&gt;0, INDEX(Clean,1+AG778,$C$1), "")</f>
        <v/>
      </c>
      <c r="N778" s="245"/>
      <c r="O778" s="245"/>
      <c r="P778" s="246"/>
      <c r="Q778" s="248">
        <f t="shared" si="712"/>
        <v>0</v>
      </c>
      <c r="R778" s="247" t="str" cm="1">
        <f t="array" ref="R778">IF($K778&gt;0, INDEX(Clean,1+AH778,$C$1), "")</f>
        <v/>
      </c>
      <c r="S778" s="245"/>
      <c r="T778" s="245"/>
      <c r="U778" s="246"/>
      <c r="V778" s="248">
        <f t="shared" si="713"/>
        <v>0</v>
      </c>
      <c r="W778" s="261"/>
      <c r="X778" s="258"/>
      <c r="Y778" s="240"/>
      <c r="Z778" s="241" t="str">
        <f>IF(ISBLANK(Y778), "", VLOOKUP(Y778, Z!$A$2:$C$4127, 3, FALSE))</f>
        <v/>
      </c>
      <c r="AA778" s="262"/>
      <c r="AB778" s="249">
        <f t="shared" si="711"/>
        <v>0</v>
      </c>
      <c r="AC778" s="210"/>
      <c r="AD778" s="236">
        <f t="shared" si="736"/>
        <v>1</v>
      </c>
      <c r="AE778" s="236">
        <f t="shared" si="737"/>
        <v>1</v>
      </c>
      <c r="AF778" s="236">
        <f t="shared" si="738"/>
        <v>0</v>
      </c>
      <c r="AG778" s="236">
        <v>1</v>
      </c>
      <c r="AH778" s="236">
        <v>0</v>
      </c>
      <c r="AI778" s="236">
        <f t="shared" si="714"/>
        <v>-100</v>
      </c>
      <c r="AJ778" s="210"/>
      <c r="AK778" s="254"/>
      <c r="AL778" s="254"/>
      <c r="AM778" s="255"/>
      <c r="AN778" s="255"/>
      <c r="AO778" s="255"/>
      <c r="AP778" s="255"/>
      <c r="AQ778" s="255"/>
      <c r="AR778" s="255"/>
      <c r="AS778" s="255"/>
      <c r="AT778" s="255"/>
      <c r="AU778" s="255"/>
      <c r="AV778" s="255"/>
      <c r="AW778" s="255"/>
      <c r="AX778" s="210"/>
      <c r="AY778" s="236" cm="1">
        <f t="array" ref="AY778">INDEX(Use, $AD778, 4)</f>
        <v>7</v>
      </c>
      <c r="AZ778" s="236">
        <f t="shared" si="715"/>
        <v>32</v>
      </c>
      <c r="BA778" s="236">
        <f t="shared" si="703"/>
        <v>13</v>
      </c>
      <c r="BB778" s="236">
        <f t="shared" si="704"/>
        <v>0</v>
      </c>
      <c r="BC778" s="252" cm="1">
        <f t="array" ref="BC778">K778/IF($L778&gt;0, INDEX($AO$23:$AU$77, $L778+20, $AD778), 1)</f>
        <v>0</v>
      </c>
      <c r="BD778" s="237">
        <f t="shared" si="716"/>
        <v>0</v>
      </c>
      <c r="BE778" s="236">
        <v>35</v>
      </c>
      <c r="BF778" s="237">
        <f t="shared" si="717"/>
        <v>52.55</v>
      </c>
      <c r="BG778" s="253">
        <f t="shared" si="718"/>
        <v>2.7676728869374316</v>
      </c>
      <c r="BH778" s="253" cm="1">
        <f t="array" ref="BH778">$BC778 * SUMPRODUCT(INDEX($AL$77:$AN$82,,$AE778),INDEX($AO$77:$AU$82,,$AD778), N($AK$77:$AK$82&gt;$AI778)) / BG778 / 1000</f>
        <v>0</v>
      </c>
      <c r="BI778" s="250">
        <f t="shared" si="705"/>
        <v>30</v>
      </c>
      <c r="BJ778" s="237">
        <f t="shared" si="719"/>
        <v>46.033333333333331</v>
      </c>
      <c r="BK778" s="253">
        <f t="shared" si="720"/>
        <v>3.2297395388556791</v>
      </c>
      <c r="BL778" s="253" cm="1">
        <f t="array" ref="BL778">$BC778 * IF($AD778&lt;=2,
SUMPRODUCT(INDEX($AL$72:$AN$76,,$AE778), INDEX($AO$72:$AU$76,,$AD778), 1 / ($AV$72:$AV$76*BK778 + (1-$AV$72:$AV$76)*BG778), N($AK$72:$AK$76&gt;$AI778)),
SUMPRODUCT(INDEX($AL$67:$AN$76,,$AE778), INDEX($AO$67:$AU$76,,$AD778), 1 / ($AW$67:$AW$76*BK778 + (1-$AW$67:$AW$76)*BG778), N($AK$67:$AK$76&gt;$AI778))
) / 1000</f>
        <v>0</v>
      </c>
      <c r="BM778" s="250">
        <f t="shared" si="706"/>
        <v>25</v>
      </c>
      <c r="BN778" s="237">
        <f t="shared" si="721"/>
        <v>39.516666666666666</v>
      </c>
      <c r="BO778" s="253">
        <f t="shared" si="722"/>
        <v>3.877011788826243</v>
      </c>
      <c r="BP778" s="253" cm="1">
        <f t="array" ref="BP778">$BC778 * IF($AD778&lt;=2,
SUMPRODUCT(INDEX($AL$67:$AN$71,,$AE778), INDEX($AO$67:$AU$71,,$AD778), 1 / ($AV$67:$AV$71*BO778 + (1-$AV$67:$AV$71)*BK778), N($AK$67:$AK$71&gt;$AI778)),
SUMPRODUCT(INDEX($AL$57:$AN$66,,$AE778), INDEX($AO$57:$AU$66,,$AD778), 1 / ($AW$57:$AW$66*BO778 + (1-$AW$57:$AW$66)*BK778), N($AK$57:$AK$66&gt;$AI778))
) / 1000</f>
        <v>0</v>
      </c>
      <c r="BQ778" s="250">
        <f t="shared" si="707"/>
        <v>20</v>
      </c>
      <c r="BR778" s="237">
        <f t="shared" si="723"/>
        <v>33</v>
      </c>
      <c r="BS778" s="253">
        <f t="shared" si="724"/>
        <v>4.8487499999999999</v>
      </c>
      <c r="BT778" s="253" cm="1">
        <f t="array" ref="BT778">$BC778 * IF($AD778&lt;=2,
SUMPRODUCT(INDEX($AL$62:$AN$66,,$AE778), INDEX($AO$62:$AU$66,,$AD778), 1 / ($AV$62:$AV$66*BS778 + (1-$AV$62:$AV$66)*BO778), N($AK$62:$AK$66&gt;$AI778)),
SUMPRODUCT(INDEX($AL$47:$AN$56,,$AE778), INDEX($AO$47:$AU$56,,$AD778), 1 / ($AW$47:$AW$56*BS778 + (1-$AW$47:$AW$56)*BO778), N($AK$47:$AK$56&gt;$AI778))
) / 1000</f>
        <v>0</v>
      </c>
      <c r="BU778" s="253" cm="1">
        <f t="array" ref="BU778">$BC778 * IF($AD778&lt;=2,
SUMPRODUCT(INDEX($AL$23:$AN$61,,$AE778), INDEX($AO$23:$AU$61,,$AD778), 1 / ($AV$23:$AV$61*BS778), N($AK$23:$AK$61&gt;$AI778)),
SUMPRODUCT(INDEX($AL$23:$AN$46,,$AE778), INDEX($AO$23:$AU$46,,$AD778), 1 / ($AW$23:$AW$46*BS778), N($AK$23:$AK$46&gt;$AI778))
) / 1000</f>
        <v>0</v>
      </c>
      <c r="BV778" s="237">
        <f t="shared" si="725"/>
        <v>0</v>
      </c>
      <c r="BW778" s="210"/>
      <c r="BX778" s="237">
        <f t="shared" si="726"/>
        <v>0</v>
      </c>
      <c r="BY778" s="236">
        <v>35</v>
      </c>
      <c r="BZ778" s="237">
        <f t="shared" si="727"/>
        <v>48</v>
      </c>
      <c r="CA778" s="253">
        <f t="shared" si="728"/>
        <v>3.0748170731707316</v>
      </c>
      <c r="CB778" s="253" cm="1">
        <f t="array" ref="CB778">$BC778 * SUMPRODUCT(INDEX($AL$77:$AN$82,,$AE778),INDEX($AO$77:$AU$82,,$AD778), N($AK$77:$AK$82&gt;$AI778)) / CA778 / 1000</f>
        <v>0</v>
      </c>
      <c r="CC778" s="250">
        <f t="shared" si="708"/>
        <v>30</v>
      </c>
      <c r="CD778" s="237">
        <f t="shared" si="729"/>
        <v>43</v>
      </c>
      <c r="CE778" s="253">
        <f t="shared" si="730"/>
        <v>3.5018750000000001</v>
      </c>
      <c r="CF778" s="253" cm="1">
        <f t="array" ref="CF778">$BC778 * IF($AD778&lt;=2,
SUMPRODUCT(INDEX($AL$72:$AN$76,,$AE778), INDEX($AO$72:$AU$76,,$AD778), 1 / ($AV$72:$AV$76*CE778 + (1-$AV$72:$AV$76)*CA778), N($AK$72:$AK$76&gt;$AI778)),
SUMPRODUCT(INDEX($AL$67:$AN$76,,$AE778), INDEX($AO$67:$AU$76,,$AD778), 1 / ($AW$67:$AW$76*CE778 + (1-$AW$67:$AW$76)*CA778), N($AK$67:$AK$76&gt;$AI778))
) / 1000</f>
        <v>0</v>
      </c>
      <c r="CG778" s="250">
        <f t="shared" si="709"/>
        <v>25</v>
      </c>
      <c r="CH778" s="237">
        <f t="shared" si="731"/>
        <v>38</v>
      </c>
      <c r="CI778" s="253">
        <f t="shared" si="732"/>
        <v>4.0666935483870965</v>
      </c>
      <c r="CJ778" s="253" cm="1">
        <f t="array" ref="CJ778">$BC778 * IF($AD778&lt;=2,
SUMPRODUCT(INDEX($AL$67:$AN$71,,$AE778), INDEX($AO$67:$AU$71,,$AD778), 1 / ($AV$67:$AV$71*CI778 + (1-$AV$67:$AV$71)*CE778), N($AK$67:$AK$71&gt;$AI778)),
SUMPRODUCT(INDEX($AL$57:$AN$66,,$AE778), INDEX($AO$57:$AU$66,,$AD778), 1 / ($AW$57:$AW$66*CI778 + (1-$AW$57:$AW$66)*CE778), N($AK$57:$AK$66&gt;$AI778))
) / 1000</f>
        <v>0</v>
      </c>
      <c r="CK778" s="250">
        <f t="shared" si="710"/>
        <v>20</v>
      </c>
      <c r="CL778" s="237">
        <f t="shared" si="733"/>
        <v>33</v>
      </c>
      <c r="CM778" s="253">
        <f t="shared" si="734"/>
        <v>4.8487499999999999</v>
      </c>
      <c r="CN778" s="253" cm="1">
        <f t="array" ref="CN778">$BC778 * IF($AD778&lt;=2,
SUMPRODUCT(INDEX($AL$62:$AN$66,,$AE778), INDEX($AO$62:$AU$66,,$AD778), 1 / ($AV$62:$AV$66*CM778 + (1-$AV$62:$AV$66)*CI778), N($AK$62:$AK$66&gt;$AI778)),
SUMPRODUCT(INDEX($AL$47:$AN$56,,$AE778), INDEX($AO$47:$AU$56,,$AD778), 1 / ($AW$47:$AW$56*CM778 + (1-$AW$47:$AW$56)*CI778), N($AK$47:$AK$56&gt;$AI778))
) / 1000</f>
        <v>0</v>
      </c>
      <c r="CO778" s="253" cm="1">
        <f t="array" ref="CO778">$BC778 * IF($AD778&lt;=2,
SUMPRODUCT(INDEX($AL$23:$AN$61,,$AE778), INDEX($AO$23:$AU$61,,$AD778), 1 / ($AV$23:$AV$61*CM778), N($AK$23:$AK$61&gt;$AI778)),
SUMPRODUCT(INDEX($AL$23:$AN$46,,$AE778), INDEX($AO$23:$AU$46,,$AD778), 1 / ($AW$23:$AW$46*CM778), N($AK$23:$AK$46&gt;$AI778))
) / 1000</f>
        <v>0</v>
      </c>
      <c r="CP778" s="237">
        <f t="shared" si="735"/>
        <v>0</v>
      </c>
      <c r="CQ778" s="210"/>
    </row>
    <row r="779" spans="1:95" s="76" customFormat="1" ht="14.25" customHeight="1" x14ac:dyDescent="0.2">
      <c r="A779" s="238" t="b">
        <f t="shared" si="702"/>
        <v>0</v>
      </c>
      <c r="B779" s="239">
        <v>757</v>
      </c>
      <c r="C779" s="258"/>
      <c r="D779" s="258"/>
      <c r="E779" s="240"/>
      <c r="F779" s="241" t="str">
        <f>IF(ISBLANK(E779), "", VLOOKUP(E779, Z!$A$2:$C$4127, 3, FALSE))</f>
        <v/>
      </c>
      <c r="G779" s="242"/>
      <c r="H779" s="242"/>
      <c r="I779" s="243"/>
      <c r="J779" s="244"/>
      <c r="K779" s="259"/>
      <c r="L779" s="260"/>
      <c r="M779" s="247" t="str" cm="1">
        <f t="array" ref="M779">IF($K779&gt;0, INDEX(Clean,1+AG779,$C$1), "")</f>
        <v/>
      </c>
      <c r="N779" s="245"/>
      <c r="O779" s="245"/>
      <c r="P779" s="246"/>
      <c r="Q779" s="248">
        <f t="shared" si="712"/>
        <v>0</v>
      </c>
      <c r="R779" s="247" t="str" cm="1">
        <f t="array" ref="R779">IF($K779&gt;0, INDEX(Clean,1+AH779,$C$1), "")</f>
        <v/>
      </c>
      <c r="S779" s="245"/>
      <c r="T779" s="245"/>
      <c r="U779" s="246"/>
      <c r="V779" s="248">
        <f t="shared" si="713"/>
        <v>0</v>
      </c>
      <c r="W779" s="261"/>
      <c r="X779" s="258"/>
      <c r="Y779" s="240"/>
      <c r="Z779" s="241" t="str">
        <f>IF(ISBLANK(Y779), "", VLOOKUP(Y779, Z!$A$2:$C$4127, 3, FALSE))</f>
        <v/>
      </c>
      <c r="AA779" s="262"/>
      <c r="AB779" s="249">
        <f t="shared" si="711"/>
        <v>0</v>
      </c>
      <c r="AC779" s="210"/>
      <c r="AD779" s="236">
        <f t="shared" si="736"/>
        <v>1</v>
      </c>
      <c r="AE779" s="236">
        <f t="shared" si="737"/>
        <v>1</v>
      </c>
      <c r="AF779" s="236">
        <f t="shared" si="738"/>
        <v>0</v>
      </c>
      <c r="AG779" s="236">
        <v>1</v>
      </c>
      <c r="AH779" s="236">
        <v>0</v>
      </c>
      <c r="AI779" s="236">
        <f t="shared" si="714"/>
        <v>-100</v>
      </c>
      <c r="AJ779" s="210"/>
      <c r="AK779" s="254"/>
      <c r="AL779" s="254"/>
      <c r="AM779" s="255"/>
      <c r="AN779" s="255"/>
      <c r="AO779" s="255"/>
      <c r="AP779" s="255"/>
      <c r="AQ779" s="255"/>
      <c r="AR779" s="255"/>
      <c r="AS779" s="255"/>
      <c r="AT779" s="255"/>
      <c r="AU779" s="255"/>
      <c r="AV779" s="255"/>
      <c r="AW779" s="255"/>
      <c r="AX779" s="210"/>
      <c r="AY779" s="236" cm="1">
        <f t="array" ref="AY779">INDEX(Use, $AD779, 4)</f>
        <v>7</v>
      </c>
      <c r="AZ779" s="236">
        <f t="shared" si="715"/>
        <v>32</v>
      </c>
      <c r="BA779" s="236">
        <f t="shared" si="703"/>
        <v>13</v>
      </c>
      <c r="BB779" s="236">
        <f t="shared" si="704"/>
        <v>0</v>
      </c>
      <c r="BC779" s="252" cm="1">
        <f t="array" ref="BC779">K779/IF($L779&gt;0, INDEX($AO$23:$AU$77, $L779+20, $AD779), 1)</f>
        <v>0</v>
      </c>
      <c r="BD779" s="237">
        <f t="shared" si="716"/>
        <v>0</v>
      </c>
      <c r="BE779" s="236">
        <v>35</v>
      </c>
      <c r="BF779" s="237">
        <f t="shared" si="717"/>
        <v>52.55</v>
      </c>
      <c r="BG779" s="253">
        <f t="shared" si="718"/>
        <v>2.7676728869374316</v>
      </c>
      <c r="BH779" s="253" cm="1">
        <f t="array" ref="BH779">$BC779 * SUMPRODUCT(INDEX($AL$77:$AN$82,,$AE779),INDEX($AO$77:$AU$82,,$AD779), N($AK$77:$AK$82&gt;$AI779)) / BG779 / 1000</f>
        <v>0</v>
      </c>
      <c r="BI779" s="250">
        <f t="shared" si="705"/>
        <v>30</v>
      </c>
      <c r="BJ779" s="237">
        <f t="shared" si="719"/>
        <v>46.033333333333331</v>
      </c>
      <c r="BK779" s="253">
        <f t="shared" si="720"/>
        <v>3.2297395388556791</v>
      </c>
      <c r="BL779" s="253" cm="1">
        <f t="array" ref="BL779">$BC779 * IF($AD779&lt;=2,
SUMPRODUCT(INDEX($AL$72:$AN$76,,$AE779), INDEX($AO$72:$AU$76,,$AD779), 1 / ($AV$72:$AV$76*BK779 + (1-$AV$72:$AV$76)*BG779), N($AK$72:$AK$76&gt;$AI779)),
SUMPRODUCT(INDEX($AL$67:$AN$76,,$AE779), INDEX($AO$67:$AU$76,,$AD779), 1 / ($AW$67:$AW$76*BK779 + (1-$AW$67:$AW$76)*BG779), N($AK$67:$AK$76&gt;$AI779))
) / 1000</f>
        <v>0</v>
      </c>
      <c r="BM779" s="250">
        <f t="shared" si="706"/>
        <v>25</v>
      </c>
      <c r="BN779" s="237">
        <f t="shared" si="721"/>
        <v>39.516666666666666</v>
      </c>
      <c r="BO779" s="253">
        <f t="shared" si="722"/>
        <v>3.877011788826243</v>
      </c>
      <c r="BP779" s="253" cm="1">
        <f t="array" ref="BP779">$BC779 * IF($AD779&lt;=2,
SUMPRODUCT(INDEX($AL$67:$AN$71,,$AE779), INDEX($AO$67:$AU$71,,$AD779), 1 / ($AV$67:$AV$71*BO779 + (1-$AV$67:$AV$71)*BK779), N($AK$67:$AK$71&gt;$AI779)),
SUMPRODUCT(INDEX($AL$57:$AN$66,,$AE779), INDEX($AO$57:$AU$66,,$AD779), 1 / ($AW$57:$AW$66*BO779 + (1-$AW$57:$AW$66)*BK779), N($AK$57:$AK$66&gt;$AI779))
) / 1000</f>
        <v>0</v>
      </c>
      <c r="BQ779" s="250">
        <f t="shared" si="707"/>
        <v>20</v>
      </c>
      <c r="BR779" s="237">
        <f t="shared" si="723"/>
        <v>33</v>
      </c>
      <c r="BS779" s="253">
        <f t="shared" si="724"/>
        <v>4.8487499999999999</v>
      </c>
      <c r="BT779" s="253" cm="1">
        <f t="array" ref="BT779">$BC779 * IF($AD779&lt;=2,
SUMPRODUCT(INDEX($AL$62:$AN$66,,$AE779), INDEX($AO$62:$AU$66,,$AD779), 1 / ($AV$62:$AV$66*BS779 + (1-$AV$62:$AV$66)*BO779), N($AK$62:$AK$66&gt;$AI779)),
SUMPRODUCT(INDEX($AL$47:$AN$56,,$AE779), INDEX($AO$47:$AU$56,,$AD779), 1 / ($AW$47:$AW$56*BS779 + (1-$AW$47:$AW$56)*BO779), N($AK$47:$AK$56&gt;$AI779))
) / 1000</f>
        <v>0</v>
      </c>
      <c r="BU779" s="253" cm="1">
        <f t="array" ref="BU779">$BC779 * IF($AD779&lt;=2,
SUMPRODUCT(INDEX($AL$23:$AN$61,,$AE779), INDEX($AO$23:$AU$61,,$AD779), 1 / ($AV$23:$AV$61*BS779), N($AK$23:$AK$61&gt;$AI779)),
SUMPRODUCT(INDEX($AL$23:$AN$46,,$AE779), INDEX($AO$23:$AU$46,,$AD779), 1 / ($AW$23:$AW$46*BS779), N($AK$23:$AK$46&gt;$AI779))
) / 1000</f>
        <v>0</v>
      </c>
      <c r="BV779" s="237">
        <f t="shared" si="725"/>
        <v>0</v>
      </c>
      <c r="BW779" s="210"/>
      <c r="BX779" s="237">
        <f t="shared" si="726"/>
        <v>0</v>
      </c>
      <c r="BY779" s="236">
        <v>35</v>
      </c>
      <c r="BZ779" s="237">
        <f t="shared" si="727"/>
        <v>48</v>
      </c>
      <c r="CA779" s="253">
        <f t="shared" si="728"/>
        <v>3.0748170731707316</v>
      </c>
      <c r="CB779" s="253" cm="1">
        <f t="array" ref="CB779">$BC779 * SUMPRODUCT(INDEX($AL$77:$AN$82,,$AE779),INDEX($AO$77:$AU$82,,$AD779), N($AK$77:$AK$82&gt;$AI779)) / CA779 / 1000</f>
        <v>0</v>
      </c>
      <c r="CC779" s="250">
        <f t="shared" si="708"/>
        <v>30</v>
      </c>
      <c r="CD779" s="237">
        <f t="shared" si="729"/>
        <v>43</v>
      </c>
      <c r="CE779" s="253">
        <f t="shared" si="730"/>
        <v>3.5018750000000001</v>
      </c>
      <c r="CF779" s="253" cm="1">
        <f t="array" ref="CF779">$BC779 * IF($AD779&lt;=2,
SUMPRODUCT(INDEX($AL$72:$AN$76,,$AE779), INDEX($AO$72:$AU$76,,$AD779), 1 / ($AV$72:$AV$76*CE779 + (1-$AV$72:$AV$76)*CA779), N($AK$72:$AK$76&gt;$AI779)),
SUMPRODUCT(INDEX($AL$67:$AN$76,,$AE779), INDEX($AO$67:$AU$76,,$AD779), 1 / ($AW$67:$AW$76*CE779 + (1-$AW$67:$AW$76)*CA779), N($AK$67:$AK$76&gt;$AI779))
) / 1000</f>
        <v>0</v>
      </c>
      <c r="CG779" s="250">
        <f t="shared" si="709"/>
        <v>25</v>
      </c>
      <c r="CH779" s="237">
        <f t="shared" si="731"/>
        <v>38</v>
      </c>
      <c r="CI779" s="253">
        <f t="shared" si="732"/>
        <v>4.0666935483870965</v>
      </c>
      <c r="CJ779" s="253" cm="1">
        <f t="array" ref="CJ779">$BC779 * IF($AD779&lt;=2,
SUMPRODUCT(INDEX($AL$67:$AN$71,,$AE779), INDEX($AO$67:$AU$71,,$AD779), 1 / ($AV$67:$AV$71*CI779 + (1-$AV$67:$AV$71)*CE779), N($AK$67:$AK$71&gt;$AI779)),
SUMPRODUCT(INDEX($AL$57:$AN$66,,$AE779), INDEX($AO$57:$AU$66,,$AD779), 1 / ($AW$57:$AW$66*CI779 + (1-$AW$57:$AW$66)*CE779), N($AK$57:$AK$66&gt;$AI779))
) / 1000</f>
        <v>0</v>
      </c>
      <c r="CK779" s="250">
        <f t="shared" si="710"/>
        <v>20</v>
      </c>
      <c r="CL779" s="237">
        <f t="shared" si="733"/>
        <v>33</v>
      </c>
      <c r="CM779" s="253">
        <f t="shared" si="734"/>
        <v>4.8487499999999999</v>
      </c>
      <c r="CN779" s="253" cm="1">
        <f t="array" ref="CN779">$BC779 * IF($AD779&lt;=2,
SUMPRODUCT(INDEX($AL$62:$AN$66,,$AE779), INDEX($AO$62:$AU$66,,$AD779), 1 / ($AV$62:$AV$66*CM779 + (1-$AV$62:$AV$66)*CI779), N($AK$62:$AK$66&gt;$AI779)),
SUMPRODUCT(INDEX($AL$47:$AN$56,,$AE779), INDEX($AO$47:$AU$56,,$AD779), 1 / ($AW$47:$AW$56*CM779 + (1-$AW$47:$AW$56)*CI779), N($AK$47:$AK$56&gt;$AI779))
) / 1000</f>
        <v>0</v>
      </c>
      <c r="CO779" s="253" cm="1">
        <f t="array" ref="CO779">$BC779 * IF($AD779&lt;=2,
SUMPRODUCT(INDEX($AL$23:$AN$61,,$AE779), INDEX($AO$23:$AU$61,,$AD779), 1 / ($AV$23:$AV$61*CM779), N($AK$23:$AK$61&gt;$AI779)),
SUMPRODUCT(INDEX($AL$23:$AN$46,,$AE779), INDEX($AO$23:$AU$46,,$AD779), 1 / ($AW$23:$AW$46*CM779), N($AK$23:$AK$46&gt;$AI779))
) / 1000</f>
        <v>0</v>
      </c>
      <c r="CP779" s="237">
        <f t="shared" si="735"/>
        <v>0</v>
      </c>
      <c r="CQ779" s="210"/>
    </row>
    <row r="780" spans="1:95" s="76" customFormat="1" ht="14.25" customHeight="1" x14ac:dyDescent="0.2">
      <c r="A780" s="238" t="b">
        <f t="shared" si="702"/>
        <v>0</v>
      </c>
      <c r="B780" s="239">
        <v>758</v>
      </c>
      <c r="C780" s="258"/>
      <c r="D780" s="258"/>
      <c r="E780" s="240"/>
      <c r="F780" s="241" t="str">
        <f>IF(ISBLANK(E780), "", VLOOKUP(E780, Z!$A$2:$C$4127, 3, FALSE))</f>
        <v/>
      </c>
      <c r="G780" s="242"/>
      <c r="H780" s="242"/>
      <c r="I780" s="243"/>
      <c r="J780" s="244"/>
      <c r="K780" s="259"/>
      <c r="L780" s="260"/>
      <c r="M780" s="247" t="str" cm="1">
        <f t="array" ref="M780">IF($K780&gt;0, INDEX(Clean,1+AG780,$C$1), "")</f>
        <v/>
      </c>
      <c r="N780" s="245"/>
      <c r="O780" s="245"/>
      <c r="P780" s="246"/>
      <c r="Q780" s="248">
        <f t="shared" si="712"/>
        <v>0</v>
      </c>
      <c r="R780" s="247" t="str" cm="1">
        <f t="array" ref="R780">IF($K780&gt;0, INDEX(Clean,1+AH780,$C$1), "")</f>
        <v/>
      </c>
      <c r="S780" s="245"/>
      <c r="T780" s="245"/>
      <c r="U780" s="246"/>
      <c r="V780" s="248">
        <f t="shared" si="713"/>
        <v>0</v>
      </c>
      <c r="W780" s="261"/>
      <c r="X780" s="258"/>
      <c r="Y780" s="240"/>
      <c r="Z780" s="241" t="str">
        <f>IF(ISBLANK(Y780), "", VLOOKUP(Y780, Z!$A$2:$C$4127, 3, FALSE))</f>
        <v/>
      </c>
      <c r="AA780" s="262"/>
      <c r="AB780" s="249">
        <f t="shared" si="711"/>
        <v>0</v>
      </c>
      <c r="AC780" s="210"/>
      <c r="AD780" s="236">
        <f t="shared" si="736"/>
        <v>1</v>
      </c>
      <c r="AE780" s="236">
        <f t="shared" si="737"/>
        <v>1</v>
      </c>
      <c r="AF780" s="236">
        <f t="shared" si="738"/>
        <v>0</v>
      </c>
      <c r="AG780" s="236">
        <v>1</v>
      </c>
      <c r="AH780" s="236">
        <v>0</v>
      </c>
      <c r="AI780" s="236">
        <f t="shared" si="714"/>
        <v>-100</v>
      </c>
      <c r="AJ780" s="210"/>
      <c r="AK780" s="254"/>
      <c r="AL780" s="254"/>
      <c r="AM780" s="255"/>
      <c r="AN780" s="255"/>
      <c r="AO780" s="255"/>
      <c r="AP780" s="255"/>
      <c r="AQ780" s="255"/>
      <c r="AR780" s="255"/>
      <c r="AS780" s="255"/>
      <c r="AT780" s="255"/>
      <c r="AU780" s="255"/>
      <c r="AV780" s="255"/>
      <c r="AW780" s="255"/>
      <c r="AX780" s="210"/>
      <c r="AY780" s="236" cm="1">
        <f t="array" ref="AY780">INDEX(Use, $AD780, 4)</f>
        <v>7</v>
      </c>
      <c r="AZ780" s="236">
        <f t="shared" si="715"/>
        <v>32</v>
      </c>
      <c r="BA780" s="236">
        <f t="shared" si="703"/>
        <v>13</v>
      </c>
      <c r="BB780" s="236">
        <f t="shared" si="704"/>
        <v>0</v>
      </c>
      <c r="BC780" s="252" cm="1">
        <f t="array" ref="BC780">K780/IF($L780&gt;0, INDEX($AO$23:$AU$77, $L780+20, $AD780), 1)</f>
        <v>0</v>
      </c>
      <c r="BD780" s="237">
        <f t="shared" si="716"/>
        <v>0</v>
      </c>
      <c r="BE780" s="236">
        <v>35</v>
      </c>
      <c r="BF780" s="237">
        <f t="shared" si="717"/>
        <v>52.55</v>
      </c>
      <c r="BG780" s="253">
        <f t="shared" si="718"/>
        <v>2.7676728869374316</v>
      </c>
      <c r="BH780" s="253" cm="1">
        <f t="array" ref="BH780">$BC780 * SUMPRODUCT(INDEX($AL$77:$AN$82,,$AE780),INDEX($AO$77:$AU$82,,$AD780), N($AK$77:$AK$82&gt;$AI780)) / BG780 / 1000</f>
        <v>0</v>
      </c>
      <c r="BI780" s="250">
        <f t="shared" si="705"/>
        <v>30</v>
      </c>
      <c r="BJ780" s="237">
        <f t="shared" si="719"/>
        <v>46.033333333333331</v>
      </c>
      <c r="BK780" s="253">
        <f t="shared" si="720"/>
        <v>3.2297395388556791</v>
      </c>
      <c r="BL780" s="253" cm="1">
        <f t="array" ref="BL780">$BC780 * IF($AD780&lt;=2,
SUMPRODUCT(INDEX($AL$72:$AN$76,,$AE780), INDEX($AO$72:$AU$76,,$AD780), 1 / ($AV$72:$AV$76*BK780 + (1-$AV$72:$AV$76)*BG780), N($AK$72:$AK$76&gt;$AI780)),
SUMPRODUCT(INDEX($AL$67:$AN$76,,$AE780), INDEX($AO$67:$AU$76,,$AD780), 1 / ($AW$67:$AW$76*BK780 + (1-$AW$67:$AW$76)*BG780), N($AK$67:$AK$76&gt;$AI780))
) / 1000</f>
        <v>0</v>
      </c>
      <c r="BM780" s="250">
        <f t="shared" si="706"/>
        <v>25</v>
      </c>
      <c r="BN780" s="237">
        <f t="shared" si="721"/>
        <v>39.516666666666666</v>
      </c>
      <c r="BO780" s="253">
        <f t="shared" si="722"/>
        <v>3.877011788826243</v>
      </c>
      <c r="BP780" s="253" cm="1">
        <f t="array" ref="BP780">$BC780 * IF($AD780&lt;=2,
SUMPRODUCT(INDEX($AL$67:$AN$71,,$AE780), INDEX($AO$67:$AU$71,,$AD780), 1 / ($AV$67:$AV$71*BO780 + (1-$AV$67:$AV$71)*BK780), N($AK$67:$AK$71&gt;$AI780)),
SUMPRODUCT(INDEX($AL$57:$AN$66,,$AE780), INDEX($AO$57:$AU$66,,$AD780), 1 / ($AW$57:$AW$66*BO780 + (1-$AW$57:$AW$66)*BK780), N($AK$57:$AK$66&gt;$AI780))
) / 1000</f>
        <v>0</v>
      </c>
      <c r="BQ780" s="250">
        <f t="shared" si="707"/>
        <v>20</v>
      </c>
      <c r="BR780" s="237">
        <f t="shared" si="723"/>
        <v>33</v>
      </c>
      <c r="BS780" s="253">
        <f t="shared" si="724"/>
        <v>4.8487499999999999</v>
      </c>
      <c r="BT780" s="253" cm="1">
        <f t="array" ref="BT780">$BC780 * IF($AD780&lt;=2,
SUMPRODUCT(INDEX($AL$62:$AN$66,,$AE780), INDEX($AO$62:$AU$66,,$AD780), 1 / ($AV$62:$AV$66*BS780 + (1-$AV$62:$AV$66)*BO780), N($AK$62:$AK$66&gt;$AI780)),
SUMPRODUCT(INDEX($AL$47:$AN$56,,$AE780), INDEX($AO$47:$AU$56,,$AD780), 1 / ($AW$47:$AW$56*BS780 + (1-$AW$47:$AW$56)*BO780), N($AK$47:$AK$56&gt;$AI780))
) / 1000</f>
        <v>0</v>
      </c>
      <c r="BU780" s="253" cm="1">
        <f t="array" ref="BU780">$BC780 * IF($AD780&lt;=2,
SUMPRODUCT(INDEX($AL$23:$AN$61,,$AE780), INDEX($AO$23:$AU$61,,$AD780), 1 / ($AV$23:$AV$61*BS780), N($AK$23:$AK$61&gt;$AI780)),
SUMPRODUCT(INDEX($AL$23:$AN$46,,$AE780), INDEX($AO$23:$AU$46,,$AD780), 1 / ($AW$23:$AW$46*BS780), N($AK$23:$AK$46&gt;$AI780))
) / 1000</f>
        <v>0</v>
      </c>
      <c r="BV780" s="237">
        <f t="shared" si="725"/>
        <v>0</v>
      </c>
      <c r="BW780" s="210"/>
      <c r="BX780" s="237">
        <f t="shared" si="726"/>
        <v>0</v>
      </c>
      <c r="BY780" s="236">
        <v>35</v>
      </c>
      <c r="BZ780" s="237">
        <f t="shared" si="727"/>
        <v>48</v>
      </c>
      <c r="CA780" s="253">
        <f t="shared" si="728"/>
        <v>3.0748170731707316</v>
      </c>
      <c r="CB780" s="253" cm="1">
        <f t="array" ref="CB780">$BC780 * SUMPRODUCT(INDEX($AL$77:$AN$82,,$AE780),INDEX($AO$77:$AU$82,,$AD780), N($AK$77:$AK$82&gt;$AI780)) / CA780 / 1000</f>
        <v>0</v>
      </c>
      <c r="CC780" s="250">
        <f t="shared" si="708"/>
        <v>30</v>
      </c>
      <c r="CD780" s="237">
        <f t="shared" si="729"/>
        <v>43</v>
      </c>
      <c r="CE780" s="253">
        <f t="shared" si="730"/>
        <v>3.5018750000000001</v>
      </c>
      <c r="CF780" s="253" cm="1">
        <f t="array" ref="CF780">$BC780 * IF($AD780&lt;=2,
SUMPRODUCT(INDEX($AL$72:$AN$76,,$AE780), INDEX($AO$72:$AU$76,,$AD780), 1 / ($AV$72:$AV$76*CE780 + (1-$AV$72:$AV$76)*CA780), N($AK$72:$AK$76&gt;$AI780)),
SUMPRODUCT(INDEX($AL$67:$AN$76,,$AE780), INDEX($AO$67:$AU$76,,$AD780), 1 / ($AW$67:$AW$76*CE780 + (1-$AW$67:$AW$76)*CA780), N($AK$67:$AK$76&gt;$AI780))
) / 1000</f>
        <v>0</v>
      </c>
      <c r="CG780" s="250">
        <f t="shared" si="709"/>
        <v>25</v>
      </c>
      <c r="CH780" s="237">
        <f t="shared" si="731"/>
        <v>38</v>
      </c>
      <c r="CI780" s="253">
        <f t="shared" si="732"/>
        <v>4.0666935483870965</v>
      </c>
      <c r="CJ780" s="253" cm="1">
        <f t="array" ref="CJ780">$BC780 * IF($AD780&lt;=2,
SUMPRODUCT(INDEX($AL$67:$AN$71,,$AE780), INDEX($AO$67:$AU$71,,$AD780), 1 / ($AV$67:$AV$71*CI780 + (1-$AV$67:$AV$71)*CE780), N($AK$67:$AK$71&gt;$AI780)),
SUMPRODUCT(INDEX($AL$57:$AN$66,,$AE780), INDEX($AO$57:$AU$66,,$AD780), 1 / ($AW$57:$AW$66*CI780 + (1-$AW$57:$AW$66)*CE780), N($AK$57:$AK$66&gt;$AI780))
) / 1000</f>
        <v>0</v>
      </c>
      <c r="CK780" s="250">
        <f t="shared" si="710"/>
        <v>20</v>
      </c>
      <c r="CL780" s="237">
        <f t="shared" si="733"/>
        <v>33</v>
      </c>
      <c r="CM780" s="253">
        <f t="shared" si="734"/>
        <v>4.8487499999999999</v>
      </c>
      <c r="CN780" s="253" cm="1">
        <f t="array" ref="CN780">$BC780 * IF($AD780&lt;=2,
SUMPRODUCT(INDEX($AL$62:$AN$66,,$AE780), INDEX($AO$62:$AU$66,,$AD780), 1 / ($AV$62:$AV$66*CM780 + (1-$AV$62:$AV$66)*CI780), N($AK$62:$AK$66&gt;$AI780)),
SUMPRODUCT(INDEX($AL$47:$AN$56,,$AE780), INDEX($AO$47:$AU$56,,$AD780), 1 / ($AW$47:$AW$56*CM780 + (1-$AW$47:$AW$56)*CI780), N($AK$47:$AK$56&gt;$AI780))
) / 1000</f>
        <v>0</v>
      </c>
      <c r="CO780" s="253" cm="1">
        <f t="array" ref="CO780">$BC780 * IF($AD780&lt;=2,
SUMPRODUCT(INDEX($AL$23:$AN$61,,$AE780), INDEX($AO$23:$AU$61,,$AD780), 1 / ($AV$23:$AV$61*CM780), N($AK$23:$AK$61&gt;$AI780)),
SUMPRODUCT(INDEX($AL$23:$AN$46,,$AE780), INDEX($AO$23:$AU$46,,$AD780), 1 / ($AW$23:$AW$46*CM780), N($AK$23:$AK$46&gt;$AI780))
) / 1000</f>
        <v>0</v>
      </c>
      <c r="CP780" s="237">
        <f t="shared" si="735"/>
        <v>0</v>
      </c>
      <c r="CQ780" s="210"/>
    </row>
    <row r="781" spans="1:95" s="76" customFormat="1" ht="14.25" customHeight="1" x14ac:dyDescent="0.2">
      <c r="A781" s="238" t="b">
        <f t="shared" si="702"/>
        <v>0</v>
      </c>
      <c r="B781" s="239">
        <v>759</v>
      </c>
      <c r="C781" s="258"/>
      <c r="D781" s="258"/>
      <c r="E781" s="240"/>
      <c r="F781" s="241" t="str">
        <f>IF(ISBLANK(E781), "", VLOOKUP(E781, Z!$A$2:$C$4127, 3, FALSE))</f>
        <v/>
      </c>
      <c r="G781" s="242"/>
      <c r="H781" s="242"/>
      <c r="I781" s="243"/>
      <c r="J781" s="244"/>
      <c r="K781" s="259"/>
      <c r="L781" s="260"/>
      <c r="M781" s="247" t="str" cm="1">
        <f t="array" ref="M781">IF($K781&gt;0, INDEX(Clean,1+AG781,$C$1), "")</f>
        <v/>
      </c>
      <c r="N781" s="245"/>
      <c r="O781" s="245"/>
      <c r="P781" s="246"/>
      <c r="Q781" s="248">
        <f t="shared" si="712"/>
        <v>0</v>
      </c>
      <c r="R781" s="247" t="str" cm="1">
        <f t="array" ref="R781">IF($K781&gt;0, INDEX(Clean,1+AH781,$C$1), "")</f>
        <v/>
      </c>
      <c r="S781" s="245"/>
      <c r="T781" s="245"/>
      <c r="U781" s="246"/>
      <c r="V781" s="248">
        <f t="shared" si="713"/>
        <v>0</v>
      </c>
      <c r="W781" s="261"/>
      <c r="X781" s="258"/>
      <c r="Y781" s="240"/>
      <c r="Z781" s="241" t="str">
        <f>IF(ISBLANK(Y781), "", VLOOKUP(Y781, Z!$A$2:$C$4127, 3, FALSE))</f>
        <v/>
      </c>
      <c r="AA781" s="262"/>
      <c r="AB781" s="249">
        <f t="shared" si="711"/>
        <v>0</v>
      </c>
      <c r="AC781" s="210"/>
      <c r="AD781" s="236">
        <f t="shared" si="736"/>
        <v>1</v>
      </c>
      <c r="AE781" s="236">
        <f t="shared" si="737"/>
        <v>1</v>
      </c>
      <c r="AF781" s="236">
        <f t="shared" si="738"/>
        <v>0</v>
      </c>
      <c r="AG781" s="236">
        <v>1</v>
      </c>
      <c r="AH781" s="236">
        <v>0</v>
      </c>
      <c r="AI781" s="236">
        <f t="shared" si="714"/>
        <v>-100</v>
      </c>
      <c r="AJ781" s="210"/>
      <c r="AK781" s="254"/>
      <c r="AL781" s="254"/>
      <c r="AM781" s="255"/>
      <c r="AN781" s="255"/>
      <c r="AO781" s="255"/>
      <c r="AP781" s="255"/>
      <c r="AQ781" s="255"/>
      <c r="AR781" s="255"/>
      <c r="AS781" s="255"/>
      <c r="AT781" s="255"/>
      <c r="AU781" s="255"/>
      <c r="AV781" s="255"/>
      <c r="AW781" s="255"/>
      <c r="AX781" s="210"/>
      <c r="AY781" s="236" cm="1">
        <f t="array" ref="AY781">INDEX(Use, $AD781, 4)</f>
        <v>7</v>
      </c>
      <c r="AZ781" s="236">
        <f t="shared" si="715"/>
        <v>32</v>
      </c>
      <c r="BA781" s="236">
        <f t="shared" si="703"/>
        <v>13</v>
      </c>
      <c r="BB781" s="236">
        <f t="shared" si="704"/>
        <v>0</v>
      </c>
      <c r="BC781" s="252" cm="1">
        <f t="array" ref="BC781">K781/IF($L781&gt;0, INDEX($AO$23:$AU$77, $L781+20, $AD781), 1)</f>
        <v>0</v>
      </c>
      <c r="BD781" s="237">
        <f t="shared" si="716"/>
        <v>0</v>
      </c>
      <c r="BE781" s="236">
        <v>35</v>
      </c>
      <c r="BF781" s="237">
        <f t="shared" si="717"/>
        <v>52.55</v>
      </c>
      <c r="BG781" s="253">
        <f t="shared" si="718"/>
        <v>2.7676728869374316</v>
      </c>
      <c r="BH781" s="253" cm="1">
        <f t="array" ref="BH781">$BC781 * SUMPRODUCT(INDEX($AL$77:$AN$82,,$AE781),INDEX($AO$77:$AU$82,,$AD781), N($AK$77:$AK$82&gt;$AI781)) / BG781 / 1000</f>
        <v>0</v>
      </c>
      <c r="BI781" s="250">
        <f t="shared" si="705"/>
        <v>30</v>
      </c>
      <c r="BJ781" s="237">
        <f t="shared" si="719"/>
        <v>46.033333333333331</v>
      </c>
      <c r="BK781" s="253">
        <f t="shared" si="720"/>
        <v>3.2297395388556791</v>
      </c>
      <c r="BL781" s="253" cm="1">
        <f t="array" ref="BL781">$BC781 * IF($AD781&lt;=2,
SUMPRODUCT(INDEX($AL$72:$AN$76,,$AE781), INDEX($AO$72:$AU$76,,$AD781), 1 / ($AV$72:$AV$76*BK781 + (1-$AV$72:$AV$76)*BG781), N($AK$72:$AK$76&gt;$AI781)),
SUMPRODUCT(INDEX($AL$67:$AN$76,,$AE781), INDEX($AO$67:$AU$76,,$AD781), 1 / ($AW$67:$AW$76*BK781 + (1-$AW$67:$AW$76)*BG781), N($AK$67:$AK$76&gt;$AI781))
) / 1000</f>
        <v>0</v>
      </c>
      <c r="BM781" s="250">
        <f t="shared" si="706"/>
        <v>25</v>
      </c>
      <c r="BN781" s="237">
        <f t="shared" si="721"/>
        <v>39.516666666666666</v>
      </c>
      <c r="BO781" s="253">
        <f t="shared" si="722"/>
        <v>3.877011788826243</v>
      </c>
      <c r="BP781" s="253" cm="1">
        <f t="array" ref="BP781">$BC781 * IF($AD781&lt;=2,
SUMPRODUCT(INDEX($AL$67:$AN$71,,$AE781), INDEX($AO$67:$AU$71,,$AD781), 1 / ($AV$67:$AV$71*BO781 + (1-$AV$67:$AV$71)*BK781), N($AK$67:$AK$71&gt;$AI781)),
SUMPRODUCT(INDEX($AL$57:$AN$66,,$AE781), INDEX($AO$57:$AU$66,,$AD781), 1 / ($AW$57:$AW$66*BO781 + (1-$AW$57:$AW$66)*BK781), N($AK$57:$AK$66&gt;$AI781))
) / 1000</f>
        <v>0</v>
      </c>
      <c r="BQ781" s="250">
        <f t="shared" si="707"/>
        <v>20</v>
      </c>
      <c r="BR781" s="237">
        <f t="shared" si="723"/>
        <v>33</v>
      </c>
      <c r="BS781" s="253">
        <f t="shared" si="724"/>
        <v>4.8487499999999999</v>
      </c>
      <c r="BT781" s="253" cm="1">
        <f t="array" ref="BT781">$BC781 * IF($AD781&lt;=2,
SUMPRODUCT(INDEX($AL$62:$AN$66,,$AE781), INDEX($AO$62:$AU$66,,$AD781), 1 / ($AV$62:$AV$66*BS781 + (1-$AV$62:$AV$66)*BO781), N($AK$62:$AK$66&gt;$AI781)),
SUMPRODUCT(INDEX($AL$47:$AN$56,,$AE781), INDEX($AO$47:$AU$56,,$AD781), 1 / ($AW$47:$AW$56*BS781 + (1-$AW$47:$AW$56)*BO781), N($AK$47:$AK$56&gt;$AI781))
) / 1000</f>
        <v>0</v>
      </c>
      <c r="BU781" s="253" cm="1">
        <f t="array" ref="BU781">$BC781 * IF($AD781&lt;=2,
SUMPRODUCT(INDEX($AL$23:$AN$61,,$AE781), INDEX($AO$23:$AU$61,,$AD781), 1 / ($AV$23:$AV$61*BS781), N($AK$23:$AK$61&gt;$AI781)),
SUMPRODUCT(INDEX($AL$23:$AN$46,,$AE781), INDEX($AO$23:$AU$46,,$AD781), 1 / ($AW$23:$AW$46*BS781), N($AK$23:$AK$46&gt;$AI781))
) / 1000</f>
        <v>0</v>
      </c>
      <c r="BV781" s="237">
        <f t="shared" si="725"/>
        <v>0</v>
      </c>
      <c r="BW781" s="210"/>
      <c r="BX781" s="237">
        <f t="shared" si="726"/>
        <v>0</v>
      </c>
      <c r="BY781" s="236">
        <v>35</v>
      </c>
      <c r="BZ781" s="237">
        <f t="shared" si="727"/>
        <v>48</v>
      </c>
      <c r="CA781" s="253">
        <f t="shared" si="728"/>
        <v>3.0748170731707316</v>
      </c>
      <c r="CB781" s="253" cm="1">
        <f t="array" ref="CB781">$BC781 * SUMPRODUCT(INDEX($AL$77:$AN$82,,$AE781),INDEX($AO$77:$AU$82,,$AD781), N($AK$77:$AK$82&gt;$AI781)) / CA781 / 1000</f>
        <v>0</v>
      </c>
      <c r="CC781" s="250">
        <f t="shared" si="708"/>
        <v>30</v>
      </c>
      <c r="CD781" s="237">
        <f t="shared" si="729"/>
        <v>43</v>
      </c>
      <c r="CE781" s="253">
        <f t="shared" si="730"/>
        <v>3.5018750000000001</v>
      </c>
      <c r="CF781" s="253" cm="1">
        <f t="array" ref="CF781">$BC781 * IF($AD781&lt;=2,
SUMPRODUCT(INDEX($AL$72:$AN$76,,$AE781), INDEX($AO$72:$AU$76,,$AD781), 1 / ($AV$72:$AV$76*CE781 + (1-$AV$72:$AV$76)*CA781), N($AK$72:$AK$76&gt;$AI781)),
SUMPRODUCT(INDEX($AL$67:$AN$76,,$AE781), INDEX($AO$67:$AU$76,,$AD781), 1 / ($AW$67:$AW$76*CE781 + (1-$AW$67:$AW$76)*CA781), N($AK$67:$AK$76&gt;$AI781))
) / 1000</f>
        <v>0</v>
      </c>
      <c r="CG781" s="250">
        <f t="shared" si="709"/>
        <v>25</v>
      </c>
      <c r="CH781" s="237">
        <f t="shared" si="731"/>
        <v>38</v>
      </c>
      <c r="CI781" s="253">
        <f t="shared" si="732"/>
        <v>4.0666935483870965</v>
      </c>
      <c r="CJ781" s="253" cm="1">
        <f t="array" ref="CJ781">$BC781 * IF($AD781&lt;=2,
SUMPRODUCT(INDEX($AL$67:$AN$71,,$AE781), INDEX($AO$67:$AU$71,,$AD781), 1 / ($AV$67:$AV$71*CI781 + (1-$AV$67:$AV$71)*CE781), N($AK$67:$AK$71&gt;$AI781)),
SUMPRODUCT(INDEX($AL$57:$AN$66,,$AE781), INDEX($AO$57:$AU$66,,$AD781), 1 / ($AW$57:$AW$66*CI781 + (1-$AW$57:$AW$66)*CE781), N($AK$57:$AK$66&gt;$AI781))
) / 1000</f>
        <v>0</v>
      </c>
      <c r="CK781" s="250">
        <f t="shared" si="710"/>
        <v>20</v>
      </c>
      <c r="CL781" s="237">
        <f t="shared" si="733"/>
        <v>33</v>
      </c>
      <c r="CM781" s="253">
        <f t="shared" si="734"/>
        <v>4.8487499999999999</v>
      </c>
      <c r="CN781" s="253" cm="1">
        <f t="array" ref="CN781">$BC781 * IF($AD781&lt;=2,
SUMPRODUCT(INDEX($AL$62:$AN$66,,$AE781), INDEX($AO$62:$AU$66,,$AD781), 1 / ($AV$62:$AV$66*CM781 + (1-$AV$62:$AV$66)*CI781), N($AK$62:$AK$66&gt;$AI781)),
SUMPRODUCT(INDEX($AL$47:$AN$56,,$AE781), INDEX($AO$47:$AU$56,,$AD781), 1 / ($AW$47:$AW$56*CM781 + (1-$AW$47:$AW$56)*CI781), N($AK$47:$AK$56&gt;$AI781))
) / 1000</f>
        <v>0</v>
      </c>
      <c r="CO781" s="253" cm="1">
        <f t="array" ref="CO781">$BC781 * IF($AD781&lt;=2,
SUMPRODUCT(INDEX($AL$23:$AN$61,,$AE781), INDEX($AO$23:$AU$61,,$AD781), 1 / ($AV$23:$AV$61*CM781), N($AK$23:$AK$61&gt;$AI781)),
SUMPRODUCT(INDEX($AL$23:$AN$46,,$AE781), INDEX($AO$23:$AU$46,,$AD781), 1 / ($AW$23:$AW$46*CM781), N($AK$23:$AK$46&gt;$AI781))
) / 1000</f>
        <v>0</v>
      </c>
      <c r="CP781" s="237">
        <f t="shared" si="735"/>
        <v>0</v>
      </c>
      <c r="CQ781" s="210"/>
    </row>
    <row r="782" spans="1:95" s="76" customFormat="1" ht="14.25" customHeight="1" x14ac:dyDescent="0.2">
      <c r="A782" s="238" t="b">
        <f t="shared" si="702"/>
        <v>0</v>
      </c>
      <c r="B782" s="239">
        <v>760</v>
      </c>
      <c r="C782" s="258"/>
      <c r="D782" s="258"/>
      <c r="E782" s="240"/>
      <c r="F782" s="241" t="str">
        <f>IF(ISBLANK(E782), "", VLOOKUP(E782, Z!$A$2:$C$4127, 3, FALSE))</f>
        <v/>
      </c>
      <c r="G782" s="242"/>
      <c r="H782" s="242"/>
      <c r="I782" s="243"/>
      <c r="J782" s="244"/>
      <c r="K782" s="259"/>
      <c r="L782" s="260"/>
      <c r="M782" s="247" t="str" cm="1">
        <f t="array" ref="M782">IF($K782&gt;0, INDEX(Clean,1+AG782,$C$1), "")</f>
        <v/>
      </c>
      <c r="N782" s="245"/>
      <c r="O782" s="245"/>
      <c r="P782" s="246"/>
      <c r="Q782" s="248">
        <f t="shared" si="712"/>
        <v>0</v>
      </c>
      <c r="R782" s="247" t="str" cm="1">
        <f t="array" ref="R782">IF($K782&gt;0, INDEX(Clean,1+AH782,$C$1), "")</f>
        <v/>
      </c>
      <c r="S782" s="245"/>
      <c r="T782" s="245"/>
      <c r="U782" s="246"/>
      <c r="V782" s="248">
        <f t="shared" si="713"/>
        <v>0</v>
      </c>
      <c r="W782" s="261"/>
      <c r="X782" s="258"/>
      <c r="Y782" s="240"/>
      <c r="Z782" s="241" t="str">
        <f>IF(ISBLANK(Y782), "", VLOOKUP(Y782, Z!$A$2:$C$4127, 3, FALSE))</f>
        <v/>
      </c>
      <c r="AA782" s="262"/>
      <c r="AB782" s="249">
        <f t="shared" si="711"/>
        <v>0</v>
      </c>
      <c r="AC782" s="210"/>
      <c r="AD782" s="236">
        <f t="shared" si="736"/>
        <v>1</v>
      </c>
      <c r="AE782" s="236">
        <f t="shared" si="737"/>
        <v>1</v>
      </c>
      <c r="AF782" s="236">
        <f t="shared" si="738"/>
        <v>0</v>
      </c>
      <c r="AG782" s="236">
        <v>1</v>
      </c>
      <c r="AH782" s="236">
        <v>0</v>
      </c>
      <c r="AI782" s="236">
        <f t="shared" si="714"/>
        <v>-100</v>
      </c>
      <c r="AJ782" s="210"/>
      <c r="AK782" s="254"/>
      <c r="AL782" s="254"/>
      <c r="AM782" s="255"/>
      <c r="AN782" s="255"/>
      <c r="AO782" s="255"/>
      <c r="AP782" s="255"/>
      <c r="AQ782" s="255"/>
      <c r="AR782" s="255"/>
      <c r="AS782" s="255"/>
      <c r="AT782" s="255"/>
      <c r="AU782" s="255"/>
      <c r="AV782" s="255"/>
      <c r="AW782" s="255"/>
      <c r="AX782" s="210"/>
      <c r="AY782" s="236" cm="1">
        <f t="array" ref="AY782">INDEX(Use, $AD782, 4)</f>
        <v>7</v>
      </c>
      <c r="AZ782" s="236">
        <f t="shared" si="715"/>
        <v>32</v>
      </c>
      <c r="BA782" s="236">
        <f t="shared" si="703"/>
        <v>13</v>
      </c>
      <c r="BB782" s="236">
        <f t="shared" si="704"/>
        <v>0</v>
      </c>
      <c r="BC782" s="252" cm="1">
        <f t="array" ref="BC782">K782/IF($L782&gt;0, INDEX($AO$23:$AU$77, $L782+20, $AD782), 1)</f>
        <v>0</v>
      </c>
      <c r="BD782" s="237">
        <f t="shared" si="716"/>
        <v>0</v>
      </c>
      <c r="BE782" s="236">
        <v>35</v>
      </c>
      <c r="BF782" s="237">
        <f t="shared" si="717"/>
        <v>52.55</v>
      </c>
      <c r="BG782" s="253">
        <f t="shared" si="718"/>
        <v>2.7676728869374316</v>
      </c>
      <c r="BH782" s="253" cm="1">
        <f t="array" ref="BH782">$BC782 * SUMPRODUCT(INDEX($AL$77:$AN$82,,$AE782),INDEX($AO$77:$AU$82,,$AD782), N($AK$77:$AK$82&gt;$AI782)) / BG782 / 1000</f>
        <v>0</v>
      </c>
      <c r="BI782" s="250">
        <f t="shared" si="705"/>
        <v>30</v>
      </c>
      <c r="BJ782" s="237">
        <f t="shared" si="719"/>
        <v>46.033333333333331</v>
      </c>
      <c r="BK782" s="253">
        <f t="shared" si="720"/>
        <v>3.2297395388556791</v>
      </c>
      <c r="BL782" s="253" cm="1">
        <f t="array" ref="BL782">$BC782 * IF($AD782&lt;=2,
SUMPRODUCT(INDEX($AL$72:$AN$76,,$AE782), INDEX($AO$72:$AU$76,,$AD782), 1 / ($AV$72:$AV$76*BK782 + (1-$AV$72:$AV$76)*BG782), N($AK$72:$AK$76&gt;$AI782)),
SUMPRODUCT(INDEX($AL$67:$AN$76,,$AE782), INDEX($AO$67:$AU$76,,$AD782), 1 / ($AW$67:$AW$76*BK782 + (1-$AW$67:$AW$76)*BG782), N($AK$67:$AK$76&gt;$AI782))
) / 1000</f>
        <v>0</v>
      </c>
      <c r="BM782" s="250">
        <f t="shared" si="706"/>
        <v>25</v>
      </c>
      <c r="BN782" s="237">
        <f t="shared" si="721"/>
        <v>39.516666666666666</v>
      </c>
      <c r="BO782" s="253">
        <f t="shared" si="722"/>
        <v>3.877011788826243</v>
      </c>
      <c r="BP782" s="253" cm="1">
        <f t="array" ref="BP782">$BC782 * IF($AD782&lt;=2,
SUMPRODUCT(INDEX($AL$67:$AN$71,,$AE782), INDEX($AO$67:$AU$71,,$AD782), 1 / ($AV$67:$AV$71*BO782 + (1-$AV$67:$AV$71)*BK782), N($AK$67:$AK$71&gt;$AI782)),
SUMPRODUCT(INDEX($AL$57:$AN$66,,$AE782), INDEX($AO$57:$AU$66,,$AD782), 1 / ($AW$57:$AW$66*BO782 + (1-$AW$57:$AW$66)*BK782), N($AK$57:$AK$66&gt;$AI782))
) / 1000</f>
        <v>0</v>
      </c>
      <c r="BQ782" s="250">
        <f t="shared" si="707"/>
        <v>20</v>
      </c>
      <c r="BR782" s="237">
        <f t="shared" si="723"/>
        <v>33</v>
      </c>
      <c r="BS782" s="253">
        <f t="shared" si="724"/>
        <v>4.8487499999999999</v>
      </c>
      <c r="BT782" s="253" cm="1">
        <f t="array" ref="BT782">$BC782 * IF($AD782&lt;=2,
SUMPRODUCT(INDEX($AL$62:$AN$66,,$AE782), INDEX($AO$62:$AU$66,,$AD782), 1 / ($AV$62:$AV$66*BS782 + (1-$AV$62:$AV$66)*BO782), N($AK$62:$AK$66&gt;$AI782)),
SUMPRODUCT(INDEX($AL$47:$AN$56,,$AE782), INDEX($AO$47:$AU$56,,$AD782), 1 / ($AW$47:$AW$56*BS782 + (1-$AW$47:$AW$56)*BO782), N($AK$47:$AK$56&gt;$AI782))
) / 1000</f>
        <v>0</v>
      </c>
      <c r="BU782" s="253" cm="1">
        <f t="array" ref="BU782">$BC782 * IF($AD782&lt;=2,
SUMPRODUCT(INDEX($AL$23:$AN$61,,$AE782), INDEX($AO$23:$AU$61,,$AD782), 1 / ($AV$23:$AV$61*BS782), N($AK$23:$AK$61&gt;$AI782)),
SUMPRODUCT(INDEX($AL$23:$AN$46,,$AE782), INDEX($AO$23:$AU$46,,$AD782), 1 / ($AW$23:$AW$46*BS782), N($AK$23:$AK$46&gt;$AI782))
) / 1000</f>
        <v>0</v>
      </c>
      <c r="BV782" s="237">
        <f t="shared" si="725"/>
        <v>0</v>
      </c>
      <c r="BW782" s="210"/>
      <c r="BX782" s="237">
        <f t="shared" si="726"/>
        <v>0</v>
      </c>
      <c r="BY782" s="236">
        <v>35</v>
      </c>
      <c r="BZ782" s="237">
        <f t="shared" si="727"/>
        <v>48</v>
      </c>
      <c r="CA782" s="253">
        <f t="shared" si="728"/>
        <v>3.0748170731707316</v>
      </c>
      <c r="CB782" s="253" cm="1">
        <f t="array" ref="CB782">$BC782 * SUMPRODUCT(INDEX($AL$77:$AN$82,,$AE782),INDEX($AO$77:$AU$82,,$AD782), N($AK$77:$AK$82&gt;$AI782)) / CA782 / 1000</f>
        <v>0</v>
      </c>
      <c r="CC782" s="250">
        <f t="shared" si="708"/>
        <v>30</v>
      </c>
      <c r="CD782" s="237">
        <f t="shared" si="729"/>
        <v>43</v>
      </c>
      <c r="CE782" s="253">
        <f t="shared" si="730"/>
        <v>3.5018750000000001</v>
      </c>
      <c r="CF782" s="253" cm="1">
        <f t="array" ref="CF782">$BC782 * IF($AD782&lt;=2,
SUMPRODUCT(INDEX($AL$72:$AN$76,,$AE782), INDEX($AO$72:$AU$76,,$AD782), 1 / ($AV$72:$AV$76*CE782 + (1-$AV$72:$AV$76)*CA782), N($AK$72:$AK$76&gt;$AI782)),
SUMPRODUCT(INDEX($AL$67:$AN$76,,$AE782), INDEX($AO$67:$AU$76,,$AD782), 1 / ($AW$67:$AW$76*CE782 + (1-$AW$67:$AW$76)*CA782), N($AK$67:$AK$76&gt;$AI782))
) / 1000</f>
        <v>0</v>
      </c>
      <c r="CG782" s="250">
        <f t="shared" si="709"/>
        <v>25</v>
      </c>
      <c r="CH782" s="237">
        <f t="shared" si="731"/>
        <v>38</v>
      </c>
      <c r="CI782" s="253">
        <f t="shared" si="732"/>
        <v>4.0666935483870965</v>
      </c>
      <c r="CJ782" s="253" cm="1">
        <f t="array" ref="CJ782">$BC782 * IF($AD782&lt;=2,
SUMPRODUCT(INDEX($AL$67:$AN$71,,$AE782), INDEX($AO$67:$AU$71,,$AD782), 1 / ($AV$67:$AV$71*CI782 + (1-$AV$67:$AV$71)*CE782), N($AK$67:$AK$71&gt;$AI782)),
SUMPRODUCT(INDEX($AL$57:$AN$66,,$AE782), INDEX($AO$57:$AU$66,,$AD782), 1 / ($AW$57:$AW$66*CI782 + (1-$AW$57:$AW$66)*CE782), N($AK$57:$AK$66&gt;$AI782))
) / 1000</f>
        <v>0</v>
      </c>
      <c r="CK782" s="250">
        <f t="shared" si="710"/>
        <v>20</v>
      </c>
      <c r="CL782" s="237">
        <f t="shared" si="733"/>
        <v>33</v>
      </c>
      <c r="CM782" s="253">
        <f t="shared" si="734"/>
        <v>4.8487499999999999</v>
      </c>
      <c r="CN782" s="253" cm="1">
        <f t="array" ref="CN782">$BC782 * IF($AD782&lt;=2,
SUMPRODUCT(INDEX($AL$62:$AN$66,,$AE782), INDEX($AO$62:$AU$66,,$AD782), 1 / ($AV$62:$AV$66*CM782 + (1-$AV$62:$AV$66)*CI782), N($AK$62:$AK$66&gt;$AI782)),
SUMPRODUCT(INDEX($AL$47:$AN$56,,$AE782), INDEX($AO$47:$AU$56,,$AD782), 1 / ($AW$47:$AW$56*CM782 + (1-$AW$47:$AW$56)*CI782), N($AK$47:$AK$56&gt;$AI782))
) / 1000</f>
        <v>0</v>
      </c>
      <c r="CO782" s="253" cm="1">
        <f t="array" ref="CO782">$BC782 * IF($AD782&lt;=2,
SUMPRODUCT(INDEX($AL$23:$AN$61,,$AE782), INDEX($AO$23:$AU$61,,$AD782), 1 / ($AV$23:$AV$61*CM782), N($AK$23:$AK$61&gt;$AI782)),
SUMPRODUCT(INDEX($AL$23:$AN$46,,$AE782), INDEX($AO$23:$AU$46,,$AD782), 1 / ($AW$23:$AW$46*CM782), N($AK$23:$AK$46&gt;$AI782))
) / 1000</f>
        <v>0</v>
      </c>
      <c r="CP782" s="237">
        <f t="shared" si="735"/>
        <v>0</v>
      </c>
      <c r="CQ782" s="210"/>
    </row>
    <row r="783" spans="1:95" s="76" customFormat="1" ht="14.25" customHeight="1" x14ac:dyDescent="0.2">
      <c r="A783" s="238" t="b">
        <f t="shared" si="702"/>
        <v>0</v>
      </c>
      <c r="B783" s="239">
        <v>761</v>
      </c>
      <c r="C783" s="258"/>
      <c r="D783" s="258"/>
      <c r="E783" s="240"/>
      <c r="F783" s="241" t="str">
        <f>IF(ISBLANK(E783), "", VLOOKUP(E783, Z!$A$2:$C$4127, 3, FALSE))</f>
        <v/>
      </c>
      <c r="G783" s="242"/>
      <c r="H783" s="242"/>
      <c r="I783" s="243"/>
      <c r="J783" s="244"/>
      <c r="K783" s="259"/>
      <c r="L783" s="260"/>
      <c r="M783" s="247" t="str" cm="1">
        <f t="array" ref="M783">IF($K783&gt;0, INDEX(Clean,1+AG783,$C$1), "")</f>
        <v/>
      </c>
      <c r="N783" s="245"/>
      <c r="O783" s="245"/>
      <c r="P783" s="246"/>
      <c r="Q783" s="248">
        <f t="shared" si="712"/>
        <v>0</v>
      </c>
      <c r="R783" s="247" t="str" cm="1">
        <f t="array" ref="R783">IF($K783&gt;0, INDEX(Clean,1+AH783,$C$1), "")</f>
        <v/>
      </c>
      <c r="S783" s="245"/>
      <c r="T783" s="245"/>
      <c r="U783" s="246"/>
      <c r="V783" s="248">
        <f t="shared" si="713"/>
        <v>0</v>
      </c>
      <c r="W783" s="261"/>
      <c r="X783" s="258"/>
      <c r="Y783" s="240"/>
      <c r="Z783" s="241" t="str">
        <f>IF(ISBLANK(Y783), "", VLOOKUP(Y783, Z!$A$2:$C$4127, 3, FALSE))</f>
        <v/>
      </c>
      <c r="AA783" s="262"/>
      <c r="AB783" s="249">
        <f t="shared" si="711"/>
        <v>0</v>
      </c>
      <c r="AC783" s="210"/>
      <c r="AD783" s="236">
        <f t="shared" si="736"/>
        <v>1</v>
      </c>
      <c r="AE783" s="236">
        <f t="shared" si="737"/>
        <v>1</v>
      </c>
      <c r="AF783" s="236">
        <f t="shared" si="738"/>
        <v>0</v>
      </c>
      <c r="AG783" s="236">
        <v>1</v>
      </c>
      <c r="AH783" s="236">
        <v>0</v>
      </c>
      <c r="AI783" s="236">
        <f t="shared" si="714"/>
        <v>-100</v>
      </c>
      <c r="AJ783" s="210"/>
      <c r="AK783" s="254"/>
      <c r="AL783" s="254"/>
      <c r="AM783" s="255"/>
      <c r="AN783" s="255"/>
      <c r="AO783" s="255"/>
      <c r="AP783" s="255"/>
      <c r="AQ783" s="255"/>
      <c r="AR783" s="255"/>
      <c r="AS783" s="255"/>
      <c r="AT783" s="255"/>
      <c r="AU783" s="255"/>
      <c r="AV783" s="255"/>
      <c r="AW783" s="255"/>
      <c r="AX783" s="210"/>
      <c r="AY783" s="236" cm="1">
        <f t="array" ref="AY783">INDEX(Use, $AD783, 4)</f>
        <v>7</v>
      </c>
      <c r="AZ783" s="236">
        <f t="shared" si="715"/>
        <v>32</v>
      </c>
      <c r="BA783" s="236">
        <f t="shared" si="703"/>
        <v>13</v>
      </c>
      <c r="BB783" s="236">
        <f t="shared" si="704"/>
        <v>0</v>
      </c>
      <c r="BC783" s="252" cm="1">
        <f t="array" ref="BC783">K783/IF($L783&gt;0, INDEX($AO$23:$AU$77, $L783+20, $AD783), 1)</f>
        <v>0</v>
      </c>
      <c r="BD783" s="237">
        <f t="shared" si="716"/>
        <v>0</v>
      </c>
      <c r="BE783" s="236">
        <v>35</v>
      </c>
      <c r="BF783" s="237">
        <f t="shared" si="717"/>
        <v>52.55</v>
      </c>
      <c r="BG783" s="253">
        <f t="shared" si="718"/>
        <v>2.7676728869374316</v>
      </c>
      <c r="BH783" s="253" cm="1">
        <f t="array" ref="BH783">$BC783 * SUMPRODUCT(INDEX($AL$77:$AN$82,,$AE783),INDEX($AO$77:$AU$82,,$AD783), N($AK$77:$AK$82&gt;$AI783)) / BG783 / 1000</f>
        <v>0</v>
      </c>
      <c r="BI783" s="250">
        <f t="shared" si="705"/>
        <v>30</v>
      </c>
      <c r="BJ783" s="237">
        <f t="shared" si="719"/>
        <v>46.033333333333331</v>
      </c>
      <c r="BK783" s="253">
        <f t="shared" si="720"/>
        <v>3.2297395388556791</v>
      </c>
      <c r="BL783" s="253" cm="1">
        <f t="array" ref="BL783">$BC783 * IF($AD783&lt;=2,
SUMPRODUCT(INDEX($AL$72:$AN$76,,$AE783), INDEX($AO$72:$AU$76,,$AD783), 1 / ($AV$72:$AV$76*BK783 + (1-$AV$72:$AV$76)*BG783), N($AK$72:$AK$76&gt;$AI783)),
SUMPRODUCT(INDEX($AL$67:$AN$76,,$AE783), INDEX($AO$67:$AU$76,,$AD783), 1 / ($AW$67:$AW$76*BK783 + (1-$AW$67:$AW$76)*BG783), N($AK$67:$AK$76&gt;$AI783))
) / 1000</f>
        <v>0</v>
      </c>
      <c r="BM783" s="250">
        <f t="shared" si="706"/>
        <v>25</v>
      </c>
      <c r="BN783" s="237">
        <f t="shared" si="721"/>
        <v>39.516666666666666</v>
      </c>
      <c r="BO783" s="253">
        <f t="shared" si="722"/>
        <v>3.877011788826243</v>
      </c>
      <c r="BP783" s="253" cm="1">
        <f t="array" ref="BP783">$BC783 * IF($AD783&lt;=2,
SUMPRODUCT(INDEX($AL$67:$AN$71,,$AE783), INDEX($AO$67:$AU$71,,$AD783), 1 / ($AV$67:$AV$71*BO783 + (1-$AV$67:$AV$71)*BK783), N($AK$67:$AK$71&gt;$AI783)),
SUMPRODUCT(INDEX($AL$57:$AN$66,,$AE783), INDEX($AO$57:$AU$66,,$AD783), 1 / ($AW$57:$AW$66*BO783 + (1-$AW$57:$AW$66)*BK783), N($AK$57:$AK$66&gt;$AI783))
) / 1000</f>
        <v>0</v>
      </c>
      <c r="BQ783" s="250">
        <f t="shared" si="707"/>
        <v>20</v>
      </c>
      <c r="BR783" s="237">
        <f t="shared" si="723"/>
        <v>33</v>
      </c>
      <c r="BS783" s="253">
        <f t="shared" si="724"/>
        <v>4.8487499999999999</v>
      </c>
      <c r="BT783" s="253" cm="1">
        <f t="array" ref="BT783">$BC783 * IF($AD783&lt;=2,
SUMPRODUCT(INDEX($AL$62:$AN$66,,$AE783), INDEX($AO$62:$AU$66,,$AD783), 1 / ($AV$62:$AV$66*BS783 + (1-$AV$62:$AV$66)*BO783), N($AK$62:$AK$66&gt;$AI783)),
SUMPRODUCT(INDEX($AL$47:$AN$56,,$AE783), INDEX($AO$47:$AU$56,,$AD783), 1 / ($AW$47:$AW$56*BS783 + (1-$AW$47:$AW$56)*BO783), N($AK$47:$AK$56&gt;$AI783))
) / 1000</f>
        <v>0</v>
      </c>
      <c r="BU783" s="253" cm="1">
        <f t="array" ref="BU783">$BC783 * IF($AD783&lt;=2,
SUMPRODUCT(INDEX($AL$23:$AN$61,,$AE783), INDEX($AO$23:$AU$61,,$AD783), 1 / ($AV$23:$AV$61*BS783), N($AK$23:$AK$61&gt;$AI783)),
SUMPRODUCT(INDEX($AL$23:$AN$46,,$AE783), INDEX($AO$23:$AU$46,,$AD783), 1 / ($AW$23:$AW$46*BS783), N($AK$23:$AK$46&gt;$AI783))
) / 1000</f>
        <v>0</v>
      </c>
      <c r="BV783" s="237">
        <f t="shared" si="725"/>
        <v>0</v>
      </c>
      <c r="BW783" s="210"/>
      <c r="BX783" s="237">
        <f t="shared" si="726"/>
        <v>0</v>
      </c>
      <c r="BY783" s="236">
        <v>35</v>
      </c>
      <c r="BZ783" s="237">
        <f t="shared" si="727"/>
        <v>48</v>
      </c>
      <c r="CA783" s="253">
        <f t="shared" si="728"/>
        <v>3.0748170731707316</v>
      </c>
      <c r="CB783" s="253" cm="1">
        <f t="array" ref="CB783">$BC783 * SUMPRODUCT(INDEX($AL$77:$AN$82,,$AE783),INDEX($AO$77:$AU$82,,$AD783), N($AK$77:$AK$82&gt;$AI783)) / CA783 / 1000</f>
        <v>0</v>
      </c>
      <c r="CC783" s="250">
        <f t="shared" si="708"/>
        <v>30</v>
      </c>
      <c r="CD783" s="237">
        <f t="shared" si="729"/>
        <v>43</v>
      </c>
      <c r="CE783" s="253">
        <f t="shared" si="730"/>
        <v>3.5018750000000001</v>
      </c>
      <c r="CF783" s="253" cm="1">
        <f t="array" ref="CF783">$BC783 * IF($AD783&lt;=2,
SUMPRODUCT(INDEX($AL$72:$AN$76,,$AE783), INDEX($AO$72:$AU$76,,$AD783), 1 / ($AV$72:$AV$76*CE783 + (1-$AV$72:$AV$76)*CA783), N($AK$72:$AK$76&gt;$AI783)),
SUMPRODUCT(INDEX($AL$67:$AN$76,,$AE783), INDEX($AO$67:$AU$76,,$AD783), 1 / ($AW$67:$AW$76*CE783 + (1-$AW$67:$AW$76)*CA783), N($AK$67:$AK$76&gt;$AI783))
) / 1000</f>
        <v>0</v>
      </c>
      <c r="CG783" s="250">
        <f t="shared" si="709"/>
        <v>25</v>
      </c>
      <c r="CH783" s="237">
        <f t="shared" si="731"/>
        <v>38</v>
      </c>
      <c r="CI783" s="253">
        <f t="shared" si="732"/>
        <v>4.0666935483870965</v>
      </c>
      <c r="CJ783" s="253" cm="1">
        <f t="array" ref="CJ783">$BC783 * IF($AD783&lt;=2,
SUMPRODUCT(INDEX($AL$67:$AN$71,,$AE783), INDEX($AO$67:$AU$71,,$AD783), 1 / ($AV$67:$AV$71*CI783 + (1-$AV$67:$AV$71)*CE783), N($AK$67:$AK$71&gt;$AI783)),
SUMPRODUCT(INDEX($AL$57:$AN$66,,$AE783), INDEX($AO$57:$AU$66,,$AD783), 1 / ($AW$57:$AW$66*CI783 + (1-$AW$57:$AW$66)*CE783), N($AK$57:$AK$66&gt;$AI783))
) / 1000</f>
        <v>0</v>
      </c>
      <c r="CK783" s="250">
        <f t="shared" si="710"/>
        <v>20</v>
      </c>
      <c r="CL783" s="237">
        <f t="shared" si="733"/>
        <v>33</v>
      </c>
      <c r="CM783" s="253">
        <f t="shared" si="734"/>
        <v>4.8487499999999999</v>
      </c>
      <c r="CN783" s="253" cm="1">
        <f t="array" ref="CN783">$BC783 * IF($AD783&lt;=2,
SUMPRODUCT(INDEX($AL$62:$AN$66,,$AE783), INDEX($AO$62:$AU$66,,$AD783), 1 / ($AV$62:$AV$66*CM783 + (1-$AV$62:$AV$66)*CI783), N($AK$62:$AK$66&gt;$AI783)),
SUMPRODUCT(INDEX($AL$47:$AN$56,,$AE783), INDEX($AO$47:$AU$56,,$AD783), 1 / ($AW$47:$AW$56*CM783 + (1-$AW$47:$AW$56)*CI783), N($AK$47:$AK$56&gt;$AI783))
) / 1000</f>
        <v>0</v>
      </c>
      <c r="CO783" s="253" cm="1">
        <f t="array" ref="CO783">$BC783 * IF($AD783&lt;=2,
SUMPRODUCT(INDEX($AL$23:$AN$61,,$AE783), INDEX($AO$23:$AU$61,,$AD783), 1 / ($AV$23:$AV$61*CM783), N($AK$23:$AK$61&gt;$AI783)),
SUMPRODUCT(INDEX($AL$23:$AN$46,,$AE783), INDEX($AO$23:$AU$46,,$AD783), 1 / ($AW$23:$AW$46*CM783), N($AK$23:$AK$46&gt;$AI783))
) / 1000</f>
        <v>0</v>
      </c>
      <c r="CP783" s="237">
        <f t="shared" si="735"/>
        <v>0</v>
      </c>
      <c r="CQ783" s="210"/>
    </row>
    <row r="784" spans="1:95" s="76" customFormat="1" ht="14.25" customHeight="1" x14ac:dyDescent="0.2">
      <c r="A784" s="238" t="b">
        <f t="shared" si="702"/>
        <v>0</v>
      </c>
      <c r="B784" s="239">
        <v>762</v>
      </c>
      <c r="C784" s="258"/>
      <c r="D784" s="258"/>
      <c r="E784" s="240"/>
      <c r="F784" s="241" t="str">
        <f>IF(ISBLANK(E784), "", VLOOKUP(E784, Z!$A$2:$C$4127, 3, FALSE))</f>
        <v/>
      </c>
      <c r="G784" s="242"/>
      <c r="H784" s="242"/>
      <c r="I784" s="243"/>
      <c r="J784" s="244"/>
      <c r="K784" s="259"/>
      <c r="L784" s="260"/>
      <c r="M784" s="247" t="str" cm="1">
        <f t="array" ref="M784">IF($K784&gt;0, INDEX(Clean,1+AG784,$C$1), "")</f>
        <v/>
      </c>
      <c r="N784" s="245"/>
      <c r="O784" s="245"/>
      <c r="P784" s="246"/>
      <c r="Q784" s="248">
        <f t="shared" si="712"/>
        <v>0</v>
      </c>
      <c r="R784" s="247" t="str" cm="1">
        <f t="array" ref="R784">IF($K784&gt;0, INDEX(Clean,1+AH784,$C$1), "")</f>
        <v/>
      </c>
      <c r="S784" s="245"/>
      <c r="T784" s="245"/>
      <c r="U784" s="246"/>
      <c r="V784" s="248">
        <f t="shared" si="713"/>
        <v>0</v>
      </c>
      <c r="W784" s="261"/>
      <c r="X784" s="258"/>
      <c r="Y784" s="240"/>
      <c r="Z784" s="241" t="str">
        <f>IF(ISBLANK(Y784), "", VLOOKUP(Y784, Z!$A$2:$C$4127, 3, FALSE))</f>
        <v/>
      </c>
      <c r="AA784" s="262"/>
      <c r="AB784" s="249">
        <f t="shared" si="711"/>
        <v>0</v>
      </c>
      <c r="AC784" s="210"/>
      <c r="AD784" s="236">
        <f t="shared" si="736"/>
        <v>1</v>
      </c>
      <c r="AE784" s="236">
        <f t="shared" si="737"/>
        <v>1</v>
      </c>
      <c r="AF784" s="236">
        <f t="shared" si="738"/>
        <v>0</v>
      </c>
      <c r="AG784" s="236">
        <v>1</v>
      </c>
      <c r="AH784" s="236">
        <v>0</v>
      </c>
      <c r="AI784" s="236">
        <f t="shared" si="714"/>
        <v>-100</v>
      </c>
      <c r="AJ784" s="210"/>
      <c r="AK784" s="254"/>
      <c r="AL784" s="254"/>
      <c r="AM784" s="255"/>
      <c r="AN784" s="255"/>
      <c r="AO784" s="255"/>
      <c r="AP784" s="255"/>
      <c r="AQ784" s="255"/>
      <c r="AR784" s="255"/>
      <c r="AS784" s="255"/>
      <c r="AT784" s="255"/>
      <c r="AU784" s="255"/>
      <c r="AV784" s="255"/>
      <c r="AW784" s="255"/>
      <c r="AX784" s="210"/>
      <c r="AY784" s="236" cm="1">
        <f t="array" ref="AY784">INDEX(Use, $AD784, 4)</f>
        <v>7</v>
      </c>
      <c r="AZ784" s="236">
        <f t="shared" si="715"/>
        <v>32</v>
      </c>
      <c r="BA784" s="236">
        <f t="shared" si="703"/>
        <v>13</v>
      </c>
      <c r="BB784" s="236">
        <f t="shared" si="704"/>
        <v>0</v>
      </c>
      <c r="BC784" s="252" cm="1">
        <f t="array" ref="BC784">K784/IF($L784&gt;0, INDEX($AO$23:$AU$77, $L784+20, $AD784), 1)</f>
        <v>0</v>
      </c>
      <c r="BD784" s="237">
        <f t="shared" si="716"/>
        <v>0</v>
      </c>
      <c r="BE784" s="236">
        <v>35</v>
      </c>
      <c r="BF784" s="237">
        <f t="shared" si="717"/>
        <v>52.55</v>
      </c>
      <c r="BG784" s="253">
        <f t="shared" si="718"/>
        <v>2.7676728869374316</v>
      </c>
      <c r="BH784" s="253" cm="1">
        <f t="array" ref="BH784">$BC784 * SUMPRODUCT(INDEX($AL$77:$AN$82,,$AE784),INDEX($AO$77:$AU$82,,$AD784), N($AK$77:$AK$82&gt;$AI784)) / BG784 / 1000</f>
        <v>0</v>
      </c>
      <c r="BI784" s="250">
        <f t="shared" si="705"/>
        <v>30</v>
      </c>
      <c r="BJ784" s="237">
        <f t="shared" si="719"/>
        <v>46.033333333333331</v>
      </c>
      <c r="BK784" s="253">
        <f t="shared" si="720"/>
        <v>3.2297395388556791</v>
      </c>
      <c r="BL784" s="253" cm="1">
        <f t="array" ref="BL784">$BC784 * IF($AD784&lt;=2,
SUMPRODUCT(INDEX($AL$72:$AN$76,,$AE784), INDEX($AO$72:$AU$76,,$AD784), 1 / ($AV$72:$AV$76*BK784 + (1-$AV$72:$AV$76)*BG784), N($AK$72:$AK$76&gt;$AI784)),
SUMPRODUCT(INDEX($AL$67:$AN$76,,$AE784), INDEX($AO$67:$AU$76,,$AD784), 1 / ($AW$67:$AW$76*BK784 + (1-$AW$67:$AW$76)*BG784), N($AK$67:$AK$76&gt;$AI784))
) / 1000</f>
        <v>0</v>
      </c>
      <c r="BM784" s="250">
        <f t="shared" si="706"/>
        <v>25</v>
      </c>
      <c r="BN784" s="237">
        <f t="shared" si="721"/>
        <v>39.516666666666666</v>
      </c>
      <c r="BO784" s="253">
        <f t="shared" si="722"/>
        <v>3.877011788826243</v>
      </c>
      <c r="BP784" s="253" cm="1">
        <f t="array" ref="BP784">$BC784 * IF($AD784&lt;=2,
SUMPRODUCT(INDEX($AL$67:$AN$71,,$AE784), INDEX($AO$67:$AU$71,,$AD784), 1 / ($AV$67:$AV$71*BO784 + (1-$AV$67:$AV$71)*BK784), N($AK$67:$AK$71&gt;$AI784)),
SUMPRODUCT(INDEX($AL$57:$AN$66,,$AE784), INDEX($AO$57:$AU$66,,$AD784), 1 / ($AW$57:$AW$66*BO784 + (1-$AW$57:$AW$66)*BK784), N($AK$57:$AK$66&gt;$AI784))
) / 1000</f>
        <v>0</v>
      </c>
      <c r="BQ784" s="250">
        <f t="shared" si="707"/>
        <v>20</v>
      </c>
      <c r="BR784" s="237">
        <f t="shared" si="723"/>
        <v>33</v>
      </c>
      <c r="BS784" s="253">
        <f t="shared" si="724"/>
        <v>4.8487499999999999</v>
      </c>
      <c r="BT784" s="253" cm="1">
        <f t="array" ref="BT784">$BC784 * IF($AD784&lt;=2,
SUMPRODUCT(INDEX($AL$62:$AN$66,,$AE784), INDEX($AO$62:$AU$66,,$AD784), 1 / ($AV$62:$AV$66*BS784 + (1-$AV$62:$AV$66)*BO784), N($AK$62:$AK$66&gt;$AI784)),
SUMPRODUCT(INDEX($AL$47:$AN$56,,$AE784), INDEX($AO$47:$AU$56,,$AD784), 1 / ($AW$47:$AW$56*BS784 + (1-$AW$47:$AW$56)*BO784), N($AK$47:$AK$56&gt;$AI784))
) / 1000</f>
        <v>0</v>
      </c>
      <c r="BU784" s="253" cm="1">
        <f t="array" ref="BU784">$BC784 * IF($AD784&lt;=2,
SUMPRODUCT(INDEX($AL$23:$AN$61,,$AE784), INDEX($AO$23:$AU$61,,$AD784), 1 / ($AV$23:$AV$61*BS784), N($AK$23:$AK$61&gt;$AI784)),
SUMPRODUCT(INDEX($AL$23:$AN$46,,$AE784), INDEX($AO$23:$AU$46,,$AD784), 1 / ($AW$23:$AW$46*BS784), N($AK$23:$AK$46&gt;$AI784))
) / 1000</f>
        <v>0</v>
      </c>
      <c r="BV784" s="237">
        <f t="shared" si="725"/>
        <v>0</v>
      </c>
      <c r="BW784" s="210"/>
      <c r="BX784" s="237">
        <f t="shared" si="726"/>
        <v>0</v>
      </c>
      <c r="BY784" s="236">
        <v>35</v>
      </c>
      <c r="BZ784" s="237">
        <f t="shared" si="727"/>
        <v>48</v>
      </c>
      <c r="CA784" s="253">
        <f t="shared" si="728"/>
        <v>3.0748170731707316</v>
      </c>
      <c r="CB784" s="253" cm="1">
        <f t="array" ref="CB784">$BC784 * SUMPRODUCT(INDEX($AL$77:$AN$82,,$AE784),INDEX($AO$77:$AU$82,,$AD784), N($AK$77:$AK$82&gt;$AI784)) / CA784 / 1000</f>
        <v>0</v>
      </c>
      <c r="CC784" s="250">
        <f t="shared" si="708"/>
        <v>30</v>
      </c>
      <c r="CD784" s="237">
        <f t="shared" si="729"/>
        <v>43</v>
      </c>
      <c r="CE784" s="253">
        <f t="shared" si="730"/>
        <v>3.5018750000000001</v>
      </c>
      <c r="CF784" s="253" cm="1">
        <f t="array" ref="CF784">$BC784 * IF($AD784&lt;=2,
SUMPRODUCT(INDEX($AL$72:$AN$76,,$AE784), INDEX($AO$72:$AU$76,,$AD784), 1 / ($AV$72:$AV$76*CE784 + (1-$AV$72:$AV$76)*CA784), N($AK$72:$AK$76&gt;$AI784)),
SUMPRODUCT(INDEX($AL$67:$AN$76,,$AE784), INDEX($AO$67:$AU$76,,$AD784), 1 / ($AW$67:$AW$76*CE784 + (1-$AW$67:$AW$76)*CA784), N($AK$67:$AK$76&gt;$AI784))
) / 1000</f>
        <v>0</v>
      </c>
      <c r="CG784" s="250">
        <f t="shared" si="709"/>
        <v>25</v>
      </c>
      <c r="CH784" s="237">
        <f t="shared" si="731"/>
        <v>38</v>
      </c>
      <c r="CI784" s="253">
        <f t="shared" si="732"/>
        <v>4.0666935483870965</v>
      </c>
      <c r="CJ784" s="253" cm="1">
        <f t="array" ref="CJ784">$BC784 * IF($AD784&lt;=2,
SUMPRODUCT(INDEX($AL$67:$AN$71,,$AE784), INDEX($AO$67:$AU$71,,$AD784), 1 / ($AV$67:$AV$71*CI784 + (1-$AV$67:$AV$71)*CE784), N($AK$67:$AK$71&gt;$AI784)),
SUMPRODUCT(INDEX($AL$57:$AN$66,,$AE784), INDEX($AO$57:$AU$66,,$AD784), 1 / ($AW$57:$AW$66*CI784 + (1-$AW$57:$AW$66)*CE784), N($AK$57:$AK$66&gt;$AI784))
) / 1000</f>
        <v>0</v>
      </c>
      <c r="CK784" s="250">
        <f t="shared" si="710"/>
        <v>20</v>
      </c>
      <c r="CL784" s="237">
        <f t="shared" si="733"/>
        <v>33</v>
      </c>
      <c r="CM784" s="253">
        <f t="shared" si="734"/>
        <v>4.8487499999999999</v>
      </c>
      <c r="CN784" s="253" cm="1">
        <f t="array" ref="CN784">$BC784 * IF($AD784&lt;=2,
SUMPRODUCT(INDEX($AL$62:$AN$66,,$AE784), INDEX($AO$62:$AU$66,,$AD784), 1 / ($AV$62:$AV$66*CM784 + (1-$AV$62:$AV$66)*CI784), N($AK$62:$AK$66&gt;$AI784)),
SUMPRODUCT(INDEX($AL$47:$AN$56,,$AE784), INDEX($AO$47:$AU$56,,$AD784), 1 / ($AW$47:$AW$56*CM784 + (1-$AW$47:$AW$56)*CI784), N($AK$47:$AK$56&gt;$AI784))
) / 1000</f>
        <v>0</v>
      </c>
      <c r="CO784" s="253" cm="1">
        <f t="array" ref="CO784">$BC784 * IF($AD784&lt;=2,
SUMPRODUCT(INDEX($AL$23:$AN$61,,$AE784), INDEX($AO$23:$AU$61,,$AD784), 1 / ($AV$23:$AV$61*CM784), N($AK$23:$AK$61&gt;$AI784)),
SUMPRODUCT(INDEX($AL$23:$AN$46,,$AE784), INDEX($AO$23:$AU$46,,$AD784), 1 / ($AW$23:$AW$46*CM784), N($AK$23:$AK$46&gt;$AI784))
) / 1000</f>
        <v>0</v>
      </c>
      <c r="CP784" s="237">
        <f t="shared" si="735"/>
        <v>0</v>
      </c>
      <c r="CQ784" s="210"/>
    </row>
    <row r="785" spans="1:95" s="76" customFormat="1" ht="14.25" customHeight="1" x14ac:dyDescent="0.2">
      <c r="A785" s="238" t="b">
        <f t="shared" si="702"/>
        <v>0</v>
      </c>
      <c r="B785" s="239">
        <v>763</v>
      </c>
      <c r="C785" s="258"/>
      <c r="D785" s="258"/>
      <c r="E785" s="240"/>
      <c r="F785" s="241" t="str">
        <f>IF(ISBLANK(E785), "", VLOOKUP(E785, Z!$A$2:$C$4127, 3, FALSE))</f>
        <v/>
      </c>
      <c r="G785" s="242"/>
      <c r="H785" s="242"/>
      <c r="I785" s="243"/>
      <c r="J785" s="244"/>
      <c r="K785" s="259"/>
      <c r="L785" s="260"/>
      <c r="M785" s="247" t="str" cm="1">
        <f t="array" ref="M785">IF($K785&gt;0, INDEX(Clean,1+AG785,$C$1), "")</f>
        <v/>
      </c>
      <c r="N785" s="245"/>
      <c r="O785" s="245"/>
      <c r="P785" s="246"/>
      <c r="Q785" s="248">
        <f t="shared" si="712"/>
        <v>0</v>
      </c>
      <c r="R785" s="247" t="str" cm="1">
        <f t="array" ref="R785">IF($K785&gt;0, INDEX(Clean,1+AH785,$C$1), "")</f>
        <v/>
      </c>
      <c r="S785" s="245"/>
      <c r="T785" s="245"/>
      <c r="U785" s="246"/>
      <c r="V785" s="248">
        <f t="shared" si="713"/>
        <v>0</v>
      </c>
      <c r="W785" s="261"/>
      <c r="X785" s="258"/>
      <c r="Y785" s="240"/>
      <c r="Z785" s="241" t="str">
        <f>IF(ISBLANK(Y785), "", VLOOKUP(Y785, Z!$A$2:$C$4127, 3, FALSE))</f>
        <v/>
      </c>
      <c r="AA785" s="262"/>
      <c r="AB785" s="249">
        <f t="shared" si="711"/>
        <v>0</v>
      </c>
      <c r="AC785" s="210"/>
      <c r="AD785" s="236">
        <f t="shared" si="736"/>
        <v>1</v>
      </c>
      <c r="AE785" s="236">
        <f t="shared" si="737"/>
        <v>1</v>
      </c>
      <c r="AF785" s="236">
        <f t="shared" si="738"/>
        <v>0</v>
      </c>
      <c r="AG785" s="236">
        <v>1</v>
      </c>
      <c r="AH785" s="236">
        <v>0</v>
      </c>
      <c r="AI785" s="236">
        <f t="shared" si="714"/>
        <v>-100</v>
      </c>
      <c r="AJ785" s="210"/>
      <c r="AK785" s="254"/>
      <c r="AL785" s="254"/>
      <c r="AM785" s="255"/>
      <c r="AN785" s="255"/>
      <c r="AO785" s="255"/>
      <c r="AP785" s="255"/>
      <c r="AQ785" s="255"/>
      <c r="AR785" s="255"/>
      <c r="AS785" s="255"/>
      <c r="AT785" s="255"/>
      <c r="AU785" s="255"/>
      <c r="AV785" s="255"/>
      <c r="AW785" s="255"/>
      <c r="AX785" s="210"/>
      <c r="AY785" s="236" cm="1">
        <f t="array" ref="AY785">INDEX(Use, $AD785, 4)</f>
        <v>7</v>
      </c>
      <c r="AZ785" s="236">
        <f t="shared" si="715"/>
        <v>32</v>
      </c>
      <c r="BA785" s="236">
        <f t="shared" si="703"/>
        <v>13</v>
      </c>
      <c r="BB785" s="236">
        <f t="shared" si="704"/>
        <v>0</v>
      </c>
      <c r="BC785" s="252" cm="1">
        <f t="array" ref="BC785">K785/IF($L785&gt;0, INDEX($AO$23:$AU$77, $L785+20, $AD785), 1)</f>
        <v>0</v>
      </c>
      <c r="BD785" s="237">
        <f t="shared" si="716"/>
        <v>0</v>
      </c>
      <c r="BE785" s="236">
        <v>35</v>
      </c>
      <c r="BF785" s="237">
        <f t="shared" si="717"/>
        <v>52.55</v>
      </c>
      <c r="BG785" s="253">
        <f t="shared" si="718"/>
        <v>2.7676728869374316</v>
      </c>
      <c r="BH785" s="253" cm="1">
        <f t="array" ref="BH785">$BC785 * SUMPRODUCT(INDEX($AL$77:$AN$82,,$AE785),INDEX($AO$77:$AU$82,,$AD785), N($AK$77:$AK$82&gt;$AI785)) / BG785 / 1000</f>
        <v>0</v>
      </c>
      <c r="BI785" s="250">
        <f t="shared" si="705"/>
        <v>30</v>
      </c>
      <c r="BJ785" s="237">
        <f t="shared" si="719"/>
        <v>46.033333333333331</v>
      </c>
      <c r="BK785" s="253">
        <f t="shared" si="720"/>
        <v>3.2297395388556791</v>
      </c>
      <c r="BL785" s="253" cm="1">
        <f t="array" ref="BL785">$BC785 * IF($AD785&lt;=2,
SUMPRODUCT(INDEX($AL$72:$AN$76,,$AE785), INDEX($AO$72:$AU$76,,$AD785), 1 / ($AV$72:$AV$76*BK785 + (1-$AV$72:$AV$76)*BG785), N($AK$72:$AK$76&gt;$AI785)),
SUMPRODUCT(INDEX($AL$67:$AN$76,,$AE785), INDEX($AO$67:$AU$76,,$AD785), 1 / ($AW$67:$AW$76*BK785 + (1-$AW$67:$AW$76)*BG785), N($AK$67:$AK$76&gt;$AI785))
) / 1000</f>
        <v>0</v>
      </c>
      <c r="BM785" s="250">
        <f t="shared" si="706"/>
        <v>25</v>
      </c>
      <c r="BN785" s="237">
        <f t="shared" si="721"/>
        <v>39.516666666666666</v>
      </c>
      <c r="BO785" s="253">
        <f t="shared" si="722"/>
        <v>3.877011788826243</v>
      </c>
      <c r="BP785" s="253" cm="1">
        <f t="array" ref="BP785">$BC785 * IF($AD785&lt;=2,
SUMPRODUCT(INDEX($AL$67:$AN$71,,$AE785), INDEX($AO$67:$AU$71,,$AD785), 1 / ($AV$67:$AV$71*BO785 + (1-$AV$67:$AV$71)*BK785), N($AK$67:$AK$71&gt;$AI785)),
SUMPRODUCT(INDEX($AL$57:$AN$66,,$AE785), INDEX($AO$57:$AU$66,,$AD785), 1 / ($AW$57:$AW$66*BO785 + (1-$AW$57:$AW$66)*BK785), N($AK$57:$AK$66&gt;$AI785))
) / 1000</f>
        <v>0</v>
      </c>
      <c r="BQ785" s="250">
        <f t="shared" si="707"/>
        <v>20</v>
      </c>
      <c r="BR785" s="237">
        <f t="shared" si="723"/>
        <v>33</v>
      </c>
      <c r="BS785" s="253">
        <f t="shared" si="724"/>
        <v>4.8487499999999999</v>
      </c>
      <c r="BT785" s="253" cm="1">
        <f t="array" ref="BT785">$BC785 * IF($AD785&lt;=2,
SUMPRODUCT(INDEX($AL$62:$AN$66,,$AE785), INDEX($AO$62:$AU$66,,$AD785), 1 / ($AV$62:$AV$66*BS785 + (1-$AV$62:$AV$66)*BO785), N($AK$62:$AK$66&gt;$AI785)),
SUMPRODUCT(INDEX($AL$47:$AN$56,,$AE785), INDEX($AO$47:$AU$56,,$AD785), 1 / ($AW$47:$AW$56*BS785 + (1-$AW$47:$AW$56)*BO785), N($AK$47:$AK$56&gt;$AI785))
) / 1000</f>
        <v>0</v>
      </c>
      <c r="BU785" s="253" cm="1">
        <f t="array" ref="BU785">$BC785 * IF($AD785&lt;=2,
SUMPRODUCT(INDEX($AL$23:$AN$61,,$AE785), INDEX($AO$23:$AU$61,,$AD785), 1 / ($AV$23:$AV$61*BS785), N($AK$23:$AK$61&gt;$AI785)),
SUMPRODUCT(INDEX($AL$23:$AN$46,,$AE785), INDEX($AO$23:$AU$46,,$AD785), 1 / ($AW$23:$AW$46*BS785), N($AK$23:$AK$46&gt;$AI785))
) / 1000</f>
        <v>0</v>
      </c>
      <c r="BV785" s="237">
        <f t="shared" si="725"/>
        <v>0</v>
      </c>
      <c r="BW785" s="210"/>
      <c r="BX785" s="237">
        <f t="shared" si="726"/>
        <v>0</v>
      </c>
      <c r="BY785" s="236">
        <v>35</v>
      </c>
      <c r="BZ785" s="237">
        <f t="shared" si="727"/>
        <v>48</v>
      </c>
      <c r="CA785" s="253">
        <f t="shared" si="728"/>
        <v>3.0748170731707316</v>
      </c>
      <c r="CB785" s="253" cm="1">
        <f t="array" ref="CB785">$BC785 * SUMPRODUCT(INDEX($AL$77:$AN$82,,$AE785),INDEX($AO$77:$AU$82,,$AD785), N($AK$77:$AK$82&gt;$AI785)) / CA785 / 1000</f>
        <v>0</v>
      </c>
      <c r="CC785" s="250">
        <f t="shared" si="708"/>
        <v>30</v>
      </c>
      <c r="CD785" s="237">
        <f t="shared" si="729"/>
        <v>43</v>
      </c>
      <c r="CE785" s="253">
        <f t="shared" si="730"/>
        <v>3.5018750000000001</v>
      </c>
      <c r="CF785" s="253" cm="1">
        <f t="array" ref="CF785">$BC785 * IF($AD785&lt;=2,
SUMPRODUCT(INDEX($AL$72:$AN$76,,$AE785), INDEX($AO$72:$AU$76,,$AD785), 1 / ($AV$72:$AV$76*CE785 + (1-$AV$72:$AV$76)*CA785), N($AK$72:$AK$76&gt;$AI785)),
SUMPRODUCT(INDEX($AL$67:$AN$76,,$AE785), INDEX($AO$67:$AU$76,,$AD785), 1 / ($AW$67:$AW$76*CE785 + (1-$AW$67:$AW$76)*CA785), N($AK$67:$AK$76&gt;$AI785))
) / 1000</f>
        <v>0</v>
      </c>
      <c r="CG785" s="250">
        <f t="shared" si="709"/>
        <v>25</v>
      </c>
      <c r="CH785" s="237">
        <f t="shared" si="731"/>
        <v>38</v>
      </c>
      <c r="CI785" s="253">
        <f t="shared" si="732"/>
        <v>4.0666935483870965</v>
      </c>
      <c r="CJ785" s="253" cm="1">
        <f t="array" ref="CJ785">$BC785 * IF($AD785&lt;=2,
SUMPRODUCT(INDEX($AL$67:$AN$71,,$AE785), INDEX($AO$67:$AU$71,,$AD785), 1 / ($AV$67:$AV$71*CI785 + (1-$AV$67:$AV$71)*CE785), N($AK$67:$AK$71&gt;$AI785)),
SUMPRODUCT(INDEX($AL$57:$AN$66,,$AE785), INDEX($AO$57:$AU$66,,$AD785), 1 / ($AW$57:$AW$66*CI785 + (1-$AW$57:$AW$66)*CE785), N($AK$57:$AK$66&gt;$AI785))
) / 1000</f>
        <v>0</v>
      </c>
      <c r="CK785" s="250">
        <f t="shared" si="710"/>
        <v>20</v>
      </c>
      <c r="CL785" s="237">
        <f t="shared" si="733"/>
        <v>33</v>
      </c>
      <c r="CM785" s="253">
        <f t="shared" si="734"/>
        <v>4.8487499999999999</v>
      </c>
      <c r="CN785" s="253" cm="1">
        <f t="array" ref="CN785">$BC785 * IF($AD785&lt;=2,
SUMPRODUCT(INDEX($AL$62:$AN$66,,$AE785), INDEX($AO$62:$AU$66,,$AD785), 1 / ($AV$62:$AV$66*CM785 + (1-$AV$62:$AV$66)*CI785), N($AK$62:$AK$66&gt;$AI785)),
SUMPRODUCT(INDEX($AL$47:$AN$56,,$AE785), INDEX($AO$47:$AU$56,,$AD785), 1 / ($AW$47:$AW$56*CM785 + (1-$AW$47:$AW$56)*CI785), N($AK$47:$AK$56&gt;$AI785))
) / 1000</f>
        <v>0</v>
      </c>
      <c r="CO785" s="253" cm="1">
        <f t="array" ref="CO785">$BC785 * IF($AD785&lt;=2,
SUMPRODUCT(INDEX($AL$23:$AN$61,,$AE785), INDEX($AO$23:$AU$61,,$AD785), 1 / ($AV$23:$AV$61*CM785), N($AK$23:$AK$61&gt;$AI785)),
SUMPRODUCT(INDEX($AL$23:$AN$46,,$AE785), INDEX($AO$23:$AU$46,,$AD785), 1 / ($AW$23:$AW$46*CM785), N($AK$23:$AK$46&gt;$AI785))
) / 1000</f>
        <v>0</v>
      </c>
      <c r="CP785" s="237">
        <f t="shared" si="735"/>
        <v>0</v>
      </c>
      <c r="CQ785" s="210"/>
    </row>
    <row r="786" spans="1:95" s="76" customFormat="1" ht="14.25" customHeight="1" x14ac:dyDescent="0.2">
      <c r="A786" s="238" t="b">
        <f t="shared" si="702"/>
        <v>0</v>
      </c>
      <c r="B786" s="239">
        <v>764</v>
      </c>
      <c r="C786" s="258"/>
      <c r="D786" s="258"/>
      <c r="E786" s="240"/>
      <c r="F786" s="241" t="str">
        <f>IF(ISBLANK(E786), "", VLOOKUP(E786, Z!$A$2:$C$4127, 3, FALSE))</f>
        <v/>
      </c>
      <c r="G786" s="242"/>
      <c r="H786" s="242"/>
      <c r="I786" s="243"/>
      <c r="J786" s="244"/>
      <c r="K786" s="259"/>
      <c r="L786" s="260"/>
      <c r="M786" s="247" t="str" cm="1">
        <f t="array" ref="M786">IF($K786&gt;0, INDEX(Clean,1+AG786,$C$1), "")</f>
        <v/>
      </c>
      <c r="N786" s="245"/>
      <c r="O786" s="245"/>
      <c r="P786" s="246"/>
      <c r="Q786" s="248">
        <f t="shared" si="712"/>
        <v>0</v>
      </c>
      <c r="R786" s="247" t="str" cm="1">
        <f t="array" ref="R786">IF($K786&gt;0, INDEX(Clean,1+AH786,$C$1), "")</f>
        <v/>
      </c>
      <c r="S786" s="245"/>
      <c r="T786" s="245"/>
      <c r="U786" s="246"/>
      <c r="V786" s="248">
        <f t="shared" si="713"/>
        <v>0</v>
      </c>
      <c r="W786" s="261"/>
      <c r="X786" s="258"/>
      <c r="Y786" s="240"/>
      <c r="Z786" s="241" t="str">
        <f>IF(ISBLANK(Y786), "", VLOOKUP(Y786, Z!$A$2:$C$4127, 3, FALSE))</f>
        <v/>
      </c>
      <c r="AA786" s="262"/>
      <c r="AB786" s="249">
        <f t="shared" si="711"/>
        <v>0</v>
      </c>
      <c r="AC786" s="210"/>
      <c r="AD786" s="236">
        <f t="shared" si="736"/>
        <v>1</v>
      </c>
      <c r="AE786" s="236">
        <f t="shared" si="737"/>
        <v>1</v>
      </c>
      <c r="AF786" s="236">
        <f t="shared" si="738"/>
        <v>0</v>
      </c>
      <c r="AG786" s="236">
        <v>1</v>
      </c>
      <c r="AH786" s="236">
        <v>0</v>
      </c>
      <c r="AI786" s="236">
        <f t="shared" si="714"/>
        <v>-100</v>
      </c>
      <c r="AJ786" s="210"/>
      <c r="AK786" s="254"/>
      <c r="AL786" s="254"/>
      <c r="AM786" s="255"/>
      <c r="AN786" s="255"/>
      <c r="AO786" s="255"/>
      <c r="AP786" s="255"/>
      <c r="AQ786" s="255"/>
      <c r="AR786" s="255"/>
      <c r="AS786" s="255"/>
      <c r="AT786" s="255"/>
      <c r="AU786" s="255"/>
      <c r="AV786" s="255"/>
      <c r="AW786" s="255"/>
      <c r="AX786" s="210"/>
      <c r="AY786" s="236" cm="1">
        <f t="array" ref="AY786">INDEX(Use, $AD786, 4)</f>
        <v>7</v>
      </c>
      <c r="AZ786" s="236">
        <f t="shared" si="715"/>
        <v>32</v>
      </c>
      <c r="BA786" s="236">
        <f t="shared" si="703"/>
        <v>13</v>
      </c>
      <c r="BB786" s="236">
        <f t="shared" si="704"/>
        <v>0</v>
      </c>
      <c r="BC786" s="252" cm="1">
        <f t="array" ref="BC786">K786/IF($L786&gt;0, INDEX($AO$23:$AU$77, $L786+20, $AD786), 1)</f>
        <v>0</v>
      </c>
      <c r="BD786" s="237">
        <f t="shared" si="716"/>
        <v>0</v>
      </c>
      <c r="BE786" s="236">
        <v>35</v>
      </c>
      <c r="BF786" s="237">
        <f t="shared" si="717"/>
        <v>52.55</v>
      </c>
      <c r="BG786" s="253">
        <f t="shared" si="718"/>
        <v>2.7676728869374316</v>
      </c>
      <c r="BH786" s="253" cm="1">
        <f t="array" ref="BH786">$BC786 * SUMPRODUCT(INDEX($AL$77:$AN$82,,$AE786),INDEX($AO$77:$AU$82,,$AD786), N($AK$77:$AK$82&gt;$AI786)) / BG786 / 1000</f>
        <v>0</v>
      </c>
      <c r="BI786" s="250">
        <f t="shared" si="705"/>
        <v>30</v>
      </c>
      <c r="BJ786" s="237">
        <f t="shared" si="719"/>
        <v>46.033333333333331</v>
      </c>
      <c r="BK786" s="253">
        <f t="shared" si="720"/>
        <v>3.2297395388556791</v>
      </c>
      <c r="BL786" s="253" cm="1">
        <f t="array" ref="BL786">$BC786 * IF($AD786&lt;=2,
SUMPRODUCT(INDEX($AL$72:$AN$76,,$AE786), INDEX($AO$72:$AU$76,,$AD786), 1 / ($AV$72:$AV$76*BK786 + (1-$AV$72:$AV$76)*BG786), N($AK$72:$AK$76&gt;$AI786)),
SUMPRODUCT(INDEX($AL$67:$AN$76,,$AE786), INDEX($AO$67:$AU$76,,$AD786), 1 / ($AW$67:$AW$76*BK786 + (1-$AW$67:$AW$76)*BG786), N($AK$67:$AK$76&gt;$AI786))
) / 1000</f>
        <v>0</v>
      </c>
      <c r="BM786" s="250">
        <f t="shared" si="706"/>
        <v>25</v>
      </c>
      <c r="BN786" s="237">
        <f t="shared" si="721"/>
        <v>39.516666666666666</v>
      </c>
      <c r="BO786" s="253">
        <f t="shared" si="722"/>
        <v>3.877011788826243</v>
      </c>
      <c r="BP786" s="253" cm="1">
        <f t="array" ref="BP786">$BC786 * IF($AD786&lt;=2,
SUMPRODUCT(INDEX($AL$67:$AN$71,,$AE786), INDEX($AO$67:$AU$71,,$AD786), 1 / ($AV$67:$AV$71*BO786 + (1-$AV$67:$AV$71)*BK786), N($AK$67:$AK$71&gt;$AI786)),
SUMPRODUCT(INDEX($AL$57:$AN$66,,$AE786), INDEX($AO$57:$AU$66,,$AD786), 1 / ($AW$57:$AW$66*BO786 + (1-$AW$57:$AW$66)*BK786), N($AK$57:$AK$66&gt;$AI786))
) / 1000</f>
        <v>0</v>
      </c>
      <c r="BQ786" s="250">
        <f t="shared" si="707"/>
        <v>20</v>
      </c>
      <c r="BR786" s="237">
        <f t="shared" si="723"/>
        <v>33</v>
      </c>
      <c r="BS786" s="253">
        <f t="shared" si="724"/>
        <v>4.8487499999999999</v>
      </c>
      <c r="BT786" s="253" cm="1">
        <f t="array" ref="BT786">$BC786 * IF($AD786&lt;=2,
SUMPRODUCT(INDEX($AL$62:$AN$66,,$AE786), INDEX($AO$62:$AU$66,,$AD786), 1 / ($AV$62:$AV$66*BS786 + (1-$AV$62:$AV$66)*BO786), N($AK$62:$AK$66&gt;$AI786)),
SUMPRODUCT(INDEX($AL$47:$AN$56,,$AE786), INDEX($AO$47:$AU$56,,$AD786), 1 / ($AW$47:$AW$56*BS786 + (1-$AW$47:$AW$56)*BO786), N($AK$47:$AK$56&gt;$AI786))
) / 1000</f>
        <v>0</v>
      </c>
      <c r="BU786" s="253" cm="1">
        <f t="array" ref="BU786">$BC786 * IF($AD786&lt;=2,
SUMPRODUCT(INDEX($AL$23:$AN$61,,$AE786), INDEX($AO$23:$AU$61,,$AD786), 1 / ($AV$23:$AV$61*BS786), N($AK$23:$AK$61&gt;$AI786)),
SUMPRODUCT(INDEX($AL$23:$AN$46,,$AE786), INDEX($AO$23:$AU$46,,$AD786), 1 / ($AW$23:$AW$46*BS786), N($AK$23:$AK$46&gt;$AI786))
) / 1000</f>
        <v>0</v>
      </c>
      <c r="BV786" s="237">
        <f t="shared" si="725"/>
        <v>0</v>
      </c>
      <c r="BW786" s="210"/>
      <c r="BX786" s="237">
        <f t="shared" si="726"/>
        <v>0</v>
      </c>
      <c r="BY786" s="236">
        <v>35</v>
      </c>
      <c r="BZ786" s="237">
        <f t="shared" si="727"/>
        <v>48</v>
      </c>
      <c r="CA786" s="253">
        <f t="shared" si="728"/>
        <v>3.0748170731707316</v>
      </c>
      <c r="CB786" s="253" cm="1">
        <f t="array" ref="CB786">$BC786 * SUMPRODUCT(INDEX($AL$77:$AN$82,,$AE786),INDEX($AO$77:$AU$82,,$AD786), N($AK$77:$AK$82&gt;$AI786)) / CA786 / 1000</f>
        <v>0</v>
      </c>
      <c r="CC786" s="250">
        <f t="shared" si="708"/>
        <v>30</v>
      </c>
      <c r="CD786" s="237">
        <f t="shared" si="729"/>
        <v>43</v>
      </c>
      <c r="CE786" s="253">
        <f t="shared" si="730"/>
        <v>3.5018750000000001</v>
      </c>
      <c r="CF786" s="253" cm="1">
        <f t="array" ref="CF786">$BC786 * IF($AD786&lt;=2,
SUMPRODUCT(INDEX($AL$72:$AN$76,,$AE786), INDEX($AO$72:$AU$76,,$AD786), 1 / ($AV$72:$AV$76*CE786 + (1-$AV$72:$AV$76)*CA786), N($AK$72:$AK$76&gt;$AI786)),
SUMPRODUCT(INDEX($AL$67:$AN$76,,$AE786), INDEX($AO$67:$AU$76,,$AD786), 1 / ($AW$67:$AW$76*CE786 + (1-$AW$67:$AW$76)*CA786), N($AK$67:$AK$76&gt;$AI786))
) / 1000</f>
        <v>0</v>
      </c>
      <c r="CG786" s="250">
        <f t="shared" si="709"/>
        <v>25</v>
      </c>
      <c r="CH786" s="237">
        <f t="shared" si="731"/>
        <v>38</v>
      </c>
      <c r="CI786" s="253">
        <f t="shared" si="732"/>
        <v>4.0666935483870965</v>
      </c>
      <c r="CJ786" s="253" cm="1">
        <f t="array" ref="CJ786">$BC786 * IF($AD786&lt;=2,
SUMPRODUCT(INDEX($AL$67:$AN$71,,$AE786), INDEX($AO$67:$AU$71,,$AD786), 1 / ($AV$67:$AV$71*CI786 + (1-$AV$67:$AV$71)*CE786), N($AK$67:$AK$71&gt;$AI786)),
SUMPRODUCT(INDEX($AL$57:$AN$66,,$AE786), INDEX($AO$57:$AU$66,,$AD786), 1 / ($AW$57:$AW$66*CI786 + (1-$AW$57:$AW$66)*CE786), N($AK$57:$AK$66&gt;$AI786))
) / 1000</f>
        <v>0</v>
      </c>
      <c r="CK786" s="250">
        <f t="shared" si="710"/>
        <v>20</v>
      </c>
      <c r="CL786" s="237">
        <f t="shared" si="733"/>
        <v>33</v>
      </c>
      <c r="CM786" s="253">
        <f t="shared" si="734"/>
        <v>4.8487499999999999</v>
      </c>
      <c r="CN786" s="253" cm="1">
        <f t="array" ref="CN786">$BC786 * IF($AD786&lt;=2,
SUMPRODUCT(INDEX($AL$62:$AN$66,,$AE786), INDEX($AO$62:$AU$66,,$AD786), 1 / ($AV$62:$AV$66*CM786 + (1-$AV$62:$AV$66)*CI786), N($AK$62:$AK$66&gt;$AI786)),
SUMPRODUCT(INDEX($AL$47:$AN$56,,$AE786), INDEX($AO$47:$AU$56,,$AD786), 1 / ($AW$47:$AW$56*CM786 + (1-$AW$47:$AW$56)*CI786), N($AK$47:$AK$56&gt;$AI786))
) / 1000</f>
        <v>0</v>
      </c>
      <c r="CO786" s="253" cm="1">
        <f t="array" ref="CO786">$BC786 * IF($AD786&lt;=2,
SUMPRODUCT(INDEX($AL$23:$AN$61,,$AE786), INDEX($AO$23:$AU$61,,$AD786), 1 / ($AV$23:$AV$61*CM786), N($AK$23:$AK$61&gt;$AI786)),
SUMPRODUCT(INDEX($AL$23:$AN$46,,$AE786), INDEX($AO$23:$AU$46,,$AD786), 1 / ($AW$23:$AW$46*CM786), N($AK$23:$AK$46&gt;$AI786))
) / 1000</f>
        <v>0</v>
      </c>
      <c r="CP786" s="237">
        <f t="shared" si="735"/>
        <v>0</v>
      </c>
      <c r="CQ786" s="210"/>
    </row>
    <row r="787" spans="1:95" s="76" customFormat="1" ht="14.25" customHeight="1" x14ac:dyDescent="0.2">
      <c r="A787" s="238" t="b">
        <f t="shared" si="702"/>
        <v>0</v>
      </c>
      <c r="B787" s="239">
        <v>765</v>
      </c>
      <c r="C787" s="258"/>
      <c r="D787" s="258"/>
      <c r="E787" s="240"/>
      <c r="F787" s="241" t="str">
        <f>IF(ISBLANK(E787), "", VLOOKUP(E787, Z!$A$2:$C$4127, 3, FALSE))</f>
        <v/>
      </c>
      <c r="G787" s="242"/>
      <c r="H787" s="242"/>
      <c r="I787" s="243"/>
      <c r="J787" s="244"/>
      <c r="K787" s="259"/>
      <c r="L787" s="260"/>
      <c r="M787" s="247" t="str" cm="1">
        <f t="array" ref="M787">IF($K787&gt;0, INDEX(Clean,1+AG787,$C$1), "")</f>
        <v/>
      </c>
      <c r="N787" s="245"/>
      <c r="O787" s="245"/>
      <c r="P787" s="246"/>
      <c r="Q787" s="248">
        <f t="shared" si="712"/>
        <v>0</v>
      </c>
      <c r="R787" s="247" t="str" cm="1">
        <f t="array" ref="R787">IF($K787&gt;0, INDEX(Clean,1+AH787,$C$1), "")</f>
        <v/>
      </c>
      <c r="S787" s="245"/>
      <c r="T787" s="245"/>
      <c r="U787" s="246"/>
      <c r="V787" s="248">
        <f t="shared" si="713"/>
        <v>0</v>
      </c>
      <c r="W787" s="261"/>
      <c r="X787" s="258"/>
      <c r="Y787" s="240"/>
      <c r="Z787" s="241" t="str">
        <f>IF(ISBLANK(Y787), "", VLOOKUP(Y787, Z!$A$2:$C$4127, 3, FALSE))</f>
        <v/>
      </c>
      <c r="AA787" s="262"/>
      <c r="AB787" s="249">
        <f t="shared" si="711"/>
        <v>0</v>
      </c>
      <c r="AC787" s="210"/>
      <c r="AD787" s="236">
        <f t="shared" si="736"/>
        <v>1</v>
      </c>
      <c r="AE787" s="236">
        <f t="shared" si="737"/>
        <v>1</v>
      </c>
      <c r="AF787" s="236">
        <f t="shared" si="738"/>
        <v>0</v>
      </c>
      <c r="AG787" s="236">
        <v>1</v>
      </c>
      <c r="AH787" s="236">
        <v>0</v>
      </c>
      <c r="AI787" s="236">
        <f t="shared" si="714"/>
        <v>-100</v>
      </c>
      <c r="AJ787" s="210"/>
      <c r="AK787" s="254"/>
      <c r="AL787" s="254"/>
      <c r="AM787" s="255"/>
      <c r="AN787" s="255"/>
      <c r="AO787" s="255"/>
      <c r="AP787" s="255"/>
      <c r="AQ787" s="255"/>
      <c r="AR787" s="255"/>
      <c r="AS787" s="255"/>
      <c r="AT787" s="255"/>
      <c r="AU787" s="255"/>
      <c r="AV787" s="255"/>
      <c r="AW787" s="255"/>
      <c r="AX787" s="210"/>
      <c r="AY787" s="236" cm="1">
        <f t="array" ref="AY787">INDEX(Use, $AD787, 4)</f>
        <v>7</v>
      </c>
      <c r="AZ787" s="236">
        <f t="shared" si="715"/>
        <v>32</v>
      </c>
      <c r="BA787" s="236">
        <f t="shared" si="703"/>
        <v>13</v>
      </c>
      <c r="BB787" s="236">
        <f t="shared" si="704"/>
        <v>0</v>
      </c>
      <c r="BC787" s="252" cm="1">
        <f t="array" ref="BC787">K787/IF($L787&gt;0, INDEX($AO$23:$AU$77, $L787+20, $AD787), 1)</f>
        <v>0</v>
      </c>
      <c r="BD787" s="237">
        <f t="shared" si="716"/>
        <v>0</v>
      </c>
      <c r="BE787" s="236">
        <v>35</v>
      </c>
      <c r="BF787" s="237">
        <f t="shared" si="717"/>
        <v>52.55</v>
      </c>
      <c r="BG787" s="253">
        <f t="shared" si="718"/>
        <v>2.7676728869374316</v>
      </c>
      <c r="BH787" s="253" cm="1">
        <f t="array" ref="BH787">$BC787 * SUMPRODUCT(INDEX($AL$77:$AN$82,,$AE787),INDEX($AO$77:$AU$82,,$AD787), N($AK$77:$AK$82&gt;$AI787)) / BG787 / 1000</f>
        <v>0</v>
      </c>
      <c r="BI787" s="250">
        <f t="shared" si="705"/>
        <v>30</v>
      </c>
      <c r="BJ787" s="237">
        <f t="shared" si="719"/>
        <v>46.033333333333331</v>
      </c>
      <c r="BK787" s="253">
        <f t="shared" si="720"/>
        <v>3.2297395388556791</v>
      </c>
      <c r="BL787" s="253" cm="1">
        <f t="array" ref="BL787">$BC787 * IF($AD787&lt;=2,
SUMPRODUCT(INDEX($AL$72:$AN$76,,$AE787), INDEX($AO$72:$AU$76,,$AD787), 1 / ($AV$72:$AV$76*BK787 + (1-$AV$72:$AV$76)*BG787), N($AK$72:$AK$76&gt;$AI787)),
SUMPRODUCT(INDEX($AL$67:$AN$76,,$AE787), INDEX($AO$67:$AU$76,,$AD787), 1 / ($AW$67:$AW$76*BK787 + (1-$AW$67:$AW$76)*BG787), N($AK$67:$AK$76&gt;$AI787))
) / 1000</f>
        <v>0</v>
      </c>
      <c r="BM787" s="250">
        <f t="shared" si="706"/>
        <v>25</v>
      </c>
      <c r="BN787" s="237">
        <f t="shared" si="721"/>
        <v>39.516666666666666</v>
      </c>
      <c r="BO787" s="253">
        <f t="shared" si="722"/>
        <v>3.877011788826243</v>
      </c>
      <c r="BP787" s="253" cm="1">
        <f t="array" ref="BP787">$BC787 * IF($AD787&lt;=2,
SUMPRODUCT(INDEX($AL$67:$AN$71,,$AE787), INDEX($AO$67:$AU$71,,$AD787), 1 / ($AV$67:$AV$71*BO787 + (1-$AV$67:$AV$71)*BK787), N($AK$67:$AK$71&gt;$AI787)),
SUMPRODUCT(INDEX($AL$57:$AN$66,,$AE787), INDEX($AO$57:$AU$66,,$AD787), 1 / ($AW$57:$AW$66*BO787 + (1-$AW$57:$AW$66)*BK787), N($AK$57:$AK$66&gt;$AI787))
) / 1000</f>
        <v>0</v>
      </c>
      <c r="BQ787" s="250">
        <f t="shared" si="707"/>
        <v>20</v>
      </c>
      <c r="BR787" s="237">
        <f t="shared" si="723"/>
        <v>33</v>
      </c>
      <c r="BS787" s="253">
        <f t="shared" si="724"/>
        <v>4.8487499999999999</v>
      </c>
      <c r="BT787" s="253" cm="1">
        <f t="array" ref="BT787">$BC787 * IF($AD787&lt;=2,
SUMPRODUCT(INDEX($AL$62:$AN$66,,$AE787), INDEX($AO$62:$AU$66,,$AD787), 1 / ($AV$62:$AV$66*BS787 + (1-$AV$62:$AV$66)*BO787), N($AK$62:$AK$66&gt;$AI787)),
SUMPRODUCT(INDEX($AL$47:$AN$56,,$AE787), INDEX($AO$47:$AU$56,,$AD787), 1 / ($AW$47:$AW$56*BS787 + (1-$AW$47:$AW$56)*BO787), N($AK$47:$AK$56&gt;$AI787))
) / 1000</f>
        <v>0</v>
      </c>
      <c r="BU787" s="253" cm="1">
        <f t="array" ref="BU787">$BC787 * IF($AD787&lt;=2,
SUMPRODUCT(INDEX($AL$23:$AN$61,,$AE787), INDEX($AO$23:$AU$61,,$AD787), 1 / ($AV$23:$AV$61*BS787), N($AK$23:$AK$61&gt;$AI787)),
SUMPRODUCT(INDEX($AL$23:$AN$46,,$AE787), INDEX($AO$23:$AU$46,,$AD787), 1 / ($AW$23:$AW$46*BS787), N($AK$23:$AK$46&gt;$AI787))
) / 1000</f>
        <v>0</v>
      </c>
      <c r="BV787" s="237">
        <f t="shared" si="725"/>
        <v>0</v>
      </c>
      <c r="BW787" s="210"/>
      <c r="BX787" s="237">
        <f t="shared" si="726"/>
        <v>0</v>
      </c>
      <c r="BY787" s="236">
        <v>35</v>
      </c>
      <c r="BZ787" s="237">
        <f t="shared" si="727"/>
        <v>48</v>
      </c>
      <c r="CA787" s="253">
        <f t="shared" si="728"/>
        <v>3.0748170731707316</v>
      </c>
      <c r="CB787" s="253" cm="1">
        <f t="array" ref="CB787">$BC787 * SUMPRODUCT(INDEX($AL$77:$AN$82,,$AE787),INDEX($AO$77:$AU$82,,$AD787), N($AK$77:$AK$82&gt;$AI787)) / CA787 / 1000</f>
        <v>0</v>
      </c>
      <c r="CC787" s="250">
        <f t="shared" si="708"/>
        <v>30</v>
      </c>
      <c r="CD787" s="237">
        <f t="shared" si="729"/>
        <v>43</v>
      </c>
      <c r="CE787" s="253">
        <f t="shared" si="730"/>
        <v>3.5018750000000001</v>
      </c>
      <c r="CF787" s="253" cm="1">
        <f t="array" ref="CF787">$BC787 * IF($AD787&lt;=2,
SUMPRODUCT(INDEX($AL$72:$AN$76,,$AE787), INDEX($AO$72:$AU$76,,$AD787), 1 / ($AV$72:$AV$76*CE787 + (1-$AV$72:$AV$76)*CA787), N($AK$72:$AK$76&gt;$AI787)),
SUMPRODUCT(INDEX($AL$67:$AN$76,,$AE787), INDEX($AO$67:$AU$76,,$AD787), 1 / ($AW$67:$AW$76*CE787 + (1-$AW$67:$AW$76)*CA787), N($AK$67:$AK$76&gt;$AI787))
) / 1000</f>
        <v>0</v>
      </c>
      <c r="CG787" s="250">
        <f t="shared" si="709"/>
        <v>25</v>
      </c>
      <c r="CH787" s="237">
        <f t="shared" si="731"/>
        <v>38</v>
      </c>
      <c r="CI787" s="253">
        <f t="shared" si="732"/>
        <v>4.0666935483870965</v>
      </c>
      <c r="CJ787" s="253" cm="1">
        <f t="array" ref="CJ787">$BC787 * IF($AD787&lt;=2,
SUMPRODUCT(INDEX($AL$67:$AN$71,,$AE787), INDEX($AO$67:$AU$71,,$AD787), 1 / ($AV$67:$AV$71*CI787 + (1-$AV$67:$AV$71)*CE787), N($AK$67:$AK$71&gt;$AI787)),
SUMPRODUCT(INDEX($AL$57:$AN$66,,$AE787), INDEX($AO$57:$AU$66,,$AD787), 1 / ($AW$57:$AW$66*CI787 + (1-$AW$57:$AW$66)*CE787), N($AK$57:$AK$66&gt;$AI787))
) / 1000</f>
        <v>0</v>
      </c>
      <c r="CK787" s="250">
        <f t="shared" si="710"/>
        <v>20</v>
      </c>
      <c r="CL787" s="237">
        <f t="shared" si="733"/>
        <v>33</v>
      </c>
      <c r="CM787" s="253">
        <f t="shared" si="734"/>
        <v>4.8487499999999999</v>
      </c>
      <c r="CN787" s="253" cm="1">
        <f t="array" ref="CN787">$BC787 * IF($AD787&lt;=2,
SUMPRODUCT(INDEX($AL$62:$AN$66,,$AE787), INDEX($AO$62:$AU$66,,$AD787), 1 / ($AV$62:$AV$66*CM787 + (1-$AV$62:$AV$66)*CI787), N($AK$62:$AK$66&gt;$AI787)),
SUMPRODUCT(INDEX($AL$47:$AN$56,,$AE787), INDEX($AO$47:$AU$56,,$AD787), 1 / ($AW$47:$AW$56*CM787 + (1-$AW$47:$AW$56)*CI787), N($AK$47:$AK$56&gt;$AI787))
) / 1000</f>
        <v>0</v>
      </c>
      <c r="CO787" s="253" cm="1">
        <f t="array" ref="CO787">$BC787 * IF($AD787&lt;=2,
SUMPRODUCT(INDEX($AL$23:$AN$61,,$AE787), INDEX($AO$23:$AU$61,,$AD787), 1 / ($AV$23:$AV$61*CM787), N($AK$23:$AK$61&gt;$AI787)),
SUMPRODUCT(INDEX($AL$23:$AN$46,,$AE787), INDEX($AO$23:$AU$46,,$AD787), 1 / ($AW$23:$AW$46*CM787), N($AK$23:$AK$46&gt;$AI787))
) / 1000</f>
        <v>0</v>
      </c>
      <c r="CP787" s="237">
        <f t="shared" si="735"/>
        <v>0</v>
      </c>
      <c r="CQ787" s="210"/>
    </row>
    <row r="788" spans="1:95" s="76" customFormat="1" ht="14.25" customHeight="1" x14ac:dyDescent="0.2">
      <c r="A788" s="238" t="b">
        <f t="shared" si="702"/>
        <v>0</v>
      </c>
      <c r="B788" s="239">
        <v>766</v>
      </c>
      <c r="C788" s="258"/>
      <c r="D788" s="258"/>
      <c r="E788" s="240"/>
      <c r="F788" s="241" t="str">
        <f>IF(ISBLANK(E788), "", VLOOKUP(E788, Z!$A$2:$C$4127, 3, FALSE))</f>
        <v/>
      </c>
      <c r="G788" s="242"/>
      <c r="H788" s="242"/>
      <c r="I788" s="243"/>
      <c r="J788" s="244"/>
      <c r="K788" s="259"/>
      <c r="L788" s="260"/>
      <c r="M788" s="247" t="str" cm="1">
        <f t="array" ref="M788">IF($K788&gt;0, INDEX(Clean,1+AG788,$C$1), "")</f>
        <v/>
      </c>
      <c r="N788" s="245"/>
      <c r="O788" s="245"/>
      <c r="P788" s="246"/>
      <c r="Q788" s="248">
        <f t="shared" si="712"/>
        <v>0</v>
      </c>
      <c r="R788" s="247" t="str" cm="1">
        <f t="array" ref="R788">IF($K788&gt;0, INDEX(Clean,1+AH788,$C$1), "")</f>
        <v/>
      </c>
      <c r="S788" s="245"/>
      <c r="T788" s="245"/>
      <c r="U788" s="246"/>
      <c r="V788" s="248">
        <f t="shared" si="713"/>
        <v>0</v>
      </c>
      <c r="W788" s="261"/>
      <c r="X788" s="258"/>
      <c r="Y788" s="240"/>
      <c r="Z788" s="241" t="str">
        <f>IF(ISBLANK(Y788), "", VLOOKUP(Y788, Z!$A$2:$C$4127, 3, FALSE))</f>
        <v/>
      </c>
      <c r="AA788" s="262"/>
      <c r="AB788" s="249">
        <f t="shared" si="711"/>
        <v>0</v>
      </c>
      <c r="AC788" s="210"/>
      <c r="AD788" s="236">
        <f t="shared" si="736"/>
        <v>1</v>
      </c>
      <c r="AE788" s="236">
        <f t="shared" si="737"/>
        <v>1</v>
      </c>
      <c r="AF788" s="236">
        <f t="shared" si="738"/>
        <v>0</v>
      </c>
      <c r="AG788" s="236">
        <v>1</v>
      </c>
      <c r="AH788" s="236">
        <v>0</v>
      </c>
      <c r="AI788" s="236">
        <f t="shared" si="714"/>
        <v>-100</v>
      </c>
      <c r="AJ788" s="210"/>
      <c r="AK788" s="254"/>
      <c r="AL788" s="254"/>
      <c r="AM788" s="255"/>
      <c r="AN788" s="255"/>
      <c r="AO788" s="255"/>
      <c r="AP788" s="255"/>
      <c r="AQ788" s="255"/>
      <c r="AR788" s="255"/>
      <c r="AS788" s="255"/>
      <c r="AT788" s="255"/>
      <c r="AU788" s="255"/>
      <c r="AV788" s="255"/>
      <c r="AW788" s="255"/>
      <c r="AX788" s="210"/>
      <c r="AY788" s="236" cm="1">
        <f t="array" ref="AY788">INDEX(Use, $AD788, 4)</f>
        <v>7</v>
      </c>
      <c r="AZ788" s="236">
        <f t="shared" si="715"/>
        <v>32</v>
      </c>
      <c r="BA788" s="236">
        <f t="shared" si="703"/>
        <v>13</v>
      </c>
      <c r="BB788" s="236">
        <f t="shared" si="704"/>
        <v>0</v>
      </c>
      <c r="BC788" s="252" cm="1">
        <f t="array" ref="BC788">K788/IF($L788&gt;0, INDEX($AO$23:$AU$77, $L788+20, $AD788), 1)</f>
        <v>0</v>
      </c>
      <c r="BD788" s="237">
        <f t="shared" si="716"/>
        <v>0</v>
      </c>
      <c r="BE788" s="236">
        <v>35</v>
      </c>
      <c r="BF788" s="237">
        <f t="shared" si="717"/>
        <v>52.55</v>
      </c>
      <c r="BG788" s="253">
        <f t="shared" si="718"/>
        <v>2.7676728869374316</v>
      </c>
      <c r="BH788" s="253" cm="1">
        <f t="array" ref="BH788">$BC788 * SUMPRODUCT(INDEX($AL$77:$AN$82,,$AE788),INDEX($AO$77:$AU$82,,$AD788), N($AK$77:$AK$82&gt;$AI788)) / BG788 / 1000</f>
        <v>0</v>
      </c>
      <c r="BI788" s="250">
        <f t="shared" si="705"/>
        <v>30</v>
      </c>
      <c r="BJ788" s="237">
        <f t="shared" si="719"/>
        <v>46.033333333333331</v>
      </c>
      <c r="BK788" s="253">
        <f t="shared" si="720"/>
        <v>3.2297395388556791</v>
      </c>
      <c r="BL788" s="253" cm="1">
        <f t="array" ref="BL788">$BC788 * IF($AD788&lt;=2,
SUMPRODUCT(INDEX($AL$72:$AN$76,,$AE788), INDEX($AO$72:$AU$76,,$AD788), 1 / ($AV$72:$AV$76*BK788 + (1-$AV$72:$AV$76)*BG788), N($AK$72:$AK$76&gt;$AI788)),
SUMPRODUCT(INDEX($AL$67:$AN$76,,$AE788), INDEX($AO$67:$AU$76,,$AD788), 1 / ($AW$67:$AW$76*BK788 + (1-$AW$67:$AW$76)*BG788), N($AK$67:$AK$76&gt;$AI788))
) / 1000</f>
        <v>0</v>
      </c>
      <c r="BM788" s="250">
        <f t="shared" si="706"/>
        <v>25</v>
      </c>
      <c r="BN788" s="237">
        <f t="shared" si="721"/>
        <v>39.516666666666666</v>
      </c>
      <c r="BO788" s="253">
        <f t="shared" si="722"/>
        <v>3.877011788826243</v>
      </c>
      <c r="BP788" s="253" cm="1">
        <f t="array" ref="BP788">$BC788 * IF($AD788&lt;=2,
SUMPRODUCT(INDEX($AL$67:$AN$71,,$AE788), INDEX($AO$67:$AU$71,,$AD788), 1 / ($AV$67:$AV$71*BO788 + (1-$AV$67:$AV$71)*BK788), N($AK$67:$AK$71&gt;$AI788)),
SUMPRODUCT(INDEX($AL$57:$AN$66,,$AE788), INDEX($AO$57:$AU$66,,$AD788), 1 / ($AW$57:$AW$66*BO788 + (1-$AW$57:$AW$66)*BK788), N($AK$57:$AK$66&gt;$AI788))
) / 1000</f>
        <v>0</v>
      </c>
      <c r="BQ788" s="250">
        <f t="shared" si="707"/>
        <v>20</v>
      </c>
      <c r="BR788" s="237">
        <f t="shared" si="723"/>
        <v>33</v>
      </c>
      <c r="BS788" s="253">
        <f t="shared" si="724"/>
        <v>4.8487499999999999</v>
      </c>
      <c r="BT788" s="253" cm="1">
        <f t="array" ref="BT788">$BC788 * IF($AD788&lt;=2,
SUMPRODUCT(INDEX($AL$62:$AN$66,,$AE788), INDEX($AO$62:$AU$66,,$AD788), 1 / ($AV$62:$AV$66*BS788 + (1-$AV$62:$AV$66)*BO788), N($AK$62:$AK$66&gt;$AI788)),
SUMPRODUCT(INDEX($AL$47:$AN$56,,$AE788), INDEX($AO$47:$AU$56,,$AD788), 1 / ($AW$47:$AW$56*BS788 + (1-$AW$47:$AW$56)*BO788), N($AK$47:$AK$56&gt;$AI788))
) / 1000</f>
        <v>0</v>
      </c>
      <c r="BU788" s="253" cm="1">
        <f t="array" ref="BU788">$BC788 * IF($AD788&lt;=2,
SUMPRODUCT(INDEX($AL$23:$AN$61,,$AE788), INDEX($AO$23:$AU$61,,$AD788), 1 / ($AV$23:$AV$61*BS788), N($AK$23:$AK$61&gt;$AI788)),
SUMPRODUCT(INDEX($AL$23:$AN$46,,$AE788), INDEX($AO$23:$AU$46,,$AD788), 1 / ($AW$23:$AW$46*BS788), N($AK$23:$AK$46&gt;$AI788))
) / 1000</f>
        <v>0</v>
      </c>
      <c r="BV788" s="237">
        <f t="shared" si="725"/>
        <v>0</v>
      </c>
      <c r="BW788" s="210"/>
      <c r="BX788" s="237">
        <f t="shared" si="726"/>
        <v>0</v>
      </c>
      <c r="BY788" s="236">
        <v>35</v>
      </c>
      <c r="BZ788" s="237">
        <f t="shared" si="727"/>
        <v>48</v>
      </c>
      <c r="CA788" s="253">
        <f t="shared" si="728"/>
        <v>3.0748170731707316</v>
      </c>
      <c r="CB788" s="253" cm="1">
        <f t="array" ref="CB788">$BC788 * SUMPRODUCT(INDEX($AL$77:$AN$82,,$AE788),INDEX($AO$77:$AU$82,,$AD788), N($AK$77:$AK$82&gt;$AI788)) / CA788 / 1000</f>
        <v>0</v>
      </c>
      <c r="CC788" s="250">
        <f t="shared" si="708"/>
        <v>30</v>
      </c>
      <c r="CD788" s="237">
        <f t="shared" si="729"/>
        <v>43</v>
      </c>
      <c r="CE788" s="253">
        <f t="shared" si="730"/>
        <v>3.5018750000000001</v>
      </c>
      <c r="CF788" s="253" cm="1">
        <f t="array" ref="CF788">$BC788 * IF($AD788&lt;=2,
SUMPRODUCT(INDEX($AL$72:$AN$76,,$AE788), INDEX($AO$72:$AU$76,,$AD788), 1 / ($AV$72:$AV$76*CE788 + (1-$AV$72:$AV$76)*CA788), N($AK$72:$AK$76&gt;$AI788)),
SUMPRODUCT(INDEX($AL$67:$AN$76,,$AE788), INDEX($AO$67:$AU$76,,$AD788), 1 / ($AW$67:$AW$76*CE788 + (1-$AW$67:$AW$76)*CA788), N($AK$67:$AK$76&gt;$AI788))
) / 1000</f>
        <v>0</v>
      </c>
      <c r="CG788" s="250">
        <f t="shared" si="709"/>
        <v>25</v>
      </c>
      <c r="CH788" s="237">
        <f t="shared" si="731"/>
        <v>38</v>
      </c>
      <c r="CI788" s="253">
        <f t="shared" si="732"/>
        <v>4.0666935483870965</v>
      </c>
      <c r="CJ788" s="253" cm="1">
        <f t="array" ref="CJ788">$BC788 * IF($AD788&lt;=2,
SUMPRODUCT(INDEX($AL$67:$AN$71,,$AE788), INDEX($AO$67:$AU$71,,$AD788), 1 / ($AV$67:$AV$71*CI788 + (1-$AV$67:$AV$71)*CE788), N($AK$67:$AK$71&gt;$AI788)),
SUMPRODUCT(INDEX($AL$57:$AN$66,,$AE788), INDEX($AO$57:$AU$66,,$AD788), 1 / ($AW$57:$AW$66*CI788 + (1-$AW$57:$AW$66)*CE788), N($AK$57:$AK$66&gt;$AI788))
) / 1000</f>
        <v>0</v>
      </c>
      <c r="CK788" s="250">
        <f t="shared" si="710"/>
        <v>20</v>
      </c>
      <c r="CL788" s="237">
        <f t="shared" si="733"/>
        <v>33</v>
      </c>
      <c r="CM788" s="253">
        <f t="shared" si="734"/>
        <v>4.8487499999999999</v>
      </c>
      <c r="CN788" s="253" cm="1">
        <f t="array" ref="CN788">$BC788 * IF($AD788&lt;=2,
SUMPRODUCT(INDEX($AL$62:$AN$66,,$AE788), INDEX($AO$62:$AU$66,,$AD788), 1 / ($AV$62:$AV$66*CM788 + (1-$AV$62:$AV$66)*CI788), N($AK$62:$AK$66&gt;$AI788)),
SUMPRODUCT(INDEX($AL$47:$AN$56,,$AE788), INDEX($AO$47:$AU$56,,$AD788), 1 / ($AW$47:$AW$56*CM788 + (1-$AW$47:$AW$56)*CI788), N($AK$47:$AK$56&gt;$AI788))
) / 1000</f>
        <v>0</v>
      </c>
      <c r="CO788" s="253" cm="1">
        <f t="array" ref="CO788">$BC788 * IF($AD788&lt;=2,
SUMPRODUCT(INDEX($AL$23:$AN$61,,$AE788), INDEX($AO$23:$AU$61,,$AD788), 1 / ($AV$23:$AV$61*CM788), N($AK$23:$AK$61&gt;$AI788)),
SUMPRODUCT(INDEX($AL$23:$AN$46,,$AE788), INDEX($AO$23:$AU$46,,$AD788), 1 / ($AW$23:$AW$46*CM788), N($AK$23:$AK$46&gt;$AI788))
) / 1000</f>
        <v>0</v>
      </c>
      <c r="CP788" s="237">
        <f t="shared" si="735"/>
        <v>0</v>
      </c>
      <c r="CQ788" s="210"/>
    </row>
    <row r="789" spans="1:95" s="76" customFormat="1" ht="14.25" customHeight="1" x14ac:dyDescent="0.2">
      <c r="A789" s="238" t="b">
        <f t="shared" si="702"/>
        <v>0</v>
      </c>
      <c r="B789" s="239">
        <v>767</v>
      </c>
      <c r="C789" s="258"/>
      <c r="D789" s="258"/>
      <c r="E789" s="240"/>
      <c r="F789" s="241" t="str">
        <f>IF(ISBLANK(E789), "", VLOOKUP(E789, Z!$A$2:$C$4127, 3, FALSE))</f>
        <v/>
      </c>
      <c r="G789" s="242"/>
      <c r="H789" s="242"/>
      <c r="I789" s="243"/>
      <c r="J789" s="244"/>
      <c r="K789" s="259"/>
      <c r="L789" s="260"/>
      <c r="M789" s="247" t="str" cm="1">
        <f t="array" ref="M789">IF($K789&gt;0, INDEX(Clean,1+AG789,$C$1), "")</f>
        <v/>
      </c>
      <c r="N789" s="245"/>
      <c r="O789" s="245"/>
      <c r="P789" s="246"/>
      <c r="Q789" s="248">
        <f t="shared" si="712"/>
        <v>0</v>
      </c>
      <c r="R789" s="247" t="str" cm="1">
        <f t="array" ref="R789">IF($K789&gt;0, INDEX(Clean,1+AH789,$C$1), "")</f>
        <v/>
      </c>
      <c r="S789" s="245"/>
      <c r="T789" s="245"/>
      <c r="U789" s="246"/>
      <c r="V789" s="248">
        <f t="shared" si="713"/>
        <v>0</v>
      </c>
      <c r="W789" s="261"/>
      <c r="X789" s="258"/>
      <c r="Y789" s="240"/>
      <c r="Z789" s="241" t="str">
        <f>IF(ISBLANK(Y789), "", VLOOKUP(Y789, Z!$A$2:$C$4127, 3, FALSE))</f>
        <v/>
      </c>
      <c r="AA789" s="262"/>
      <c r="AB789" s="249">
        <f t="shared" si="711"/>
        <v>0</v>
      </c>
      <c r="AC789" s="210"/>
      <c r="AD789" s="236">
        <f t="shared" si="736"/>
        <v>1</v>
      </c>
      <c r="AE789" s="236">
        <f t="shared" si="737"/>
        <v>1</v>
      </c>
      <c r="AF789" s="236">
        <f t="shared" si="738"/>
        <v>0</v>
      </c>
      <c r="AG789" s="236">
        <v>1</v>
      </c>
      <c r="AH789" s="236">
        <v>0</v>
      </c>
      <c r="AI789" s="236">
        <f t="shared" si="714"/>
        <v>-100</v>
      </c>
      <c r="AJ789" s="210"/>
      <c r="AK789" s="254"/>
      <c r="AL789" s="254"/>
      <c r="AM789" s="255"/>
      <c r="AN789" s="255"/>
      <c r="AO789" s="255"/>
      <c r="AP789" s="255"/>
      <c r="AQ789" s="255"/>
      <c r="AR789" s="255"/>
      <c r="AS789" s="255"/>
      <c r="AT789" s="255"/>
      <c r="AU789" s="255"/>
      <c r="AV789" s="255"/>
      <c r="AW789" s="255"/>
      <c r="AX789" s="210"/>
      <c r="AY789" s="236" cm="1">
        <f t="array" ref="AY789">INDEX(Use, $AD789, 4)</f>
        <v>7</v>
      </c>
      <c r="AZ789" s="236">
        <f t="shared" si="715"/>
        <v>32</v>
      </c>
      <c r="BA789" s="236">
        <f t="shared" si="703"/>
        <v>13</v>
      </c>
      <c r="BB789" s="236">
        <f t="shared" si="704"/>
        <v>0</v>
      </c>
      <c r="BC789" s="252" cm="1">
        <f t="array" ref="BC789">K789/IF($L789&gt;0, INDEX($AO$23:$AU$77, $L789+20, $AD789), 1)</f>
        <v>0</v>
      </c>
      <c r="BD789" s="237">
        <f t="shared" si="716"/>
        <v>0</v>
      </c>
      <c r="BE789" s="236">
        <v>35</v>
      </c>
      <c r="BF789" s="237">
        <f t="shared" si="717"/>
        <v>52.55</v>
      </c>
      <c r="BG789" s="253">
        <f t="shared" si="718"/>
        <v>2.7676728869374316</v>
      </c>
      <c r="BH789" s="253" cm="1">
        <f t="array" ref="BH789">$BC789 * SUMPRODUCT(INDEX($AL$77:$AN$82,,$AE789),INDEX($AO$77:$AU$82,,$AD789), N($AK$77:$AK$82&gt;$AI789)) / BG789 / 1000</f>
        <v>0</v>
      </c>
      <c r="BI789" s="250">
        <f t="shared" si="705"/>
        <v>30</v>
      </c>
      <c r="BJ789" s="237">
        <f t="shared" si="719"/>
        <v>46.033333333333331</v>
      </c>
      <c r="BK789" s="253">
        <f t="shared" si="720"/>
        <v>3.2297395388556791</v>
      </c>
      <c r="BL789" s="253" cm="1">
        <f t="array" ref="BL789">$BC789 * IF($AD789&lt;=2,
SUMPRODUCT(INDEX($AL$72:$AN$76,,$AE789), INDEX($AO$72:$AU$76,,$AD789), 1 / ($AV$72:$AV$76*BK789 + (1-$AV$72:$AV$76)*BG789), N($AK$72:$AK$76&gt;$AI789)),
SUMPRODUCT(INDEX($AL$67:$AN$76,,$AE789), INDEX($AO$67:$AU$76,,$AD789), 1 / ($AW$67:$AW$76*BK789 + (1-$AW$67:$AW$76)*BG789), N($AK$67:$AK$76&gt;$AI789))
) / 1000</f>
        <v>0</v>
      </c>
      <c r="BM789" s="250">
        <f t="shared" si="706"/>
        <v>25</v>
      </c>
      <c r="BN789" s="237">
        <f t="shared" si="721"/>
        <v>39.516666666666666</v>
      </c>
      <c r="BO789" s="253">
        <f t="shared" si="722"/>
        <v>3.877011788826243</v>
      </c>
      <c r="BP789" s="253" cm="1">
        <f t="array" ref="BP789">$BC789 * IF($AD789&lt;=2,
SUMPRODUCT(INDEX($AL$67:$AN$71,,$AE789), INDEX($AO$67:$AU$71,,$AD789), 1 / ($AV$67:$AV$71*BO789 + (1-$AV$67:$AV$71)*BK789), N($AK$67:$AK$71&gt;$AI789)),
SUMPRODUCT(INDEX($AL$57:$AN$66,,$AE789), INDEX($AO$57:$AU$66,,$AD789), 1 / ($AW$57:$AW$66*BO789 + (1-$AW$57:$AW$66)*BK789), N($AK$57:$AK$66&gt;$AI789))
) / 1000</f>
        <v>0</v>
      </c>
      <c r="BQ789" s="250">
        <f t="shared" si="707"/>
        <v>20</v>
      </c>
      <c r="BR789" s="237">
        <f t="shared" si="723"/>
        <v>33</v>
      </c>
      <c r="BS789" s="253">
        <f t="shared" si="724"/>
        <v>4.8487499999999999</v>
      </c>
      <c r="BT789" s="253" cm="1">
        <f t="array" ref="BT789">$BC789 * IF($AD789&lt;=2,
SUMPRODUCT(INDEX($AL$62:$AN$66,,$AE789), INDEX($AO$62:$AU$66,,$AD789), 1 / ($AV$62:$AV$66*BS789 + (1-$AV$62:$AV$66)*BO789), N($AK$62:$AK$66&gt;$AI789)),
SUMPRODUCT(INDEX($AL$47:$AN$56,,$AE789), INDEX($AO$47:$AU$56,,$AD789), 1 / ($AW$47:$AW$56*BS789 + (1-$AW$47:$AW$56)*BO789), N($AK$47:$AK$56&gt;$AI789))
) / 1000</f>
        <v>0</v>
      </c>
      <c r="BU789" s="253" cm="1">
        <f t="array" ref="BU789">$BC789 * IF($AD789&lt;=2,
SUMPRODUCT(INDEX($AL$23:$AN$61,,$AE789), INDEX($AO$23:$AU$61,,$AD789), 1 / ($AV$23:$AV$61*BS789), N($AK$23:$AK$61&gt;$AI789)),
SUMPRODUCT(INDEX($AL$23:$AN$46,,$AE789), INDEX($AO$23:$AU$46,,$AD789), 1 / ($AW$23:$AW$46*BS789), N($AK$23:$AK$46&gt;$AI789))
) / 1000</f>
        <v>0</v>
      </c>
      <c r="BV789" s="237">
        <f t="shared" si="725"/>
        <v>0</v>
      </c>
      <c r="BW789" s="210"/>
      <c r="BX789" s="237">
        <f t="shared" si="726"/>
        <v>0</v>
      </c>
      <c r="BY789" s="236">
        <v>35</v>
      </c>
      <c r="BZ789" s="237">
        <f t="shared" si="727"/>
        <v>48</v>
      </c>
      <c r="CA789" s="253">
        <f t="shared" si="728"/>
        <v>3.0748170731707316</v>
      </c>
      <c r="CB789" s="253" cm="1">
        <f t="array" ref="CB789">$BC789 * SUMPRODUCT(INDEX($AL$77:$AN$82,,$AE789),INDEX($AO$77:$AU$82,,$AD789), N($AK$77:$AK$82&gt;$AI789)) / CA789 / 1000</f>
        <v>0</v>
      </c>
      <c r="CC789" s="250">
        <f t="shared" si="708"/>
        <v>30</v>
      </c>
      <c r="CD789" s="237">
        <f t="shared" si="729"/>
        <v>43</v>
      </c>
      <c r="CE789" s="253">
        <f t="shared" si="730"/>
        <v>3.5018750000000001</v>
      </c>
      <c r="CF789" s="253" cm="1">
        <f t="array" ref="CF789">$BC789 * IF($AD789&lt;=2,
SUMPRODUCT(INDEX($AL$72:$AN$76,,$AE789), INDEX($AO$72:$AU$76,,$AD789), 1 / ($AV$72:$AV$76*CE789 + (1-$AV$72:$AV$76)*CA789), N($AK$72:$AK$76&gt;$AI789)),
SUMPRODUCT(INDEX($AL$67:$AN$76,,$AE789), INDEX($AO$67:$AU$76,,$AD789), 1 / ($AW$67:$AW$76*CE789 + (1-$AW$67:$AW$76)*CA789), N($AK$67:$AK$76&gt;$AI789))
) / 1000</f>
        <v>0</v>
      </c>
      <c r="CG789" s="250">
        <f t="shared" si="709"/>
        <v>25</v>
      </c>
      <c r="CH789" s="237">
        <f t="shared" si="731"/>
        <v>38</v>
      </c>
      <c r="CI789" s="253">
        <f t="shared" si="732"/>
        <v>4.0666935483870965</v>
      </c>
      <c r="CJ789" s="253" cm="1">
        <f t="array" ref="CJ789">$BC789 * IF($AD789&lt;=2,
SUMPRODUCT(INDEX($AL$67:$AN$71,,$AE789), INDEX($AO$67:$AU$71,,$AD789), 1 / ($AV$67:$AV$71*CI789 + (1-$AV$67:$AV$71)*CE789), N($AK$67:$AK$71&gt;$AI789)),
SUMPRODUCT(INDEX($AL$57:$AN$66,,$AE789), INDEX($AO$57:$AU$66,,$AD789), 1 / ($AW$57:$AW$66*CI789 + (1-$AW$57:$AW$66)*CE789), N($AK$57:$AK$66&gt;$AI789))
) / 1000</f>
        <v>0</v>
      </c>
      <c r="CK789" s="250">
        <f t="shared" si="710"/>
        <v>20</v>
      </c>
      <c r="CL789" s="237">
        <f t="shared" si="733"/>
        <v>33</v>
      </c>
      <c r="CM789" s="253">
        <f t="shared" si="734"/>
        <v>4.8487499999999999</v>
      </c>
      <c r="CN789" s="253" cm="1">
        <f t="array" ref="CN789">$BC789 * IF($AD789&lt;=2,
SUMPRODUCT(INDEX($AL$62:$AN$66,,$AE789), INDEX($AO$62:$AU$66,,$AD789), 1 / ($AV$62:$AV$66*CM789 + (1-$AV$62:$AV$66)*CI789), N($AK$62:$AK$66&gt;$AI789)),
SUMPRODUCT(INDEX($AL$47:$AN$56,,$AE789), INDEX($AO$47:$AU$56,,$AD789), 1 / ($AW$47:$AW$56*CM789 + (1-$AW$47:$AW$56)*CI789), N($AK$47:$AK$56&gt;$AI789))
) / 1000</f>
        <v>0</v>
      </c>
      <c r="CO789" s="253" cm="1">
        <f t="array" ref="CO789">$BC789 * IF($AD789&lt;=2,
SUMPRODUCT(INDEX($AL$23:$AN$61,,$AE789), INDEX($AO$23:$AU$61,,$AD789), 1 / ($AV$23:$AV$61*CM789), N($AK$23:$AK$61&gt;$AI789)),
SUMPRODUCT(INDEX($AL$23:$AN$46,,$AE789), INDEX($AO$23:$AU$46,,$AD789), 1 / ($AW$23:$AW$46*CM789), N($AK$23:$AK$46&gt;$AI789))
) / 1000</f>
        <v>0</v>
      </c>
      <c r="CP789" s="237">
        <f t="shared" si="735"/>
        <v>0</v>
      </c>
      <c r="CQ789" s="210"/>
    </row>
    <row r="790" spans="1:95" s="76" customFormat="1" ht="14.25" customHeight="1" x14ac:dyDescent="0.2">
      <c r="A790" s="238" t="b">
        <f t="shared" ref="A790:A853" si="739">IF(OR(AND($K790&gt;80, $AD790=1), AND($K790&gt;40, $AD790=3), AND($K790&gt;30, $AD790=4),), TRUE, FALSE)</f>
        <v>0</v>
      </c>
      <c r="B790" s="239">
        <v>768</v>
      </c>
      <c r="C790" s="258"/>
      <c r="D790" s="258"/>
      <c r="E790" s="240"/>
      <c r="F790" s="241" t="str">
        <f>IF(ISBLANK(E790), "", VLOOKUP(E790, Z!$A$2:$C$4127, 3, FALSE))</f>
        <v/>
      </c>
      <c r="G790" s="242"/>
      <c r="H790" s="242"/>
      <c r="I790" s="243"/>
      <c r="J790" s="244"/>
      <c r="K790" s="259"/>
      <c r="L790" s="260"/>
      <c r="M790" s="247" t="str" cm="1">
        <f t="array" ref="M790">IF($K790&gt;0, INDEX(Clean,1+AG790,$C$1), "")</f>
        <v/>
      </c>
      <c r="N790" s="245"/>
      <c r="O790" s="245"/>
      <c r="P790" s="246"/>
      <c r="Q790" s="248">
        <f t="shared" si="712"/>
        <v>0</v>
      </c>
      <c r="R790" s="247" t="str" cm="1">
        <f t="array" ref="R790">IF($K790&gt;0, INDEX(Clean,1+AH790,$C$1), "")</f>
        <v/>
      </c>
      <c r="S790" s="245"/>
      <c r="T790" s="245"/>
      <c r="U790" s="246"/>
      <c r="V790" s="248">
        <f t="shared" si="713"/>
        <v>0</v>
      </c>
      <c r="W790" s="261"/>
      <c r="X790" s="258"/>
      <c r="Y790" s="240"/>
      <c r="Z790" s="241" t="str">
        <f>IF(ISBLANK(Y790), "", VLOOKUP(Y790, Z!$A$2:$C$4127, 3, FALSE))</f>
        <v/>
      </c>
      <c r="AA790" s="262"/>
      <c r="AB790" s="249">
        <f t="shared" si="711"/>
        <v>0</v>
      </c>
      <c r="AC790" s="210"/>
      <c r="AD790" s="236">
        <f t="shared" si="736"/>
        <v>1</v>
      </c>
      <c r="AE790" s="236">
        <f t="shared" si="737"/>
        <v>1</v>
      </c>
      <c r="AF790" s="236">
        <f t="shared" si="738"/>
        <v>0</v>
      </c>
      <c r="AG790" s="236">
        <v>1</v>
      </c>
      <c r="AH790" s="236">
        <v>0</v>
      </c>
      <c r="AI790" s="236">
        <f t="shared" si="714"/>
        <v>-100</v>
      </c>
      <c r="AJ790" s="210"/>
      <c r="AK790" s="254"/>
      <c r="AL790" s="254"/>
      <c r="AM790" s="255"/>
      <c r="AN790" s="255"/>
      <c r="AO790" s="255"/>
      <c r="AP790" s="255"/>
      <c r="AQ790" s="255"/>
      <c r="AR790" s="255"/>
      <c r="AS790" s="255"/>
      <c r="AT790" s="255"/>
      <c r="AU790" s="255"/>
      <c r="AV790" s="255"/>
      <c r="AW790" s="255"/>
      <c r="AX790" s="210"/>
      <c r="AY790" s="236" cm="1">
        <f t="array" ref="AY790">INDEX(Use, $AD790, 4)</f>
        <v>7</v>
      </c>
      <c r="AZ790" s="236">
        <f t="shared" si="715"/>
        <v>32</v>
      </c>
      <c r="BA790" s="236">
        <f t="shared" si="703"/>
        <v>13</v>
      </c>
      <c r="BB790" s="236">
        <f t="shared" si="704"/>
        <v>0</v>
      </c>
      <c r="BC790" s="252" cm="1">
        <f t="array" ref="BC790">K790/IF($L790&gt;0, INDEX($AO$23:$AU$77, $L790+20, $AD790), 1)</f>
        <v>0</v>
      </c>
      <c r="BD790" s="237">
        <f t="shared" si="716"/>
        <v>0</v>
      </c>
      <c r="BE790" s="236">
        <v>35</v>
      </c>
      <c r="BF790" s="237">
        <f t="shared" si="717"/>
        <v>52.55</v>
      </c>
      <c r="BG790" s="253">
        <f t="shared" si="718"/>
        <v>2.7676728869374316</v>
      </c>
      <c r="BH790" s="253" cm="1">
        <f t="array" ref="BH790">$BC790 * SUMPRODUCT(INDEX($AL$77:$AN$82,,$AE790),INDEX($AO$77:$AU$82,,$AD790), N($AK$77:$AK$82&gt;$AI790)) / BG790 / 1000</f>
        <v>0</v>
      </c>
      <c r="BI790" s="250">
        <f t="shared" si="705"/>
        <v>30</v>
      </c>
      <c r="BJ790" s="237">
        <f t="shared" si="719"/>
        <v>46.033333333333331</v>
      </c>
      <c r="BK790" s="253">
        <f t="shared" si="720"/>
        <v>3.2297395388556791</v>
      </c>
      <c r="BL790" s="253" cm="1">
        <f t="array" ref="BL790">$BC790 * IF($AD790&lt;=2,
SUMPRODUCT(INDEX($AL$72:$AN$76,,$AE790), INDEX($AO$72:$AU$76,,$AD790), 1 / ($AV$72:$AV$76*BK790 + (1-$AV$72:$AV$76)*BG790), N($AK$72:$AK$76&gt;$AI790)),
SUMPRODUCT(INDEX($AL$67:$AN$76,,$AE790), INDEX($AO$67:$AU$76,,$AD790), 1 / ($AW$67:$AW$76*BK790 + (1-$AW$67:$AW$76)*BG790), N($AK$67:$AK$76&gt;$AI790))
) / 1000</f>
        <v>0</v>
      </c>
      <c r="BM790" s="250">
        <f t="shared" si="706"/>
        <v>25</v>
      </c>
      <c r="BN790" s="237">
        <f t="shared" si="721"/>
        <v>39.516666666666666</v>
      </c>
      <c r="BO790" s="253">
        <f t="shared" si="722"/>
        <v>3.877011788826243</v>
      </c>
      <c r="BP790" s="253" cm="1">
        <f t="array" ref="BP790">$BC790 * IF($AD790&lt;=2,
SUMPRODUCT(INDEX($AL$67:$AN$71,,$AE790), INDEX($AO$67:$AU$71,,$AD790), 1 / ($AV$67:$AV$71*BO790 + (1-$AV$67:$AV$71)*BK790), N($AK$67:$AK$71&gt;$AI790)),
SUMPRODUCT(INDEX($AL$57:$AN$66,,$AE790), INDEX($AO$57:$AU$66,,$AD790), 1 / ($AW$57:$AW$66*BO790 + (1-$AW$57:$AW$66)*BK790), N($AK$57:$AK$66&gt;$AI790))
) / 1000</f>
        <v>0</v>
      </c>
      <c r="BQ790" s="250">
        <f t="shared" si="707"/>
        <v>20</v>
      </c>
      <c r="BR790" s="237">
        <f t="shared" si="723"/>
        <v>33</v>
      </c>
      <c r="BS790" s="253">
        <f t="shared" si="724"/>
        <v>4.8487499999999999</v>
      </c>
      <c r="BT790" s="253" cm="1">
        <f t="array" ref="BT790">$BC790 * IF($AD790&lt;=2,
SUMPRODUCT(INDEX($AL$62:$AN$66,,$AE790), INDEX($AO$62:$AU$66,,$AD790), 1 / ($AV$62:$AV$66*BS790 + (1-$AV$62:$AV$66)*BO790), N($AK$62:$AK$66&gt;$AI790)),
SUMPRODUCT(INDEX($AL$47:$AN$56,,$AE790), INDEX($AO$47:$AU$56,,$AD790), 1 / ($AW$47:$AW$56*BS790 + (1-$AW$47:$AW$56)*BO790), N($AK$47:$AK$56&gt;$AI790))
) / 1000</f>
        <v>0</v>
      </c>
      <c r="BU790" s="253" cm="1">
        <f t="array" ref="BU790">$BC790 * IF($AD790&lt;=2,
SUMPRODUCT(INDEX($AL$23:$AN$61,,$AE790), INDEX($AO$23:$AU$61,,$AD790), 1 / ($AV$23:$AV$61*BS790), N($AK$23:$AK$61&gt;$AI790)),
SUMPRODUCT(INDEX($AL$23:$AN$46,,$AE790), INDEX($AO$23:$AU$46,,$AD790), 1 / ($AW$23:$AW$46*BS790), N($AK$23:$AK$46&gt;$AI790))
) / 1000</f>
        <v>0</v>
      </c>
      <c r="BV790" s="237">
        <f t="shared" si="725"/>
        <v>0</v>
      </c>
      <c r="BW790" s="210"/>
      <c r="BX790" s="237">
        <f t="shared" si="726"/>
        <v>0</v>
      </c>
      <c r="BY790" s="236">
        <v>35</v>
      </c>
      <c r="BZ790" s="237">
        <f t="shared" si="727"/>
        <v>48</v>
      </c>
      <c r="CA790" s="253">
        <f t="shared" si="728"/>
        <v>3.0748170731707316</v>
      </c>
      <c r="CB790" s="253" cm="1">
        <f t="array" ref="CB790">$BC790 * SUMPRODUCT(INDEX($AL$77:$AN$82,,$AE790),INDEX($AO$77:$AU$82,,$AD790), N($AK$77:$AK$82&gt;$AI790)) / CA790 / 1000</f>
        <v>0</v>
      </c>
      <c r="CC790" s="250">
        <f t="shared" si="708"/>
        <v>30</v>
      </c>
      <c r="CD790" s="237">
        <f t="shared" si="729"/>
        <v>43</v>
      </c>
      <c r="CE790" s="253">
        <f t="shared" si="730"/>
        <v>3.5018750000000001</v>
      </c>
      <c r="CF790" s="253" cm="1">
        <f t="array" ref="CF790">$BC790 * IF($AD790&lt;=2,
SUMPRODUCT(INDEX($AL$72:$AN$76,,$AE790), INDEX($AO$72:$AU$76,,$AD790), 1 / ($AV$72:$AV$76*CE790 + (1-$AV$72:$AV$76)*CA790), N($AK$72:$AK$76&gt;$AI790)),
SUMPRODUCT(INDEX($AL$67:$AN$76,,$AE790), INDEX($AO$67:$AU$76,,$AD790), 1 / ($AW$67:$AW$76*CE790 + (1-$AW$67:$AW$76)*CA790), N($AK$67:$AK$76&gt;$AI790))
) / 1000</f>
        <v>0</v>
      </c>
      <c r="CG790" s="250">
        <f t="shared" si="709"/>
        <v>25</v>
      </c>
      <c r="CH790" s="237">
        <f t="shared" si="731"/>
        <v>38</v>
      </c>
      <c r="CI790" s="253">
        <f t="shared" si="732"/>
        <v>4.0666935483870965</v>
      </c>
      <c r="CJ790" s="253" cm="1">
        <f t="array" ref="CJ790">$BC790 * IF($AD790&lt;=2,
SUMPRODUCT(INDEX($AL$67:$AN$71,,$AE790), INDEX($AO$67:$AU$71,,$AD790), 1 / ($AV$67:$AV$71*CI790 + (1-$AV$67:$AV$71)*CE790), N($AK$67:$AK$71&gt;$AI790)),
SUMPRODUCT(INDEX($AL$57:$AN$66,,$AE790), INDEX($AO$57:$AU$66,,$AD790), 1 / ($AW$57:$AW$66*CI790 + (1-$AW$57:$AW$66)*CE790), N($AK$57:$AK$66&gt;$AI790))
) / 1000</f>
        <v>0</v>
      </c>
      <c r="CK790" s="250">
        <f t="shared" si="710"/>
        <v>20</v>
      </c>
      <c r="CL790" s="237">
        <f t="shared" si="733"/>
        <v>33</v>
      </c>
      <c r="CM790" s="253">
        <f t="shared" si="734"/>
        <v>4.8487499999999999</v>
      </c>
      <c r="CN790" s="253" cm="1">
        <f t="array" ref="CN790">$BC790 * IF($AD790&lt;=2,
SUMPRODUCT(INDEX($AL$62:$AN$66,,$AE790), INDEX($AO$62:$AU$66,,$AD790), 1 / ($AV$62:$AV$66*CM790 + (1-$AV$62:$AV$66)*CI790), N($AK$62:$AK$66&gt;$AI790)),
SUMPRODUCT(INDEX($AL$47:$AN$56,,$AE790), INDEX($AO$47:$AU$56,,$AD790), 1 / ($AW$47:$AW$56*CM790 + (1-$AW$47:$AW$56)*CI790), N($AK$47:$AK$56&gt;$AI790))
) / 1000</f>
        <v>0</v>
      </c>
      <c r="CO790" s="253" cm="1">
        <f t="array" ref="CO790">$BC790 * IF($AD790&lt;=2,
SUMPRODUCT(INDEX($AL$23:$AN$61,,$AE790), INDEX($AO$23:$AU$61,,$AD790), 1 / ($AV$23:$AV$61*CM790), N($AK$23:$AK$61&gt;$AI790)),
SUMPRODUCT(INDEX($AL$23:$AN$46,,$AE790), INDEX($AO$23:$AU$46,,$AD790), 1 / ($AW$23:$AW$46*CM790), N($AK$23:$AK$46&gt;$AI790))
) / 1000</f>
        <v>0</v>
      </c>
      <c r="CP790" s="237">
        <f t="shared" si="735"/>
        <v>0</v>
      </c>
      <c r="CQ790" s="210"/>
    </row>
    <row r="791" spans="1:95" s="76" customFormat="1" ht="14.25" customHeight="1" x14ac:dyDescent="0.2">
      <c r="A791" s="238" t="b">
        <f t="shared" si="739"/>
        <v>0</v>
      </c>
      <c r="B791" s="239">
        <v>769</v>
      </c>
      <c r="C791" s="258"/>
      <c r="D791" s="258"/>
      <c r="E791" s="240"/>
      <c r="F791" s="241" t="str">
        <f>IF(ISBLANK(E791), "", VLOOKUP(E791, Z!$A$2:$C$4127, 3, FALSE))</f>
        <v/>
      </c>
      <c r="G791" s="242"/>
      <c r="H791" s="242"/>
      <c r="I791" s="243"/>
      <c r="J791" s="244"/>
      <c r="K791" s="259"/>
      <c r="L791" s="260"/>
      <c r="M791" s="247" t="str" cm="1">
        <f t="array" ref="M791">IF($K791&gt;0, INDEX(Clean,1+AG791,$C$1), "")</f>
        <v/>
      </c>
      <c r="N791" s="245"/>
      <c r="O791" s="245"/>
      <c r="P791" s="246"/>
      <c r="Q791" s="248">
        <f t="shared" si="712"/>
        <v>0</v>
      </c>
      <c r="R791" s="247" t="str" cm="1">
        <f t="array" ref="R791">IF($K791&gt;0, INDEX(Clean,1+AH791,$C$1), "")</f>
        <v/>
      </c>
      <c r="S791" s="245"/>
      <c r="T791" s="245"/>
      <c r="U791" s="246"/>
      <c r="V791" s="248">
        <f t="shared" si="713"/>
        <v>0</v>
      </c>
      <c r="W791" s="261"/>
      <c r="X791" s="258"/>
      <c r="Y791" s="240"/>
      <c r="Z791" s="241" t="str">
        <f>IF(ISBLANK(Y791), "", VLOOKUP(Y791, Z!$A$2:$C$4127, 3, FALSE))</f>
        <v/>
      </c>
      <c r="AA791" s="262"/>
      <c r="AB791" s="249">
        <f t="shared" si="711"/>
        <v>0</v>
      </c>
      <c r="AC791" s="210"/>
      <c r="AD791" s="236">
        <f t="shared" si="736"/>
        <v>1</v>
      </c>
      <c r="AE791" s="236">
        <f t="shared" si="737"/>
        <v>1</v>
      </c>
      <c r="AF791" s="236">
        <f t="shared" si="738"/>
        <v>0</v>
      </c>
      <c r="AG791" s="236">
        <v>1</v>
      </c>
      <c r="AH791" s="236">
        <v>0</v>
      </c>
      <c r="AI791" s="236">
        <f t="shared" si="714"/>
        <v>-100</v>
      </c>
      <c r="AJ791" s="210"/>
      <c r="AK791" s="254"/>
      <c r="AL791" s="254"/>
      <c r="AM791" s="255"/>
      <c r="AN791" s="255"/>
      <c r="AO791" s="255"/>
      <c r="AP791" s="255"/>
      <c r="AQ791" s="255"/>
      <c r="AR791" s="255"/>
      <c r="AS791" s="255"/>
      <c r="AT791" s="255"/>
      <c r="AU791" s="255"/>
      <c r="AV791" s="255"/>
      <c r="AW791" s="255"/>
      <c r="AX791" s="210"/>
      <c r="AY791" s="236" cm="1">
        <f t="array" ref="AY791">INDEX(Use, $AD791, 4)</f>
        <v>7</v>
      </c>
      <c r="AZ791" s="236">
        <f t="shared" si="715"/>
        <v>32</v>
      </c>
      <c r="BA791" s="236">
        <f t="shared" ref="BA791:BA854" si="740">IF($AF791=1, 6, IF($AD791=4, 10, 13))</f>
        <v>13</v>
      </c>
      <c r="BB791" s="236">
        <f t="shared" ref="BB791:BB854" si="741">IF($AF791=1, 9, 0)</f>
        <v>0</v>
      </c>
      <c r="BC791" s="252" cm="1">
        <f t="array" ref="BC791">K791/IF($L791&gt;0, INDEX($AO$23:$AU$77, $L791+20, $AD791), 1)</f>
        <v>0</v>
      </c>
      <c r="BD791" s="237">
        <f t="shared" si="716"/>
        <v>0</v>
      </c>
      <c r="BE791" s="236">
        <v>35</v>
      </c>
      <c r="BF791" s="237">
        <f t="shared" si="717"/>
        <v>52.55</v>
      </c>
      <c r="BG791" s="253">
        <f t="shared" si="718"/>
        <v>2.7676728869374316</v>
      </c>
      <c r="BH791" s="253" cm="1">
        <f t="array" ref="BH791">$BC791 * SUMPRODUCT(INDEX($AL$77:$AN$82,,$AE791),INDEX($AO$77:$AU$82,,$AD791), N($AK$77:$AK$82&gt;$AI791)) / BG791 / 1000</f>
        <v>0</v>
      </c>
      <c r="BI791" s="250">
        <f t="shared" ref="BI791:BI854" si="742">IF($AD791&lt;=2, 30, 25)</f>
        <v>30</v>
      </c>
      <c r="BJ791" s="237">
        <f t="shared" si="719"/>
        <v>46.033333333333331</v>
      </c>
      <c r="BK791" s="253">
        <f t="shared" si="720"/>
        <v>3.2297395388556791</v>
      </c>
      <c r="BL791" s="253" cm="1">
        <f t="array" ref="BL791">$BC791 * IF($AD791&lt;=2,
SUMPRODUCT(INDEX($AL$72:$AN$76,,$AE791), INDEX($AO$72:$AU$76,,$AD791), 1 / ($AV$72:$AV$76*BK791 + (1-$AV$72:$AV$76)*BG791), N($AK$72:$AK$76&gt;$AI791)),
SUMPRODUCT(INDEX($AL$67:$AN$76,,$AE791), INDEX($AO$67:$AU$76,,$AD791), 1 / ($AW$67:$AW$76*BK791 + (1-$AW$67:$AW$76)*BG791), N($AK$67:$AK$76&gt;$AI791))
) / 1000</f>
        <v>0</v>
      </c>
      <c r="BM791" s="250">
        <f t="shared" ref="BM791:BM854" si="743">IF($AD791&lt;=2, 25, 15)</f>
        <v>25</v>
      </c>
      <c r="BN791" s="237">
        <f t="shared" si="721"/>
        <v>39.516666666666666</v>
      </c>
      <c r="BO791" s="253">
        <f t="shared" si="722"/>
        <v>3.877011788826243</v>
      </c>
      <c r="BP791" s="253" cm="1">
        <f t="array" ref="BP791">$BC791 * IF($AD791&lt;=2,
SUMPRODUCT(INDEX($AL$67:$AN$71,,$AE791), INDEX($AO$67:$AU$71,,$AD791), 1 / ($AV$67:$AV$71*BO791 + (1-$AV$67:$AV$71)*BK791), N($AK$67:$AK$71&gt;$AI791)),
SUMPRODUCT(INDEX($AL$57:$AN$66,,$AE791), INDEX($AO$57:$AU$66,,$AD791), 1 / ($AW$57:$AW$66*BO791 + (1-$AW$57:$AW$66)*BK791), N($AK$57:$AK$66&gt;$AI791))
) / 1000</f>
        <v>0</v>
      </c>
      <c r="BQ791" s="250">
        <f t="shared" ref="BQ791:BQ854" si="744">IF($AD791&lt;=2, 20, 5)</f>
        <v>20</v>
      </c>
      <c r="BR791" s="237">
        <f t="shared" si="723"/>
        <v>33</v>
      </c>
      <c r="BS791" s="253">
        <f t="shared" si="724"/>
        <v>4.8487499999999999</v>
      </c>
      <c r="BT791" s="253" cm="1">
        <f t="array" ref="BT791">$BC791 * IF($AD791&lt;=2,
SUMPRODUCT(INDEX($AL$62:$AN$66,,$AE791), INDEX($AO$62:$AU$66,,$AD791), 1 / ($AV$62:$AV$66*BS791 + (1-$AV$62:$AV$66)*BO791), N($AK$62:$AK$66&gt;$AI791)),
SUMPRODUCT(INDEX($AL$47:$AN$56,,$AE791), INDEX($AO$47:$AU$56,,$AD791), 1 / ($AW$47:$AW$56*BS791 + (1-$AW$47:$AW$56)*BO791), N($AK$47:$AK$56&gt;$AI791))
) / 1000</f>
        <v>0</v>
      </c>
      <c r="BU791" s="253" cm="1">
        <f t="array" ref="BU791">$BC791 * IF($AD791&lt;=2,
SUMPRODUCT(INDEX($AL$23:$AN$61,,$AE791), INDEX($AO$23:$AU$61,,$AD791), 1 / ($AV$23:$AV$61*BS791), N($AK$23:$AK$61&gt;$AI791)),
SUMPRODUCT(INDEX($AL$23:$AN$46,,$AE791), INDEX($AO$23:$AU$46,,$AD791), 1 / ($AW$23:$AW$46*BS791), N($AK$23:$AK$46&gt;$AI791))
) / 1000</f>
        <v>0</v>
      </c>
      <c r="BV791" s="237">
        <f t="shared" si="725"/>
        <v>0</v>
      </c>
      <c r="BW791" s="210"/>
      <c r="BX791" s="237">
        <f t="shared" si="726"/>
        <v>0</v>
      </c>
      <c r="BY791" s="236">
        <v>35</v>
      </c>
      <c r="BZ791" s="237">
        <f t="shared" si="727"/>
        <v>48</v>
      </c>
      <c r="CA791" s="253">
        <f t="shared" si="728"/>
        <v>3.0748170731707316</v>
      </c>
      <c r="CB791" s="253" cm="1">
        <f t="array" ref="CB791">$BC791 * SUMPRODUCT(INDEX($AL$77:$AN$82,,$AE791),INDEX($AO$77:$AU$82,,$AD791), N($AK$77:$AK$82&gt;$AI791)) / CA791 / 1000</f>
        <v>0</v>
      </c>
      <c r="CC791" s="250">
        <f t="shared" ref="CC791:CC854" si="745">IF($AD791&lt;=2, 30, 25)</f>
        <v>30</v>
      </c>
      <c r="CD791" s="237">
        <f t="shared" si="729"/>
        <v>43</v>
      </c>
      <c r="CE791" s="253">
        <f t="shared" si="730"/>
        <v>3.5018750000000001</v>
      </c>
      <c r="CF791" s="253" cm="1">
        <f t="array" ref="CF791">$BC791 * IF($AD791&lt;=2,
SUMPRODUCT(INDEX($AL$72:$AN$76,,$AE791), INDEX($AO$72:$AU$76,,$AD791), 1 / ($AV$72:$AV$76*CE791 + (1-$AV$72:$AV$76)*CA791), N($AK$72:$AK$76&gt;$AI791)),
SUMPRODUCT(INDEX($AL$67:$AN$76,,$AE791), INDEX($AO$67:$AU$76,,$AD791), 1 / ($AW$67:$AW$76*CE791 + (1-$AW$67:$AW$76)*CA791), N($AK$67:$AK$76&gt;$AI791))
) / 1000</f>
        <v>0</v>
      </c>
      <c r="CG791" s="250">
        <f t="shared" ref="CG791:CG854" si="746">IF($AD791&lt;=2, 25, 15)</f>
        <v>25</v>
      </c>
      <c r="CH791" s="237">
        <f t="shared" si="731"/>
        <v>38</v>
      </c>
      <c r="CI791" s="253">
        <f t="shared" si="732"/>
        <v>4.0666935483870965</v>
      </c>
      <c r="CJ791" s="253" cm="1">
        <f t="array" ref="CJ791">$BC791 * IF($AD791&lt;=2,
SUMPRODUCT(INDEX($AL$67:$AN$71,,$AE791), INDEX($AO$67:$AU$71,,$AD791), 1 / ($AV$67:$AV$71*CI791 + (1-$AV$67:$AV$71)*CE791), N($AK$67:$AK$71&gt;$AI791)),
SUMPRODUCT(INDEX($AL$57:$AN$66,,$AE791), INDEX($AO$57:$AU$66,,$AD791), 1 / ($AW$57:$AW$66*CI791 + (1-$AW$57:$AW$66)*CE791), N($AK$57:$AK$66&gt;$AI791))
) / 1000</f>
        <v>0</v>
      </c>
      <c r="CK791" s="250">
        <f t="shared" ref="CK791:CK854" si="747">IF($AD791&lt;=2, 20, 5)</f>
        <v>20</v>
      </c>
      <c r="CL791" s="237">
        <f t="shared" si="733"/>
        <v>33</v>
      </c>
      <c r="CM791" s="253">
        <f t="shared" si="734"/>
        <v>4.8487499999999999</v>
      </c>
      <c r="CN791" s="253" cm="1">
        <f t="array" ref="CN791">$BC791 * IF($AD791&lt;=2,
SUMPRODUCT(INDEX($AL$62:$AN$66,,$AE791), INDEX($AO$62:$AU$66,,$AD791), 1 / ($AV$62:$AV$66*CM791 + (1-$AV$62:$AV$66)*CI791), N($AK$62:$AK$66&gt;$AI791)),
SUMPRODUCT(INDEX($AL$47:$AN$56,,$AE791), INDEX($AO$47:$AU$56,,$AD791), 1 / ($AW$47:$AW$56*CM791 + (1-$AW$47:$AW$56)*CI791), N($AK$47:$AK$56&gt;$AI791))
) / 1000</f>
        <v>0</v>
      </c>
      <c r="CO791" s="253" cm="1">
        <f t="array" ref="CO791">$BC791 * IF($AD791&lt;=2,
SUMPRODUCT(INDEX($AL$23:$AN$61,,$AE791), INDEX($AO$23:$AU$61,,$AD791), 1 / ($AV$23:$AV$61*CM791), N($AK$23:$AK$61&gt;$AI791)),
SUMPRODUCT(INDEX($AL$23:$AN$46,,$AE791), INDEX($AO$23:$AU$46,,$AD791), 1 / ($AW$23:$AW$46*CM791), N($AK$23:$AK$46&gt;$AI791))
) / 1000</f>
        <v>0</v>
      </c>
      <c r="CP791" s="237">
        <f t="shared" si="735"/>
        <v>0</v>
      </c>
      <c r="CQ791" s="210"/>
    </row>
    <row r="792" spans="1:95" s="76" customFormat="1" ht="14.25" customHeight="1" x14ac:dyDescent="0.2">
      <c r="A792" s="238" t="b">
        <f t="shared" si="739"/>
        <v>0</v>
      </c>
      <c r="B792" s="239">
        <v>770</v>
      </c>
      <c r="C792" s="258"/>
      <c r="D792" s="258"/>
      <c r="E792" s="240"/>
      <c r="F792" s="241" t="str">
        <f>IF(ISBLANK(E792), "", VLOOKUP(E792, Z!$A$2:$C$4127, 3, FALSE))</f>
        <v/>
      </c>
      <c r="G792" s="242"/>
      <c r="H792" s="242"/>
      <c r="I792" s="243"/>
      <c r="J792" s="244"/>
      <c r="K792" s="259"/>
      <c r="L792" s="260"/>
      <c r="M792" s="247" t="str" cm="1">
        <f t="array" ref="M792">IF($K792&gt;0, INDEX(Clean,1+AG792,$C$1), "")</f>
        <v/>
      </c>
      <c r="N792" s="245"/>
      <c r="O792" s="245"/>
      <c r="P792" s="246"/>
      <c r="Q792" s="248">
        <f t="shared" si="712"/>
        <v>0</v>
      </c>
      <c r="R792" s="247" t="str" cm="1">
        <f t="array" ref="R792">IF($K792&gt;0, INDEX(Clean,1+AH792,$C$1), "")</f>
        <v/>
      </c>
      <c r="S792" s="245"/>
      <c r="T792" s="245"/>
      <c r="U792" s="246"/>
      <c r="V792" s="248">
        <f t="shared" si="713"/>
        <v>0</v>
      </c>
      <c r="W792" s="261"/>
      <c r="X792" s="258"/>
      <c r="Y792" s="240"/>
      <c r="Z792" s="241" t="str">
        <f>IF(ISBLANK(Y792), "", VLOOKUP(Y792, Z!$A$2:$C$4127, 3, FALSE))</f>
        <v/>
      </c>
      <c r="AA792" s="262"/>
      <c r="AB792" s="249">
        <f t="shared" ref="AB792:AB855" si="748">0.75*$AJ$22*(Q792-V792)</f>
        <v>0</v>
      </c>
      <c r="AC792" s="210"/>
      <c r="AD792" s="236">
        <f t="shared" si="736"/>
        <v>1</v>
      </c>
      <c r="AE792" s="236">
        <f t="shared" si="737"/>
        <v>1</v>
      </c>
      <c r="AF792" s="236">
        <f t="shared" si="738"/>
        <v>0</v>
      </c>
      <c r="AG792" s="236">
        <v>1</v>
      </c>
      <c r="AH792" s="236">
        <v>0</v>
      </c>
      <c r="AI792" s="236">
        <f t="shared" si="714"/>
        <v>-100</v>
      </c>
      <c r="AJ792" s="210"/>
      <c r="AK792" s="254"/>
      <c r="AL792" s="254"/>
      <c r="AM792" s="255"/>
      <c r="AN792" s="255"/>
      <c r="AO792" s="255"/>
      <c r="AP792" s="255"/>
      <c r="AQ792" s="255"/>
      <c r="AR792" s="255"/>
      <c r="AS792" s="255"/>
      <c r="AT792" s="255"/>
      <c r="AU792" s="255"/>
      <c r="AV792" s="255"/>
      <c r="AW792" s="255"/>
      <c r="AX792" s="210"/>
      <c r="AY792" s="236" cm="1">
        <f t="array" ref="AY792">INDEX(Use, $AD792, 4)</f>
        <v>7</v>
      </c>
      <c r="AZ792" s="236">
        <f t="shared" si="715"/>
        <v>32</v>
      </c>
      <c r="BA792" s="236">
        <f t="shared" si="740"/>
        <v>13</v>
      </c>
      <c r="BB792" s="236">
        <f t="shared" si="741"/>
        <v>0</v>
      </c>
      <c r="BC792" s="252" cm="1">
        <f t="array" ref="BC792">K792/IF($L792&gt;0, INDEX($AO$23:$AU$77, $L792+20, $AD792), 1)</f>
        <v>0</v>
      </c>
      <c r="BD792" s="237">
        <f t="shared" si="716"/>
        <v>0</v>
      </c>
      <c r="BE792" s="236">
        <v>35</v>
      </c>
      <c r="BF792" s="237">
        <f t="shared" si="717"/>
        <v>52.55</v>
      </c>
      <c r="BG792" s="253">
        <f t="shared" si="718"/>
        <v>2.7676728869374316</v>
      </c>
      <c r="BH792" s="253" cm="1">
        <f t="array" ref="BH792">$BC792 * SUMPRODUCT(INDEX($AL$77:$AN$82,,$AE792),INDEX($AO$77:$AU$82,,$AD792), N($AK$77:$AK$82&gt;$AI792)) / BG792 / 1000</f>
        <v>0</v>
      </c>
      <c r="BI792" s="250">
        <f t="shared" si="742"/>
        <v>30</v>
      </c>
      <c r="BJ792" s="237">
        <f t="shared" si="719"/>
        <v>46.033333333333331</v>
      </c>
      <c r="BK792" s="253">
        <f t="shared" si="720"/>
        <v>3.2297395388556791</v>
      </c>
      <c r="BL792" s="253" cm="1">
        <f t="array" ref="BL792">$BC792 * IF($AD792&lt;=2,
SUMPRODUCT(INDEX($AL$72:$AN$76,,$AE792), INDEX($AO$72:$AU$76,,$AD792), 1 / ($AV$72:$AV$76*BK792 + (1-$AV$72:$AV$76)*BG792), N($AK$72:$AK$76&gt;$AI792)),
SUMPRODUCT(INDEX($AL$67:$AN$76,,$AE792), INDEX($AO$67:$AU$76,,$AD792), 1 / ($AW$67:$AW$76*BK792 + (1-$AW$67:$AW$76)*BG792), N($AK$67:$AK$76&gt;$AI792))
) / 1000</f>
        <v>0</v>
      </c>
      <c r="BM792" s="250">
        <f t="shared" si="743"/>
        <v>25</v>
      </c>
      <c r="BN792" s="237">
        <f t="shared" si="721"/>
        <v>39.516666666666666</v>
      </c>
      <c r="BO792" s="253">
        <f t="shared" si="722"/>
        <v>3.877011788826243</v>
      </c>
      <c r="BP792" s="253" cm="1">
        <f t="array" ref="BP792">$BC792 * IF($AD792&lt;=2,
SUMPRODUCT(INDEX($AL$67:$AN$71,,$AE792), INDEX($AO$67:$AU$71,,$AD792), 1 / ($AV$67:$AV$71*BO792 + (1-$AV$67:$AV$71)*BK792), N($AK$67:$AK$71&gt;$AI792)),
SUMPRODUCT(INDEX($AL$57:$AN$66,,$AE792), INDEX($AO$57:$AU$66,,$AD792), 1 / ($AW$57:$AW$66*BO792 + (1-$AW$57:$AW$66)*BK792), N($AK$57:$AK$66&gt;$AI792))
) / 1000</f>
        <v>0</v>
      </c>
      <c r="BQ792" s="250">
        <f t="shared" si="744"/>
        <v>20</v>
      </c>
      <c r="BR792" s="237">
        <f t="shared" si="723"/>
        <v>33</v>
      </c>
      <c r="BS792" s="253">
        <f t="shared" si="724"/>
        <v>4.8487499999999999</v>
      </c>
      <c r="BT792" s="253" cm="1">
        <f t="array" ref="BT792">$BC792 * IF($AD792&lt;=2,
SUMPRODUCT(INDEX($AL$62:$AN$66,,$AE792), INDEX($AO$62:$AU$66,,$AD792), 1 / ($AV$62:$AV$66*BS792 + (1-$AV$62:$AV$66)*BO792), N($AK$62:$AK$66&gt;$AI792)),
SUMPRODUCT(INDEX($AL$47:$AN$56,,$AE792), INDEX($AO$47:$AU$56,,$AD792), 1 / ($AW$47:$AW$56*BS792 + (1-$AW$47:$AW$56)*BO792), N($AK$47:$AK$56&gt;$AI792))
) / 1000</f>
        <v>0</v>
      </c>
      <c r="BU792" s="253" cm="1">
        <f t="array" ref="BU792">$BC792 * IF($AD792&lt;=2,
SUMPRODUCT(INDEX($AL$23:$AN$61,,$AE792), INDEX($AO$23:$AU$61,,$AD792), 1 / ($AV$23:$AV$61*BS792), N($AK$23:$AK$61&gt;$AI792)),
SUMPRODUCT(INDEX($AL$23:$AN$46,,$AE792), INDEX($AO$23:$AU$46,,$AD792), 1 / ($AW$23:$AW$46*BS792), N($AK$23:$AK$46&gt;$AI792))
) / 1000</f>
        <v>0</v>
      </c>
      <c r="BV792" s="237">
        <f t="shared" si="725"/>
        <v>0</v>
      </c>
      <c r="BW792" s="210"/>
      <c r="BX792" s="237">
        <f t="shared" si="726"/>
        <v>0</v>
      </c>
      <c r="BY792" s="236">
        <v>35</v>
      </c>
      <c r="BZ792" s="237">
        <f t="shared" si="727"/>
        <v>48</v>
      </c>
      <c r="CA792" s="253">
        <f t="shared" si="728"/>
        <v>3.0748170731707316</v>
      </c>
      <c r="CB792" s="253" cm="1">
        <f t="array" ref="CB792">$BC792 * SUMPRODUCT(INDEX($AL$77:$AN$82,,$AE792),INDEX($AO$77:$AU$82,,$AD792), N($AK$77:$AK$82&gt;$AI792)) / CA792 / 1000</f>
        <v>0</v>
      </c>
      <c r="CC792" s="250">
        <f t="shared" si="745"/>
        <v>30</v>
      </c>
      <c r="CD792" s="237">
        <f t="shared" si="729"/>
        <v>43</v>
      </c>
      <c r="CE792" s="253">
        <f t="shared" si="730"/>
        <v>3.5018750000000001</v>
      </c>
      <c r="CF792" s="253" cm="1">
        <f t="array" ref="CF792">$BC792 * IF($AD792&lt;=2,
SUMPRODUCT(INDEX($AL$72:$AN$76,,$AE792), INDEX($AO$72:$AU$76,,$AD792), 1 / ($AV$72:$AV$76*CE792 + (1-$AV$72:$AV$76)*CA792), N($AK$72:$AK$76&gt;$AI792)),
SUMPRODUCT(INDEX($AL$67:$AN$76,,$AE792), INDEX($AO$67:$AU$76,,$AD792), 1 / ($AW$67:$AW$76*CE792 + (1-$AW$67:$AW$76)*CA792), N($AK$67:$AK$76&gt;$AI792))
) / 1000</f>
        <v>0</v>
      </c>
      <c r="CG792" s="250">
        <f t="shared" si="746"/>
        <v>25</v>
      </c>
      <c r="CH792" s="237">
        <f t="shared" si="731"/>
        <v>38</v>
      </c>
      <c r="CI792" s="253">
        <f t="shared" si="732"/>
        <v>4.0666935483870965</v>
      </c>
      <c r="CJ792" s="253" cm="1">
        <f t="array" ref="CJ792">$BC792 * IF($AD792&lt;=2,
SUMPRODUCT(INDEX($AL$67:$AN$71,,$AE792), INDEX($AO$67:$AU$71,,$AD792), 1 / ($AV$67:$AV$71*CI792 + (1-$AV$67:$AV$71)*CE792), N($AK$67:$AK$71&gt;$AI792)),
SUMPRODUCT(INDEX($AL$57:$AN$66,,$AE792), INDEX($AO$57:$AU$66,,$AD792), 1 / ($AW$57:$AW$66*CI792 + (1-$AW$57:$AW$66)*CE792), N($AK$57:$AK$66&gt;$AI792))
) / 1000</f>
        <v>0</v>
      </c>
      <c r="CK792" s="250">
        <f t="shared" si="747"/>
        <v>20</v>
      </c>
      <c r="CL792" s="237">
        <f t="shared" si="733"/>
        <v>33</v>
      </c>
      <c r="CM792" s="253">
        <f t="shared" si="734"/>
        <v>4.8487499999999999</v>
      </c>
      <c r="CN792" s="253" cm="1">
        <f t="array" ref="CN792">$BC792 * IF($AD792&lt;=2,
SUMPRODUCT(INDEX($AL$62:$AN$66,,$AE792), INDEX($AO$62:$AU$66,,$AD792), 1 / ($AV$62:$AV$66*CM792 + (1-$AV$62:$AV$66)*CI792), N($AK$62:$AK$66&gt;$AI792)),
SUMPRODUCT(INDEX($AL$47:$AN$56,,$AE792), INDEX($AO$47:$AU$56,,$AD792), 1 / ($AW$47:$AW$56*CM792 + (1-$AW$47:$AW$56)*CI792), N($AK$47:$AK$56&gt;$AI792))
) / 1000</f>
        <v>0</v>
      </c>
      <c r="CO792" s="253" cm="1">
        <f t="array" ref="CO792">$BC792 * IF($AD792&lt;=2,
SUMPRODUCT(INDEX($AL$23:$AN$61,,$AE792), INDEX($AO$23:$AU$61,,$AD792), 1 / ($AV$23:$AV$61*CM792), N($AK$23:$AK$61&gt;$AI792)),
SUMPRODUCT(INDEX($AL$23:$AN$46,,$AE792), INDEX($AO$23:$AU$46,,$AD792), 1 / ($AW$23:$AW$46*CM792), N($AK$23:$AK$46&gt;$AI792))
) / 1000</f>
        <v>0</v>
      </c>
      <c r="CP792" s="237">
        <f t="shared" si="735"/>
        <v>0</v>
      </c>
      <c r="CQ792" s="210"/>
    </row>
    <row r="793" spans="1:95" s="76" customFormat="1" ht="14.25" customHeight="1" x14ac:dyDescent="0.2">
      <c r="A793" s="238" t="b">
        <f t="shared" si="739"/>
        <v>0</v>
      </c>
      <c r="B793" s="239">
        <v>771</v>
      </c>
      <c r="C793" s="258"/>
      <c r="D793" s="258"/>
      <c r="E793" s="240"/>
      <c r="F793" s="241" t="str">
        <f>IF(ISBLANK(E793), "", VLOOKUP(E793, Z!$A$2:$C$4127, 3, FALSE))</f>
        <v/>
      </c>
      <c r="G793" s="242"/>
      <c r="H793" s="242"/>
      <c r="I793" s="243"/>
      <c r="J793" s="244"/>
      <c r="K793" s="259"/>
      <c r="L793" s="260"/>
      <c r="M793" s="247" t="str" cm="1">
        <f t="array" ref="M793">IF($K793&gt;0, INDEX(Clean,1+AG793,$C$1), "")</f>
        <v/>
      </c>
      <c r="N793" s="245"/>
      <c r="O793" s="245"/>
      <c r="P793" s="246"/>
      <c r="Q793" s="248">
        <f t="shared" si="712"/>
        <v>0</v>
      </c>
      <c r="R793" s="247" t="str" cm="1">
        <f t="array" ref="R793">IF($K793&gt;0, INDEX(Clean,1+AH793,$C$1), "")</f>
        <v/>
      </c>
      <c r="S793" s="245"/>
      <c r="T793" s="245"/>
      <c r="U793" s="246"/>
      <c r="V793" s="248">
        <f t="shared" si="713"/>
        <v>0</v>
      </c>
      <c r="W793" s="261"/>
      <c r="X793" s="258"/>
      <c r="Y793" s="240"/>
      <c r="Z793" s="241" t="str">
        <f>IF(ISBLANK(Y793), "", VLOOKUP(Y793, Z!$A$2:$C$4127, 3, FALSE))</f>
        <v/>
      </c>
      <c r="AA793" s="262"/>
      <c r="AB793" s="249">
        <f t="shared" si="748"/>
        <v>0</v>
      </c>
      <c r="AC793" s="210"/>
      <c r="AD793" s="236">
        <f t="shared" si="736"/>
        <v>1</v>
      </c>
      <c r="AE793" s="236">
        <f t="shared" si="737"/>
        <v>1</v>
      </c>
      <c r="AF793" s="236">
        <f t="shared" si="738"/>
        <v>0</v>
      </c>
      <c r="AG793" s="236">
        <v>1</v>
      </c>
      <c r="AH793" s="236">
        <v>0</v>
      </c>
      <c r="AI793" s="236">
        <f t="shared" si="714"/>
        <v>-100</v>
      </c>
      <c r="AJ793" s="210"/>
      <c r="AK793" s="254"/>
      <c r="AL793" s="254"/>
      <c r="AM793" s="255"/>
      <c r="AN793" s="255"/>
      <c r="AO793" s="255"/>
      <c r="AP793" s="255"/>
      <c r="AQ793" s="255"/>
      <c r="AR793" s="255"/>
      <c r="AS793" s="255"/>
      <c r="AT793" s="255"/>
      <c r="AU793" s="255"/>
      <c r="AV793" s="255"/>
      <c r="AW793" s="255"/>
      <c r="AX793" s="210"/>
      <c r="AY793" s="236" cm="1">
        <f t="array" ref="AY793">INDEX(Use, $AD793, 4)</f>
        <v>7</v>
      </c>
      <c r="AZ793" s="236">
        <f t="shared" si="715"/>
        <v>32</v>
      </c>
      <c r="BA793" s="236">
        <f t="shared" si="740"/>
        <v>13</v>
      </c>
      <c r="BB793" s="236">
        <f t="shared" si="741"/>
        <v>0</v>
      </c>
      <c r="BC793" s="252" cm="1">
        <f t="array" ref="BC793">K793/IF($L793&gt;0, INDEX($AO$23:$AU$77, $L793+20, $AD793), 1)</f>
        <v>0</v>
      </c>
      <c r="BD793" s="237">
        <f t="shared" si="716"/>
        <v>0</v>
      </c>
      <c r="BE793" s="236">
        <v>35</v>
      </c>
      <c r="BF793" s="237">
        <f t="shared" si="717"/>
        <v>52.55</v>
      </c>
      <c r="BG793" s="253">
        <f t="shared" si="718"/>
        <v>2.7676728869374316</v>
      </c>
      <c r="BH793" s="253" cm="1">
        <f t="array" ref="BH793">$BC793 * SUMPRODUCT(INDEX($AL$77:$AN$82,,$AE793),INDEX($AO$77:$AU$82,,$AD793), N($AK$77:$AK$82&gt;$AI793)) / BG793 / 1000</f>
        <v>0</v>
      </c>
      <c r="BI793" s="250">
        <f t="shared" si="742"/>
        <v>30</v>
      </c>
      <c r="BJ793" s="237">
        <f t="shared" si="719"/>
        <v>46.033333333333331</v>
      </c>
      <c r="BK793" s="253">
        <f t="shared" si="720"/>
        <v>3.2297395388556791</v>
      </c>
      <c r="BL793" s="253" cm="1">
        <f t="array" ref="BL793">$BC793 * IF($AD793&lt;=2,
SUMPRODUCT(INDEX($AL$72:$AN$76,,$AE793), INDEX($AO$72:$AU$76,,$AD793), 1 / ($AV$72:$AV$76*BK793 + (1-$AV$72:$AV$76)*BG793), N($AK$72:$AK$76&gt;$AI793)),
SUMPRODUCT(INDEX($AL$67:$AN$76,,$AE793), INDEX($AO$67:$AU$76,,$AD793), 1 / ($AW$67:$AW$76*BK793 + (1-$AW$67:$AW$76)*BG793), N($AK$67:$AK$76&gt;$AI793))
) / 1000</f>
        <v>0</v>
      </c>
      <c r="BM793" s="250">
        <f t="shared" si="743"/>
        <v>25</v>
      </c>
      <c r="BN793" s="237">
        <f t="shared" si="721"/>
        <v>39.516666666666666</v>
      </c>
      <c r="BO793" s="253">
        <f t="shared" si="722"/>
        <v>3.877011788826243</v>
      </c>
      <c r="BP793" s="253" cm="1">
        <f t="array" ref="BP793">$BC793 * IF($AD793&lt;=2,
SUMPRODUCT(INDEX($AL$67:$AN$71,,$AE793), INDEX($AO$67:$AU$71,,$AD793), 1 / ($AV$67:$AV$71*BO793 + (1-$AV$67:$AV$71)*BK793), N($AK$67:$AK$71&gt;$AI793)),
SUMPRODUCT(INDEX($AL$57:$AN$66,,$AE793), INDEX($AO$57:$AU$66,,$AD793), 1 / ($AW$57:$AW$66*BO793 + (1-$AW$57:$AW$66)*BK793), N($AK$57:$AK$66&gt;$AI793))
) / 1000</f>
        <v>0</v>
      </c>
      <c r="BQ793" s="250">
        <f t="shared" si="744"/>
        <v>20</v>
      </c>
      <c r="BR793" s="237">
        <f t="shared" si="723"/>
        <v>33</v>
      </c>
      <c r="BS793" s="253">
        <f t="shared" si="724"/>
        <v>4.8487499999999999</v>
      </c>
      <c r="BT793" s="253" cm="1">
        <f t="array" ref="BT793">$BC793 * IF($AD793&lt;=2,
SUMPRODUCT(INDEX($AL$62:$AN$66,,$AE793), INDEX($AO$62:$AU$66,,$AD793), 1 / ($AV$62:$AV$66*BS793 + (1-$AV$62:$AV$66)*BO793), N($AK$62:$AK$66&gt;$AI793)),
SUMPRODUCT(INDEX($AL$47:$AN$56,,$AE793), INDEX($AO$47:$AU$56,,$AD793), 1 / ($AW$47:$AW$56*BS793 + (1-$AW$47:$AW$56)*BO793), N($AK$47:$AK$56&gt;$AI793))
) / 1000</f>
        <v>0</v>
      </c>
      <c r="BU793" s="253" cm="1">
        <f t="array" ref="BU793">$BC793 * IF($AD793&lt;=2,
SUMPRODUCT(INDEX($AL$23:$AN$61,,$AE793), INDEX($AO$23:$AU$61,,$AD793), 1 / ($AV$23:$AV$61*BS793), N($AK$23:$AK$61&gt;$AI793)),
SUMPRODUCT(INDEX($AL$23:$AN$46,,$AE793), INDEX($AO$23:$AU$46,,$AD793), 1 / ($AW$23:$AW$46*BS793), N($AK$23:$AK$46&gt;$AI793))
) / 1000</f>
        <v>0</v>
      </c>
      <c r="BV793" s="237">
        <f t="shared" si="725"/>
        <v>0</v>
      </c>
      <c r="BW793" s="210"/>
      <c r="BX793" s="237">
        <f t="shared" si="726"/>
        <v>0</v>
      </c>
      <c r="BY793" s="236">
        <v>35</v>
      </c>
      <c r="BZ793" s="237">
        <f t="shared" si="727"/>
        <v>48</v>
      </c>
      <c r="CA793" s="253">
        <f t="shared" si="728"/>
        <v>3.0748170731707316</v>
      </c>
      <c r="CB793" s="253" cm="1">
        <f t="array" ref="CB793">$BC793 * SUMPRODUCT(INDEX($AL$77:$AN$82,,$AE793),INDEX($AO$77:$AU$82,,$AD793), N($AK$77:$AK$82&gt;$AI793)) / CA793 / 1000</f>
        <v>0</v>
      </c>
      <c r="CC793" s="250">
        <f t="shared" si="745"/>
        <v>30</v>
      </c>
      <c r="CD793" s="237">
        <f t="shared" si="729"/>
        <v>43</v>
      </c>
      <c r="CE793" s="253">
        <f t="shared" si="730"/>
        <v>3.5018750000000001</v>
      </c>
      <c r="CF793" s="253" cm="1">
        <f t="array" ref="CF793">$BC793 * IF($AD793&lt;=2,
SUMPRODUCT(INDEX($AL$72:$AN$76,,$AE793), INDEX($AO$72:$AU$76,,$AD793), 1 / ($AV$72:$AV$76*CE793 + (1-$AV$72:$AV$76)*CA793), N($AK$72:$AK$76&gt;$AI793)),
SUMPRODUCT(INDEX($AL$67:$AN$76,,$AE793), INDEX($AO$67:$AU$76,,$AD793), 1 / ($AW$67:$AW$76*CE793 + (1-$AW$67:$AW$76)*CA793), N($AK$67:$AK$76&gt;$AI793))
) / 1000</f>
        <v>0</v>
      </c>
      <c r="CG793" s="250">
        <f t="shared" si="746"/>
        <v>25</v>
      </c>
      <c r="CH793" s="237">
        <f t="shared" si="731"/>
        <v>38</v>
      </c>
      <c r="CI793" s="253">
        <f t="shared" si="732"/>
        <v>4.0666935483870965</v>
      </c>
      <c r="CJ793" s="253" cm="1">
        <f t="array" ref="CJ793">$BC793 * IF($AD793&lt;=2,
SUMPRODUCT(INDEX($AL$67:$AN$71,,$AE793), INDEX($AO$67:$AU$71,,$AD793), 1 / ($AV$67:$AV$71*CI793 + (1-$AV$67:$AV$71)*CE793), N($AK$67:$AK$71&gt;$AI793)),
SUMPRODUCT(INDEX($AL$57:$AN$66,,$AE793), INDEX($AO$57:$AU$66,,$AD793), 1 / ($AW$57:$AW$66*CI793 + (1-$AW$57:$AW$66)*CE793), N($AK$57:$AK$66&gt;$AI793))
) / 1000</f>
        <v>0</v>
      </c>
      <c r="CK793" s="250">
        <f t="shared" si="747"/>
        <v>20</v>
      </c>
      <c r="CL793" s="237">
        <f t="shared" si="733"/>
        <v>33</v>
      </c>
      <c r="CM793" s="253">
        <f t="shared" si="734"/>
        <v>4.8487499999999999</v>
      </c>
      <c r="CN793" s="253" cm="1">
        <f t="array" ref="CN793">$BC793 * IF($AD793&lt;=2,
SUMPRODUCT(INDEX($AL$62:$AN$66,,$AE793), INDEX($AO$62:$AU$66,,$AD793), 1 / ($AV$62:$AV$66*CM793 + (1-$AV$62:$AV$66)*CI793), N($AK$62:$AK$66&gt;$AI793)),
SUMPRODUCT(INDEX($AL$47:$AN$56,,$AE793), INDEX($AO$47:$AU$56,,$AD793), 1 / ($AW$47:$AW$56*CM793 + (1-$AW$47:$AW$56)*CI793), N($AK$47:$AK$56&gt;$AI793))
) / 1000</f>
        <v>0</v>
      </c>
      <c r="CO793" s="253" cm="1">
        <f t="array" ref="CO793">$BC793 * IF($AD793&lt;=2,
SUMPRODUCT(INDEX($AL$23:$AN$61,,$AE793), INDEX($AO$23:$AU$61,,$AD793), 1 / ($AV$23:$AV$61*CM793), N($AK$23:$AK$61&gt;$AI793)),
SUMPRODUCT(INDEX($AL$23:$AN$46,,$AE793), INDEX($AO$23:$AU$46,,$AD793), 1 / ($AW$23:$AW$46*CM793), N($AK$23:$AK$46&gt;$AI793))
) / 1000</f>
        <v>0</v>
      </c>
      <c r="CP793" s="237">
        <f t="shared" si="735"/>
        <v>0</v>
      </c>
      <c r="CQ793" s="210"/>
    </row>
    <row r="794" spans="1:95" s="76" customFormat="1" ht="14.25" customHeight="1" x14ac:dyDescent="0.2">
      <c r="A794" s="238" t="b">
        <f t="shared" si="739"/>
        <v>0</v>
      </c>
      <c r="B794" s="239">
        <v>772</v>
      </c>
      <c r="C794" s="258"/>
      <c r="D794" s="258"/>
      <c r="E794" s="240"/>
      <c r="F794" s="241" t="str">
        <f>IF(ISBLANK(E794), "", VLOOKUP(E794, Z!$A$2:$C$4127, 3, FALSE))</f>
        <v/>
      </c>
      <c r="G794" s="242"/>
      <c r="H794" s="242"/>
      <c r="I794" s="243"/>
      <c r="J794" s="244"/>
      <c r="K794" s="259"/>
      <c r="L794" s="260"/>
      <c r="M794" s="247" t="str" cm="1">
        <f t="array" ref="M794">IF($K794&gt;0, INDEX(Clean,1+AG794,$C$1), "")</f>
        <v/>
      </c>
      <c r="N794" s="245"/>
      <c r="O794" s="245"/>
      <c r="P794" s="246"/>
      <c r="Q794" s="248">
        <f t="shared" si="712"/>
        <v>0</v>
      </c>
      <c r="R794" s="247" t="str" cm="1">
        <f t="array" ref="R794">IF($K794&gt;0, INDEX(Clean,1+AH794,$C$1), "")</f>
        <v/>
      </c>
      <c r="S794" s="245"/>
      <c r="T794" s="245"/>
      <c r="U794" s="246"/>
      <c r="V794" s="248">
        <f t="shared" si="713"/>
        <v>0</v>
      </c>
      <c r="W794" s="261"/>
      <c r="X794" s="258"/>
      <c r="Y794" s="240"/>
      <c r="Z794" s="241" t="str">
        <f>IF(ISBLANK(Y794), "", VLOOKUP(Y794, Z!$A$2:$C$4127, 3, FALSE))</f>
        <v/>
      </c>
      <c r="AA794" s="262"/>
      <c r="AB794" s="249">
        <f t="shared" si="748"/>
        <v>0</v>
      </c>
      <c r="AC794" s="210"/>
      <c r="AD794" s="236">
        <f t="shared" si="736"/>
        <v>1</v>
      </c>
      <c r="AE794" s="236">
        <f t="shared" si="737"/>
        <v>1</v>
      </c>
      <c r="AF794" s="236">
        <f t="shared" si="738"/>
        <v>0</v>
      </c>
      <c r="AG794" s="236">
        <v>1</v>
      </c>
      <c r="AH794" s="236">
        <v>0</v>
      </c>
      <c r="AI794" s="236">
        <f t="shared" si="714"/>
        <v>-100</v>
      </c>
      <c r="AJ794" s="210"/>
      <c r="AK794" s="254"/>
      <c r="AL794" s="254"/>
      <c r="AM794" s="255"/>
      <c r="AN794" s="255"/>
      <c r="AO794" s="255"/>
      <c r="AP794" s="255"/>
      <c r="AQ794" s="255"/>
      <c r="AR794" s="255"/>
      <c r="AS794" s="255"/>
      <c r="AT794" s="255"/>
      <c r="AU794" s="255"/>
      <c r="AV794" s="255"/>
      <c r="AW794" s="255"/>
      <c r="AX794" s="210"/>
      <c r="AY794" s="236" cm="1">
        <f t="array" ref="AY794">INDEX(Use, $AD794, 4)</f>
        <v>7</v>
      </c>
      <c r="AZ794" s="236">
        <f t="shared" si="715"/>
        <v>32</v>
      </c>
      <c r="BA794" s="236">
        <f t="shared" si="740"/>
        <v>13</v>
      </c>
      <c r="BB794" s="236">
        <f t="shared" si="741"/>
        <v>0</v>
      </c>
      <c r="BC794" s="252" cm="1">
        <f t="array" ref="BC794">K794/IF($L794&gt;0, INDEX($AO$23:$AU$77, $L794+20, $AD794), 1)</f>
        <v>0</v>
      </c>
      <c r="BD794" s="237">
        <f t="shared" si="716"/>
        <v>0</v>
      </c>
      <c r="BE794" s="236">
        <v>35</v>
      </c>
      <c r="BF794" s="237">
        <f t="shared" si="717"/>
        <v>52.55</v>
      </c>
      <c r="BG794" s="253">
        <f t="shared" si="718"/>
        <v>2.7676728869374316</v>
      </c>
      <c r="BH794" s="253" cm="1">
        <f t="array" ref="BH794">$BC794 * SUMPRODUCT(INDEX($AL$77:$AN$82,,$AE794),INDEX($AO$77:$AU$82,,$AD794), N($AK$77:$AK$82&gt;$AI794)) / BG794 / 1000</f>
        <v>0</v>
      </c>
      <c r="BI794" s="250">
        <f t="shared" si="742"/>
        <v>30</v>
      </c>
      <c r="BJ794" s="237">
        <f t="shared" si="719"/>
        <v>46.033333333333331</v>
      </c>
      <c r="BK794" s="253">
        <f t="shared" si="720"/>
        <v>3.2297395388556791</v>
      </c>
      <c r="BL794" s="253" cm="1">
        <f t="array" ref="BL794">$BC794 * IF($AD794&lt;=2,
SUMPRODUCT(INDEX($AL$72:$AN$76,,$AE794), INDEX($AO$72:$AU$76,,$AD794), 1 / ($AV$72:$AV$76*BK794 + (1-$AV$72:$AV$76)*BG794), N($AK$72:$AK$76&gt;$AI794)),
SUMPRODUCT(INDEX($AL$67:$AN$76,,$AE794), INDEX($AO$67:$AU$76,,$AD794), 1 / ($AW$67:$AW$76*BK794 + (1-$AW$67:$AW$76)*BG794), N($AK$67:$AK$76&gt;$AI794))
) / 1000</f>
        <v>0</v>
      </c>
      <c r="BM794" s="250">
        <f t="shared" si="743"/>
        <v>25</v>
      </c>
      <c r="BN794" s="237">
        <f t="shared" si="721"/>
        <v>39.516666666666666</v>
      </c>
      <c r="BO794" s="253">
        <f t="shared" si="722"/>
        <v>3.877011788826243</v>
      </c>
      <c r="BP794" s="253" cm="1">
        <f t="array" ref="BP794">$BC794 * IF($AD794&lt;=2,
SUMPRODUCT(INDEX($AL$67:$AN$71,,$AE794), INDEX($AO$67:$AU$71,,$AD794), 1 / ($AV$67:$AV$71*BO794 + (1-$AV$67:$AV$71)*BK794), N($AK$67:$AK$71&gt;$AI794)),
SUMPRODUCT(INDEX($AL$57:$AN$66,,$AE794), INDEX($AO$57:$AU$66,,$AD794), 1 / ($AW$57:$AW$66*BO794 + (1-$AW$57:$AW$66)*BK794), N($AK$57:$AK$66&gt;$AI794))
) / 1000</f>
        <v>0</v>
      </c>
      <c r="BQ794" s="250">
        <f t="shared" si="744"/>
        <v>20</v>
      </c>
      <c r="BR794" s="237">
        <f t="shared" si="723"/>
        <v>33</v>
      </c>
      <c r="BS794" s="253">
        <f t="shared" si="724"/>
        <v>4.8487499999999999</v>
      </c>
      <c r="BT794" s="253" cm="1">
        <f t="array" ref="BT794">$BC794 * IF($AD794&lt;=2,
SUMPRODUCT(INDEX($AL$62:$AN$66,,$AE794), INDEX($AO$62:$AU$66,,$AD794), 1 / ($AV$62:$AV$66*BS794 + (1-$AV$62:$AV$66)*BO794), N($AK$62:$AK$66&gt;$AI794)),
SUMPRODUCT(INDEX($AL$47:$AN$56,,$AE794), INDEX($AO$47:$AU$56,,$AD794), 1 / ($AW$47:$AW$56*BS794 + (1-$AW$47:$AW$56)*BO794), N($AK$47:$AK$56&gt;$AI794))
) / 1000</f>
        <v>0</v>
      </c>
      <c r="BU794" s="253" cm="1">
        <f t="array" ref="BU794">$BC794 * IF($AD794&lt;=2,
SUMPRODUCT(INDEX($AL$23:$AN$61,,$AE794), INDEX($AO$23:$AU$61,,$AD794), 1 / ($AV$23:$AV$61*BS794), N($AK$23:$AK$61&gt;$AI794)),
SUMPRODUCT(INDEX($AL$23:$AN$46,,$AE794), INDEX($AO$23:$AU$46,,$AD794), 1 / ($AW$23:$AW$46*BS794), N($AK$23:$AK$46&gt;$AI794))
) / 1000</f>
        <v>0</v>
      </c>
      <c r="BV794" s="237">
        <f t="shared" si="725"/>
        <v>0</v>
      </c>
      <c r="BW794" s="210"/>
      <c r="BX794" s="237">
        <f t="shared" si="726"/>
        <v>0</v>
      </c>
      <c r="BY794" s="236">
        <v>35</v>
      </c>
      <c r="BZ794" s="237">
        <f t="shared" si="727"/>
        <v>48</v>
      </c>
      <c r="CA794" s="253">
        <f t="shared" si="728"/>
        <v>3.0748170731707316</v>
      </c>
      <c r="CB794" s="253" cm="1">
        <f t="array" ref="CB794">$BC794 * SUMPRODUCT(INDEX($AL$77:$AN$82,,$AE794),INDEX($AO$77:$AU$82,,$AD794), N($AK$77:$AK$82&gt;$AI794)) / CA794 / 1000</f>
        <v>0</v>
      </c>
      <c r="CC794" s="250">
        <f t="shared" si="745"/>
        <v>30</v>
      </c>
      <c r="CD794" s="237">
        <f t="shared" si="729"/>
        <v>43</v>
      </c>
      <c r="CE794" s="253">
        <f t="shared" si="730"/>
        <v>3.5018750000000001</v>
      </c>
      <c r="CF794" s="253" cm="1">
        <f t="array" ref="CF794">$BC794 * IF($AD794&lt;=2,
SUMPRODUCT(INDEX($AL$72:$AN$76,,$AE794), INDEX($AO$72:$AU$76,,$AD794), 1 / ($AV$72:$AV$76*CE794 + (1-$AV$72:$AV$76)*CA794), N($AK$72:$AK$76&gt;$AI794)),
SUMPRODUCT(INDEX($AL$67:$AN$76,,$AE794), INDEX($AO$67:$AU$76,,$AD794), 1 / ($AW$67:$AW$76*CE794 + (1-$AW$67:$AW$76)*CA794), N($AK$67:$AK$76&gt;$AI794))
) / 1000</f>
        <v>0</v>
      </c>
      <c r="CG794" s="250">
        <f t="shared" si="746"/>
        <v>25</v>
      </c>
      <c r="CH794" s="237">
        <f t="shared" si="731"/>
        <v>38</v>
      </c>
      <c r="CI794" s="253">
        <f t="shared" si="732"/>
        <v>4.0666935483870965</v>
      </c>
      <c r="CJ794" s="253" cm="1">
        <f t="array" ref="CJ794">$BC794 * IF($AD794&lt;=2,
SUMPRODUCT(INDEX($AL$67:$AN$71,,$AE794), INDEX($AO$67:$AU$71,,$AD794), 1 / ($AV$67:$AV$71*CI794 + (1-$AV$67:$AV$71)*CE794), N($AK$67:$AK$71&gt;$AI794)),
SUMPRODUCT(INDEX($AL$57:$AN$66,,$AE794), INDEX($AO$57:$AU$66,,$AD794), 1 / ($AW$57:$AW$66*CI794 + (1-$AW$57:$AW$66)*CE794), N($AK$57:$AK$66&gt;$AI794))
) / 1000</f>
        <v>0</v>
      </c>
      <c r="CK794" s="250">
        <f t="shared" si="747"/>
        <v>20</v>
      </c>
      <c r="CL794" s="237">
        <f t="shared" si="733"/>
        <v>33</v>
      </c>
      <c r="CM794" s="253">
        <f t="shared" si="734"/>
        <v>4.8487499999999999</v>
      </c>
      <c r="CN794" s="253" cm="1">
        <f t="array" ref="CN794">$BC794 * IF($AD794&lt;=2,
SUMPRODUCT(INDEX($AL$62:$AN$66,,$AE794), INDEX($AO$62:$AU$66,,$AD794), 1 / ($AV$62:$AV$66*CM794 + (1-$AV$62:$AV$66)*CI794), N($AK$62:$AK$66&gt;$AI794)),
SUMPRODUCT(INDEX($AL$47:$AN$56,,$AE794), INDEX($AO$47:$AU$56,,$AD794), 1 / ($AW$47:$AW$56*CM794 + (1-$AW$47:$AW$56)*CI794), N($AK$47:$AK$56&gt;$AI794))
) / 1000</f>
        <v>0</v>
      </c>
      <c r="CO794" s="253" cm="1">
        <f t="array" ref="CO794">$BC794 * IF($AD794&lt;=2,
SUMPRODUCT(INDEX($AL$23:$AN$61,,$AE794), INDEX($AO$23:$AU$61,,$AD794), 1 / ($AV$23:$AV$61*CM794), N($AK$23:$AK$61&gt;$AI794)),
SUMPRODUCT(INDEX($AL$23:$AN$46,,$AE794), INDEX($AO$23:$AU$46,,$AD794), 1 / ($AW$23:$AW$46*CM794), N($AK$23:$AK$46&gt;$AI794))
) / 1000</f>
        <v>0</v>
      </c>
      <c r="CP794" s="237">
        <f t="shared" si="735"/>
        <v>0</v>
      </c>
      <c r="CQ794" s="210"/>
    </row>
    <row r="795" spans="1:95" s="76" customFormat="1" ht="14.25" customHeight="1" x14ac:dyDescent="0.2">
      <c r="A795" s="238" t="b">
        <f t="shared" si="739"/>
        <v>0</v>
      </c>
      <c r="B795" s="239">
        <v>773</v>
      </c>
      <c r="C795" s="258"/>
      <c r="D795" s="258"/>
      <c r="E795" s="240"/>
      <c r="F795" s="241" t="str">
        <f>IF(ISBLANK(E795), "", VLOOKUP(E795, Z!$A$2:$C$4127, 3, FALSE))</f>
        <v/>
      </c>
      <c r="G795" s="242"/>
      <c r="H795" s="242"/>
      <c r="I795" s="243"/>
      <c r="J795" s="244"/>
      <c r="K795" s="259"/>
      <c r="L795" s="260"/>
      <c r="M795" s="247" t="str" cm="1">
        <f t="array" ref="M795">IF($K795&gt;0, INDEX(Clean,1+AG795,$C$1), "")</f>
        <v/>
      </c>
      <c r="N795" s="245"/>
      <c r="O795" s="245"/>
      <c r="P795" s="246"/>
      <c r="Q795" s="248">
        <f t="shared" si="712"/>
        <v>0</v>
      </c>
      <c r="R795" s="247" t="str" cm="1">
        <f t="array" ref="R795">IF($K795&gt;0, INDEX(Clean,1+AH795,$C$1), "")</f>
        <v/>
      </c>
      <c r="S795" s="245"/>
      <c r="T795" s="245"/>
      <c r="U795" s="246"/>
      <c r="V795" s="248">
        <f t="shared" si="713"/>
        <v>0</v>
      </c>
      <c r="W795" s="261"/>
      <c r="X795" s="258"/>
      <c r="Y795" s="240"/>
      <c r="Z795" s="241" t="str">
        <f>IF(ISBLANK(Y795), "", VLOOKUP(Y795, Z!$A$2:$C$4127, 3, FALSE))</f>
        <v/>
      </c>
      <c r="AA795" s="262"/>
      <c r="AB795" s="249">
        <f t="shared" si="748"/>
        <v>0</v>
      </c>
      <c r="AC795" s="210"/>
      <c r="AD795" s="236">
        <f t="shared" si="736"/>
        <v>1</v>
      </c>
      <c r="AE795" s="236">
        <f t="shared" si="737"/>
        <v>1</v>
      </c>
      <c r="AF795" s="236">
        <f t="shared" si="738"/>
        <v>0</v>
      </c>
      <c r="AG795" s="236">
        <v>1</v>
      </c>
      <c r="AH795" s="236">
        <v>0</v>
      </c>
      <c r="AI795" s="236">
        <f t="shared" si="714"/>
        <v>-100</v>
      </c>
      <c r="AJ795" s="210"/>
      <c r="AK795" s="254"/>
      <c r="AL795" s="254"/>
      <c r="AM795" s="255"/>
      <c r="AN795" s="255"/>
      <c r="AO795" s="255"/>
      <c r="AP795" s="255"/>
      <c r="AQ795" s="255"/>
      <c r="AR795" s="255"/>
      <c r="AS795" s="255"/>
      <c r="AT795" s="255"/>
      <c r="AU795" s="255"/>
      <c r="AV795" s="255"/>
      <c r="AW795" s="255"/>
      <c r="AX795" s="210"/>
      <c r="AY795" s="236" cm="1">
        <f t="array" ref="AY795">INDEX(Use, $AD795, 4)</f>
        <v>7</v>
      </c>
      <c r="AZ795" s="236">
        <f t="shared" si="715"/>
        <v>32</v>
      </c>
      <c r="BA795" s="236">
        <f t="shared" si="740"/>
        <v>13</v>
      </c>
      <c r="BB795" s="236">
        <f t="shared" si="741"/>
        <v>0</v>
      </c>
      <c r="BC795" s="252" cm="1">
        <f t="array" ref="BC795">K795/IF($L795&gt;0, INDEX($AO$23:$AU$77, $L795+20, $AD795), 1)</f>
        <v>0</v>
      </c>
      <c r="BD795" s="237">
        <f t="shared" si="716"/>
        <v>0</v>
      </c>
      <c r="BE795" s="236">
        <v>35</v>
      </c>
      <c r="BF795" s="237">
        <f t="shared" si="717"/>
        <v>52.55</v>
      </c>
      <c r="BG795" s="253">
        <f t="shared" si="718"/>
        <v>2.7676728869374316</v>
      </c>
      <c r="BH795" s="253" cm="1">
        <f t="array" ref="BH795">$BC795 * SUMPRODUCT(INDEX($AL$77:$AN$82,,$AE795),INDEX($AO$77:$AU$82,,$AD795), N($AK$77:$AK$82&gt;$AI795)) / BG795 / 1000</f>
        <v>0</v>
      </c>
      <c r="BI795" s="250">
        <f t="shared" si="742"/>
        <v>30</v>
      </c>
      <c r="BJ795" s="237">
        <f t="shared" si="719"/>
        <v>46.033333333333331</v>
      </c>
      <c r="BK795" s="253">
        <f t="shared" si="720"/>
        <v>3.2297395388556791</v>
      </c>
      <c r="BL795" s="253" cm="1">
        <f t="array" ref="BL795">$BC795 * IF($AD795&lt;=2,
SUMPRODUCT(INDEX($AL$72:$AN$76,,$AE795), INDEX($AO$72:$AU$76,,$AD795), 1 / ($AV$72:$AV$76*BK795 + (1-$AV$72:$AV$76)*BG795), N($AK$72:$AK$76&gt;$AI795)),
SUMPRODUCT(INDEX($AL$67:$AN$76,,$AE795), INDEX($AO$67:$AU$76,,$AD795), 1 / ($AW$67:$AW$76*BK795 + (1-$AW$67:$AW$76)*BG795), N($AK$67:$AK$76&gt;$AI795))
) / 1000</f>
        <v>0</v>
      </c>
      <c r="BM795" s="250">
        <f t="shared" si="743"/>
        <v>25</v>
      </c>
      <c r="BN795" s="237">
        <f t="shared" si="721"/>
        <v>39.516666666666666</v>
      </c>
      <c r="BO795" s="253">
        <f t="shared" si="722"/>
        <v>3.877011788826243</v>
      </c>
      <c r="BP795" s="253" cm="1">
        <f t="array" ref="BP795">$BC795 * IF($AD795&lt;=2,
SUMPRODUCT(INDEX($AL$67:$AN$71,,$AE795), INDEX($AO$67:$AU$71,,$AD795), 1 / ($AV$67:$AV$71*BO795 + (1-$AV$67:$AV$71)*BK795), N($AK$67:$AK$71&gt;$AI795)),
SUMPRODUCT(INDEX($AL$57:$AN$66,,$AE795), INDEX($AO$57:$AU$66,,$AD795), 1 / ($AW$57:$AW$66*BO795 + (1-$AW$57:$AW$66)*BK795), N($AK$57:$AK$66&gt;$AI795))
) / 1000</f>
        <v>0</v>
      </c>
      <c r="BQ795" s="250">
        <f t="shared" si="744"/>
        <v>20</v>
      </c>
      <c r="BR795" s="237">
        <f t="shared" si="723"/>
        <v>33</v>
      </c>
      <c r="BS795" s="253">
        <f t="shared" si="724"/>
        <v>4.8487499999999999</v>
      </c>
      <c r="BT795" s="253" cm="1">
        <f t="array" ref="BT795">$BC795 * IF($AD795&lt;=2,
SUMPRODUCT(INDEX($AL$62:$AN$66,,$AE795), INDEX($AO$62:$AU$66,,$AD795), 1 / ($AV$62:$AV$66*BS795 + (1-$AV$62:$AV$66)*BO795), N($AK$62:$AK$66&gt;$AI795)),
SUMPRODUCT(INDEX($AL$47:$AN$56,,$AE795), INDEX($AO$47:$AU$56,,$AD795), 1 / ($AW$47:$AW$56*BS795 + (1-$AW$47:$AW$56)*BO795), N($AK$47:$AK$56&gt;$AI795))
) / 1000</f>
        <v>0</v>
      </c>
      <c r="BU795" s="253" cm="1">
        <f t="array" ref="BU795">$BC795 * IF($AD795&lt;=2,
SUMPRODUCT(INDEX($AL$23:$AN$61,,$AE795), INDEX($AO$23:$AU$61,,$AD795), 1 / ($AV$23:$AV$61*BS795), N($AK$23:$AK$61&gt;$AI795)),
SUMPRODUCT(INDEX($AL$23:$AN$46,,$AE795), INDEX($AO$23:$AU$46,,$AD795), 1 / ($AW$23:$AW$46*BS795), N($AK$23:$AK$46&gt;$AI795))
) / 1000</f>
        <v>0</v>
      </c>
      <c r="BV795" s="237">
        <f t="shared" si="725"/>
        <v>0</v>
      </c>
      <c r="BW795" s="210"/>
      <c r="BX795" s="237">
        <f t="shared" si="726"/>
        <v>0</v>
      </c>
      <c r="BY795" s="236">
        <v>35</v>
      </c>
      <c r="BZ795" s="237">
        <f t="shared" si="727"/>
        <v>48</v>
      </c>
      <c r="CA795" s="253">
        <f t="shared" si="728"/>
        <v>3.0748170731707316</v>
      </c>
      <c r="CB795" s="253" cm="1">
        <f t="array" ref="CB795">$BC795 * SUMPRODUCT(INDEX($AL$77:$AN$82,,$AE795),INDEX($AO$77:$AU$82,,$AD795), N($AK$77:$AK$82&gt;$AI795)) / CA795 / 1000</f>
        <v>0</v>
      </c>
      <c r="CC795" s="250">
        <f t="shared" si="745"/>
        <v>30</v>
      </c>
      <c r="CD795" s="237">
        <f t="shared" si="729"/>
        <v>43</v>
      </c>
      <c r="CE795" s="253">
        <f t="shared" si="730"/>
        <v>3.5018750000000001</v>
      </c>
      <c r="CF795" s="253" cm="1">
        <f t="array" ref="CF795">$BC795 * IF($AD795&lt;=2,
SUMPRODUCT(INDEX($AL$72:$AN$76,,$AE795), INDEX($AO$72:$AU$76,,$AD795), 1 / ($AV$72:$AV$76*CE795 + (1-$AV$72:$AV$76)*CA795), N($AK$72:$AK$76&gt;$AI795)),
SUMPRODUCT(INDEX($AL$67:$AN$76,,$AE795), INDEX($AO$67:$AU$76,,$AD795), 1 / ($AW$67:$AW$76*CE795 + (1-$AW$67:$AW$76)*CA795), N($AK$67:$AK$76&gt;$AI795))
) / 1000</f>
        <v>0</v>
      </c>
      <c r="CG795" s="250">
        <f t="shared" si="746"/>
        <v>25</v>
      </c>
      <c r="CH795" s="237">
        <f t="shared" si="731"/>
        <v>38</v>
      </c>
      <c r="CI795" s="253">
        <f t="shared" si="732"/>
        <v>4.0666935483870965</v>
      </c>
      <c r="CJ795" s="253" cm="1">
        <f t="array" ref="CJ795">$BC795 * IF($AD795&lt;=2,
SUMPRODUCT(INDEX($AL$67:$AN$71,,$AE795), INDEX($AO$67:$AU$71,,$AD795), 1 / ($AV$67:$AV$71*CI795 + (1-$AV$67:$AV$71)*CE795), N($AK$67:$AK$71&gt;$AI795)),
SUMPRODUCT(INDEX($AL$57:$AN$66,,$AE795), INDEX($AO$57:$AU$66,,$AD795), 1 / ($AW$57:$AW$66*CI795 + (1-$AW$57:$AW$66)*CE795), N($AK$57:$AK$66&gt;$AI795))
) / 1000</f>
        <v>0</v>
      </c>
      <c r="CK795" s="250">
        <f t="shared" si="747"/>
        <v>20</v>
      </c>
      <c r="CL795" s="237">
        <f t="shared" si="733"/>
        <v>33</v>
      </c>
      <c r="CM795" s="253">
        <f t="shared" si="734"/>
        <v>4.8487499999999999</v>
      </c>
      <c r="CN795" s="253" cm="1">
        <f t="array" ref="CN795">$BC795 * IF($AD795&lt;=2,
SUMPRODUCT(INDEX($AL$62:$AN$66,,$AE795), INDEX($AO$62:$AU$66,,$AD795), 1 / ($AV$62:$AV$66*CM795 + (1-$AV$62:$AV$66)*CI795), N($AK$62:$AK$66&gt;$AI795)),
SUMPRODUCT(INDEX($AL$47:$AN$56,,$AE795), INDEX($AO$47:$AU$56,,$AD795), 1 / ($AW$47:$AW$56*CM795 + (1-$AW$47:$AW$56)*CI795), N($AK$47:$AK$56&gt;$AI795))
) / 1000</f>
        <v>0</v>
      </c>
      <c r="CO795" s="253" cm="1">
        <f t="array" ref="CO795">$BC795 * IF($AD795&lt;=2,
SUMPRODUCT(INDEX($AL$23:$AN$61,,$AE795), INDEX($AO$23:$AU$61,,$AD795), 1 / ($AV$23:$AV$61*CM795), N($AK$23:$AK$61&gt;$AI795)),
SUMPRODUCT(INDEX($AL$23:$AN$46,,$AE795), INDEX($AO$23:$AU$46,,$AD795), 1 / ($AW$23:$AW$46*CM795), N($AK$23:$AK$46&gt;$AI795))
) / 1000</f>
        <v>0</v>
      </c>
      <c r="CP795" s="237">
        <f t="shared" si="735"/>
        <v>0</v>
      </c>
      <c r="CQ795" s="210"/>
    </row>
    <row r="796" spans="1:95" s="76" customFormat="1" ht="14.25" customHeight="1" x14ac:dyDescent="0.2">
      <c r="A796" s="238" t="b">
        <f t="shared" si="739"/>
        <v>0</v>
      </c>
      <c r="B796" s="239">
        <v>774</v>
      </c>
      <c r="C796" s="258"/>
      <c r="D796" s="258"/>
      <c r="E796" s="240"/>
      <c r="F796" s="241" t="str">
        <f>IF(ISBLANK(E796), "", VLOOKUP(E796, Z!$A$2:$C$4127, 3, FALSE))</f>
        <v/>
      </c>
      <c r="G796" s="242"/>
      <c r="H796" s="242"/>
      <c r="I796" s="243"/>
      <c r="J796" s="244"/>
      <c r="K796" s="259"/>
      <c r="L796" s="260"/>
      <c r="M796" s="247" t="str" cm="1">
        <f t="array" ref="M796">IF($K796&gt;0, INDEX(Clean,1+AG796,$C$1), "")</f>
        <v/>
      </c>
      <c r="N796" s="245"/>
      <c r="O796" s="245"/>
      <c r="P796" s="246"/>
      <c r="Q796" s="248">
        <f t="shared" si="712"/>
        <v>0</v>
      </c>
      <c r="R796" s="247" t="str" cm="1">
        <f t="array" ref="R796">IF($K796&gt;0, INDEX(Clean,1+AH796,$C$1), "")</f>
        <v/>
      </c>
      <c r="S796" s="245"/>
      <c r="T796" s="245"/>
      <c r="U796" s="246"/>
      <c r="V796" s="248">
        <f t="shared" si="713"/>
        <v>0</v>
      </c>
      <c r="W796" s="261"/>
      <c r="X796" s="258"/>
      <c r="Y796" s="240"/>
      <c r="Z796" s="241" t="str">
        <f>IF(ISBLANK(Y796), "", VLOOKUP(Y796, Z!$A$2:$C$4127, 3, FALSE))</f>
        <v/>
      </c>
      <c r="AA796" s="262"/>
      <c r="AB796" s="249">
        <f t="shared" si="748"/>
        <v>0</v>
      </c>
      <c r="AC796" s="210"/>
      <c r="AD796" s="236">
        <f t="shared" si="736"/>
        <v>1</v>
      </c>
      <c r="AE796" s="236">
        <f t="shared" si="737"/>
        <v>1</v>
      </c>
      <c r="AF796" s="236">
        <f t="shared" si="738"/>
        <v>0</v>
      </c>
      <c r="AG796" s="236">
        <v>1</v>
      </c>
      <c r="AH796" s="236">
        <v>0</v>
      </c>
      <c r="AI796" s="236">
        <f t="shared" si="714"/>
        <v>-100</v>
      </c>
      <c r="AJ796" s="210"/>
      <c r="AK796" s="254"/>
      <c r="AL796" s="254"/>
      <c r="AM796" s="255"/>
      <c r="AN796" s="255"/>
      <c r="AO796" s="255"/>
      <c r="AP796" s="255"/>
      <c r="AQ796" s="255"/>
      <c r="AR796" s="255"/>
      <c r="AS796" s="255"/>
      <c r="AT796" s="255"/>
      <c r="AU796" s="255"/>
      <c r="AV796" s="255"/>
      <c r="AW796" s="255"/>
      <c r="AX796" s="210"/>
      <c r="AY796" s="236" cm="1">
        <f t="array" ref="AY796">INDEX(Use, $AD796, 4)</f>
        <v>7</v>
      </c>
      <c r="AZ796" s="236">
        <f t="shared" si="715"/>
        <v>32</v>
      </c>
      <c r="BA796" s="236">
        <f t="shared" si="740"/>
        <v>13</v>
      </c>
      <c r="BB796" s="236">
        <f t="shared" si="741"/>
        <v>0</v>
      </c>
      <c r="BC796" s="252" cm="1">
        <f t="array" ref="BC796">K796/IF($L796&gt;0, INDEX($AO$23:$AU$77, $L796+20, $AD796), 1)</f>
        <v>0</v>
      </c>
      <c r="BD796" s="237">
        <f t="shared" si="716"/>
        <v>0</v>
      </c>
      <c r="BE796" s="236">
        <v>35</v>
      </c>
      <c r="BF796" s="237">
        <f t="shared" si="717"/>
        <v>52.55</v>
      </c>
      <c r="BG796" s="253">
        <f t="shared" si="718"/>
        <v>2.7676728869374316</v>
      </c>
      <c r="BH796" s="253" cm="1">
        <f t="array" ref="BH796">$BC796 * SUMPRODUCT(INDEX($AL$77:$AN$82,,$AE796),INDEX($AO$77:$AU$82,,$AD796), N($AK$77:$AK$82&gt;$AI796)) / BG796 / 1000</f>
        <v>0</v>
      </c>
      <c r="BI796" s="250">
        <f t="shared" si="742"/>
        <v>30</v>
      </c>
      <c r="BJ796" s="237">
        <f t="shared" si="719"/>
        <v>46.033333333333331</v>
      </c>
      <c r="BK796" s="253">
        <f t="shared" si="720"/>
        <v>3.2297395388556791</v>
      </c>
      <c r="BL796" s="253" cm="1">
        <f t="array" ref="BL796">$BC796 * IF($AD796&lt;=2,
SUMPRODUCT(INDEX($AL$72:$AN$76,,$AE796), INDEX($AO$72:$AU$76,,$AD796), 1 / ($AV$72:$AV$76*BK796 + (1-$AV$72:$AV$76)*BG796), N($AK$72:$AK$76&gt;$AI796)),
SUMPRODUCT(INDEX($AL$67:$AN$76,,$AE796), INDEX($AO$67:$AU$76,,$AD796), 1 / ($AW$67:$AW$76*BK796 + (1-$AW$67:$AW$76)*BG796), N($AK$67:$AK$76&gt;$AI796))
) / 1000</f>
        <v>0</v>
      </c>
      <c r="BM796" s="250">
        <f t="shared" si="743"/>
        <v>25</v>
      </c>
      <c r="BN796" s="237">
        <f t="shared" si="721"/>
        <v>39.516666666666666</v>
      </c>
      <c r="BO796" s="253">
        <f t="shared" si="722"/>
        <v>3.877011788826243</v>
      </c>
      <c r="BP796" s="253" cm="1">
        <f t="array" ref="BP796">$BC796 * IF($AD796&lt;=2,
SUMPRODUCT(INDEX($AL$67:$AN$71,,$AE796), INDEX($AO$67:$AU$71,,$AD796), 1 / ($AV$67:$AV$71*BO796 + (1-$AV$67:$AV$71)*BK796), N($AK$67:$AK$71&gt;$AI796)),
SUMPRODUCT(INDEX($AL$57:$AN$66,,$AE796), INDEX($AO$57:$AU$66,,$AD796), 1 / ($AW$57:$AW$66*BO796 + (1-$AW$57:$AW$66)*BK796), N($AK$57:$AK$66&gt;$AI796))
) / 1000</f>
        <v>0</v>
      </c>
      <c r="BQ796" s="250">
        <f t="shared" si="744"/>
        <v>20</v>
      </c>
      <c r="BR796" s="237">
        <f t="shared" si="723"/>
        <v>33</v>
      </c>
      <c r="BS796" s="253">
        <f t="shared" si="724"/>
        <v>4.8487499999999999</v>
      </c>
      <c r="BT796" s="253" cm="1">
        <f t="array" ref="BT796">$BC796 * IF($AD796&lt;=2,
SUMPRODUCT(INDEX($AL$62:$AN$66,,$AE796), INDEX($AO$62:$AU$66,,$AD796), 1 / ($AV$62:$AV$66*BS796 + (1-$AV$62:$AV$66)*BO796), N($AK$62:$AK$66&gt;$AI796)),
SUMPRODUCT(INDEX($AL$47:$AN$56,,$AE796), INDEX($AO$47:$AU$56,,$AD796), 1 / ($AW$47:$AW$56*BS796 + (1-$AW$47:$AW$56)*BO796), N($AK$47:$AK$56&gt;$AI796))
) / 1000</f>
        <v>0</v>
      </c>
      <c r="BU796" s="253" cm="1">
        <f t="array" ref="BU796">$BC796 * IF($AD796&lt;=2,
SUMPRODUCT(INDEX($AL$23:$AN$61,,$AE796), INDEX($AO$23:$AU$61,,$AD796), 1 / ($AV$23:$AV$61*BS796), N($AK$23:$AK$61&gt;$AI796)),
SUMPRODUCT(INDEX($AL$23:$AN$46,,$AE796), INDEX($AO$23:$AU$46,,$AD796), 1 / ($AW$23:$AW$46*BS796), N($AK$23:$AK$46&gt;$AI796))
) / 1000</f>
        <v>0</v>
      </c>
      <c r="BV796" s="237">
        <f t="shared" si="725"/>
        <v>0</v>
      </c>
      <c r="BW796" s="210"/>
      <c r="BX796" s="237">
        <f t="shared" si="726"/>
        <v>0</v>
      </c>
      <c r="BY796" s="236">
        <v>35</v>
      </c>
      <c r="BZ796" s="237">
        <f t="shared" si="727"/>
        <v>48</v>
      </c>
      <c r="CA796" s="253">
        <f t="shared" si="728"/>
        <v>3.0748170731707316</v>
      </c>
      <c r="CB796" s="253" cm="1">
        <f t="array" ref="CB796">$BC796 * SUMPRODUCT(INDEX($AL$77:$AN$82,,$AE796),INDEX($AO$77:$AU$82,,$AD796), N($AK$77:$AK$82&gt;$AI796)) / CA796 / 1000</f>
        <v>0</v>
      </c>
      <c r="CC796" s="250">
        <f t="shared" si="745"/>
        <v>30</v>
      </c>
      <c r="CD796" s="237">
        <f t="shared" si="729"/>
        <v>43</v>
      </c>
      <c r="CE796" s="253">
        <f t="shared" si="730"/>
        <v>3.5018750000000001</v>
      </c>
      <c r="CF796" s="253" cm="1">
        <f t="array" ref="CF796">$BC796 * IF($AD796&lt;=2,
SUMPRODUCT(INDEX($AL$72:$AN$76,,$AE796), INDEX($AO$72:$AU$76,,$AD796), 1 / ($AV$72:$AV$76*CE796 + (1-$AV$72:$AV$76)*CA796), N($AK$72:$AK$76&gt;$AI796)),
SUMPRODUCT(INDEX($AL$67:$AN$76,,$AE796), INDEX($AO$67:$AU$76,,$AD796), 1 / ($AW$67:$AW$76*CE796 + (1-$AW$67:$AW$76)*CA796), N($AK$67:$AK$76&gt;$AI796))
) / 1000</f>
        <v>0</v>
      </c>
      <c r="CG796" s="250">
        <f t="shared" si="746"/>
        <v>25</v>
      </c>
      <c r="CH796" s="237">
        <f t="shared" si="731"/>
        <v>38</v>
      </c>
      <c r="CI796" s="253">
        <f t="shared" si="732"/>
        <v>4.0666935483870965</v>
      </c>
      <c r="CJ796" s="253" cm="1">
        <f t="array" ref="CJ796">$BC796 * IF($AD796&lt;=2,
SUMPRODUCT(INDEX($AL$67:$AN$71,,$AE796), INDEX($AO$67:$AU$71,,$AD796), 1 / ($AV$67:$AV$71*CI796 + (1-$AV$67:$AV$71)*CE796), N($AK$67:$AK$71&gt;$AI796)),
SUMPRODUCT(INDEX($AL$57:$AN$66,,$AE796), INDEX($AO$57:$AU$66,,$AD796), 1 / ($AW$57:$AW$66*CI796 + (1-$AW$57:$AW$66)*CE796), N($AK$57:$AK$66&gt;$AI796))
) / 1000</f>
        <v>0</v>
      </c>
      <c r="CK796" s="250">
        <f t="shared" si="747"/>
        <v>20</v>
      </c>
      <c r="CL796" s="237">
        <f t="shared" si="733"/>
        <v>33</v>
      </c>
      <c r="CM796" s="253">
        <f t="shared" si="734"/>
        <v>4.8487499999999999</v>
      </c>
      <c r="CN796" s="253" cm="1">
        <f t="array" ref="CN796">$BC796 * IF($AD796&lt;=2,
SUMPRODUCT(INDEX($AL$62:$AN$66,,$AE796), INDEX($AO$62:$AU$66,,$AD796), 1 / ($AV$62:$AV$66*CM796 + (1-$AV$62:$AV$66)*CI796), N($AK$62:$AK$66&gt;$AI796)),
SUMPRODUCT(INDEX($AL$47:$AN$56,,$AE796), INDEX($AO$47:$AU$56,,$AD796), 1 / ($AW$47:$AW$56*CM796 + (1-$AW$47:$AW$56)*CI796), N($AK$47:$AK$56&gt;$AI796))
) / 1000</f>
        <v>0</v>
      </c>
      <c r="CO796" s="253" cm="1">
        <f t="array" ref="CO796">$BC796 * IF($AD796&lt;=2,
SUMPRODUCT(INDEX($AL$23:$AN$61,,$AE796), INDEX($AO$23:$AU$61,,$AD796), 1 / ($AV$23:$AV$61*CM796), N($AK$23:$AK$61&gt;$AI796)),
SUMPRODUCT(INDEX($AL$23:$AN$46,,$AE796), INDEX($AO$23:$AU$46,,$AD796), 1 / ($AW$23:$AW$46*CM796), N($AK$23:$AK$46&gt;$AI796))
) / 1000</f>
        <v>0</v>
      </c>
      <c r="CP796" s="237">
        <f t="shared" si="735"/>
        <v>0</v>
      </c>
      <c r="CQ796" s="210"/>
    </row>
    <row r="797" spans="1:95" s="76" customFormat="1" ht="14.25" customHeight="1" x14ac:dyDescent="0.2">
      <c r="A797" s="238" t="b">
        <f t="shared" si="739"/>
        <v>0</v>
      </c>
      <c r="B797" s="239">
        <v>775</v>
      </c>
      <c r="C797" s="258"/>
      <c r="D797" s="258"/>
      <c r="E797" s="240"/>
      <c r="F797" s="241" t="str">
        <f>IF(ISBLANK(E797), "", VLOOKUP(E797, Z!$A$2:$C$4127, 3, FALSE))</f>
        <v/>
      </c>
      <c r="G797" s="242"/>
      <c r="H797" s="242"/>
      <c r="I797" s="243"/>
      <c r="J797" s="244"/>
      <c r="K797" s="259"/>
      <c r="L797" s="260"/>
      <c r="M797" s="247" t="str" cm="1">
        <f t="array" ref="M797">IF($K797&gt;0, INDEX(Clean,1+AG797,$C$1), "")</f>
        <v/>
      </c>
      <c r="N797" s="245"/>
      <c r="O797" s="245"/>
      <c r="P797" s="246"/>
      <c r="Q797" s="248">
        <f t="shared" si="712"/>
        <v>0</v>
      </c>
      <c r="R797" s="247" t="str" cm="1">
        <f t="array" ref="R797">IF($K797&gt;0, INDEX(Clean,1+AH797,$C$1), "")</f>
        <v/>
      </c>
      <c r="S797" s="245"/>
      <c r="T797" s="245"/>
      <c r="U797" s="246"/>
      <c r="V797" s="248">
        <f t="shared" si="713"/>
        <v>0</v>
      </c>
      <c r="W797" s="261"/>
      <c r="X797" s="258"/>
      <c r="Y797" s="240"/>
      <c r="Z797" s="241" t="str">
        <f>IF(ISBLANK(Y797), "", VLOOKUP(Y797, Z!$A$2:$C$4127, 3, FALSE))</f>
        <v/>
      </c>
      <c r="AA797" s="262"/>
      <c r="AB797" s="249">
        <f t="shared" si="748"/>
        <v>0</v>
      </c>
      <c r="AC797" s="210"/>
      <c r="AD797" s="236">
        <f t="shared" si="736"/>
        <v>1</v>
      </c>
      <c r="AE797" s="236">
        <f t="shared" si="737"/>
        <v>1</v>
      </c>
      <c r="AF797" s="236">
        <f t="shared" si="738"/>
        <v>0</v>
      </c>
      <c r="AG797" s="236">
        <v>1</v>
      </c>
      <c r="AH797" s="236">
        <v>0</v>
      </c>
      <c r="AI797" s="236">
        <f t="shared" si="714"/>
        <v>-100</v>
      </c>
      <c r="AJ797" s="210"/>
      <c r="AK797" s="254"/>
      <c r="AL797" s="254"/>
      <c r="AM797" s="255"/>
      <c r="AN797" s="255"/>
      <c r="AO797" s="255"/>
      <c r="AP797" s="255"/>
      <c r="AQ797" s="255"/>
      <c r="AR797" s="255"/>
      <c r="AS797" s="255"/>
      <c r="AT797" s="255"/>
      <c r="AU797" s="255"/>
      <c r="AV797" s="255"/>
      <c r="AW797" s="255"/>
      <c r="AX797" s="210"/>
      <c r="AY797" s="236" cm="1">
        <f t="array" ref="AY797">INDEX(Use, $AD797, 4)</f>
        <v>7</v>
      </c>
      <c r="AZ797" s="236">
        <f t="shared" si="715"/>
        <v>32</v>
      </c>
      <c r="BA797" s="236">
        <f t="shared" si="740"/>
        <v>13</v>
      </c>
      <c r="BB797" s="236">
        <f t="shared" si="741"/>
        <v>0</v>
      </c>
      <c r="BC797" s="252" cm="1">
        <f t="array" ref="BC797">K797/IF($L797&gt;0, INDEX($AO$23:$AU$77, $L797+20, $AD797), 1)</f>
        <v>0</v>
      </c>
      <c r="BD797" s="237">
        <f t="shared" si="716"/>
        <v>0</v>
      </c>
      <c r="BE797" s="236">
        <v>35</v>
      </c>
      <c r="BF797" s="237">
        <f t="shared" si="717"/>
        <v>52.55</v>
      </c>
      <c r="BG797" s="253">
        <f t="shared" si="718"/>
        <v>2.7676728869374316</v>
      </c>
      <c r="BH797" s="253" cm="1">
        <f t="array" ref="BH797">$BC797 * SUMPRODUCT(INDEX($AL$77:$AN$82,,$AE797),INDEX($AO$77:$AU$82,,$AD797), N($AK$77:$AK$82&gt;$AI797)) / BG797 / 1000</f>
        <v>0</v>
      </c>
      <c r="BI797" s="250">
        <f t="shared" si="742"/>
        <v>30</v>
      </c>
      <c r="BJ797" s="237">
        <f t="shared" si="719"/>
        <v>46.033333333333331</v>
      </c>
      <c r="BK797" s="253">
        <f t="shared" si="720"/>
        <v>3.2297395388556791</v>
      </c>
      <c r="BL797" s="253" cm="1">
        <f t="array" ref="BL797">$BC797 * IF($AD797&lt;=2,
SUMPRODUCT(INDEX($AL$72:$AN$76,,$AE797), INDEX($AO$72:$AU$76,,$AD797), 1 / ($AV$72:$AV$76*BK797 + (1-$AV$72:$AV$76)*BG797), N($AK$72:$AK$76&gt;$AI797)),
SUMPRODUCT(INDEX($AL$67:$AN$76,,$AE797), INDEX($AO$67:$AU$76,,$AD797), 1 / ($AW$67:$AW$76*BK797 + (1-$AW$67:$AW$76)*BG797), N($AK$67:$AK$76&gt;$AI797))
) / 1000</f>
        <v>0</v>
      </c>
      <c r="BM797" s="250">
        <f t="shared" si="743"/>
        <v>25</v>
      </c>
      <c r="BN797" s="237">
        <f t="shared" si="721"/>
        <v>39.516666666666666</v>
      </c>
      <c r="BO797" s="253">
        <f t="shared" si="722"/>
        <v>3.877011788826243</v>
      </c>
      <c r="BP797" s="253" cm="1">
        <f t="array" ref="BP797">$BC797 * IF($AD797&lt;=2,
SUMPRODUCT(INDEX($AL$67:$AN$71,,$AE797), INDEX($AO$67:$AU$71,,$AD797), 1 / ($AV$67:$AV$71*BO797 + (1-$AV$67:$AV$71)*BK797), N($AK$67:$AK$71&gt;$AI797)),
SUMPRODUCT(INDEX($AL$57:$AN$66,,$AE797), INDEX($AO$57:$AU$66,,$AD797), 1 / ($AW$57:$AW$66*BO797 + (1-$AW$57:$AW$66)*BK797), N($AK$57:$AK$66&gt;$AI797))
) / 1000</f>
        <v>0</v>
      </c>
      <c r="BQ797" s="250">
        <f t="shared" si="744"/>
        <v>20</v>
      </c>
      <c r="BR797" s="237">
        <f t="shared" si="723"/>
        <v>33</v>
      </c>
      <c r="BS797" s="253">
        <f t="shared" si="724"/>
        <v>4.8487499999999999</v>
      </c>
      <c r="BT797" s="253" cm="1">
        <f t="array" ref="BT797">$BC797 * IF($AD797&lt;=2,
SUMPRODUCT(INDEX($AL$62:$AN$66,,$AE797), INDEX($AO$62:$AU$66,,$AD797), 1 / ($AV$62:$AV$66*BS797 + (1-$AV$62:$AV$66)*BO797), N($AK$62:$AK$66&gt;$AI797)),
SUMPRODUCT(INDEX($AL$47:$AN$56,,$AE797), INDEX($AO$47:$AU$56,,$AD797), 1 / ($AW$47:$AW$56*BS797 + (1-$AW$47:$AW$56)*BO797), N($AK$47:$AK$56&gt;$AI797))
) / 1000</f>
        <v>0</v>
      </c>
      <c r="BU797" s="253" cm="1">
        <f t="array" ref="BU797">$BC797 * IF($AD797&lt;=2,
SUMPRODUCT(INDEX($AL$23:$AN$61,,$AE797), INDEX($AO$23:$AU$61,,$AD797), 1 / ($AV$23:$AV$61*BS797), N($AK$23:$AK$61&gt;$AI797)),
SUMPRODUCT(INDEX($AL$23:$AN$46,,$AE797), INDEX($AO$23:$AU$46,,$AD797), 1 / ($AW$23:$AW$46*BS797), N($AK$23:$AK$46&gt;$AI797))
) / 1000</f>
        <v>0</v>
      </c>
      <c r="BV797" s="237">
        <f t="shared" si="725"/>
        <v>0</v>
      </c>
      <c r="BW797" s="210"/>
      <c r="BX797" s="237">
        <f t="shared" si="726"/>
        <v>0</v>
      </c>
      <c r="BY797" s="236">
        <v>35</v>
      </c>
      <c r="BZ797" s="237">
        <f t="shared" si="727"/>
        <v>48</v>
      </c>
      <c r="CA797" s="253">
        <f t="shared" si="728"/>
        <v>3.0748170731707316</v>
      </c>
      <c r="CB797" s="253" cm="1">
        <f t="array" ref="CB797">$BC797 * SUMPRODUCT(INDEX($AL$77:$AN$82,,$AE797),INDEX($AO$77:$AU$82,,$AD797), N($AK$77:$AK$82&gt;$AI797)) / CA797 / 1000</f>
        <v>0</v>
      </c>
      <c r="CC797" s="250">
        <f t="shared" si="745"/>
        <v>30</v>
      </c>
      <c r="CD797" s="237">
        <f t="shared" si="729"/>
        <v>43</v>
      </c>
      <c r="CE797" s="253">
        <f t="shared" si="730"/>
        <v>3.5018750000000001</v>
      </c>
      <c r="CF797" s="253" cm="1">
        <f t="array" ref="CF797">$BC797 * IF($AD797&lt;=2,
SUMPRODUCT(INDEX($AL$72:$AN$76,,$AE797), INDEX($AO$72:$AU$76,,$AD797), 1 / ($AV$72:$AV$76*CE797 + (1-$AV$72:$AV$76)*CA797), N($AK$72:$AK$76&gt;$AI797)),
SUMPRODUCT(INDEX($AL$67:$AN$76,,$AE797), INDEX($AO$67:$AU$76,,$AD797), 1 / ($AW$67:$AW$76*CE797 + (1-$AW$67:$AW$76)*CA797), N($AK$67:$AK$76&gt;$AI797))
) / 1000</f>
        <v>0</v>
      </c>
      <c r="CG797" s="250">
        <f t="shared" si="746"/>
        <v>25</v>
      </c>
      <c r="CH797" s="237">
        <f t="shared" si="731"/>
        <v>38</v>
      </c>
      <c r="CI797" s="253">
        <f t="shared" si="732"/>
        <v>4.0666935483870965</v>
      </c>
      <c r="CJ797" s="253" cm="1">
        <f t="array" ref="CJ797">$BC797 * IF($AD797&lt;=2,
SUMPRODUCT(INDEX($AL$67:$AN$71,,$AE797), INDEX($AO$67:$AU$71,,$AD797), 1 / ($AV$67:$AV$71*CI797 + (1-$AV$67:$AV$71)*CE797), N($AK$67:$AK$71&gt;$AI797)),
SUMPRODUCT(INDEX($AL$57:$AN$66,,$AE797), INDEX($AO$57:$AU$66,,$AD797), 1 / ($AW$57:$AW$66*CI797 + (1-$AW$57:$AW$66)*CE797), N($AK$57:$AK$66&gt;$AI797))
) / 1000</f>
        <v>0</v>
      </c>
      <c r="CK797" s="250">
        <f t="shared" si="747"/>
        <v>20</v>
      </c>
      <c r="CL797" s="237">
        <f t="shared" si="733"/>
        <v>33</v>
      </c>
      <c r="CM797" s="253">
        <f t="shared" si="734"/>
        <v>4.8487499999999999</v>
      </c>
      <c r="CN797" s="253" cm="1">
        <f t="array" ref="CN797">$BC797 * IF($AD797&lt;=2,
SUMPRODUCT(INDEX($AL$62:$AN$66,,$AE797), INDEX($AO$62:$AU$66,,$AD797), 1 / ($AV$62:$AV$66*CM797 + (1-$AV$62:$AV$66)*CI797), N($AK$62:$AK$66&gt;$AI797)),
SUMPRODUCT(INDEX($AL$47:$AN$56,,$AE797), INDEX($AO$47:$AU$56,,$AD797), 1 / ($AW$47:$AW$56*CM797 + (1-$AW$47:$AW$56)*CI797), N($AK$47:$AK$56&gt;$AI797))
) / 1000</f>
        <v>0</v>
      </c>
      <c r="CO797" s="253" cm="1">
        <f t="array" ref="CO797">$BC797 * IF($AD797&lt;=2,
SUMPRODUCT(INDEX($AL$23:$AN$61,,$AE797), INDEX($AO$23:$AU$61,,$AD797), 1 / ($AV$23:$AV$61*CM797), N($AK$23:$AK$61&gt;$AI797)),
SUMPRODUCT(INDEX($AL$23:$AN$46,,$AE797), INDEX($AO$23:$AU$46,,$AD797), 1 / ($AW$23:$AW$46*CM797), N($AK$23:$AK$46&gt;$AI797))
) / 1000</f>
        <v>0</v>
      </c>
      <c r="CP797" s="237">
        <f t="shared" si="735"/>
        <v>0</v>
      </c>
      <c r="CQ797" s="210"/>
    </row>
    <row r="798" spans="1:95" s="76" customFormat="1" ht="14.25" customHeight="1" x14ac:dyDescent="0.2">
      <c r="A798" s="238" t="b">
        <f t="shared" si="739"/>
        <v>0</v>
      </c>
      <c r="B798" s="239">
        <v>776</v>
      </c>
      <c r="C798" s="258"/>
      <c r="D798" s="258"/>
      <c r="E798" s="240"/>
      <c r="F798" s="241" t="str">
        <f>IF(ISBLANK(E798), "", VLOOKUP(E798, Z!$A$2:$C$4127, 3, FALSE))</f>
        <v/>
      </c>
      <c r="G798" s="242"/>
      <c r="H798" s="242"/>
      <c r="I798" s="243"/>
      <c r="J798" s="244"/>
      <c r="K798" s="259"/>
      <c r="L798" s="260"/>
      <c r="M798" s="247" t="str" cm="1">
        <f t="array" ref="M798">IF($K798&gt;0, INDEX(Clean,1+AG798,$C$1), "")</f>
        <v/>
      </c>
      <c r="N798" s="245"/>
      <c r="O798" s="245"/>
      <c r="P798" s="246"/>
      <c r="Q798" s="248">
        <f t="shared" si="712"/>
        <v>0</v>
      </c>
      <c r="R798" s="247" t="str" cm="1">
        <f t="array" ref="R798">IF($K798&gt;0, INDEX(Clean,1+AH798,$C$1), "")</f>
        <v/>
      </c>
      <c r="S798" s="245"/>
      <c r="T798" s="245"/>
      <c r="U798" s="246"/>
      <c r="V798" s="248">
        <f t="shared" si="713"/>
        <v>0</v>
      </c>
      <c r="W798" s="261"/>
      <c r="X798" s="258"/>
      <c r="Y798" s="240"/>
      <c r="Z798" s="241" t="str">
        <f>IF(ISBLANK(Y798), "", VLOOKUP(Y798, Z!$A$2:$C$4127, 3, FALSE))</f>
        <v/>
      </c>
      <c r="AA798" s="262"/>
      <c r="AB798" s="249">
        <f t="shared" si="748"/>
        <v>0</v>
      </c>
      <c r="AC798" s="210"/>
      <c r="AD798" s="236">
        <f t="shared" si="736"/>
        <v>1</v>
      </c>
      <c r="AE798" s="236">
        <f t="shared" si="737"/>
        <v>1</v>
      </c>
      <c r="AF798" s="236">
        <f t="shared" si="738"/>
        <v>0</v>
      </c>
      <c r="AG798" s="236">
        <v>1</v>
      </c>
      <c r="AH798" s="236">
        <v>0</v>
      </c>
      <c r="AI798" s="236">
        <f t="shared" si="714"/>
        <v>-100</v>
      </c>
      <c r="AJ798" s="210"/>
      <c r="AK798" s="254"/>
      <c r="AL798" s="254"/>
      <c r="AM798" s="255"/>
      <c r="AN798" s="255"/>
      <c r="AO798" s="255"/>
      <c r="AP798" s="255"/>
      <c r="AQ798" s="255"/>
      <c r="AR798" s="255"/>
      <c r="AS798" s="255"/>
      <c r="AT798" s="255"/>
      <c r="AU798" s="255"/>
      <c r="AV798" s="255"/>
      <c r="AW798" s="255"/>
      <c r="AX798" s="210"/>
      <c r="AY798" s="236" cm="1">
        <f t="array" ref="AY798">INDEX(Use, $AD798, 4)</f>
        <v>7</v>
      </c>
      <c r="AZ798" s="236">
        <f t="shared" si="715"/>
        <v>32</v>
      </c>
      <c r="BA798" s="236">
        <f t="shared" si="740"/>
        <v>13</v>
      </c>
      <c r="BB798" s="236">
        <f t="shared" si="741"/>
        <v>0</v>
      </c>
      <c r="BC798" s="252" cm="1">
        <f t="array" ref="BC798">K798/IF($L798&gt;0, INDEX($AO$23:$AU$77, $L798+20, $AD798), 1)</f>
        <v>0</v>
      </c>
      <c r="BD798" s="237">
        <f t="shared" si="716"/>
        <v>0</v>
      </c>
      <c r="BE798" s="236">
        <v>35</v>
      </c>
      <c r="BF798" s="237">
        <f t="shared" si="717"/>
        <v>52.55</v>
      </c>
      <c r="BG798" s="253">
        <f t="shared" si="718"/>
        <v>2.7676728869374316</v>
      </c>
      <c r="BH798" s="253" cm="1">
        <f t="array" ref="BH798">$BC798 * SUMPRODUCT(INDEX($AL$77:$AN$82,,$AE798),INDEX($AO$77:$AU$82,,$AD798), N($AK$77:$AK$82&gt;$AI798)) / BG798 / 1000</f>
        <v>0</v>
      </c>
      <c r="BI798" s="250">
        <f t="shared" si="742"/>
        <v>30</v>
      </c>
      <c r="BJ798" s="237">
        <f t="shared" si="719"/>
        <v>46.033333333333331</v>
      </c>
      <c r="BK798" s="253">
        <f t="shared" si="720"/>
        <v>3.2297395388556791</v>
      </c>
      <c r="BL798" s="253" cm="1">
        <f t="array" ref="BL798">$BC798 * IF($AD798&lt;=2,
SUMPRODUCT(INDEX($AL$72:$AN$76,,$AE798), INDEX($AO$72:$AU$76,,$AD798), 1 / ($AV$72:$AV$76*BK798 + (1-$AV$72:$AV$76)*BG798), N($AK$72:$AK$76&gt;$AI798)),
SUMPRODUCT(INDEX($AL$67:$AN$76,,$AE798), INDEX($AO$67:$AU$76,,$AD798), 1 / ($AW$67:$AW$76*BK798 + (1-$AW$67:$AW$76)*BG798), N($AK$67:$AK$76&gt;$AI798))
) / 1000</f>
        <v>0</v>
      </c>
      <c r="BM798" s="250">
        <f t="shared" si="743"/>
        <v>25</v>
      </c>
      <c r="BN798" s="237">
        <f t="shared" si="721"/>
        <v>39.516666666666666</v>
      </c>
      <c r="BO798" s="253">
        <f t="shared" si="722"/>
        <v>3.877011788826243</v>
      </c>
      <c r="BP798" s="253" cm="1">
        <f t="array" ref="BP798">$BC798 * IF($AD798&lt;=2,
SUMPRODUCT(INDEX($AL$67:$AN$71,,$AE798), INDEX($AO$67:$AU$71,,$AD798), 1 / ($AV$67:$AV$71*BO798 + (1-$AV$67:$AV$71)*BK798), N($AK$67:$AK$71&gt;$AI798)),
SUMPRODUCT(INDEX($AL$57:$AN$66,,$AE798), INDEX($AO$57:$AU$66,,$AD798), 1 / ($AW$57:$AW$66*BO798 + (1-$AW$57:$AW$66)*BK798), N($AK$57:$AK$66&gt;$AI798))
) / 1000</f>
        <v>0</v>
      </c>
      <c r="BQ798" s="250">
        <f t="shared" si="744"/>
        <v>20</v>
      </c>
      <c r="BR798" s="237">
        <f t="shared" si="723"/>
        <v>33</v>
      </c>
      <c r="BS798" s="253">
        <f t="shared" si="724"/>
        <v>4.8487499999999999</v>
      </c>
      <c r="BT798" s="253" cm="1">
        <f t="array" ref="BT798">$BC798 * IF($AD798&lt;=2,
SUMPRODUCT(INDEX($AL$62:$AN$66,,$AE798), INDEX($AO$62:$AU$66,,$AD798), 1 / ($AV$62:$AV$66*BS798 + (1-$AV$62:$AV$66)*BO798), N($AK$62:$AK$66&gt;$AI798)),
SUMPRODUCT(INDEX($AL$47:$AN$56,,$AE798), INDEX($AO$47:$AU$56,,$AD798), 1 / ($AW$47:$AW$56*BS798 + (1-$AW$47:$AW$56)*BO798), N($AK$47:$AK$56&gt;$AI798))
) / 1000</f>
        <v>0</v>
      </c>
      <c r="BU798" s="253" cm="1">
        <f t="array" ref="BU798">$BC798 * IF($AD798&lt;=2,
SUMPRODUCT(INDEX($AL$23:$AN$61,,$AE798), INDEX($AO$23:$AU$61,,$AD798), 1 / ($AV$23:$AV$61*BS798), N($AK$23:$AK$61&gt;$AI798)),
SUMPRODUCT(INDEX($AL$23:$AN$46,,$AE798), INDEX($AO$23:$AU$46,,$AD798), 1 / ($AW$23:$AW$46*BS798), N($AK$23:$AK$46&gt;$AI798))
) / 1000</f>
        <v>0</v>
      </c>
      <c r="BV798" s="237">
        <f t="shared" si="725"/>
        <v>0</v>
      </c>
      <c r="BW798" s="210"/>
      <c r="BX798" s="237">
        <f t="shared" si="726"/>
        <v>0</v>
      </c>
      <c r="BY798" s="236">
        <v>35</v>
      </c>
      <c r="BZ798" s="237">
        <f t="shared" si="727"/>
        <v>48</v>
      </c>
      <c r="CA798" s="253">
        <f t="shared" si="728"/>
        <v>3.0748170731707316</v>
      </c>
      <c r="CB798" s="253" cm="1">
        <f t="array" ref="CB798">$BC798 * SUMPRODUCT(INDEX($AL$77:$AN$82,,$AE798),INDEX($AO$77:$AU$82,,$AD798), N($AK$77:$AK$82&gt;$AI798)) / CA798 / 1000</f>
        <v>0</v>
      </c>
      <c r="CC798" s="250">
        <f t="shared" si="745"/>
        <v>30</v>
      </c>
      <c r="CD798" s="237">
        <f t="shared" si="729"/>
        <v>43</v>
      </c>
      <c r="CE798" s="253">
        <f t="shared" si="730"/>
        <v>3.5018750000000001</v>
      </c>
      <c r="CF798" s="253" cm="1">
        <f t="array" ref="CF798">$BC798 * IF($AD798&lt;=2,
SUMPRODUCT(INDEX($AL$72:$AN$76,,$AE798), INDEX($AO$72:$AU$76,,$AD798), 1 / ($AV$72:$AV$76*CE798 + (1-$AV$72:$AV$76)*CA798), N($AK$72:$AK$76&gt;$AI798)),
SUMPRODUCT(INDEX($AL$67:$AN$76,,$AE798), INDEX($AO$67:$AU$76,,$AD798), 1 / ($AW$67:$AW$76*CE798 + (1-$AW$67:$AW$76)*CA798), N($AK$67:$AK$76&gt;$AI798))
) / 1000</f>
        <v>0</v>
      </c>
      <c r="CG798" s="250">
        <f t="shared" si="746"/>
        <v>25</v>
      </c>
      <c r="CH798" s="237">
        <f t="shared" si="731"/>
        <v>38</v>
      </c>
      <c r="CI798" s="253">
        <f t="shared" si="732"/>
        <v>4.0666935483870965</v>
      </c>
      <c r="CJ798" s="253" cm="1">
        <f t="array" ref="CJ798">$BC798 * IF($AD798&lt;=2,
SUMPRODUCT(INDEX($AL$67:$AN$71,,$AE798), INDEX($AO$67:$AU$71,,$AD798), 1 / ($AV$67:$AV$71*CI798 + (1-$AV$67:$AV$71)*CE798), N($AK$67:$AK$71&gt;$AI798)),
SUMPRODUCT(INDEX($AL$57:$AN$66,,$AE798), INDEX($AO$57:$AU$66,,$AD798), 1 / ($AW$57:$AW$66*CI798 + (1-$AW$57:$AW$66)*CE798), N($AK$57:$AK$66&gt;$AI798))
) / 1000</f>
        <v>0</v>
      </c>
      <c r="CK798" s="250">
        <f t="shared" si="747"/>
        <v>20</v>
      </c>
      <c r="CL798" s="237">
        <f t="shared" si="733"/>
        <v>33</v>
      </c>
      <c r="CM798" s="253">
        <f t="shared" si="734"/>
        <v>4.8487499999999999</v>
      </c>
      <c r="CN798" s="253" cm="1">
        <f t="array" ref="CN798">$BC798 * IF($AD798&lt;=2,
SUMPRODUCT(INDEX($AL$62:$AN$66,,$AE798), INDEX($AO$62:$AU$66,,$AD798), 1 / ($AV$62:$AV$66*CM798 + (1-$AV$62:$AV$66)*CI798), N($AK$62:$AK$66&gt;$AI798)),
SUMPRODUCT(INDEX($AL$47:$AN$56,,$AE798), INDEX($AO$47:$AU$56,,$AD798), 1 / ($AW$47:$AW$56*CM798 + (1-$AW$47:$AW$56)*CI798), N($AK$47:$AK$56&gt;$AI798))
) / 1000</f>
        <v>0</v>
      </c>
      <c r="CO798" s="253" cm="1">
        <f t="array" ref="CO798">$BC798 * IF($AD798&lt;=2,
SUMPRODUCT(INDEX($AL$23:$AN$61,,$AE798), INDEX($AO$23:$AU$61,,$AD798), 1 / ($AV$23:$AV$61*CM798), N($AK$23:$AK$61&gt;$AI798)),
SUMPRODUCT(INDEX($AL$23:$AN$46,,$AE798), INDEX($AO$23:$AU$46,,$AD798), 1 / ($AW$23:$AW$46*CM798), N($AK$23:$AK$46&gt;$AI798))
) / 1000</f>
        <v>0</v>
      </c>
      <c r="CP798" s="237">
        <f t="shared" si="735"/>
        <v>0</v>
      </c>
      <c r="CQ798" s="210"/>
    </row>
    <row r="799" spans="1:95" s="76" customFormat="1" ht="14.25" customHeight="1" x14ac:dyDescent="0.2">
      <c r="A799" s="238" t="b">
        <f t="shared" si="739"/>
        <v>0</v>
      </c>
      <c r="B799" s="239">
        <v>777</v>
      </c>
      <c r="C799" s="258"/>
      <c r="D799" s="258"/>
      <c r="E799" s="240"/>
      <c r="F799" s="241" t="str">
        <f>IF(ISBLANK(E799), "", VLOOKUP(E799, Z!$A$2:$C$4127, 3, FALSE))</f>
        <v/>
      </c>
      <c r="G799" s="242"/>
      <c r="H799" s="242"/>
      <c r="I799" s="243"/>
      <c r="J799" s="244"/>
      <c r="K799" s="259"/>
      <c r="L799" s="260"/>
      <c r="M799" s="247" t="str" cm="1">
        <f t="array" ref="M799">IF($K799&gt;0, INDEX(Clean,1+AG799,$C$1), "")</f>
        <v/>
      </c>
      <c r="N799" s="245"/>
      <c r="O799" s="245"/>
      <c r="P799" s="246"/>
      <c r="Q799" s="248">
        <f t="shared" si="712"/>
        <v>0</v>
      </c>
      <c r="R799" s="247" t="str" cm="1">
        <f t="array" ref="R799">IF($K799&gt;0, INDEX(Clean,1+AH799,$C$1), "")</f>
        <v/>
      </c>
      <c r="S799" s="245"/>
      <c r="T799" s="245"/>
      <c r="U799" s="246"/>
      <c r="V799" s="248">
        <f t="shared" si="713"/>
        <v>0</v>
      </c>
      <c r="W799" s="261"/>
      <c r="X799" s="258"/>
      <c r="Y799" s="240"/>
      <c r="Z799" s="241" t="str">
        <f>IF(ISBLANK(Y799), "", VLOOKUP(Y799, Z!$A$2:$C$4127, 3, FALSE))</f>
        <v/>
      </c>
      <c r="AA799" s="262"/>
      <c r="AB799" s="249">
        <f t="shared" si="748"/>
        <v>0</v>
      </c>
      <c r="AC799" s="210"/>
      <c r="AD799" s="236">
        <f t="shared" si="736"/>
        <v>1</v>
      </c>
      <c r="AE799" s="236">
        <f t="shared" si="737"/>
        <v>1</v>
      </c>
      <c r="AF799" s="236">
        <f t="shared" si="738"/>
        <v>0</v>
      </c>
      <c r="AG799" s="236">
        <v>1</v>
      </c>
      <c r="AH799" s="236">
        <v>0</v>
      </c>
      <c r="AI799" s="236">
        <f t="shared" si="714"/>
        <v>-100</v>
      </c>
      <c r="AJ799" s="210"/>
      <c r="AK799" s="254"/>
      <c r="AL799" s="254"/>
      <c r="AM799" s="255"/>
      <c r="AN799" s="255"/>
      <c r="AO799" s="255"/>
      <c r="AP799" s="255"/>
      <c r="AQ799" s="255"/>
      <c r="AR799" s="255"/>
      <c r="AS799" s="255"/>
      <c r="AT799" s="255"/>
      <c r="AU799" s="255"/>
      <c r="AV799" s="255"/>
      <c r="AW799" s="255"/>
      <c r="AX799" s="210"/>
      <c r="AY799" s="236" cm="1">
        <f t="array" ref="AY799">INDEX(Use, $AD799, 4)</f>
        <v>7</v>
      </c>
      <c r="AZ799" s="236">
        <f t="shared" si="715"/>
        <v>32</v>
      </c>
      <c r="BA799" s="236">
        <f t="shared" si="740"/>
        <v>13</v>
      </c>
      <c r="BB799" s="236">
        <f t="shared" si="741"/>
        <v>0</v>
      </c>
      <c r="BC799" s="252" cm="1">
        <f t="array" ref="BC799">K799/IF($L799&gt;0, INDEX($AO$23:$AU$77, $L799+20, $AD799), 1)</f>
        <v>0</v>
      </c>
      <c r="BD799" s="237">
        <f t="shared" si="716"/>
        <v>0</v>
      </c>
      <c r="BE799" s="236">
        <v>35</v>
      </c>
      <c r="BF799" s="237">
        <f t="shared" si="717"/>
        <v>52.55</v>
      </c>
      <c r="BG799" s="253">
        <f t="shared" si="718"/>
        <v>2.7676728869374316</v>
      </c>
      <c r="BH799" s="253" cm="1">
        <f t="array" ref="BH799">$BC799 * SUMPRODUCT(INDEX($AL$77:$AN$82,,$AE799),INDEX($AO$77:$AU$82,,$AD799), N($AK$77:$AK$82&gt;$AI799)) / BG799 / 1000</f>
        <v>0</v>
      </c>
      <c r="BI799" s="250">
        <f t="shared" si="742"/>
        <v>30</v>
      </c>
      <c r="BJ799" s="237">
        <f t="shared" si="719"/>
        <v>46.033333333333331</v>
      </c>
      <c r="BK799" s="253">
        <f t="shared" si="720"/>
        <v>3.2297395388556791</v>
      </c>
      <c r="BL799" s="253" cm="1">
        <f t="array" ref="BL799">$BC799 * IF($AD799&lt;=2,
SUMPRODUCT(INDEX($AL$72:$AN$76,,$AE799), INDEX($AO$72:$AU$76,,$AD799), 1 / ($AV$72:$AV$76*BK799 + (1-$AV$72:$AV$76)*BG799), N($AK$72:$AK$76&gt;$AI799)),
SUMPRODUCT(INDEX($AL$67:$AN$76,,$AE799), INDEX($AO$67:$AU$76,,$AD799), 1 / ($AW$67:$AW$76*BK799 + (1-$AW$67:$AW$76)*BG799), N($AK$67:$AK$76&gt;$AI799))
) / 1000</f>
        <v>0</v>
      </c>
      <c r="BM799" s="250">
        <f t="shared" si="743"/>
        <v>25</v>
      </c>
      <c r="BN799" s="237">
        <f t="shared" si="721"/>
        <v>39.516666666666666</v>
      </c>
      <c r="BO799" s="253">
        <f t="shared" si="722"/>
        <v>3.877011788826243</v>
      </c>
      <c r="BP799" s="253" cm="1">
        <f t="array" ref="BP799">$BC799 * IF($AD799&lt;=2,
SUMPRODUCT(INDEX($AL$67:$AN$71,,$AE799), INDEX($AO$67:$AU$71,,$AD799), 1 / ($AV$67:$AV$71*BO799 + (1-$AV$67:$AV$71)*BK799), N($AK$67:$AK$71&gt;$AI799)),
SUMPRODUCT(INDEX($AL$57:$AN$66,,$AE799), INDEX($AO$57:$AU$66,,$AD799), 1 / ($AW$57:$AW$66*BO799 + (1-$AW$57:$AW$66)*BK799), N($AK$57:$AK$66&gt;$AI799))
) / 1000</f>
        <v>0</v>
      </c>
      <c r="BQ799" s="250">
        <f t="shared" si="744"/>
        <v>20</v>
      </c>
      <c r="BR799" s="237">
        <f t="shared" si="723"/>
        <v>33</v>
      </c>
      <c r="BS799" s="253">
        <f t="shared" si="724"/>
        <v>4.8487499999999999</v>
      </c>
      <c r="BT799" s="253" cm="1">
        <f t="array" ref="BT799">$BC799 * IF($AD799&lt;=2,
SUMPRODUCT(INDEX($AL$62:$AN$66,,$AE799), INDEX($AO$62:$AU$66,,$AD799), 1 / ($AV$62:$AV$66*BS799 + (1-$AV$62:$AV$66)*BO799), N($AK$62:$AK$66&gt;$AI799)),
SUMPRODUCT(INDEX($AL$47:$AN$56,,$AE799), INDEX($AO$47:$AU$56,,$AD799), 1 / ($AW$47:$AW$56*BS799 + (1-$AW$47:$AW$56)*BO799), N($AK$47:$AK$56&gt;$AI799))
) / 1000</f>
        <v>0</v>
      </c>
      <c r="BU799" s="253" cm="1">
        <f t="array" ref="BU799">$BC799 * IF($AD799&lt;=2,
SUMPRODUCT(INDEX($AL$23:$AN$61,,$AE799), INDEX($AO$23:$AU$61,,$AD799), 1 / ($AV$23:$AV$61*BS799), N($AK$23:$AK$61&gt;$AI799)),
SUMPRODUCT(INDEX($AL$23:$AN$46,,$AE799), INDEX($AO$23:$AU$46,,$AD799), 1 / ($AW$23:$AW$46*BS799), N($AK$23:$AK$46&gt;$AI799))
) / 1000</f>
        <v>0</v>
      </c>
      <c r="BV799" s="237">
        <f t="shared" si="725"/>
        <v>0</v>
      </c>
      <c r="BW799" s="210"/>
      <c r="BX799" s="237">
        <f t="shared" si="726"/>
        <v>0</v>
      </c>
      <c r="BY799" s="236">
        <v>35</v>
      </c>
      <c r="BZ799" s="237">
        <f t="shared" si="727"/>
        <v>48</v>
      </c>
      <c r="CA799" s="253">
        <f t="shared" si="728"/>
        <v>3.0748170731707316</v>
      </c>
      <c r="CB799" s="253" cm="1">
        <f t="array" ref="CB799">$BC799 * SUMPRODUCT(INDEX($AL$77:$AN$82,,$AE799),INDEX($AO$77:$AU$82,,$AD799), N($AK$77:$AK$82&gt;$AI799)) / CA799 / 1000</f>
        <v>0</v>
      </c>
      <c r="CC799" s="250">
        <f t="shared" si="745"/>
        <v>30</v>
      </c>
      <c r="CD799" s="237">
        <f t="shared" si="729"/>
        <v>43</v>
      </c>
      <c r="CE799" s="253">
        <f t="shared" si="730"/>
        <v>3.5018750000000001</v>
      </c>
      <c r="CF799" s="253" cm="1">
        <f t="array" ref="CF799">$BC799 * IF($AD799&lt;=2,
SUMPRODUCT(INDEX($AL$72:$AN$76,,$AE799), INDEX($AO$72:$AU$76,,$AD799), 1 / ($AV$72:$AV$76*CE799 + (1-$AV$72:$AV$76)*CA799), N($AK$72:$AK$76&gt;$AI799)),
SUMPRODUCT(INDEX($AL$67:$AN$76,,$AE799), INDEX($AO$67:$AU$76,,$AD799), 1 / ($AW$67:$AW$76*CE799 + (1-$AW$67:$AW$76)*CA799), N($AK$67:$AK$76&gt;$AI799))
) / 1000</f>
        <v>0</v>
      </c>
      <c r="CG799" s="250">
        <f t="shared" si="746"/>
        <v>25</v>
      </c>
      <c r="CH799" s="237">
        <f t="shared" si="731"/>
        <v>38</v>
      </c>
      <c r="CI799" s="253">
        <f t="shared" si="732"/>
        <v>4.0666935483870965</v>
      </c>
      <c r="CJ799" s="253" cm="1">
        <f t="array" ref="CJ799">$BC799 * IF($AD799&lt;=2,
SUMPRODUCT(INDEX($AL$67:$AN$71,,$AE799), INDEX($AO$67:$AU$71,,$AD799), 1 / ($AV$67:$AV$71*CI799 + (1-$AV$67:$AV$71)*CE799), N($AK$67:$AK$71&gt;$AI799)),
SUMPRODUCT(INDEX($AL$57:$AN$66,,$AE799), INDEX($AO$57:$AU$66,,$AD799), 1 / ($AW$57:$AW$66*CI799 + (1-$AW$57:$AW$66)*CE799), N($AK$57:$AK$66&gt;$AI799))
) / 1000</f>
        <v>0</v>
      </c>
      <c r="CK799" s="250">
        <f t="shared" si="747"/>
        <v>20</v>
      </c>
      <c r="CL799" s="237">
        <f t="shared" si="733"/>
        <v>33</v>
      </c>
      <c r="CM799" s="253">
        <f t="shared" si="734"/>
        <v>4.8487499999999999</v>
      </c>
      <c r="CN799" s="253" cm="1">
        <f t="array" ref="CN799">$BC799 * IF($AD799&lt;=2,
SUMPRODUCT(INDEX($AL$62:$AN$66,,$AE799), INDEX($AO$62:$AU$66,,$AD799), 1 / ($AV$62:$AV$66*CM799 + (1-$AV$62:$AV$66)*CI799), N($AK$62:$AK$66&gt;$AI799)),
SUMPRODUCT(INDEX($AL$47:$AN$56,,$AE799), INDEX($AO$47:$AU$56,,$AD799), 1 / ($AW$47:$AW$56*CM799 + (1-$AW$47:$AW$56)*CI799), N($AK$47:$AK$56&gt;$AI799))
) / 1000</f>
        <v>0</v>
      </c>
      <c r="CO799" s="253" cm="1">
        <f t="array" ref="CO799">$BC799 * IF($AD799&lt;=2,
SUMPRODUCT(INDEX($AL$23:$AN$61,,$AE799), INDEX($AO$23:$AU$61,,$AD799), 1 / ($AV$23:$AV$61*CM799), N($AK$23:$AK$61&gt;$AI799)),
SUMPRODUCT(INDEX($AL$23:$AN$46,,$AE799), INDEX($AO$23:$AU$46,,$AD799), 1 / ($AW$23:$AW$46*CM799), N($AK$23:$AK$46&gt;$AI799))
) / 1000</f>
        <v>0</v>
      </c>
      <c r="CP799" s="237">
        <f t="shared" si="735"/>
        <v>0</v>
      </c>
      <c r="CQ799" s="210"/>
    </row>
    <row r="800" spans="1:95" s="76" customFormat="1" ht="14.25" customHeight="1" x14ac:dyDescent="0.2">
      <c r="A800" s="238" t="b">
        <f t="shared" si="739"/>
        <v>0</v>
      </c>
      <c r="B800" s="239">
        <v>778</v>
      </c>
      <c r="C800" s="258"/>
      <c r="D800" s="258"/>
      <c r="E800" s="240"/>
      <c r="F800" s="241" t="str">
        <f>IF(ISBLANK(E800), "", VLOOKUP(E800, Z!$A$2:$C$4127, 3, FALSE))</f>
        <v/>
      </c>
      <c r="G800" s="242"/>
      <c r="H800" s="242"/>
      <c r="I800" s="243"/>
      <c r="J800" s="244"/>
      <c r="K800" s="259"/>
      <c r="L800" s="260"/>
      <c r="M800" s="247" t="str" cm="1">
        <f t="array" ref="M800">IF($K800&gt;0, INDEX(Clean,1+AG800,$C$1), "")</f>
        <v/>
      </c>
      <c r="N800" s="245"/>
      <c r="O800" s="245"/>
      <c r="P800" s="246"/>
      <c r="Q800" s="248">
        <f t="shared" si="712"/>
        <v>0</v>
      </c>
      <c r="R800" s="247" t="str" cm="1">
        <f t="array" ref="R800">IF($K800&gt;0, INDEX(Clean,1+AH800,$C$1), "")</f>
        <v/>
      </c>
      <c r="S800" s="245"/>
      <c r="T800" s="245"/>
      <c r="U800" s="246"/>
      <c r="V800" s="248">
        <f t="shared" si="713"/>
        <v>0</v>
      </c>
      <c r="W800" s="261"/>
      <c r="X800" s="258"/>
      <c r="Y800" s="240"/>
      <c r="Z800" s="241" t="str">
        <f>IF(ISBLANK(Y800), "", VLOOKUP(Y800, Z!$A$2:$C$4127, 3, FALSE))</f>
        <v/>
      </c>
      <c r="AA800" s="262"/>
      <c r="AB800" s="249">
        <f t="shared" si="748"/>
        <v>0</v>
      </c>
      <c r="AC800" s="210"/>
      <c r="AD800" s="236">
        <f t="shared" si="736"/>
        <v>1</v>
      </c>
      <c r="AE800" s="236">
        <f t="shared" si="737"/>
        <v>1</v>
      </c>
      <c r="AF800" s="236">
        <f t="shared" si="738"/>
        <v>0</v>
      </c>
      <c r="AG800" s="236">
        <v>1</v>
      </c>
      <c r="AH800" s="236">
        <v>0</v>
      </c>
      <c r="AI800" s="236">
        <f t="shared" si="714"/>
        <v>-100</v>
      </c>
      <c r="AJ800" s="210"/>
      <c r="AK800" s="254"/>
      <c r="AL800" s="254"/>
      <c r="AM800" s="255"/>
      <c r="AN800" s="255"/>
      <c r="AO800" s="255"/>
      <c r="AP800" s="255"/>
      <c r="AQ800" s="255"/>
      <c r="AR800" s="255"/>
      <c r="AS800" s="255"/>
      <c r="AT800" s="255"/>
      <c r="AU800" s="255"/>
      <c r="AV800" s="255"/>
      <c r="AW800" s="255"/>
      <c r="AX800" s="210"/>
      <c r="AY800" s="236" cm="1">
        <f t="array" ref="AY800">INDEX(Use, $AD800, 4)</f>
        <v>7</v>
      </c>
      <c r="AZ800" s="236">
        <f t="shared" si="715"/>
        <v>32</v>
      </c>
      <c r="BA800" s="236">
        <f t="shared" si="740"/>
        <v>13</v>
      </c>
      <c r="BB800" s="236">
        <f t="shared" si="741"/>
        <v>0</v>
      </c>
      <c r="BC800" s="252" cm="1">
        <f t="array" ref="BC800">K800/IF($L800&gt;0, INDEX($AO$23:$AU$77, $L800+20, $AD800), 1)</f>
        <v>0</v>
      </c>
      <c r="BD800" s="237">
        <f t="shared" si="716"/>
        <v>0</v>
      </c>
      <c r="BE800" s="236">
        <v>35</v>
      </c>
      <c r="BF800" s="237">
        <f t="shared" si="717"/>
        <v>52.55</v>
      </c>
      <c r="BG800" s="253">
        <f t="shared" si="718"/>
        <v>2.7676728869374316</v>
      </c>
      <c r="BH800" s="253" cm="1">
        <f t="array" ref="BH800">$BC800 * SUMPRODUCT(INDEX($AL$77:$AN$82,,$AE800),INDEX($AO$77:$AU$82,,$AD800), N($AK$77:$AK$82&gt;$AI800)) / BG800 / 1000</f>
        <v>0</v>
      </c>
      <c r="BI800" s="250">
        <f t="shared" si="742"/>
        <v>30</v>
      </c>
      <c r="BJ800" s="237">
        <f t="shared" si="719"/>
        <v>46.033333333333331</v>
      </c>
      <c r="BK800" s="253">
        <f t="shared" si="720"/>
        <v>3.2297395388556791</v>
      </c>
      <c r="BL800" s="253" cm="1">
        <f t="array" ref="BL800">$BC800 * IF($AD800&lt;=2,
SUMPRODUCT(INDEX($AL$72:$AN$76,,$AE800), INDEX($AO$72:$AU$76,,$AD800), 1 / ($AV$72:$AV$76*BK800 + (1-$AV$72:$AV$76)*BG800), N($AK$72:$AK$76&gt;$AI800)),
SUMPRODUCT(INDEX($AL$67:$AN$76,,$AE800), INDEX($AO$67:$AU$76,,$AD800), 1 / ($AW$67:$AW$76*BK800 + (1-$AW$67:$AW$76)*BG800), N($AK$67:$AK$76&gt;$AI800))
) / 1000</f>
        <v>0</v>
      </c>
      <c r="BM800" s="250">
        <f t="shared" si="743"/>
        <v>25</v>
      </c>
      <c r="BN800" s="237">
        <f t="shared" si="721"/>
        <v>39.516666666666666</v>
      </c>
      <c r="BO800" s="253">
        <f t="shared" si="722"/>
        <v>3.877011788826243</v>
      </c>
      <c r="BP800" s="253" cm="1">
        <f t="array" ref="BP800">$BC800 * IF($AD800&lt;=2,
SUMPRODUCT(INDEX($AL$67:$AN$71,,$AE800), INDEX($AO$67:$AU$71,,$AD800), 1 / ($AV$67:$AV$71*BO800 + (1-$AV$67:$AV$71)*BK800), N($AK$67:$AK$71&gt;$AI800)),
SUMPRODUCT(INDEX($AL$57:$AN$66,,$AE800), INDEX($AO$57:$AU$66,,$AD800), 1 / ($AW$57:$AW$66*BO800 + (1-$AW$57:$AW$66)*BK800), N($AK$57:$AK$66&gt;$AI800))
) / 1000</f>
        <v>0</v>
      </c>
      <c r="BQ800" s="250">
        <f t="shared" si="744"/>
        <v>20</v>
      </c>
      <c r="BR800" s="237">
        <f t="shared" si="723"/>
        <v>33</v>
      </c>
      <c r="BS800" s="253">
        <f t="shared" si="724"/>
        <v>4.8487499999999999</v>
      </c>
      <c r="BT800" s="253" cm="1">
        <f t="array" ref="BT800">$BC800 * IF($AD800&lt;=2,
SUMPRODUCT(INDEX($AL$62:$AN$66,,$AE800), INDEX($AO$62:$AU$66,,$AD800), 1 / ($AV$62:$AV$66*BS800 + (1-$AV$62:$AV$66)*BO800), N($AK$62:$AK$66&gt;$AI800)),
SUMPRODUCT(INDEX($AL$47:$AN$56,,$AE800), INDEX($AO$47:$AU$56,,$AD800), 1 / ($AW$47:$AW$56*BS800 + (1-$AW$47:$AW$56)*BO800), N($AK$47:$AK$56&gt;$AI800))
) / 1000</f>
        <v>0</v>
      </c>
      <c r="BU800" s="253" cm="1">
        <f t="array" ref="BU800">$BC800 * IF($AD800&lt;=2,
SUMPRODUCT(INDEX($AL$23:$AN$61,,$AE800), INDEX($AO$23:$AU$61,,$AD800), 1 / ($AV$23:$AV$61*BS800), N($AK$23:$AK$61&gt;$AI800)),
SUMPRODUCT(INDEX($AL$23:$AN$46,,$AE800), INDEX($AO$23:$AU$46,,$AD800), 1 / ($AW$23:$AW$46*BS800), N($AK$23:$AK$46&gt;$AI800))
) / 1000</f>
        <v>0</v>
      </c>
      <c r="BV800" s="237">
        <f t="shared" si="725"/>
        <v>0</v>
      </c>
      <c r="BW800" s="210"/>
      <c r="BX800" s="237">
        <f t="shared" si="726"/>
        <v>0</v>
      </c>
      <c r="BY800" s="236">
        <v>35</v>
      </c>
      <c r="BZ800" s="237">
        <f t="shared" si="727"/>
        <v>48</v>
      </c>
      <c r="CA800" s="253">
        <f t="shared" si="728"/>
        <v>3.0748170731707316</v>
      </c>
      <c r="CB800" s="253" cm="1">
        <f t="array" ref="CB800">$BC800 * SUMPRODUCT(INDEX($AL$77:$AN$82,,$AE800),INDEX($AO$77:$AU$82,,$AD800), N($AK$77:$AK$82&gt;$AI800)) / CA800 / 1000</f>
        <v>0</v>
      </c>
      <c r="CC800" s="250">
        <f t="shared" si="745"/>
        <v>30</v>
      </c>
      <c r="CD800" s="237">
        <f t="shared" si="729"/>
        <v>43</v>
      </c>
      <c r="CE800" s="253">
        <f t="shared" si="730"/>
        <v>3.5018750000000001</v>
      </c>
      <c r="CF800" s="253" cm="1">
        <f t="array" ref="CF800">$BC800 * IF($AD800&lt;=2,
SUMPRODUCT(INDEX($AL$72:$AN$76,,$AE800), INDEX($AO$72:$AU$76,,$AD800), 1 / ($AV$72:$AV$76*CE800 + (1-$AV$72:$AV$76)*CA800), N($AK$72:$AK$76&gt;$AI800)),
SUMPRODUCT(INDEX($AL$67:$AN$76,,$AE800), INDEX($AO$67:$AU$76,,$AD800), 1 / ($AW$67:$AW$76*CE800 + (1-$AW$67:$AW$76)*CA800), N($AK$67:$AK$76&gt;$AI800))
) / 1000</f>
        <v>0</v>
      </c>
      <c r="CG800" s="250">
        <f t="shared" si="746"/>
        <v>25</v>
      </c>
      <c r="CH800" s="237">
        <f t="shared" si="731"/>
        <v>38</v>
      </c>
      <c r="CI800" s="253">
        <f t="shared" si="732"/>
        <v>4.0666935483870965</v>
      </c>
      <c r="CJ800" s="253" cm="1">
        <f t="array" ref="CJ800">$BC800 * IF($AD800&lt;=2,
SUMPRODUCT(INDEX($AL$67:$AN$71,,$AE800), INDEX($AO$67:$AU$71,,$AD800), 1 / ($AV$67:$AV$71*CI800 + (1-$AV$67:$AV$71)*CE800), N($AK$67:$AK$71&gt;$AI800)),
SUMPRODUCT(INDEX($AL$57:$AN$66,,$AE800), INDEX($AO$57:$AU$66,,$AD800), 1 / ($AW$57:$AW$66*CI800 + (1-$AW$57:$AW$66)*CE800), N($AK$57:$AK$66&gt;$AI800))
) / 1000</f>
        <v>0</v>
      </c>
      <c r="CK800" s="250">
        <f t="shared" si="747"/>
        <v>20</v>
      </c>
      <c r="CL800" s="237">
        <f t="shared" si="733"/>
        <v>33</v>
      </c>
      <c r="CM800" s="253">
        <f t="shared" si="734"/>
        <v>4.8487499999999999</v>
      </c>
      <c r="CN800" s="253" cm="1">
        <f t="array" ref="CN800">$BC800 * IF($AD800&lt;=2,
SUMPRODUCT(INDEX($AL$62:$AN$66,,$AE800), INDEX($AO$62:$AU$66,,$AD800), 1 / ($AV$62:$AV$66*CM800 + (1-$AV$62:$AV$66)*CI800), N($AK$62:$AK$66&gt;$AI800)),
SUMPRODUCT(INDEX($AL$47:$AN$56,,$AE800), INDEX($AO$47:$AU$56,,$AD800), 1 / ($AW$47:$AW$56*CM800 + (1-$AW$47:$AW$56)*CI800), N($AK$47:$AK$56&gt;$AI800))
) / 1000</f>
        <v>0</v>
      </c>
      <c r="CO800" s="253" cm="1">
        <f t="array" ref="CO800">$BC800 * IF($AD800&lt;=2,
SUMPRODUCT(INDEX($AL$23:$AN$61,,$AE800), INDEX($AO$23:$AU$61,,$AD800), 1 / ($AV$23:$AV$61*CM800), N($AK$23:$AK$61&gt;$AI800)),
SUMPRODUCT(INDEX($AL$23:$AN$46,,$AE800), INDEX($AO$23:$AU$46,,$AD800), 1 / ($AW$23:$AW$46*CM800), N($AK$23:$AK$46&gt;$AI800))
) / 1000</f>
        <v>0</v>
      </c>
      <c r="CP800" s="237">
        <f t="shared" si="735"/>
        <v>0</v>
      </c>
      <c r="CQ800" s="210"/>
    </row>
    <row r="801" spans="1:95" s="76" customFormat="1" ht="14.25" customHeight="1" x14ac:dyDescent="0.2">
      <c r="A801" s="238" t="b">
        <f t="shared" si="739"/>
        <v>0</v>
      </c>
      <c r="B801" s="239">
        <v>779</v>
      </c>
      <c r="C801" s="258"/>
      <c r="D801" s="258"/>
      <c r="E801" s="240"/>
      <c r="F801" s="241" t="str">
        <f>IF(ISBLANK(E801), "", VLOOKUP(E801, Z!$A$2:$C$4127, 3, FALSE))</f>
        <v/>
      </c>
      <c r="G801" s="242"/>
      <c r="H801" s="242"/>
      <c r="I801" s="243"/>
      <c r="J801" s="244"/>
      <c r="K801" s="259"/>
      <c r="L801" s="260"/>
      <c r="M801" s="247" t="str" cm="1">
        <f t="array" ref="M801">IF($K801&gt;0, INDEX(Clean,1+AG801,$C$1), "")</f>
        <v/>
      </c>
      <c r="N801" s="245"/>
      <c r="O801" s="245"/>
      <c r="P801" s="246"/>
      <c r="Q801" s="248">
        <f t="shared" si="712"/>
        <v>0</v>
      </c>
      <c r="R801" s="247" t="str" cm="1">
        <f t="array" ref="R801">IF($K801&gt;0, INDEX(Clean,1+AH801,$C$1), "")</f>
        <v/>
      </c>
      <c r="S801" s="245"/>
      <c r="T801" s="245"/>
      <c r="U801" s="246"/>
      <c r="V801" s="248">
        <f t="shared" si="713"/>
        <v>0</v>
      </c>
      <c r="W801" s="261"/>
      <c r="X801" s="258"/>
      <c r="Y801" s="240"/>
      <c r="Z801" s="241" t="str">
        <f>IF(ISBLANK(Y801), "", VLOOKUP(Y801, Z!$A$2:$C$4127, 3, FALSE))</f>
        <v/>
      </c>
      <c r="AA801" s="262"/>
      <c r="AB801" s="249">
        <f t="shared" si="748"/>
        <v>0</v>
      </c>
      <c r="AC801" s="210"/>
      <c r="AD801" s="236">
        <f t="shared" si="736"/>
        <v>1</v>
      </c>
      <c r="AE801" s="236">
        <f t="shared" si="737"/>
        <v>1</v>
      </c>
      <c r="AF801" s="236">
        <f t="shared" si="738"/>
        <v>0</v>
      </c>
      <c r="AG801" s="236">
        <v>1</v>
      </c>
      <c r="AH801" s="236">
        <v>0</v>
      </c>
      <c r="AI801" s="236">
        <f t="shared" si="714"/>
        <v>-100</v>
      </c>
      <c r="AJ801" s="210"/>
      <c r="AK801" s="254"/>
      <c r="AL801" s="254"/>
      <c r="AM801" s="255"/>
      <c r="AN801" s="255"/>
      <c r="AO801" s="255"/>
      <c r="AP801" s="255"/>
      <c r="AQ801" s="255"/>
      <c r="AR801" s="255"/>
      <c r="AS801" s="255"/>
      <c r="AT801" s="255"/>
      <c r="AU801" s="255"/>
      <c r="AV801" s="255"/>
      <c r="AW801" s="255"/>
      <c r="AX801" s="210"/>
      <c r="AY801" s="236" cm="1">
        <f t="array" ref="AY801">INDEX(Use, $AD801, 4)</f>
        <v>7</v>
      </c>
      <c r="AZ801" s="236">
        <f t="shared" si="715"/>
        <v>32</v>
      </c>
      <c r="BA801" s="236">
        <f t="shared" si="740"/>
        <v>13</v>
      </c>
      <c r="BB801" s="236">
        <f t="shared" si="741"/>
        <v>0</v>
      </c>
      <c r="BC801" s="252" cm="1">
        <f t="array" ref="BC801">K801/IF($L801&gt;0, INDEX($AO$23:$AU$77, $L801+20, $AD801), 1)</f>
        <v>0</v>
      </c>
      <c r="BD801" s="237">
        <f t="shared" si="716"/>
        <v>0</v>
      </c>
      <c r="BE801" s="236">
        <v>35</v>
      </c>
      <c r="BF801" s="237">
        <f t="shared" si="717"/>
        <v>52.55</v>
      </c>
      <c r="BG801" s="253">
        <f t="shared" si="718"/>
        <v>2.7676728869374316</v>
      </c>
      <c r="BH801" s="253" cm="1">
        <f t="array" ref="BH801">$BC801 * SUMPRODUCT(INDEX($AL$77:$AN$82,,$AE801),INDEX($AO$77:$AU$82,,$AD801), N($AK$77:$AK$82&gt;$AI801)) / BG801 / 1000</f>
        <v>0</v>
      </c>
      <c r="BI801" s="250">
        <f t="shared" si="742"/>
        <v>30</v>
      </c>
      <c r="BJ801" s="237">
        <f t="shared" si="719"/>
        <v>46.033333333333331</v>
      </c>
      <c r="BK801" s="253">
        <f t="shared" si="720"/>
        <v>3.2297395388556791</v>
      </c>
      <c r="BL801" s="253" cm="1">
        <f t="array" ref="BL801">$BC801 * IF($AD801&lt;=2,
SUMPRODUCT(INDEX($AL$72:$AN$76,,$AE801), INDEX($AO$72:$AU$76,,$AD801), 1 / ($AV$72:$AV$76*BK801 + (1-$AV$72:$AV$76)*BG801), N($AK$72:$AK$76&gt;$AI801)),
SUMPRODUCT(INDEX($AL$67:$AN$76,,$AE801), INDEX($AO$67:$AU$76,,$AD801), 1 / ($AW$67:$AW$76*BK801 + (1-$AW$67:$AW$76)*BG801), N($AK$67:$AK$76&gt;$AI801))
) / 1000</f>
        <v>0</v>
      </c>
      <c r="BM801" s="250">
        <f t="shared" si="743"/>
        <v>25</v>
      </c>
      <c r="BN801" s="237">
        <f t="shared" si="721"/>
        <v>39.516666666666666</v>
      </c>
      <c r="BO801" s="253">
        <f t="shared" si="722"/>
        <v>3.877011788826243</v>
      </c>
      <c r="BP801" s="253" cm="1">
        <f t="array" ref="BP801">$BC801 * IF($AD801&lt;=2,
SUMPRODUCT(INDEX($AL$67:$AN$71,,$AE801), INDEX($AO$67:$AU$71,,$AD801), 1 / ($AV$67:$AV$71*BO801 + (1-$AV$67:$AV$71)*BK801), N($AK$67:$AK$71&gt;$AI801)),
SUMPRODUCT(INDEX($AL$57:$AN$66,,$AE801), INDEX($AO$57:$AU$66,,$AD801), 1 / ($AW$57:$AW$66*BO801 + (1-$AW$57:$AW$66)*BK801), N($AK$57:$AK$66&gt;$AI801))
) / 1000</f>
        <v>0</v>
      </c>
      <c r="BQ801" s="250">
        <f t="shared" si="744"/>
        <v>20</v>
      </c>
      <c r="BR801" s="237">
        <f t="shared" si="723"/>
        <v>33</v>
      </c>
      <c r="BS801" s="253">
        <f t="shared" si="724"/>
        <v>4.8487499999999999</v>
      </c>
      <c r="BT801" s="253" cm="1">
        <f t="array" ref="BT801">$BC801 * IF($AD801&lt;=2,
SUMPRODUCT(INDEX($AL$62:$AN$66,,$AE801), INDEX($AO$62:$AU$66,,$AD801), 1 / ($AV$62:$AV$66*BS801 + (1-$AV$62:$AV$66)*BO801), N($AK$62:$AK$66&gt;$AI801)),
SUMPRODUCT(INDEX($AL$47:$AN$56,,$AE801), INDEX($AO$47:$AU$56,,$AD801), 1 / ($AW$47:$AW$56*BS801 + (1-$AW$47:$AW$56)*BO801), N($AK$47:$AK$56&gt;$AI801))
) / 1000</f>
        <v>0</v>
      </c>
      <c r="BU801" s="253" cm="1">
        <f t="array" ref="BU801">$BC801 * IF($AD801&lt;=2,
SUMPRODUCT(INDEX($AL$23:$AN$61,,$AE801), INDEX($AO$23:$AU$61,,$AD801), 1 / ($AV$23:$AV$61*BS801), N($AK$23:$AK$61&gt;$AI801)),
SUMPRODUCT(INDEX($AL$23:$AN$46,,$AE801), INDEX($AO$23:$AU$46,,$AD801), 1 / ($AW$23:$AW$46*BS801), N($AK$23:$AK$46&gt;$AI801))
) / 1000</f>
        <v>0</v>
      </c>
      <c r="BV801" s="237">
        <f t="shared" si="725"/>
        <v>0</v>
      </c>
      <c r="BW801" s="210"/>
      <c r="BX801" s="237">
        <f t="shared" si="726"/>
        <v>0</v>
      </c>
      <c r="BY801" s="236">
        <v>35</v>
      </c>
      <c r="BZ801" s="237">
        <f t="shared" si="727"/>
        <v>48</v>
      </c>
      <c r="CA801" s="253">
        <f t="shared" si="728"/>
        <v>3.0748170731707316</v>
      </c>
      <c r="CB801" s="253" cm="1">
        <f t="array" ref="CB801">$BC801 * SUMPRODUCT(INDEX($AL$77:$AN$82,,$AE801),INDEX($AO$77:$AU$82,,$AD801), N($AK$77:$AK$82&gt;$AI801)) / CA801 / 1000</f>
        <v>0</v>
      </c>
      <c r="CC801" s="250">
        <f t="shared" si="745"/>
        <v>30</v>
      </c>
      <c r="CD801" s="237">
        <f t="shared" si="729"/>
        <v>43</v>
      </c>
      <c r="CE801" s="253">
        <f t="shared" si="730"/>
        <v>3.5018750000000001</v>
      </c>
      <c r="CF801" s="253" cm="1">
        <f t="array" ref="CF801">$BC801 * IF($AD801&lt;=2,
SUMPRODUCT(INDEX($AL$72:$AN$76,,$AE801), INDEX($AO$72:$AU$76,,$AD801), 1 / ($AV$72:$AV$76*CE801 + (1-$AV$72:$AV$76)*CA801), N($AK$72:$AK$76&gt;$AI801)),
SUMPRODUCT(INDEX($AL$67:$AN$76,,$AE801), INDEX($AO$67:$AU$76,,$AD801), 1 / ($AW$67:$AW$76*CE801 + (1-$AW$67:$AW$76)*CA801), N($AK$67:$AK$76&gt;$AI801))
) / 1000</f>
        <v>0</v>
      </c>
      <c r="CG801" s="250">
        <f t="shared" si="746"/>
        <v>25</v>
      </c>
      <c r="CH801" s="237">
        <f t="shared" si="731"/>
        <v>38</v>
      </c>
      <c r="CI801" s="253">
        <f t="shared" si="732"/>
        <v>4.0666935483870965</v>
      </c>
      <c r="CJ801" s="253" cm="1">
        <f t="array" ref="CJ801">$BC801 * IF($AD801&lt;=2,
SUMPRODUCT(INDEX($AL$67:$AN$71,,$AE801), INDEX($AO$67:$AU$71,,$AD801), 1 / ($AV$67:$AV$71*CI801 + (1-$AV$67:$AV$71)*CE801), N($AK$67:$AK$71&gt;$AI801)),
SUMPRODUCT(INDEX($AL$57:$AN$66,,$AE801), INDEX($AO$57:$AU$66,,$AD801), 1 / ($AW$57:$AW$66*CI801 + (1-$AW$57:$AW$66)*CE801), N($AK$57:$AK$66&gt;$AI801))
) / 1000</f>
        <v>0</v>
      </c>
      <c r="CK801" s="250">
        <f t="shared" si="747"/>
        <v>20</v>
      </c>
      <c r="CL801" s="237">
        <f t="shared" si="733"/>
        <v>33</v>
      </c>
      <c r="CM801" s="253">
        <f t="shared" si="734"/>
        <v>4.8487499999999999</v>
      </c>
      <c r="CN801" s="253" cm="1">
        <f t="array" ref="CN801">$BC801 * IF($AD801&lt;=2,
SUMPRODUCT(INDEX($AL$62:$AN$66,,$AE801), INDEX($AO$62:$AU$66,,$AD801), 1 / ($AV$62:$AV$66*CM801 + (1-$AV$62:$AV$66)*CI801), N($AK$62:$AK$66&gt;$AI801)),
SUMPRODUCT(INDEX($AL$47:$AN$56,,$AE801), INDEX($AO$47:$AU$56,,$AD801), 1 / ($AW$47:$AW$56*CM801 + (1-$AW$47:$AW$56)*CI801), N($AK$47:$AK$56&gt;$AI801))
) / 1000</f>
        <v>0</v>
      </c>
      <c r="CO801" s="253" cm="1">
        <f t="array" ref="CO801">$BC801 * IF($AD801&lt;=2,
SUMPRODUCT(INDEX($AL$23:$AN$61,,$AE801), INDEX($AO$23:$AU$61,,$AD801), 1 / ($AV$23:$AV$61*CM801), N($AK$23:$AK$61&gt;$AI801)),
SUMPRODUCT(INDEX($AL$23:$AN$46,,$AE801), INDEX($AO$23:$AU$46,,$AD801), 1 / ($AW$23:$AW$46*CM801), N($AK$23:$AK$46&gt;$AI801))
) / 1000</f>
        <v>0</v>
      </c>
      <c r="CP801" s="237">
        <f t="shared" si="735"/>
        <v>0</v>
      </c>
      <c r="CQ801" s="210"/>
    </row>
    <row r="802" spans="1:95" s="76" customFormat="1" ht="14.25" customHeight="1" x14ac:dyDescent="0.2">
      <c r="A802" s="238" t="b">
        <f t="shared" si="739"/>
        <v>0</v>
      </c>
      <c r="B802" s="239">
        <v>780</v>
      </c>
      <c r="C802" s="258"/>
      <c r="D802" s="258"/>
      <c r="E802" s="240"/>
      <c r="F802" s="241" t="str">
        <f>IF(ISBLANK(E802), "", VLOOKUP(E802, Z!$A$2:$C$4127, 3, FALSE))</f>
        <v/>
      </c>
      <c r="G802" s="242"/>
      <c r="H802" s="242"/>
      <c r="I802" s="243"/>
      <c r="J802" s="244"/>
      <c r="K802" s="259"/>
      <c r="L802" s="260"/>
      <c r="M802" s="247" t="str" cm="1">
        <f t="array" ref="M802">IF($K802&gt;0, INDEX(Clean,1+AG802,$C$1), "")</f>
        <v/>
      </c>
      <c r="N802" s="245"/>
      <c r="O802" s="245"/>
      <c r="P802" s="246"/>
      <c r="Q802" s="248">
        <f t="shared" si="712"/>
        <v>0</v>
      </c>
      <c r="R802" s="247" t="str" cm="1">
        <f t="array" ref="R802">IF($K802&gt;0, INDEX(Clean,1+AH802,$C$1), "")</f>
        <v/>
      </c>
      <c r="S802" s="245"/>
      <c r="T802" s="245"/>
      <c r="U802" s="246"/>
      <c r="V802" s="248">
        <f t="shared" si="713"/>
        <v>0</v>
      </c>
      <c r="W802" s="261"/>
      <c r="X802" s="258"/>
      <c r="Y802" s="240"/>
      <c r="Z802" s="241" t="str">
        <f>IF(ISBLANK(Y802), "", VLOOKUP(Y802, Z!$A$2:$C$4127, 3, FALSE))</f>
        <v/>
      </c>
      <c r="AA802" s="262"/>
      <c r="AB802" s="249">
        <f t="shared" si="748"/>
        <v>0</v>
      </c>
      <c r="AC802" s="210"/>
      <c r="AD802" s="236">
        <f t="shared" si="736"/>
        <v>1</v>
      </c>
      <c r="AE802" s="236">
        <f t="shared" si="737"/>
        <v>1</v>
      </c>
      <c r="AF802" s="236">
        <f t="shared" si="738"/>
        <v>0</v>
      </c>
      <c r="AG802" s="236">
        <v>1</v>
      </c>
      <c r="AH802" s="236">
        <v>0</v>
      </c>
      <c r="AI802" s="236">
        <f t="shared" si="714"/>
        <v>-100</v>
      </c>
      <c r="AJ802" s="210"/>
      <c r="AK802" s="254"/>
      <c r="AL802" s="254"/>
      <c r="AM802" s="255"/>
      <c r="AN802" s="255"/>
      <c r="AO802" s="255"/>
      <c r="AP802" s="255"/>
      <c r="AQ802" s="255"/>
      <c r="AR802" s="255"/>
      <c r="AS802" s="255"/>
      <c r="AT802" s="255"/>
      <c r="AU802" s="255"/>
      <c r="AV802" s="255"/>
      <c r="AW802" s="255"/>
      <c r="AX802" s="210"/>
      <c r="AY802" s="236" cm="1">
        <f t="array" ref="AY802">INDEX(Use, $AD802, 4)</f>
        <v>7</v>
      </c>
      <c r="AZ802" s="236">
        <f t="shared" si="715"/>
        <v>32</v>
      </c>
      <c r="BA802" s="236">
        <f t="shared" si="740"/>
        <v>13</v>
      </c>
      <c r="BB802" s="236">
        <f t="shared" si="741"/>
        <v>0</v>
      </c>
      <c r="BC802" s="252" cm="1">
        <f t="array" ref="BC802">K802/IF($L802&gt;0, INDEX($AO$23:$AU$77, $L802+20, $AD802), 1)</f>
        <v>0</v>
      </c>
      <c r="BD802" s="237">
        <f t="shared" si="716"/>
        <v>0</v>
      </c>
      <c r="BE802" s="236">
        <v>35</v>
      </c>
      <c r="BF802" s="237">
        <f t="shared" si="717"/>
        <v>52.55</v>
      </c>
      <c r="BG802" s="253">
        <f t="shared" si="718"/>
        <v>2.7676728869374316</v>
      </c>
      <c r="BH802" s="253" cm="1">
        <f t="array" ref="BH802">$BC802 * SUMPRODUCT(INDEX($AL$77:$AN$82,,$AE802),INDEX($AO$77:$AU$82,,$AD802), N($AK$77:$AK$82&gt;$AI802)) / BG802 / 1000</f>
        <v>0</v>
      </c>
      <c r="BI802" s="250">
        <f t="shared" si="742"/>
        <v>30</v>
      </c>
      <c r="BJ802" s="237">
        <f t="shared" si="719"/>
        <v>46.033333333333331</v>
      </c>
      <c r="BK802" s="253">
        <f t="shared" si="720"/>
        <v>3.2297395388556791</v>
      </c>
      <c r="BL802" s="253" cm="1">
        <f t="array" ref="BL802">$BC802 * IF($AD802&lt;=2,
SUMPRODUCT(INDEX($AL$72:$AN$76,,$AE802), INDEX($AO$72:$AU$76,,$AD802), 1 / ($AV$72:$AV$76*BK802 + (1-$AV$72:$AV$76)*BG802), N($AK$72:$AK$76&gt;$AI802)),
SUMPRODUCT(INDEX($AL$67:$AN$76,,$AE802), INDEX($AO$67:$AU$76,,$AD802), 1 / ($AW$67:$AW$76*BK802 + (1-$AW$67:$AW$76)*BG802), N($AK$67:$AK$76&gt;$AI802))
) / 1000</f>
        <v>0</v>
      </c>
      <c r="BM802" s="250">
        <f t="shared" si="743"/>
        <v>25</v>
      </c>
      <c r="BN802" s="237">
        <f t="shared" si="721"/>
        <v>39.516666666666666</v>
      </c>
      <c r="BO802" s="253">
        <f t="shared" si="722"/>
        <v>3.877011788826243</v>
      </c>
      <c r="BP802" s="253" cm="1">
        <f t="array" ref="BP802">$BC802 * IF($AD802&lt;=2,
SUMPRODUCT(INDEX($AL$67:$AN$71,,$AE802), INDEX($AO$67:$AU$71,,$AD802), 1 / ($AV$67:$AV$71*BO802 + (1-$AV$67:$AV$71)*BK802), N($AK$67:$AK$71&gt;$AI802)),
SUMPRODUCT(INDEX($AL$57:$AN$66,,$AE802), INDEX($AO$57:$AU$66,,$AD802), 1 / ($AW$57:$AW$66*BO802 + (1-$AW$57:$AW$66)*BK802), N($AK$57:$AK$66&gt;$AI802))
) / 1000</f>
        <v>0</v>
      </c>
      <c r="BQ802" s="250">
        <f t="shared" si="744"/>
        <v>20</v>
      </c>
      <c r="BR802" s="237">
        <f t="shared" si="723"/>
        <v>33</v>
      </c>
      <c r="BS802" s="253">
        <f t="shared" si="724"/>
        <v>4.8487499999999999</v>
      </c>
      <c r="BT802" s="253" cm="1">
        <f t="array" ref="BT802">$BC802 * IF($AD802&lt;=2,
SUMPRODUCT(INDEX($AL$62:$AN$66,,$AE802), INDEX($AO$62:$AU$66,,$AD802), 1 / ($AV$62:$AV$66*BS802 + (1-$AV$62:$AV$66)*BO802), N($AK$62:$AK$66&gt;$AI802)),
SUMPRODUCT(INDEX($AL$47:$AN$56,,$AE802), INDEX($AO$47:$AU$56,,$AD802), 1 / ($AW$47:$AW$56*BS802 + (1-$AW$47:$AW$56)*BO802), N($AK$47:$AK$56&gt;$AI802))
) / 1000</f>
        <v>0</v>
      </c>
      <c r="BU802" s="253" cm="1">
        <f t="array" ref="BU802">$BC802 * IF($AD802&lt;=2,
SUMPRODUCT(INDEX($AL$23:$AN$61,,$AE802), INDEX($AO$23:$AU$61,,$AD802), 1 / ($AV$23:$AV$61*BS802), N($AK$23:$AK$61&gt;$AI802)),
SUMPRODUCT(INDEX($AL$23:$AN$46,,$AE802), INDEX($AO$23:$AU$46,,$AD802), 1 / ($AW$23:$AW$46*BS802), N($AK$23:$AK$46&gt;$AI802))
) / 1000</f>
        <v>0</v>
      </c>
      <c r="BV802" s="237">
        <f t="shared" si="725"/>
        <v>0</v>
      </c>
      <c r="BW802" s="210"/>
      <c r="BX802" s="237">
        <f t="shared" si="726"/>
        <v>0</v>
      </c>
      <c r="BY802" s="236">
        <v>35</v>
      </c>
      <c r="BZ802" s="237">
        <f t="shared" si="727"/>
        <v>48</v>
      </c>
      <c r="CA802" s="253">
        <f t="shared" si="728"/>
        <v>3.0748170731707316</v>
      </c>
      <c r="CB802" s="253" cm="1">
        <f t="array" ref="CB802">$BC802 * SUMPRODUCT(INDEX($AL$77:$AN$82,,$AE802),INDEX($AO$77:$AU$82,,$AD802), N($AK$77:$AK$82&gt;$AI802)) / CA802 / 1000</f>
        <v>0</v>
      </c>
      <c r="CC802" s="250">
        <f t="shared" si="745"/>
        <v>30</v>
      </c>
      <c r="CD802" s="237">
        <f t="shared" si="729"/>
        <v>43</v>
      </c>
      <c r="CE802" s="253">
        <f t="shared" si="730"/>
        <v>3.5018750000000001</v>
      </c>
      <c r="CF802" s="253" cm="1">
        <f t="array" ref="CF802">$BC802 * IF($AD802&lt;=2,
SUMPRODUCT(INDEX($AL$72:$AN$76,,$AE802), INDEX($AO$72:$AU$76,,$AD802), 1 / ($AV$72:$AV$76*CE802 + (1-$AV$72:$AV$76)*CA802), N($AK$72:$AK$76&gt;$AI802)),
SUMPRODUCT(INDEX($AL$67:$AN$76,,$AE802), INDEX($AO$67:$AU$76,,$AD802), 1 / ($AW$67:$AW$76*CE802 + (1-$AW$67:$AW$76)*CA802), N($AK$67:$AK$76&gt;$AI802))
) / 1000</f>
        <v>0</v>
      </c>
      <c r="CG802" s="250">
        <f t="shared" si="746"/>
        <v>25</v>
      </c>
      <c r="CH802" s="237">
        <f t="shared" si="731"/>
        <v>38</v>
      </c>
      <c r="CI802" s="253">
        <f t="shared" si="732"/>
        <v>4.0666935483870965</v>
      </c>
      <c r="CJ802" s="253" cm="1">
        <f t="array" ref="CJ802">$BC802 * IF($AD802&lt;=2,
SUMPRODUCT(INDEX($AL$67:$AN$71,,$AE802), INDEX($AO$67:$AU$71,,$AD802), 1 / ($AV$67:$AV$71*CI802 + (1-$AV$67:$AV$71)*CE802), N($AK$67:$AK$71&gt;$AI802)),
SUMPRODUCT(INDEX($AL$57:$AN$66,,$AE802), INDEX($AO$57:$AU$66,,$AD802), 1 / ($AW$57:$AW$66*CI802 + (1-$AW$57:$AW$66)*CE802), N($AK$57:$AK$66&gt;$AI802))
) / 1000</f>
        <v>0</v>
      </c>
      <c r="CK802" s="250">
        <f t="shared" si="747"/>
        <v>20</v>
      </c>
      <c r="CL802" s="237">
        <f t="shared" si="733"/>
        <v>33</v>
      </c>
      <c r="CM802" s="253">
        <f t="shared" si="734"/>
        <v>4.8487499999999999</v>
      </c>
      <c r="CN802" s="253" cm="1">
        <f t="array" ref="CN802">$BC802 * IF($AD802&lt;=2,
SUMPRODUCT(INDEX($AL$62:$AN$66,,$AE802), INDEX($AO$62:$AU$66,,$AD802), 1 / ($AV$62:$AV$66*CM802 + (1-$AV$62:$AV$66)*CI802), N($AK$62:$AK$66&gt;$AI802)),
SUMPRODUCT(INDEX($AL$47:$AN$56,,$AE802), INDEX($AO$47:$AU$56,,$AD802), 1 / ($AW$47:$AW$56*CM802 + (1-$AW$47:$AW$56)*CI802), N($AK$47:$AK$56&gt;$AI802))
) / 1000</f>
        <v>0</v>
      </c>
      <c r="CO802" s="253" cm="1">
        <f t="array" ref="CO802">$BC802 * IF($AD802&lt;=2,
SUMPRODUCT(INDEX($AL$23:$AN$61,,$AE802), INDEX($AO$23:$AU$61,,$AD802), 1 / ($AV$23:$AV$61*CM802), N($AK$23:$AK$61&gt;$AI802)),
SUMPRODUCT(INDEX($AL$23:$AN$46,,$AE802), INDEX($AO$23:$AU$46,,$AD802), 1 / ($AW$23:$AW$46*CM802), N($AK$23:$AK$46&gt;$AI802))
) / 1000</f>
        <v>0</v>
      </c>
      <c r="CP802" s="237">
        <f t="shared" si="735"/>
        <v>0</v>
      </c>
      <c r="CQ802" s="210"/>
    </row>
    <row r="803" spans="1:95" s="76" customFormat="1" ht="14.25" customHeight="1" x14ac:dyDescent="0.2">
      <c r="A803" s="238" t="b">
        <f t="shared" si="739"/>
        <v>0</v>
      </c>
      <c r="B803" s="239">
        <v>781</v>
      </c>
      <c r="C803" s="258"/>
      <c r="D803" s="258"/>
      <c r="E803" s="240"/>
      <c r="F803" s="241" t="str">
        <f>IF(ISBLANK(E803), "", VLOOKUP(E803, Z!$A$2:$C$4127, 3, FALSE))</f>
        <v/>
      </c>
      <c r="G803" s="242"/>
      <c r="H803" s="242"/>
      <c r="I803" s="243"/>
      <c r="J803" s="244"/>
      <c r="K803" s="259"/>
      <c r="L803" s="260"/>
      <c r="M803" s="247" t="str" cm="1">
        <f t="array" ref="M803">IF($K803&gt;0, INDEX(Clean,1+AG803,$C$1), "")</f>
        <v/>
      </c>
      <c r="N803" s="245"/>
      <c r="O803" s="245"/>
      <c r="P803" s="246"/>
      <c r="Q803" s="248">
        <f t="shared" si="712"/>
        <v>0</v>
      </c>
      <c r="R803" s="247" t="str" cm="1">
        <f t="array" ref="R803">IF($K803&gt;0, INDEX(Clean,1+AH803,$C$1), "")</f>
        <v/>
      </c>
      <c r="S803" s="245"/>
      <c r="T803" s="245"/>
      <c r="U803" s="246"/>
      <c r="V803" s="248">
        <f t="shared" si="713"/>
        <v>0</v>
      </c>
      <c r="W803" s="261"/>
      <c r="X803" s="258"/>
      <c r="Y803" s="240"/>
      <c r="Z803" s="241" t="str">
        <f>IF(ISBLANK(Y803), "", VLOOKUP(Y803, Z!$A$2:$C$4127, 3, FALSE))</f>
        <v/>
      </c>
      <c r="AA803" s="262"/>
      <c r="AB803" s="249">
        <f t="shared" si="748"/>
        <v>0</v>
      </c>
      <c r="AC803" s="210"/>
      <c r="AD803" s="236">
        <f t="shared" si="736"/>
        <v>1</v>
      </c>
      <c r="AE803" s="236">
        <f t="shared" si="737"/>
        <v>1</v>
      </c>
      <c r="AF803" s="236">
        <f t="shared" si="738"/>
        <v>0</v>
      </c>
      <c r="AG803" s="236">
        <v>1</v>
      </c>
      <c r="AH803" s="236">
        <v>0</v>
      </c>
      <c r="AI803" s="236">
        <f t="shared" si="714"/>
        <v>-100</v>
      </c>
      <c r="AJ803" s="210"/>
      <c r="AK803" s="254"/>
      <c r="AL803" s="254"/>
      <c r="AM803" s="255"/>
      <c r="AN803" s="255"/>
      <c r="AO803" s="255"/>
      <c r="AP803" s="255"/>
      <c r="AQ803" s="255"/>
      <c r="AR803" s="255"/>
      <c r="AS803" s="255"/>
      <c r="AT803" s="255"/>
      <c r="AU803" s="255"/>
      <c r="AV803" s="255"/>
      <c r="AW803" s="255"/>
      <c r="AX803" s="210"/>
      <c r="AY803" s="236" cm="1">
        <f t="array" ref="AY803">INDEX(Use, $AD803, 4)</f>
        <v>7</v>
      </c>
      <c r="AZ803" s="236">
        <f t="shared" si="715"/>
        <v>32</v>
      </c>
      <c r="BA803" s="236">
        <f t="shared" si="740"/>
        <v>13</v>
      </c>
      <c r="BB803" s="236">
        <f t="shared" si="741"/>
        <v>0</v>
      </c>
      <c r="BC803" s="252" cm="1">
        <f t="array" ref="BC803">K803/IF($L803&gt;0, INDEX($AO$23:$AU$77, $L803+20, $AD803), 1)</f>
        <v>0</v>
      </c>
      <c r="BD803" s="237">
        <f t="shared" si="716"/>
        <v>0</v>
      </c>
      <c r="BE803" s="236">
        <v>35</v>
      </c>
      <c r="BF803" s="237">
        <f t="shared" si="717"/>
        <v>52.55</v>
      </c>
      <c r="BG803" s="253">
        <f t="shared" si="718"/>
        <v>2.7676728869374316</v>
      </c>
      <c r="BH803" s="253" cm="1">
        <f t="array" ref="BH803">$BC803 * SUMPRODUCT(INDEX($AL$77:$AN$82,,$AE803),INDEX($AO$77:$AU$82,,$AD803), N($AK$77:$AK$82&gt;$AI803)) / BG803 / 1000</f>
        <v>0</v>
      </c>
      <c r="BI803" s="250">
        <f t="shared" si="742"/>
        <v>30</v>
      </c>
      <c r="BJ803" s="237">
        <f t="shared" si="719"/>
        <v>46.033333333333331</v>
      </c>
      <c r="BK803" s="253">
        <f t="shared" si="720"/>
        <v>3.2297395388556791</v>
      </c>
      <c r="BL803" s="253" cm="1">
        <f t="array" ref="BL803">$BC803 * IF($AD803&lt;=2,
SUMPRODUCT(INDEX($AL$72:$AN$76,,$AE803), INDEX($AO$72:$AU$76,,$AD803), 1 / ($AV$72:$AV$76*BK803 + (1-$AV$72:$AV$76)*BG803), N($AK$72:$AK$76&gt;$AI803)),
SUMPRODUCT(INDEX($AL$67:$AN$76,,$AE803), INDEX($AO$67:$AU$76,,$AD803), 1 / ($AW$67:$AW$76*BK803 + (1-$AW$67:$AW$76)*BG803), N($AK$67:$AK$76&gt;$AI803))
) / 1000</f>
        <v>0</v>
      </c>
      <c r="BM803" s="250">
        <f t="shared" si="743"/>
        <v>25</v>
      </c>
      <c r="BN803" s="237">
        <f t="shared" si="721"/>
        <v>39.516666666666666</v>
      </c>
      <c r="BO803" s="253">
        <f t="shared" si="722"/>
        <v>3.877011788826243</v>
      </c>
      <c r="BP803" s="253" cm="1">
        <f t="array" ref="BP803">$BC803 * IF($AD803&lt;=2,
SUMPRODUCT(INDEX($AL$67:$AN$71,,$AE803), INDEX($AO$67:$AU$71,,$AD803), 1 / ($AV$67:$AV$71*BO803 + (1-$AV$67:$AV$71)*BK803), N($AK$67:$AK$71&gt;$AI803)),
SUMPRODUCT(INDEX($AL$57:$AN$66,,$AE803), INDEX($AO$57:$AU$66,,$AD803), 1 / ($AW$57:$AW$66*BO803 + (1-$AW$57:$AW$66)*BK803), N($AK$57:$AK$66&gt;$AI803))
) / 1000</f>
        <v>0</v>
      </c>
      <c r="BQ803" s="250">
        <f t="shared" si="744"/>
        <v>20</v>
      </c>
      <c r="BR803" s="237">
        <f t="shared" si="723"/>
        <v>33</v>
      </c>
      <c r="BS803" s="253">
        <f t="shared" si="724"/>
        <v>4.8487499999999999</v>
      </c>
      <c r="BT803" s="253" cm="1">
        <f t="array" ref="BT803">$BC803 * IF($AD803&lt;=2,
SUMPRODUCT(INDEX($AL$62:$AN$66,,$AE803), INDEX($AO$62:$AU$66,,$AD803), 1 / ($AV$62:$AV$66*BS803 + (1-$AV$62:$AV$66)*BO803), N($AK$62:$AK$66&gt;$AI803)),
SUMPRODUCT(INDEX($AL$47:$AN$56,,$AE803), INDEX($AO$47:$AU$56,,$AD803), 1 / ($AW$47:$AW$56*BS803 + (1-$AW$47:$AW$56)*BO803), N($AK$47:$AK$56&gt;$AI803))
) / 1000</f>
        <v>0</v>
      </c>
      <c r="BU803" s="253" cm="1">
        <f t="array" ref="BU803">$BC803 * IF($AD803&lt;=2,
SUMPRODUCT(INDEX($AL$23:$AN$61,,$AE803), INDEX($AO$23:$AU$61,,$AD803), 1 / ($AV$23:$AV$61*BS803), N($AK$23:$AK$61&gt;$AI803)),
SUMPRODUCT(INDEX($AL$23:$AN$46,,$AE803), INDEX($AO$23:$AU$46,,$AD803), 1 / ($AW$23:$AW$46*BS803), N($AK$23:$AK$46&gt;$AI803))
) / 1000</f>
        <v>0</v>
      </c>
      <c r="BV803" s="237">
        <f t="shared" si="725"/>
        <v>0</v>
      </c>
      <c r="BW803" s="210"/>
      <c r="BX803" s="237">
        <f t="shared" si="726"/>
        <v>0</v>
      </c>
      <c r="BY803" s="236">
        <v>35</v>
      </c>
      <c r="BZ803" s="237">
        <f t="shared" si="727"/>
        <v>48</v>
      </c>
      <c r="CA803" s="253">
        <f t="shared" si="728"/>
        <v>3.0748170731707316</v>
      </c>
      <c r="CB803" s="253" cm="1">
        <f t="array" ref="CB803">$BC803 * SUMPRODUCT(INDEX($AL$77:$AN$82,,$AE803),INDEX($AO$77:$AU$82,,$AD803), N($AK$77:$AK$82&gt;$AI803)) / CA803 / 1000</f>
        <v>0</v>
      </c>
      <c r="CC803" s="250">
        <f t="shared" si="745"/>
        <v>30</v>
      </c>
      <c r="CD803" s="237">
        <f t="shared" si="729"/>
        <v>43</v>
      </c>
      <c r="CE803" s="253">
        <f t="shared" si="730"/>
        <v>3.5018750000000001</v>
      </c>
      <c r="CF803" s="253" cm="1">
        <f t="array" ref="CF803">$BC803 * IF($AD803&lt;=2,
SUMPRODUCT(INDEX($AL$72:$AN$76,,$AE803), INDEX($AO$72:$AU$76,,$AD803), 1 / ($AV$72:$AV$76*CE803 + (1-$AV$72:$AV$76)*CA803), N($AK$72:$AK$76&gt;$AI803)),
SUMPRODUCT(INDEX($AL$67:$AN$76,,$AE803), INDEX($AO$67:$AU$76,,$AD803), 1 / ($AW$67:$AW$76*CE803 + (1-$AW$67:$AW$76)*CA803), N($AK$67:$AK$76&gt;$AI803))
) / 1000</f>
        <v>0</v>
      </c>
      <c r="CG803" s="250">
        <f t="shared" si="746"/>
        <v>25</v>
      </c>
      <c r="CH803" s="237">
        <f t="shared" si="731"/>
        <v>38</v>
      </c>
      <c r="CI803" s="253">
        <f t="shared" si="732"/>
        <v>4.0666935483870965</v>
      </c>
      <c r="CJ803" s="253" cm="1">
        <f t="array" ref="CJ803">$BC803 * IF($AD803&lt;=2,
SUMPRODUCT(INDEX($AL$67:$AN$71,,$AE803), INDEX($AO$67:$AU$71,,$AD803), 1 / ($AV$67:$AV$71*CI803 + (1-$AV$67:$AV$71)*CE803), N($AK$67:$AK$71&gt;$AI803)),
SUMPRODUCT(INDEX($AL$57:$AN$66,,$AE803), INDEX($AO$57:$AU$66,,$AD803), 1 / ($AW$57:$AW$66*CI803 + (1-$AW$57:$AW$66)*CE803), N($AK$57:$AK$66&gt;$AI803))
) / 1000</f>
        <v>0</v>
      </c>
      <c r="CK803" s="250">
        <f t="shared" si="747"/>
        <v>20</v>
      </c>
      <c r="CL803" s="237">
        <f t="shared" si="733"/>
        <v>33</v>
      </c>
      <c r="CM803" s="253">
        <f t="shared" si="734"/>
        <v>4.8487499999999999</v>
      </c>
      <c r="CN803" s="253" cm="1">
        <f t="array" ref="CN803">$BC803 * IF($AD803&lt;=2,
SUMPRODUCT(INDEX($AL$62:$AN$66,,$AE803), INDEX($AO$62:$AU$66,,$AD803), 1 / ($AV$62:$AV$66*CM803 + (1-$AV$62:$AV$66)*CI803), N($AK$62:$AK$66&gt;$AI803)),
SUMPRODUCT(INDEX($AL$47:$AN$56,,$AE803), INDEX($AO$47:$AU$56,,$AD803), 1 / ($AW$47:$AW$56*CM803 + (1-$AW$47:$AW$56)*CI803), N($AK$47:$AK$56&gt;$AI803))
) / 1000</f>
        <v>0</v>
      </c>
      <c r="CO803" s="253" cm="1">
        <f t="array" ref="CO803">$BC803 * IF($AD803&lt;=2,
SUMPRODUCT(INDEX($AL$23:$AN$61,,$AE803), INDEX($AO$23:$AU$61,,$AD803), 1 / ($AV$23:$AV$61*CM803), N($AK$23:$AK$61&gt;$AI803)),
SUMPRODUCT(INDEX($AL$23:$AN$46,,$AE803), INDEX($AO$23:$AU$46,,$AD803), 1 / ($AW$23:$AW$46*CM803), N($AK$23:$AK$46&gt;$AI803))
) / 1000</f>
        <v>0</v>
      </c>
      <c r="CP803" s="237">
        <f t="shared" si="735"/>
        <v>0</v>
      </c>
      <c r="CQ803" s="210"/>
    </row>
    <row r="804" spans="1:95" s="76" customFormat="1" ht="14.25" customHeight="1" x14ac:dyDescent="0.2">
      <c r="A804" s="238" t="b">
        <f t="shared" si="739"/>
        <v>0</v>
      </c>
      <c r="B804" s="239">
        <v>782</v>
      </c>
      <c r="C804" s="258"/>
      <c r="D804" s="258"/>
      <c r="E804" s="240"/>
      <c r="F804" s="241" t="str">
        <f>IF(ISBLANK(E804), "", VLOOKUP(E804, Z!$A$2:$C$4127, 3, FALSE))</f>
        <v/>
      </c>
      <c r="G804" s="242"/>
      <c r="H804" s="242"/>
      <c r="I804" s="243"/>
      <c r="J804" s="244"/>
      <c r="K804" s="259"/>
      <c r="L804" s="260"/>
      <c r="M804" s="247" t="str" cm="1">
        <f t="array" ref="M804">IF($K804&gt;0, INDEX(Clean,1+AG804,$C$1), "")</f>
        <v/>
      </c>
      <c r="N804" s="245"/>
      <c r="O804" s="245"/>
      <c r="P804" s="246"/>
      <c r="Q804" s="248">
        <f t="shared" si="712"/>
        <v>0</v>
      </c>
      <c r="R804" s="247" t="str" cm="1">
        <f t="array" ref="R804">IF($K804&gt;0, INDEX(Clean,1+AH804,$C$1), "")</f>
        <v/>
      </c>
      <c r="S804" s="245"/>
      <c r="T804" s="245"/>
      <c r="U804" s="246"/>
      <c r="V804" s="248">
        <f t="shared" si="713"/>
        <v>0</v>
      </c>
      <c r="W804" s="261"/>
      <c r="X804" s="258"/>
      <c r="Y804" s="240"/>
      <c r="Z804" s="241" t="str">
        <f>IF(ISBLANK(Y804), "", VLOOKUP(Y804, Z!$A$2:$C$4127, 3, FALSE))</f>
        <v/>
      </c>
      <c r="AA804" s="262"/>
      <c r="AB804" s="249">
        <f t="shared" si="748"/>
        <v>0</v>
      </c>
      <c r="AC804" s="210"/>
      <c r="AD804" s="236">
        <f t="shared" si="736"/>
        <v>1</v>
      </c>
      <c r="AE804" s="236">
        <f t="shared" si="737"/>
        <v>1</v>
      </c>
      <c r="AF804" s="236">
        <f t="shared" si="738"/>
        <v>0</v>
      </c>
      <c r="AG804" s="236">
        <v>1</v>
      </c>
      <c r="AH804" s="236">
        <v>0</v>
      </c>
      <c r="AI804" s="236">
        <f t="shared" si="714"/>
        <v>-100</v>
      </c>
      <c r="AJ804" s="210"/>
      <c r="AK804" s="254"/>
      <c r="AL804" s="254"/>
      <c r="AM804" s="255"/>
      <c r="AN804" s="255"/>
      <c r="AO804" s="255"/>
      <c r="AP804" s="255"/>
      <c r="AQ804" s="255"/>
      <c r="AR804" s="255"/>
      <c r="AS804" s="255"/>
      <c r="AT804" s="255"/>
      <c r="AU804" s="255"/>
      <c r="AV804" s="255"/>
      <c r="AW804" s="255"/>
      <c r="AX804" s="210"/>
      <c r="AY804" s="236" cm="1">
        <f t="array" ref="AY804">INDEX(Use, $AD804, 4)</f>
        <v>7</v>
      </c>
      <c r="AZ804" s="236">
        <f t="shared" si="715"/>
        <v>32</v>
      </c>
      <c r="BA804" s="236">
        <f t="shared" si="740"/>
        <v>13</v>
      </c>
      <c r="BB804" s="236">
        <f t="shared" si="741"/>
        <v>0</v>
      </c>
      <c r="BC804" s="252" cm="1">
        <f t="array" ref="BC804">K804/IF($L804&gt;0, INDEX($AO$23:$AU$77, $L804+20, $AD804), 1)</f>
        <v>0</v>
      </c>
      <c r="BD804" s="237">
        <f t="shared" si="716"/>
        <v>0</v>
      </c>
      <c r="BE804" s="236">
        <v>35</v>
      </c>
      <c r="BF804" s="237">
        <f t="shared" si="717"/>
        <v>52.55</v>
      </c>
      <c r="BG804" s="253">
        <f t="shared" si="718"/>
        <v>2.7676728869374316</v>
      </c>
      <c r="BH804" s="253" cm="1">
        <f t="array" ref="BH804">$BC804 * SUMPRODUCT(INDEX($AL$77:$AN$82,,$AE804),INDEX($AO$77:$AU$82,,$AD804), N($AK$77:$AK$82&gt;$AI804)) / BG804 / 1000</f>
        <v>0</v>
      </c>
      <c r="BI804" s="250">
        <f t="shared" si="742"/>
        <v>30</v>
      </c>
      <c r="BJ804" s="237">
        <f t="shared" si="719"/>
        <v>46.033333333333331</v>
      </c>
      <c r="BK804" s="253">
        <f t="shared" si="720"/>
        <v>3.2297395388556791</v>
      </c>
      <c r="BL804" s="253" cm="1">
        <f t="array" ref="BL804">$BC804 * IF($AD804&lt;=2,
SUMPRODUCT(INDEX($AL$72:$AN$76,,$AE804), INDEX($AO$72:$AU$76,,$AD804), 1 / ($AV$72:$AV$76*BK804 + (1-$AV$72:$AV$76)*BG804), N($AK$72:$AK$76&gt;$AI804)),
SUMPRODUCT(INDEX($AL$67:$AN$76,,$AE804), INDEX($AO$67:$AU$76,,$AD804), 1 / ($AW$67:$AW$76*BK804 + (1-$AW$67:$AW$76)*BG804), N($AK$67:$AK$76&gt;$AI804))
) / 1000</f>
        <v>0</v>
      </c>
      <c r="BM804" s="250">
        <f t="shared" si="743"/>
        <v>25</v>
      </c>
      <c r="BN804" s="237">
        <f t="shared" si="721"/>
        <v>39.516666666666666</v>
      </c>
      <c r="BO804" s="253">
        <f t="shared" si="722"/>
        <v>3.877011788826243</v>
      </c>
      <c r="BP804" s="253" cm="1">
        <f t="array" ref="BP804">$BC804 * IF($AD804&lt;=2,
SUMPRODUCT(INDEX($AL$67:$AN$71,,$AE804), INDEX($AO$67:$AU$71,,$AD804), 1 / ($AV$67:$AV$71*BO804 + (1-$AV$67:$AV$71)*BK804), N($AK$67:$AK$71&gt;$AI804)),
SUMPRODUCT(INDEX($AL$57:$AN$66,,$AE804), INDEX($AO$57:$AU$66,,$AD804), 1 / ($AW$57:$AW$66*BO804 + (1-$AW$57:$AW$66)*BK804), N($AK$57:$AK$66&gt;$AI804))
) / 1000</f>
        <v>0</v>
      </c>
      <c r="BQ804" s="250">
        <f t="shared" si="744"/>
        <v>20</v>
      </c>
      <c r="BR804" s="237">
        <f t="shared" si="723"/>
        <v>33</v>
      </c>
      <c r="BS804" s="253">
        <f t="shared" si="724"/>
        <v>4.8487499999999999</v>
      </c>
      <c r="BT804" s="253" cm="1">
        <f t="array" ref="BT804">$BC804 * IF($AD804&lt;=2,
SUMPRODUCT(INDEX($AL$62:$AN$66,,$AE804), INDEX($AO$62:$AU$66,,$AD804), 1 / ($AV$62:$AV$66*BS804 + (1-$AV$62:$AV$66)*BO804), N($AK$62:$AK$66&gt;$AI804)),
SUMPRODUCT(INDEX($AL$47:$AN$56,,$AE804), INDEX($AO$47:$AU$56,,$AD804), 1 / ($AW$47:$AW$56*BS804 + (1-$AW$47:$AW$56)*BO804), N($AK$47:$AK$56&gt;$AI804))
) / 1000</f>
        <v>0</v>
      </c>
      <c r="BU804" s="253" cm="1">
        <f t="array" ref="BU804">$BC804 * IF($AD804&lt;=2,
SUMPRODUCT(INDEX($AL$23:$AN$61,,$AE804), INDEX($AO$23:$AU$61,,$AD804), 1 / ($AV$23:$AV$61*BS804), N($AK$23:$AK$61&gt;$AI804)),
SUMPRODUCT(INDEX($AL$23:$AN$46,,$AE804), INDEX($AO$23:$AU$46,,$AD804), 1 / ($AW$23:$AW$46*BS804), N($AK$23:$AK$46&gt;$AI804))
) / 1000</f>
        <v>0</v>
      </c>
      <c r="BV804" s="237">
        <f t="shared" si="725"/>
        <v>0</v>
      </c>
      <c r="BW804" s="210"/>
      <c r="BX804" s="237">
        <f t="shared" si="726"/>
        <v>0</v>
      </c>
      <c r="BY804" s="236">
        <v>35</v>
      </c>
      <c r="BZ804" s="237">
        <f t="shared" si="727"/>
        <v>48</v>
      </c>
      <c r="CA804" s="253">
        <f t="shared" si="728"/>
        <v>3.0748170731707316</v>
      </c>
      <c r="CB804" s="253" cm="1">
        <f t="array" ref="CB804">$BC804 * SUMPRODUCT(INDEX($AL$77:$AN$82,,$AE804),INDEX($AO$77:$AU$82,,$AD804), N($AK$77:$AK$82&gt;$AI804)) / CA804 / 1000</f>
        <v>0</v>
      </c>
      <c r="CC804" s="250">
        <f t="shared" si="745"/>
        <v>30</v>
      </c>
      <c r="CD804" s="237">
        <f t="shared" si="729"/>
        <v>43</v>
      </c>
      <c r="CE804" s="253">
        <f t="shared" si="730"/>
        <v>3.5018750000000001</v>
      </c>
      <c r="CF804" s="253" cm="1">
        <f t="array" ref="CF804">$BC804 * IF($AD804&lt;=2,
SUMPRODUCT(INDEX($AL$72:$AN$76,,$AE804), INDEX($AO$72:$AU$76,,$AD804), 1 / ($AV$72:$AV$76*CE804 + (1-$AV$72:$AV$76)*CA804), N($AK$72:$AK$76&gt;$AI804)),
SUMPRODUCT(INDEX($AL$67:$AN$76,,$AE804), INDEX($AO$67:$AU$76,,$AD804), 1 / ($AW$67:$AW$76*CE804 + (1-$AW$67:$AW$76)*CA804), N($AK$67:$AK$76&gt;$AI804))
) / 1000</f>
        <v>0</v>
      </c>
      <c r="CG804" s="250">
        <f t="shared" si="746"/>
        <v>25</v>
      </c>
      <c r="CH804" s="237">
        <f t="shared" si="731"/>
        <v>38</v>
      </c>
      <c r="CI804" s="253">
        <f t="shared" si="732"/>
        <v>4.0666935483870965</v>
      </c>
      <c r="CJ804" s="253" cm="1">
        <f t="array" ref="CJ804">$BC804 * IF($AD804&lt;=2,
SUMPRODUCT(INDEX($AL$67:$AN$71,,$AE804), INDEX($AO$67:$AU$71,,$AD804), 1 / ($AV$67:$AV$71*CI804 + (1-$AV$67:$AV$71)*CE804), N($AK$67:$AK$71&gt;$AI804)),
SUMPRODUCT(INDEX($AL$57:$AN$66,,$AE804), INDEX($AO$57:$AU$66,,$AD804), 1 / ($AW$57:$AW$66*CI804 + (1-$AW$57:$AW$66)*CE804), N($AK$57:$AK$66&gt;$AI804))
) / 1000</f>
        <v>0</v>
      </c>
      <c r="CK804" s="250">
        <f t="shared" si="747"/>
        <v>20</v>
      </c>
      <c r="CL804" s="237">
        <f t="shared" si="733"/>
        <v>33</v>
      </c>
      <c r="CM804" s="253">
        <f t="shared" si="734"/>
        <v>4.8487499999999999</v>
      </c>
      <c r="CN804" s="253" cm="1">
        <f t="array" ref="CN804">$BC804 * IF($AD804&lt;=2,
SUMPRODUCT(INDEX($AL$62:$AN$66,,$AE804), INDEX($AO$62:$AU$66,,$AD804), 1 / ($AV$62:$AV$66*CM804 + (1-$AV$62:$AV$66)*CI804), N($AK$62:$AK$66&gt;$AI804)),
SUMPRODUCT(INDEX($AL$47:$AN$56,,$AE804), INDEX($AO$47:$AU$56,,$AD804), 1 / ($AW$47:$AW$56*CM804 + (1-$AW$47:$AW$56)*CI804), N($AK$47:$AK$56&gt;$AI804))
) / 1000</f>
        <v>0</v>
      </c>
      <c r="CO804" s="253" cm="1">
        <f t="array" ref="CO804">$BC804 * IF($AD804&lt;=2,
SUMPRODUCT(INDEX($AL$23:$AN$61,,$AE804), INDEX($AO$23:$AU$61,,$AD804), 1 / ($AV$23:$AV$61*CM804), N($AK$23:$AK$61&gt;$AI804)),
SUMPRODUCT(INDEX($AL$23:$AN$46,,$AE804), INDEX($AO$23:$AU$46,,$AD804), 1 / ($AW$23:$AW$46*CM804), N($AK$23:$AK$46&gt;$AI804))
) / 1000</f>
        <v>0</v>
      </c>
      <c r="CP804" s="237">
        <f t="shared" si="735"/>
        <v>0</v>
      </c>
      <c r="CQ804" s="210"/>
    </row>
    <row r="805" spans="1:95" s="76" customFormat="1" ht="14.25" customHeight="1" x14ac:dyDescent="0.2">
      <c r="A805" s="238" t="b">
        <f t="shared" si="739"/>
        <v>0</v>
      </c>
      <c r="B805" s="239">
        <v>783</v>
      </c>
      <c r="C805" s="258"/>
      <c r="D805" s="258"/>
      <c r="E805" s="240"/>
      <c r="F805" s="241" t="str">
        <f>IF(ISBLANK(E805), "", VLOOKUP(E805, Z!$A$2:$C$4127, 3, FALSE))</f>
        <v/>
      </c>
      <c r="G805" s="242"/>
      <c r="H805" s="242"/>
      <c r="I805" s="243"/>
      <c r="J805" s="244"/>
      <c r="K805" s="259"/>
      <c r="L805" s="260"/>
      <c r="M805" s="247" t="str" cm="1">
        <f t="array" ref="M805">IF($K805&gt;0, INDEX(Clean,1+AG805,$C$1), "")</f>
        <v/>
      </c>
      <c r="N805" s="245"/>
      <c r="O805" s="245"/>
      <c r="P805" s="246"/>
      <c r="Q805" s="248">
        <f t="shared" si="712"/>
        <v>0</v>
      </c>
      <c r="R805" s="247" t="str" cm="1">
        <f t="array" ref="R805">IF($K805&gt;0, INDEX(Clean,1+AH805,$C$1), "")</f>
        <v/>
      </c>
      <c r="S805" s="245"/>
      <c r="T805" s="245"/>
      <c r="U805" s="246"/>
      <c r="V805" s="248">
        <f t="shared" si="713"/>
        <v>0</v>
      </c>
      <c r="W805" s="261"/>
      <c r="X805" s="258"/>
      <c r="Y805" s="240"/>
      <c r="Z805" s="241" t="str">
        <f>IF(ISBLANK(Y805), "", VLOOKUP(Y805, Z!$A$2:$C$4127, 3, FALSE))</f>
        <v/>
      </c>
      <c r="AA805" s="262"/>
      <c r="AB805" s="249">
        <f t="shared" si="748"/>
        <v>0</v>
      </c>
      <c r="AC805" s="210"/>
      <c r="AD805" s="236">
        <f t="shared" si="736"/>
        <v>1</v>
      </c>
      <c r="AE805" s="236">
        <f t="shared" si="737"/>
        <v>1</v>
      </c>
      <c r="AF805" s="236">
        <f t="shared" si="738"/>
        <v>0</v>
      </c>
      <c r="AG805" s="236">
        <v>1</v>
      </c>
      <c r="AH805" s="236">
        <v>0</v>
      </c>
      <c r="AI805" s="236">
        <f t="shared" si="714"/>
        <v>-100</v>
      </c>
      <c r="AJ805" s="210"/>
      <c r="AK805" s="254"/>
      <c r="AL805" s="254"/>
      <c r="AM805" s="255"/>
      <c r="AN805" s="255"/>
      <c r="AO805" s="255"/>
      <c r="AP805" s="255"/>
      <c r="AQ805" s="255"/>
      <c r="AR805" s="255"/>
      <c r="AS805" s="255"/>
      <c r="AT805" s="255"/>
      <c r="AU805" s="255"/>
      <c r="AV805" s="255"/>
      <c r="AW805" s="255"/>
      <c r="AX805" s="210"/>
      <c r="AY805" s="236" cm="1">
        <f t="array" ref="AY805">INDEX(Use, $AD805, 4)</f>
        <v>7</v>
      </c>
      <c r="AZ805" s="236">
        <f t="shared" si="715"/>
        <v>32</v>
      </c>
      <c r="BA805" s="236">
        <f t="shared" si="740"/>
        <v>13</v>
      </c>
      <c r="BB805" s="236">
        <f t="shared" si="741"/>
        <v>0</v>
      </c>
      <c r="BC805" s="252" cm="1">
        <f t="array" ref="BC805">K805/IF($L805&gt;0, INDEX($AO$23:$AU$77, $L805+20, $AD805), 1)</f>
        <v>0</v>
      </c>
      <c r="BD805" s="237">
        <f t="shared" si="716"/>
        <v>0</v>
      </c>
      <c r="BE805" s="236">
        <v>35</v>
      </c>
      <c r="BF805" s="237">
        <f t="shared" si="717"/>
        <v>52.55</v>
      </c>
      <c r="BG805" s="253">
        <f t="shared" si="718"/>
        <v>2.7676728869374316</v>
      </c>
      <c r="BH805" s="253" cm="1">
        <f t="array" ref="BH805">$BC805 * SUMPRODUCT(INDEX($AL$77:$AN$82,,$AE805),INDEX($AO$77:$AU$82,,$AD805), N($AK$77:$AK$82&gt;$AI805)) / BG805 / 1000</f>
        <v>0</v>
      </c>
      <c r="BI805" s="250">
        <f t="shared" si="742"/>
        <v>30</v>
      </c>
      <c r="BJ805" s="237">
        <f t="shared" si="719"/>
        <v>46.033333333333331</v>
      </c>
      <c r="BK805" s="253">
        <f t="shared" si="720"/>
        <v>3.2297395388556791</v>
      </c>
      <c r="BL805" s="253" cm="1">
        <f t="array" ref="BL805">$BC805 * IF($AD805&lt;=2,
SUMPRODUCT(INDEX($AL$72:$AN$76,,$AE805), INDEX($AO$72:$AU$76,,$AD805), 1 / ($AV$72:$AV$76*BK805 + (1-$AV$72:$AV$76)*BG805), N($AK$72:$AK$76&gt;$AI805)),
SUMPRODUCT(INDEX($AL$67:$AN$76,,$AE805), INDEX($AO$67:$AU$76,,$AD805), 1 / ($AW$67:$AW$76*BK805 + (1-$AW$67:$AW$76)*BG805), N($AK$67:$AK$76&gt;$AI805))
) / 1000</f>
        <v>0</v>
      </c>
      <c r="BM805" s="250">
        <f t="shared" si="743"/>
        <v>25</v>
      </c>
      <c r="BN805" s="237">
        <f t="shared" si="721"/>
        <v>39.516666666666666</v>
      </c>
      <c r="BO805" s="253">
        <f t="shared" si="722"/>
        <v>3.877011788826243</v>
      </c>
      <c r="BP805" s="253" cm="1">
        <f t="array" ref="BP805">$BC805 * IF($AD805&lt;=2,
SUMPRODUCT(INDEX($AL$67:$AN$71,,$AE805), INDEX($AO$67:$AU$71,,$AD805), 1 / ($AV$67:$AV$71*BO805 + (1-$AV$67:$AV$71)*BK805), N($AK$67:$AK$71&gt;$AI805)),
SUMPRODUCT(INDEX($AL$57:$AN$66,,$AE805), INDEX($AO$57:$AU$66,,$AD805), 1 / ($AW$57:$AW$66*BO805 + (1-$AW$57:$AW$66)*BK805), N($AK$57:$AK$66&gt;$AI805))
) / 1000</f>
        <v>0</v>
      </c>
      <c r="BQ805" s="250">
        <f t="shared" si="744"/>
        <v>20</v>
      </c>
      <c r="BR805" s="237">
        <f t="shared" si="723"/>
        <v>33</v>
      </c>
      <c r="BS805" s="253">
        <f t="shared" si="724"/>
        <v>4.8487499999999999</v>
      </c>
      <c r="BT805" s="253" cm="1">
        <f t="array" ref="BT805">$BC805 * IF($AD805&lt;=2,
SUMPRODUCT(INDEX($AL$62:$AN$66,,$AE805), INDEX($AO$62:$AU$66,,$AD805), 1 / ($AV$62:$AV$66*BS805 + (1-$AV$62:$AV$66)*BO805), N($AK$62:$AK$66&gt;$AI805)),
SUMPRODUCT(INDEX($AL$47:$AN$56,,$AE805), INDEX($AO$47:$AU$56,,$AD805), 1 / ($AW$47:$AW$56*BS805 + (1-$AW$47:$AW$56)*BO805), N($AK$47:$AK$56&gt;$AI805))
) / 1000</f>
        <v>0</v>
      </c>
      <c r="BU805" s="253" cm="1">
        <f t="array" ref="BU805">$BC805 * IF($AD805&lt;=2,
SUMPRODUCT(INDEX($AL$23:$AN$61,,$AE805), INDEX($AO$23:$AU$61,,$AD805), 1 / ($AV$23:$AV$61*BS805), N($AK$23:$AK$61&gt;$AI805)),
SUMPRODUCT(INDEX($AL$23:$AN$46,,$AE805), INDEX($AO$23:$AU$46,,$AD805), 1 / ($AW$23:$AW$46*BS805), N($AK$23:$AK$46&gt;$AI805))
) / 1000</f>
        <v>0</v>
      </c>
      <c r="BV805" s="237">
        <f t="shared" si="725"/>
        <v>0</v>
      </c>
      <c r="BW805" s="210"/>
      <c r="BX805" s="237">
        <f t="shared" si="726"/>
        <v>0</v>
      </c>
      <c r="BY805" s="236">
        <v>35</v>
      </c>
      <c r="BZ805" s="237">
        <f t="shared" si="727"/>
        <v>48</v>
      </c>
      <c r="CA805" s="253">
        <f t="shared" si="728"/>
        <v>3.0748170731707316</v>
      </c>
      <c r="CB805" s="253" cm="1">
        <f t="array" ref="CB805">$BC805 * SUMPRODUCT(INDEX($AL$77:$AN$82,,$AE805),INDEX($AO$77:$AU$82,,$AD805), N($AK$77:$AK$82&gt;$AI805)) / CA805 / 1000</f>
        <v>0</v>
      </c>
      <c r="CC805" s="250">
        <f t="shared" si="745"/>
        <v>30</v>
      </c>
      <c r="CD805" s="237">
        <f t="shared" si="729"/>
        <v>43</v>
      </c>
      <c r="CE805" s="253">
        <f t="shared" si="730"/>
        <v>3.5018750000000001</v>
      </c>
      <c r="CF805" s="253" cm="1">
        <f t="array" ref="CF805">$BC805 * IF($AD805&lt;=2,
SUMPRODUCT(INDEX($AL$72:$AN$76,,$AE805), INDEX($AO$72:$AU$76,,$AD805), 1 / ($AV$72:$AV$76*CE805 + (1-$AV$72:$AV$76)*CA805), N($AK$72:$AK$76&gt;$AI805)),
SUMPRODUCT(INDEX($AL$67:$AN$76,,$AE805), INDEX($AO$67:$AU$76,,$AD805), 1 / ($AW$67:$AW$76*CE805 + (1-$AW$67:$AW$76)*CA805), N($AK$67:$AK$76&gt;$AI805))
) / 1000</f>
        <v>0</v>
      </c>
      <c r="CG805" s="250">
        <f t="shared" si="746"/>
        <v>25</v>
      </c>
      <c r="CH805" s="237">
        <f t="shared" si="731"/>
        <v>38</v>
      </c>
      <c r="CI805" s="253">
        <f t="shared" si="732"/>
        <v>4.0666935483870965</v>
      </c>
      <c r="CJ805" s="253" cm="1">
        <f t="array" ref="CJ805">$BC805 * IF($AD805&lt;=2,
SUMPRODUCT(INDEX($AL$67:$AN$71,,$AE805), INDEX($AO$67:$AU$71,,$AD805), 1 / ($AV$67:$AV$71*CI805 + (1-$AV$67:$AV$71)*CE805), N($AK$67:$AK$71&gt;$AI805)),
SUMPRODUCT(INDEX($AL$57:$AN$66,,$AE805), INDEX($AO$57:$AU$66,,$AD805), 1 / ($AW$57:$AW$66*CI805 + (1-$AW$57:$AW$66)*CE805), N($AK$57:$AK$66&gt;$AI805))
) / 1000</f>
        <v>0</v>
      </c>
      <c r="CK805" s="250">
        <f t="shared" si="747"/>
        <v>20</v>
      </c>
      <c r="CL805" s="237">
        <f t="shared" si="733"/>
        <v>33</v>
      </c>
      <c r="CM805" s="253">
        <f t="shared" si="734"/>
        <v>4.8487499999999999</v>
      </c>
      <c r="CN805" s="253" cm="1">
        <f t="array" ref="CN805">$BC805 * IF($AD805&lt;=2,
SUMPRODUCT(INDEX($AL$62:$AN$66,,$AE805), INDEX($AO$62:$AU$66,,$AD805), 1 / ($AV$62:$AV$66*CM805 + (1-$AV$62:$AV$66)*CI805), N($AK$62:$AK$66&gt;$AI805)),
SUMPRODUCT(INDEX($AL$47:$AN$56,,$AE805), INDEX($AO$47:$AU$56,,$AD805), 1 / ($AW$47:$AW$56*CM805 + (1-$AW$47:$AW$56)*CI805), N($AK$47:$AK$56&gt;$AI805))
) / 1000</f>
        <v>0</v>
      </c>
      <c r="CO805" s="253" cm="1">
        <f t="array" ref="CO805">$BC805 * IF($AD805&lt;=2,
SUMPRODUCT(INDEX($AL$23:$AN$61,,$AE805), INDEX($AO$23:$AU$61,,$AD805), 1 / ($AV$23:$AV$61*CM805), N($AK$23:$AK$61&gt;$AI805)),
SUMPRODUCT(INDEX($AL$23:$AN$46,,$AE805), INDEX($AO$23:$AU$46,,$AD805), 1 / ($AW$23:$AW$46*CM805), N($AK$23:$AK$46&gt;$AI805))
) / 1000</f>
        <v>0</v>
      </c>
      <c r="CP805" s="237">
        <f t="shared" si="735"/>
        <v>0</v>
      </c>
      <c r="CQ805" s="210"/>
    </row>
    <row r="806" spans="1:95" s="76" customFormat="1" ht="14.25" customHeight="1" x14ac:dyDescent="0.2">
      <c r="A806" s="238" t="b">
        <f t="shared" si="739"/>
        <v>0</v>
      </c>
      <c r="B806" s="239">
        <v>784</v>
      </c>
      <c r="C806" s="258"/>
      <c r="D806" s="258"/>
      <c r="E806" s="240"/>
      <c r="F806" s="241" t="str">
        <f>IF(ISBLANK(E806), "", VLOOKUP(E806, Z!$A$2:$C$4127, 3, FALSE))</f>
        <v/>
      </c>
      <c r="G806" s="242"/>
      <c r="H806" s="242"/>
      <c r="I806" s="243"/>
      <c r="J806" s="244"/>
      <c r="K806" s="259"/>
      <c r="L806" s="260"/>
      <c r="M806" s="247" t="str" cm="1">
        <f t="array" ref="M806">IF($K806&gt;0, INDEX(Clean,1+AG806,$C$1), "")</f>
        <v/>
      </c>
      <c r="N806" s="245"/>
      <c r="O806" s="245"/>
      <c r="P806" s="246"/>
      <c r="Q806" s="248">
        <f t="shared" si="712"/>
        <v>0</v>
      </c>
      <c r="R806" s="247" t="str" cm="1">
        <f t="array" ref="R806">IF($K806&gt;0, INDEX(Clean,1+AH806,$C$1), "")</f>
        <v/>
      </c>
      <c r="S806" s="245"/>
      <c r="T806" s="245"/>
      <c r="U806" s="246"/>
      <c r="V806" s="248">
        <f t="shared" si="713"/>
        <v>0</v>
      </c>
      <c r="W806" s="261"/>
      <c r="X806" s="258"/>
      <c r="Y806" s="240"/>
      <c r="Z806" s="241" t="str">
        <f>IF(ISBLANK(Y806), "", VLOOKUP(Y806, Z!$A$2:$C$4127, 3, FALSE))</f>
        <v/>
      </c>
      <c r="AA806" s="262"/>
      <c r="AB806" s="249">
        <f t="shared" si="748"/>
        <v>0</v>
      </c>
      <c r="AC806" s="210"/>
      <c r="AD806" s="236">
        <f t="shared" si="736"/>
        <v>1</v>
      </c>
      <c r="AE806" s="236">
        <f t="shared" si="737"/>
        <v>1</v>
      </c>
      <c r="AF806" s="236">
        <f t="shared" si="738"/>
        <v>0</v>
      </c>
      <c r="AG806" s="236">
        <v>1</v>
      </c>
      <c r="AH806" s="236">
        <v>0</v>
      </c>
      <c r="AI806" s="236">
        <f t="shared" si="714"/>
        <v>-100</v>
      </c>
      <c r="AJ806" s="210"/>
      <c r="AK806" s="254"/>
      <c r="AL806" s="254"/>
      <c r="AM806" s="255"/>
      <c r="AN806" s="255"/>
      <c r="AO806" s="255"/>
      <c r="AP806" s="255"/>
      <c r="AQ806" s="255"/>
      <c r="AR806" s="255"/>
      <c r="AS806" s="255"/>
      <c r="AT806" s="255"/>
      <c r="AU806" s="255"/>
      <c r="AV806" s="255"/>
      <c r="AW806" s="255"/>
      <c r="AX806" s="210"/>
      <c r="AY806" s="236" cm="1">
        <f t="array" ref="AY806">INDEX(Use, $AD806, 4)</f>
        <v>7</v>
      </c>
      <c r="AZ806" s="236">
        <f t="shared" si="715"/>
        <v>32</v>
      </c>
      <c r="BA806" s="236">
        <f t="shared" si="740"/>
        <v>13</v>
      </c>
      <c r="BB806" s="236">
        <f t="shared" si="741"/>
        <v>0</v>
      </c>
      <c r="BC806" s="252" cm="1">
        <f t="array" ref="BC806">K806/IF($L806&gt;0, INDEX($AO$23:$AU$77, $L806+20, $AD806), 1)</f>
        <v>0</v>
      </c>
      <c r="BD806" s="237">
        <f t="shared" si="716"/>
        <v>0</v>
      </c>
      <c r="BE806" s="236">
        <v>35</v>
      </c>
      <c r="BF806" s="237">
        <f t="shared" si="717"/>
        <v>52.55</v>
      </c>
      <c r="BG806" s="253">
        <f t="shared" si="718"/>
        <v>2.7676728869374316</v>
      </c>
      <c r="BH806" s="253" cm="1">
        <f t="array" ref="BH806">$BC806 * SUMPRODUCT(INDEX($AL$77:$AN$82,,$AE806),INDEX($AO$77:$AU$82,,$AD806), N($AK$77:$AK$82&gt;$AI806)) / BG806 / 1000</f>
        <v>0</v>
      </c>
      <c r="BI806" s="250">
        <f t="shared" si="742"/>
        <v>30</v>
      </c>
      <c r="BJ806" s="237">
        <f t="shared" si="719"/>
        <v>46.033333333333331</v>
      </c>
      <c r="BK806" s="253">
        <f t="shared" si="720"/>
        <v>3.2297395388556791</v>
      </c>
      <c r="BL806" s="253" cm="1">
        <f t="array" ref="BL806">$BC806 * IF($AD806&lt;=2,
SUMPRODUCT(INDEX($AL$72:$AN$76,,$AE806), INDEX($AO$72:$AU$76,,$AD806), 1 / ($AV$72:$AV$76*BK806 + (1-$AV$72:$AV$76)*BG806), N($AK$72:$AK$76&gt;$AI806)),
SUMPRODUCT(INDEX($AL$67:$AN$76,,$AE806), INDEX($AO$67:$AU$76,,$AD806), 1 / ($AW$67:$AW$76*BK806 + (1-$AW$67:$AW$76)*BG806), N($AK$67:$AK$76&gt;$AI806))
) / 1000</f>
        <v>0</v>
      </c>
      <c r="BM806" s="250">
        <f t="shared" si="743"/>
        <v>25</v>
      </c>
      <c r="BN806" s="237">
        <f t="shared" si="721"/>
        <v>39.516666666666666</v>
      </c>
      <c r="BO806" s="253">
        <f t="shared" si="722"/>
        <v>3.877011788826243</v>
      </c>
      <c r="BP806" s="253" cm="1">
        <f t="array" ref="BP806">$BC806 * IF($AD806&lt;=2,
SUMPRODUCT(INDEX($AL$67:$AN$71,,$AE806), INDEX($AO$67:$AU$71,,$AD806), 1 / ($AV$67:$AV$71*BO806 + (1-$AV$67:$AV$71)*BK806), N($AK$67:$AK$71&gt;$AI806)),
SUMPRODUCT(INDEX($AL$57:$AN$66,,$AE806), INDEX($AO$57:$AU$66,,$AD806), 1 / ($AW$57:$AW$66*BO806 + (1-$AW$57:$AW$66)*BK806), N($AK$57:$AK$66&gt;$AI806))
) / 1000</f>
        <v>0</v>
      </c>
      <c r="BQ806" s="250">
        <f t="shared" si="744"/>
        <v>20</v>
      </c>
      <c r="BR806" s="237">
        <f t="shared" si="723"/>
        <v>33</v>
      </c>
      <c r="BS806" s="253">
        <f t="shared" si="724"/>
        <v>4.8487499999999999</v>
      </c>
      <c r="BT806" s="253" cm="1">
        <f t="array" ref="BT806">$BC806 * IF($AD806&lt;=2,
SUMPRODUCT(INDEX($AL$62:$AN$66,,$AE806), INDEX($AO$62:$AU$66,,$AD806), 1 / ($AV$62:$AV$66*BS806 + (1-$AV$62:$AV$66)*BO806), N($AK$62:$AK$66&gt;$AI806)),
SUMPRODUCT(INDEX($AL$47:$AN$56,,$AE806), INDEX($AO$47:$AU$56,,$AD806), 1 / ($AW$47:$AW$56*BS806 + (1-$AW$47:$AW$56)*BO806), N($AK$47:$AK$56&gt;$AI806))
) / 1000</f>
        <v>0</v>
      </c>
      <c r="BU806" s="253" cm="1">
        <f t="array" ref="BU806">$BC806 * IF($AD806&lt;=2,
SUMPRODUCT(INDEX($AL$23:$AN$61,,$AE806), INDEX($AO$23:$AU$61,,$AD806), 1 / ($AV$23:$AV$61*BS806), N($AK$23:$AK$61&gt;$AI806)),
SUMPRODUCT(INDEX($AL$23:$AN$46,,$AE806), INDEX($AO$23:$AU$46,,$AD806), 1 / ($AW$23:$AW$46*BS806), N($AK$23:$AK$46&gt;$AI806))
) / 1000</f>
        <v>0</v>
      </c>
      <c r="BV806" s="237">
        <f t="shared" si="725"/>
        <v>0</v>
      </c>
      <c r="BW806" s="210"/>
      <c r="BX806" s="237">
        <f t="shared" si="726"/>
        <v>0</v>
      </c>
      <c r="BY806" s="236">
        <v>35</v>
      </c>
      <c r="BZ806" s="237">
        <f t="shared" si="727"/>
        <v>48</v>
      </c>
      <c r="CA806" s="253">
        <f t="shared" si="728"/>
        <v>3.0748170731707316</v>
      </c>
      <c r="CB806" s="253" cm="1">
        <f t="array" ref="CB806">$BC806 * SUMPRODUCT(INDEX($AL$77:$AN$82,,$AE806),INDEX($AO$77:$AU$82,,$AD806), N($AK$77:$AK$82&gt;$AI806)) / CA806 / 1000</f>
        <v>0</v>
      </c>
      <c r="CC806" s="250">
        <f t="shared" si="745"/>
        <v>30</v>
      </c>
      <c r="CD806" s="237">
        <f t="shared" si="729"/>
        <v>43</v>
      </c>
      <c r="CE806" s="253">
        <f t="shared" si="730"/>
        <v>3.5018750000000001</v>
      </c>
      <c r="CF806" s="253" cm="1">
        <f t="array" ref="CF806">$BC806 * IF($AD806&lt;=2,
SUMPRODUCT(INDEX($AL$72:$AN$76,,$AE806), INDEX($AO$72:$AU$76,,$AD806), 1 / ($AV$72:$AV$76*CE806 + (1-$AV$72:$AV$76)*CA806), N($AK$72:$AK$76&gt;$AI806)),
SUMPRODUCT(INDEX($AL$67:$AN$76,,$AE806), INDEX($AO$67:$AU$76,,$AD806), 1 / ($AW$67:$AW$76*CE806 + (1-$AW$67:$AW$76)*CA806), N($AK$67:$AK$76&gt;$AI806))
) / 1000</f>
        <v>0</v>
      </c>
      <c r="CG806" s="250">
        <f t="shared" si="746"/>
        <v>25</v>
      </c>
      <c r="CH806" s="237">
        <f t="shared" si="731"/>
        <v>38</v>
      </c>
      <c r="CI806" s="253">
        <f t="shared" si="732"/>
        <v>4.0666935483870965</v>
      </c>
      <c r="CJ806" s="253" cm="1">
        <f t="array" ref="CJ806">$BC806 * IF($AD806&lt;=2,
SUMPRODUCT(INDEX($AL$67:$AN$71,,$AE806), INDEX($AO$67:$AU$71,,$AD806), 1 / ($AV$67:$AV$71*CI806 + (1-$AV$67:$AV$71)*CE806), N($AK$67:$AK$71&gt;$AI806)),
SUMPRODUCT(INDEX($AL$57:$AN$66,,$AE806), INDEX($AO$57:$AU$66,,$AD806), 1 / ($AW$57:$AW$66*CI806 + (1-$AW$57:$AW$66)*CE806), N($AK$57:$AK$66&gt;$AI806))
) / 1000</f>
        <v>0</v>
      </c>
      <c r="CK806" s="250">
        <f t="shared" si="747"/>
        <v>20</v>
      </c>
      <c r="CL806" s="237">
        <f t="shared" si="733"/>
        <v>33</v>
      </c>
      <c r="CM806" s="253">
        <f t="shared" si="734"/>
        <v>4.8487499999999999</v>
      </c>
      <c r="CN806" s="253" cm="1">
        <f t="array" ref="CN806">$BC806 * IF($AD806&lt;=2,
SUMPRODUCT(INDEX($AL$62:$AN$66,,$AE806), INDEX($AO$62:$AU$66,,$AD806), 1 / ($AV$62:$AV$66*CM806 + (1-$AV$62:$AV$66)*CI806), N($AK$62:$AK$66&gt;$AI806)),
SUMPRODUCT(INDEX($AL$47:$AN$56,,$AE806), INDEX($AO$47:$AU$56,,$AD806), 1 / ($AW$47:$AW$56*CM806 + (1-$AW$47:$AW$56)*CI806), N($AK$47:$AK$56&gt;$AI806))
) / 1000</f>
        <v>0</v>
      </c>
      <c r="CO806" s="253" cm="1">
        <f t="array" ref="CO806">$BC806 * IF($AD806&lt;=2,
SUMPRODUCT(INDEX($AL$23:$AN$61,,$AE806), INDEX($AO$23:$AU$61,,$AD806), 1 / ($AV$23:$AV$61*CM806), N($AK$23:$AK$61&gt;$AI806)),
SUMPRODUCT(INDEX($AL$23:$AN$46,,$AE806), INDEX($AO$23:$AU$46,,$AD806), 1 / ($AW$23:$AW$46*CM806), N($AK$23:$AK$46&gt;$AI806))
) / 1000</f>
        <v>0</v>
      </c>
      <c r="CP806" s="237">
        <f t="shared" si="735"/>
        <v>0</v>
      </c>
      <c r="CQ806" s="210"/>
    </row>
    <row r="807" spans="1:95" s="76" customFormat="1" ht="14.25" customHeight="1" x14ac:dyDescent="0.2">
      <c r="A807" s="238" t="b">
        <f t="shared" si="739"/>
        <v>0</v>
      </c>
      <c r="B807" s="239">
        <v>785</v>
      </c>
      <c r="C807" s="258"/>
      <c r="D807" s="258"/>
      <c r="E807" s="240"/>
      <c r="F807" s="241" t="str">
        <f>IF(ISBLANK(E807), "", VLOOKUP(E807, Z!$A$2:$C$4127, 3, FALSE))</f>
        <v/>
      </c>
      <c r="G807" s="242"/>
      <c r="H807" s="242"/>
      <c r="I807" s="243"/>
      <c r="J807" s="244"/>
      <c r="K807" s="259"/>
      <c r="L807" s="260"/>
      <c r="M807" s="247" t="str" cm="1">
        <f t="array" ref="M807">IF($K807&gt;0, INDEX(Clean,1+AG807,$C$1), "")</f>
        <v/>
      </c>
      <c r="N807" s="245"/>
      <c r="O807" s="245"/>
      <c r="P807" s="246"/>
      <c r="Q807" s="248">
        <f t="shared" si="712"/>
        <v>0</v>
      </c>
      <c r="R807" s="247" t="str" cm="1">
        <f t="array" ref="R807">IF($K807&gt;0, INDEX(Clean,1+AH807,$C$1), "")</f>
        <v/>
      </c>
      <c r="S807" s="245"/>
      <c r="T807" s="245"/>
      <c r="U807" s="246"/>
      <c r="V807" s="248">
        <f t="shared" si="713"/>
        <v>0</v>
      </c>
      <c r="W807" s="261"/>
      <c r="X807" s="258"/>
      <c r="Y807" s="240"/>
      <c r="Z807" s="241" t="str">
        <f>IF(ISBLANK(Y807), "", VLOOKUP(Y807, Z!$A$2:$C$4127, 3, FALSE))</f>
        <v/>
      </c>
      <c r="AA807" s="262"/>
      <c r="AB807" s="249">
        <f t="shared" si="748"/>
        <v>0</v>
      </c>
      <c r="AC807" s="210"/>
      <c r="AD807" s="236">
        <f t="shared" si="736"/>
        <v>1</v>
      </c>
      <c r="AE807" s="236">
        <f t="shared" si="737"/>
        <v>1</v>
      </c>
      <c r="AF807" s="236">
        <f t="shared" si="738"/>
        <v>0</v>
      </c>
      <c r="AG807" s="236">
        <v>1</v>
      </c>
      <c r="AH807" s="236">
        <v>0</v>
      </c>
      <c r="AI807" s="236">
        <f t="shared" si="714"/>
        <v>-100</v>
      </c>
      <c r="AJ807" s="210"/>
      <c r="AK807" s="254"/>
      <c r="AL807" s="254"/>
      <c r="AM807" s="255"/>
      <c r="AN807" s="255"/>
      <c r="AO807" s="255"/>
      <c r="AP807" s="255"/>
      <c r="AQ807" s="255"/>
      <c r="AR807" s="255"/>
      <c r="AS807" s="255"/>
      <c r="AT807" s="255"/>
      <c r="AU807" s="255"/>
      <c r="AV807" s="255"/>
      <c r="AW807" s="255"/>
      <c r="AX807" s="210"/>
      <c r="AY807" s="236" cm="1">
        <f t="array" ref="AY807">INDEX(Use, $AD807, 4)</f>
        <v>7</v>
      </c>
      <c r="AZ807" s="236">
        <f t="shared" si="715"/>
        <v>32</v>
      </c>
      <c r="BA807" s="236">
        <f t="shared" si="740"/>
        <v>13</v>
      </c>
      <c r="BB807" s="236">
        <f t="shared" si="741"/>
        <v>0</v>
      </c>
      <c r="BC807" s="252" cm="1">
        <f t="array" ref="BC807">K807/IF($L807&gt;0, INDEX($AO$23:$AU$77, $L807+20, $AD807), 1)</f>
        <v>0</v>
      </c>
      <c r="BD807" s="237">
        <f t="shared" si="716"/>
        <v>0</v>
      </c>
      <c r="BE807" s="236">
        <v>35</v>
      </c>
      <c r="BF807" s="237">
        <f t="shared" si="717"/>
        <v>52.55</v>
      </c>
      <c r="BG807" s="253">
        <f t="shared" si="718"/>
        <v>2.7676728869374316</v>
      </c>
      <c r="BH807" s="253" cm="1">
        <f t="array" ref="BH807">$BC807 * SUMPRODUCT(INDEX($AL$77:$AN$82,,$AE807),INDEX($AO$77:$AU$82,,$AD807), N($AK$77:$AK$82&gt;$AI807)) / BG807 / 1000</f>
        <v>0</v>
      </c>
      <c r="BI807" s="250">
        <f t="shared" si="742"/>
        <v>30</v>
      </c>
      <c r="BJ807" s="237">
        <f t="shared" si="719"/>
        <v>46.033333333333331</v>
      </c>
      <c r="BK807" s="253">
        <f t="shared" si="720"/>
        <v>3.2297395388556791</v>
      </c>
      <c r="BL807" s="253" cm="1">
        <f t="array" ref="BL807">$BC807 * IF($AD807&lt;=2,
SUMPRODUCT(INDEX($AL$72:$AN$76,,$AE807), INDEX($AO$72:$AU$76,,$AD807), 1 / ($AV$72:$AV$76*BK807 + (1-$AV$72:$AV$76)*BG807), N($AK$72:$AK$76&gt;$AI807)),
SUMPRODUCT(INDEX($AL$67:$AN$76,,$AE807), INDEX($AO$67:$AU$76,,$AD807), 1 / ($AW$67:$AW$76*BK807 + (1-$AW$67:$AW$76)*BG807), N($AK$67:$AK$76&gt;$AI807))
) / 1000</f>
        <v>0</v>
      </c>
      <c r="BM807" s="250">
        <f t="shared" si="743"/>
        <v>25</v>
      </c>
      <c r="BN807" s="237">
        <f t="shared" si="721"/>
        <v>39.516666666666666</v>
      </c>
      <c r="BO807" s="253">
        <f t="shared" si="722"/>
        <v>3.877011788826243</v>
      </c>
      <c r="BP807" s="253" cm="1">
        <f t="array" ref="BP807">$BC807 * IF($AD807&lt;=2,
SUMPRODUCT(INDEX($AL$67:$AN$71,,$AE807), INDEX($AO$67:$AU$71,,$AD807), 1 / ($AV$67:$AV$71*BO807 + (1-$AV$67:$AV$71)*BK807), N($AK$67:$AK$71&gt;$AI807)),
SUMPRODUCT(INDEX($AL$57:$AN$66,,$AE807), INDEX($AO$57:$AU$66,,$AD807), 1 / ($AW$57:$AW$66*BO807 + (1-$AW$57:$AW$66)*BK807), N($AK$57:$AK$66&gt;$AI807))
) / 1000</f>
        <v>0</v>
      </c>
      <c r="BQ807" s="250">
        <f t="shared" si="744"/>
        <v>20</v>
      </c>
      <c r="BR807" s="237">
        <f t="shared" si="723"/>
        <v>33</v>
      </c>
      <c r="BS807" s="253">
        <f t="shared" si="724"/>
        <v>4.8487499999999999</v>
      </c>
      <c r="BT807" s="253" cm="1">
        <f t="array" ref="BT807">$BC807 * IF($AD807&lt;=2,
SUMPRODUCT(INDEX($AL$62:$AN$66,,$AE807), INDEX($AO$62:$AU$66,,$AD807), 1 / ($AV$62:$AV$66*BS807 + (1-$AV$62:$AV$66)*BO807), N($AK$62:$AK$66&gt;$AI807)),
SUMPRODUCT(INDEX($AL$47:$AN$56,,$AE807), INDEX($AO$47:$AU$56,,$AD807), 1 / ($AW$47:$AW$56*BS807 + (1-$AW$47:$AW$56)*BO807), N($AK$47:$AK$56&gt;$AI807))
) / 1000</f>
        <v>0</v>
      </c>
      <c r="BU807" s="253" cm="1">
        <f t="array" ref="BU807">$BC807 * IF($AD807&lt;=2,
SUMPRODUCT(INDEX($AL$23:$AN$61,,$AE807), INDEX($AO$23:$AU$61,,$AD807), 1 / ($AV$23:$AV$61*BS807), N($AK$23:$AK$61&gt;$AI807)),
SUMPRODUCT(INDEX($AL$23:$AN$46,,$AE807), INDEX($AO$23:$AU$46,,$AD807), 1 / ($AW$23:$AW$46*BS807), N($AK$23:$AK$46&gt;$AI807))
) / 1000</f>
        <v>0</v>
      </c>
      <c r="BV807" s="237">
        <f t="shared" si="725"/>
        <v>0</v>
      </c>
      <c r="BW807" s="210"/>
      <c r="BX807" s="237">
        <f t="shared" si="726"/>
        <v>0</v>
      </c>
      <c r="BY807" s="236">
        <v>35</v>
      </c>
      <c r="BZ807" s="237">
        <f t="shared" si="727"/>
        <v>48</v>
      </c>
      <c r="CA807" s="253">
        <f t="shared" si="728"/>
        <v>3.0748170731707316</v>
      </c>
      <c r="CB807" s="253" cm="1">
        <f t="array" ref="CB807">$BC807 * SUMPRODUCT(INDEX($AL$77:$AN$82,,$AE807),INDEX($AO$77:$AU$82,,$AD807), N($AK$77:$AK$82&gt;$AI807)) / CA807 / 1000</f>
        <v>0</v>
      </c>
      <c r="CC807" s="250">
        <f t="shared" si="745"/>
        <v>30</v>
      </c>
      <c r="CD807" s="237">
        <f t="shared" si="729"/>
        <v>43</v>
      </c>
      <c r="CE807" s="253">
        <f t="shared" si="730"/>
        <v>3.5018750000000001</v>
      </c>
      <c r="CF807" s="253" cm="1">
        <f t="array" ref="CF807">$BC807 * IF($AD807&lt;=2,
SUMPRODUCT(INDEX($AL$72:$AN$76,,$AE807), INDEX($AO$72:$AU$76,,$AD807), 1 / ($AV$72:$AV$76*CE807 + (1-$AV$72:$AV$76)*CA807), N($AK$72:$AK$76&gt;$AI807)),
SUMPRODUCT(INDEX($AL$67:$AN$76,,$AE807), INDEX($AO$67:$AU$76,,$AD807), 1 / ($AW$67:$AW$76*CE807 + (1-$AW$67:$AW$76)*CA807), N($AK$67:$AK$76&gt;$AI807))
) / 1000</f>
        <v>0</v>
      </c>
      <c r="CG807" s="250">
        <f t="shared" si="746"/>
        <v>25</v>
      </c>
      <c r="CH807" s="237">
        <f t="shared" si="731"/>
        <v>38</v>
      </c>
      <c r="CI807" s="253">
        <f t="shared" si="732"/>
        <v>4.0666935483870965</v>
      </c>
      <c r="CJ807" s="253" cm="1">
        <f t="array" ref="CJ807">$BC807 * IF($AD807&lt;=2,
SUMPRODUCT(INDEX($AL$67:$AN$71,,$AE807), INDEX($AO$67:$AU$71,,$AD807), 1 / ($AV$67:$AV$71*CI807 + (1-$AV$67:$AV$71)*CE807), N($AK$67:$AK$71&gt;$AI807)),
SUMPRODUCT(INDEX($AL$57:$AN$66,,$AE807), INDEX($AO$57:$AU$66,,$AD807), 1 / ($AW$57:$AW$66*CI807 + (1-$AW$57:$AW$66)*CE807), N($AK$57:$AK$66&gt;$AI807))
) / 1000</f>
        <v>0</v>
      </c>
      <c r="CK807" s="250">
        <f t="shared" si="747"/>
        <v>20</v>
      </c>
      <c r="CL807" s="237">
        <f t="shared" si="733"/>
        <v>33</v>
      </c>
      <c r="CM807" s="253">
        <f t="shared" si="734"/>
        <v>4.8487499999999999</v>
      </c>
      <c r="CN807" s="253" cm="1">
        <f t="array" ref="CN807">$BC807 * IF($AD807&lt;=2,
SUMPRODUCT(INDEX($AL$62:$AN$66,,$AE807), INDEX($AO$62:$AU$66,,$AD807), 1 / ($AV$62:$AV$66*CM807 + (1-$AV$62:$AV$66)*CI807), N($AK$62:$AK$66&gt;$AI807)),
SUMPRODUCT(INDEX($AL$47:$AN$56,,$AE807), INDEX($AO$47:$AU$56,,$AD807), 1 / ($AW$47:$AW$56*CM807 + (1-$AW$47:$AW$56)*CI807), N($AK$47:$AK$56&gt;$AI807))
) / 1000</f>
        <v>0</v>
      </c>
      <c r="CO807" s="253" cm="1">
        <f t="array" ref="CO807">$BC807 * IF($AD807&lt;=2,
SUMPRODUCT(INDEX($AL$23:$AN$61,,$AE807), INDEX($AO$23:$AU$61,,$AD807), 1 / ($AV$23:$AV$61*CM807), N($AK$23:$AK$61&gt;$AI807)),
SUMPRODUCT(INDEX($AL$23:$AN$46,,$AE807), INDEX($AO$23:$AU$46,,$AD807), 1 / ($AW$23:$AW$46*CM807), N($AK$23:$AK$46&gt;$AI807))
) / 1000</f>
        <v>0</v>
      </c>
      <c r="CP807" s="237">
        <f t="shared" si="735"/>
        <v>0</v>
      </c>
      <c r="CQ807" s="210"/>
    </row>
    <row r="808" spans="1:95" s="76" customFormat="1" ht="14.25" customHeight="1" x14ac:dyDescent="0.2">
      <c r="A808" s="238" t="b">
        <f t="shared" si="739"/>
        <v>0</v>
      </c>
      <c r="B808" s="239">
        <v>786</v>
      </c>
      <c r="C808" s="258"/>
      <c r="D808" s="258"/>
      <c r="E808" s="240"/>
      <c r="F808" s="241" t="str">
        <f>IF(ISBLANK(E808), "", VLOOKUP(E808, Z!$A$2:$C$4127, 3, FALSE))</f>
        <v/>
      </c>
      <c r="G808" s="242"/>
      <c r="H808" s="242"/>
      <c r="I808" s="243"/>
      <c r="J808" s="244"/>
      <c r="K808" s="259"/>
      <c r="L808" s="260"/>
      <c r="M808" s="247" t="str" cm="1">
        <f t="array" ref="M808">IF($K808&gt;0, INDEX(Clean,1+AG808,$C$1), "")</f>
        <v/>
      </c>
      <c r="N808" s="245"/>
      <c r="O808" s="245"/>
      <c r="P808" s="246"/>
      <c r="Q808" s="248">
        <f t="shared" si="712"/>
        <v>0</v>
      </c>
      <c r="R808" s="247" t="str" cm="1">
        <f t="array" ref="R808">IF($K808&gt;0, INDEX(Clean,1+AH808,$C$1), "")</f>
        <v/>
      </c>
      <c r="S808" s="245"/>
      <c r="T808" s="245"/>
      <c r="U808" s="246"/>
      <c r="V808" s="248">
        <f t="shared" si="713"/>
        <v>0</v>
      </c>
      <c r="W808" s="261"/>
      <c r="X808" s="258"/>
      <c r="Y808" s="240"/>
      <c r="Z808" s="241" t="str">
        <f>IF(ISBLANK(Y808), "", VLOOKUP(Y808, Z!$A$2:$C$4127, 3, FALSE))</f>
        <v/>
      </c>
      <c r="AA808" s="262"/>
      <c r="AB808" s="249">
        <f t="shared" si="748"/>
        <v>0</v>
      </c>
      <c r="AC808" s="210"/>
      <c r="AD808" s="236">
        <f t="shared" si="736"/>
        <v>1</v>
      </c>
      <c r="AE808" s="236">
        <f t="shared" si="737"/>
        <v>1</v>
      </c>
      <c r="AF808" s="236">
        <f t="shared" si="738"/>
        <v>0</v>
      </c>
      <c r="AG808" s="236">
        <v>1</v>
      </c>
      <c r="AH808" s="236">
        <v>0</v>
      </c>
      <c r="AI808" s="236">
        <f t="shared" si="714"/>
        <v>-100</v>
      </c>
      <c r="AJ808" s="210"/>
      <c r="AK808" s="254"/>
      <c r="AL808" s="254"/>
      <c r="AM808" s="255"/>
      <c r="AN808" s="255"/>
      <c r="AO808" s="255"/>
      <c r="AP808" s="255"/>
      <c r="AQ808" s="255"/>
      <c r="AR808" s="255"/>
      <c r="AS808" s="255"/>
      <c r="AT808" s="255"/>
      <c r="AU808" s="255"/>
      <c r="AV808" s="255"/>
      <c r="AW808" s="255"/>
      <c r="AX808" s="210"/>
      <c r="AY808" s="236" cm="1">
        <f t="array" ref="AY808">INDEX(Use, $AD808, 4)</f>
        <v>7</v>
      </c>
      <c r="AZ808" s="236">
        <f t="shared" si="715"/>
        <v>32</v>
      </c>
      <c r="BA808" s="236">
        <f t="shared" si="740"/>
        <v>13</v>
      </c>
      <c r="BB808" s="236">
        <f t="shared" si="741"/>
        <v>0</v>
      </c>
      <c r="BC808" s="252" cm="1">
        <f t="array" ref="BC808">K808/IF($L808&gt;0, INDEX($AO$23:$AU$77, $L808+20, $AD808), 1)</f>
        <v>0</v>
      </c>
      <c r="BD808" s="237">
        <f t="shared" si="716"/>
        <v>0</v>
      </c>
      <c r="BE808" s="236">
        <v>35</v>
      </c>
      <c r="BF808" s="237">
        <f t="shared" si="717"/>
        <v>52.55</v>
      </c>
      <c r="BG808" s="253">
        <f t="shared" si="718"/>
        <v>2.7676728869374316</v>
      </c>
      <c r="BH808" s="253" cm="1">
        <f t="array" ref="BH808">$BC808 * SUMPRODUCT(INDEX($AL$77:$AN$82,,$AE808),INDEX($AO$77:$AU$82,,$AD808), N($AK$77:$AK$82&gt;$AI808)) / BG808 / 1000</f>
        <v>0</v>
      </c>
      <c r="BI808" s="250">
        <f t="shared" si="742"/>
        <v>30</v>
      </c>
      <c r="BJ808" s="237">
        <f t="shared" si="719"/>
        <v>46.033333333333331</v>
      </c>
      <c r="BK808" s="253">
        <f t="shared" si="720"/>
        <v>3.2297395388556791</v>
      </c>
      <c r="BL808" s="253" cm="1">
        <f t="array" ref="BL808">$BC808 * IF($AD808&lt;=2,
SUMPRODUCT(INDEX($AL$72:$AN$76,,$AE808), INDEX($AO$72:$AU$76,,$AD808), 1 / ($AV$72:$AV$76*BK808 + (1-$AV$72:$AV$76)*BG808), N($AK$72:$AK$76&gt;$AI808)),
SUMPRODUCT(INDEX($AL$67:$AN$76,,$AE808), INDEX($AO$67:$AU$76,,$AD808), 1 / ($AW$67:$AW$76*BK808 + (1-$AW$67:$AW$76)*BG808), N($AK$67:$AK$76&gt;$AI808))
) / 1000</f>
        <v>0</v>
      </c>
      <c r="BM808" s="250">
        <f t="shared" si="743"/>
        <v>25</v>
      </c>
      <c r="BN808" s="237">
        <f t="shared" si="721"/>
        <v>39.516666666666666</v>
      </c>
      <c r="BO808" s="253">
        <f t="shared" si="722"/>
        <v>3.877011788826243</v>
      </c>
      <c r="BP808" s="253" cm="1">
        <f t="array" ref="BP808">$BC808 * IF($AD808&lt;=2,
SUMPRODUCT(INDEX($AL$67:$AN$71,,$AE808), INDEX($AO$67:$AU$71,,$AD808), 1 / ($AV$67:$AV$71*BO808 + (1-$AV$67:$AV$71)*BK808), N($AK$67:$AK$71&gt;$AI808)),
SUMPRODUCT(INDEX($AL$57:$AN$66,,$AE808), INDEX($AO$57:$AU$66,,$AD808), 1 / ($AW$57:$AW$66*BO808 + (1-$AW$57:$AW$66)*BK808), N($AK$57:$AK$66&gt;$AI808))
) / 1000</f>
        <v>0</v>
      </c>
      <c r="BQ808" s="250">
        <f t="shared" si="744"/>
        <v>20</v>
      </c>
      <c r="BR808" s="237">
        <f t="shared" si="723"/>
        <v>33</v>
      </c>
      <c r="BS808" s="253">
        <f t="shared" si="724"/>
        <v>4.8487499999999999</v>
      </c>
      <c r="BT808" s="253" cm="1">
        <f t="array" ref="BT808">$BC808 * IF($AD808&lt;=2,
SUMPRODUCT(INDEX($AL$62:$AN$66,,$AE808), INDEX($AO$62:$AU$66,,$AD808), 1 / ($AV$62:$AV$66*BS808 + (1-$AV$62:$AV$66)*BO808), N($AK$62:$AK$66&gt;$AI808)),
SUMPRODUCT(INDEX($AL$47:$AN$56,,$AE808), INDEX($AO$47:$AU$56,,$AD808), 1 / ($AW$47:$AW$56*BS808 + (1-$AW$47:$AW$56)*BO808), N($AK$47:$AK$56&gt;$AI808))
) / 1000</f>
        <v>0</v>
      </c>
      <c r="BU808" s="253" cm="1">
        <f t="array" ref="BU808">$BC808 * IF($AD808&lt;=2,
SUMPRODUCT(INDEX($AL$23:$AN$61,,$AE808), INDEX($AO$23:$AU$61,,$AD808), 1 / ($AV$23:$AV$61*BS808), N($AK$23:$AK$61&gt;$AI808)),
SUMPRODUCT(INDEX($AL$23:$AN$46,,$AE808), INDEX($AO$23:$AU$46,,$AD808), 1 / ($AW$23:$AW$46*BS808), N($AK$23:$AK$46&gt;$AI808))
) / 1000</f>
        <v>0</v>
      </c>
      <c r="BV808" s="237">
        <f t="shared" si="725"/>
        <v>0</v>
      </c>
      <c r="BW808" s="210"/>
      <c r="BX808" s="237">
        <f t="shared" si="726"/>
        <v>0</v>
      </c>
      <c r="BY808" s="236">
        <v>35</v>
      </c>
      <c r="BZ808" s="237">
        <f t="shared" si="727"/>
        <v>48</v>
      </c>
      <c r="CA808" s="253">
        <f t="shared" si="728"/>
        <v>3.0748170731707316</v>
      </c>
      <c r="CB808" s="253" cm="1">
        <f t="array" ref="CB808">$BC808 * SUMPRODUCT(INDEX($AL$77:$AN$82,,$AE808),INDEX($AO$77:$AU$82,,$AD808), N($AK$77:$AK$82&gt;$AI808)) / CA808 / 1000</f>
        <v>0</v>
      </c>
      <c r="CC808" s="250">
        <f t="shared" si="745"/>
        <v>30</v>
      </c>
      <c r="CD808" s="237">
        <f t="shared" si="729"/>
        <v>43</v>
      </c>
      <c r="CE808" s="253">
        <f t="shared" si="730"/>
        <v>3.5018750000000001</v>
      </c>
      <c r="CF808" s="253" cm="1">
        <f t="array" ref="CF808">$BC808 * IF($AD808&lt;=2,
SUMPRODUCT(INDEX($AL$72:$AN$76,,$AE808), INDEX($AO$72:$AU$76,,$AD808), 1 / ($AV$72:$AV$76*CE808 + (1-$AV$72:$AV$76)*CA808), N($AK$72:$AK$76&gt;$AI808)),
SUMPRODUCT(INDEX($AL$67:$AN$76,,$AE808), INDEX($AO$67:$AU$76,,$AD808), 1 / ($AW$67:$AW$76*CE808 + (1-$AW$67:$AW$76)*CA808), N($AK$67:$AK$76&gt;$AI808))
) / 1000</f>
        <v>0</v>
      </c>
      <c r="CG808" s="250">
        <f t="shared" si="746"/>
        <v>25</v>
      </c>
      <c r="CH808" s="237">
        <f t="shared" si="731"/>
        <v>38</v>
      </c>
      <c r="CI808" s="253">
        <f t="shared" si="732"/>
        <v>4.0666935483870965</v>
      </c>
      <c r="CJ808" s="253" cm="1">
        <f t="array" ref="CJ808">$BC808 * IF($AD808&lt;=2,
SUMPRODUCT(INDEX($AL$67:$AN$71,,$AE808), INDEX($AO$67:$AU$71,,$AD808), 1 / ($AV$67:$AV$71*CI808 + (1-$AV$67:$AV$71)*CE808), N($AK$67:$AK$71&gt;$AI808)),
SUMPRODUCT(INDEX($AL$57:$AN$66,,$AE808), INDEX($AO$57:$AU$66,,$AD808), 1 / ($AW$57:$AW$66*CI808 + (1-$AW$57:$AW$66)*CE808), N($AK$57:$AK$66&gt;$AI808))
) / 1000</f>
        <v>0</v>
      </c>
      <c r="CK808" s="250">
        <f t="shared" si="747"/>
        <v>20</v>
      </c>
      <c r="CL808" s="237">
        <f t="shared" si="733"/>
        <v>33</v>
      </c>
      <c r="CM808" s="253">
        <f t="shared" si="734"/>
        <v>4.8487499999999999</v>
      </c>
      <c r="CN808" s="253" cm="1">
        <f t="array" ref="CN808">$BC808 * IF($AD808&lt;=2,
SUMPRODUCT(INDEX($AL$62:$AN$66,,$AE808), INDEX($AO$62:$AU$66,,$AD808), 1 / ($AV$62:$AV$66*CM808 + (1-$AV$62:$AV$66)*CI808), N($AK$62:$AK$66&gt;$AI808)),
SUMPRODUCT(INDEX($AL$47:$AN$56,,$AE808), INDEX($AO$47:$AU$56,,$AD808), 1 / ($AW$47:$AW$56*CM808 + (1-$AW$47:$AW$56)*CI808), N($AK$47:$AK$56&gt;$AI808))
) / 1000</f>
        <v>0</v>
      </c>
      <c r="CO808" s="253" cm="1">
        <f t="array" ref="CO808">$BC808 * IF($AD808&lt;=2,
SUMPRODUCT(INDEX($AL$23:$AN$61,,$AE808), INDEX($AO$23:$AU$61,,$AD808), 1 / ($AV$23:$AV$61*CM808), N($AK$23:$AK$61&gt;$AI808)),
SUMPRODUCT(INDEX($AL$23:$AN$46,,$AE808), INDEX($AO$23:$AU$46,,$AD808), 1 / ($AW$23:$AW$46*CM808), N($AK$23:$AK$46&gt;$AI808))
) / 1000</f>
        <v>0</v>
      </c>
      <c r="CP808" s="237">
        <f t="shared" si="735"/>
        <v>0</v>
      </c>
      <c r="CQ808" s="210"/>
    </row>
    <row r="809" spans="1:95" s="76" customFormat="1" ht="14.25" customHeight="1" x14ac:dyDescent="0.2">
      <c r="A809" s="238" t="b">
        <f t="shared" si="739"/>
        <v>0</v>
      </c>
      <c r="B809" s="239">
        <v>787</v>
      </c>
      <c r="C809" s="258"/>
      <c r="D809" s="258"/>
      <c r="E809" s="240"/>
      <c r="F809" s="241" t="str">
        <f>IF(ISBLANK(E809), "", VLOOKUP(E809, Z!$A$2:$C$4127, 3, FALSE))</f>
        <v/>
      </c>
      <c r="G809" s="242"/>
      <c r="H809" s="242"/>
      <c r="I809" s="243"/>
      <c r="J809" s="244"/>
      <c r="K809" s="259"/>
      <c r="L809" s="260"/>
      <c r="M809" s="247" t="str" cm="1">
        <f t="array" ref="M809">IF($K809&gt;0, INDEX(Clean,1+AG809,$C$1), "")</f>
        <v/>
      </c>
      <c r="N809" s="245"/>
      <c r="O809" s="245"/>
      <c r="P809" s="246"/>
      <c r="Q809" s="248">
        <f t="shared" si="712"/>
        <v>0</v>
      </c>
      <c r="R809" s="247" t="str" cm="1">
        <f t="array" ref="R809">IF($K809&gt;0, INDEX(Clean,1+AH809,$C$1), "")</f>
        <v/>
      </c>
      <c r="S809" s="245"/>
      <c r="T809" s="245"/>
      <c r="U809" s="246"/>
      <c r="V809" s="248">
        <f t="shared" si="713"/>
        <v>0</v>
      </c>
      <c r="W809" s="261"/>
      <c r="X809" s="258"/>
      <c r="Y809" s="240"/>
      <c r="Z809" s="241" t="str">
        <f>IF(ISBLANK(Y809), "", VLOOKUP(Y809, Z!$A$2:$C$4127, 3, FALSE))</f>
        <v/>
      </c>
      <c r="AA809" s="262"/>
      <c r="AB809" s="249">
        <f t="shared" si="748"/>
        <v>0</v>
      </c>
      <c r="AC809" s="210"/>
      <c r="AD809" s="236">
        <f t="shared" si="736"/>
        <v>1</v>
      </c>
      <c r="AE809" s="236">
        <f t="shared" si="737"/>
        <v>1</v>
      </c>
      <c r="AF809" s="236">
        <f t="shared" si="738"/>
        <v>0</v>
      </c>
      <c r="AG809" s="236">
        <v>1</v>
      </c>
      <c r="AH809" s="236">
        <v>0</v>
      </c>
      <c r="AI809" s="236">
        <f t="shared" si="714"/>
        <v>-100</v>
      </c>
      <c r="AJ809" s="210"/>
      <c r="AK809" s="254"/>
      <c r="AL809" s="254"/>
      <c r="AM809" s="255"/>
      <c r="AN809" s="255"/>
      <c r="AO809" s="255"/>
      <c r="AP809" s="255"/>
      <c r="AQ809" s="255"/>
      <c r="AR809" s="255"/>
      <c r="AS809" s="255"/>
      <c r="AT809" s="255"/>
      <c r="AU809" s="255"/>
      <c r="AV809" s="255"/>
      <c r="AW809" s="255"/>
      <c r="AX809" s="210"/>
      <c r="AY809" s="236" cm="1">
        <f t="array" ref="AY809">INDEX(Use, $AD809, 4)</f>
        <v>7</v>
      </c>
      <c r="AZ809" s="236">
        <f t="shared" si="715"/>
        <v>32</v>
      </c>
      <c r="BA809" s="236">
        <f t="shared" si="740"/>
        <v>13</v>
      </c>
      <c r="BB809" s="236">
        <f t="shared" si="741"/>
        <v>0</v>
      </c>
      <c r="BC809" s="252" cm="1">
        <f t="array" ref="BC809">K809/IF($L809&gt;0, INDEX($AO$23:$AU$77, $L809+20, $AD809), 1)</f>
        <v>0</v>
      </c>
      <c r="BD809" s="237">
        <f t="shared" si="716"/>
        <v>0</v>
      </c>
      <c r="BE809" s="236">
        <v>35</v>
      </c>
      <c r="BF809" s="237">
        <f t="shared" si="717"/>
        <v>52.55</v>
      </c>
      <c r="BG809" s="253">
        <f t="shared" si="718"/>
        <v>2.7676728869374316</v>
      </c>
      <c r="BH809" s="253" cm="1">
        <f t="array" ref="BH809">$BC809 * SUMPRODUCT(INDEX($AL$77:$AN$82,,$AE809),INDEX($AO$77:$AU$82,,$AD809), N($AK$77:$AK$82&gt;$AI809)) / BG809 / 1000</f>
        <v>0</v>
      </c>
      <c r="BI809" s="250">
        <f t="shared" si="742"/>
        <v>30</v>
      </c>
      <c r="BJ809" s="237">
        <f t="shared" si="719"/>
        <v>46.033333333333331</v>
      </c>
      <c r="BK809" s="253">
        <f t="shared" si="720"/>
        <v>3.2297395388556791</v>
      </c>
      <c r="BL809" s="253" cm="1">
        <f t="array" ref="BL809">$BC809 * IF($AD809&lt;=2,
SUMPRODUCT(INDEX($AL$72:$AN$76,,$AE809), INDEX($AO$72:$AU$76,,$AD809), 1 / ($AV$72:$AV$76*BK809 + (1-$AV$72:$AV$76)*BG809), N($AK$72:$AK$76&gt;$AI809)),
SUMPRODUCT(INDEX($AL$67:$AN$76,,$AE809), INDEX($AO$67:$AU$76,,$AD809), 1 / ($AW$67:$AW$76*BK809 + (1-$AW$67:$AW$76)*BG809), N($AK$67:$AK$76&gt;$AI809))
) / 1000</f>
        <v>0</v>
      </c>
      <c r="BM809" s="250">
        <f t="shared" si="743"/>
        <v>25</v>
      </c>
      <c r="BN809" s="237">
        <f t="shared" si="721"/>
        <v>39.516666666666666</v>
      </c>
      <c r="BO809" s="253">
        <f t="shared" si="722"/>
        <v>3.877011788826243</v>
      </c>
      <c r="BP809" s="253" cm="1">
        <f t="array" ref="BP809">$BC809 * IF($AD809&lt;=2,
SUMPRODUCT(INDEX($AL$67:$AN$71,,$AE809), INDEX($AO$67:$AU$71,,$AD809), 1 / ($AV$67:$AV$71*BO809 + (1-$AV$67:$AV$71)*BK809), N($AK$67:$AK$71&gt;$AI809)),
SUMPRODUCT(INDEX($AL$57:$AN$66,,$AE809), INDEX($AO$57:$AU$66,,$AD809), 1 / ($AW$57:$AW$66*BO809 + (1-$AW$57:$AW$66)*BK809), N($AK$57:$AK$66&gt;$AI809))
) / 1000</f>
        <v>0</v>
      </c>
      <c r="BQ809" s="250">
        <f t="shared" si="744"/>
        <v>20</v>
      </c>
      <c r="BR809" s="237">
        <f t="shared" si="723"/>
        <v>33</v>
      </c>
      <c r="BS809" s="253">
        <f t="shared" si="724"/>
        <v>4.8487499999999999</v>
      </c>
      <c r="BT809" s="253" cm="1">
        <f t="array" ref="BT809">$BC809 * IF($AD809&lt;=2,
SUMPRODUCT(INDEX($AL$62:$AN$66,,$AE809), INDEX($AO$62:$AU$66,,$AD809), 1 / ($AV$62:$AV$66*BS809 + (1-$AV$62:$AV$66)*BO809), N($AK$62:$AK$66&gt;$AI809)),
SUMPRODUCT(INDEX($AL$47:$AN$56,,$AE809), INDEX($AO$47:$AU$56,,$AD809), 1 / ($AW$47:$AW$56*BS809 + (1-$AW$47:$AW$56)*BO809), N($AK$47:$AK$56&gt;$AI809))
) / 1000</f>
        <v>0</v>
      </c>
      <c r="BU809" s="253" cm="1">
        <f t="array" ref="BU809">$BC809 * IF($AD809&lt;=2,
SUMPRODUCT(INDEX($AL$23:$AN$61,,$AE809), INDEX($AO$23:$AU$61,,$AD809), 1 / ($AV$23:$AV$61*BS809), N($AK$23:$AK$61&gt;$AI809)),
SUMPRODUCT(INDEX($AL$23:$AN$46,,$AE809), INDEX($AO$23:$AU$46,,$AD809), 1 / ($AW$23:$AW$46*BS809), N($AK$23:$AK$46&gt;$AI809))
) / 1000</f>
        <v>0</v>
      </c>
      <c r="BV809" s="237">
        <f t="shared" si="725"/>
        <v>0</v>
      </c>
      <c r="BW809" s="210"/>
      <c r="BX809" s="237">
        <f t="shared" si="726"/>
        <v>0</v>
      </c>
      <c r="BY809" s="236">
        <v>35</v>
      </c>
      <c r="BZ809" s="237">
        <f t="shared" si="727"/>
        <v>48</v>
      </c>
      <c r="CA809" s="253">
        <f t="shared" si="728"/>
        <v>3.0748170731707316</v>
      </c>
      <c r="CB809" s="253" cm="1">
        <f t="array" ref="CB809">$BC809 * SUMPRODUCT(INDEX($AL$77:$AN$82,,$AE809),INDEX($AO$77:$AU$82,,$AD809), N($AK$77:$AK$82&gt;$AI809)) / CA809 / 1000</f>
        <v>0</v>
      </c>
      <c r="CC809" s="250">
        <f t="shared" si="745"/>
        <v>30</v>
      </c>
      <c r="CD809" s="237">
        <f t="shared" si="729"/>
        <v>43</v>
      </c>
      <c r="CE809" s="253">
        <f t="shared" si="730"/>
        <v>3.5018750000000001</v>
      </c>
      <c r="CF809" s="253" cm="1">
        <f t="array" ref="CF809">$BC809 * IF($AD809&lt;=2,
SUMPRODUCT(INDEX($AL$72:$AN$76,,$AE809), INDEX($AO$72:$AU$76,,$AD809), 1 / ($AV$72:$AV$76*CE809 + (1-$AV$72:$AV$76)*CA809), N($AK$72:$AK$76&gt;$AI809)),
SUMPRODUCT(INDEX($AL$67:$AN$76,,$AE809), INDEX($AO$67:$AU$76,,$AD809), 1 / ($AW$67:$AW$76*CE809 + (1-$AW$67:$AW$76)*CA809), N($AK$67:$AK$76&gt;$AI809))
) / 1000</f>
        <v>0</v>
      </c>
      <c r="CG809" s="250">
        <f t="shared" si="746"/>
        <v>25</v>
      </c>
      <c r="CH809" s="237">
        <f t="shared" si="731"/>
        <v>38</v>
      </c>
      <c r="CI809" s="253">
        <f t="shared" si="732"/>
        <v>4.0666935483870965</v>
      </c>
      <c r="CJ809" s="253" cm="1">
        <f t="array" ref="CJ809">$BC809 * IF($AD809&lt;=2,
SUMPRODUCT(INDEX($AL$67:$AN$71,,$AE809), INDEX($AO$67:$AU$71,,$AD809), 1 / ($AV$67:$AV$71*CI809 + (1-$AV$67:$AV$71)*CE809), N($AK$67:$AK$71&gt;$AI809)),
SUMPRODUCT(INDEX($AL$57:$AN$66,,$AE809), INDEX($AO$57:$AU$66,,$AD809), 1 / ($AW$57:$AW$66*CI809 + (1-$AW$57:$AW$66)*CE809), N($AK$57:$AK$66&gt;$AI809))
) / 1000</f>
        <v>0</v>
      </c>
      <c r="CK809" s="250">
        <f t="shared" si="747"/>
        <v>20</v>
      </c>
      <c r="CL809" s="237">
        <f t="shared" si="733"/>
        <v>33</v>
      </c>
      <c r="CM809" s="253">
        <f t="shared" si="734"/>
        <v>4.8487499999999999</v>
      </c>
      <c r="CN809" s="253" cm="1">
        <f t="array" ref="CN809">$BC809 * IF($AD809&lt;=2,
SUMPRODUCT(INDEX($AL$62:$AN$66,,$AE809), INDEX($AO$62:$AU$66,,$AD809), 1 / ($AV$62:$AV$66*CM809 + (1-$AV$62:$AV$66)*CI809), N($AK$62:$AK$66&gt;$AI809)),
SUMPRODUCT(INDEX($AL$47:$AN$56,,$AE809), INDEX($AO$47:$AU$56,,$AD809), 1 / ($AW$47:$AW$56*CM809 + (1-$AW$47:$AW$56)*CI809), N($AK$47:$AK$56&gt;$AI809))
) / 1000</f>
        <v>0</v>
      </c>
      <c r="CO809" s="253" cm="1">
        <f t="array" ref="CO809">$BC809 * IF($AD809&lt;=2,
SUMPRODUCT(INDEX($AL$23:$AN$61,,$AE809), INDEX($AO$23:$AU$61,,$AD809), 1 / ($AV$23:$AV$61*CM809), N($AK$23:$AK$61&gt;$AI809)),
SUMPRODUCT(INDEX($AL$23:$AN$46,,$AE809), INDEX($AO$23:$AU$46,,$AD809), 1 / ($AW$23:$AW$46*CM809), N($AK$23:$AK$46&gt;$AI809))
) / 1000</f>
        <v>0</v>
      </c>
      <c r="CP809" s="237">
        <f t="shared" si="735"/>
        <v>0</v>
      </c>
      <c r="CQ809" s="210"/>
    </row>
    <row r="810" spans="1:95" s="76" customFormat="1" ht="14.25" customHeight="1" x14ac:dyDescent="0.2">
      <c r="A810" s="238" t="b">
        <f t="shared" si="739"/>
        <v>0</v>
      </c>
      <c r="B810" s="239">
        <v>788</v>
      </c>
      <c r="C810" s="258"/>
      <c r="D810" s="258"/>
      <c r="E810" s="240"/>
      <c r="F810" s="241" t="str">
        <f>IF(ISBLANK(E810), "", VLOOKUP(E810, Z!$A$2:$C$4127, 3, FALSE))</f>
        <v/>
      </c>
      <c r="G810" s="242"/>
      <c r="H810" s="242"/>
      <c r="I810" s="243"/>
      <c r="J810" s="244"/>
      <c r="K810" s="259"/>
      <c r="L810" s="260"/>
      <c r="M810" s="247" t="str" cm="1">
        <f t="array" ref="M810">IF($K810&gt;0, INDEX(Clean,1+AG810,$C$1), "")</f>
        <v/>
      </c>
      <c r="N810" s="245"/>
      <c r="O810" s="245"/>
      <c r="P810" s="246"/>
      <c r="Q810" s="248">
        <f t="shared" si="712"/>
        <v>0</v>
      </c>
      <c r="R810" s="247" t="str" cm="1">
        <f t="array" ref="R810">IF($K810&gt;0, INDEX(Clean,1+AH810,$C$1), "")</f>
        <v/>
      </c>
      <c r="S810" s="245"/>
      <c r="T810" s="245"/>
      <c r="U810" s="246"/>
      <c r="V810" s="248">
        <f t="shared" si="713"/>
        <v>0</v>
      </c>
      <c r="W810" s="261"/>
      <c r="X810" s="258"/>
      <c r="Y810" s="240"/>
      <c r="Z810" s="241" t="str">
        <f>IF(ISBLANK(Y810), "", VLOOKUP(Y810, Z!$A$2:$C$4127, 3, FALSE))</f>
        <v/>
      </c>
      <c r="AA810" s="262"/>
      <c r="AB810" s="249">
        <f t="shared" si="748"/>
        <v>0</v>
      </c>
      <c r="AC810" s="210"/>
      <c r="AD810" s="236">
        <f t="shared" si="736"/>
        <v>1</v>
      </c>
      <c r="AE810" s="236">
        <f t="shared" si="737"/>
        <v>1</v>
      </c>
      <c r="AF810" s="236">
        <f t="shared" si="738"/>
        <v>0</v>
      </c>
      <c r="AG810" s="236">
        <v>1</v>
      </c>
      <c r="AH810" s="236">
        <v>0</v>
      </c>
      <c r="AI810" s="236">
        <f t="shared" si="714"/>
        <v>-100</v>
      </c>
      <c r="AJ810" s="210"/>
      <c r="AK810" s="254"/>
      <c r="AL810" s="254"/>
      <c r="AM810" s="255"/>
      <c r="AN810" s="255"/>
      <c r="AO810" s="255"/>
      <c r="AP810" s="255"/>
      <c r="AQ810" s="255"/>
      <c r="AR810" s="255"/>
      <c r="AS810" s="255"/>
      <c r="AT810" s="255"/>
      <c r="AU810" s="255"/>
      <c r="AV810" s="255"/>
      <c r="AW810" s="255"/>
      <c r="AX810" s="210"/>
      <c r="AY810" s="236" cm="1">
        <f t="array" ref="AY810">INDEX(Use, $AD810, 4)</f>
        <v>7</v>
      </c>
      <c r="AZ810" s="236">
        <f t="shared" si="715"/>
        <v>32</v>
      </c>
      <c r="BA810" s="236">
        <f t="shared" si="740"/>
        <v>13</v>
      </c>
      <c r="BB810" s="236">
        <f t="shared" si="741"/>
        <v>0</v>
      </c>
      <c r="BC810" s="252" cm="1">
        <f t="array" ref="BC810">K810/IF($L810&gt;0, INDEX($AO$23:$AU$77, $L810+20, $AD810), 1)</f>
        <v>0</v>
      </c>
      <c r="BD810" s="237">
        <f t="shared" si="716"/>
        <v>0</v>
      </c>
      <c r="BE810" s="236">
        <v>35</v>
      </c>
      <c r="BF810" s="237">
        <f t="shared" si="717"/>
        <v>52.55</v>
      </c>
      <c r="BG810" s="253">
        <f t="shared" si="718"/>
        <v>2.7676728869374316</v>
      </c>
      <c r="BH810" s="253" cm="1">
        <f t="array" ref="BH810">$BC810 * SUMPRODUCT(INDEX($AL$77:$AN$82,,$AE810),INDEX($AO$77:$AU$82,,$AD810), N($AK$77:$AK$82&gt;$AI810)) / BG810 / 1000</f>
        <v>0</v>
      </c>
      <c r="BI810" s="250">
        <f t="shared" si="742"/>
        <v>30</v>
      </c>
      <c r="BJ810" s="237">
        <f t="shared" si="719"/>
        <v>46.033333333333331</v>
      </c>
      <c r="BK810" s="253">
        <f t="shared" si="720"/>
        <v>3.2297395388556791</v>
      </c>
      <c r="BL810" s="253" cm="1">
        <f t="array" ref="BL810">$BC810 * IF($AD810&lt;=2,
SUMPRODUCT(INDEX($AL$72:$AN$76,,$AE810), INDEX($AO$72:$AU$76,,$AD810), 1 / ($AV$72:$AV$76*BK810 + (1-$AV$72:$AV$76)*BG810), N($AK$72:$AK$76&gt;$AI810)),
SUMPRODUCT(INDEX($AL$67:$AN$76,,$AE810), INDEX($AO$67:$AU$76,,$AD810), 1 / ($AW$67:$AW$76*BK810 + (1-$AW$67:$AW$76)*BG810), N($AK$67:$AK$76&gt;$AI810))
) / 1000</f>
        <v>0</v>
      </c>
      <c r="BM810" s="250">
        <f t="shared" si="743"/>
        <v>25</v>
      </c>
      <c r="BN810" s="237">
        <f t="shared" si="721"/>
        <v>39.516666666666666</v>
      </c>
      <c r="BO810" s="253">
        <f t="shared" si="722"/>
        <v>3.877011788826243</v>
      </c>
      <c r="BP810" s="253" cm="1">
        <f t="array" ref="BP810">$BC810 * IF($AD810&lt;=2,
SUMPRODUCT(INDEX($AL$67:$AN$71,,$AE810), INDEX($AO$67:$AU$71,,$AD810), 1 / ($AV$67:$AV$71*BO810 + (1-$AV$67:$AV$71)*BK810), N($AK$67:$AK$71&gt;$AI810)),
SUMPRODUCT(INDEX($AL$57:$AN$66,,$AE810), INDEX($AO$57:$AU$66,,$AD810), 1 / ($AW$57:$AW$66*BO810 + (1-$AW$57:$AW$66)*BK810), N($AK$57:$AK$66&gt;$AI810))
) / 1000</f>
        <v>0</v>
      </c>
      <c r="BQ810" s="250">
        <f t="shared" si="744"/>
        <v>20</v>
      </c>
      <c r="BR810" s="237">
        <f t="shared" si="723"/>
        <v>33</v>
      </c>
      <c r="BS810" s="253">
        <f t="shared" si="724"/>
        <v>4.8487499999999999</v>
      </c>
      <c r="BT810" s="253" cm="1">
        <f t="array" ref="BT810">$BC810 * IF($AD810&lt;=2,
SUMPRODUCT(INDEX($AL$62:$AN$66,,$AE810), INDEX($AO$62:$AU$66,,$AD810), 1 / ($AV$62:$AV$66*BS810 + (1-$AV$62:$AV$66)*BO810), N($AK$62:$AK$66&gt;$AI810)),
SUMPRODUCT(INDEX($AL$47:$AN$56,,$AE810), INDEX($AO$47:$AU$56,,$AD810), 1 / ($AW$47:$AW$56*BS810 + (1-$AW$47:$AW$56)*BO810), N($AK$47:$AK$56&gt;$AI810))
) / 1000</f>
        <v>0</v>
      </c>
      <c r="BU810" s="253" cm="1">
        <f t="array" ref="BU810">$BC810 * IF($AD810&lt;=2,
SUMPRODUCT(INDEX($AL$23:$AN$61,,$AE810), INDEX($AO$23:$AU$61,,$AD810), 1 / ($AV$23:$AV$61*BS810), N($AK$23:$AK$61&gt;$AI810)),
SUMPRODUCT(INDEX($AL$23:$AN$46,,$AE810), INDEX($AO$23:$AU$46,,$AD810), 1 / ($AW$23:$AW$46*BS810), N($AK$23:$AK$46&gt;$AI810))
) / 1000</f>
        <v>0</v>
      </c>
      <c r="BV810" s="237">
        <f t="shared" si="725"/>
        <v>0</v>
      </c>
      <c r="BW810" s="210"/>
      <c r="BX810" s="237">
        <f t="shared" si="726"/>
        <v>0</v>
      </c>
      <c r="BY810" s="236">
        <v>35</v>
      </c>
      <c r="BZ810" s="237">
        <f t="shared" si="727"/>
        <v>48</v>
      </c>
      <c r="CA810" s="253">
        <f t="shared" si="728"/>
        <v>3.0748170731707316</v>
      </c>
      <c r="CB810" s="253" cm="1">
        <f t="array" ref="CB810">$BC810 * SUMPRODUCT(INDEX($AL$77:$AN$82,,$AE810),INDEX($AO$77:$AU$82,,$AD810), N($AK$77:$AK$82&gt;$AI810)) / CA810 / 1000</f>
        <v>0</v>
      </c>
      <c r="CC810" s="250">
        <f t="shared" si="745"/>
        <v>30</v>
      </c>
      <c r="CD810" s="237">
        <f t="shared" si="729"/>
        <v>43</v>
      </c>
      <c r="CE810" s="253">
        <f t="shared" si="730"/>
        <v>3.5018750000000001</v>
      </c>
      <c r="CF810" s="253" cm="1">
        <f t="array" ref="CF810">$BC810 * IF($AD810&lt;=2,
SUMPRODUCT(INDEX($AL$72:$AN$76,,$AE810), INDEX($AO$72:$AU$76,,$AD810), 1 / ($AV$72:$AV$76*CE810 + (1-$AV$72:$AV$76)*CA810), N($AK$72:$AK$76&gt;$AI810)),
SUMPRODUCT(INDEX($AL$67:$AN$76,,$AE810), INDEX($AO$67:$AU$76,,$AD810), 1 / ($AW$67:$AW$76*CE810 + (1-$AW$67:$AW$76)*CA810), N($AK$67:$AK$76&gt;$AI810))
) / 1000</f>
        <v>0</v>
      </c>
      <c r="CG810" s="250">
        <f t="shared" si="746"/>
        <v>25</v>
      </c>
      <c r="CH810" s="237">
        <f t="shared" si="731"/>
        <v>38</v>
      </c>
      <c r="CI810" s="253">
        <f t="shared" si="732"/>
        <v>4.0666935483870965</v>
      </c>
      <c r="CJ810" s="253" cm="1">
        <f t="array" ref="CJ810">$BC810 * IF($AD810&lt;=2,
SUMPRODUCT(INDEX($AL$67:$AN$71,,$AE810), INDEX($AO$67:$AU$71,,$AD810), 1 / ($AV$67:$AV$71*CI810 + (1-$AV$67:$AV$71)*CE810), N($AK$67:$AK$71&gt;$AI810)),
SUMPRODUCT(INDEX($AL$57:$AN$66,,$AE810), INDEX($AO$57:$AU$66,,$AD810), 1 / ($AW$57:$AW$66*CI810 + (1-$AW$57:$AW$66)*CE810), N($AK$57:$AK$66&gt;$AI810))
) / 1000</f>
        <v>0</v>
      </c>
      <c r="CK810" s="250">
        <f t="shared" si="747"/>
        <v>20</v>
      </c>
      <c r="CL810" s="237">
        <f t="shared" si="733"/>
        <v>33</v>
      </c>
      <c r="CM810" s="253">
        <f t="shared" si="734"/>
        <v>4.8487499999999999</v>
      </c>
      <c r="CN810" s="253" cm="1">
        <f t="array" ref="CN810">$BC810 * IF($AD810&lt;=2,
SUMPRODUCT(INDEX($AL$62:$AN$66,,$AE810), INDEX($AO$62:$AU$66,,$AD810), 1 / ($AV$62:$AV$66*CM810 + (1-$AV$62:$AV$66)*CI810), N($AK$62:$AK$66&gt;$AI810)),
SUMPRODUCT(INDEX($AL$47:$AN$56,,$AE810), INDEX($AO$47:$AU$56,,$AD810), 1 / ($AW$47:$AW$56*CM810 + (1-$AW$47:$AW$56)*CI810), N($AK$47:$AK$56&gt;$AI810))
) / 1000</f>
        <v>0</v>
      </c>
      <c r="CO810" s="253" cm="1">
        <f t="array" ref="CO810">$BC810 * IF($AD810&lt;=2,
SUMPRODUCT(INDEX($AL$23:$AN$61,,$AE810), INDEX($AO$23:$AU$61,,$AD810), 1 / ($AV$23:$AV$61*CM810), N($AK$23:$AK$61&gt;$AI810)),
SUMPRODUCT(INDEX($AL$23:$AN$46,,$AE810), INDEX($AO$23:$AU$46,,$AD810), 1 / ($AW$23:$AW$46*CM810), N($AK$23:$AK$46&gt;$AI810))
) / 1000</f>
        <v>0</v>
      </c>
      <c r="CP810" s="237">
        <f t="shared" si="735"/>
        <v>0</v>
      </c>
      <c r="CQ810" s="210"/>
    </row>
    <row r="811" spans="1:95" s="76" customFormat="1" ht="14.25" customHeight="1" x14ac:dyDescent="0.2">
      <c r="A811" s="238" t="b">
        <f t="shared" si="739"/>
        <v>0</v>
      </c>
      <c r="B811" s="239">
        <v>789</v>
      </c>
      <c r="C811" s="258"/>
      <c r="D811" s="258"/>
      <c r="E811" s="240"/>
      <c r="F811" s="241" t="str">
        <f>IF(ISBLANK(E811), "", VLOOKUP(E811, Z!$A$2:$C$4127, 3, FALSE))</f>
        <v/>
      </c>
      <c r="G811" s="242"/>
      <c r="H811" s="242"/>
      <c r="I811" s="243"/>
      <c r="J811" s="244"/>
      <c r="K811" s="259"/>
      <c r="L811" s="260"/>
      <c r="M811" s="247" t="str" cm="1">
        <f t="array" ref="M811">IF($K811&gt;0, INDEX(Clean,1+AG811,$C$1), "")</f>
        <v/>
      </c>
      <c r="N811" s="245"/>
      <c r="O811" s="245"/>
      <c r="P811" s="246"/>
      <c r="Q811" s="248">
        <f t="shared" si="712"/>
        <v>0</v>
      </c>
      <c r="R811" s="247" t="str" cm="1">
        <f t="array" ref="R811">IF($K811&gt;0, INDEX(Clean,1+AH811,$C$1), "")</f>
        <v/>
      </c>
      <c r="S811" s="245"/>
      <c r="T811" s="245"/>
      <c r="U811" s="246"/>
      <c r="V811" s="248">
        <f t="shared" si="713"/>
        <v>0</v>
      </c>
      <c r="W811" s="261"/>
      <c r="X811" s="258"/>
      <c r="Y811" s="240"/>
      <c r="Z811" s="241" t="str">
        <f>IF(ISBLANK(Y811), "", VLOOKUP(Y811, Z!$A$2:$C$4127, 3, FALSE))</f>
        <v/>
      </c>
      <c r="AA811" s="262"/>
      <c r="AB811" s="249">
        <f t="shared" si="748"/>
        <v>0</v>
      </c>
      <c r="AC811" s="210"/>
      <c r="AD811" s="236">
        <f t="shared" si="736"/>
        <v>1</v>
      </c>
      <c r="AE811" s="236">
        <f t="shared" si="737"/>
        <v>1</v>
      </c>
      <c r="AF811" s="236">
        <f t="shared" si="738"/>
        <v>0</v>
      </c>
      <c r="AG811" s="236">
        <v>1</v>
      </c>
      <c r="AH811" s="236">
        <v>0</v>
      </c>
      <c r="AI811" s="236">
        <f t="shared" si="714"/>
        <v>-100</v>
      </c>
      <c r="AJ811" s="210"/>
      <c r="AK811" s="254"/>
      <c r="AL811" s="254"/>
      <c r="AM811" s="255"/>
      <c r="AN811" s="255"/>
      <c r="AO811" s="255"/>
      <c r="AP811" s="255"/>
      <c r="AQ811" s="255"/>
      <c r="AR811" s="255"/>
      <c r="AS811" s="255"/>
      <c r="AT811" s="255"/>
      <c r="AU811" s="255"/>
      <c r="AV811" s="255"/>
      <c r="AW811" s="255"/>
      <c r="AX811" s="210"/>
      <c r="AY811" s="236" cm="1">
        <f t="array" ref="AY811">INDEX(Use, $AD811, 4)</f>
        <v>7</v>
      </c>
      <c r="AZ811" s="236">
        <f t="shared" si="715"/>
        <v>32</v>
      </c>
      <c r="BA811" s="236">
        <f t="shared" si="740"/>
        <v>13</v>
      </c>
      <c r="BB811" s="236">
        <f t="shared" si="741"/>
        <v>0</v>
      </c>
      <c r="BC811" s="252" cm="1">
        <f t="array" ref="BC811">K811/IF($L811&gt;0, INDEX($AO$23:$AU$77, $L811+20, $AD811), 1)</f>
        <v>0</v>
      </c>
      <c r="BD811" s="237">
        <f t="shared" si="716"/>
        <v>0</v>
      </c>
      <c r="BE811" s="236">
        <v>35</v>
      </c>
      <c r="BF811" s="237">
        <f t="shared" si="717"/>
        <v>52.55</v>
      </c>
      <c r="BG811" s="253">
        <f t="shared" si="718"/>
        <v>2.7676728869374316</v>
      </c>
      <c r="BH811" s="253" cm="1">
        <f t="array" ref="BH811">$BC811 * SUMPRODUCT(INDEX($AL$77:$AN$82,,$AE811),INDEX($AO$77:$AU$82,,$AD811), N($AK$77:$AK$82&gt;$AI811)) / BG811 / 1000</f>
        <v>0</v>
      </c>
      <c r="BI811" s="250">
        <f t="shared" si="742"/>
        <v>30</v>
      </c>
      <c r="BJ811" s="237">
        <f t="shared" si="719"/>
        <v>46.033333333333331</v>
      </c>
      <c r="BK811" s="253">
        <f t="shared" si="720"/>
        <v>3.2297395388556791</v>
      </c>
      <c r="BL811" s="253" cm="1">
        <f t="array" ref="BL811">$BC811 * IF($AD811&lt;=2,
SUMPRODUCT(INDEX($AL$72:$AN$76,,$AE811), INDEX($AO$72:$AU$76,,$AD811), 1 / ($AV$72:$AV$76*BK811 + (1-$AV$72:$AV$76)*BG811), N($AK$72:$AK$76&gt;$AI811)),
SUMPRODUCT(INDEX($AL$67:$AN$76,,$AE811), INDEX($AO$67:$AU$76,,$AD811), 1 / ($AW$67:$AW$76*BK811 + (1-$AW$67:$AW$76)*BG811), N($AK$67:$AK$76&gt;$AI811))
) / 1000</f>
        <v>0</v>
      </c>
      <c r="BM811" s="250">
        <f t="shared" si="743"/>
        <v>25</v>
      </c>
      <c r="BN811" s="237">
        <f t="shared" si="721"/>
        <v>39.516666666666666</v>
      </c>
      <c r="BO811" s="253">
        <f t="shared" si="722"/>
        <v>3.877011788826243</v>
      </c>
      <c r="BP811" s="253" cm="1">
        <f t="array" ref="BP811">$BC811 * IF($AD811&lt;=2,
SUMPRODUCT(INDEX($AL$67:$AN$71,,$AE811), INDEX($AO$67:$AU$71,,$AD811), 1 / ($AV$67:$AV$71*BO811 + (1-$AV$67:$AV$71)*BK811), N($AK$67:$AK$71&gt;$AI811)),
SUMPRODUCT(INDEX($AL$57:$AN$66,,$AE811), INDEX($AO$57:$AU$66,,$AD811), 1 / ($AW$57:$AW$66*BO811 + (1-$AW$57:$AW$66)*BK811), N($AK$57:$AK$66&gt;$AI811))
) / 1000</f>
        <v>0</v>
      </c>
      <c r="BQ811" s="250">
        <f t="shared" si="744"/>
        <v>20</v>
      </c>
      <c r="BR811" s="237">
        <f t="shared" si="723"/>
        <v>33</v>
      </c>
      <c r="BS811" s="253">
        <f t="shared" si="724"/>
        <v>4.8487499999999999</v>
      </c>
      <c r="BT811" s="253" cm="1">
        <f t="array" ref="BT811">$BC811 * IF($AD811&lt;=2,
SUMPRODUCT(INDEX($AL$62:$AN$66,,$AE811), INDEX($AO$62:$AU$66,,$AD811), 1 / ($AV$62:$AV$66*BS811 + (1-$AV$62:$AV$66)*BO811), N($AK$62:$AK$66&gt;$AI811)),
SUMPRODUCT(INDEX($AL$47:$AN$56,,$AE811), INDEX($AO$47:$AU$56,,$AD811), 1 / ($AW$47:$AW$56*BS811 + (1-$AW$47:$AW$56)*BO811), N($AK$47:$AK$56&gt;$AI811))
) / 1000</f>
        <v>0</v>
      </c>
      <c r="BU811" s="253" cm="1">
        <f t="array" ref="BU811">$BC811 * IF($AD811&lt;=2,
SUMPRODUCT(INDEX($AL$23:$AN$61,,$AE811), INDEX($AO$23:$AU$61,,$AD811), 1 / ($AV$23:$AV$61*BS811), N($AK$23:$AK$61&gt;$AI811)),
SUMPRODUCT(INDEX($AL$23:$AN$46,,$AE811), INDEX($AO$23:$AU$46,,$AD811), 1 / ($AW$23:$AW$46*BS811), N($AK$23:$AK$46&gt;$AI811))
) / 1000</f>
        <v>0</v>
      </c>
      <c r="BV811" s="237">
        <f t="shared" si="725"/>
        <v>0</v>
      </c>
      <c r="BW811" s="210"/>
      <c r="BX811" s="237">
        <f t="shared" si="726"/>
        <v>0</v>
      </c>
      <c r="BY811" s="236">
        <v>35</v>
      </c>
      <c r="BZ811" s="237">
        <f t="shared" si="727"/>
        <v>48</v>
      </c>
      <c r="CA811" s="253">
        <f t="shared" si="728"/>
        <v>3.0748170731707316</v>
      </c>
      <c r="CB811" s="253" cm="1">
        <f t="array" ref="CB811">$BC811 * SUMPRODUCT(INDEX($AL$77:$AN$82,,$AE811),INDEX($AO$77:$AU$82,,$AD811), N($AK$77:$AK$82&gt;$AI811)) / CA811 / 1000</f>
        <v>0</v>
      </c>
      <c r="CC811" s="250">
        <f t="shared" si="745"/>
        <v>30</v>
      </c>
      <c r="CD811" s="237">
        <f t="shared" si="729"/>
        <v>43</v>
      </c>
      <c r="CE811" s="253">
        <f t="shared" si="730"/>
        <v>3.5018750000000001</v>
      </c>
      <c r="CF811" s="253" cm="1">
        <f t="array" ref="CF811">$BC811 * IF($AD811&lt;=2,
SUMPRODUCT(INDEX($AL$72:$AN$76,,$AE811), INDEX($AO$72:$AU$76,,$AD811), 1 / ($AV$72:$AV$76*CE811 + (1-$AV$72:$AV$76)*CA811), N($AK$72:$AK$76&gt;$AI811)),
SUMPRODUCT(INDEX($AL$67:$AN$76,,$AE811), INDEX($AO$67:$AU$76,,$AD811), 1 / ($AW$67:$AW$76*CE811 + (1-$AW$67:$AW$76)*CA811), N($AK$67:$AK$76&gt;$AI811))
) / 1000</f>
        <v>0</v>
      </c>
      <c r="CG811" s="250">
        <f t="shared" si="746"/>
        <v>25</v>
      </c>
      <c r="CH811" s="237">
        <f t="shared" si="731"/>
        <v>38</v>
      </c>
      <c r="CI811" s="253">
        <f t="shared" si="732"/>
        <v>4.0666935483870965</v>
      </c>
      <c r="CJ811" s="253" cm="1">
        <f t="array" ref="CJ811">$BC811 * IF($AD811&lt;=2,
SUMPRODUCT(INDEX($AL$67:$AN$71,,$AE811), INDEX($AO$67:$AU$71,,$AD811), 1 / ($AV$67:$AV$71*CI811 + (1-$AV$67:$AV$71)*CE811), N($AK$67:$AK$71&gt;$AI811)),
SUMPRODUCT(INDEX($AL$57:$AN$66,,$AE811), INDEX($AO$57:$AU$66,,$AD811), 1 / ($AW$57:$AW$66*CI811 + (1-$AW$57:$AW$66)*CE811), N($AK$57:$AK$66&gt;$AI811))
) / 1000</f>
        <v>0</v>
      </c>
      <c r="CK811" s="250">
        <f t="shared" si="747"/>
        <v>20</v>
      </c>
      <c r="CL811" s="237">
        <f t="shared" si="733"/>
        <v>33</v>
      </c>
      <c r="CM811" s="253">
        <f t="shared" si="734"/>
        <v>4.8487499999999999</v>
      </c>
      <c r="CN811" s="253" cm="1">
        <f t="array" ref="CN811">$BC811 * IF($AD811&lt;=2,
SUMPRODUCT(INDEX($AL$62:$AN$66,,$AE811), INDEX($AO$62:$AU$66,,$AD811), 1 / ($AV$62:$AV$66*CM811 + (1-$AV$62:$AV$66)*CI811), N($AK$62:$AK$66&gt;$AI811)),
SUMPRODUCT(INDEX($AL$47:$AN$56,,$AE811), INDEX($AO$47:$AU$56,,$AD811), 1 / ($AW$47:$AW$56*CM811 + (1-$AW$47:$AW$56)*CI811), N($AK$47:$AK$56&gt;$AI811))
) / 1000</f>
        <v>0</v>
      </c>
      <c r="CO811" s="253" cm="1">
        <f t="array" ref="CO811">$BC811 * IF($AD811&lt;=2,
SUMPRODUCT(INDEX($AL$23:$AN$61,,$AE811), INDEX($AO$23:$AU$61,,$AD811), 1 / ($AV$23:$AV$61*CM811), N($AK$23:$AK$61&gt;$AI811)),
SUMPRODUCT(INDEX($AL$23:$AN$46,,$AE811), INDEX($AO$23:$AU$46,,$AD811), 1 / ($AW$23:$AW$46*CM811), N($AK$23:$AK$46&gt;$AI811))
) / 1000</f>
        <v>0</v>
      </c>
      <c r="CP811" s="237">
        <f t="shared" si="735"/>
        <v>0</v>
      </c>
      <c r="CQ811" s="210"/>
    </row>
    <row r="812" spans="1:95" s="76" customFormat="1" ht="14.25" customHeight="1" x14ac:dyDescent="0.2">
      <c r="A812" s="238" t="b">
        <f t="shared" si="739"/>
        <v>0</v>
      </c>
      <c r="B812" s="239">
        <v>790</v>
      </c>
      <c r="C812" s="258"/>
      <c r="D812" s="258"/>
      <c r="E812" s="240"/>
      <c r="F812" s="241" t="str">
        <f>IF(ISBLANK(E812), "", VLOOKUP(E812, Z!$A$2:$C$4127, 3, FALSE))</f>
        <v/>
      </c>
      <c r="G812" s="242"/>
      <c r="H812" s="242"/>
      <c r="I812" s="243"/>
      <c r="J812" s="244"/>
      <c r="K812" s="259"/>
      <c r="L812" s="260"/>
      <c r="M812" s="247" t="str" cm="1">
        <f t="array" ref="M812">IF($K812&gt;0, INDEX(Clean,1+AG812,$C$1), "")</f>
        <v/>
      </c>
      <c r="N812" s="245"/>
      <c r="O812" s="245"/>
      <c r="P812" s="246"/>
      <c r="Q812" s="248">
        <f t="shared" si="712"/>
        <v>0</v>
      </c>
      <c r="R812" s="247" t="str" cm="1">
        <f t="array" ref="R812">IF($K812&gt;0, INDEX(Clean,1+AH812,$C$1), "")</f>
        <v/>
      </c>
      <c r="S812" s="245"/>
      <c r="T812" s="245"/>
      <c r="U812" s="246"/>
      <c r="V812" s="248">
        <f t="shared" si="713"/>
        <v>0</v>
      </c>
      <c r="W812" s="261"/>
      <c r="X812" s="258"/>
      <c r="Y812" s="240"/>
      <c r="Z812" s="241" t="str">
        <f>IF(ISBLANK(Y812), "", VLOOKUP(Y812, Z!$A$2:$C$4127, 3, FALSE))</f>
        <v/>
      </c>
      <c r="AA812" s="262"/>
      <c r="AB812" s="249">
        <f t="shared" si="748"/>
        <v>0</v>
      </c>
      <c r="AC812" s="210"/>
      <c r="AD812" s="236">
        <f t="shared" si="736"/>
        <v>1</v>
      </c>
      <c r="AE812" s="236">
        <f t="shared" si="737"/>
        <v>1</v>
      </c>
      <c r="AF812" s="236">
        <f t="shared" si="738"/>
        <v>0</v>
      </c>
      <c r="AG812" s="236">
        <v>1</v>
      </c>
      <c r="AH812" s="236">
        <v>0</v>
      </c>
      <c r="AI812" s="236">
        <f t="shared" si="714"/>
        <v>-100</v>
      </c>
      <c r="AJ812" s="210"/>
      <c r="AK812" s="254"/>
      <c r="AL812" s="254"/>
      <c r="AM812" s="255"/>
      <c r="AN812" s="255"/>
      <c r="AO812" s="255"/>
      <c r="AP812" s="255"/>
      <c r="AQ812" s="255"/>
      <c r="AR812" s="255"/>
      <c r="AS812" s="255"/>
      <c r="AT812" s="255"/>
      <c r="AU812" s="255"/>
      <c r="AV812" s="255"/>
      <c r="AW812" s="255"/>
      <c r="AX812" s="210"/>
      <c r="AY812" s="236" cm="1">
        <f t="array" ref="AY812">INDEX(Use, $AD812, 4)</f>
        <v>7</v>
      </c>
      <c r="AZ812" s="236">
        <f t="shared" si="715"/>
        <v>32</v>
      </c>
      <c r="BA812" s="236">
        <f t="shared" si="740"/>
        <v>13</v>
      </c>
      <c r="BB812" s="236">
        <f t="shared" si="741"/>
        <v>0</v>
      </c>
      <c r="BC812" s="252" cm="1">
        <f t="array" ref="BC812">K812/IF($L812&gt;0, INDEX($AO$23:$AU$77, $L812+20, $AD812), 1)</f>
        <v>0</v>
      </c>
      <c r="BD812" s="237">
        <f t="shared" si="716"/>
        <v>0</v>
      </c>
      <c r="BE812" s="236">
        <v>35</v>
      </c>
      <c r="BF812" s="237">
        <f t="shared" si="717"/>
        <v>52.55</v>
      </c>
      <c r="BG812" s="253">
        <f t="shared" si="718"/>
        <v>2.7676728869374316</v>
      </c>
      <c r="BH812" s="253" cm="1">
        <f t="array" ref="BH812">$BC812 * SUMPRODUCT(INDEX($AL$77:$AN$82,,$AE812),INDEX($AO$77:$AU$82,,$AD812), N($AK$77:$AK$82&gt;$AI812)) / BG812 / 1000</f>
        <v>0</v>
      </c>
      <c r="BI812" s="250">
        <f t="shared" si="742"/>
        <v>30</v>
      </c>
      <c r="BJ812" s="237">
        <f t="shared" si="719"/>
        <v>46.033333333333331</v>
      </c>
      <c r="BK812" s="253">
        <f t="shared" si="720"/>
        <v>3.2297395388556791</v>
      </c>
      <c r="BL812" s="253" cm="1">
        <f t="array" ref="BL812">$BC812 * IF($AD812&lt;=2,
SUMPRODUCT(INDEX($AL$72:$AN$76,,$AE812), INDEX($AO$72:$AU$76,,$AD812), 1 / ($AV$72:$AV$76*BK812 + (1-$AV$72:$AV$76)*BG812), N($AK$72:$AK$76&gt;$AI812)),
SUMPRODUCT(INDEX($AL$67:$AN$76,,$AE812), INDEX($AO$67:$AU$76,,$AD812), 1 / ($AW$67:$AW$76*BK812 + (1-$AW$67:$AW$76)*BG812), N($AK$67:$AK$76&gt;$AI812))
) / 1000</f>
        <v>0</v>
      </c>
      <c r="BM812" s="250">
        <f t="shared" si="743"/>
        <v>25</v>
      </c>
      <c r="BN812" s="237">
        <f t="shared" si="721"/>
        <v>39.516666666666666</v>
      </c>
      <c r="BO812" s="253">
        <f t="shared" si="722"/>
        <v>3.877011788826243</v>
      </c>
      <c r="BP812" s="253" cm="1">
        <f t="array" ref="BP812">$BC812 * IF($AD812&lt;=2,
SUMPRODUCT(INDEX($AL$67:$AN$71,,$AE812), INDEX($AO$67:$AU$71,,$AD812), 1 / ($AV$67:$AV$71*BO812 + (1-$AV$67:$AV$71)*BK812), N($AK$67:$AK$71&gt;$AI812)),
SUMPRODUCT(INDEX($AL$57:$AN$66,,$AE812), INDEX($AO$57:$AU$66,,$AD812), 1 / ($AW$57:$AW$66*BO812 + (1-$AW$57:$AW$66)*BK812), N($AK$57:$AK$66&gt;$AI812))
) / 1000</f>
        <v>0</v>
      </c>
      <c r="BQ812" s="250">
        <f t="shared" si="744"/>
        <v>20</v>
      </c>
      <c r="BR812" s="237">
        <f t="shared" si="723"/>
        <v>33</v>
      </c>
      <c r="BS812" s="253">
        <f t="shared" si="724"/>
        <v>4.8487499999999999</v>
      </c>
      <c r="BT812" s="253" cm="1">
        <f t="array" ref="BT812">$BC812 * IF($AD812&lt;=2,
SUMPRODUCT(INDEX($AL$62:$AN$66,,$AE812), INDEX($AO$62:$AU$66,,$AD812), 1 / ($AV$62:$AV$66*BS812 + (1-$AV$62:$AV$66)*BO812), N($AK$62:$AK$66&gt;$AI812)),
SUMPRODUCT(INDEX($AL$47:$AN$56,,$AE812), INDEX($AO$47:$AU$56,,$AD812), 1 / ($AW$47:$AW$56*BS812 + (1-$AW$47:$AW$56)*BO812), N($AK$47:$AK$56&gt;$AI812))
) / 1000</f>
        <v>0</v>
      </c>
      <c r="BU812" s="253" cm="1">
        <f t="array" ref="BU812">$BC812 * IF($AD812&lt;=2,
SUMPRODUCT(INDEX($AL$23:$AN$61,,$AE812), INDEX($AO$23:$AU$61,,$AD812), 1 / ($AV$23:$AV$61*BS812), N($AK$23:$AK$61&gt;$AI812)),
SUMPRODUCT(INDEX($AL$23:$AN$46,,$AE812), INDEX($AO$23:$AU$46,,$AD812), 1 / ($AW$23:$AW$46*BS812), N($AK$23:$AK$46&gt;$AI812))
) / 1000</f>
        <v>0</v>
      </c>
      <c r="BV812" s="237">
        <f t="shared" si="725"/>
        <v>0</v>
      </c>
      <c r="BW812" s="210"/>
      <c r="BX812" s="237">
        <f t="shared" si="726"/>
        <v>0</v>
      </c>
      <c r="BY812" s="236">
        <v>35</v>
      </c>
      <c r="BZ812" s="237">
        <f t="shared" si="727"/>
        <v>48</v>
      </c>
      <c r="CA812" s="253">
        <f t="shared" si="728"/>
        <v>3.0748170731707316</v>
      </c>
      <c r="CB812" s="253" cm="1">
        <f t="array" ref="CB812">$BC812 * SUMPRODUCT(INDEX($AL$77:$AN$82,,$AE812),INDEX($AO$77:$AU$82,,$AD812), N($AK$77:$AK$82&gt;$AI812)) / CA812 / 1000</f>
        <v>0</v>
      </c>
      <c r="CC812" s="250">
        <f t="shared" si="745"/>
        <v>30</v>
      </c>
      <c r="CD812" s="237">
        <f t="shared" si="729"/>
        <v>43</v>
      </c>
      <c r="CE812" s="253">
        <f t="shared" si="730"/>
        <v>3.5018750000000001</v>
      </c>
      <c r="CF812" s="253" cm="1">
        <f t="array" ref="CF812">$BC812 * IF($AD812&lt;=2,
SUMPRODUCT(INDEX($AL$72:$AN$76,,$AE812), INDEX($AO$72:$AU$76,,$AD812), 1 / ($AV$72:$AV$76*CE812 + (1-$AV$72:$AV$76)*CA812), N($AK$72:$AK$76&gt;$AI812)),
SUMPRODUCT(INDEX($AL$67:$AN$76,,$AE812), INDEX($AO$67:$AU$76,,$AD812), 1 / ($AW$67:$AW$76*CE812 + (1-$AW$67:$AW$76)*CA812), N($AK$67:$AK$76&gt;$AI812))
) / 1000</f>
        <v>0</v>
      </c>
      <c r="CG812" s="250">
        <f t="shared" si="746"/>
        <v>25</v>
      </c>
      <c r="CH812" s="237">
        <f t="shared" si="731"/>
        <v>38</v>
      </c>
      <c r="CI812" s="253">
        <f t="shared" si="732"/>
        <v>4.0666935483870965</v>
      </c>
      <c r="CJ812" s="253" cm="1">
        <f t="array" ref="CJ812">$BC812 * IF($AD812&lt;=2,
SUMPRODUCT(INDEX($AL$67:$AN$71,,$AE812), INDEX($AO$67:$AU$71,,$AD812), 1 / ($AV$67:$AV$71*CI812 + (1-$AV$67:$AV$71)*CE812), N($AK$67:$AK$71&gt;$AI812)),
SUMPRODUCT(INDEX($AL$57:$AN$66,,$AE812), INDEX($AO$57:$AU$66,,$AD812), 1 / ($AW$57:$AW$66*CI812 + (1-$AW$57:$AW$66)*CE812), N($AK$57:$AK$66&gt;$AI812))
) / 1000</f>
        <v>0</v>
      </c>
      <c r="CK812" s="250">
        <f t="shared" si="747"/>
        <v>20</v>
      </c>
      <c r="CL812" s="237">
        <f t="shared" si="733"/>
        <v>33</v>
      </c>
      <c r="CM812" s="253">
        <f t="shared" si="734"/>
        <v>4.8487499999999999</v>
      </c>
      <c r="CN812" s="253" cm="1">
        <f t="array" ref="CN812">$BC812 * IF($AD812&lt;=2,
SUMPRODUCT(INDEX($AL$62:$AN$66,,$AE812), INDEX($AO$62:$AU$66,,$AD812), 1 / ($AV$62:$AV$66*CM812 + (1-$AV$62:$AV$66)*CI812), N($AK$62:$AK$66&gt;$AI812)),
SUMPRODUCT(INDEX($AL$47:$AN$56,,$AE812), INDEX($AO$47:$AU$56,,$AD812), 1 / ($AW$47:$AW$56*CM812 + (1-$AW$47:$AW$56)*CI812), N($AK$47:$AK$56&gt;$AI812))
) / 1000</f>
        <v>0</v>
      </c>
      <c r="CO812" s="253" cm="1">
        <f t="array" ref="CO812">$BC812 * IF($AD812&lt;=2,
SUMPRODUCT(INDEX($AL$23:$AN$61,,$AE812), INDEX($AO$23:$AU$61,,$AD812), 1 / ($AV$23:$AV$61*CM812), N($AK$23:$AK$61&gt;$AI812)),
SUMPRODUCT(INDEX($AL$23:$AN$46,,$AE812), INDEX($AO$23:$AU$46,,$AD812), 1 / ($AW$23:$AW$46*CM812), N($AK$23:$AK$46&gt;$AI812))
) / 1000</f>
        <v>0</v>
      </c>
      <c r="CP812" s="237">
        <f t="shared" si="735"/>
        <v>0</v>
      </c>
      <c r="CQ812" s="210"/>
    </row>
    <row r="813" spans="1:95" s="76" customFormat="1" ht="14.25" customHeight="1" x14ac:dyDescent="0.2">
      <c r="A813" s="238" t="b">
        <f t="shared" si="739"/>
        <v>0</v>
      </c>
      <c r="B813" s="239">
        <v>791</v>
      </c>
      <c r="C813" s="258"/>
      <c r="D813" s="258"/>
      <c r="E813" s="240"/>
      <c r="F813" s="241" t="str">
        <f>IF(ISBLANK(E813), "", VLOOKUP(E813, Z!$A$2:$C$4127, 3, FALSE))</f>
        <v/>
      </c>
      <c r="G813" s="242"/>
      <c r="H813" s="242"/>
      <c r="I813" s="243"/>
      <c r="J813" s="244"/>
      <c r="K813" s="259"/>
      <c r="L813" s="260"/>
      <c r="M813" s="247" t="str" cm="1">
        <f t="array" ref="M813">IF($K813&gt;0, INDEX(Clean,1+AG813,$C$1), "")</f>
        <v/>
      </c>
      <c r="N813" s="245"/>
      <c r="O813" s="245"/>
      <c r="P813" s="246"/>
      <c r="Q813" s="248">
        <f t="shared" si="712"/>
        <v>0</v>
      </c>
      <c r="R813" s="247" t="str" cm="1">
        <f t="array" ref="R813">IF($K813&gt;0, INDEX(Clean,1+AH813,$C$1), "")</f>
        <v/>
      </c>
      <c r="S813" s="245"/>
      <c r="T813" s="245"/>
      <c r="U813" s="246"/>
      <c r="V813" s="248">
        <f t="shared" si="713"/>
        <v>0</v>
      </c>
      <c r="W813" s="261"/>
      <c r="X813" s="258"/>
      <c r="Y813" s="240"/>
      <c r="Z813" s="241" t="str">
        <f>IF(ISBLANK(Y813), "", VLOOKUP(Y813, Z!$A$2:$C$4127, 3, FALSE))</f>
        <v/>
      </c>
      <c r="AA813" s="262"/>
      <c r="AB813" s="249">
        <f t="shared" si="748"/>
        <v>0</v>
      </c>
      <c r="AC813" s="210"/>
      <c r="AD813" s="236">
        <f t="shared" si="736"/>
        <v>1</v>
      </c>
      <c r="AE813" s="236">
        <f t="shared" si="737"/>
        <v>1</v>
      </c>
      <c r="AF813" s="236">
        <f t="shared" si="738"/>
        <v>0</v>
      </c>
      <c r="AG813" s="236">
        <v>1</v>
      </c>
      <c r="AH813" s="236">
        <v>0</v>
      </c>
      <c r="AI813" s="236">
        <f t="shared" si="714"/>
        <v>-100</v>
      </c>
      <c r="AJ813" s="210"/>
      <c r="AK813" s="254"/>
      <c r="AL813" s="254"/>
      <c r="AM813" s="255"/>
      <c r="AN813" s="255"/>
      <c r="AO813" s="255"/>
      <c r="AP813" s="255"/>
      <c r="AQ813" s="255"/>
      <c r="AR813" s="255"/>
      <c r="AS813" s="255"/>
      <c r="AT813" s="255"/>
      <c r="AU813" s="255"/>
      <c r="AV813" s="255"/>
      <c r="AW813" s="255"/>
      <c r="AX813" s="210"/>
      <c r="AY813" s="236" cm="1">
        <f t="array" ref="AY813">INDEX(Use, $AD813, 4)</f>
        <v>7</v>
      </c>
      <c r="AZ813" s="236">
        <f t="shared" si="715"/>
        <v>32</v>
      </c>
      <c r="BA813" s="236">
        <f t="shared" si="740"/>
        <v>13</v>
      </c>
      <c r="BB813" s="236">
        <f t="shared" si="741"/>
        <v>0</v>
      </c>
      <c r="BC813" s="252" cm="1">
        <f t="array" ref="BC813">K813/IF($L813&gt;0, INDEX($AO$23:$AU$77, $L813+20, $AD813), 1)</f>
        <v>0</v>
      </c>
      <c r="BD813" s="237">
        <f t="shared" si="716"/>
        <v>0</v>
      </c>
      <c r="BE813" s="236">
        <v>35</v>
      </c>
      <c r="BF813" s="237">
        <f t="shared" si="717"/>
        <v>52.55</v>
      </c>
      <c r="BG813" s="253">
        <f t="shared" si="718"/>
        <v>2.7676728869374316</v>
      </c>
      <c r="BH813" s="253" cm="1">
        <f t="array" ref="BH813">$BC813 * SUMPRODUCT(INDEX($AL$77:$AN$82,,$AE813),INDEX($AO$77:$AU$82,,$AD813), N($AK$77:$AK$82&gt;$AI813)) / BG813 / 1000</f>
        <v>0</v>
      </c>
      <c r="BI813" s="250">
        <f t="shared" si="742"/>
        <v>30</v>
      </c>
      <c r="BJ813" s="237">
        <f t="shared" si="719"/>
        <v>46.033333333333331</v>
      </c>
      <c r="BK813" s="253">
        <f t="shared" si="720"/>
        <v>3.2297395388556791</v>
      </c>
      <c r="BL813" s="253" cm="1">
        <f t="array" ref="BL813">$BC813 * IF($AD813&lt;=2,
SUMPRODUCT(INDEX($AL$72:$AN$76,,$AE813), INDEX($AO$72:$AU$76,,$AD813), 1 / ($AV$72:$AV$76*BK813 + (1-$AV$72:$AV$76)*BG813), N($AK$72:$AK$76&gt;$AI813)),
SUMPRODUCT(INDEX($AL$67:$AN$76,,$AE813), INDEX($AO$67:$AU$76,,$AD813), 1 / ($AW$67:$AW$76*BK813 + (1-$AW$67:$AW$76)*BG813), N($AK$67:$AK$76&gt;$AI813))
) / 1000</f>
        <v>0</v>
      </c>
      <c r="BM813" s="250">
        <f t="shared" si="743"/>
        <v>25</v>
      </c>
      <c r="BN813" s="237">
        <f t="shared" si="721"/>
        <v>39.516666666666666</v>
      </c>
      <c r="BO813" s="253">
        <f t="shared" si="722"/>
        <v>3.877011788826243</v>
      </c>
      <c r="BP813" s="253" cm="1">
        <f t="array" ref="BP813">$BC813 * IF($AD813&lt;=2,
SUMPRODUCT(INDEX($AL$67:$AN$71,,$AE813), INDEX($AO$67:$AU$71,,$AD813), 1 / ($AV$67:$AV$71*BO813 + (1-$AV$67:$AV$71)*BK813), N($AK$67:$AK$71&gt;$AI813)),
SUMPRODUCT(INDEX($AL$57:$AN$66,,$AE813), INDEX($AO$57:$AU$66,,$AD813), 1 / ($AW$57:$AW$66*BO813 + (1-$AW$57:$AW$66)*BK813), N($AK$57:$AK$66&gt;$AI813))
) / 1000</f>
        <v>0</v>
      </c>
      <c r="BQ813" s="250">
        <f t="shared" si="744"/>
        <v>20</v>
      </c>
      <c r="BR813" s="237">
        <f t="shared" si="723"/>
        <v>33</v>
      </c>
      <c r="BS813" s="253">
        <f t="shared" si="724"/>
        <v>4.8487499999999999</v>
      </c>
      <c r="BT813" s="253" cm="1">
        <f t="array" ref="BT813">$BC813 * IF($AD813&lt;=2,
SUMPRODUCT(INDEX($AL$62:$AN$66,,$AE813), INDEX($AO$62:$AU$66,,$AD813), 1 / ($AV$62:$AV$66*BS813 + (1-$AV$62:$AV$66)*BO813), N($AK$62:$AK$66&gt;$AI813)),
SUMPRODUCT(INDEX($AL$47:$AN$56,,$AE813), INDEX($AO$47:$AU$56,,$AD813), 1 / ($AW$47:$AW$56*BS813 + (1-$AW$47:$AW$56)*BO813), N($AK$47:$AK$56&gt;$AI813))
) / 1000</f>
        <v>0</v>
      </c>
      <c r="BU813" s="253" cm="1">
        <f t="array" ref="BU813">$BC813 * IF($AD813&lt;=2,
SUMPRODUCT(INDEX($AL$23:$AN$61,,$AE813), INDEX($AO$23:$AU$61,,$AD813), 1 / ($AV$23:$AV$61*BS813), N($AK$23:$AK$61&gt;$AI813)),
SUMPRODUCT(INDEX($AL$23:$AN$46,,$AE813), INDEX($AO$23:$AU$46,,$AD813), 1 / ($AW$23:$AW$46*BS813), N($AK$23:$AK$46&gt;$AI813))
) / 1000</f>
        <v>0</v>
      </c>
      <c r="BV813" s="237">
        <f t="shared" si="725"/>
        <v>0</v>
      </c>
      <c r="BW813" s="210"/>
      <c r="BX813" s="237">
        <f t="shared" si="726"/>
        <v>0</v>
      </c>
      <c r="BY813" s="236">
        <v>35</v>
      </c>
      <c r="BZ813" s="237">
        <f t="shared" si="727"/>
        <v>48</v>
      </c>
      <c r="CA813" s="253">
        <f t="shared" si="728"/>
        <v>3.0748170731707316</v>
      </c>
      <c r="CB813" s="253" cm="1">
        <f t="array" ref="CB813">$BC813 * SUMPRODUCT(INDEX($AL$77:$AN$82,,$AE813),INDEX($AO$77:$AU$82,,$AD813), N($AK$77:$AK$82&gt;$AI813)) / CA813 / 1000</f>
        <v>0</v>
      </c>
      <c r="CC813" s="250">
        <f t="shared" si="745"/>
        <v>30</v>
      </c>
      <c r="CD813" s="237">
        <f t="shared" si="729"/>
        <v>43</v>
      </c>
      <c r="CE813" s="253">
        <f t="shared" si="730"/>
        <v>3.5018750000000001</v>
      </c>
      <c r="CF813" s="253" cm="1">
        <f t="array" ref="CF813">$BC813 * IF($AD813&lt;=2,
SUMPRODUCT(INDEX($AL$72:$AN$76,,$AE813), INDEX($AO$72:$AU$76,,$AD813), 1 / ($AV$72:$AV$76*CE813 + (1-$AV$72:$AV$76)*CA813), N($AK$72:$AK$76&gt;$AI813)),
SUMPRODUCT(INDEX($AL$67:$AN$76,,$AE813), INDEX($AO$67:$AU$76,,$AD813), 1 / ($AW$67:$AW$76*CE813 + (1-$AW$67:$AW$76)*CA813), N($AK$67:$AK$76&gt;$AI813))
) / 1000</f>
        <v>0</v>
      </c>
      <c r="CG813" s="250">
        <f t="shared" si="746"/>
        <v>25</v>
      </c>
      <c r="CH813" s="237">
        <f t="shared" si="731"/>
        <v>38</v>
      </c>
      <c r="CI813" s="253">
        <f t="shared" si="732"/>
        <v>4.0666935483870965</v>
      </c>
      <c r="CJ813" s="253" cm="1">
        <f t="array" ref="CJ813">$BC813 * IF($AD813&lt;=2,
SUMPRODUCT(INDEX($AL$67:$AN$71,,$AE813), INDEX($AO$67:$AU$71,,$AD813), 1 / ($AV$67:$AV$71*CI813 + (1-$AV$67:$AV$71)*CE813), N($AK$67:$AK$71&gt;$AI813)),
SUMPRODUCT(INDEX($AL$57:$AN$66,,$AE813), INDEX($AO$57:$AU$66,,$AD813), 1 / ($AW$57:$AW$66*CI813 + (1-$AW$57:$AW$66)*CE813), N($AK$57:$AK$66&gt;$AI813))
) / 1000</f>
        <v>0</v>
      </c>
      <c r="CK813" s="250">
        <f t="shared" si="747"/>
        <v>20</v>
      </c>
      <c r="CL813" s="237">
        <f t="shared" si="733"/>
        <v>33</v>
      </c>
      <c r="CM813" s="253">
        <f t="shared" si="734"/>
        <v>4.8487499999999999</v>
      </c>
      <c r="CN813" s="253" cm="1">
        <f t="array" ref="CN813">$BC813 * IF($AD813&lt;=2,
SUMPRODUCT(INDEX($AL$62:$AN$66,,$AE813), INDEX($AO$62:$AU$66,,$AD813), 1 / ($AV$62:$AV$66*CM813 + (1-$AV$62:$AV$66)*CI813), N($AK$62:$AK$66&gt;$AI813)),
SUMPRODUCT(INDEX($AL$47:$AN$56,,$AE813), INDEX($AO$47:$AU$56,,$AD813), 1 / ($AW$47:$AW$56*CM813 + (1-$AW$47:$AW$56)*CI813), N($AK$47:$AK$56&gt;$AI813))
) / 1000</f>
        <v>0</v>
      </c>
      <c r="CO813" s="253" cm="1">
        <f t="array" ref="CO813">$BC813 * IF($AD813&lt;=2,
SUMPRODUCT(INDEX($AL$23:$AN$61,,$AE813), INDEX($AO$23:$AU$61,,$AD813), 1 / ($AV$23:$AV$61*CM813), N($AK$23:$AK$61&gt;$AI813)),
SUMPRODUCT(INDEX($AL$23:$AN$46,,$AE813), INDEX($AO$23:$AU$46,,$AD813), 1 / ($AW$23:$AW$46*CM813), N($AK$23:$AK$46&gt;$AI813))
) / 1000</f>
        <v>0</v>
      </c>
      <c r="CP813" s="237">
        <f t="shared" si="735"/>
        <v>0</v>
      </c>
      <c r="CQ813" s="210"/>
    </row>
    <row r="814" spans="1:95" s="76" customFormat="1" ht="14.25" customHeight="1" x14ac:dyDescent="0.2">
      <c r="A814" s="238" t="b">
        <f t="shared" si="739"/>
        <v>0</v>
      </c>
      <c r="B814" s="239">
        <v>792</v>
      </c>
      <c r="C814" s="258"/>
      <c r="D814" s="258"/>
      <c r="E814" s="240"/>
      <c r="F814" s="241" t="str">
        <f>IF(ISBLANK(E814), "", VLOOKUP(E814, Z!$A$2:$C$4127, 3, FALSE))</f>
        <v/>
      </c>
      <c r="G814" s="242"/>
      <c r="H814" s="242"/>
      <c r="I814" s="243"/>
      <c r="J814" s="244"/>
      <c r="K814" s="259"/>
      <c r="L814" s="260"/>
      <c r="M814" s="247" t="str" cm="1">
        <f t="array" ref="M814">IF($K814&gt;0, INDEX(Clean,1+AG814,$C$1), "")</f>
        <v/>
      </c>
      <c r="N814" s="245"/>
      <c r="O814" s="245"/>
      <c r="P814" s="246"/>
      <c r="Q814" s="248">
        <f t="shared" si="712"/>
        <v>0</v>
      </c>
      <c r="R814" s="247" t="str" cm="1">
        <f t="array" ref="R814">IF($K814&gt;0, INDEX(Clean,1+AH814,$C$1), "")</f>
        <v/>
      </c>
      <c r="S814" s="245"/>
      <c r="T814" s="245"/>
      <c r="U814" s="246"/>
      <c r="V814" s="248">
        <f t="shared" si="713"/>
        <v>0</v>
      </c>
      <c r="W814" s="261"/>
      <c r="X814" s="258"/>
      <c r="Y814" s="240"/>
      <c r="Z814" s="241" t="str">
        <f>IF(ISBLANK(Y814), "", VLOOKUP(Y814, Z!$A$2:$C$4127, 3, FALSE))</f>
        <v/>
      </c>
      <c r="AA814" s="262"/>
      <c r="AB814" s="249">
        <f t="shared" si="748"/>
        <v>0</v>
      </c>
      <c r="AC814" s="210"/>
      <c r="AD814" s="236">
        <f t="shared" si="736"/>
        <v>1</v>
      </c>
      <c r="AE814" s="236">
        <f t="shared" si="737"/>
        <v>1</v>
      </c>
      <c r="AF814" s="236">
        <f t="shared" si="738"/>
        <v>0</v>
      </c>
      <c r="AG814" s="236">
        <v>1</v>
      </c>
      <c r="AH814" s="236">
        <v>0</v>
      </c>
      <c r="AI814" s="236">
        <f t="shared" si="714"/>
        <v>-100</v>
      </c>
      <c r="AJ814" s="210"/>
      <c r="AK814" s="254"/>
      <c r="AL814" s="254"/>
      <c r="AM814" s="255"/>
      <c r="AN814" s="255"/>
      <c r="AO814" s="255"/>
      <c r="AP814" s="255"/>
      <c r="AQ814" s="255"/>
      <c r="AR814" s="255"/>
      <c r="AS814" s="255"/>
      <c r="AT814" s="255"/>
      <c r="AU814" s="255"/>
      <c r="AV814" s="255"/>
      <c r="AW814" s="255"/>
      <c r="AX814" s="210"/>
      <c r="AY814" s="236" cm="1">
        <f t="array" ref="AY814">INDEX(Use, $AD814, 4)</f>
        <v>7</v>
      </c>
      <c r="AZ814" s="236">
        <f t="shared" si="715"/>
        <v>32</v>
      </c>
      <c r="BA814" s="236">
        <f t="shared" si="740"/>
        <v>13</v>
      </c>
      <c r="BB814" s="236">
        <f t="shared" si="741"/>
        <v>0</v>
      </c>
      <c r="BC814" s="252" cm="1">
        <f t="array" ref="BC814">K814/IF($L814&gt;0, INDEX($AO$23:$AU$77, $L814+20, $AD814), 1)</f>
        <v>0</v>
      </c>
      <c r="BD814" s="237">
        <f t="shared" si="716"/>
        <v>0</v>
      </c>
      <c r="BE814" s="236">
        <v>35</v>
      </c>
      <c r="BF814" s="237">
        <f t="shared" si="717"/>
        <v>52.55</v>
      </c>
      <c r="BG814" s="253">
        <f t="shared" si="718"/>
        <v>2.7676728869374316</v>
      </c>
      <c r="BH814" s="253" cm="1">
        <f t="array" ref="BH814">$BC814 * SUMPRODUCT(INDEX($AL$77:$AN$82,,$AE814),INDEX($AO$77:$AU$82,,$AD814), N($AK$77:$AK$82&gt;$AI814)) / BG814 / 1000</f>
        <v>0</v>
      </c>
      <c r="BI814" s="250">
        <f t="shared" si="742"/>
        <v>30</v>
      </c>
      <c r="BJ814" s="237">
        <f t="shared" si="719"/>
        <v>46.033333333333331</v>
      </c>
      <c r="BK814" s="253">
        <f t="shared" si="720"/>
        <v>3.2297395388556791</v>
      </c>
      <c r="BL814" s="253" cm="1">
        <f t="array" ref="BL814">$BC814 * IF($AD814&lt;=2,
SUMPRODUCT(INDEX($AL$72:$AN$76,,$AE814), INDEX($AO$72:$AU$76,,$AD814), 1 / ($AV$72:$AV$76*BK814 + (1-$AV$72:$AV$76)*BG814), N($AK$72:$AK$76&gt;$AI814)),
SUMPRODUCT(INDEX($AL$67:$AN$76,,$AE814), INDEX($AO$67:$AU$76,,$AD814), 1 / ($AW$67:$AW$76*BK814 + (1-$AW$67:$AW$76)*BG814), N($AK$67:$AK$76&gt;$AI814))
) / 1000</f>
        <v>0</v>
      </c>
      <c r="BM814" s="250">
        <f t="shared" si="743"/>
        <v>25</v>
      </c>
      <c r="BN814" s="237">
        <f t="shared" si="721"/>
        <v>39.516666666666666</v>
      </c>
      <c r="BO814" s="253">
        <f t="shared" si="722"/>
        <v>3.877011788826243</v>
      </c>
      <c r="BP814" s="253" cm="1">
        <f t="array" ref="BP814">$BC814 * IF($AD814&lt;=2,
SUMPRODUCT(INDEX($AL$67:$AN$71,,$AE814), INDEX($AO$67:$AU$71,,$AD814), 1 / ($AV$67:$AV$71*BO814 + (1-$AV$67:$AV$71)*BK814), N($AK$67:$AK$71&gt;$AI814)),
SUMPRODUCT(INDEX($AL$57:$AN$66,,$AE814), INDEX($AO$57:$AU$66,,$AD814), 1 / ($AW$57:$AW$66*BO814 + (1-$AW$57:$AW$66)*BK814), N($AK$57:$AK$66&gt;$AI814))
) / 1000</f>
        <v>0</v>
      </c>
      <c r="BQ814" s="250">
        <f t="shared" si="744"/>
        <v>20</v>
      </c>
      <c r="BR814" s="237">
        <f t="shared" si="723"/>
        <v>33</v>
      </c>
      <c r="BS814" s="253">
        <f t="shared" si="724"/>
        <v>4.8487499999999999</v>
      </c>
      <c r="BT814" s="253" cm="1">
        <f t="array" ref="BT814">$BC814 * IF($AD814&lt;=2,
SUMPRODUCT(INDEX($AL$62:$AN$66,,$AE814), INDEX($AO$62:$AU$66,,$AD814), 1 / ($AV$62:$AV$66*BS814 + (1-$AV$62:$AV$66)*BO814), N($AK$62:$AK$66&gt;$AI814)),
SUMPRODUCT(INDEX($AL$47:$AN$56,,$AE814), INDEX($AO$47:$AU$56,,$AD814), 1 / ($AW$47:$AW$56*BS814 + (1-$AW$47:$AW$56)*BO814), N($AK$47:$AK$56&gt;$AI814))
) / 1000</f>
        <v>0</v>
      </c>
      <c r="BU814" s="253" cm="1">
        <f t="array" ref="BU814">$BC814 * IF($AD814&lt;=2,
SUMPRODUCT(INDEX($AL$23:$AN$61,,$AE814), INDEX($AO$23:$AU$61,,$AD814), 1 / ($AV$23:$AV$61*BS814), N($AK$23:$AK$61&gt;$AI814)),
SUMPRODUCT(INDEX($AL$23:$AN$46,,$AE814), INDEX($AO$23:$AU$46,,$AD814), 1 / ($AW$23:$AW$46*BS814), N($AK$23:$AK$46&gt;$AI814))
) / 1000</f>
        <v>0</v>
      </c>
      <c r="BV814" s="237">
        <f t="shared" si="725"/>
        <v>0</v>
      </c>
      <c r="BW814" s="210"/>
      <c r="BX814" s="237">
        <f t="shared" si="726"/>
        <v>0</v>
      </c>
      <c r="BY814" s="236">
        <v>35</v>
      </c>
      <c r="BZ814" s="237">
        <f t="shared" si="727"/>
        <v>48</v>
      </c>
      <c r="CA814" s="253">
        <f t="shared" si="728"/>
        <v>3.0748170731707316</v>
      </c>
      <c r="CB814" s="253" cm="1">
        <f t="array" ref="CB814">$BC814 * SUMPRODUCT(INDEX($AL$77:$AN$82,,$AE814),INDEX($AO$77:$AU$82,,$AD814), N($AK$77:$AK$82&gt;$AI814)) / CA814 / 1000</f>
        <v>0</v>
      </c>
      <c r="CC814" s="250">
        <f t="shared" si="745"/>
        <v>30</v>
      </c>
      <c r="CD814" s="237">
        <f t="shared" si="729"/>
        <v>43</v>
      </c>
      <c r="CE814" s="253">
        <f t="shared" si="730"/>
        <v>3.5018750000000001</v>
      </c>
      <c r="CF814" s="253" cm="1">
        <f t="array" ref="CF814">$BC814 * IF($AD814&lt;=2,
SUMPRODUCT(INDEX($AL$72:$AN$76,,$AE814), INDEX($AO$72:$AU$76,,$AD814), 1 / ($AV$72:$AV$76*CE814 + (1-$AV$72:$AV$76)*CA814), N($AK$72:$AK$76&gt;$AI814)),
SUMPRODUCT(INDEX($AL$67:$AN$76,,$AE814), INDEX($AO$67:$AU$76,,$AD814), 1 / ($AW$67:$AW$76*CE814 + (1-$AW$67:$AW$76)*CA814), N($AK$67:$AK$76&gt;$AI814))
) / 1000</f>
        <v>0</v>
      </c>
      <c r="CG814" s="250">
        <f t="shared" si="746"/>
        <v>25</v>
      </c>
      <c r="CH814" s="237">
        <f t="shared" si="731"/>
        <v>38</v>
      </c>
      <c r="CI814" s="253">
        <f t="shared" si="732"/>
        <v>4.0666935483870965</v>
      </c>
      <c r="CJ814" s="253" cm="1">
        <f t="array" ref="CJ814">$BC814 * IF($AD814&lt;=2,
SUMPRODUCT(INDEX($AL$67:$AN$71,,$AE814), INDEX($AO$67:$AU$71,,$AD814), 1 / ($AV$67:$AV$71*CI814 + (1-$AV$67:$AV$71)*CE814), N($AK$67:$AK$71&gt;$AI814)),
SUMPRODUCT(INDEX($AL$57:$AN$66,,$AE814), INDEX($AO$57:$AU$66,,$AD814), 1 / ($AW$57:$AW$66*CI814 + (1-$AW$57:$AW$66)*CE814), N($AK$57:$AK$66&gt;$AI814))
) / 1000</f>
        <v>0</v>
      </c>
      <c r="CK814" s="250">
        <f t="shared" si="747"/>
        <v>20</v>
      </c>
      <c r="CL814" s="237">
        <f t="shared" si="733"/>
        <v>33</v>
      </c>
      <c r="CM814" s="253">
        <f t="shared" si="734"/>
        <v>4.8487499999999999</v>
      </c>
      <c r="CN814" s="253" cm="1">
        <f t="array" ref="CN814">$BC814 * IF($AD814&lt;=2,
SUMPRODUCT(INDEX($AL$62:$AN$66,,$AE814), INDEX($AO$62:$AU$66,,$AD814), 1 / ($AV$62:$AV$66*CM814 + (1-$AV$62:$AV$66)*CI814), N($AK$62:$AK$66&gt;$AI814)),
SUMPRODUCT(INDEX($AL$47:$AN$56,,$AE814), INDEX($AO$47:$AU$56,,$AD814), 1 / ($AW$47:$AW$56*CM814 + (1-$AW$47:$AW$56)*CI814), N($AK$47:$AK$56&gt;$AI814))
) / 1000</f>
        <v>0</v>
      </c>
      <c r="CO814" s="253" cm="1">
        <f t="array" ref="CO814">$BC814 * IF($AD814&lt;=2,
SUMPRODUCT(INDEX($AL$23:$AN$61,,$AE814), INDEX($AO$23:$AU$61,,$AD814), 1 / ($AV$23:$AV$61*CM814), N($AK$23:$AK$61&gt;$AI814)),
SUMPRODUCT(INDEX($AL$23:$AN$46,,$AE814), INDEX($AO$23:$AU$46,,$AD814), 1 / ($AW$23:$AW$46*CM814), N($AK$23:$AK$46&gt;$AI814))
) / 1000</f>
        <v>0</v>
      </c>
      <c r="CP814" s="237">
        <f t="shared" si="735"/>
        <v>0</v>
      </c>
      <c r="CQ814" s="210"/>
    </row>
    <row r="815" spans="1:95" s="76" customFormat="1" ht="14.25" customHeight="1" x14ac:dyDescent="0.2">
      <c r="A815" s="238" t="b">
        <f t="shared" si="739"/>
        <v>0</v>
      </c>
      <c r="B815" s="239">
        <v>793</v>
      </c>
      <c r="C815" s="258"/>
      <c r="D815" s="258"/>
      <c r="E815" s="240"/>
      <c r="F815" s="241" t="str">
        <f>IF(ISBLANK(E815), "", VLOOKUP(E815, Z!$A$2:$C$4127, 3, FALSE))</f>
        <v/>
      </c>
      <c r="G815" s="242"/>
      <c r="H815" s="242"/>
      <c r="I815" s="243"/>
      <c r="J815" s="244"/>
      <c r="K815" s="259"/>
      <c r="L815" s="260"/>
      <c r="M815" s="247" t="str" cm="1">
        <f t="array" ref="M815">IF($K815&gt;0, INDEX(Clean,1+AG815,$C$1), "")</f>
        <v/>
      </c>
      <c r="N815" s="245"/>
      <c r="O815" s="245"/>
      <c r="P815" s="246"/>
      <c r="Q815" s="248">
        <f t="shared" si="712"/>
        <v>0</v>
      </c>
      <c r="R815" s="247" t="str" cm="1">
        <f t="array" ref="R815">IF($K815&gt;0, INDEX(Clean,1+AH815,$C$1), "")</f>
        <v/>
      </c>
      <c r="S815" s="245"/>
      <c r="T815" s="245"/>
      <c r="U815" s="246"/>
      <c r="V815" s="248">
        <f t="shared" si="713"/>
        <v>0</v>
      </c>
      <c r="W815" s="261"/>
      <c r="X815" s="258"/>
      <c r="Y815" s="240"/>
      <c r="Z815" s="241" t="str">
        <f>IF(ISBLANK(Y815), "", VLOOKUP(Y815, Z!$A$2:$C$4127, 3, FALSE))</f>
        <v/>
      </c>
      <c r="AA815" s="262"/>
      <c r="AB815" s="249">
        <f t="shared" si="748"/>
        <v>0</v>
      </c>
      <c r="AC815" s="210"/>
      <c r="AD815" s="236">
        <f t="shared" si="736"/>
        <v>1</v>
      </c>
      <c r="AE815" s="236">
        <f t="shared" si="737"/>
        <v>1</v>
      </c>
      <c r="AF815" s="236">
        <f t="shared" si="738"/>
        <v>0</v>
      </c>
      <c r="AG815" s="236">
        <v>1</v>
      </c>
      <c r="AH815" s="236">
        <v>0</v>
      </c>
      <c r="AI815" s="236">
        <f t="shared" si="714"/>
        <v>-100</v>
      </c>
      <c r="AJ815" s="210"/>
      <c r="AK815" s="254"/>
      <c r="AL815" s="254"/>
      <c r="AM815" s="255"/>
      <c r="AN815" s="255"/>
      <c r="AO815" s="255"/>
      <c r="AP815" s="255"/>
      <c r="AQ815" s="255"/>
      <c r="AR815" s="255"/>
      <c r="AS815" s="255"/>
      <c r="AT815" s="255"/>
      <c r="AU815" s="255"/>
      <c r="AV815" s="255"/>
      <c r="AW815" s="255"/>
      <c r="AX815" s="210"/>
      <c r="AY815" s="236" cm="1">
        <f t="array" ref="AY815">INDEX(Use, $AD815, 4)</f>
        <v>7</v>
      </c>
      <c r="AZ815" s="236">
        <f t="shared" si="715"/>
        <v>32</v>
      </c>
      <c r="BA815" s="236">
        <f t="shared" si="740"/>
        <v>13</v>
      </c>
      <c r="BB815" s="236">
        <f t="shared" si="741"/>
        <v>0</v>
      </c>
      <c r="BC815" s="252" cm="1">
        <f t="array" ref="BC815">K815/IF($L815&gt;0, INDEX($AO$23:$AU$77, $L815+20, $AD815), 1)</f>
        <v>0</v>
      </c>
      <c r="BD815" s="237">
        <f t="shared" si="716"/>
        <v>0</v>
      </c>
      <c r="BE815" s="236">
        <v>35</v>
      </c>
      <c r="BF815" s="237">
        <f t="shared" si="717"/>
        <v>52.55</v>
      </c>
      <c r="BG815" s="253">
        <f t="shared" si="718"/>
        <v>2.7676728869374316</v>
      </c>
      <c r="BH815" s="253" cm="1">
        <f t="array" ref="BH815">$BC815 * SUMPRODUCT(INDEX($AL$77:$AN$82,,$AE815),INDEX($AO$77:$AU$82,,$AD815), N($AK$77:$AK$82&gt;$AI815)) / BG815 / 1000</f>
        <v>0</v>
      </c>
      <c r="BI815" s="250">
        <f t="shared" si="742"/>
        <v>30</v>
      </c>
      <c r="BJ815" s="237">
        <f t="shared" si="719"/>
        <v>46.033333333333331</v>
      </c>
      <c r="BK815" s="253">
        <f t="shared" si="720"/>
        <v>3.2297395388556791</v>
      </c>
      <c r="BL815" s="253" cm="1">
        <f t="array" ref="BL815">$BC815 * IF($AD815&lt;=2,
SUMPRODUCT(INDEX($AL$72:$AN$76,,$AE815), INDEX($AO$72:$AU$76,,$AD815), 1 / ($AV$72:$AV$76*BK815 + (1-$AV$72:$AV$76)*BG815), N($AK$72:$AK$76&gt;$AI815)),
SUMPRODUCT(INDEX($AL$67:$AN$76,,$AE815), INDEX($AO$67:$AU$76,,$AD815), 1 / ($AW$67:$AW$76*BK815 + (1-$AW$67:$AW$76)*BG815), N($AK$67:$AK$76&gt;$AI815))
) / 1000</f>
        <v>0</v>
      </c>
      <c r="BM815" s="250">
        <f t="shared" si="743"/>
        <v>25</v>
      </c>
      <c r="BN815" s="237">
        <f t="shared" si="721"/>
        <v>39.516666666666666</v>
      </c>
      <c r="BO815" s="253">
        <f t="shared" si="722"/>
        <v>3.877011788826243</v>
      </c>
      <c r="BP815" s="253" cm="1">
        <f t="array" ref="BP815">$BC815 * IF($AD815&lt;=2,
SUMPRODUCT(INDEX($AL$67:$AN$71,,$AE815), INDEX($AO$67:$AU$71,,$AD815), 1 / ($AV$67:$AV$71*BO815 + (1-$AV$67:$AV$71)*BK815), N($AK$67:$AK$71&gt;$AI815)),
SUMPRODUCT(INDEX($AL$57:$AN$66,,$AE815), INDEX($AO$57:$AU$66,,$AD815), 1 / ($AW$57:$AW$66*BO815 + (1-$AW$57:$AW$66)*BK815), N($AK$57:$AK$66&gt;$AI815))
) / 1000</f>
        <v>0</v>
      </c>
      <c r="BQ815" s="250">
        <f t="shared" si="744"/>
        <v>20</v>
      </c>
      <c r="BR815" s="237">
        <f t="shared" si="723"/>
        <v>33</v>
      </c>
      <c r="BS815" s="253">
        <f t="shared" si="724"/>
        <v>4.8487499999999999</v>
      </c>
      <c r="BT815" s="253" cm="1">
        <f t="array" ref="BT815">$BC815 * IF($AD815&lt;=2,
SUMPRODUCT(INDEX($AL$62:$AN$66,,$AE815), INDEX($AO$62:$AU$66,,$AD815), 1 / ($AV$62:$AV$66*BS815 + (1-$AV$62:$AV$66)*BO815), N($AK$62:$AK$66&gt;$AI815)),
SUMPRODUCT(INDEX($AL$47:$AN$56,,$AE815), INDEX($AO$47:$AU$56,,$AD815), 1 / ($AW$47:$AW$56*BS815 + (1-$AW$47:$AW$56)*BO815), N($AK$47:$AK$56&gt;$AI815))
) / 1000</f>
        <v>0</v>
      </c>
      <c r="BU815" s="253" cm="1">
        <f t="array" ref="BU815">$BC815 * IF($AD815&lt;=2,
SUMPRODUCT(INDEX($AL$23:$AN$61,,$AE815), INDEX($AO$23:$AU$61,,$AD815), 1 / ($AV$23:$AV$61*BS815), N($AK$23:$AK$61&gt;$AI815)),
SUMPRODUCT(INDEX($AL$23:$AN$46,,$AE815), INDEX($AO$23:$AU$46,,$AD815), 1 / ($AW$23:$AW$46*BS815), N($AK$23:$AK$46&gt;$AI815))
) / 1000</f>
        <v>0</v>
      </c>
      <c r="BV815" s="237">
        <f t="shared" si="725"/>
        <v>0</v>
      </c>
      <c r="BW815" s="210"/>
      <c r="BX815" s="237">
        <f t="shared" si="726"/>
        <v>0</v>
      </c>
      <c r="BY815" s="236">
        <v>35</v>
      </c>
      <c r="BZ815" s="237">
        <f t="shared" si="727"/>
        <v>48</v>
      </c>
      <c r="CA815" s="253">
        <f t="shared" si="728"/>
        <v>3.0748170731707316</v>
      </c>
      <c r="CB815" s="253" cm="1">
        <f t="array" ref="CB815">$BC815 * SUMPRODUCT(INDEX($AL$77:$AN$82,,$AE815),INDEX($AO$77:$AU$82,,$AD815), N($AK$77:$AK$82&gt;$AI815)) / CA815 / 1000</f>
        <v>0</v>
      </c>
      <c r="CC815" s="250">
        <f t="shared" si="745"/>
        <v>30</v>
      </c>
      <c r="CD815" s="237">
        <f t="shared" si="729"/>
        <v>43</v>
      </c>
      <c r="CE815" s="253">
        <f t="shared" si="730"/>
        <v>3.5018750000000001</v>
      </c>
      <c r="CF815" s="253" cm="1">
        <f t="array" ref="CF815">$BC815 * IF($AD815&lt;=2,
SUMPRODUCT(INDEX($AL$72:$AN$76,,$AE815), INDEX($AO$72:$AU$76,,$AD815), 1 / ($AV$72:$AV$76*CE815 + (1-$AV$72:$AV$76)*CA815), N($AK$72:$AK$76&gt;$AI815)),
SUMPRODUCT(INDEX($AL$67:$AN$76,,$AE815), INDEX($AO$67:$AU$76,,$AD815), 1 / ($AW$67:$AW$76*CE815 + (1-$AW$67:$AW$76)*CA815), N($AK$67:$AK$76&gt;$AI815))
) / 1000</f>
        <v>0</v>
      </c>
      <c r="CG815" s="250">
        <f t="shared" si="746"/>
        <v>25</v>
      </c>
      <c r="CH815" s="237">
        <f t="shared" si="731"/>
        <v>38</v>
      </c>
      <c r="CI815" s="253">
        <f t="shared" si="732"/>
        <v>4.0666935483870965</v>
      </c>
      <c r="CJ815" s="253" cm="1">
        <f t="array" ref="CJ815">$BC815 * IF($AD815&lt;=2,
SUMPRODUCT(INDEX($AL$67:$AN$71,,$AE815), INDEX($AO$67:$AU$71,,$AD815), 1 / ($AV$67:$AV$71*CI815 + (1-$AV$67:$AV$71)*CE815), N($AK$67:$AK$71&gt;$AI815)),
SUMPRODUCT(INDEX($AL$57:$AN$66,,$AE815), INDEX($AO$57:$AU$66,,$AD815), 1 / ($AW$57:$AW$66*CI815 + (1-$AW$57:$AW$66)*CE815), N($AK$57:$AK$66&gt;$AI815))
) / 1000</f>
        <v>0</v>
      </c>
      <c r="CK815" s="250">
        <f t="shared" si="747"/>
        <v>20</v>
      </c>
      <c r="CL815" s="237">
        <f t="shared" si="733"/>
        <v>33</v>
      </c>
      <c r="CM815" s="253">
        <f t="shared" si="734"/>
        <v>4.8487499999999999</v>
      </c>
      <c r="CN815" s="253" cm="1">
        <f t="array" ref="CN815">$BC815 * IF($AD815&lt;=2,
SUMPRODUCT(INDEX($AL$62:$AN$66,,$AE815), INDEX($AO$62:$AU$66,,$AD815), 1 / ($AV$62:$AV$66*CM815 + (1-$AV$62:$AV$66)*CI815), N($AK$62:$AK$66&gt;$AI815)),
SUMPRODUCT(INDEX($AL$47:$AN$56,,$AE815), INDEX($AO$47:$AU$56,,$AD815), 1 / ($AW$47:$AW$56*CM815 + (1-$AW$47:$AW$56)*CI815), N($AK$47:$AK$56&gt;$AI815))
) / 1000</f>
        <v>0</v>
      </c>
      <c r="CO815" s="253" cm="1">
        <f t="array" ref="CO815">$BC815 * IF($AD815&lt;=2,
SUMPRODUCT(INDEX($AL$23:$AN$61,,$AE815), INDEX($AO$23:$AU$61,,$AD815), 1 / ($AV$23:$AV$61*CM815), N($AK$23:$AK$61&gt;$AI815)),
SUMPRODUCT(INDEX($AL$23:$AN$46,,$AE815), INDEX($AO$23:$AU$46,,$AD815), 1 / ($AW$23:$AW$46*CM815), N($AK$23:$AK$46&gt;$AI815))
) / 1000</f>
        <v>0</v>
      </c>
      <c r="CP815" s="237">
        <f t="shared" si="735"/>
        <v>0</v>
      </c>
      <c r="CQ815" s="210"/>
    </row>
    <row r="816" spans="1:95" s="76" customFormat="1" ht="14.25" customHeight="1" x14ac:dyDescent="0.2">
      <c r="A816" s="238" t="b">
        <f t="shared" si="739"/>
        <v>0</v>
      </c>
      <c r="B816" s="239">
        <v>794</v>
      </c>
      <c r="C816" s="258"/>
      <c r="D816" s="258"/>
      <c r="E816" s="240"/>
      <c r="F816" s="241" t="str">
        <f>IF(ISBLANK(E816), "", VLOOKUP(E816, Z!$A$2:$C$4127, 3, FALSE))</f>
        <v/>
      </c>
      <c r="G816" s="242"/>
      <c r="H816" s="242"/>
      <c r="I816" s="243"/>
      <c r="J816" s="244"/>
      <c r="K816" s="259"/>
      <c r="L816" s="260"/>
      <c r="M816" s="247" t="str" cm="1">
        <f t="array" ref="M816">IF($K816&gt;0, INDEX(Clean,1+AG816,$C$1), "")</f>
        <v/>
      </c>
      <c r="N816" s="245"/>
      <c r="O816" s="245"/>
      <c r="P816" s="246"/>
      <c r="Q816" s="248">
        <f t="shared" si="712"/>
        <v>0</v>
      </c>
      <c r="R816" s="247" t="str" cm="1">
        <f t="array" ref="R816">IF($K816&gt;0, INDEX(Clean,1+AH816,$C$1), "")</f>
        <v/>
      </c>
      <c r="S816" s="245"/>
      <c r="T816" s="245"/>
      <c r="U816" s="246"/>
      <c r="V816" s="248">
        <f t="shared" si="713"/>
        <v>0</v>
      </c>
      <c r="W816" s="261"/>
      <c r="X816" s="258"/>
      <c r="Y816" s="240"/>
      <c r="Z816" s="241" t="str">
        <f>IF(ISBLANK(Y816), "", VLOOKUP(Y816, Z!$A$2:$C$4127, 3, FALSE))</f>
        <v/>
      </c>
      <c r="AA816" s="262"/>
      <c r="AB816" s="249">
        <f t="shared" si="748"/>
        <v>0</v>
      </c>
      <c r="AC816" s="210"/>
      <c r="AD816" s="236">
        <f t="shared" si="736"/>
        <v>1</v>
      </c>
      <c r="AE816" s="236">
        <f t="shared" si="737"/>
        <v>1</v>
      </c>
      <c r="AF816" s="236">
        <f t="shared" si="738"/>
        <v>0</v>
      </c>
      <c r="AG816" s="236">
        <v>1</v>
      </c>
      <c r="AH816" s="236">
        <v>0</v>
      </c>
      <c r="AI816" s="236">
        <f t="shared" si="714"/>
        <v>-100</v>
      </c>
      <c r="AJ816" s="210"/>
      <c r="AK816" s="254"/>
      <c r="AL816" s="254"/>
      <c r="AM816" s="255"/>
      <c r="AN816" s="255"/>
      <c r="AO816" s="255"/>
      <c r="AP816" s="255"/>
      <c r="AQ816" s="255"/>
      <c r="AR816" s="255"/>
      <c r="AS816" s="255"/>
      <c r="AT816" s="255"/>
      <c r="AU816" s="255"/>
      <c r="AV816" s="255"/>
      <c r="AW816" s="255"/>
      <c r="AX816" s="210"/>
      <c r="AY816" s="236" cm="1">
        <f t="array" ref="AY816">INDEX(Use, $AD816, 4)</f>
        <v>7</v>
      </c>
      <c r="AZ816" s="236">
        <f t="shared" si="715"/>
        <v>32</v>
      </c>
      <c r="BA816" s="236">
        <f t="shared" si="740"/>
        <v>13</v>
      </c>
      <c r="BB816" s="236">
        <f t="shared" si="741"/>
        <v>0</v>
      </c>
      <c r="BC816" s="252" cm="1">
        <f t="array" ref="BC816">K816/IF($L816&gt;0, INDEX($AO$23:$AU$77, $L816+20, $AD816), 1)</f>
        <v>0</v>
      </c>
      <c r="BD816" s="237">
        <f t="shared" si="716"/>
        <v>0</v>
      </c>
      <c r="BE816" s="236">
        <v>35</v>
      </c>
      <c r="BF816" s="237">
        <f t="shared" si="717"/>
        <v>52.55</v>
      </c>
      <c r="BG816" s="253">
        <f t="shared" si="718"/>
        <v>2.7676728869374316</v>
      </c>
      <c r="BH816" s="253" cm="1">
        <f t="array" ref="BH816">$BC816 * SUMPRODUCT(INDEX($AL$77:$AN$82,,$AE816),INDEX($AO$77:$AU$82,,$AD816), N($AK$77:$AK$82&gt;$AI816)) / BG816 / 1000</f>
        <v>0</v>
      </c>
      <c r="BI816" s="250">
        <f t="shared" si="742"/>
        <v>30</v>
      </c>
      <c r="BJ816" s="237">
        <f t="shared" si="719"/>
        <v>46.033333333333331</v>
      </c>
      <c r="BK816" s="253">
        <f t="shared" si="720"/>
        <v>3.2297395388556791</v>
      </c>
      <c r="BL816" s="253" cm="1">
        <f t="array" ref="BL816">$BC816 * IF($AD816&lt;=2,
SUMPRODUCT(INDEX($AL$72:$AN$76,,$AE816), INDEX($AO$72:$AU$76,,$AD816), 1 / ($AV$72:$AV$76*BK816 + (1-$AV$72:$AV$76)*BG816), N($AK$72:$AK$76&gt;$AI816)),
SUMPRODUCT(INDEX($AL$67:$AN$76,,$AE816), INDEX($AO$67:$AU$76,,$AD816), 1 / ($AW$67:$AW$76*BK816 + (1-$AW$67:$AW$76)*BG816), N($AK$67:$AK$76&gt;$AI816))
) / 1000</f>
        <v>0</v>
      </c>
      <c r="BM816" s="250">
        <f t="shared" si="743"/>
        <v>25</v>
      </c>
      <c r="BN816" s="237">
        <f t="shared" si="721"/>
        <v>39.516666666666666</v>
      </c>
      <c r="BO816" s="253">
        <f t="shared" si="722"/>
        <v>3.877011788826243</v>
      </c>
      <c r="BP816" s="253" cm="1">
        <f t="array" ref="BP816">$BC816 * IF($AD816&lt;=2,
SUMPRODUCT(INDEX($AL$67:$AN$71,,$AE816), INDEX($AO$67:$AU$71,,$AD816), 1 / ($AV$67:$AV$71*BO816 + (1-$AV$67:$AV$71)*BK816), N($AK$67:$AK$71&gt;$AI816)),
SUMPRODUCT(INDEX($AL$57:$AN$66,,$AE816), INDEX($AO$57:$AU$66,,$AD816), 1 / ($AW$57:$AW$66*BO816 + (1-$AW$57:$AW$66)*BK816), N($AK$57:$AK$66&gt;$AI816))
) / 1000</f>
        <v>0</v>
      </c>
      <c r="BQ816" s="250">
        <f t="shared" si="744"/>
        <v>20</v>
      </c>
      <c r="BR816" s="237">
        <f t="shared" si="723"/>
        <v>33</v>
      </c>
      <c r="BS816" s="253">
        <f t="shared" si="724"/>
        <v>4.8487499999999999</v>
      </c>
      <c r="BT816" s="253" cm="1">
        <f t="array" ref="BT816">$BC816 * IF($AD816&lt;=2,
SUMPRODUCT(INDEX($AL$62:$AN$66,,$AE816), INDEX($AO$62:$AU$66,,$AD816), 1 / ($AV$62:$AV$66*BS816 + (1-$AV$62:$AV$66)*BO816), N($AK$62:$AK$66&gt;$AI816)),
SUMPRODUCT(INDEX($AL$47:$AN$56,,$AE816), INDEX($AO$47:$AU$56,,$AD816), 1 / ($AW$47:$AW$56*BS816 + (1-$AW$47:$AW$56)*BO816), N($AK$47:$AK$56&gt;$AI816))
) / 1000</f>
        <v>0</v>
      </c>
      <c r="BU816" s="253" cm="1">
        <f t="array" ref="BU816">$BC816 * IF($AD816&lt;=2,
SUMPRODUCT(INDEX($AL$23:$AN$61,,$AE816), INDEX($AO$23:$AU$61,,$AD816), 1 / ($AV$23:$AV$61*BS816), N($AK$23:$AK$61&gt;$AI816)),
SUMPRODUCT(INDEX($AL$23:$AN$46,,$AE816), INDEX($AO$23:$AU$46,,$AD816), 1 / ($AW$23:$AW$46*BS816), N($AK$23:$AK$46&gt;$AI816))
) / 1000</f>
        <v>0</v>
      </c>
      <c r="BV816" s="237">
        <f t="shared" si="725"/>
        <v>0</v>
      </c>
      <c r="BW816" s="210"/>
      <c r="BX816" s="237">
        <f t="shared" si="726"/>
        <v>0</v>
      </c>
      <c r="BY816" s="236">
        <v>35</v>
      </c>
      <c r="BZ816" s="237">
        <f t="shared" si="727"/>
        <v>48</v>
      </c>
      <c r="CA816" s="253">
        <f t="shared" si="728"/>
        <v>3.0748170731707316</v>
      </c>
      <c r="CB816" s="253" cm="1">
        <f t="array" ref="CB816">$BC816 * SUMPRODUCT(INDEX($AL$77:$AN$82,,$AE816),INDEX($AO$77:$AU$82,,$AD816), N($AK$77:$AK$82&gt;$AI816)) / CA816 / 1000</f>
        <v>0</v>
      </c>
      <c r="CC816" s="250">
        <f t="shared" si="745"/>
        <v>30</v>
      </c>
      <c r="CD816" s="237">
        <f t="shared" si="729"/>
        <v>43</v>
      </c>
      <c r="CE816" s="253">
        <f t="shared" si="730"/>
        <v>3.5018750000000001</v>
      </c>
      <c r="CF816" s="253" cm="1">
        <f t="array" ref="CF816">$BC816 * IF($AD816&lt;=2,
SUMPRODUCT(INDEX($AL$72:$AN$76,,$AE816), INDEX($AO$72:$AU$76,,$AD816), 1 / ($AV$72:$AV$76*CE816 + (1-$AV$72:$AV$76)*CA816), N($AK$72:$AK$76&gt;$AI816)),
SUMPRODUCT(INDEX($AL$67:$AN$76,,$AE816), INDEX($AO$67:$AU$76,,$AD816), 1 / ($AW$67:$AW$76*CE816 + (1-$AW$67:$AW$76)*CA816), N($AK$67:$AK$76&gt;$AI816))
) / 1000</f>
        <v>0</v>
      </c>
      <c r="CG816" s="250">
        <f t="shared" si="746"/>
        <v>25</v>
      </c>
      <c r="CH816" s="237">
        <f t="shared" si="731"/>
        <v>38</v>
      </c>
      <c r="CI816" s="253">
        <f t="shared" si="732"/>
        <v>4.0666935483870965</v>
      </c>
      <c r="CJ816" s="253" cm="1">
        <f t="array" ref="CJ816">$BC816 * IF($AD816&lt;=2,
SUMPRODUCT(INDEX($AL$67:$AN$71,,$AE816), INDEX($AO$67:$AU$71,,$AD816), 1 / ($AV$67:$AV$71*CI816 + (1-$AV$67:$AV$71)*CE816), N($AK$67:$AK$71&gt;$AI816)),
SUMPRODUCT(INDEX($AL$57:$AN$66,,$AE816), INDEX($AO$57:$AU$66,,$AD816), 1 / ($AW$57:$AW$66*CI816 + (1-$AW$57:$AW$66)*CE816), N($AK$57:$AK$66&gt;$AI816))
) / 1000</f>
        <v>0</v>
      </c>
      <c r="CK816" s="250">
        <f t="shared" si="747"/>
        <v>20</v>
      </c>
      <c r="CL816" s="237">
        <f t="shared" si="733"/>
        <v>33</v>
      </c>
      <c r="CM816" s="253">
        <f t="shared" si="734"/>
        <v>4.8487499999999999</v>
      </c>
      <c r="CN816" s="253" cm="1">
        <f t="array" ref="CN816">$BC816 * IF($AD816&lt;=2,
SUMPRODUCT(INDEX($AL$62:$AN$66,,$AE816), INDEX($AO$62:$AU$66,,$AD816), 1 / ($AV$62:$AV$66*CM816 + (1-$AV$62:$AV$66)*CI816), N($AK$62:$AK$66&gt;$AI816)),
SUMPRODUCT(INDEX($AL$47:$AN$56,,$AE816), INDEX($AO$47:$AU$56,,$AD816), 1 / ($AW$47:$AW$56*CM816 + (1-$AW$47:$AW$56)*CI816), N($AK$47:$AK$56&gt;$AI816))
) / 1000</f>
        <v>0</v>
      </c>
      <c r="CO816" s="253" cm="1">
        <f t="array" ref="CO816">$BC816 * IF($AD816&lt;=2,
SUMPRODUCT(INDEX($AL$23:$AN$61,,$AE816), INDEX($AO$23:$AU$61,,$AD816), 1 / ($AV$23:$AV$61*CM816), N($AK$23:$AK$61&gt;$AI816)),
SUMPRODUCT(INDEX($AL$23:$AN$46,,$AE816), INDEX($AO$23:$AU$46,,$AD816), 1 / ($AW$23:$AW$46*CM816), N($AK$23:$AK$46&gt;$AI816))
) / 1000</f>
        <v>0</v>
      </c>
      <c r="CP816" s="237">
        <f t="shared" si="735"/>
        <v>0</v>
      </c>
      <c r="CQ816" s="210"/>
    </row>
    <row r="817" spans="1:95" s="76" customFormat="1" ht="14.25" customHeight="1" x14ac:dyDescent="0.2">
      <c r="A817" s="238" t="b">
        <f t="shared" si="739"/>
        <v>0</v>
      </c>
      <c r="B817" s="239">
        <v>795</v>
      </c>
      <c r="C817" s="258"/>
      <c r="D817" s="258"/>
      <c r="E817" s="240"/>
      <c r="F817" s="241" t="str">
        <f>IF(ISBLANK(E817), "", VLOOKUP(E817, Z!$A$2:$C$4127, 3, FALSE))</f>
        <v/>
      </c>
      <c r="G817" s="242"/>
      <c r="H817" s="242"/>
      <c r="I817" s="243"/>
      <c r="J817" s="244"/>
      <c r="K817" s="259"/>
      <c r="L817" s="260"/>
      <c r="M817" s="247" t="str" cm="1">
        <f t="array" ref="M817">IF($K817&gt;0, INDEX(Clean,1+AG817,$C$1), "")</f>
        <v/>
      </c>
      <c r="N817" s="245"/>
      <c r="O817" s="245"/>
      <c r="P817" s="246"/>
      <c r="Q817" s="248">
        <f t="shared" si="712"/>
        <v>0</v>
      </c>
      <c r="R817" s="247" t="str" cm="1">
        <f t="array" ref="R817">IF($K817&gt;0, INDEX(Clean,1+AH817,$C$1), "")</f>
        <v/>
      </c>
      <c r="S817" s="245"/>
      <c r="T817" s="245"/>
      <c r="U817" s="246"/>
      <c r="V817" s="248">
        <f t="shared" si="713"/>
        <v>0</v>
      </c>
      <c r="W817" s="261"/>
      <c r="X817" s="258"/>
      <c r="Y817" s="240"/>
      <c r="Z817" s="241" t="str">
        <f>IF(ISBLANK(Y817), "", VLOOKUP(Y817, Z!$A$2:$C$4127, 3, FALSE))</f>
        <v/>
      </c>
      <c r="AA817" s="262"/>
      <c r="AB817" s="249">
        <f t="shared" si="748"/>
        <v>0</v>
      </c>
      <c r="AC817" s="210"/>
      <c r="AD817" s="236">
        <f t="shared" si="736"/>
        <v>1</v>
      </c>
      <c r="AE817" s="236">
        <f t="shared" si="737"/>
        <v>1</v>
      </c>
      <c r="AF817" s="236">
        <f t="shared" si="738"/>
        <v>0</v>
      </c>
      <c r="AG817" s="236">
        <v>1</v>
      </c>
      <c r="AH817" s="236">
        <v>0</v>
      </c>
      <c r="AI817" s="236">
        <f t="shared" si="714"/>
        <v>-100</v>
      </c>
      <c r="AJ817" s="210"/>
      <c r="AK817" s="254"/>
      <c r="AL817" s="254"/>
      <c r="AM817" s="255"/>
      <c r="AN817" s="255"/>
      <c r="AO817" s="255"/>
      <c r="AP817" s="255"/>
      <c r="AQ817" s="255"/>
      <c r="AR817" s="255"/>
      <c r="AS817" s="255"/>
      <c r="AT817" s="255"/>
      <c r="AU817" s="255"/>
      <c r="AV817" s="255"/>
      <c r="AW817" s="255"/>
      <c r="AX817" s="210"/>
      <c r="AY817" s="236" cm="1">
        <f t="array" ref="AY817">INDEX(Use, $AD817, 4)</f>
        <v>7</v>
      </c>
      <c r="AZ817" s="236">
        <f t="shared" si="715"/>
        <v>32</v>
      </c>
      <c r="BA817" s="236">
        <f t="shared" si="740"/>
        <v>13</v>
      </c>
      <c r="BB817" s="236">
        <f t="shared" si="741"/>
        <v>0</v>
      </c>
      <c r="BC817" s="252" cm="1">
        <f t="array" ref="BC817">K817/IF($L817&gt;0, INDEX($AO$23:$AU$77, $L817+20, $AD817), 1)</f>
        <v>0</v>
      </c>
      <c r="BD817" s="237">
        <f t="shared" si="716"/>
        <v>0</v>
      </c>
      <c r="BE817" s="236">
        <v>35</v>
      </c>
      <c r="BF817" s="237">
        <f t="shared" si="717"/>
        <v>52.55</v>
      </c>
      <c r="BG817" s="253">
        <f t="shared" si="718"/>
        <v>2.7676728869374316</v>
      </c>
      <c r="BH817" s="253" cm="1">
        <f t="array" ref="BH817">$BC817 * SUMPRODUCT(INDEX($AL$77:$AN$82,,$AE817),INDEX($AO$77:$AU$82,,$AD817), N($AK$77:$AK$82&gt;$AI817)) / BG817 / 1000</f>
        <v>0</v>
      </c>
      <c r="BI817" s="250">
        <f t="shared" si="742"/>
        <v>30</v>
      </c>
      <c r="BJ817" s="237">
        <f t="shared" si="719"/>
        <v>46.033333333333331</v>
      </c>
      <c r="BK817" s="253">
        <f t="shared" si="720"/>
        <v>3.2297395388556791</v>
      </c>
      <c r="BL817" s="253" cm="1">
        <f t="array" ref="BL817">$BC817 * IF($AD817&lt;=2,
SUMPRODUCT(INDEX($AL$72:$AN$76,,$AE817), INDEX($AO$72:$AU$76,,$AD817), 1 / ($AV$72:$AV$76*BK817 + (1-$AV$72:$AV$76)*BG817), N($AK$72:$AK$76&gt;$AI817)),
SUMPRODUCT(INDEX($AL$67:$AN$76,,$AE817), INDEX($AO$67:$AU$76,,$AD817), 1 / ($AW$67:$AW$76*BK817 + (1-$AW$67:$AW$76)*BG817), N($AK$67:$AK$76&gt;$AI817))
) / 1000</f>
        <v>0</v>
      </c>
      <c r="BM817" s="250">
        <f t="shared" si="743"/>
        <v>25</v>
      </c>
      <c r="BN817" s="237">
        <f t="shared" si="721"/>
        <v>39.516666666666666</v>
      </c>
      <c r="BO817" s="253">
        <f t="shared" si="722"/>
        <v>3.877011788826243</v>
      </c>
      <c r="BP817" s="253" cm="1">
        <f t="array" ref="BP817">$BC817 * IF($AD817&lt;=2,
SUMPRODUCT(INDEX($AL$67:$AN$71,,$AE817), INDEX($AO$67:$AU$71,,$AD817), 1 / ($AV$67:$AV$71*BO817 + (1-$AV$67:$AV$71)*BK817), N($AK$67:$AK$71&gt;$AI817)),
SUMPRODUCT(INDEX($AL$57:$AN$66,,$AE817), INDEX($AO$57:$AU$66,,$AD817), 1 / ($AW$57:$AW$66*BO817 + (1-$AW$57:$AW$66)*BK817), N($AK$57:$AK$66&gt;$AI817))
) / 1000</f>
        <v>0</v>
      </c>
      <c r="BQ817" s="250">
        <f t="shared" si="744"/>
        <v>20</v>
      </c>
      <c r="BR817" s="237">
        <f t="shared" si="723"/>
        <v>33</v>
      </c>
      <c r="BS817" s="253">
        <f t="shared" si="724"/>
        <v>4.8487499999999999</v>
      </c>
      <c r="BT817" s="253" cm="1">
        <f t="array" ref="BT817">$BC817 * IF($AD817&lt;=2,
SUMPRODUCT(INDEX($AL$62:$AN$66,,$AE817), INDEX($AO$62:$AU$66,,$AD817), 1 / ($AV$62:$AV$66*BS817 + (1-$AV$62:$AV$66)*BO817), N($AK$62:$AK$66&gt;$AI817)),
SUMPRODUCT(INDEX($AL$47:$AN$56,,$AE817), INDEX($AO$47:$AU$56,,$AD817), 1 / ($AW$47:$AW$56*BS817 + (1-$AW$47:$AW$56)*BO817), N($AK$47:$AK$56&gt;$AI817))
) / 1000</f>
        <v>0</v>
      </c>
      <c r="BU817" s="253" cm="1">
        <f t="array" ref="BU817">$BC817 * IF($AD817&lt;=2,
SUMPRODUCT(INDEX($AL$23:$AN$61,,$AE817), INDEX($AO$23:$AU$61,,$AD817), 1 / ($AV$23:$AV$61*BS817), N($AK$23:$AK$61&gt;$AI817)),
SUMPRODUCT(INDEX($AL$23:$AN$46,,$AE817), INDEX($AO$23:$AU$46,,$AD817), 1 / ($AW$23:$AW$46*BS817), N($AK$23:$AK$46&gt;$AI817))
) / 1000</f>
        <v>0</v>
      </c>
      <c r="BV817" s="237">
        <f t="shared" si="725"/>
        <v>0</v>
      </c>
      <c r="BW817" s="210"/>
      <c r="BX817" s="237">
        <f t="shared" si="726"/>
        <v>0</v>
      </c>
      <c r="BY817" s="236">
        <v>35</v>
      </c>
      <c r="BZ817" s="237">
        <f t="shared" si="727"/>
        <v>48</v>
      </c>
      <c r="CA817" s="253">
        <f t="shared" si="728"/>
        <v>3.0748170731707316</v>
      </c>
      <c r="CB817" s="253" cm="1">
        <f t="array" ref="CB817">$BC817 * SUMPRODUCT(INDEX($AL$77:$AN$82,,$AE817),INDEX($AO$77:$AU$82,,$AD817), N($AK$77:$AK$82&gt;$AI817)) / CA817 / 1000</f>
        <v>0</v>
      </c>
      <c r="CC817" s="250">
        <f t="shared" si="745"/>
        <v>30</v>
      </c>
      <c r="CD817" s="237">
        <f t="shared" si="729"/>
        <v>43</v>
      </c>
      <c r="CE817" s="253">
        <f t="shared" si="730"/>
        <v>3.5018750000000001</v>
      </c>
      <c r="CF817" s="253" cm="1">
        <f t="array" ref="CF817">$BC817 * IF($AD817&lt;=2,
SUMPRODUCT(INDEX($AL$72:$AN$76,,$AE817), INDEX($AO$72:$AU$76,,$AD817), 1 / ($AV$72:$AV$76*CE817 + (1-$AV$72:$AV$76)*CA817), N($AK$72:$AK$76&gt;$AI817)),
SUMPRODUCT(INDEX($AL$67:$AN$76,,$AE817), INDEX($AO$67:$AU$76,,$AD817), 1 / ($AW$67:$AW$76*CE817 + (1-$AW$67:$AW$76)*CA817), N($AK$67:$AK$76&gt;$AI817))
) / 1000</f>
        <v>0</v>
      </c>
      <c r="CG817" s="250">
        <f t="shared" si="746"/>
        <v>25</v>
      </c>
      <c r="CH817" s="237">
        <f t="shared" si="731"/>
        <v>38</v>
      </c>
      <c r="CI817" s="253">
        <f t="shared" si="732"/>
        <v>4.0666935483870965</v>
      </c>
      <c r="CJ817" s="253" cm="1">
        <f t="array" ref="CJ817">$BC817 * IF($AD817&lt;=2,
SUMPRODUCT(INDEX($AL$67:$AN$71,,$AE817), INDEX($AO$67:$AU$71,,$AD817), 1 / ($AV$67:$AV$71*CI817 + (1-$AV$67:$AV$71)*CE817), N($AK$67:$AK$71&gt;$AI817)),
SUMPRODUCT(INDEX($AL$57:$AN$66,,$AE817), INDEX($AO$57:$AU$66,,$AD817), 1 / ($AW$57:$AW$66*CI817 + (1-$AW$57:$AW$66)*CE817), N($AK$57:$AK$66&gt;$AI817))
) / 1000</f>
        <v>0</v>
      </c>
      <c r="CK817" s="250">
        <f t="shared" si="747"/>
        <v>20</v>
      </c>
      <c r="CL817" s="237">
        <f t="shared" si="733"/>
        <v>33</v>
      </c>
      <c r="CM817" s="253">
        <f t="shared" si="734"/>
        <v>4.8487499999999999</v>
      </c>
      <c r="CN817" s="253" cm="1">
        <f t="array" ref="CN817">$BC817 * IF($AD817&lt;=2,
SUMPRODUCT(INDEX($AL$62:$AN$66,,$AE817), INDEX($AO$62:$AU$66,,$AD817), 1 / ($AV$62:$AV$66*CM817 + (1-$AV$62:$AV$66)*CI817), N($AK$62:$AK$66&gt;$AI817)),
SUMPRODUCT(INDEX($AL$47:$AN$56,,$AE817), INDEX($AO$47:$AU$56,,$AD817), 1 / ($AW$47:$AW$56*CM817 + (1-$AW$47:$AW$56)*CI817), N($AK$47:$AK$56&gt;$AI817))
) / 1000</f>
        <v>0</v>
      </c>
      <c r="CO817" s="253" cm="1">
        <f t="array" ref="CO817">$BC817 * IF($AD817&lt;=2,
SUMPRODUCT(INDEX($AL$23:$AN$61,,$AE817), INDEX($AO$23:$AU$61,,$AD817), 1 / ($AV$23:$AV$61*CM817), N($AK$23:$AK$61&gt;$AI817)),
SUMPRODUCT(INDEX($AL$23:$AN$46,,$AE817), INDEX($AO$23:$AU$46,,$AD817), 1 / ($AW$23:$AW$46*CM817), N($AK$23:$AK$46&gt;$AI817))
) / 1000</f>
        <v>0</v>
      </c>
      <c r="CP817" s="237">
        <f t="shared" si="735"/>
        <v>0</v>
      </c>
      <c r="CQ817" s="210"/>
    </row>
    <row r="818" spans="1:95" s="76" customFormat="1" ht="14.25" customHeight="1" x14ac:dyDescent="0.2">
      <c r="A818" s="238" t="b">
        <f t="shared" si="739"/>
        <v>0</v>
      </c>
      <c r="B818" s="239">
        <v>796</v>
      </c>
      <c r="C818" s="258"/>
      <c r="D818" s="258"/>
      <c r="E818" s="240"/>
      <c r="F818" s="241" t="str">
        <f>IF(ISBLANK(E818), "", VLOOKUP(E818, Z!$A$2:$C$4127, 3, FALSE))</f>
        <v/>
      </c>
      <c r="G818" s="242"/>
      <c r="H818" s="242"/>
      <c r="I818" s="243"/>
      <c r="J818" s="244"/>
      <c r="K818" s="259"/>
      <c r="L818" s="260"/>
      <c r="M818" s="247" t="str" cm="1">
        <f t="array" ref="M818">IF($K818&gt;0, INDEX(Clean,1+AG818,$C$1), "")</f>
        <v/>
      </c>
      <c r="N818" s="245"/>
      <c r="O818" s="245"/>
      <c r="P818" s="246"/>
      <c r="Q818" s="248">
        <f t="shared" si="712"/>
        <v>0</v>
      </c>
      <c r="R818" s="247" t="str" cm="1">
        <f t="array" ref="R818">IF($K818&gt;0, INDEX(Clean,1+AH818,$C$1), "")</f>
        <v/>
      </c>
      <c r="S818" s="245"/>
      <c r="T818" s="245"/>
      <c r="U818" s="246"/>
      <c r="V818" s="248">
        <f t="shared" si="713"/>
        <v>0</v>
      </c>
      <c r="W818" s="261"/>
      <c r="X818" s="258"/>
      <c r="Y818" s="240"/>
      <c r="Z818" s="241" t="str">
        <f>IF(ISBLANK(Y818), "", VLOOKUP(Y818, Z!$A$2:$C$4127, 3, FALSE))</f>
        <v/>
      </c>
      <c r="AA818" s="262"/>
      <c r="AB818" s="249">
        <f t="shared" si="748"/>
        <v>0</v>
      </c>
      <c r="AC818" s="210"/>
      <c r="AD818" s="236">
        <f t="shared" si="736"/>
        <v>1</v>
      </c>
      <c r="AE818" s="236">
        <f t="shared" si="737"/>
        <v>1</v>
      </c>
      <c r="AF818" s="236">
        <f t="shared" si="738"/>
        <v>0</v>
      </c>
      <c r="AG818" s="236">
        <v>1</v>
      </c>
      <c r="AH818" s="236">
        <v>0</v>
      </c>
      <c r="AI818" s="236">
        <f t="shared" si="714"/>
        <v>-100</v>
      </c>
      <c r="AJ818" s="210"/>
      <c r="AK818" s="254"/>
      <c r="AL818" s="254"/>
      <c r="AM818" s="255"/>
      <c r="AN818" s="255"/>
      <c r="AO818" s="255"/>
      <c r="AP818" s="255"/>
      <c r="AQ818" s="255"/>
      <c r="AR818" s="255"/>
      <c r="AS818" s="255"/>
      <c r="AT818" s="255"/>
      <c r="AU818" s="255"/>
      <c r="AV818" s="255"/>
      <c r="AW818" s="255"/>
      <c r="AX818" s="210"/>
      <c r="AY818" s="236" cm="1">
        <f t="array" ref="AY818">INDEX(Use, $AD818, 4)</f>
        <v>7</v>
      </c>
      <c r="AZ818" s="236">
        <f t="shared" si="715"/>
        <v>32</v>
      </c>
      <c r="BA818" s="236">
        <f t="shared" si="740"/>
        <v>13</v>
      </c>
      <c r="BB818" s="236">
        <f t="shared" si="741"/>
        <v>0</v>
      </c>
      <c r="BC818" s="252" cm="1">
        <f t="array" ref="BC818">K818/IF($L818&gt;0, INDEX($AO$23:$AU$77, $L818+20, $AD818), 1)</f>
        <v>0</v>
      </c>
      <c r="BD818" s="237">
        <f t="shared" si="716"/>
        <v>0</v>
      </c>
      <c r="BE818" s="236">
        <v>35</v>
      </c>
      <c r="BF818" s="237">
        <f t="shared" si="717"/>
        <v>52.55</v>
      </c>
      <c r="BG818" s="253">
        <f t="shared" si="718"/>
        <v>2.7676728869374316</v>
      </c>
      <c r="BH818" s="253" cm="1">
        <f t="array" ref="BH818">$BC818 * SUMPRODUCT(INDEX($AL$77:$AN$82,,$AE818),INDEX($AO$77:$AU$82,,$AD818), N($AK$77:$AK$82&gt;$AI818)) / BG818 / 1000</f>
        <v>0</v>
      </c>
      <c r="BI818" s="250">
        <f t="shared" si="742"/>
        <v>30</v>
      </c>
      <c r="BJ818" s="237">
        <f t="shared" si="719"/>
        <v>46.033333333333331</v>
      </c>
      <c r="BK818" s="253">
        <f t="shared" si="720"/>
        <v>3.2297395388556791</v>
      </c>
      <c r="BL818" s="253" cm="1">
        <f t="array" ref="BL818">$BC818 * IF($AD818&lt;=2,
SUMPRODUCT(INDEX($AL$72:$AN$76,,$AE818), INDEX($AO$72:$AU$76,,$AD818), 1 / ($AV$72:$AV$76*BK818 + (1-$AV$72:$AV$76)*BG818), N($AK$72:$AK$76&gt;$AI818)),
SUMPRODUCT(INDEX($AL$67:$AN$76,,$AE818), INDEX($AO$67:$AU$76,,$AD818), 1 / ($AW$67:$AW$76*BK818 + (1-$AW$67:$AW$76)*BG818), N($AK$67:$AK$76&gt;$AI818))
) / 1000</f>
        <v>0</v>
      </c>
      <c r="BM818" s="250">
        <f t="shared" si="743"/>
        <v>25</v>
      </c>
      <c r="BN818" s="237">
        <f t="shared" si="721"/>
        <v>39.516666666666666</v>
      </c>
      <c r="BO818" s="253">
        <f t="shared" si="722"/>
        <v>3.877011788826243</v>
      </c>
      <c r="BP818" s="253" cm="1">
        <f t="array" ref="BP818">$BC818 * IF($AD818&lt;=2,
SUMPRODUCT(INDEX($AL$67:$AN$71,,$AE818), INDEX($AO$67:$AU$71,,$AD818), 1 / ($AV$67:$AV$71*BO818 + (1-$AV$67:$AV$71)*BK818), N($AK$67:$AK$71&gt;$AI818)),
SUMPRODUCT(INDEX($AL$57:$AN$66,,$AE818), INDEX($AO$57:$AU$66,,$AD818), 1 / ($AW$57:$AW$66*BO818 + (1-$AW$57:$AW$66)*BK818), N($AK$57:$AK$66&gt;$AI818))
) / 1000</f>
        <v>0</v>
      </c>
      <c r="BQ818" s="250">
        <f t="shared" si="744"/>
        <v>20</v>
      </c>
      <c r="BR818" s="237">
        <f t="shared" si="723"/>
        <v>33</v>
      </c>
      <c r="BS818" s="253">
        <f t="shared" si="724"/>
        <v>4.8487499999999999</v>
      </c>
      <c r="BT818" s="253" cm="1">
        <f t="array" ref="BT818">$BC818 * IF($AD818&lt;=2,
SUMPRODUCT(INDEX($AL$62:$AN$66,,$AE818), INDEX($AO$62:$AU$66,,$AD818), 1 / ($AV$62:$AV$66*BS818 + (1-$AV$62:$AV$66)*BO818), N($AK$62:$AK$66&gt;$AI818)),
SUMPRODUCT(INDEX($AL$47:$AN$56,,$AE818), INDEX($AO$47:$AU$56,,$AD818), 1 / ($AW$47:$AW$56*BS818 + (1-$AW$47:$AW$56)*BO818), N($AK$47:$AK$56&gt;$AI818))
) / 1000</f>
        <v>0</v>
      </c>
      <c r="BU818" s="253" cm="1">
        <f t="array" ref="BU818">$BC818 * IF($AD818&lt;=2,
SUMPRODUCT(INDEX($AL$23:$AN$61,,$AE818), INDEX($AO$23:$AU$61,,$AD818), 1 / ($AV$23:$AV$61*BS818), N($AK$23:$AK$61&gt;$AI818)),
SUMPRODUCT(INDEX($AL$23:$AN$46,,$AE818), INDEX($AO$23:$AU$46,,$AD818), 1 / ($AW$23:$AW$46*BS818), N($AK$23:$AK$46&gt;$AI818))
) / 1000</f>
        <v>0</v>
      </c>
      <c r="BV818" s="237">
        <f t="shared" si="725"/>
        <v>0</v>
      </c>
      <c r="BW818" s="210"/>
      <c r="BX818" s="237">
        <f t="shared" si="726"/>
        <v>0</v>
      </c>
      <c r="BY818" s="236">
        <v>35</v>
      </c>
      <c r="BZ818" s="237">
        <f t="shared" si="727"/>
        <v>48</v>
      </c>
      <c r="CA818" s="253">
        <f t="shared" si="728"/>
        <v>3.0748170731707316</v>
      </c>
      <c r="CB818" s="253" cm="1">
        <f t="array" ref="CB818">$BC818 * SUMPRODUCT(INDEX($AL$77:$AN$82,,$AE818),INDEX($AO$77:$AU$82,,$AD818), N($AK$77:$AK$82&gt;$AI818)) / CA818 / 1000</f>
        <v>0</v>
      </c>
      <c r="CC818" s="250">
        <f t="shared" si="745"/>
        <v>30</v>
      </c>
      <c r="CD818" s="237">
        <f t="shared" si="729"/>
        <v>43</v>
      </c>
      <c r="CE818" s="253">
        <f t="shared" si="730"/>
        <v>3.5018750000000001</v>
      </c>
      <c r="CF818" s="253" cm="1">
        <f t="array" ref="CF818">$BC818 * IF($AD818&lt;=2,
SUMPRODUCT(INDEX($AL$72:$AN$76,,$AE818), INDEX($AO$72:$AU$76,,$AD818), 1 / ($AV$72:$AV$76*CE818 + (1-$AV$72:$AV$76)*CA818), N($AK$72:$AK$76&gt;$AI818)),
SUMPRODUCT(INDEX($AL$67:$AN$76,,$AE818), INDEX($AO$67:$AU$76,,$AD818), 1 / ($AW$67:$AW$76*CE818 + (1-$AW$67:$AW$76)*CA818), N($AK$67:$AK$76&gt;$AI818))
) / 1000</f>
        <v>0</v>
      </c>
      <c r="CG818" s="250">
        <f t="shared" si="746"/>
        <v>25</v>
      </c>
      <c r="CH818" s="237">
        <f t="shared" si="731"/>
        <v>38</v>
      </c>
      <c r="CI818" s="253">
        <f t="shared" si="732"/>
        <v>4.0666935483870965</v>
      </c>
      <c r="CJ818" s="253" cm="1">
        <f t="array" ref="CJ818">$BC818 * IF($AD818&lt;=2,
SUMPRODUCT(INDEX($AL$67:$AN$71,,$AE818), INDEX($AO$67:$AU$71,,$AD818), 1 / ($AV$67:$AV$71*CI818 + (1-$AV$67:$AV$71)*CE818), N($AK$67:$AK$71&gt;$AI818)),
SUMPRODUCT(INDEX($AL$57:$AN$66,,$AE818), INDEX($AO$57:$AU$66,,$AD818), 1 / ($AW$57:$AW$66*CI818 + (1-$AW$57:$AW$66)*CE818), N($AK$57:$AK$66&gt;$AI818))
) / 1000</f>
        <v>0</v>
      </c>
      <c r="CK818" s="250">
        <f t="shared" si="747"/>
        <v>20</v>
      </c>
      <c r="CL818" s="237">
        <f t="shared" si="733"/>
        <v>33</v>
      </c>
      <c r="CM818" s="253">
        <f t="shared" si="734"/>
        <v>4.8487499999999999</v>
      </c>
      <c r="CN818" s="253" cm="1">
        <f t="array" ref="CN818">$BC818 * IF($AD818&lt;=2,
SUMPRODUCT(INDEX($AL$62:$AN$66,,$AE818), INDEX($AO$62:$AU$66,,$AD818), 1 / ($AV$62:$AV$66*CM818 + (1-$AV$62:$AV$66)*CI818), N($AK$62:$AK$66&gt;$AI818)),
SUMPRODUCT(INDEX($AL$47:$AN$56,,$AE818), INDEX($AO$47:$AU$56,,$AD818), 1 / ($AW$47:$AW$56*CM818 + (1-$AW$47:$AW$56)*CI818), N($AK$47:$AK$56&gt;$AI818))
) / 1000</f>
        <v>0</v>
      </c>
      <c r="CO818" s="253" cm="1">
        <f t="array" ref="CO818">$BC818 * IF($AD818&lt;=2,
SUMPRODUCT(INDEX($AL$23:$AN$61,,$AE818), INDEX($AO$23:$AU$61,,$AD818), 1 / ($AV$23:$AV$61*CM818), N($AK$23:$AK$61&gt;$AI818)),
SUMPRODUCT(INDEX($AL$23:$AN$46,,$AE818), INDEX($AO$23:$AU$46,,$AD818), 1 / ($AW$23:$AW$46*CM818), N($AK$23:$AK$46&gt;$AI818))
) / 1000</f>
        <v>0</v>
      </c>
      <c r="CP818" s="237">
        <f t="shared" si="735"/>
        <v>0</v>
      </c>
      <c r="CQ818" s="210"/>
    </row>
    <row r="819" spans="1:95" s="76" customFormat="1" ht="14.25" customHeight="1" x14ac:dyDescent="0.2">
      <c r="A819" s="238" t="b">
        <f t="shared" si="739"/>
        <v>0</v>
      </c>
      <c r="B819" s="239">
        <v>797</v>
      </c>
      <c r="C819" s="258"/>
      <c r="D819" s="258"/>
      <c r="E819" s="240"/>
      <c r="F819" s="241" t="str">
        <f>IF(ISBLANK(E819), "", VLOOKUP(E819, Z!$A$2:$C$4127, 3, FALSE))</f>
        <v/>
      </c>
      <c r="G819" s="242"/>
      <c r="H819" s="242"/>
      <c r="I819" s="243"/>
      <c r="J819" s="244"/>
      <c r="K819" s="259"/>
      <c r="L819" s="260"/>
      <c r="M819" s="247" t="str" cm="1">
        <f t="array" ref="M819">IF($K819&gt;0, INDEX(Clean,1+AG819,$C$1), "")</f>
        <v/>
      </c>
      <c r="N819" s="245"/>
      <c r="O819" s="245"/>
      <c r="P819" s="246"/>
      <c r="Q819" s="248">
        <f t="shared" si="712"/>
        <v>0</v>
      </c>
      <c r="R819" s="247" t="str" cm="1">
        <f t="array" ref="R819">IF($K819&gt;0, INDEX(Clean,1+AH819,$C$1), "")</f>
        <v/>
      </c>
      <c r="S819" s="245"/>
      <c r="T819" s="245"/>
      <c r="U819" s="246"/>
      <c r="V819" s="248">
        <f t="shared" si="713"/>
        <v>0</v>
      </c>
      <c r="W819" s="261"/>
      <c r="X819" s="258"/>
      <c r="Y819" s="240"/>
      <c r="Z819" s="241" t="str">
        <f>IF(ISBLANK(Y819), "", VLOOKUP(Y819, Z!$A$2:$C$4127, 3, FALSE))</f>
        <v/>
      </c>
      <c r="AA819" s="262"/>
      <c r="AB819" s="249">
        <f t="shared" si="748"/>
        <v>0</v>
      </c>
      <c r="AC819" s="210"/>
      <c r="AD819" s="236">
        <f t="shared" si="736"/>
        <v>1</v>
      </c>
      <c r="AE819" s="236">
        <f t="shared" si="737"/>
        <v>1</v>
      </c>
      <c r="AF819" s="236">
        <f t="shared" si="738"/>
        <v>0</v>
      </c>
      <c r="AG819" s="236">
        <v>1</v>
      </c>
      <c r="AH819" s="236">
        <v>0</v>
      </c>
      <c r="AI819" s="236">
        <f t="shared" si="714"/>
        <v>-100</v>
      </c>
      <c r="AJ819" s="210"/>
      <c r="AK819" s="254"/>
      <c r="AL819" s="254"/>
      <c r="AM819" s="255"/>
      <c r="AN819" s="255"/>
      <c r="AO819" s="255"/>
      <c r="AP819" s="255"/>
      <c r="AQ819" s="255"/>
      <c r="AR819" s="255"/>
      <c r="AS819" s="255"/>
      <c r="AT819" s="255"/>
      <c r="AU819" s="255"/>
      <c r="AV819" s="255"/>
      <c r="AW819" s="255"/>
      <c r="AX819" s="210"/>
      <c r="AY819" s="236" cm="1">
        <f t="array" ref="AY819">INDEX(Use, $AD819, 4)</f>
        <v>7</v>
      </c>
      <c r="AZ819" s="236">
        <f t="shared" si="715"/>
        <v>32</v>
      </c>
      <c r="BA819" s="236">
        <f t="shared" si="740"/>
        <v>13</v>
      </c>
      <c r="BB819" s="236">
        <f t="shared" si="741"/>
        <v>0</v>
      </c>
      <c r="BC819" s="252" cm="1">
        <f t="array" ref="BC819">K819/IF($L819&gt;0, INDEX($AO$23:$AU$77, $L819+20, $AD819), 1)</f>
        <v>0</v>
      </c>
      <c r="BD819" s="237">
        <f t="shared" si="716"/>
        <v>0</v>
      </c>
      <c r="BE819" s="236">
        <v>35</v>
      </c>
      <c r="BF819" s="237">
        <f t="shared" si="717"/>
        <v>52.55</v>
      </c>
      <c r="BG819" s="253">
        <f t="shared" si="718"/>
        <v>2.7676728869374316</v>
      </c>
      <c r="BH819" s="253" cm="1">
        <f t="array" ref="BH819">$BC819 * SUMPRODUCT(INDEX($AL$77:$AN$82,,$AE819),INDEX($AO$77:$AU$82,,$AD819), N($AK$77:$AK$82&gt;$AI819)) / BG819 / 1000</f>
        <v>0</v>
      </c>
      <c r="BI819" s="250">
        <f t="shared" si="742"/>
        <v>30</v>
      </c>
      <c r="BJ819" s="237">
        <f t="shared" si="719"/>
        <v>46.033333333333331</v>
      </c>
      <c r="BK819" s="253">
        <f t="shared" si="720"/>
        <v>3.2297395388556791</v>
      </c>
      <c r="BL819" s="253" cm="1">
        <f t="array" ref="BL819">$BC819 * IF($AD819&lt;=2,
SUMPRODUCT(INDEX($AL$72:$AN$76,,$AE819), INDEX($AO$72:$AU$76,,$AD819), 1 / ($AV$72:$AV$76*BK819 + (1-$AV$72:$AV$76)*BG819), N($AK$72:$AK$76&gt;$AI819)),
SUMPRODUCT(INDEX($AL$67:$AN$76,,$AE819), INDEX($AO$67:$AU$76,,$AD819), 1 / ($AW$67:$AW$76*BK819 + (1-$AW$67:$AW$76)*BG819), N($AK$67:$AK$76&gt;$AI819))
) / 1000</f>
        <v>0</v>
      </c>
      <c r="BM819" s="250">
        <f t="shared" si="743"/>
        <v>25</v>
      </c>
      <c r="BN819" s="237">
        <f t="shared" si="721"/>
        <v>39.516666666666666</v>
      </c>
      <c r="BO819" s="253">
        <f t="shared" si="722"/>
        <v>3.877011788826243</v>
      </c>
      <c r="BP819" s="253" cm="1">
        <f t="array" ref="BP819">$BC819 * IF($AD819&lt;=2,
SUMPRODUCT(INDEX($AL$67:$AN$71,,$AE819), INDEX($AO$67:$AU$71,,$AD819), 1 / ($AV$67:$AV$71*BO819 + (1-$AV$67:$AV$71)*BK819), N($AK$67:$AK$71&gt;$AI819)),
SUMPRODUCT(INDEX($AL$57:$AN$66,,$AE819), INDEX($AO$57:$AU$66,,$AD819), 1 / ($AW$57:$AW$66*BO819 + (1-$AW$57:$AW$66)*BK819), N($AK$57:$AK$66&gt;$AI819))
) / 1000</f>
        <v>0</v>
      </c>
      <c r="BQ819" s="250">
        <f t="shared" si="744"/>
        <v>20</v>
      </c>
      <c r="BR819" s="237">
        <f t="shared" si="723"/>
        <v>33</v>
      </c>
      <c r="BS819" s="253">
        <f t="shared" si="724"/>
        <v>4.8487499999999999</v>
      </c>
      <c r="BT819" s="253" cm="1">
        <f t="array" ref="BT819">$BC819 * IF($AD819&lt;=2,
SUMPRODUCT(INDEX($AL$62:$AN$66,,$AE819), INDEX($AO$62:$AU$66,,$AD819), 1 / ($AV$62:$AV$66*BS819 + (1-$AV$62:$AV$66)*BO819), N($AK$62:$AK$66&gt;$AI819)),
SUMPRODUCT(INDEX($AL$47:$AN$56,,$AE819), INDEX($AO$47:$AU$56,,$AD819), 1 / ($AW$47:$AW$56*BS819 + (1-$AW$47:$AW$56)*BO819), N($AK$47:$AK$56&gt;$AI819))
) / 1000</f>
        <v>0</v>
      </c>
      <c r="BU819" s="253" cm="1">
        <f t="array" ref="BU819">$BC819 * IF($AD819&lt;=2,
SUMPRODUCT(INDEX($AL$23:$AN$61,,$AE819), INDEX($AO$23:$AU$61,,$AD819), 1 / ($AV$23:$AV$61*BS819), N($AK$23:$AK$61&gt;$AI819)),
SUMPRODUCT(INDEX($AL$23:$AN$46,,$AE819), INDEX($AO$23:$AU$46,,$AD819), 1 / ($AW$23:$AW$46*BS819), N($AK$23:$AK$46&gt;$AI819))
) / 1000</f>
        <v>0</v>
      </c>
      <c r="BV819" s="237">
        <f t="shared" si="725"/>
        <v>0</v>
      </c>
      <c r="BW819" s="210"/>
      <c r="BX819" s="237">
        <f t="shared" si="726"/>
        <v>0</v>
      </c>
      <c r="BY819" s="236">
        <v>35</v>
      </c>
      <c r="BZ819" s="237">
        <f t="shared" si="727"/>
        <v>48</v>
      </c>
      <c r="CA819" s="253">
        <f t="shared" si="728"/>
        <v>3.0748170731707316</v>
      </c>
      <c r="CB819" s="253" cm="1">
        <f t="array" ref="CB819">$BC819 * SUMPRODUCT(INDEX($AL$77:$AN$82,,$AE819),INDEX($AO$77:$AU$82,,$AD819), N($AK$77:$AK$82&gt;$AI819)) / CA819 / 1000</f>
        <v>0</v>
      </c>
      <c r="CC819" s="250">
        <f t="shared" si="745"/>
        <v>30</v>
      </c>
      <c r="CD819" s="237">
        <f t="shared" si="729"/>
        <v>43</v>
      </c>
      <c r="CE819" s="253">
        <f t="shared" si="730"/>
        <v>3.5018750000000001</v>
      </c>
      <c r="CF819" s="253" cm="1">
        <f t="array" ref="CF819">$BC819 * IF($AD819&lt;=2,
SUMPRODUCT(INDEX($AL$72:$AN$76,,$AE819), INDEX($AO$72:$AU$76,,$AD819), 1 / ($AV$72:$AV$76*CE819 + (1-$AV$72:$AV$76)*CA819), N($AK$72:$AK$76&gt;$AI819)),
SUMPRODUCT(INDEX($AL$67:$AN$76,,$AE819), INDEX($AO$67:$AU$76,,$AD819), 1 / ($AW$67:$AW$76*CE819 + (1-$AW$67:$AW$76)*CA819), N($AK$67:$AK$76&gt;$AI819))
) / 1000</f>
        <v>0</v>
      </c>
      <c r="CG819" s="250">
        <f t="shared" si="746"/>
        <v>25</v>
      </c>
      <c r="CH819" s="237">
        <f t="shared" si="731"/>
        <v>38</v>
      </c>
      <c r="CI819" s="253">
        <f t="shared" si="732"/>
        <v>4.0666935483870965</v>
      </c>
      <c r="CJ819" s="253" cm="1">
        <f t="array" ref="CJ819">$BC819 * IF($AD819&lt;=2,
SUMPRODUCT(INDEX($AL$67:$AN$71,,$AE819), INDEX($AO$67:$AU$71,,$AD819), 1 / ($AV$67:$AV$71*CI819 + (1-$AV$67:$AV$71)*CE819), N($AK$67:$AK$71&gt;$AI819)),
SUMPRODUCT(INDEX($AL$57:$AN$66,,$AE819), INDEX($AO$57:$AU$66,,$AD819), 1 / ($AW$57:$AW$66*CI819 + (1-$AW$57:$AW$66)*CE819), N($AK$57:$AK$66&gt;$AI819))
) / 1000</f>
        <v>0</v>
      </c>
      <c r="CK819" s="250">
        <f t="shared" si="747"/>
        <v>20</v>
      </c>
      <c r="CL819" s="237">
        <f t="shared" si="733"/>
        <v>33</v>
      </c>
      <c r="CM819" s="253">
        <f t="shared" si="734"/>
        <v>4.8487499999999999</v>
      </c>
      <c r="CN819" s="253" cm="1">
        <f t="array" ref="CN819">$BC819 * IF($AD819&lt;=2,
SUMPRODUCT(INDEX($AL$62:$AN$66,,$AE819), INDEX($AO$62:$AU$66,,$AD819), 1 / ($AV$62:$AV$66*CM819 + (1-$AV$62:$AV$66)*CI819), N($AK$62:$AK$66&gt;$AI819)),
SUMPRODUCT(INDEX($AL$47:$AN$56,,$AE819), INDEX($AO$47:$AU$56,,$AD819), 1 / ($AW$47:$AW$56*CM819 + (1-$AW$47:$AW$56)*CI819), N($AK$47:$AK$56&gt;$AI819))
) / 1000</f>
        <v>0</v>
      </c>
      <c r="CO819" s="253" cm="1">
        <f t="array" ref="CO819">$BC819 * IF($AD819&lt;=2,
SUMPRODUCT(INDEX($AL$23:$AN$61,,$AE819), INDEX($AO$23:$AU$61,,$AD819), 1 / ($AV$23:$AV$61*CM819), N($AK$23:$AK$61&gt;$AI819)),
SUMPRODUCT(INDEX($AL$23:$AN$46,,$AE819), INDEX($AO$23:$AU$46,,$AD819), 1 / ($AW$23:$AW$46*CM819), N($AK$23:$AK$46&gt;$AI819))
) / 1000</f>
        <v>0</v>
      </c>
      <c r="CP819" s="237">
        <f t="shared" si="735"/>
        <v>0</v>
      </c>
      <c r="CQ819" s="210"/>
    </row>
    <row r="820" spans="1:95" s="76" customFormat="1" ht="14.25" customHeight="1" x14ac:dyDescent="0.2">
      <c r="A820" s="238" t="b">
        <f t="shared" si="739"/>
        <v>0</v>
      </c>
      <c r="B820" s="239">
        <v>798</v>
      </c>
      <c r="C820" s="258"/>
      <c r="D820" s="258"/>
      <c r="E820" s="240"/>
      <c r="F820" s="241" t="str">
        <f>IF(ISBLANK(E820), "", VLOOKUP(E820, Z!$A$2:$C$4127, 3, FALSE))</f>
        <v/>
      </c>
      <c r="G820" s="242"/>
      <c r="H820" s="242"/>
      <c r="I820" s="243"/>
      <c r="J820" s="244"/>
      <c r="K820" s="259"/>
      <c r="L820" s="260"/>
      <c r="M820" s="247" t="str" cm="1">
        <f t="array" ref="M820">IF($K820&gt;0, INDEX(Clean,1+AG820,$C$1), "")</f>
        <v/>
      </c>
      <c r="N820" s="245"/>
      <c r="O820" s="245"/>
      <c r="P820" s="246"/>
      <c r="Q820" s="248">
        <f t="shared" si="712"/>
        <v>0</v>
      </c>
      <c r="R820" s="247" t="str" cm="1">
        <f t="array" ref="R820">IF($K820&gt;0, INDEX(Clean,1+AH820,$C$1), "")</f>
        <v/>
      </c>
      <c r="S820" s="245"/>
      <c r="T820" s="245"/>
      <c r="U820" s="246"/>
      <c r="V820" s="248">
        <f t="shared" si="713"/>
        <v>0</v>
      </c>
      <c r="W820" s="261"/>
      <c r="X820" s="258"/>
      <c r="Y820" s="240"/>
      <c r="Z820" s="241" t="str">
        <f>IF(ISBLANK(Y820), "", VLOOKUP(Y820, Z!$A$2:$C$4127, 3, FALSE))</f>
        <v/>
      </c>
      <c r="AA820" s="262"/>
      <c r="AB820" s="249">
        <f t="shared" si="748"/>
        <v>0</v>
      </c>
      <c r="AC820" s="210"/>
      <c r="AD820" s="236">
        <f t="shared" si="736"/>
        <v>1</v>
      </c>
      <c r="AE820" s="236">
        <f t="shared" si="737"/>
        <v>1</v>
      </c>
      <c r="AF820" s="236">
        <f t="shared" si="738"/>
        <v>0</v>
      </c>
      <c r="AG820" s="236">
        <v>1</v>
      </c>
      <c r="AH820" s="236">
        <v>0</v>
      </c>
      <c r="AI820" s="236">
        <f t="shared" si="714"/>
        <v>-100</v>
      </c>
      <c r="AJ820" s="210"/>
      <c r="AK820" s="254"/>
      <c r="AL820" s="254"/>
      <c r="AM820" s="255"/>
      <c r="AN820" s="255"/>
      <c r="AO820" s="255"/>
      <c r="AP820" s="255"/>
      <c r="AQ820" s="255"/>
      <c r="AR820" s="255"/>
      <c r="AS820" s="255"/>
      <c r="AT820" s="255"/>
      <c r="AU820" s="255"/>
      <c r="AV820" s="255"/>
      <c r="AW820" s="255"/>
      <c r="AX820" s="210"/>
      <c r="AY820" s="236" cm="1">
        <f t="array" ref="AY820">INDEX(Use, $AD820, 4)</f>
        <v>7</v>
      </c>
      <c r="AZ820" s="236">
        <f t="shared" si="715"/>
        <v>32</v>
      </c>
      <c r="BA820" s="236">
        <f t="shared" si="740"/>
        <v>13</v>
      </c>
      <c r="BB820" s="236">
        <f t="shared" si="741"/>
        <v>0</v>
      </c>
      <c r="BC820" s="252" cm="1">
        <f t="array" ref="BC820">K820/IF($L820&gt;0, INDEX($AO$23:$AU$77, $L820+20, $AD820), 1)</f>
        <v>0</v>
      </c>
      <c r="BD820" s="237">
        <f t="shared" si="716"/>
        <v>0</v>
      </c>
      <c r="BE820" s="236">
        <v>35</v>
      </c>
      <c r="BF820" s="237">
        <f t="shared" si="717"/>
        <v>52.55</v>
      </c>
      <c r="BG820" s="253">
        <f t="shared" si="718"/>
        <v>2.7676728869374316</v>
      </c>
      <c r="BH820" s="253" cm="1">
        <f t="array" ref="BH820">$BC820 * SUMPRODUCT(INDEX($AL$77:$AN$82,,$AE820),INDEX($AO$77:$AU$82,,$AD820), N($AK$77:$AK$82&gt;$AI820)) / BG820 / 1000</f>
        <v>0</v>
      </c>
      <c r="BI820" s="250">
        <f t="shared" si="742"/>
        <v>30</v>
      </c>
      <c r="BJ820" s="237">
        <f t="shared" si="719"/>
        <v>46.033333333333331</v>
      </c>
      <c r="BK820" s="253">
        <f t="shared" si="720"/>
        <v>3.2297395388556791</v>
      </c>
      <c r="BL820" s="253" cm="1">
        <f t="array" ref="BL820">$BC820 * IF($AD820&lt;=2,
SUMPRODUCT(INDEX($AL$72:$AN$76,,$AE820), INDEX($AO$72:$AU$76,,$AD820), 1 / ($AV$72:$AV$76*BK820 + (1-$AV$72:$AV$76)*BG820), N($AK$72:$AK$76&gt;$AI820)),
SUMPRODUCT(INDEX($AL$67:$AN$76,,$AE820), INDEX($AO$67:$AU$76,,$AD820), 1 / ($AW$67:$AW$76*BK820 + (1-$AW$67:$AW$76)*BG820), N($AK$67:$AK$76&gt;$AI820))
) / 1000</f>
        <v>0</v>
      </c>
      <c r="BM820" s="250">
        <f t="shared" si="743"/>
        <v>25</v>
      </c>
      <c r="BN820" s="237">
        <f t="shared" si="721"/>
        <v>39.516666666666666</v>
      </c>
      <c r="BO820" s="253">
        <f t="shared" si="722"/>
        <v>3.877011788826243</v>
      </c>
      <c r="BP820" s="253" cm="1">
        <f t="array" ref="BP820">$BC820 * IF($AD820&lt;=2,
SUMPRODUCT(INDEX($AL$67:$AN$71,,$AE820), INDEX($AO$67:$AU$71,,$AD820), 1 / ($AV$67:$AV$71*BO820 + (1-$AV$67:$AV$71)*BK820), N($AK$67:$AK$71&gt;$AI820)),
SUMPRODUCT(INDEX($AL$57:$AN$66,,$AE820), INDEX($AO$57:$AU$66,,$AD820), 1 / ($AW$57:$AW$66*BO820 + (1-$AW$57:$AW$66)*BK820), N($AK$57:$AK$66&gt;$AI820))
) / 1000</f>
        <v>0</v>
      </c>
      <c r="BQ820" s="250">
        <f t="shared" si="744"/>
        <v>20</v>
      </c>
      <c r="BR820" s="237">
        <f t="shared" si="723"/>
        <v>33</v>
      </c>
      <c r="BS820" s="253">
        <f t="shared" si="724"/>
        <v>4.8487499999999999</v>
      </c>
      <c r="BT820" s="253" cm="1">
        <f t="array" ref="BT820">$BC820 * IF($AD820&lt;=2,
SUMPRODUCT(INDEX($AL$62:$AN$66,,$AE820), INDEX($AO$62:$AU$66,,$AD820), 1 / ($AV$62:$AV$66*BS820 + (1-$AV$62:$AV$66)*BO820), N($AK$62:$AK$66&gt;$AI820)),
SUMPRODUCT(INDEX($AL$47:$AN$56,,$AE820), INDEX($AO$47:$AU$56,,$AD820), 1 / ($AW$47:$AW$56*BS820 + (1-$AW$47:$AW$56)*BO820), N($AK$47:$AK$56&gt;$AI820))
) / 1000</f>
        <v>0</v>
      </c>
      <c r="BU820" s="253" cm="1">
        <f t="array" ref="BU820">$BC820 * IF($AD820&lt;=2,
SUMPRODUCT(INDEX($AL$23:$AN$61,,$AE820), INDEX($AO$23:$AU$61,,$AD820), 1 / ($AV$23:$AV$61*BS820), N($AK$23:$AK$61&gt;$AI820)),
SUMPRODUCT(INDEX($AL$23:$AN$46,,$AE820), INDEX($AO$23:$AU$46,,$AD820), 1 / ($AW$23:$AW$46*BS820), N($AK$23:$AK$46&gt;$AI820))
) / 1000</f>
        <v>0</v>
      </c>
      <c r="BV820" s="237">
        <f t="shared" si="725"/>
        <v>0</v>
      </c>
      <c r="BW820" s="210"/>
      <c r="BX820" s="237">
        <f t="shared" si="726"/>
        <v>0</v>
      </c>
      <c r="BY820" s="236">
        <v>35</v>
      </c>
      <c r="BZ820" s="237">
        <f t="shared" si="727"/>
        <v>48</v>
      </c>
      <c r="CA820" s="253">
        <f t="shared" si="728"/>
        <v>3.0748170731707316</v>
      </c>
      <c r="CB820" s="253" cm="1">
        <f t="array" ref="CB820">$BC820 * SUMPRODUCT(INDEX($AL$77:$AN$82,,$AE820),INDEX($AO$77:$AU$82,,$AD820), N($AK$77:$AK$82&gt;$AI820)) / CA820 / 1000</f>
        <v>0</v>
      </c>
      <c r="CC820" s="250">
        <f t="shared" si="745"/>
        <v>30</v>
      </c>
      <c r="CD820" s="237">
        <f t="shared" si="729"/>
        <v>43</v>
      </c>
      <c r="CE820" s="253">
        <f t="shared" si="730"/>
        <v>3.5018750000000001</v>
      </c>
      <c r="CF820" s="253" cm="1">
        <f t="array" ref="CF820">$BC820 * IF($AD820&lt;=2,
SUMPRODUCT(INDEX($AL$72:$AN$76,,$AE820), INDEX($AO$72:$AU$76,,$AD820), 1 / ($AV$72:$AV$76*CE820 + (1-$AV$72:$AV$76)*CA820), N($AK$72:$AK$76&gt;$AI820)),
SUMPRODUCT(INDEX($AL$67:$AN$76,,$AE820), INDEX($AO$67:$AU$76,,$AD820), 1 / ($AW$67:$AW$76*CE820 + (1-$AW$67:$AW$76)*CA820), N($AK$67:$AK$76&gt;$AI820))
) / 1000</f>
        <v>0</v>
      </c>
      <c r="CG820" s="250">
        <f t="shared" si="746"/>
        <v>25</v>
      </c>
      <c r="CH820" s="237">
        <f t="shared" si="731"/>
        <v>38</v>
      </c>
      <c r="CI820" s="253">
        <f t="shared" si="732"/>
        <v>4.0666935483870965</v>
      </c>
      <c r="CJ820" s="253" cm="1">
        <f t="array" ref="CJ820">$BC820 * IF($AD820&lt;=2,
SUMPRODUCT(INDEX($AL$67:$AN$71,,$AE820), INDEX($AO$67:$AU$71,,$AD820), 1 / ($AV$67:$AV$71*CI820 + (1-$AV$67:$AV$71)*CE820), N($AK$67:$AK$71&gt;$AI820)),
SUMPRODUCT(INDEX($AL$57:$AN$66,,$AE820), INDEX($AO$57:$AU$66,,$AD820), 1 / ($AW$57:$AW$66*CI820 + (1-$AW$57:$AW$66)*CE820), N($AK$57:$AK$66&gt;$AI820))
) / 1000</f>
        <v>0</v>
      </c>
      <c r="CK820" s="250">
        <f t="shared" si="747"/>
        <v>20</v>
      </c>
      <c r="CL820" s="237">
        <f t="shared" si="733"/>
        <v>33</v>
      </c>
      <c r="CM820" s="253">
        <f t="shared" si="734"/>
        <v>4.8487499999999999</v>
      </c>
      <c r="CN820" s="253" cm="1">
        <f t="array" ref="CN820">$BC820 * IF($AD820&lt;=2,
SUMPRODUCT(INDEX($AL$62:$AN$66,,$AE820), INDEX($AO$62:$AU$66,,$AD820), 1 / ($AV$62:$AV$66*CM820 + (1-$AV$62:$AV$66)*CI820), N($AK$62:$AK$66&gt;$AI820)),
SUMPRODUCT(INDEX($AL$47:$AN$56,,$AE820), INDEX($AO$47:$AU$56,,$AD820), 1 / ($AW$47:$AW$56*CM820 + (1-$AW$47:$AW$56)*CI820), N($AK$47:$AK$56&gt;$AI820))
) / 1000</f>
        <v>0</v>
      </c>
      <c r="CO820" s="253" cm="1">
        <f t="array" ref="CO820">$BC820 * IF($AD820&lt;=2,
SUMPRODUCT(INDEX($AL$23:$AN$61,,$AE820), INDEX($AO$23:$AU$61,,$AD820), 1 / ($AV$23:$AV$61*CM820), N($AK$23:$AK$61&gt;$AI820)),
SUMPRODUCT(INDEX($AL$23:$AN$46,,$AE820), INDEX($AO$23:$AU$46,,$AD820), 1 / ($AW$23:$AW$46*CM820), N($AK$23:$AK$46&gt;$AI820))
) / 1000</f>
        <v>0</v>
      </c>
      <c r="CP820" s="237">
        <f t="shared" si="735"/>
        <v>0</v>
      </c>
      <c r="CQ820" s="210"/>
    </row>
    <row r="821" spans="1:95" s="76" customFormat="1" ht="14.25" customHeight="1" x14ac:dyDescent="0.2">
      <c r="A821" s="238" t="b">
        <f t="shared" si="739"/>
        <v>0</v>
      </c>
      <c r="B821" s="239">
        <v>799</v>
      </c>
      <c r="C821" s="258"/>
      <c r="D821" s="258"/>
      <c r="E821" s="240"/>
      <c r="F821" s="241" t="str">
        <f>IF(ISBLANK(E821), "", VLOOKUP(E821, Z!$A$2:$C$4127, 3, FALSE))</f>
        <v/>
      </c>
      <c r="G821" s="242"/>
      <c r="H821" s="242"/>
      <c r="I821" s="243"/>
      <c r="J821" s="244"/>
      <c r="K821" s="259"/>
      <c r="L821" s="260"/>
      <c r="M821" s="247" t="str" cm="1">
        <f t="array" ref="M821">IF($K821&gt;0, INDEX(Clean,1+AG821,$C$1), "")</f>
        <v/>
      </c>
      <c r="N821" s="245"/>
      <c r="O821" s="245"/>
      <c r="P821" s="246"/>
      <c r="Q821" s="248">
        <f t="shared" si="712"/>
        <v>0</v>
      </c>
      <c r="R821" s="247" t="str" cm="1">
        <f t="array" ref="R821">IF($K821&gt;0, INDEX(Clean,1+AH821,$C$1), "")</f>
        <v/>
      </c>
      <c r="S821" s="245"/>
      <c r="T821" s="245"/>
      <c r="U821" s="246"/>
      <c r="V821" s="248">
        <f t="shared" si="713"/>
        <v>0</v>
      </c>
      <c r="W821" s="261"/>
      <c r="X821" s="258"/>
      <c r="Y821" s="240"/>
      <c r="Z821" s="241" t="str">
        <f>IF(ISBLANK(Y821), "", VLOOKUP(Y821, Z!$A$2:$C$4127, 3, FALSE))</f>
        <v/>
      </c>
      <c r="AA821" s="262"/>
      <c r="AB821" s="249">
        <f t="shared" si="748"/>
        <v>0</v>
      </c>
      <c r="AC821" s="210"/>
      <c r="AD821" s="236">
        <f t="shared" si="736"/>
        <v>1</v>
      </c>
      <c r="AE821" s="236">
        <f t="shared" si="737"/>
        <v>1</v>
      </c>
      <c r="AF821" s="236">
        <f t="shared" si="738"/>
        <v>0</v>
      </c>
      <c r="AG821" s="236">
        <v>1</v>
      </c>
      <c r="AH821" s="236">
        <v>0</v>
      </c>
      <c r="AI821" s="236">
        <f t="shared" si="714"/>
        <v>-100</v>
      </c>
      <c r="AJ821" s="210"/>
      <c r="AK821" s="254"/>
      <c r="AL821" s="254"/>
      <c r="AM821" s="255"/>
      <c r="AN821" s="255"/>
      <c r="AO821" s="255"/>
      <c r="AP821" s="255"/>
      <c r="AQ821" s="255"/>
      <c r="AR821" s="255"/>
      <c r="AS821" s="255"/>
      <c r="AT821" s="255"/>
      <c r="AU821" s="255"/>
      <c r="AV821" s="255"/>
      <c r="AW821" s="255"/>
      <c r="AX821" s="210"/>
      <c r="AY821" s="236" cm="1">
        <f t="array" ref="AY821">INDEX(Use, $AD821, 4)</f>
        <v>7</v>
      </c>
      <c r="AZ821" s="236">
        <f t="shared" si="715"/>
        <v>32</v>
      </c>
      <c r="BA821" s="236">
        <f t="shared" si="740"/>
        <v>13</v>
      </c>
      <c r="BB821" s="236">
        <f t="shared" si="741"/>
        <v>0</v>
      </c>
      <c r="BC821" s="252" cm="1">
        <f t="array" ref="BC821">K821/IF($L821&gt;0, INDEX($AO$23:$AU$77, $L821+20, $AD821), 1)</f>
        <v>0</v>
      </c>
      <c r="BD821" s="237">
        <f t="shared" si="716"/>
        <v>0</v>
      </c>
      <c r="BE821" s="236">
        <v>35</v>
      </c>
      <c r="BF821" s="237">
        <f t="shared" si="717"/>
        <v>52.55</v>
      </c>
      <c r="BG821" s="253">
        <f t="shared" si="718"/>
        <v>2.7676728869374316</v>
      </c>
      <c r="BH821" s="253" cm="1">
        <f t="array" ref="BH821">$BC821 * SUMPRODUCT(INDEX($AL$77:$AN$82,,$AE821),INDEX($AO$77:$AU$82,,$AD821), N($AK$77:$AK$82&gt;$AI821)) / BG821 / 1000</f>
        <v>0</v>
      </c>
      <c r="BI821" s="250">
        <f t="shared" si="742"/>
        <v>30</v>
      </c>
      <c r="BJ821" s="237">
        <f t="shared" si="719"/>
        <v>46.033333333333331</v>
      </c>
      <c r="BK821" s="253">
        <f t="shared" si="720"/>
        <v>3.2297395388556791</v>
      </c>
      <c r="BL821" s="253" cm="1">
        <f t="array" ref="BL821">$BC821 * IF($AD821&lt;=2,
SUMPRODUCT(INDEX($AL$72:$AN$76,,$AE821), INDEX($AO$72:$AU$76,,$AD821), 1 / ($AV$72:$AV$76*BK821 + (1-$AV$72:$AV$76)*BG821), N($AK$72:$AK$76&gt;$AI821)),
SUMPRODUCT(INDEX($AL$67:$AN$76,,$AE821), INDEX($AO$67:$AU$76,,$AD821), 1 / ($AW$67:$AW$76*BK821 + (1-$AW$67:$AW$76)*BG821), N($AK$67:$AK$76&gt;$AI821))
) / 1000</f>
        <v>0</v>
      </c>
      <c r="BM821" s="250">
        <f t="shared" si="743"/>
        <v>25</v>
      </c>
      <c r="BN821" s="237">
        <f t="shared" si="721"/>
        <v>39.516666666666666</v>
      </c>
      <c r="BO821" s="253">
        <f t="shared" si="722"/>
        <v>3.877011788826243</v>
      </c>
      <c r="BP821" s="253" cm="1">
        <f t="array" ref="BP821">$BC821 * IF($AD821&lt;=2,
SUMPRODUCT(INDEX($AL$67:$AN$71,,$AE821), INDEX($AO$67:$AU$71,,$AD821), 1 / ($AV$67:$AV$71*BO821 + (1-$AV$67:$AV$71)*BK821), N($AK$67:$AK$71&gt;$AI821)),
SUMPRODUCT(INDEX($AL$57:$AN$66,,$AE821), INDEX($AO$57:$AU$66,,$AD821), 1 / ($AW$57:$AW$66*BO821 + (1-$AW$57:$AW$66)*BK821), N($AK$57:$AK$66&gt;$AI821))
) / 1000</f>
        <v>0</v>
      </c>
      <c r="BQ821" s="250">
        <f t="shared" si="744"/>
        <v>20</v>
      </c>
      <c r="BR821" s="237">
        <f t="shared" si="723"/>
        <v>33</v>
      </c>
      <c r="BS821" s="253">
        <f t="shared" si="724"/>
        <v>4.8487499999999999</v>
      </c>
      <c r="BT821" s="253" cm="1">
        <f t="array" ref="BT821">$BC821 * IF($AD821&lt;=2,
SUMPRODUCT(INDEX($AL$62:$AN$66,,$AE821), INDEX($AO$62:$AU$66,,$AD821), 1 / ($AV$62:$AV$66*BS821 + (1-$AV$62:$AV$66)*BO821), N($AK$62:$AK$66&gt;$AI821)),
SUMPRODUCT(INDEX($AL$47:$AN$56,,$AE821), INDEX($AO$47:$AU$56,,$AD821), 1 / ($AW$47:$AW$56*BS821 + (1-$AW$47:$AW$56)*BO821), N($AK$47:$AK$56&gt;$AI821))
) / 1000</f>
        <v>0</v>
      </c>
      <c r="BU821" s="253" cm="1">
        <f t="array" ref="BU821">$BC821 * IF($AD821&lt;=2,
SUMPRODUCT(INDEX($AL$23:$AN$61,,$AE821), INDEX($AO$23:$AU$61,,$AD821), 1 / ($AV$23:$AV$61*BS821), N($AK$23:$AK$61&gt;$AI821)),
SUMPRODUCT(INDEX($AL$23:$AN$46,,$AE821), INDEX($AO$23:$AU$46,,$AD821), 1 / ($AW$23:$AW$46*BS821), N($AK$23:$AK$46&gt;$AI821))
) / 1000</f>
        <v>0</v>
      </c>
      <c r="BV821" s="237">
        <f t="shared" si="725"/>
        <v>0</v>
      </c>
      <c r="BW821" s="210"/>
      <c r="BX821" s="237">
        <f t="shared" si="726"/>
        <v>0</v>
      </c>
      <c r="BY821" s="236">
        <v>35</v>
      </c>
      <c r="BZ821" s="237">
        <f t="shared" si="727"/>
        <v>48</v>
      </c>
      <c r="CA821" s="253">
        <f t="shared" si="728"/>
        <v>3.0748170731707316</v>
      </c>
      <c r="CB821" s="253" cm="1">
        <f t="array" ref="CB821">$BC821 * SUMPRODUCT(INDEX($AL$77:$AN$82,,$AE821),INDEX($AO$77:$AU$82,,$AD821), N($AK$77:$AK$82&gt;$AI821)) / CA821 / 1000</f>
        <v>0</v>
      </c>
      <c r="CC821" s="250">
        <f t="shared" si="745"/>
        <v>30</v>
      </c>
      <c r="CD821" s="237">
        <f t="shared" si="729"/>
        <v>43</v>
      </c>
      <c r="CE821" s="253">
        <f t="shared" si="730"/>
        <v>3.5018750000000001</v>
      </c>
      <c r="CF821" s="253" cm="1">
        <f t="array" ref="CF821">$BC821 * IF($AD821&lt;=2,
SUMPRODUCT(INDEX($AL$72:$AN$76,,$AE821), INDEX($AO$72:$AU$76,,$AD821), 1 / ($AV$72:$AV$76*CE821 + (1-$AV$72:$AV$76)*CA821), N($AK$72:$AK$76&gt;$AI821)),
SUMPRODUCT(INDEX($AL$67:$AN$76,,$AE821), INDEX($AO$67:$AU$76,,$AD821), 1 / ($AW$67:$AW$76*CE821 + (1-$AW$67:$AW$76)*CA821), N($AK$67:$AK$76&gt;$AI821))
) / 1000</f>
        <v>0</v>
      </c>
      <c r="CG821" s="250">
        <f t="shared" si="746"/>
        <v>25</v>
      </c>
      <c r="CH821" s="237">
        <f t="shared" si="731"/>
        <v>38</v>
      </c>
      <c r="CI821" s="253">
        <f t="shared" si="732"/>
        <v>4.0666935483870965</v>
      </c>
      <c r="CJ821" s="253" cm="1">
        <f t="array" ref="CJ821">$BC821 * IF($AD821&lt;=2,
SUMPRODUCT(INDEX($AL$67:$AN$71,,$AE821), INDEX($AO$67:$AU$71,,$AD821), 1 / ($AV$67:$AV$71*CI821 + (1-$AV$67:$AV$71)*CE821), N($AK$67:$AK$71&gt;$AI821)),
SUMPRODUCT(INDEX($AL$57:$AN$66,,$AE821), INDEX($AO$57:$AU$66,,$AD821), 1 / ($AW$57:$AW$66*CI821 + (1-$AW$57:$AW$66)*CE821), N($AK$57:$AK$66&gt;$AI821))
) / 1000</f>
        <v>0</v>
      </c>
      <c r="CK821" s="250">
        <f t="shared" si="747"/>
        <v>20</v>
      </c>
      <c r="CL821" s="237">
        <f t="shared" si="733"/>
        <v>33</v>
      </c>
      <c r="CM821" s="253">
        <f t="shared" si="734"/>
        <v>4.8487499999999999</v>
      </c>
      <c r="CN821" s="253" cm="1">
        <f t="array" ref="CN821">$BC821 * IF($AD821&lt;=2,
SUMPRODUCT(INDEX($AL$62:$AN$66,,$AE821), INDEX($AO$62:$AU$66,,$AD821), 1 / ($AV$62:$AV$66*CM821 + (1-$AV$62:$AV$66)*CI821), N($AK$62:$AK$66&gt;$AI821)),
SUMPRODUCT(INDEX($AL$47:$AN$56,,$AE821), INDEX($AO$47:$AU$56,,$AD821), 1 / ($AW$47:$AW$56*CM821 + (1-$AW$47:$AW$56)*CI821), N($AK$47:$AK$56&gt;$AI821))
) / 1000</f>
        <v>0</v>
      </c>
      <c r="CO821" s="253" cm="1">
        <f t="array" ref="CO821">$BC821 * IF($AD821&lt;=2,
SUMPRODUCT(INDEX($AL$23:$AN$61,,$AE821), INDEX($AO$23:$AU$61,,$AD821), 1 / ($AV$23:$AV$61*CM821), N($AK$23:$AK$61&gt;$AI821)),
SUMPRODUCT(INDEX($AL$23:$AN$46,,$AE821), INDEX($AO$23:$AU$46,,$AD821), 1 / ($AW$23:$AW$46*CM821), N($AK$23:$AK$46&gt;$AI821))
) / 1000</f>
        <v>0</v>
      </c>
      <c r="CP821" s="237">
        <f t="shared" si="735"/>
        <v>0</v>
      </c>
      <c r="CQ821" s="210"/>
    </row>
    <row r="822" spans="1:95" s="76" customFormat="1" ht="14.25" customHeight="1" x14ac:dyDescent="0.2">
      <c r="A822" s="238" t="b">
        <f t="shared" si="739"/>
        <v>0</v>
      </c>
      <c r="B822" s="239">
        <v>800</v>
      </c>
      <c r="C822" s="258"/>
      <c r="D822" s="258"/>
      <c r="E822" s="240"/>
      <c r="F822" s="241" t="str">
        <f>IF(ISBLANK(E822), "", VLOOKUP(E822, Z!$A$2:$C$4127, 3, FALSE))</f>
        <v/>
      </c>
      <c r="G822" s="242"/>
      <c r="H822" s="242"/>
      <c r="I822" s="243"/>
      <c r="J822" s="244"/>
      <c r="K822" s="259"/>
      <c r="L822" s="260"/>
      <c r="M822" s="247" t="str" cm="1">
        <f t="array" ref="M822">IF($K822&gt;0, INDEX(Clean,1+AG822,$C$1), "")</f>
        <v/>
      </c>
      <c r="N822" s="245"/>
      <c r="O822" s="245"/>
      <c r="P822" s="246"/>
      <c r="Q822" s="248">
        <f t="shared" si="712"/>
        <v>0</v>
      </c>
      <c r="R822" s="247" t="str" cm="1">
        <f t="array" ref="R822">IF($K822&gt;0, INDEX(Clean,1+AH822,$C$1), "")</f>
        <v/>
      </c>
      <c r="S822" s="245"/>
      <c r="T822" s="245"/>
      <c r="U822" s="246"/>
      <c r="V822" s="248">
        <f t="shared" si="713"/>
        <v>0</v>
      </c>
      <c r="W822" s="261"/>
      <c r="X822" s="258"/>
      <c r="Y822" s="240"/>
      <c r="Z822" s="241" t="str">
        <f>IF(ISBLANK(Y822), "", VLOOKUP(Y822, Z!$A$2:$C$4127, 3, FALSE))</f>
        <v/>
      </c>
      <c r="AA822" s="262"/>
      <c r="AB822" s="249">
        <f t="shared" si="748"/>
        <v>0</v>
      </c>
      <c r="AC822" s="210"/>
      <c r="AD822" s="236">
        <f t="shared" si="736"/>
        <v>1</v>
      </c>
      <c r="AE822" s="236">
        <f t="shared" si="737"/>
        <v>1</v>
      </c>
      <c r="AF822" s="236">
        <f t="shared" si="738"/>
        <v>0</v>
      </c>
      <c r="AG822" s="236">
        <v>1</v>
      </c>
      <c r="AH822" s="236">
        <v>0</v>
      </c>
      <c r="AI822" s="236">
        <f t="shared" si="714"/>
        <v>-100</v>
      </c>
      <c r="AJ822" s="210"/>
      <c r="AK822" s="254"/>
      <c r="AL822" s="254"/>
      <c r="AM822" s="255"/>
      <c r="AN822" s="255"/>
      <c r="AO822" s="255"/>
      <c r="AP822" s="255"/>
      <c r="AQ822" s="255"/>
      <c r="AR822" s="255"/>
      <c r="AS822" s="255"/>
      <c r="AT822" s="255"/>
      <c r="AU822" s="255"/>
      <c r="AV822" s="255"/>
      <c r="AW822" s="255"/>
      <c r="AX822" s="210"/>
      <c r="AY822" s="236" cm="1">
        <f t="array" ref="AY822">INDEX(Use, $AD822, 4)</f>
        <v>7</v>
      </c>
      <c r="AZ822" s="236">
        <f t="shared" si="715"/>
        <v>32</v>
      </c>
      <c r="BA822" s="236">
        <f t="shared" si="740"/>
        <v>13</v>
      </c>
      <c r="BB822" s="236">
        <f t="shared" si="741"/>
        <v>0</v>
      </c>
      <c r="BC822" s="252" cm="1">
        <f t="array" ref="BC822">K822/IF($L822&gt;0, INDEX($AO$23:$AU$77, $L822+20, $AD822), 1)</f>
        <v>0</v>
      </c>
      <c r="BD822" s="237">
        <f t="shared" si="716"/>
        <v>0</v>
      </c>
      <c r="BE822" s="236">
        <v>35</v>
      </c>
      <c r="BF822" s="237">
        <f t="shared" si="717"/>
        <v>52.55</v>
      </c>
      <c r="BG822" s="253">
        <f t="shared" si="718"/>
        <v>2.7676728869374316</v>
      </c>
      <c r="BH822" s="253" cm="1">
        <f t="array" ref="BH822">$BC822 * SUMPRODUCT(INDEX($AL$77:$AN$82,,$AE822),INDEX($AO$77:$AU$82,,$AD822), N($AK$77:$AK$82&gt;$AI822)) / BG822 / 1000</f>
        <v>0</v>
      </c>
      <c r="BI822" s="250">
        <f t="shared" si="742"/>
        <v>30</v>
      </c>
      <c r="BJ822" s="237">
        <f t="shared" si="719"/>
        <v>46.033333333333331</v>
      </c>
      <c r="BK822" s="253">
        <f t="shared" si="720"/>
        <v>3.2297395388556791</v>
      </c>
      <c r="BL822" s="253" cm="1">
        <f t="array" ref="BL822">$BC822 * IF($AD822&lt;=2,
SUMPRODUCT(INDEX($AL$72:$AN$76,,$AE822), INDEX($AO$72:$AU$76,,$AD822), 1 / ($AV$72:$AV$76*BK822 + (1-$AV$72:$AV$76)*BG822), N($AK$72:$AK$76&gt;$AI822)),
SUMPRODUCT(INDEX($AL$67:$AN$76,,$AE822), INDEX($AO$67:$AU$76,,$AD822), 1 / ($AW$67:$AW$76*BK822 + (1-$AW$67:$AW$76)*BG822), N($AK$67:$AK$76&gt;$AI822))
) / 1000</f>
        <v>0</v>
      </c>
      <c r="BM822" s="250">
        <f t="shared" si="743"/>
        <v>25</v>
      </c>
      <c r="BN822" s="237">
        <f t="shared" si="721"/>
        <v>39.516666666666666</v>
      </c>
      <c r="BO822" s="253">
        <f t="shared" si="722"/>
        <v>3.877011788826243</v>
      </c>
      <c r="BP822" s="253" cm="1">
        <f t="array" ref="BP822">$BC822 * IF($AD822&lt;=2,
SUMPRODUCT(INDEX($AL$67:$AN$71,,$AE822), INDEX($AO$67:$AU$71,,$AD822), 1 / ($AV$67:$AV$71*BO822 + (1-$AV$67:$AV$71)*BK822), N($AK$67:$AK$71&gt;$AI822)),
SUMPRODUCT(INDEX($AL$57:$AN$66,,$AE822), INDEX($AO$57:$AU$66,,$AD822), 1 / ($AW$57:$AW$66*BO822 + (1-$AW$57:$AW$66)*BK822), N($AK$57:$AK$66&gt;$AI822))
) / 1000</f>
        <v>0</v>
      </c>
      <c r="BQ822" s="250">
        <f t="shared" si="744"/>
        <v>20</v>
      </c>
      <c r="BR822" s="237">
        <f t="shared" si="723"/>
        <v>33</v>
      </c>
      <c r="BS822" s="253">
        <f t="shared" si="724"/>
        <v>4.8487499999999999</v>
      </c>
      <c r="BT822" s="253" cm="1">
        <f t="array" ref="BT822">$BC822 * IF($AD822&lt;=2,
SUMPRODUCT(INDEX($AL$62:$AN$66,,$AE822), INDEX($AO$62:$AU$66,,$AD822), 1 / ($AV$62:$AV$66*BS822 + (1-$AV$62:$AV$66)*BO822), N($AK$62:$AK$66&gt;$AI822)),
SUMPRODUCT(INDEX($AL$47:$AN$56,,$AE822), INDEX($AO$47:$AU$56,,$AD822), 1 / ($AW$47:$AW$56*BS822 + (1-$AW$47:$AW$56)*BO822), N($AK$47:$AK$56&gt;$AI822))
) / 1000</f>
        <v>0</v>
      </c>
      <c r="BU822" s="253" cm="1">
        <f t="array" ref="BU822">$BC822 * IF($AD822&lt;=2,
SUMPRODUCT(INDEX($AL$23:$AN$61,,$AE822), INDEX($AO$23:$AU$61,,$AD822), 1 / ($AV$23:$AV$61*BS822), N($AK$23:$AK$61&gt;$AI822)),
SUMPRODUCT(INDEX($AL$23:$AN$46,,$AE822), INDEX($AO$23:$AU$46,,$AD822), 1 / ($AW$23:$AW$46*BS822), N($AK$23:$AK$46&gt;$AI822))
) / 1000</f>
        <v>0</v>
      </c>
      <c r="BV822" s="237">
        <f t="shared" si="725"/>
        <v>0</v>
      </c>
      <c r="BW822" s="210"/>
      <c r="BX822" s="237">
        <f t="shared" si="726"/>
        <v>0</v>
      </c>
      <c r="BY822" s="236">
        <v>35</v>
      </c>
      <c r="BZ822" s="237">
        <f t="shared" si="727"/>
        <v>48</v>
      </c>
      <c r="CA822" s="253">
        <f t="shared" si="728"/>
        <v>3.0748170731707316</v>
      </c>
      <c r="CB822" s="253" cm="1">
        <f t="array" ref="CB822">$BC822 * SUMPRODUCT(INDEX($AL$77:$AN$82,,$AE822),INDEX($AO$77:$AU$82,,$AD822), N($AK$77:$AK$82&gt;$AI822)) / CA822 / 1000</f>
        <v>0</v>
      </c>
      <c r="CC822" s="250">
        <f t="shared" si="745"/>
        <v>30</v>
      </c>
      <c r="CD822" s="237">
        <f t="shared" si="729"/>
        <v>43</v>
      </c>
      <c r="CE822" s="253">
        <f t="shared" si="730"/>
        <v>3.5018750000000001</v>
      </c>
      <c r="CF822" s="253" cm="1">
        <f t="array" ref="CF822">$BC822 * IF($AD822&lt;=2,
SUMPRODUCT(INDEX($AL$72:$AN$76,,$AE822), INDEX($AO$72:$AU$76,,$AD822), 1 / ($AV$72:$AV$76*CE822 + (1-$AV$72:$AV$76)*CA822), N($AK$72:$AK$76&gt;$AI822)),
SUMPRODUCT(INDEX($AL$67:$AN$76,,$AE822), INDEX($AO$67:$AU$76,,$AD822), 1 / ($AW$67:$AW$76*CE822 + (1-$AW$67:$AW$76)*CA822), N($AK$67:$AK$76&gt;$AI822))
) / 1000</f>
        <v>0</v>
      </c>
      <c r="CG822" s="250">
        <f t="shared" si="746"/>
        <v>25</v>
      </c>
      <c r="CH822" s="237">
        <f t="shared" si="731"/>
        <v>38</v>
      </c>
      <c r="CI822" s="253">
        <f t="shared" si="732"/>
        <v>4.0666935483870965</v>
      </c>
      <c r="CJ822" s="253" cm="1">
        <f t="array" ref="CJ822">$BC822 * IF($AD822&lt;=2,
SUMPRODUCT(INDEX($AL$67:$AN$71,,$AE822), INDEX($AO$67:$AU$71,,$AD822), 1 / ($AV$67:$AV$71*CI822 + (1-$AV$67:$AV$71)*CE822), N($AK$67:$AK$71&gt;$AI822)),
SUMPRODUCT(INDEX($AL$57:$AN$66,,$AE822), INDEX($AO$57:$AU$66,,$AD822), 1 / ($AW$57:$AW$66*CI822 + (1-$AW$57:$AW$66)*CE822), N($AK$57:$AK$66&gt;$AI822))
) / 1000</f>
        <v>0</v>
      </c>
      <c r="CK822" s="250">
        <f t="shared" si="747"/>
        <v>20</v>
      </c>
      <c r="CL822" s="237">
        <f t="shared" si="733"/>
        <v>33</v>
      </c>
      <c r="CM822" s="253">
        <f t="shared" si="734"/>
        <v>4.8487499999999999</v>
      </c>
      <c r="CN822" s="253" cm="1">
        <f t="array" ref="CN822">$BC822 * IF($AD822&lt;=2,
SUMPRODUCT(INDEX($AL$62:$AN$66,,$AE822), INDEX($AO$62:$AU$66,,$AD822), 1 / ($AV$62:$AV$66*CM822 + (1-$AV$62:$AV$66)*CI822), N($AK$62:$AK$66&gt;$AI822)),
SUMPRODUCT(INDEX($AL$47:$AN$56,,$AE822), INDEX($AO$47:$AU$56,,$AD822), 1 / ($AW$47:$AW$56*CM822 + (1-$AW$47:$AW$56)*CI822), N($AK$47:$AK$56&gt;$AI822))
) / 1000</f>
        <v>0</v>
      </c>
      <c r="CO822" s="253" cm="1">
        <f t="array" ref="CO822">$BC822 * IF($AD822&lt;=2,
SUMPRODUCT(INDEX($AL$23:$AN$61,,$AE822), INDEX($AO$23:$AU$61,,$AD822), 1 / ($AV$23:$AV$61*CM822), N($AK$23:$AK$61&gt;$AI822)),
SUMPRODUCT(INDEX($AL$23:$AN$46,,$AE822), INDEX($AO$23:$AU$46,,$AD822), 1 / ($AW$23:$AW$46*CM822), N($AK$23:$AK$46&gt;$AI822))
) / 1000</f>
        <v>0</v>
      </c>
      <c r="CP822" s="237">
        <f t="shared" si="735"/>
        <v>0</v>
      </c>
      <c r="CQ822" s="210"/>
    </row>
    <row r="823" spans="1:95" s="76" customFormat="1" ht="14.25" customHeight="1" x14ac:dyDescent="0.2">
      <c r="A823" s="238" t="b">
        <f t="shared" si="739"/>
        <v>0</v>
      </c>
      <c r="B823" s="239">
        <v>801</v>
      </c>
      <c r="C823" s="258"/>
      <c r="D823" s="258"/>
      <c r="E823" s="240"/>
      <c r="F823" s="241" t="str">
        <f>IF(ISBLANK(E823), "", VLOOKUP(E823, Z!$A$2:$C$4127, 3, FALSE))</f>
        <v/>
      </c>
      <c r="G823" s="242"/>
      <c r="H823" s="242"/>
      <c r="I823" s="243"/>
      <c r="J823" s="244"/>
      <c r="K823" s="259"/>
      <c r="L823" s="260"/>
      <c r="M823" s="247" t="str" cm="1">
        <f t="array" ref="M823">IF($K823&gt;0, INDEX(Clean,1+AG823,$C$1), "")</f>
        <v/>
      </c>
      <c r="N823" s="245"/>
      <c r="O823" s="245"/>
      <c r="P823" s="246"/>
      <c r="Q823" s="248">
        <f t="shared" si="712"/>
        <v>0</v>
      </c>
      <c r="R823" s="247" t="str" cm="1">
        <f t="array" ref="R823">IF($K823&gt;0, INDEX(Clean,1+AH823,$C$1), "")</f>
        <v/>
      </c>
      <c r="S823" s="245"/>
      <c r="T823" s="245"/>
      <c r="U823" s="246"/>
      <c r="V823" s="248">
        <f t="shared" si="713"/>
        <v>0</v>
      </c>
      <c r="W823" s="261"/>
      <c r="X823" s="258"/>
      <c r="Y823" s="240"/>
      <c r="Z823" s="241" t="str">
        <f>IF(ISBLANK(Y823), "", VLOOKUP(Y823, Z!$A$2:$C$4127, 3, FALSE))</f>
        <v/>
      </c>
      <c r="AA823" s="262"/>
      <c r="AB823" s="249">
        <f t="shared" si="748"/>
        <v>0</v>
      </c>
      <c r="AC823" s="210"/>
      <c r="AD823" s="236">
        <f t="shared" si="736"/>
        <v>1</v>
      </c>
      <c r="AE823" s="236">
        <f t="shared" si="737"/>
        <v>1</v>
      </c>
      <c r="AF823" s="236">
        <f t="shared" si="738"/>
        <v>0</v>
      </c>
      <c r="AG823" s="236">
        <v>1</v>
      </c>
      <c r="AH823" s="236">
        <v>0</v>
      </c>
      <c r="AI823" s="236">
        <f t="shared" si="714"/>
        <v>-100</v>
      </c>
      <c r="AJ823" s="210"/>
      <c r="AK823" s="254"/>
      <c r="AL823" s="254"/>
      <c r="AM823" s="255"/>
      <c r="AN823" s="255"/>
      <c r="AO823" s="255"/>
      <c r="AP823" s="255"/>
      <c r="AQ823" s="255"/>
      <c r="AR823" s="255"/>
      <c r="AS823" s="255"/>
      <c r="AT823" s="255"/>
      <c r="AU823" s="255"/>
      <c r="AV823" s="255"/>
      <c r="AW823" s="255"/>
      <c r="AX823" s="210"/>
      <c r="AY823" s="236" cm="1">
        <f t="array" ref="AY823">INDEX(Use, $AD823, 4)</f>
        <v>7</v>
      </c>
      <c r="AZ823" s="236">
        <f t="shared" si="715"/>
        <v>32</v>
      </c>
      <c r="BA823" s="236">
        <f t="shared" si="740"/>
        <v>13</v>
      </c>
      <c r="BB823" s="236">
        <f t="shared" si="741"/>
        <v>0</v>
      </c>
      <c r="BC823" s="252" cm="1">
        <f t="array" ref="BC823">K823/IF($L823&gt;0, INDEX($AO$23:$AU$77, $L823+20, $AD823), 1)</f>
        <v>0</v>
      </c>
      <c r="BD823" s="237">
        <f t="shared" si="716"/>
        <v>0</v>
      </c>
      <c r="BE823" s="236">
        <v>35</v>
      </c>
      <c r="BF823" s="237">
        <f t="shared" si="717"/>
        <v>52.55</v>
      </c>
      <c r="BG823" s="253">
        <f t="shared" si="718"/>
        <v>2.7676728869374316</v>
      </c>
      <c r="BH823" s="253" cm="1">
        <f t="array" ref="BH823">$BC823 * SUMPRODUCT(INDEX($AL$77:$AN$82,,$AE823),INDEX($AO$77:$AU$82,,$AD823), N($AK$77:$AK$82&gt;$AI823)) / BG823 / 1000</f>
        <v>0</v>
      </c>
      <c r="BI823" s="250">
        <f t="shared" si="742"/>
        <v>30</v>
      </c>
      <c r="BJ823" s="237">
        <f t="shared" si="719"/>
        <v>46.033333333333331</v>
      </c>
      <c r="BK823" s="253">
        <f t="shared" si="720"/>
        <v>3.2297395388556791</v>
      </c>
      <c r="BL823" s="253" cm="1">
        <f t="array" ref="BL823">$BC823 * IF($AD823&lt;=2,
SUMPRODUCT(INDEX($AL$72:$AN$76,,$AE823), INDEX($AO$72:$AU$76,,$AD823), 1 / ($AV$72:$AV$76*BK823 + (1-$AV$72:$AV$76)*BG823), N($AK$72:$AK$76&gt;$AI823)),
SUMPRODUCT(INDEX($AL$67:$AN$76,,$AE823), INDEX($AO$67:$AU$76,,$AD823), 1 / ($AW$67:$AW$76*BK823 + (1-$AW$67:$AW$76)*BG823), N($AK$67:$AK$76&gt;$AI823))
) / 1000</f>
        <v>0</v>
      </c>
      <c r="BM823" s="250">
        <f t="shared" si="743"/>
        <v>25</v>
      </c>
      <c r="BN823" s="237">
        <f t="shared" si="721"/>
        <v>39.516666666666666</v>
      </c>
      <c r="BO823" s="253">
        <f t="shared" si="722"/>
        <v>3.877011788826243</v>
      </c>
      <c r="BP823" s="253" cm="1">
        <f t="array" ref="BP823">$BC823 * IF($AD823&lt;=2,
SUMPRODUCT(INDEX($AL$67:$AN$71,,$AE823), INDEX($AO$67:$AU$71,,$AD823), 1 / ($AV$67:$AV$71*BO823 + (1-$AV$67:$AV$71)*BK823), N($AK$67:$AK$71&gt;$AI823)),
SUMPRODUCT(INDEX($AL$57:$AN$66,,$AE823), INDEX($AO$57:$AU$66,,$AD823), 1 / ($AW$57:$AW$66*BO823 + (1-$AW$57:$AW$66)*BK823), N($AK$57:$AK$66&gt;$AI823))
) / 1000</f>
        <v>0</v>
      </c>
      <c r="BQ823" s="250">
        <f t="shared" si="744"/>
        <v>20</v>
      </c>
      <c r="BR823" s="237">
        <f t="shared" si="723"/>
        <v>33</v>
      </c>
      <c r="BS823" s="253">
        <f t="shared" si="724"/>
        <v>4.8487499999999999</v>
      </c>
      <c r="BT823" s="253" cm="1">
        <f t="array" ref="BT823">$BC823 * IF($AD823&lt;=2,
SUMPRODUCT(INDEX($AL$62:$AN$66,,$AE823), INDEX($AO$62:$AU$66,,$AD823), 1 / ($AV$62:$AV$66*BS823 + (1-$AV$62:$AV$66)*BO823), N($AK$62:$AK$66&gt;$AI823)),
SUMPRODUCT(INDEX($AL$47:$AN$56,,$AE823), INDEX($AO$47:$AU$56,,$AD823), 1 / ($AW$47:$AW$56*BS823 + (1-$AW$47:$AW$56)*BO823), N($AK$47:$AK$56&gt;$AI823))
) / 1000</f>
        <v>0</v>
      </c>
      <c r="BU823" s="253" cm="1">
        <f t="array" ref="BU823">$BC823 * IF($AD823&lt;=2,
SUMPRODUCT(INDEX($AL$23:$AN$61,,$AE823), INDEX($AO$23:$AU$61,,$AD823), 1 / ($AV$23:$AV$61*BS823), N($AK$23:$AK$61&gt;$AI823)),
SUMPRODUCT(INDEX($AL$23:$AN$46,,$AE823), INDEX($AO$23:$AU$46,,$AD823), 1 / ($AW$23:$AW$46*BS823), N($AK$23:$AK$46&gt;$AI823))
) / 1000</f>
        <v>0</v>
      </c>
      <c r="BV823" s="237">
        <f t="shared" si="725"/>
        <v>0</v>
      </c>
      <c r="BW823" s="210"/>
      <c r="BX823" s="237">
        <f t="shared" si="726"/>
        <v>0</v>
      </c>
      <c r="BY823" s="236">
        <v>35</v>
      </c>
      <c r="BZ823" s="237">
        <f t="shared" si="727"/>
        <v>48</v>
      </c>
      <c r="CA823" s="253">
        <f t="shared" si="728"/>
        <v>3.0748170731707316</v>
      </c>
      <c r="CB823" s="253" cm="1">
        <f t="array" ref="CB823">$BC823 * SUMPRODUCT(INDEX($AL$77:$AN$82,,$AE823),INDEX($AO$77:$AU$82,,$AD823), N($AK$77:$AK$82&gt;$AI823)) / CA823 / 1000</f>
        <v>0</v>
      </c>
      <c r="CC823" s="250">
        <f t="shared" si="745"/>
        <v>30</v>
      </c>
      <c r="CD823" s="237">
        <f t="shared" si="729"/>
        <v>43</v>
      </c>
      <c r="CE823" s="253">
        <f t="shared" si="730"/>
        <v>3.5018750000000001</v>
      </c>
      <c r="CF823" s="253" cm="1">
        <f t="array" ref="CF823">$BC823 * IF($AD823&lt;=2,
SUMPRODUCT(INDEX($AL$72:$AN$76,,$AE823), INDEX($AO$72:$AU$76,,$AD823), 1 / ($AV$72:$AV$76*CE823 + (1-$AV$72:$AV$76)*CA823), N($AK$72:$AK$76&gt;$AI823)),
SUMPRODUCT(INDEX($AL$67:$AN$76,,$AE823), INDEX($AO$67:$AU$76,,$AD823), 1 / ($AW$67:$AW$76*CE823 + (1-$AW$67:$AW$76)*CA823), N($AK$67:$AK$76&gt;$AI823))
) / 1000</f>
        <v>0</v>
      </c>
      <c r="CG823" s="250">
        <f t="shared" si="746"/>
        <v>25</v>
      </c>
      <c r="CH823" s="237">
        <f t="shared" si="731"/>
        <v>38</v>
      </c>
      <c r="CI823" s="253">
        <f t="shared" si="732"/>
        <v>4.0666935483870965</v>
      </c>
      <c r="CJ823" s="253" cm="1">
        <f t="array" ref="CJ823">$BC823 * IF($AD823&lt;=2,
SUMPRODUCT(INDEX($AL$67:$AN$71,,$AE823), INDEX($AO$67:$AU$71,,$AD823), 1 / ($AV$67:$AV$71*CI823 + (1-$AV$67:$AV$71)*CE823), N($AK$67:$AK$71&gt;$AI823)),
SUMPRODUCT(INDEX($AL$57:$AN$66,,$AE823), INDEX($AO$57:$AU$66,,$AD823), 1 / ($AW$57:$AW$66*CI823 + (1-$AW$57:$AW$66)*CE823), N($AK$57:$AK$66&gt;$AI823))
) / 1000</f>
        <v>0</v>
      </c>
      <c r="CK823" s="250">
        <f t="shared" si="747"/>
        <v>20</v>
      </c>
      <c r="CL823" s="237">
        <f t="shared" si="733"/>
        <v>33</v>
      </c>
      <c r="CM823" s="253">
        <f t="shared" si="734"/>
        <v>4.8487499999999999</v>
      </c>
      <c r="CN823" s="253" cm="1">
        <f t="array" ref="CN823">$BC823 * IF($AD823&lt;=2,
SUMPRODUCT(INDEX($AL$62:$AN$66,,$AE823), INDEX($AO$62:$AU$66,,$AD823), 1 / ($AV$62:$AV$66*CM823 + (1-$AV$62:$AV$66)*CI823), N($AK$62:$AK$66&gt;$AI823)),
SUMPRODUCT(INDEX($AL$47:$AN$56,,$AE823), INDEX($AO$47:$AU$56,,$AD823), 1 / ($AW$47:$AW$56*CM823 + (1-$AW$47:$AW$56)*CI823), N($AK$47:$AK$56&gt;$AI823))
) / 1000</f>
        <v>0</v>
      </c>
      <c r="CO823" s="253" cm="1">
        <f t="array" ref="CO823">$BC823 * IF($AD823&lt;=2,
SUMPRODUCT(INDEX($AL$23:$AN$61,,$AE823), INDEX($AO$23:$AU$61,,$AD823), 1 / ($AV$23:$AV$61*CM823), N($AK$23:$AK$61&gt;$AI823)),
SUMPRODUCT(INDEX($AL$23:$AN$46,,$AE823), INDEX($AO$23:$AU$46,,$AD823), 1 / ($AW$23:$AW$46*CM823), N($AK$23:$AK$46&gt;$AI823))
) / 1000</f>
        <v>0</v>
      </c>
      <c r="CP823" s="237">
        <f t="shared" si="735"/>
        <v>0</v>
      </c>
      <c r="CQ823" s="210"/>
    </row>
    <row r="824" spans="1:95" s="76" customFormat="1" ht="14.25" customHeight="1" x14ac:dyDescent="0.2">
      <c r="A824" s="238" t="b">
        <f t="shared" si="739"/>
        <v>0</v>
      </c>
      <c r="B824" s="239">
        <v>802</v>
      </c>
      <c r="C824" s="258"/>
      <c r="D824" s="258"/>
      <c r="E824" s="240"/>
      <c r="F824" s="241" t="str">
        <f>IF(ISBLANK(E824), "", VLOOKUP(E824, Z!$A$2:$C$4127, 3, FALSE))</f>
        <v/>
      </c>
      <c r="G824" s="242"/>
      <c r="H824" s="242"/>
      <c r="I824" s="243"/>
      <c r="J824" s="244"/>
      <c r="K824" s="259"/>
      <c r="L824" s="260"/>
      <c r="M824" s="247" t="str" cm="1">
        <f t="array" ref="M824">IF($K824&gt;0, INDEX(Clean,1+AG824,$C$1), "")</f>
        <v/>
      </c>
      <c r="N824" s="245"/>
      <c r="O824" s="245"/>
      <c r="P824" s="246"/>
      <c r="Q824" s="248">
        <f t="shared" si="712"/>
        <v>0</v>
      </c>
      <c r="R824" s="247" t="str" cm="1">
        <f t="array" ref="R824">IF($K824&gt;0, INDEX(Clean,1+AH824,$C$1), "")</f>
        <v/>
      </c>
      <c r="S824" s="245"/>
      <c r="T824" s="245"/>
      <c r="U824" s="246"/>
      <c r="V824" s="248">
        <f t="shared" si="713"/>
        <v>0</v>
      </c>
      <c r="W824" s="261"/>
      <c r="X824" s="258"/>
      <c r="Y824" s="240"/>
      <c r="Z824" s="241" t="str">
        <f>IF(ISBLANK(Y824), "", VLOOKUP(Y824, Z!$A$2:$C$4127, 3, FALSE))</f>
        <v/>
      </c>
      <c r="AA824" s="262"/>
      <c r="AB824" s="249">
        <f t="shared" si="748"/>
        <v>0</v>
      </c>
      <c r="AC824" s="210"/>
      <c r="AD824" s="236">
        <f t="shared" si="736"/>
        <v>1</v>
      </c>
      <c r="AE824" s="236">
        <f t="shared" si="737"/>
        <v>1</v>
      </c>
      <c r="AF824" s="236">
        <f t="shared" si="738"/>
        <v>0</v>
      </c>
      <c r="AG824" s="236">
        <v>1</v>
      </c>
      <c r="AH824" s="236">
        <v>0</v>
      </c>
      <c r="AI824" s="236">
        <f t="shared" si="714"/>
        <v>-100</v>
      </c>
      <c r="AJ824" s="210"/>
      <c r="AK824" s="254"/>
      <c r="AL824" s="254"/>
      <c r="AM824" s="255"/>
      <c r="AN824" s="255"/>
      <c r="AO824" s="255"/>
      <c r="AP824" s="255"/>
      <c r="AQ824" s="255"/>
      <c r="AR824" s="255"/>
      <c r="AS824" s="255"/>
      <c r="AT824" s="255"/>
      <c r="AU824" s="255"/>
      <c r="AV824" s="255"/>
      <c r="AW824" s="255"/>
      <c r="AX824" s="210"/>
      <c r="AY824" s="236" cm="1">
        <f t="array" ref="AY824">INDEX(Use, $AD824, 4)</f>
        <v>7</v>
      </c>
      <c r="AZ824" s="236">
        <f t="shared" si="715"/>
        <v>32</v>
      </c>
      <c r="BA824" s="236">
        <f t="shared" si="740"/>
        <v>13</v>
      </c>
      <c r="BB824" s="236">
        <f t="shared" si="741"/>
        <v>0</v>
      </c>
      <c r="BC824" s="252" cm="1">
        <f t="array" ref="BC824">K824/IF($L824&gt;0, INDEX($AO$23:$AU$77, $L824+20, $AD824), 1)</f>
        <v>0</v>
      </c>
      <c r="BD824" s="237">
        <f t="shared" si="716"/>
        <v>0</v>
      </c>
      <c r="BE824" s="236">
        <v>35</v>
      </c>
      <c r="BF824" s="237">
        <f t="shared" si="717"/>
        <v>52.55</v>
      </c>
      <c r="BG824" s="253">
        <f t="shared" si="718"/>
        <v>2.7676728869374316</v>
      </c>
      <c r="BH824" s="253" cm="1">
        <f t="array" ref="BH824">$BC824 * SUMPRODUCT(INDEX($AL$77:$AN$82,,$AE824),INDEX($AO$77:$AU$82,,$AD824), N($AK$77:$AK$82&gt;$AI824)) / BG824 / 1000</f>
        <v>0</v>
      </c>
      <c r="BI824" s="250">
        <f t="shared" si="742"/>
        <v>30</v>
      </c>
      <c r="BJ824" s="237">
        <f t="shared" si="719"/>
        <v>46.033333333333331</v>
      </c>
      <c r="BK824" s="253">
        <f t="shared" si="720"/>
        <v>3.2297395388556791</v>
      </c>
      <c r="BL824" s="253" cm="1">
        <f t="array" ref="BL824">$BC824 * IF($AD824&lt;=2,
SUMPRODUCT(INDEX($AL$72:$AN$76,,$AE824), INDEX($AO$72:$AU$76,,$AD824), 1 / ($AV$72:$AV$76*BK824 + (1-$AV$72:$AV$76)*BG824), N($AK$72:$AK$76&gt;$AI824)),
SUMPRODUCT(INDEX($AL$67:$AN$76,,$AE824), INDEX($AO$67:$AU$76,,$AD824), 1 / ($AW$67:$AW$76*BK824 + (1-$AW$67:$AW$76)*BG824), N($AK$67:$AK$76&gt;$AI824))
) / 1000</f>
        <v>0</v>
      </c>
      <c r="BM824" s="250">
        <f t="shared" si="743"/>
        <v>25</v>
      </c>
      <c r="BN824" s="237">
        <f t="shared" si="721"/>
        <v>39.516666666666666</v>
      </c>
      <c r="BO824" s="253">
        <f t="shared" si="722"/>
        <v>3.877011788826243</v>
      </c>
      <c r="BP824" s="253" cm="1">
        <f t="array" ref="BP824">$BC824 * IF($AD824&lt;=2,
SUMPRODUCT(INDEX($AL$67:$AN$71,,$AE824), INDEX($AO$67:$AU$71,,$AD824), 1 / ($AV$67:$AV$71*BO824 + (1-$AV$67:$AV$71)*BK824), N($AK$67:$AK$71&gt;$AI824)),
SUMPRODUCT(INDEX($AL$57:$AN$66,,$AE824), INDEX($AO$57:$AU$66,,$AD824), 1 / ($AW$57:$AW$66*BO824 + (1-$AW$57:$AW$66)*BK824), N($AK$57:$AK$66&gt;$AI824))
) / 1000</f>
        <v>0</v>
      </c>
      <c r="BQ824" s="250">
        <f t="shared" si="744"/>
        <v>20</v>
      </c>
      <c r="BR824" s="237">
        <f t="shared" si="723"/>
        <v>33</v>
      </c>
      <c r="BS824" s="253">
        <f t="shared" si="724"/>
        <v>4.8487499999999999</v>
      </c>
      <c r="BT824" s="253" cm="1">
        <f t="array" ref="BT824">$BC824 * IF($AD824&lt;=2,
SUMPRODUCT(INDEX($AL$62:$AN$66,,$AE824), INDEX($AO$62:$AU$66,,$AD824), 1 / ($AV$62:$AV$66*BS824 + (1-$AV$62:$AV$66)*BO824), N($AK$62:$AK$66&gt;$AI824)),
SUMPRODUCT(INDEX($AL$47:$AN$56,,$AE824), INDEX($AO$47:$AU$56,,$AD824), 1 / ($AW$47:$AW$56*BS824 + (1-$AW$47:$AW$56)*BO824), N($AK$47:$AK$56&gt;$AI824))
) / 1000</f>
        <v>0</v>
      </c>
      <c r="BU824" s="253" cm="1">
        <f t="array" ref="BU824">$BC824 * IF($AD824&lt;=2,
SUMPRODUCT(INDEX($AL$23:$AN$61,,$AE824), INDEX($AO$23:$AU$61,,$AD824), 1 / ($AV$23:$AV$61*BS824), N($AK$23:$AK$61&gt;$AI824)),
SUMPRODUCT(INDEX($AL$23:$AN$46,,$AE824), INDEX($AO$23:$AU$46,,$AD824), 1 / ($AW$23:$AW$46*BS824), N($AK$23:$AK$46&gt;$AI824))
) / 1000</f>
        <v>0</v>
      </c>
      <c r="BV824" s="237">
        <f t="shared" si="725"/>
        <v>0</v>
      </c>
      <c r="BW824" s="210"/>
      <c r="BX824" s="237">
        <f t="shared" si="726"/>
        <v>0</v>
      </c>
      <c r="BY824" s="236">
        <v>35</v>
      </c>
      <c r="BZ824" s="237">
        <f t="shared" si="727"/>
        <v>48</v>
      </c>
      <c r="CA824" s="253">
        <f t="shared" si="728"/>
        <v>3.0748170731707316</v>
      </c>
      <c r="CB824" s="253" cm="1">
        <f t="array" ref="CB824">$BC824 * SUMPRODUCT(INDEX($AL$77:$AN$82,,$AE824),INDEX($AO$77:$AU$82,,$AD824), N($AK$77:$AK$82&gt;$AI824)) / CA824 / 1000</f>
        <v>0</v>
      </c>
      <c r="CC824" s="250">
        <f t="shared" si="745"/>
        <v>30</v>
      </c>
      <c r="CD824" s="237">
        <f t="shared" si="729"/>
        <v>43</v>
      </c>
      <c r="CE824" s="253">
        <f t="shared" si="730"/>
        <v>3.5018750000000001</v>
      </c>
      <c r="CF824" s="253" cm="1">
        <f t="array" ref="CF824">$BC824 * IF($AD824&lt;=2,
SUMPRODUCT(INDEX($AL$72:$AN$76,,$AE824), INDEX($AO$72:$AU$76,,$AD824), 1 / ($AV$72:$AV$76*CE824 + (1-$AV$72:$AV$76)*CA824), N($AK$72:$AK$76&gt;$AI824)),
SUMPRODUCT(INDEX($AL$67:$AN$76,,$AE824), INDEX($AO$67:$AU$76,,$AD824), 1 / ($AW$67:$AW$76*CE824 + (1-$AW$67:$AW$76)*CA824), N($AK$67:$AK$76&gt;$AI824))
) / 1000</f>
        <v>0</v>
      </c>
      <c r="CG824" s="250">
        <f t="shared" si="746"/>
        <v>25</v>
      </c>
      <c r="CH824" s="237">
        <f t="shared" si="731"/>
        <v>38</v>
      </c>
      <c r="CI824" s="253">
        <f t="shared" si="732"/>
        <v>4.0666935483870965</v>
      </c>
      <c r="CJ824" s="253" cm="1">
        <f t="array" ref="CJ824">$BC824 * IF($AD824&lt;=2,
SUMPRODUCT(INDEX($AL$67:$AN$71,,$AE824), INDEX($AO$67:$AU$71,,$AD824), 1 / ($AV$67:$AV$71*CI824 + (1-$AV$67:$AV$71)*CE824), N($AK$67:$AK$71&gt;$AI824)),
SUMPRODUCT(INDEX($AL$57:$AN$66,,$AE824), INDEX($AO$57:$AU$66,,$AD824), 1 / ($AW$57:$AW$66*CI824 + (1-$AW$57:$AW$66)*CE824), N($AK$57:$AK$66&gt;$AI824))
) / 1000</f>
        <v>0</v>
      </c>
      <c r="CK824" s="250">
        <f t="shared" si="747"/>
        <v>20</v>
      </c>
      <c r="CL824" s="237">
        <f t="shared" si="733"/>
        <v>33</v>
      </c>
      <c r="CM824" s="253">
        <f t="shared" si="734"/>
        <v>4.8487499999999999</v>
      </c>
      <c r="CN824" s="253" cm="1">
        <f t="array" ref="CN824">$BC824 * IF($AD824&lt;=2,
SUMPRODUCT(INDEX($AL$62:$AN$66,,$AE824), INDEX($AO$62:$AU$66,,$AD824), 1 / ($AV$62:$AV$66*CM824 + (1-$AV$62:$AV$66)*CI824), N($AK$62:$AK$66&gt;$AI824)),
SUMPRODUCT(INDEX($AL$47:$AN$56,,$AE824), INDEX($AO$47:$AU$56,,$AD824), 1 / ($AW$47:$AW$56*CM824 + (1-$AW$47:$AW$56)*CI824), N($AK$47:$AK$56&gt;$AI824))
) / 1000</f>
        <v>0</v>
      </c>
      <c r="CO824" s="253" cm="1">
        <f t="array" ref="CO824">$BC824 * IF($AD824&lt;=2,
SUMPRODUCT(INDEX($AL$23:$AN$61,,$AE824), INDEX($AO$23:$AU$61,,$AD824), 1 / ($AV$23:$AV$61*CM824), N($AK$23:$AK$61&gt;$AI824)),
SUMPRODUCT(INDEX($AL$23:$AN$46,,$AE824), INDEX($AO$23:$AU$46,,$AD824), 1 / ($AW$23:$AW$46*CM824), N($AK$23:$AK$46&gt;$AI824))
) / 1000</f>
        <v>0</v>
      </c>
      <c r="CP824" s="237">
        <f t="shared" si="735"/>
        <v>0</v>
      </c>
      <c r="CQ824" s="210"/>
    </row>
    <row r="825" spans="1:95" s="76" customFormat="1" ht="14.25" customHeight="1" x14ac:dyDescent="0.2">
      <c r="A825" s="238" t="b">
        <f t="shared" si="739"/>
        <v>0</v>
      </c>
      <c r="B825" s="239">
        <v>803</v>
      </c>
      <c r="C825" s="258"/>
      <c r="D825" s="258"/>
      <c r="E825" s="240"/>
      <c r="F825" s="241" t="str">
        <f>IF(ISBLANK(E825), "", VLOOKUP(E825, Z!$A$2:$C$4127, 3, FALSE))</f>
        <v/>
      </c>
      <c r="G825" s="242"/>
      <c r="H825" s="242"/>
      <c r="I825" s="243"/>
      <c r="J825" s="244"/>
      <c r="K825" s="259"/>
      <c r="L825" s="260"/>
      <c r="M825" s="247" t="str" cm="1">
        <f t="array" ref="M825">IF($K825&gt;0, INDEX(Clean,1+AG825,$C$1), "")</f>
        <v/>
      </c>
      <c r="N825" s="245"/>
      <c r="O825" s="245"/>
      <c r="P825" s="246"/>
      <c r="Q825" s="248">
        <f t="shared" si="712"/>
        <v>0</v>
      </c>
      <c r="R825" s="247" t="str" cm="1">
        <f t="array" ref="R825">IF($K825&gt;0, INDEX(Clean,1+AH825,$C$1), "")</f>
        <v/>
      </c>
      <c r="S825" s="245"/>
      <c r="T825" s="245"/>
      <c r="U825" s="246"/>
      <c r="V825" s="248">
        <f t="shared" si="713"/>
        <v>0</v>
      </c>
      <c r="W825" s="261"/>
      <c r="X825" s="258"/>
      <c r="Y825" s="240"/>
      <c r="Z825" s="241" t="str">
        <f>IF(ISBLANK(Y825), "", VLOOKUP(Y825, Z!$A$2:$C$4127, 3, FALSE))</f>
        <v/>
      </c>
      <c r="AA825" s="262"/>
      <c r="AB825" s="249">
        <f t="shared" si="748"/>
        <v>0</v>
      </c>
      <c r="AC825" s="210"/>
      <c r="AD825" s="236">
        <f t="shared" si="736"/>
        <v>1</v>
      </c>
      <c r="AE825" s="236">
        <f t="shared" si="737"/>
        <v>1</v>
      </c>
      <c r="AF825" s="236">
        <f t="shared" si="738"/>
        <v>0</v>
      </c>
      <c r="AG825" s="236">
        <v>1</v>
      </c>
      <c r="AH825" s="236">
        <v>0</v>
      </c>
      <c r="AI825" s="236">
        <f t="shared" si="714"/>
        <v>-100</v>
      </c>
      <c r="AJ825" s="210"/>
      <c r="AK825" s="254"/>
      <c r="AL825" s="254"/>
      <c r="AM825" s="255"/>
      <c r="AN825" s="255"/>
      <c r="AO825" s="255"/>
      <c r="AP825" s="255"/>
      <c r="AQ825" s="255"/>
      <c r="AR825" s="255"/>
      <c r="AS825" s="255"/>
      <c r="AT825" s="255"/>
      <c r="AU825" s="255"/>
      <c r="AV825" s="255"/>
      <c r="AW825" s="255"/>
      <c r="AX825" s="210"/>
      <c r="AY825" s="236" cm="1">
        <f t="array" ref="AY825">INDEX(Use, $AD825, 4)</f>
        <v>7</v>
      </c>
      <c r="AZ825" s="236">
        <f t="shared" si="715"/>
        <v>32</v>
      </c>
      <c r="BA825" s="236">
        <f t="shared" si="740"/>
        <v>13</v>
      </c>
      <c r="BB825" s="236">
        <f t="shared" si="741"/>
        <v>0</v>
      </c>
      <c r="BC825" s="252" cm="1">
        <f t="array" ref="BC825">K825/IF($L825&gt;0, INDEX($AO$23:$AU$77, $L825+20, $AD825), 1)</f>
        <v>0</v>
      </c>
      <c r="BD825" s="237">
        <f t="shared" si="716"/>
        <v>0</v>
      </c>
      <c r="BE825" s="236">
        <v>35</v>
      </c>
      <c r="BF825" s="237">
        <f t="shared" si="717"/>
        <v>52.55</v>
      </c>
      <c r="BG825" s="253">
        <f t="shared" si="718"/>
        <v>2.7676728869374316</v>
      </c>
      <c r="BH825" s="253" cm="1">
        <f t="array" ref="BH825">$BC825 * SUMPRODUCT(INDEX($AL$77:$AN$82,,$AE825),INDEX($AO$77:$AU$82,,$AD825), N($AK$77:$AK$82&gt;$AI825)) / BG825 / 1000</f>
        <v>0</v>
      </c>
      <c r="BI825" s="250">
        <f t="shared" si="742"/>
        <v>30</v>
      </c>
      <c r="BJ825" s="237">
        <f t="shared" si="719"/>
        <v>46.033333333333331</v>
      </c>
      <c r="BK825" s="253">
        <f t="shared" si="720"/>
        <v>3.2297395388556791</v>
      </c>
      <c r="BL825" s="253" cm="1">
        <f t="array" ref="BL825">$BC825 * IF($AD825&lt;=2,
SUMPRODUCT(INDEX($AL$72:$AN$76,,$AE825), INDEX($AO$72:$AU$76,,$AD825), 1 / ($AV$72:$AV$76*BK825 + (1-$AV$72:$AV$76)*BG825), N($AK$72:$AK$76&gt;$AI825)),
SUMPRODUCT(INDEX($AL$67:$AN$76,,$AE825), INDEX($AO$67:$AU$76,,$AD825), 1 / ($AW$67:$AW$76*BK825 + (1-$AW$67:$AW$76)*BG825), N($AK$67:$AK$76&gt;$AI825))
) / 1000</f>
        <v>0</v>
      </c>
      <c r="BM825" s="250">
        <f t="shared" si="743"/>
        <v>25</v>
      </c>
      <c r="BN825" s="237">
        <f t="shared" si="721"/>
        <v>39.516666666666666</v>
      </c>
      <c r="BO825" s="253">
        <f t="shared" si="722"/>
        <v>3.877011788826243</v>
      </c>
      <c r="BP825" s="253" cm="1">
        <f t="array" ref="BP825">$BC825 * IF($AD825&lt;=2,
SUMPRODUCT(INDEX($AL$67:$AN$71,,$AE825), INDEX($AO$67:$AU$71,,$AD825), 1 / ($AV$67:$AV$71*BO825 + (1-$AV$67:$AV$71)*BK825), N($AK$67:$AK$71&gt;$AI825)),
SUMPRODUCT(INDEX($AL$57:$AN$66,,$AE825), INDEX($AO$57:$AU$66,,$AD825), 1 / ($AW$57:$AW$66*BO825 + (1-$AW$57:$AW$66)*BK825), N($AK$57:$AK$66&gt;$AI825))
) / 1000</f>
        <v>0</v>
      </c>
      <c r="BQ825" s="250">
        <f t="shared" si="744"/>
        <v>20</v>
      </c>
      <c r="BR825" s="237">
        <f t="shared" si="723"/>
        <v>33</v>
      </c>
      <c r="BS825" s="253">
        <f t="shared" si="724"/>
        <v>4.8487499999999999</v>
      </c>
      <c r="BT825" s="253" cm="1">
        <f t="array" ref="BT825">$BC825 * IF($AD825&lt;=2,
SUMPRODUCT(INDEX($AL$62:$AN$66,,$AE825), INDEX($AO$62:$AU$66,,$AD825), 1 / ($AV$62:$AV$66*BS825 + (1-$AV$62:$AV$66)*BO825), N($AK$62:$AK$66&gt;$AI825)),
SUMPRODUCT(INDEX($AL$47:$AN$56,,$AE825), INDEX($AO$47:$AU$56,,$AD825), 1 / ($AW$47:$AW$56*BS825 + (1-$AW$47:$AW$56)*BO825), N($AK$47:$AK$56&gt;$AI825))
) / 1000</f>
        <v>0</v>
      </c>
      <c r="BU825" s="253" cm="1">
        <f t="array" ref="BU825">$BC825 * IF($AD825&lt;=2,
SUMPRODUCT(INDEX($AL$23:$AN$61,,$AE825), INDEX($AO$23:$AU$61,,$AD825), 1 / ($AV$23:$AV$61*BS825), N($AK$23:$AK$61&gt;$AI825)),
SUMPRODUCT(INDEX($AL$23:$AN$46,,$AE825), INDEX($AO$23:$AU$46,,$AD825), 1 / ($AW$23:$AW$46*BS825), N($AK$23:$AK$46&gt;$AI825))
) / 1000</f>
        <v>0</v>
      </c>
      <c r="BV825" s="237">
        <f t="shared" si="725"/>
        <v>0</v>
      </c>
      <c r="BW825" s="210"/>
      <c r="BX825" s="237">
        <f t="shared" si="726"/>
        <v>0</v>
      </c>
      <c r="BY825" s="236">
        <v>35</v>
      </c>
      <c r="BZ825" s="237">
        <f t="shared" si="727"/>
        <v>48</v>
      </c>
      <c r="CA825" s="253">
        <f t="shared" si="728"/>
        <v>3.0748170731707316</v>
      </c>
      <c r="CB825" s="253" cm="1">
        <f t="array" ref="CB825">$BC825 * SUMPRODUCT(INDEX($AL$77:$AN$82,,$AE825),INDEX($AO$77:$AU$82,,$AD825), N($AK$77:$AK$82&gt;$AI825)) / CA825 / 1000</f>
        <v>0</v>
      </c>
      <c r="CC825" s="250">
        <f t="shared" si="745"/>
        <v>30</v>
      </c>
      <c r="CD825" s="237">
        <f t="shared" si="729"/>
        <v>43</v>
      </c>
      <c r="CE825" s="253">
        <f t="shared" si="730"/>
        <v>3.5018750000000001</v>
      </c>
      <c r="CF825" s="253" cm="1">
        <f t="array" ref="CF825">$BC825 * IF($AD825&lt;=2,
SUMPRODUCT(INDEX($AL$72:$AN$76,,$AE825), INDEX($AO$72:$AU$76,,$AD825), 1 / ($AV$72:$AV$76*CE825 + (1-$AV$72:$AV$76)*CA825), N($AK$72:$AK$76&gt;$AI825)),
SUMPRODUCT(INDEX($AL$67:$AN$76,,$AE825), INDEX($AO$67:$AU$76,,$AD825), 1 / ($AW$67:$AW$76*CE825 + (1-$AW$67:$AW$76)*CA825), N($AK$67:$AK$76&gt;$AI825))
) / 1000</f>
        <v>0</v>
      </c>
      <c r="CG825" s="250">
        <f t="shared" si="746"/>
        <v>25</v>
      </c>
      <c r="CH825" s="237">
        <f t="shared" si="731"/>
        <v>38</v>
      </c>
      <c r="CI825" s="253">
        <f t="shared" si="732"/>
        <v>4.0666935483870965</v>
      </c>
      <c r="CJ825" s="253" cm="1">
        <f t="array" ref="CJ825">$BC825 * IF($AD825&lt;=2,
SUMPRODUCT(INDEX($AL$67:$AN$71,,$AE825), INDEX($AO$67:$AU$71,,$AD825), 1 / ($AV$67:$AV$71*CI825 + (1-$AV$67:$AV$71)*CE825), N($AK$67:$AK$71&gt;$AI825)),
SUMPRODUCT(INDEX($AL$57:$AN$66,,$AE825), INDEX($AO$57:$AU$66,,$AD825), 1 / ($AW$57:$AW$66*CI825 + (1-$AW$57:$AW$66)*CE825), N($AK$57:$AK$66&gt;$AI825))
) / 1000</f>
        <v>0</v>
      </c>
      <c r="CK825" s="250">
        <f t="shared" si="747"/>
        <v>20</v>
      </c>
      <c r="CL825" s="237">
        <f t="shared" si="733"/>
        <v>33</v>
      </c>
      <c r="CM825" s="253">
        <f t="shared" si="734"/>
        <v>4.8487499999999999</v>
      </c>
      <c r="CN825" s="253" cm="1">
        <f t="array" ref="CN825">$BC825 * IF($AD825&lt;=2,
SUMPRODUCT(INDEX($AL$62:$AN$66,,$AE825), INDEX($AO$62:$AU$66,,$AD825), 1 / ($AV$62:$AV$66*CM825 + (1-$AV$62:$AV$66)*CI825), N($AK$62:$AK$66&gt;$AI825)),
SUMPRODUCT(INDEX($AL$47:$AN$56,,$AE825), INDEX($AO$47:$AU$56,,$AD825), 1 / ($AW$47:$AW$56*CM825 + (1-$AW$47:$AW$56)*CI825), N($AK$47:$AK$56&gt;$AI825))
) / 1000</f>
        <v>0</v>
      </c>
      <c r="CO825" s="253" cm="1">
        <f t="array" ref="CO825">$BC825 * IF($AD825&lt;=2,
SUMPRODUCT(INDEX($AL$23:$AN$61,,$AE825), INDEX($AO$23:$AU$61,,$AD825), 1 / ($AV$23:$AV$61*CM825), N($AK$23:$AK$61&gt;$AI825)),
SUMPRODUCT(INDEX($AL$23:$AN$46,,$AE825), INDEX($AO$23:$AU$46,,$AD825), 1 / ($AW$23:$AW$46*CM825), N($AK$23:$AK$46&gt;$AI825))
) / 1000</f>
        <v>0</v>
      </c>
      <c r="CP825" s="237">
        <f t="shared" si="735"/>
        <v>0</v>
      </c>
      <c r="CQ825" s="210"/>
    </row>
    <row r="826" spans="1:95" s="76" customFormat="1" ht="14.25" customHeight="1" x14ac:dyDescent="0.2">
      <c r="A826" s="238" t="b">
        <f t="shared" si="739"/>
        <v>0</v>
      </c>
      <c r="B826" s="239">
        <v>804</v>
      </c>
      <c r="C826" s="258"/>
      <c r="D826" s="258"/>
      <c r="E826" s="240"/>
      <c r="F826" s="241" t="str">
        <f>IF(ISBLANK(E826), "", VLOOKUP(E826, Z!$A$2:$C$4127, 3, FALSE))</f>
        <v/>
      </c>
      <c r="G826" s="242"/>
      <c r="H826" s="242"/>
      <c r="I826" s="243"/>
      <c r="J826" s="244"/>
      <c r="K826" s="259"/>
      <c r="L826" s="260"/>
      <c r="M826" s="247" t="str" cm="1">
        <f t="array" ref="M826">IF($K826&gt;0, INDEX(Clean,1+AG826,$C$1), "")</f>
        <v/>
      </c>
      <c r="N826" s="245"/>
      <c r="O826" s="245"/>
      <c r="P826" s="246"/>
      <c r="Q826" s="248">
        <f t="shared" si="712"/>
        <v>0</v>
      </c>
      <c r="R826" s="247" t="str" cm="1">
        <f t="array" ref="R826">IF($K826&gt;0, INDEX(Clean,1+AH826,$C$1), "")</f>
        <v/>
      </c>
      <c r="S826" s="245"/>
      <c r="T826" s="245"/>
      <c r="U826" s="246"/>
      <c r="V826" s="248">
        <f t="shared" si="713"/>
        <v>0</v>
      </c>
      <c r="W826" s="261"/>
      <c r="X826" s="258"/>
      <c r="Y826" s="240"/>
      <c r="Z826" s="241" t="str">
        <f>IF(ISBLANK(Y826), "", VLOOKUP(Y826, Z!$A$2:$C$4127, 3, FALSE))</f>
        <v/>
      </c>
      <c r="AA826" s="262"/>
      <c r="AB826" s="249">
        <f t="shared" si="748"/>
        <v>0</v>
      </c>
      <c r="AC826" s="210"/>
      <c r="AD826" s="236">
        <f t="shared" si="736"/>
        <v>1</v>
      </c>
      <c r="AE826" s="236">
        <f t="shared" si="737"/>
        <v>1</v>
      </c>
      <c r="AF826" s="236">
        <f t="shared" si="738"/>
        <v>0</v>
      </c>
      <c r="AG826" s="236">
        <v>1</v>
      </c>
      <c r="AH826" s="236">
        <v>0</v>
      </c>
      <c r="AI826" s="236">
        <f t="shared" si="714"/>
        <v>-100</v>
      </c>
      <c r="AJ826" s="210"/>
      <c r="AK826" s="254"/>
      <c r="AL826" s="254"/>
      <c r="AM826" s="255"/>
      <c r="AN826" s="255"/>
      <c r="AO826" s="255"/>
      <c r="AP826" s="255"/>
      <c r="AQ826" s="255"/>
      <c r="AR826" s="255"/>
      <c r="AS826" s="255"/>
      <c r="AT826" s="255"/>
      <c r="AU826" s="255"/>
      <c r="AV826" s="255"/>
      <c r="AW826" s="255"/>
      <c r="AX826" s="210"/>
      <c r="AY826" s="236" cm="1">
        <f t="array" ref="AY826">INDEX(Use, $AD826, 4)</f>
        <v>7</v>
      </c>
      <c r="AZ826" s="236">
        <f t="shared" si="715"/>
        <v>32</v>
      </c>
      <c r="BA826" s="236">
        <f t="shared" si="740"/>
        <v>13</v>
      </c>
      <c r="BB826" s="236">
        <f t="shared" si="741"/>
        <v>0</v>
      </c>
      <c r="BC826" s="252" cm="1">
        <f t="array" ref="BC826">K826/IF($L826&gt;0, INDEX($AO$23:$AU$77, $L826+20, $AD826), 1)</f>
        <v>0</v>
      </c>
      <c r="BD826" s="237">
        <f t="shared" si="716"/>
        <v>0</v>
      </c>
      <c r="BE826" s="236">
        <v>35</v>
      </c>
      <c r="BF826" s="237">
        <f t="shared" si="717"/>
        <v>52.55</v>
      </c>
      <c r="BG826" s="253">
        <f t="shared" si="718"/>
        <v>2.7676728869374316</v>
      </c>
      <c r="BH826" s="253" cm="1">
        <f t="array" ref="BH826">$BC826 * SUMPRODUCT(INDEX($AL$77:$AN$82,,$AE826),INDEX($AO$77:$AU$82,,$AD826), N($AK$77:$AK$82&gt;$AI826)) / BG826 / 1000</f>
        <v>0</v>
      </c>
      <c r="BI826" s="250">
        <f t="shared" si="742"/>
        <v>30</v>
      </c>
      <c r="BJ826" s="237">
        <f t="shared" si="719"/>
        <v>46.033333333333331</v>
      </c>
      <c r="BK826" s="253">
        <f t="shared" si="720"/>
        <v>3.2297395388556791</v>
      </c>
      <c r="BL826" s="253" cm="1">
        <f t="array" ref="BL826">$BC826 * IF($AD826&lt;=2,
SUMPRODUCT(INDEX($AL$72:$AN$76,,$AE826), INDEX($AO$72:$AU$76,,$AD826), 1 / ($AV$72:$AV$76*BK826 + (1-$AV$72:$AV$76)*BG826), N($AK$72:$AK$76&gt;$AI826)),
SUMPRODUCT(INDEX($AL$67:$AN$76,,$AE826), INDEX($AO$67:$AU$76,,$AD826), 1 / ($AW$67:$AW$76*BK826 + (1-$AW$67:$AW$76)*BG826), N($AK$67:$AK$76&gt;$AI826))
) / 1000</f>
        <v>0</v>
      </c>
      <c r="BM826" s="250">
        <f t="shared" si="743"/>
        <v>25</v>
      </c>
      <c r="BN826" s="237">
        <f t="shared" si="721"/>
        <v>39.516666666666666</v>
      </c>
      <c r="BO826" s="253">
        <f t="shared" si="722"/>
        <v>3.877011788826243</v>
      </c>
      <c r="BP826" s="253" cm="1">
        <f t="array" ref="BP826">$BC826 * IF($AD826&lt;=2,
SUMPRODUCT(INDEX($AL$67:$AN$71,,$AE826), INDEX($AO$67:$AU$71,,$AD826), 1 / ($AV$67:$AV$71*BO826 + (1-$AV$67:$AV$71)*BK826), N($AK$67:$AK$71&gt;$AI826)),
SUMPRODUCT(INDEX($AL$57:$AN$66,,$AE826), INDEX($AO$57:$AU$66,,$AD826), 1 / ($AW$57:$AW$66*BO826 + (1-$AW$57:$AW$66)*BK826), N($AK$57:$AK$66&gt;$AI826))
) / 1000</f>
        <v>0</v>
      </c>
      <c r="BQ826" s="250">
        <f t="shared" si="744"/>
        <v>20</v>
      </c>
      <c r="BR826" s="237">
        <f t="shared" si="723"/>
        <v>33</v>
      </c>
      <c r="BS826" s="253">
        <f t="shared" si="724"/>
        <v>4.8487499999999999</v>
      </c>
      <c r="BT826" s="253" cm="1">
        <f t="array" ref="BT826">$BC826 * IF($AD826&lt;=2,
SUMPRODUCT(INDEX($AL$62:$AN$66,,$AE826), INDEX($AO$62:$AU$66,,$AD826), 1 / ($AV$62:$AV$66*BS826 + (1-$AV$62:$AV$66)*BO826), N($AK$62:$AK$66&gt;$AI826)),
SUMPRODUCT(INDEX($AL$47:$AN$56,,$AE826), INDEX($AO$47:$AU$56,,$AD826), 1 / ($AW$47:$AW$56*BS826 + (1-$AW$47:$AW$56)*BO826), N($AK$47:$AK$56&gt;$AI826))
) / 1000</f>
        <v>0</v>
      </c>
      <c r="BU826" s="253" cm="1">
        <f t="array" ref="BU826">$BC826 * IF($AD826&lt;=2,
SUMPRODUCT(INDEX($AL$23:$AN$61,,$AE826), INDEX($AO$23:$AU$61,,$AD826), 1 / ($AV$23:$AV$61*BS826), N($AK$23:$AK$61&gt;$AI826)),
SUMPRODUCT(INDEX($AL$23:$AN$46,,$AE826), INDEX($AO$23:$AU$46,,$AD826), 1 / ($AW$23:$AW$46*BS826), N($AK$23:$AK$46&gt;$AI826))
) / 1000</f>
        <v>0</v>
      </c>
      <c r="BV826" s="237">
        <f t="shared" si="725"/>
        <v>0</v>
      </c>
      <c r="BW826" s="210"/>
      <c r="BX826" s="237">
        <f t="shared" si="726"/>
        <v>0</v>
      </c>
      <c r="BY826" s="236">
        <v>35</v>
      </c>
      <c r="BZ826" s="237">
        <f t="shared" si="727"/>
        <v>48</v>
      </c>
      <c r="CA826" s="253">
        <f t="shared" si="728"/>
        <v>3.0748170731707316</v>
      </c>
      <c r="CB826" s="253" cm="1">
        <f t="array" ref="CB826">$BC826 * SUMPRODUCT(INDEX($AL$77:$AN$82,,$AE826),INDEX($AO$77:$AU$82,,$AD826), N($AK$77:$AK$82&gt;$AI826)) / CA826 / 1000</f>
        <v>0</v>
      </c>
      <c r="CC826" s="250">
        <f t="shared" si="745"/>
        <v>30</v>
      </c>
      <c r="CD826" s="237">
        <f t="shared" si="729"/>
        <v>43</v>
      </c>
      <c r="CE826" s="253">
        <f t="shared" si="730"/>
        <v>3.5018750000000001</v>
      </c>
      <c r="CF826" s="253" cm="1">
        <f t="array" ref="CF826">$BC826 * IF($AD826&lt;=2,
SUMPRODUCT(INDEX($AL$72:$AN$76,,$AE826), INDEX($AO$72:$AU$76,,$AD826), 1 / ($AV$72:$AV$76*CE826 + (1-$AV$72:$AV$76)*CA826), N($AK$72:$AK$76&gt;$AI826)),
SUMPRODUCT(INDEX($AL$67:$AN$76,,$AE826), INDEX($AO$67:$AU$76,,$AD826), 1 / ($AW$67:$AW$76*CE826 + (1-$AW$67:$AW$76)*CA826), N($AK$67:$AK$76&gt;$AI826))
) / 1000</f>
        <v>0</v>
      </c>
      <c r="CG826" s="250">
        <f t="shared" si="746"/>
        <v>25</v>
      </c>
      <c r="CH826" s="237">
        <f t="shared" si="731"/>
        <v>38</v>
      </c>
      <c r="CI826" s="253">
        <f t="shared" si="732"/>
        <v>4.0666935483870965</v>
      </c>
      <c r="CJ826" s="253" cm="1">
        <f t="array" ref="CJ826">$BC826 * IF($AD826&lt;=2,
SUMPRODUCT(INDEX($AL$67:$AN$71,,$AE826), INDEX($AO$67:$AU$71,,$AD826), 1 / ($AV$67:$AV$71*CI826 + (1-$AV$67:$AV$71)*CE826), N($AK$67:$AK$71&gt;$AI826)),
SUMPRODUCT(INDEX($AL$57:$AN$66,,$AE826), INDEX($AO$57:$AU$66,,$AD826), 1 / ($AW$57:$AW$66*CI826 + (1-$AW$57:$AW$66)*CE826), N($AK$57:$AK$66&gt;$AI826))
) / 1000</f>
        <v>0</v>
      </c>
      <c r="CK826" s="250">
        <f t="shared" si="747"/>
        <v>20</v>
      </c>
      <c r="CL826" s="237">
        <f t="shared" si="733"/>
        <v>33</v>
      </c>
      <c r="CM826" s="253">
        <f t="shared" si="734"/>
        <v>4.8487499999999999</v>
      </c>
      <c r="CN826" s="253" cm="1">
        <f t="array" ref="CN826">$BC826 * IF($AD826&lt;=2,
SUMPRODUCT(INDEX($AL$62:$AN$66,,$AE826), INDEX($AO$62:$AU$66,,$AD826), 1 / ($AV$62:$AV$66*CM826 + (1-$AV$62:$AV$66)*CI826), N($AK$62:$AK$66&gt;$AI826)),
SUMPRODUCT(INDEX($AL$47:$AN$56,,$AE826), INDEX($AO$47:$AU$56,,$AD826), 1 / ($AW$47:$AW$56*CM826 + (1-$AW$47:$AW$56)*CI826), N($AK$47:$AK$56&gt;$AI826))
) / 1000</f>
        <v>0</v>
      </c>
      <c r="CO826" s="253" cm="1">
        <f t="array" ref="CO826">$BC826 * IF($AD826&lt;=2,
SUMPRODUCT(INDEX($AL$23:$AN$61,,$AE826), INDEX($AO$23:$AU$61,,$AD826), 1 / ($AV$23:$AV$61*CM826), N($AK$23:$AK$61&gt;$AI826)),
SUMPRODUCT(INDEX($AL$23:$AN$46,,$AE826), INDEX($AO$23:$AU$46,,$AD826), 1 / ($AW$23:$AW$46*CM826), N($AK$23:$AK$46&gt;$AI826))
) / 1000</f>
        <v>0</v>
      </c>
      <c r="CP826" s="237">
        <f t="shared" si="735"/>
        <v>0</v>
      </c>
      <c r="CQ826" s="210"/>
    </row>
    <row r="827" spans="1:95" s="76" customFormat="1" ht="14.25" customHeight="1" x14ac:dyDescent="0.2">
      <c r="A827" s="238" t="b">
        <f t="shared" si="739"/>
        <v>0</v>
      </c>
      <c r="B827" s="239">
        <v>805</v>
      </c>
      <c r="C827" s="258"/>
      <c r="D827" s="258"/>
      <c r="E827" s="240"/>
      <c r="F827" s="241" t="str">
        <f>IF(ISBLANK(E827), "", VLOOKUP(E827, Z!$A$2:$C$4127, 3, FALSE))</f>
        <v/>
      </c>
      <c r="G827" s="242"/>
      <c r="H827" s="242"/>
      <c r="I827" s="243"/>
      <c r="J827" s="244"/>
      <c r="K827" s="259"/>
      <c r="L827" s="260"/>
      <c r="M827" s="247" t="str" cm="1">
        <f t="array" ref="M827">IF($K827&gt;0, INDEX(Clean,1+AG827,$C$1), "")</f>
        <v/>
      </c>
      <c r="N827" s="245"/>
      <c r="O827" s="245"/>
      <c r="P827" s="246"/>
      <c r="Q827" s="248">
        <f t="shared" ref="Q827:Q890" si="749">BV827*1000</f>
        <v>0</v>
      </c>
      <c r="R827" s="247" t="str" cm="1">
        <f t="array" ref="R827">IF($K827&gt;0, INDEX(Clean,1+AH827,$C$1), "")</f>
        <v/>
      </c>
      <c r="S827" s="245"/>
      <c r="T827" s="245"/>
      <c r="U827" s="246"/>
      <c r="V827" s="248">
        <f t="shared" ref="V827:V890" si="750">CP827*1000</f>
        <v>0</v>
      </c>
      <c r="W827" s="261"/>
      <c r="X827" s="258"/>
      <c r="Y827" s="240"/>
      <c r="Z827" s="241" t="str">
        <f>IF(ISBLANK(Y827), "", VLOOKUP(Y827, Z!$A$2:$C$4127, 3, FALSE))</f>
        <v/>
      </c>
      <c r="AA827" s="262"/>
      <c r="AB827" s="249">
        <f t="shared" si="748"/>
        <v>0</v>
      </c>
      <c r="AC827" s="210"/>
      <c r="AD827" s="236">
        <f t="shared" si="736"/>
        <v>1</v>
      </c>
      <c r="AE827" s="236">
        <f t="shared" si="737"/>
        <v>1</v>
      </c>
      <c r="AF827" s="236">
        <f t="shared" si="738"/>
        <v>0</v>
      </c>
      <c r="AG827" s="236">
        <v>1</v>
      </c>
      <c r="AH827" s="236">
        <v>0</v>
      </c>
      <c r="AI827" s="236">
        <f t="shared" ref="AI827:AI890" si="751">IF(AND(J827="x", AD827=5), 11, IF(AND(J827="x", AD827=6), 19, -100))</f>
        <v>-100</v>
      </c>
      <c r="AJ827" s="210"/>
      <c r="AK827" s="254"/>
      <c r="AL827" s="254"/>
      <c r="AM827" s="255"/>
      <c r="AN827" s="255"/>
      <c r="AO827" s="255"/>
      <c r="AP827" s="255"/>
      <c r="AQ827" s="255"/>
      <c r="AR827" s="255"/>
      <c r="AS827" s="255"/>
      <c r="AT827" s="255"/>
      <c r="AU827" s="255"/>
      <c r="AV827" s="255"/>
      <c r="AW827" s="255"/>
      <c r="AX827" s="210"/>
      <c r="AY827" s="236" cm="1">
        <f t="array" ref="AY827">INDEX(Use, $AD827, 4)</f>
        <v>7</v>
      </c>
      <c r="AZ827" s="236">
        <f t="shared" ref="AZ827:AZ890" si="752">MAX(25, AY827+25)</f>
        <v>32</v>
      </c>
      <c r="BA827" s="236">
        <f t="shared" si="740"/>
        <v>13</v>
      </c>
      <c r="BB827" s="236">
        <f t="shared" si="741"/>
        <v>0</v>
      </c>
      <c r="BC827" s="252" cm="1">
        <f t="array" ref="BC827">K827/IF($L827&gt;0, INDEX($AO$23:$AU$77, $L827+20, $AD827), 1)</f>
        <v>0</v>
      </c>
      <c r="BD827" s="237">
        <f t="shared" ref="BD827:BD890" si="753">P827 /  IF(AD827&lt;=2, 0.7 + 0.3 * (O827-20)/(35-20), 0.4 + 0.6 * (O827-5)/(35-5))</f>
        <v>0</v>
      </c>
      <c r="BE827" s="236">
        <v>35</v>
      </c>
      <c r="BF827" s="237">
        <f t="shared" ref="BF827:BF890" si="754">MAX($N827, MAX($AZ827, $BE827 + $BA827 + $BB827 + 0.35*$AG827*$BA827 + BD827))</f>
        <v>52.55</v>
      </c>
      <c r="BG827" s="253">
        <f t="shared" ref="BG827:BG890" si="755">0.45*($AY827+273.15)/(BF827-$AY827)</f>
        <v>2.7676728869374316</v>
      </c>
      <c r="BH827" s="253" cm="1">
        <f t="array" ref="BH827">$BC827 * SUMPRODUCT(INDEX($AL$77:$AN$82,,$AE827),INDEX($AO$77:$AU$82,,$AD827), N($AK$77:$AK$82&gt;$AI827)) / BG827 / 1000</f>
        <v>0</v>
      </c>
      <c r="BI827" s="250">
        <f t="shared" si="742"/>
        <v>30</v>
      </c>
      <c r="BJ827" s="237">
        <f t="shared" ref="BJ827:BJ890" si="756">MAX($N827, MAX($AZ827, BI827 + $BA827 + $BB827 + IF($AD827&lt;=2, (BI827-20)/(35-20), 0.6+0.4*(BI827-5)/(35-5))*0.35*$AG827*$BA827) + IF($AD827&lt;=2,0.9,0.8)*$BD827)</f>
        <v>46.033333333333331</v>
      </c>
      <c r="BK827" s="253">
        <f t="shared" ref="BK827:BK890" si="757">0.45*($AY827+273.15)/(BJ827-$AY827)</f>
        <v>3.2297395388556791</v>
      </c>
      <c r="BL827" s="253" cm="1">
        <f t="array" ref="BL827">$BC827 * IF($AD827&lt;=2,
SUMPRODUCT(INDEX($AL$72:$AN$76,,$AE827), INDEX($AO$72:$AU$76,,$AD827), 1 / ($AV$72:$AV$76*BK827 + (1-$AV$72:$AV$76)*BG827), N($AK$72:$AK$76&gt;$AI827)),
SUMPRODUCT(INDEX($AL$67:$AN$76,,$AE827), INDEX($AO$67:$AU$76,,$AD827), 1 / ($AW$67:$AW$76*BK827 + (1-$AW$67:$AW$76)*BG827), N($AK$67:$AK$76&gt;$AI827))
) / 1000</f>
        <v>0</v>
      </c>
      <c r="BM827" s="250">
        <f t="shared" si="743"/>
        <v>25</v>
      </c>
      <c r="BN827" s="237">
        <f t="shared" ref="BN827:BN890" si="758">MAX($N827, MAX($AZ827, BM827 + $BA827 + $BB827 + IF($AD827&lt;=2, (BM827-20)/(35-20), 0.6+0.4*(BM827-5)/(35-5))*0.35*$AG827*$BA827) + IF($AD827&lt;=2,0.8,0.6)*$BD827)</f>
        <v>39.516666666666666</v>
      </c>
      <c r="BO827" s="253">
        <f t="shared" ref="BO827:BO890" si="759">0.45*($AY827+273.15)/(BN827-$AY827)</f>
        <v>3.877011788826243</v>
      </c>
      <c r="BP827" s="253" cm="1">
        <f t="array" ref="BP827">$BC827 * IF($AD827&lt;=2,
SUMPRODUCT(INDEX($AL$67:$AN$71,,$AE827), INDEX($AO$67:$AU$71,,$AD827), 1 / ($AV$67:$AV$71*BO827 + (1-$AV$67:$AV$71)*BK827), N($AK$67:$AK$71&gt;$AI827)),
SUMPRODUCT(INDEX($AL$57:$AN$66,,$AE827), INDEX($AO$57:$AU$66,,$AD827), 1 / ($AW$57:$AW$66*BO827 + (1-$AW$57:$AW$66)*BK827), N($AK$57:$AK$66&gt;$AI827))
) / 1000</f>
        <v>0</v>
      </c>
      <c r="BQ827" s="250">
        <f t="shared" si="744"/>
        <v>20</v>
      </c>
      <c r="BR827" s="237">
        <f t="shared" ref="BR827:BR890" si="760">MAX($N827, MAX($AZ827, BQ827 + $BA827 + $BB827 + IF($AD827&lt;=2, (BQ827-20)/(35-20), 0.6+0.4*(BQ827-5)/(35-5))*0.35*$AG827*$BA827) + IF($AD827&lt;=2,0.7,0.4)*$BD827)</f>
        <v>33</v>
      </c>
      <c r="BS827" s="253">
        <f t="shared" ref="BS827:BS890" si="761">0.45*($AY827+273.15)/(BR827-$AY827)</f>
        <v>4.8487499999999999</v>
      </c>
      <c r="BT827" s="253" cm="1">
        <f t="array" ref="BT827">$BC827 * IF($AD827&lt;=2,
SUMPRODUCT(INDEX($AL$62:$AN$66,,$AE827), INDEX($AO$62:$AU$66,,$AD827), 1 / ($AV$62:$AV$66*BS827 + (1-$AV$62:$AV$66)*BO827), N($AK$62:$AK$66&gt;$AI827)),
SUMPRODUCT(INDEX($AL$47:$AN$56,,$AE827), INDEX($AO$47:$AU$56,,$AD827), 1 / ($AW$47:$AW$56*BS827 + (1-$AW$47:$AW$56)*BO827), N($AK$47:$AK$56&gt;$AI827))
) / 1000</f>
        <v>0</v>
      </c>
      <c r="BU827" s="253" cm="1">
        <f t="array" ref="BU827">$BC827 * IF($AD827&lt;=2,
SUMPRODUCT(INDEX($AL$23:$AN$61,,$AE827), INDEX($AO$23:$AU$61,,$AD827), 1 / ($AV$23:$AV$61*BS827), N($AK$23:$AK$61&gt;$AI827)),
SUMPRODUCT(INDEX($AL$23:$AN$46,,$AE827), INDEX($AO$23:$AU$46,,$AD827), 1 / ($AW$23:$AW$46*BS827), N($AK$23:$AK$46&gt;$AI827))
) / 1000</f>
        <v>0</v>
      </c>
      <c r="BV827" s="237">
        <f t="shared" ref="BV827:BV890" si="762">BH827+BL827+BP827+BT827+BU827</f>
        <v>0</v>
      </c>
      <c r="BW827" s="210"/>
      <c r="BX827" s="237">
        <f t="shared" ref="BX827:BX890" si="763">U827 /  IF(AD827&lt;=2, 0.7 + 0.3 * (T827-20)/(35-20), 0.4 + 0.6 * (T827-5)/(35-5))</f>
        <v>0</v>
      </c>
      <c r="BY827" s="236">
        <v>35</v>
      </c>
      <c r="BZ827" s="237">
        <f t="shared" ref="BZ827:BZ890" si="764">MAX($S827, MAX($AZ827, $BE827 + $BA827 + $BB827 + 0.35*$AH827*$BA827 + BX827))</f>
        <v>48</v>
      </c>
      <c r="CA827" s="253">
        <f t="shared" ref="CA827:CA890" si="765">0.45*($AY827+273.15)/(BZ827-$AY827)</f>
        <v>3.0748170731707316</v>
      </c>
      <c r="CB827" s="253" cm="1">
        <f t="array" ref="CB827">$BC827 * SUMPRODUCT(INDEX($AL$77:$AN$82,,$AE827),INDEX($AO$77:$AU$82,,$AD827), N($AK$77:$AK$82&gt;$AI827)) / CA827 / 1000</f>
        <v>0</v>
      </c>
      <c r="CC827" s="250">
        <f t="shared" si="745"/>
        <v>30</v>
      </c>
      <c r="CD827" s="237">
        <f t="shared" ref="CD827:CD890" si="766">MAX($S827, MAX($AZ827, CC827 + $BA827 + $BB827 + IF($AD827&lt;=2, (CC827-20)/(35-20), 0.6+0.4*(CC827-5)/(35-5))*0.35*$AH827*$BA827) + IF($AD827&lt;=2,0.9,0.8)*$BX827)</f>
        <v>43</v>
      </c>
      <c r="CE827" s="253">
        <f t="shared" ref="CE827:CE890" si="767">0.45*($AY827+273.15)/(CD827-$AY827)</f>
        <v>3.5018750000000001</v>
      </c>
      <c r="CF827" s="253" cm="1">
        <f t="array" ref="CF827">$BC827 * IF($AD827&lt;=2,
SUMPRODUCT(INDEX($AL$72:$AN$76,,$AE827), INDEX($AO$72:$AU$76,,$AD827), 1 / ($AV$72:$AV$76*CE827 + (1-$AV$72:$AV$76)*CA827), N($AK$72:$AK$76&gt;$AI827)),
SUMPRODUCT(INDEX($AL$67:$AN$76,,$AE827), INDEX($AO$67:$AU$76,,$AD827), 1 / ($AW$67:$AW$76*CE827 + (1-$AW$67:$AW$76)*CA827), N($AK$67:$AK$76&gt;$AI827))
) / 1000</f>
        <v>0</v>
      </c>
      <c r="CG827" s="250">
        <f t="shared" si="746"/>
        <v>25</v>
      </c>
      <c r="CH827" s="237">
        <f t="shared" ref="CH827:CH890" si="768">MAX($S827, MAX($AZ827, CG827 + $BA827 + $BB827 + IF($AD827&lt;=2, (CG827-20)/(35-20), 0.6+0.4*(CG827-5)/(35-5))*0.35*$AH827*$BA827) + IF($AD827&lt;=2,0.8,0.6)*$BX827)</f>
        <v>38</v>
      </c>
      <c r="CI827" s="253">
        <f t="shared" ref="CI827:CI890" si="769">0.45*($AY827+273.15)/(CH827-$AY827)</f>
        <v>4.0666935483870965</v>
      </c>
      <c r="CJ827" s="253" cm="1">
        <f t="array" ref="CJ827">$BC827 * IF($AD827&lt;=2,
SUMPRODUCT(INDEX($AL$67:$AN$71,,$AE827), INDEX($AO$67:$AU$71,,$AD827), 1 / ($AV$67:$AV$71*CI827 + (1-$AV$67:$AV$71)*CE827), N($AK$67:$AK$71&gt;$AI827)),
SUMPRODUCT(INDEX($AL$57:$AN$66,,$AE827), INDEX($AO$57:$AU$66,,$AD827), 1 / ($AW$57:$AW$66*CI827 + (1-$AW$57:$AW$66)*CE827), N($AK$57:$AK$66&gt;$AI827))
) / 1000</f>
        <v>0</v>
      </c>
      <c r="CK827" s="250">
        <f t="shared" si="747"/>
        <v>20</v>
      </c>
      <c r="CL827" s="237">
        <f t="shared" ref="CL827:CL890" si="770">MAX($S827, MAX($AZ827, CK827 + $BA827 + $BB827 + IF($AD827&lt;=2, (CK827-20)/(35-20), 0.6+0.4*(CK827-5)/(35-5))*0.35*$AH827*$BA827) + IF($AD827&lt;=2,0.7,0.4)*$BX827)</f>
        <v>33</v>
      </c>
      <c r="CM827" s="253">
        <f t="shared" ref="CM827:CM890" si="771">0.45*($AY827+273.15)/(CL827-$AY827)</f>
        <v>4.8487499999999999</v>
      </c>
      <c r="CN827" s="253" cm="1">
        <f t="array" ref="CN827">$BC827 * IF($AD827&lt;=2,
SUMPRODUCT(INDEX($AL$62:$AN$66,,$AE827), INDEX($AO$62:$AU$66,,$AD827), 1 / ($AV$62:$AV$66*CM827 + (1-$AV$62:$AV$66)*CI827), N($AK$62:$AK$66&gt;$AI827)),
SUMPRODUCT(INDEX($AL$47:$AN$56,,$AE827), INDEX($AO$47:$AU$56,,$AD827), 1 / ($AW$47:$AW$56*CM827 + (1-$AW$47:$AW$56)*CI827), N($AK$47:$AK$56&gt;$AI827))
) / 1000</f>
        <v>0</v>
      </c>
      <c r="CO827" s="253" cm="1">
        <f t="array" ref="CO827">$BC827 * IF($AD827&lt;=2,
SUMPRODUCT(INDEX($AL$23:$AN$61,,$AE827), INDEX($AO$23:$AU$61,,$AD827), 1 / ($AV$23:$AV$61*CM827), N($AK$23:$AK$61&gt;$AI827)),
SUMPRODUCT(INDEX($AL$23:$AN$46,,$AE827), INDEX($AO$23:$AU$46,,$AD827), 1 / ($AW$23:$AW$46*CM827), N($AK$23:$AK$46&gt;$AI827))
) / 1000</f>
        <v>0</v>
      </c>
      <c r="CP827" s="237">
        <f t="shared" ref="CP827:CP890" si="772">CB827+CF827+CJ827+CN827+CO827</f>
        <v>0</v>
      </c>
      <c r="CQ827" s="210"/>
    </row>
    <row r="828" spans="1:95" s="76" customFormat="1" ht="14.25" customHeight="1" x14ac:dyDescent="0.2">
      <c r="A828" s="238" t="b">
        <f t="shared" si="739"/>
        <v>0</v>
      </c>
      <c r="B828" s="239">
        <v>806</v>
      </c>
      <c r="C828" s="258"/>
      <c r="D828" s="258"/>
      <c r="E828" s="240"/>
      <c r="F828" s="241" t="str">
        <f>IF(ISBLANK(E828), "", VLOOKUP(E828, Z!$A$2:$C$4127, 3, FALSE))</f>
        <v/>
      </c>
      <c r="G828" s="242"/>
      <c r="H828" s="242"/>
      <c r="I828" s="243"/>
      <c r="J828" s="244"/>
      <c r="K828" s="259"/>
      <c r="L828" s="260"/>
      <c r="M828" s="247" t="str" cm="1">
        <f t="array" ref="M828">IF($K828&gt;0, INDEX(Clean,1+AG828,$C$1), "")</f>
        <v/>
      </c>
      <c r="N828" s="245"/>
      <c r="O828" s="245"/>
      <c r="P828" s="246"/>
      <c r="Q828" s="248">
        <f t="shared" si="749"/>
        <v>0</v>
      </c>
      <c r="R828" s="247" t="str" cm="1">
        <f t="array" ref="R828">IF($K828&gt;0, INDEX(Clean,1+AH828,$C$1), "")</f>
        <v/>
      </c>
      <c r="S828" s="245"/>
      <c r="T828" s="245"/>
      <c r="U828" s="246"/>
      <c r="V828" s="248">
        <f t="shared" si="750"/>
        <v>0</v>
      </c>
      <c r="W828" s="261"/>
      <c r="X828" s="258"/>
      <c r="Y828" s="240"/>
      <c r="Z828" s="241" t="str">
        <f>IF(ISBLANK(Y828), "", VLOOKUP(Y828, Z!$A$2:$C$4127, 3, FALSE))</f>
        <v/>
      </c>
      <c r="AA828" s="262"/>
      <c r="AB828" s="249">
        <f t="shared" si="748"/>
        <v>0</v>
      </c>
      <c r="AC828" s="210"/>
      <c r="AD828" s="236">
        <f t="shared" ref="AD828:AD891" si="773">IF(ISBLANK(H828), 1, IFERROR(MATCH(H828, INDEX(Use,,1), 0), IFERROR(MATCH(H828, INDEX(Use,,2), 0), MATCH(H828, INDEX(Use,,3), 0))))</f>
        <v>1</v>
      </c>
      <c r="AE828" s="236">
        <f t="shared" ref="AE828:AE891" si="774">IF(ISBLANK(G828), 1, IFERROR(MATCH(G828, INDEX(Loc,,1), 0), IFERROR(MATCH(G828, INDEX(Loc,,2), 0), MATCH(G828, INDEX(Loc,,3), 0))))</f>
        <v>1</v>
      </c>
      <c r="AF828" s="236">
        <f t="shared" ref="AF828:AF891" si="775">_xlfn.IFNA(IF(IFERROR(MATCH(I828, INDEX(Medium,,1), 0), IFERROR(MATCH(I828, INDEX(Medium,,2), 0), MATCH(I828, INDEX(Medium,,3), 0))) = 2, 1, 0), 0)</f>
        <v>0</v>
      </c>
      <c r="AG828" s="236">
        <v>1</v>
      </c>
      <c r="AH828" s="236">
        <v>0</v>
      </c>
      <c r="AI828" s="236">
        <f t="shared" si="751"/>
        <v>-100</v>
      </c>
      <c r="AJ828" s="210"/>
      <c r="AK828" s="254"/>
      <c r="AL828" s="254"/>
      <c r="AM828" s="255"/>
      <c r="AN828" s="255"/>
      <c r="AO828" s="255"/>
      <c r="AP828" s="255"/>
      <c r="AQ828" s="255"/>
      <c r="AR828" s="255"/>
      <c r="AS828" s="255"/>
      <c r="AT828" s="255"/>
      <c r="AU828" s="255"/>
      <c r="AV828" s="255"/>
      <c r="AW828" s="255"/>
      <c r="AX828" s="210"/>
      <c r="AY828" s="236" cm="1">
        <f t="array" ref="AY828">INDEX(Use, $AD828, 4)</f>
        <v>7</v>
      </c>
      <c r="AZ828" s="236">
        <f t="shared" si="752"/>
        <v>32</v>
      </c>
      <c r="BA828" s="236">
        <f t="shared" si="740"/>
        <v>13</v>
      </c>
      <c r="BB828" s="236">
        <f t="shared" si="741"/>
        <v>0</v>
      </c>
      <c r="BC828" s="252" cm="1">
        <f t="array" ref="BC828">K828/IF($L828&gt;0, INDEX($AO$23:$AU$77, $L828+20, $AD828), 1)</f>
        <v>0</v>
      </c>
      <c r="BD828" s="237">
        <f t="shared" si="753"/>
        <v>0</v>
      </c>
      <c r="BE828" s="236">
        <v>35</v>
      </c>
      <c r="BF828" s="237">
        <f t="shared" si="754"/>
        <v>52.55</v>
      </c>
      <c r="BG828" s="253">
        <f t="shared" si="755"/>
        <v>2.7676728869374316</v>
      </c>
      <c r="BH828" s="253" cm="1">
        <f t="array" ref="BH828">$BC828 * SUMPRODUCT(INDEX($AL$77:$AN$82,,$AE828),INDEX($AO$77:$AU$82,,$AD828), N($AK$77:$AK$82&gt;$AI828)) / BG828 / 1000</f>
        <v>0</v>
      </c>
      <c r="BI828" s="250">
        <f t="shared" si="742"/>
        <v>30</v>
      </c>
      <c r="BJ828" s="237">
        <f t="shared" si="756"/>
        <v>46.033333333333331</v>
      </c>
      <c r="BK828" s="253">
        <f t="shared" si="757"/>
        <v>3.2297395388556791</v>
      </c>
      <c r="BL828" s="253" cm="1">
        <f t="array" ref="BL828">$BC828 * IF($AD828&lt;=2,
SUMPRODUCT(INDEX($AL$72:$AN$76,,$AE828), INDEX($AO$72:$AU$76,,$AD828), 1 / ($AV$72:$AV$76*BK828 + (1-$AV$72:$AV$76)*BG828), N($AK$72:$AK$76&gt;$AI828)),
SUMPRODUCT(INDEX($AL$67:$AN$76,,$AE828), INDEX($AO$67:$AU$76,,$AD828), 1 / ($AW$67:$AW$76*BK828 + (1-$AW$67:$AW$76)*BG828), N($AK$67:$AK$76&gt;$AI828))
) / 1000</f>
        <v>0</v>
      </c>
      <c r="BM828" s="250">
        <f t="shared" si="743"/>
        <v>25</v>
      </c>
      <c r="BN828" s="237">
        <f t="shared" si="758"/>
        <v>39.516666666666666</v>
      </c>
      <c r="BO828" s="253">
        <f t="shared" si="759"/>
        <v>3.877011788826243</v>
      </c>
      <c r="BP828" s="253" cm="1">
        <f t="array" ref="BP828">$BC828 * IF($AD828&lt;=2,
SUMPRODUCT(INDEX($AL$67:$AN$71,,$AE828), INDEX($AO$67:$AU$71,,$AD828), 1 / ($AV$67:$AV$71*BO828 + (1-$AV$67:$AV$71)*BK828), N($AK$67:$AK$71&gt;$AI828)),
SUMPRODUCT(INDEX($AL$57:$AN$66,,$AE828), INDEX($AO$57:$AU$66,,$AD828), 1 / ($AW$57:$AW$66*BO828 + (1-$AW$57:$AW$66)*BK828), N($AK$57:$AK$66&gt;$AI828))
) / 1000</f>
        <v>0</v>
      </c>
      <c r="BQ828" s="250">
        <f t="shared" si="744"/>
        <v>20</v>
      </c>
      <c r="BR828" s="237">
        <f t="shared" si="760"/>
        <v>33</v>
      </c>
      <c r="BS828" s="253">
        <f t="shared" si="761"/>
        <v>4.8487499999999999</v>
      </c>
      <c r="BT828" s="253" cm="1">
        <f t="array" ref="BT828">$BC828 * IF($AD828&lt;=2,
SUMPRODUCT(INDEX($AL$62:$AN$66,,$AE828), INDEX($AO$62:$AU$66,,$AD828), 1 / ($AV$62:$AV$66*BS828 + (1-$AV$62:$AV$66)*BO828), N($AK$62:$AK$66&gt;$AI828)),
SUMPRODUCT(INDEX($AL$47:$AN$56,,$AE828), INDEX($AO$47:$AU$56,,$AD828), 1 / ($AW$47:$AW$56*BS828 + (1-$AW$47:$AW$56)*BO828), N($AK$47:$AK$56&gt;$AI828))
) / 1000</f>
        <v>0</v>
      </c>
      <c r="BU828" s="253" cm="1">
        <f t="array" ref="BU828">$BC828 * IF($AD828&lt;=2,
SUMPRODUCT(INDEX($AL$23:$AN$61,,$AE828), INDEX($AO$23:$AU$61,,$AD828), 1 / ($AV$23:$AV$61*BS828), N($AK$23:$AK$61&gt;$AI828)),
SUMPRODUCT(INDEX($AL$23:$AN$46,,$AE828), INDEX($AO$23:$AU$46,,$AD828), 1 / ($AW$23:$AW$46*BS828), N($AK$23:$AK$46&gt;$AI828))
) / 1000</f>
        <v>0</v>
      </c>
      <c r="BV828" s="237">
        <f t="shared" si="762"/>
        <v>0</v>
      </c>
      <c r="BW828" s="210"/>
      <c r="BX828" s="237">
        <f t="shared" si="763"/>
        <v>0</v>
      </c>
      <c r="BY828" s="236">
        <v>35</v>
      </c>
      <c r="BZ828" s="237">
        <f t="shared" si="764"/>
        <v>48</v>
      </c>
      <c r="CA828" s="253">
        <f t="shared" si="765"/>
        <v>3.0748170731707316</v>
      </c>
      <c r="CB828" s="253" cm="1">
        <f t="array" ref="CB828">$BC828 * SUMPRODUCT(INDEX($AL$77:$AN$82,,$AE828),INDEX($AO$77:$AU$82,,$AD828), N($AK$77:$AK$82&gt;$AI828)) / CA828 / 1000</f>
        <v>0</v>
      </c>
      <c r="CC828" s="250">
        <f t="shared" si="745"/>
        <v>30</v>
      </c>
      <c r="CD828" s="237">
        <f t="shared" si="766"/>
        <v>43</v>
      </c>
      <c r="CE828" s="253">
        <f t="shared" si="767"/>
        <v>3.5018750000000001</v>
      </c>
      <c r="CF828" s="253" cm="1">
        <f t="array" ref="CF828">$BC828 * IF($AD828&lt;=2,
SUMPRODUCT(INDEX($AL$72:$AN$76,,$AE828), INDEX($AO$72:$AU$76,,$AD828), 1 / ($AV$72:$AV$76*CE828 + (1-$AV$72:$AV$76)*CA828), N($AK$72:$AK$76&gt;$AI828)),
SUMPRODUCT(INDEX($AL$67:$AN$76,,$AE828), INDEX($AO$67:$AU$76,,$AD828), 1 / ($AW$67:$AW$76*CE828 + (1-$AW$67:$AW$76)*CA828), N($AK$67:$AK$76&gt;$AI828))
) / 1000</f>
        <v>0</v>
      </c>
      <c r="CG828" s="250">
        <f t="shared" si="746"/>
        <v>25</v>
      </c>
      <c r="CH828" s="237">
        <f t="shared" si="768"/>
        <v>38</v>
      </c>
      <c r="CI828" s="253">
        <f t="shared" si="769"/>
        <v>4.0666935483870965</v>
      </c>
      <c r="CJ828" s="253" cm="1">
        <f t="array" ref="CJ828">$BC828 * IF($AD828&lt;=2,
SUMPRODUCT(INDEX($AL$67:$AN$71,,$AE828), INDEX($AO$67:$AU$71,,$AD828), 1 / ($AV$67:$AV$71*CI828 + (1-$AV$67:$AV$71)*CE828), N($AK$67:$AK$71&gt;$AI828)),
SUMPRODUCT(INDEX($AL$57:$AN$66,,$AE828), INDEX($AO$57:$AU$66,,$AD828), 1 / ($AW$57:$AW$66*CI828 + (1-$AW$57:$AW$66)*CE828), N($AK$57:$AK$66&gt;$AI828))
) / 1000</f>
        <v>0</v>
      </c>
      <c r="CK828" s="250">
        <f t="shared" si="747"/>
        <v>20</v>
      </c>
      <c r="CL828" s="237">
        <f t="shared" si="770"/>
        <v>33</v>
      </c>
      <c r="CM828" s="253">
        <f t="shared" si="771"/>
        <v>4.8487499999999999</v>
      </c>
      <c r="CN828" s="253" cm="1">
        <f t="array" ref="CN828">$BC828 * IF($AD828&lt;=2,
SUMPRODUCT(INDEX($AL$62:$AN$66,,$AE828), INDEX($AO$62:$AU$66,,$AD828), 1 / ($AV$62:$AV$66*CM828 + (1-$AV$62:$AV$66)*CI828), N($AK$62:$AK$66&gt;$AI828)),
SUMPRODUCT(INDEX($AL$47:$AN$56,,$AE828), INDEX($AO$47:$AU$56,,$AD828), 1 / ($AW$47:$AW$56*CM828 + (1-$AW$47:$AW$56)*CI828), N($AK$47:$AK$56&gt;$AI828))
) / 1000</f>
        <v>0</v>
      </c>
      <c r="CO828" s="253" cm="1">
        <f t="array" ref="CO828">$BC828 * IF($AD828&lt;=2,
SUMPRODUCT(INDEX($AL$23:$AN$61,,$AE828), INDEX($AO$23:$AU$61,,$AD828), 1 / ($AV$23:$AV$61*CM828), N($AK$23:$AK$61&gt;$AI828)),
SUMPRODUCT(INDEX($AL$23:$AN$46,,$AE828), INDEX($AO$23:$AU$46,,$AD828), 1 / ($AW$23:$AW$46*CM828), N($AK$23:$AK$46&gt;$AI828))
) / 1000</f>
        <v>0</v>
      </c>
      <c r="CP828" s="237">
        <f t="shared" si="772"/>
        <v>0</v>
      </c>
      <c r="CQ828" s="210"/>
    </row>
    <row r="829" spans="1:95" s="76" customFormat="1" ht="14.25" customHeight="1" x14ac:dyDescent="0.2">
      <c r="A829" s="238" t="b">
        <f t="shared" si="739"/>
        <v>0</v>
      </c>
      <c r="B829" s="239">
        <v>807</v>
      </c>
      <c r="C829" s="258"/>
      <c r="D829" s="258"/>
      <c r="E829" s="240"/>
      <c r="F829" s="241" t="str">
        <f>IF(ISBLANK(E829), "", VLOOKUP(E829, Z!$A$2:$C$4127, 3, FALSE))</f>
        <v/>
      </c>
      <c r="G829" s="242"/>
      <c r="H829" s="242"/>
      <c r="I829" s="243"/>
      <c r="J829" s="244"/>
      <c r="K829" s="259"/>
      <c r="L829" s="260"/>
      <c r="M829" s="247" t="str" cm="1">
        <f t="array" ref="M829">IF($K829&gt;0, INDEX(Clean,1+AG829,$C$1), "")</f>
        <v/>
      </c>
      <c r="N829" s="245"/>
      <c r="O829" s="245"/>
      <c r="P829" s="246"/>
      <c r="Q829" s="248">
        <f t="shared" si="749"/>
        <v>0</v>
      </c>
      <c r="R829" s="247" t="str" cm="1">
        <f t="array" ref="R829">IF($K829&gt;0, INDEX(Clean,1+AH829,$C$1), "")</f>
        <v/>
      </c>
      <c r="S829" s="245"/>
      <c r="T829" s="245"/>
      <c r="U829" s="246"/>
      <c r="V829" s="248">
        <f t="shared" si="750"/>
        <v>0</v>
      </c>
      <c r="W829" s="261"/>
      <c r="X829" s="258"/>
      <c r="Y829" s="240"/>
      <c r="Z829" s="241" t="str">
        <f>IF(ISBLANK(Y829), "", VLOOKUP(Y829, Z!$A$2:$C$4127, 3, FALSE))</f>
        <v/>
      </c>
      <c r="AA829" s="262"/>
      <c r="AB829" s="249">
        <f t="shared" si="748"/>
        <v>0</v>
      </c>
      <c r="AC829" s="210"/>
      <c r="AD829" s="236">
        <f t="shared" si="773"/>
        <v>1</v>
      </c>
      <c r="AE829" s="236">
        <f t="shared" si="774"/>
        <v>1</v>
      </c>
      <c r="AF829" s="236">
        <f t="shared" si="775"/>
        <v>0</v>
      </c>
      <c r="AG829" s="236">
        <v>1</v>
      </c>
      <c r="AH829" s="236">
        <v>0</v>
      </c>
      <c r="AI829" s="236">
        <f t="shared" si="751"/>
        <v>-100</v>
      </c>
      <c r="AJ829" s="210"/>
      <c r="AK829" s="254"/>
      <c r="AL829" s="254"/>
      <c r="AM829" s="255"/>
      <c r="AN829" s="255"/>
      <c r="AO829" s="255"/>
      <c r="AP829" s="255"/>
      <c r="AQ829" s="255"/>
      <c r="AR829" s="255"/>
      <c r="AS829" s="255"/>
      <c r="AT829" s="255"/>
      <c r="AU829" s="255"/>
      <c r="AV829" s="255"/>
      <c r="AW829" s="255"/>
      <c r="AX829" s="210"/>
      <c r="AY829" s="236" cm="1">
        <f t="array" ref="AY829">INDEX(Use, $AD829, 4)</f>
        <v>7</v>
      </c>
      <c r="AZ829" s="236">
        <f t="shared" si="752"/>
        <v>32</v>
      </c>
      <c r="BA829" s="236">
        <f t="shared" si="740"/>
        <v>13</v>
      </c>
      <c r="BB829" s="236">
        <f t="shared" si="741"/>
        <v>0</v>
      </c>
      <c r="BC829" s="252" cm="1">
        <f t="array" ref="BC829">K829/IF($L829&gt;0, INDEX($AO$23:$AU$77, $L829+20, $AD829), 1)</f>
        <v>0</v>
      </c>
      <c r="BD829" s="237">
        <f t="shared" si="753"/>
        <v>0</v>
      </c>
      <c r="BE829" s="236">
        <v>35</v>
      </c>
      <c r="BF829" s="237">
        <f t="shared" si="754"/>
        <v>52.55</v>
      </c>
      <c r="BG829" s="253">
        <f t="shared" si="755"/>
        <v>2.7676728869374316</v>
      </c>
      <c r="BH829" s="253" cm="1">
        <f t="array" ref="BH829">$BC829 * SUMPRODUCT(INDEX($AL$77:$AN$82,,$AE829),INDEX($AO$77:$AU$82,,$AD829), N($AK$77:$AK$82&gt;$AI829)) / BG829 / 1000</f>
        <v>0</v>
      </c>
      <c r="BI829" s="250">
        <f t="shared" si="742"/>
        <v>30</v>
      </c>
      <c r="BJ829" s="237">
        <f t="shared" si="756"/>
        <v>46.033333333333331</v>
      </c>
      <c r="BK829" s="253">
        <f t="shared" si="757"/>
        <v>3.2297395388556791</v>
      </c>
      <c r="BL829" s="253" cm="1">
        <f t="array" ref="BL829">$BC829 * IF($AD829&lt;=2,
SUMPRODUCT(INDEX($AL$72:$AN$76,,$AE829), INDEX($AO$72:$AU$76,,$AD829), 1 / ($AV$72:$AV$76*BK829 + (1-$AV$72:$AV$76)*BG829), N($AK$72:$AK$76&gt;$AI829)),
SUMPRODUCT(INDEX($AL$67:$AN$76,,$AE829), INDEX($AO$67:$AU$76,,$AD829), 1 / ($AW$67:$AW$76*BK829 + (1-$AW$67:$AW$76)*BG829), N($AK$67:$AK$76&gt;$AI829))
) / 1000</f>
        <v>0</v>
      </c>
      <c r="BM829" s="250">
        <f t="shared" si="743"/>
        <v>25</v>
      </c>
      <c r="BN829" s="237">
        <f t="shared" si="758"/>
        <v>39.516666666666666</v>
      </c>
      <c r="BO829" s="253">
        <f t="shared" si="759"/>
        <v>3.877011788826243</v>
      </c>
      <c r="BP829" s="253" cm="1">
        <f t="array" ref="BP829">$BC829 * IF($AD829&lt;=2,
SUMPRODUCT(INDEX($AL$67:$AN$71,,$AE829), INDEX($AO$67:$AU$71,,$AD829), 1 / ($AV$67:$AV$71*BO829 + (1-$AV$67:$AV$71)*BK829), N($AK$67:$AK$71&gt;$AI829)),
SUMPRODUCT(INDEX($AL$57:$AN$66,,$AE829), INDEX($AO$57:$AU$66,,$AD829), 1 / ($AW$57:$AW$66*BO829 + (1-$AW$57:$AW$66)*BK829), N($AK$57:$AK$66&gt;$AI829))
) / 1000</f>
        <v>0</v>
      </c>
      <c r="BQ829" s="250">
        <f t="shared" si="744"/>
        <v>20</v>
      </c>
      <c r="BR829" s="237">
        <f t="shared" si="760"/>
        <v>33</v>
      </c>
      <c r="BS829" s="253">
        <f t="shared" si="761"/>
        <v>4.8487499999999999</v>
      </c>
      <c r="BT829" s="253" cm="1">
        <f t="array" ref="BT829">$BC829 * IF($AD829&lt;=2,
SUMPRODUCT(INDEX($AL$62:$AN$66,,$AE829), INDEX($AO$62:$AU$66,,$AD829), 1 / ($AV$62:$AV$66*BS829 + (1-$AV$62:$AV$66)*BO829), N($AK$62:$AK$66&gt;$AI829)),
SUMPRODUCT(INDEX($AL$47:$AN$56,,$AE829), INDEX($AO$47:$AU$56,,$AD829), 1 / ($AW$47:$AW$56*BS829 + (1-$AW$47:$AW$56)*BO829), N($AK$47:$AK$56&gt;$AI829))
) / 1000</f>
        <v>0</v>
      </c>
      <c r="BU829" s="253" cm="1">
        <f t="array" ref="BU829">$BC829 * IF($AD829&lt;=2,
SUMPRODUCT(INDEX($AL$23:$AN$61,,$AE829), INDEX($AO$23:$AU$61,,$AD829), 1 / ($AV$23:$AV$61*BS829), N($AK$23:$AK$61&gt;$AI829)),
SUMPRODUCT(INDEX($AL$23:$AN$46,,$AE829), INDEX($AO$23:$AU$46,,$AD829), 1 / ($AW$23:$AW$46*BS829), N($AK$23:$AK$46&gt;$AI829))
) / 1000</f>
        <v>0</v>
      </c>
      <c r="BV829" s="237">
        <f t="shared" si="762"/>
        <v>0</v>
      </c>
      <c r="BW829" s="210"/>
      <c r="BX829" s="237">
        <f t="shared" si="763"/>
        <v>0</v>
      </c>
      <c r="BY829" s="236">
        <v>35</v>
      </c>
      <c r="BZ829" s="237">
        <f t="shared" si="764"/>
        <v>48</v>
      </c>
      <c r="CA829" s="253">
        <f t="shared" si="765"/>
        <v>3.0748170731707316</v>
      </c>
      <c r="CB829" s="253" cm="1">
        <f t="array" ref="CB829">$BC829 * SUMPRODUCT(INDEX($AL$77:$AN$82,,$AE829),INDEX($AO$77:$AU$82,,$AD829), N($AK$77:$AK$82&gt;$AI829)) / CA829 / 1000</f>
        <v>0</v>
      </c>
      <c r="CC829" s="250">
        <f t="shared" si="745"/>
        <v>30</v>
      </c>
      <c r="CD829" s="237">
        <f t="shared" si="766"/>
        <v>43</v>
      </c>
      <c r="CE829" s="253">
        <f t="shared" si="767"/>
        <v>3.5018750000000001</v>
      </c>
      <c r="CF829" s="253" cm="1">
        <f t="array" ref="CF829">$BC829 * IF($AD829&lt;=2,
SUMPRODUCT(INDEX($AL$72:$AN$76,,$AE829), INDEX($AO$72:$AU$76,,$AD829), 1 / ($AV$72:$AV$76*CE829 + (1-$AV$72:$AV$76)*CA829), N($AK$72:$AK$76&gt;$AI829)),
SUMPRODUCT(INDEX($AL$67:$AN$76,,$AE829), INDEX($AO$67:$AU$76,,$AD829), 1 / ($AW$67:$AW$76*CE829 + (1-$AW$67:$AW$76)*CA829), N($AK$67:$AK$76&gt;$AI829))
) / 1000</f>
        <v>0</v>
      </c>
      <c r="CG829" s="250">
        <f t="shared" si="746"/>
        <v>25</v>
      </c>
      <c r="CH829" s="237">
        <f t="shared" si="768"/>
        <v>38</v>
      </c>
      <c r="CI829" s="253">
        <f t="shared" si="769"/>
        <v>4.0666935483870965</v>
      </c>
      <c r="CJ829" s="253" cm="1">
        <f t="array" ref="CJ829">$BC829 * IF($AD829&lt;=2,
SUMPRODUCT(INDEX($AL$67:$AN$71,,$AE829), INDEX($AO$67:$AU$71,,$AD829), 1 / ($AV$67:$AV$71*CI829 + (1-$AV$67:$AV$71)*CE829), N($AK$67:$AK$71&gt;$AI829)),
SUMPRODUCT(INDEX($AL$57:$AN$66,,$AE829), INDEX($AO$57:$AU$66,,$AD829), 1 / ($AW$57:$AW$66*CI829 + (1-$AW$57:$AW$66)*CE829), N($AK$57:$AK$66&gt;$AI829))
) / 1000</f>
        <v>0</v>
      </c>
      <c r="CK829" s="250">
        <f t="shared" si="747"/>
        <v>20</v>
      </c>
      <c r="CL829" s="237">
        <f t="shared" si="770"/>
        <v>33</v>
      </c>
      <c r="CM829" s="253">
        <f t="shared" si="771"/>
        <v>4.8487499999999999</v>
      </c>
      <c r="CN829" s="253" cm="1">
        <f t="array" ref="CN829">$BC829 * IF($AD829&lt;=2,
SUMPRODUCT(INDEX($AL$62:$AN$66,,$AE829), INDEX($AO$62:$AU$66,,$AD829), 1 / ($AV$62:$AV$66*CM829 + (1-$AV$62:$AV$66)*CI829), N($AK$62:$AK$66&gt;$AI829)),
SUMPRODUCT(INDEX($AL$47:$AN$56,,$AE829), INDEX($AO$47:$AU$56,,$AD829), 1 / ($AW$47:$AW$56*CM829 + (1-$AW$47:$AW$56)*CI829), N($AK$47:$AK$56&gt;$AI829))
) / 1000</f>
        <v>0</v>
      </c>
      <c r="CO829" s="253" cm="1">
        <f t="array" ref="CO829">$BC829 * IF($AD829&lt;=2,
SUMPRODUCT(INDEX($AL$23:$AN$61,,$AE829), INDEX($AO$23:$AU$61,,$AD829), 1 / ($AV$23:$AV$61*CM829), N($AK$23:$AK$61&gt;$AI829)),
SUMPRODUCT(INDEX($AL$23:$AN$46,,$AE829), INDEX($AO$23:$AU$46,,$AD829), 1 / ($AW$23:$AW$46*CM829), N($AK$23:$AK$46&gt;$AI829))
) / 1000</f>
        <v>0</v>
      </c>
      <c r="CP829" s="237">
        <f t="shared" si="772"/>
        <v>0</v>
      </c>
      <c r="CQ829" s="210"/>
    </row>
    <row r="830" spans="1:95" s="76" customFormat="1" ht="14.25" customHeight="1" x14ac:dyDescent="0.2">
      <c r="A830" s="238" t="b">
        <f t="shared" si="739"/>
        <v>0</v>
      </c>
      <c r="B830" s="239">
        <v>808</v>
      </c>
      <c r="C830" s="258"/>
      <c r="D830" s="258"/>
      <c r="E830" s="240"/>
      <c r="F830" s="241" t="str">
        <f>IF(ISBLANK(E830), "", VLOOKUP(E830, Z!$A$2:$C$4127, 3, FALSE))</f>
        <v/>
      </c>
      <c r="G830" s="242"/>
      <c r="H830" s="242"/>
      <c r="I830" s="243"/>
      <c r="J830" s="244"/>
      <c r="K830" s="259"/>
      <c r="L830" s="260"/>
      <c r="M830" s="247" t="str" cm="1">
        <f t="array" ref="M830">IF($K830&gt;0, INDEX(Clean,1+AG830,$C$1), "")</f>
        <v/>
      </c>
      <c r="N830" s="245"/>
      <c r="O830" s="245"/>
      <c r="P830" s="246"/>
      <c r="Q830" s="248">
        <f t="shared" si="749"/>
        <v>0</v>
      </c>
      <c r="R830" s="247" t="str" cm="1">
        <f t="array" ref="R830">IF($K830&gt;0, INDEX(Clean,1+AH830,$C$1), "")</f>
        <v/>
      </c>
      <c r="S830" s="245"/>
      <c r="T830" s="245"/>
      <c r="U830" s="246"/>
      <c r="V830" s="248">
        <f t="shared" si="750"/>
        <v>0</v>
      </c>
      <c r="W830" s="261"/>
      <c r="X830" s="258"/>
      <c r="Y830" s="240"/>
      <c r="Z830" s="241" t="str">
        <f>IF(ISBLANK(Y830), "", VLOOKUP(Y830, Z!$A$2:$C$4127, 3, FALSE))</f>
        <v/>
      </c>
      <c r="AA830" s="262"/>
      <c r="AB830" s="249">
        <f t="shared" si="748"/>
        <v>0</v>
      </c>
      <c r="AC830" s="210"/>
      <c r="AD830" s="236">
        <f t="shared" si="773"/>
        <v>1</v>
      </c>
      <c r="AE830" s="236">
        <f t="shared" si="774"/>
        <v>1</v>
      </c>
      <c r="AF830" s="236">
        <f t="shared" si="775"/>
        <v>0</v>
      </c>
      <c r="AG830" s="236">
        <v>1</v>
      </c>
      <c r="AH830" s="236">
        <v>0</v>
      </c>
      <c r="AI830" s="236">
        <f t="shared" si="751"/>
        <v>-100</v>
      </c>
      <c r="AJ830" s="210"/>
      <c r="AK830" s="254"/>
      <c r="AL830" s="254"/>
      <c r="AM830" s="255"/>
      <c r="AN830" s="255"/>
      <c r="AO830" s="255"/>
      <c r="AP830" s="255"/>
      <c r="AQ830" s="255"/>
      <c r="AR830" s="255"/>
      <c r="AS830" s="255"/>
      <c r="AT830" s="255"/>
      <c r="AU830" s="255"/>
      <c r="AV830" s="255"/>
      <c r="AW830" s="255"/>
      <c r="AX830" s="210"/>
      <c r="AY830" s="236" cm="1">
        <f t="array" ref="AY830">INDEX(Use, $AD830, 4)</f>
        <v>7</v>
      </c>
      <c r="AZ830" s="236">
        <f t="shared" si="752"/>
        <v>32</v>
      </c>
      <c r="BA830" s="236">
        <f t="shared" si="740"/>
        <v>13</v>
      </c>
      <c r="BB830" s="236">
        <f t="shared" si="741"/>
        <v>0</v>
      </c>
      <c r="BC830" s="252" cm="1">
        <f t="array" ref="BC830">K830/IF($L830&gt;0, INDEX($AO$23:$AU$77, $L830+20, $AD830), 1)</f>
        <v>0</v>
      </c>
      <c r="BD830" s="237">
        <f t="shared" si="753"/>
        <v>0</v>
      </c>
      <c r="BE830" s="236">
        <v>35</v>
      </c>
      <c r="BF830" s="237">
        <f t="shared" si="754"/>
        <v>52.55</v>
      </c>
      <c r="BG830" s="253">
        <f t="shared" si="755"/>
        <v>2.7676728869374316</v>
      </c>
      <c r="BH830" s="253" cm="1">
        <f t="array" ref="BH830">$BC830 * SUMPRODUCT(INDEX($AL$77:$AN$82,,$AE830),INDEX($AO$77:$AU$82,,$AD830), N($AK$77:$AK$82&gt;$AI830)) / BG830 / 1000</f>
        <v>0</v>
      </c>
      <c r="BI830" s="250">
        <f t="shared" si="742"/>
        <v>30</v>
      </c>
      <c r="BJ830" s="237">
        <f t="shared" si="756"/>
        <v>46.033333333333331</v>
      </c>
      <c r="BK830" s="253">
        <f t="shared" si="757"/>
        <v>3.2297395388556791</v>
      </c>
      <c r="BL830" s="253" cm="1">
        <f t="array" ref="BL830">$BC830 * IF($AD830&lt;=2,
SUMPRODUCT(INDEX($AL$72:$AN$76,,$AE830), INDEX($AO$72:$AU$76,,$AD830), 1 / ($AV$72:$AV$76*BK830 + (1-$AV$72:$AV$76)*BG830), N($AK$72:$AK$76&gt;$AI830)),
SUMPRODUCT(INDEX($AL$67:$AN$76,,$AE830), INDEX($AO$67:$AU$76,,$AD830), 1 / ($AW$67:$AW$76*BK830 + (1-$AW$67:$AW$76)*BG830), N($AK$67:$AK$76&gt;$AI830))
) / 1000</f>
        <v>0</v>
      </c>
      <c r="BM830" s="250">
        <f t="shared" si="743"/>
        <v>25</v>
      </c>
      <c r="BN830" s="237">
        <f t="shared" si="758"/>
        <v>39.516666666666666</v>
      </c>
      <c r="BO830" s="253">
        <f t="shared" si="759"/>
        <v>3.877011788826243</v>
      </c>
      <c r="BP830" s="253" cm="1">
        <f t="array" ref="BP830">$BC830 * IF($AD830&lt;=2,
SUMPRODUCT(INDEX($AL$67:$AN$71,,$AE830), INDEX($AO$67:$AU$71,,$AD830), 1 / ($AV$67:$AV$71*BO830 + (1-$AV$67:$AV$71)*BK830), N($AK$67:$AK$71&gt;$AI830)),
SUMPRODUCT(INDEX($AL$57:$AN$66,,$AE830), INDEX($AO$57:$AU$66,,$AD830), 1 / ($AW$57:$AW$66*BO830 + (1-$AW$57:$AW$66)*BK830), N($AK$57:$AK$66&gt;$AI830))
) / 1000</f>
        <v>0</v>
      </c>
      <c r="BQ830" s="250">
        <f t="shared" si="744"/>
        <v>20</v>
      </c>
      <c r="BR830" s="237">
        <f t="shared" si="760"/>
        <v>33</v>
      </c>
      <c r="BS830" s="253">
        <f t="shared" si="761"/>
        <v>4.8487499999999999</v>
      </c>
      <c r="BT830" s="253" cm="1">
        <f t="array" ref="BT830">$BC830 * IF($AD830&lt;=2,
SUMPRODUCT(INDEX($AL$62:$AN$66,,$AE830), INDEX($AO$62:$AU$66,,$AD830), 1 / ($AV$62:$AV$66*BS830 + (1-$AV$62:$AV$66)*BO830), N($AK$62:$AK$66&gt;$AI830)),
SUMPRODUCT(INDEX($AL$47:$AN$56,,$AE830), INDEX($AO$47:$AU$56,,$AD830), 1 / ($AW$47:$AW$56*BS830 + (1-$AW$47:$AW$56)*BO830), N($AK$47:$AK$56&gt;$AI830))
) / 1000</f>
        <v>0</v>
      </c>
      <c r="BU830" s="253" cm="1">
        <f t="array" ref="BU830">$BC830 * IF($AD830&lt;=2,
SUMPRODUCT(INDEX($AL$23:$AN$61,,$AE830), INDEX($AO$23:$AU$61,,$AD830), 1 / ($AV$23:$AV$61*BS830), N($AK$23:$AK$61&gt;$AI830)),
SUMPRODUCT(INDEX($AL$23:$AN$46,,$AE830), INDEX($AO$23:$AU$46,,$AD830), 1 / ($AW$23:$AW$46*BS830), N($AK$23:$AK$46&gt;$AI830))
) / 1000</f>
        <v>0</v>
      </c>
      <c r="BV830" s="237">
        <f t="shared" si="762"/>
        <v>0</v>
      </c>
      <c r="BW830" s="210"/>
      <c r="BX830" s="237">
        <f t="shared" si="763"/>
        <v>0</v>
      </c>
      <c r="BY830" s="236">
        <v>35</v>
      </c>
      <c r="BZ830" s="237">
        <f t="shared" si="764"/>
        <v>48</v>
      </c>
      <c r="CA830" s="253">
        <f t="shared" si="765"/>
        <v>3.0748170731707316</v>
      </c>
      <c r="CB830" s="253" cm="1">
        <f t="array" ref="CB830">$BC830 * SUMPRODUCT(INDEX($AL$77:$AN$82,,$AE830),INDEX($AO$77:$AU$82,,$AD830), N($AK$77:$AK$82&gt;$AI830)) / CA830 / 1000</f>
        <v>0</v>
      </c>
      <c r="CC830" s="250">
        <f t="shared" si="745"/>
        <v>30</v>
      </c>
      <c r="CD830" s="237">
        <f t="shared" si="766"/>
        <v>43</v>
      </c>
      <c r="CE830" s="253">
        <f t="shared" si="767"/>
        <v>3.5018750000000001</v>
      </c>
      <c r="CF830" s="253" cm="1">
        <f t="array" ref="CF830">$BC830 * IF($AD830&lt;=2,
SUMPRODUCT(INDEX($AL$72:$AN$76,,$AE830), INDEX($AO$72:$AU$76,,$AD830), 1 / ($AV$72:$AV$76*CE830 + (1-$AV$72:$AV$76)*CA830), N($AK$72:$AK$76&gt;$AI830)),
SUMPRODUCT(INDEX($AL$67:$AN$76,,$AE830), INDEX($AO$67:$AU$76,,$AD830), 1 / ($AW$67:$AW$76*CE830 + (1-$AW$67:$AW$76)*CA830), N($AK$67:$AK$76&gt;$AI830))
) / 1000</f>
        <v>0</v>
      </c>
      <c r="CG830" s="250">
        <f t="shared" si="746"/>
        <v>25</v>
      </c>
      <c r="CH830" s="237">
        <f t="shared" si="768"/>
        <v>38</v>
      </c>
      <c r="CI830" s="253">
        <f t="shared" si="769"/>
        <v>4.0666935483870965</v>
      </c>
      <c r="CJ830" s="253" cm="1">
        <f t="array" ref="CJ830">$BC830 * IF($AD830&lt;=2,
SUMPRODUCT(INDEX($AL$67:$AN$71,,$AE830), INDEX($AO$67:$AU$71,,$AD830), 1 / ($AV$67:$AV$71*CI830 + (1-$AV$67:$AV$71)*CE830), N($AK$67:$AK$71&gt;$AI830)),
SUMPRODUCT(INDEX($AL$57:$AN$66,,$AE830), INDEX($AO$57:$AU$66,,$AD830), 1 / ($AW$57:$AW$66*CI830 + (1-$AW$57:$AW$66)*CE830), N($AK$57:$AK$66&gt;$AI830))
) / 1000</f>
        <v>0</v>
      </c>
      <c r="CK830" s="250">
        <f t="shared" si="747"/>
        <v>20</v>
      </c>
      <c r="CL830" s="237">
        <f t="shared" si="770"/>
        <v>33</v>
      </c>
      <c r="CM830" s="253">
        <f t="shared" si="771"/>
        <v>4.8487499999999999</v>
      </c>
      <c r="CN830" s="253" cm="1">
        <f t="array" ref="CN830">$BC830 * IF($AD830&lt;=2,
SUMPRODUCT(INDEX($AL$62:$AN$66,,$AE830), INDEX($AO$62:$AU$66,,$AD830), 1 / ($AV$62:$AV$66*CM830 + (1-$AV$62:$AV$66)*CI830), N($AK$62:$AK$66&gt;$AI830)),
SUMPRODUCT(INDEX($AL$47:$AN$56,,$AE830), INDEX($AO$47:$AU$56,,$AD830), 1 / ($AW$47:$AW$56*CM830 + (1-$AW$47:$AW$56)*CI830), N($AK$47:$AK$56&gt;$AI830))
) / 1000</f>
        <v>0</v>
      </c>
      <c r="CO830" s="253" cm="1">
        <f t="array" ref="CO830">$BC830 * IF($AD830&lt;=2,
SUMPRODUCT(INDEX($AL$23:$AN$61,,$AE830), INDEX($AO$23:$AU$61,,$AD830), 1 / ($AV$23:$AV$61*CM830), N($AK$23:$AK$61&gt;$AI830)),
SUMPRODUCT(INDEX($AL$23:$AN$46,,$AE830), INDEX($AO$23:$AU$46,,$AD830), 1 / ($AW$23:$AW$46*CM830), N($AK$23:$AK$46&gt;$AI830))
) / 1000</f>
        <v>0</v>
      </c>
      <c r="CP830" s="237">
        <f t="shared" si="772"/>
        <v>0</v>
      </c>
      <c r="CQ830" s="210"/>
    </row>
    <row r="831" spans="1:95" s="76" customFormat="1" ht="14.25" customHeight="1" x14ac:dyDescent="0.2">
      <c r="A831" s="238" t="b">
        <f t="shared" si="739"/>
        <v>0</v>
      </c>
      <c r="B831" s="239">
        <v>809</v>
      </c>
      <c r="C831" s="258"/>
      <c r="D831" s="258"/>
      <c r="E831" s="240"/>
      <c r="F831" s="241" t="str">
        <f>IF(ISBLANK(E831), "", VLOOKUP(E831, Z!$A$2:$C$4127, 3, FALSE))</f>
        <v/>
      </c>
      <c r="G831" s="242"/>
      <c r="H831" s="242"/>
      <c r="I831" s="243"/>
      <c r="J831" s="244"/>
      <c r="K831" s="259"/>
      <c r="L831" s="260"/>
      <c r="M831" s="247" t="str" cm="1">
        <f t="array" ref="M831">IF($K831&gt;0, INDEX(Clean,1+AG831,$C$1), "")</f>
        <v/>
      </c>
      <c r="N831" s="245"/>
      <c r="O831" s="245"/>
      <c r="P831" s="246"/>
      <c r="Q831" s="248">
        <f t="shared" si="749"/>
        <v>0</v>
      </c>
      <c r="R831" s="247" t="str" cm="1">
        <f t="array" ref="R831">IF($K831&gt;0, INDEX(Clean,1+AH831,$C$1), "")</f>
        <v/>
      </c>
      <c r="S831" s="245"/>
      <c r="T831" s="245"/>
      <c r="U831" s="246"/>
      <c r="V831" s="248">
        <f t="shared" si="750"/>
        <v>0</v>
      </c>
      <c r="W831" s="261"/>
      <c r="X831" s="258"/>
      <c r="Y831" s="240"/>
      <c r="Z831" s="241" t="str">
        <f>IF(ISBLANK(Y831), "", VLOOKUP(Y831, Z!$A$2:$C$4127, 3, FALSE))</f>
        <v/>
      </c>
      <c r="AA831" s="262"/>
      <c r="AB831" s="249">
        <f t="shared" si="748"/>
        <v>0</v>
      </c>
      <c r="AC831" s="210"/>
      <c r="AD831" s="236">
        <f t="shared" si="773"/>
        <v>1</v>
      </c>
      <c r="AE831" s="236">
        <f t="shared" si="774"/>
        <v>1</v>
      </c>
      <c r="AF831" s="236">
        <f t="shared" si="775"/>
        <v>0</v>
      </c>
      <c r="AG831" s="236">
        <v>1</v>
      </c>
      <c r="AH831" s="236">
        <v>0</v>
      </c>
      <c r="AI831" s="236">
        <f t="shared" si="751"/>
        <v>-100</v>
      </c>
      <c r="AJ831" s="210"/>
      <c r="AK831" s="254"/>
      <c r="AL831" s="254"/>
      <c r="AM831" s="255"/>
      <c r="AN831" s="255"/>
      <c r="AO831" s="255"/>
      <c r="AP831" s="255"/>
      <c r="AQ831" s="255"/>
      <c r="AR831" s="255"/>
      <c r="AS831" s="255"/>
      <c r="AT831" s="255"/>
      <c r="AU831" s="255"/>
      <c r="AV831" s="255"/>
      <c r="AW831" s="255"/>
      <c r="AX831" s="210"/>
      <c r="AY831" s="236" cm="1">
        <f t="array" ref="AY831">INDEX(Use, $AD831, 4)</f>
        <v>7</v>
      </c>
      <c r="AZ831" s="236">
        <f t="shared" si="752"/>
        <v>32</v>
      </c>
      <c r="BA831" s="236">
        <f t="shared" si="740"/>
        <v>13</v>
      </c>
      <c r="BB831" s="236">
        <f t="shared" si="741"/>
        <v>0</v>
      </c>
      <c r="BC831" s="252" cm="1">
        <f t="array" ref="BC831">K831/IF($L831&gt;0, INDEX($AO$23:$AU$77, $L831+20, $AD831), 1)</f>
        <v>0</v>
      </c>
      <c r="BD831" s="237">
        <f t="shared" si="753"/>
        <v>0</v>
      </c>
      <c r="BE831" s="236">
        <v>35</v>
      </c>
      <c r="BF831" s="237">
        <f t="shared" si="754"/>
        <v>52.55</v>
      </c>
      <c r="BG831" s="253">
        <f t="shared" si="755"/>
        <v>2.7676728869374316</v>
      </c>
      <c r="BH831" s="253" cm="1">
        <f t="array" ref="BH831">$BC831 * SUMPRODUCT(INDEX($AL$77:$AN$82,,$AE831),INDEX($AO$77:$AU$82,,$AD831), N($AK$77:$AK$82&gt;$AI831)) / BG831 / 1000</f>
        <v>0</v>
      </c>
      <c r="BI831" s="250">
        <f t="shared" si="742"/>
        <v>30</v>
      </c>
      <c r="BJ831" s="237">
        <f t="shared" si="756"/>
        <v>46.033333333333331</v>
      </c>
      <c r="BK831" s="253">
        <f t="shared" si="757"/>
        <v>3.2297395388556791</v>
      </c>
      <c r="BL831" s="253" cm="1">
        <f t="array" ref="BL831">$BC831 * IF($AD831&lt;=2,
SUMPRODUCT(INDEX($AL$72:$AN$76,,$AE831), INDEX($AO$72:$AU$76,,$AD831), 1 / ($AV$72:$AV$76*BK831 + (1-$AV$72:$AV$76)*BG831), N($AK$72:$AK$76&gt;$AI831)),
SUMPRODUCT(INDEX($AL$67:$AN$76,,$AE831), INDEX($AO$67:$AU$76,,$AD831), 1 / ($AW$67:$AW$76*BK831 + (1-$AW$67:$AW$76)*BG831), N($AK$67:$AK$76&gt;$AI831))
) / 1000</f>
        <v>0</v>
      </c>
      <c r="BM831" s="250">
        <f t="shared" si="743"/>
        <v>25</v>
      </c>
      <c r="BN831" s="237">
        <f t="shared" si="758"/>
        <v>39.516666666666666</v>
      </c>
      <c r="BO831" s="253">
        <f t="shared" si="759"/>
        <v>3.877011788826243</v>
      </c>
      <c r="BP831" s="253" cm="1">
        <f t="array" ref="BP831">$BC831 * IF($AD831&lt;=2,
SUMPRODUCT(INDEX($AL$67:$AN$71,,$AE831), INDEX($AO$67:$AU$71,,$AD831), 1 / ($AV$67:$AV$71*BO831 + (1-$AV$67:$AV$71)*BK831), N($AK$67:$AK$71&gt;$AI831)),
SUMPRODUCT(INDEX($AL$57:$AN$66,,$AE831), INDEX($AO$57:$AU$66,,$AD831), 1 / ($AW$57:$AW$66*BO831 + (1-$AW$57:$AW$66)*BK831), N($AK$57:$AK$66&gt;$AI831))
) / 1000</f>
        <v>0</v>
      </c>
      <c r="BQ831" s="250">
        <f t="shared" si="744"/>
        <v>20</v>
      </c>
      <c r="BR831" s="237">
        <f t="shared" si="760"/>
        <v>33</v>
      </c>
      <c r="BS831" s="253">
        <f t="shared" si="761"/>
        <v>4.8487499999999999</v>
      </c>
      <c r="BT831" s="253" cm="1">
        <f t="array" ref="BT831">$BC831 * IF($AD831&lt;=2,
SUMPRODUCT(INDEX($AL$62:$AN$66,,$AE831), INDEX($AO$62:$AU$66,,$AD831), 1 / ($AV$62:$AV$66*BS831 + (1-$AV$62:$AV$66)*BO831), N($AK$62:$AK$66&gt;$AI831)),
SUMPRODUCT(INDEX($AL$47:$AN$56,,$AE831), INDEX($AO$47:$AU$56,,$AD831), 1 / ($AW$47:$AW$56*BS831 + (1-$AW$47:$AW$56)*BO831), N($AK$47:$AK$56&gt;$AI831))
) / 1000</f>
        <v>0</v>
      </c>
      <c r="BU831" s="253" cm="1">
        <f t="array" ref="BU831">$BC831 * IF($AD831&lt;=2,
SUMPRODUCT(INDEX($AL$23:$AN$61,,$AE831), INDEX($AO$23:$AU$61,,$AD831), 1 / ($AV$23:$AV$61*BS831), N($AK$23:$AK$61&gt;$AI831)),
SUMPRODUCT(INDEX($AL$23:$AN$46,,$AE831), INDEX($AO$23:$AU$46,,$AD831), 1 / ($AW$23:$AW$46*BS831), N($AK$23:$AK$46&gt;$AI831))
) / 1000</f>
        <v>0</v>
      </c>
      <c r="BV831" s="237">
        <f t="shared" si="762"/>
        <v>0</v>
      </c>
      <c r="BW831" s="210"/>
      <c r="BX831" s="237">
        <f t="shared" si="763"/>
        <v>0</v>
      </c>
      <c r="BY831" s="236">
        <v>35</v>
      </c>
      <c r="BZ831" s="237">
        <f t="shared" si="764"/>
        <v>48</v>
      </c>
      <c r="CA831" s="253">
        <f t="shared" si="765"/>
        <v>3.0748170731707316</v>
      </c>
      <c r="CB831" s="253" cm="1">
        <f t="array" ref="CB831">$BC831 * SUMPRODUCT(INDEX($AL$77:$AN$82,,$AE831),INDEX($AO$77:$AU$82,,$AD831), N($AK$77:$AK$82&gt;$AI831)) / CA831 / 1000</f>
        <v>0</v>
      </c>
      <c r="CC831" s="250">
        <f t="shared" si="745"/>
        <v>30</v>
      </c>
      <c r="CD831" s="237">
        <f t="shared" si="766"/>
        <v>43</v>
      </c>
      <c r="CE831" s="253">
        <f t="shared" si="767"/>
        <v>3.5018750000000001</v>
      </c>
      <c r="CF831" s="253" cm="1">
        <f t="array" ref="CF831">$BC831 * IF($AD831&lt;=2,
SUMPRODUCT(INDEX($AL$72:$AN$76,,$AE831), INDEX($AO$72:$AU$76,,$AD831), 1 / ($AV$72:$AV$76*CE831 + (1-$AV$72:$AV$76)*CA831), N($AK$72:$AK$76&gt;$AI831)),
SUMPRODUCT(INDEX($AL$67:$AN$76,,$AE831), INDEX($AO$67:$AU$76,,$AD831), 1 / ($AW$67:$AW$76*CE831 + (1-$AW$67:$AW$76)*CA831), N($AK$67:$AK$76&gt;$AI831))
) / 1000</f>
        <v>0</v>
      </c>
      <c r="CG831" s="250">
        <f t="shared" si="746"/>
        <v>25</v>
      </c>
      <c r="CH831" s="237">
        <f t="shared" si="768"/>
        <v>38</v>
      </c>
      <c r="CI831" s="253">
        <f t="shared" si="769"/>
        <v>4.0666935483870965</v>
      </c>
      <c r="CJ831" s="253" cm="1">
        <f t="array" ref="CJ831">$BC831 * IF($AD831&lt;=2,
SUMPRODUCT(INDEX($AL$67:$AN$71,,$AE831), INDEX($AO$67:$AU$71,,$AD831), 1 / ($AV$67:$AV$71*CI831 + (1-$AV$67:$AV$71)*CE831), N($AK$67:$AK$71&gt;$AI831)),
SUMPRODUCT(INDEX($AL$57:$AN$66,,$AE831), INDEX($AO$57:$AU$66,,$AD831), 1 / ($AW$57:$AW$66*CI831 + (1-$AW$57:$AW$66)*CE831), N($AK$57:$AK$66&gt;$AI831))
) / 1000</f>
        <v>0</v>
      </c>
      <c r="CK831" s="250">
        <f t="shared" si="747"/>
        <v>20</v>
      </c>
      <c r="CL831" s="237">
        <f t="shared" si="770"/>
        <v>33</v>
      </c>
      <c r="CM831" s="253">
        <f t="shared" si="771"/>
        <v>4.8487499999999999</v>
      </c>
      <c r="CN831" s="253" cm="1">
        <f t="array" ref="CN831">$BC831 * IF($AD831&lt;=2,
SUMPRODUCT(INDEX($AL$62:$AN$66,,$AE831), INDEX($AO$62:$AU$66,,$AD831), 1 / ($AV$62:$AV$66*CM831 + (1-$AV$62:$AV$66)*CI831), N($AK$62:$AK$66&gt;$AI831)),
SUMPRODUCT(INDEX($AL$47:$AN$56,,$AE831), INDEX($AO$47:$AU$56,,$AD831), 1 / ($AW$47:$AW$56*CM831 + (1-$AW$47:$AW$56)*CI831), N($AK$47:$AK$56&gt;$AI831))
) / 1000</f>
        <v>0</v>
      </c>
      <c r="CO831" s="253" cm="1">
        <f t="array" ref="CO831">$BC831 * IF($AD831&lt;=2,
SUMPRODUCT(INDEX($AL$23:$AN$61,,$AE831), INDEX($AO$23:$AU$61,,$AD831), 1 / ($AV$23:$AV$61*CM831), N($AK$23:$AK$61&gt;$AI831)),
SUMPRODUCT(INDEX($AL$23:$AN$46,,$AE831), INDEX($AO$23:$AU$46,,$AD831), 1 / ($AW$23:$AW$46*CM831), N($AK$23:$AK$46&gt;$AI831))
) / 1000</f>
        <v>0</v>
      </c>
      <c r="CP831" s="237">
        <f t="shared" si="772"/>
        <v>0</v>
      </c>
      <c r="CQ831" s="210"/>
    </row>
    <row r="832" spans="1:95" s="76" customFormat="1" ht="14.25" customHeight="1" x14ac:dyDescent="0.2">
      <c r="A832" s="238" t="b">
        <f t="shared" si="739"/>
        <v>0</v>
      </c>
      <c r="B832" s="239">
        <v>810</v>
      </c>
      <c r="C832" s="258"/>
      <c r="D832" s="258"/>
      <c r="E832" s="240"/>
      <c r="F832" s="241" t="str">
        <f>IF(ISBLANK(E832), "", VLOOKUP(E832, Z!$A$2:$C$4127, 3, FALSE))</f>
        <v/>
      </c>
      <c r="G832" s="242"/>
      <c r="H832" s="242"/>
      <c r="I832" s="243"/>
      <c r="J832" s="244"/>
      <c r="K832" s="259"/>
      <c r="L832" s="260"/>
      <c r="M832" s="247" t="str" cm="1">
        <f t="array" ref="M832">IF($K832&gt;0, INDEX(Clean,1+AG832,$C$1), "")</f>
        <v/>
      </c>
      <c r="N832" s="245"/>
      <c r="O832" s="245"/>
      <c r="P832" s="246"/>
      <c r="Q832" s="248">
        <f t="shared" si="749"/>
        <v>0</v>
      </c>
      <c r="R832" s="247" t="str" cm="1">
        <f t="array" ref="R832">IF($K832&gt;0, INDEX(Clean,1+AH832,$C$1), "")</f>
        <v/>
      </c>
      <c r="S832" s="245"/>
      <c r="T832" s="245"/>
      <c r="U832" s="246"/>
      <c r="V832" s="248">
        <f t="shared" si="750"/>
        <v>0</v>
      </c>
      <c r="W832" s="261"/>
      <c r="X832" s="258"/>
      <c r="Y832" s="240"/>
      <c r="Z832" s="241" t="str">
        <f>IF(ISBLANK(Y832), "", VLOOKUP(Y832, Z!$A$2:$C$4127, 3, FALSE))</f>
        <v/>
      </c>
      <c r="AA832" s="262"/>
      <c r="AB832" s="249">
        <f t="shared" si="748"/>
        <v>0</v>
      </c>
      <c r="AC832" s="210"/>
      <c r="AD832" s="236">
        <f t="shared" si="773"/>
        <v>1</v>
      </c>
      <c r="AE832" s="236">
        <f t="shared" si="774"/>
        <v>1</v>
      </c>
      <c r="AF832" s="236">
        <f t="shared" si="775"/>
        <v>0</v>
      </c>
      <c r="AG832" s="236">
        <v>1</v>
      </c>
      <c r="AH832" s="236">
        <v>0</v>
      </c>
      <c r="AI832" s="236">
        <f t="shared" si="751"/>
        <v>-100</v>
      </c>
      <c r="AJ832" s="210"/>
      <c r="AK832" s="254"/>
      <c r="AL832" s="254"/>
      <c r="AM832" s="255"/>
      <c r="AN832" s="255"/>
      <c r="AO832" s="255"/>
      <c r="AP832" s="255"/>
      <c r="AQ832" s="255"/>
      <c r="AR832" s="255"/>
      <c r="AS832" s="255"/>
      <c r="AT832" s="255"/>
      <c r="AU832" s="255"/>
      <c r="AV832" s="255"/>
      <c r="AW832" s="255"/>
      <c r="AX832" s="210"/>
      <c r="AY832" s="236" cm="1">
        <f t="array" ref="AY832">INDEX(Use, $AD832, 4)</f>
        <v>7</v>
      </c>
      <c r="AZ832" s="236">
        <f t="shared" si="752"/>
        <v>32</v>
      </c>
      <c r="BA832" s="236">
        <f t="shared" si="740"/>
        <v>13</v>
      </c>
      <c r="BB832" s="236">
        <f t="shared" si="741"/>
        <v>0</v>
      </c>
      <c r="BC832" s="252" cm="1">
        <f t="array" ref="BC832">K832/IF($L832&gt;0, INDEX($AO$23:$AU$77, $L832+20, $AD832), 1)</f>
        <v>0</v>
      </c>
      <c r="BD832" s="237">
        <f t="shared" si="753"/>
        <v>0</v>
      </c>
      <c r="BE832" s="236">
        <v>35</v>
      </c>
      <c r="BF832" s="237">
        <f t="shared" si="754"/>
        <v>52.55</v>
      </c>
      <c r="BG832" s="253">
        <f t="shared" si="755"/>
        <v>2.7676728869374316</v>
      </c>
      <c r="BH832" s="253" cm="1">
        <f t="array" ref="BH832">$BC832 * SUMPRODUCT(INDEX($AL$77:$AN$82,,$AE832),INDEX($AO$77:$AU$82,,$AD832), N($AK$77:$AK$82&gt;$AI832)) / BG832 / 1000</f>
        <v>0</v>
      </c>
      <c r="BI832" s="250">
        <f t="shared" si="742"/>
        <v>30</v>
      </c>
      <c r="BJ832" s="237">
        <f t="shared" si="756"/>
        <v>46.033333333333331</v>
      </c>
      <c r="BK832" s="253">
        <f t="shared" si="757"/>
        <v>3.2297395388556791</v>
      </c>
      <c r="BL832" s="253" cm="1">
        <f t="array" ref="BL832">$BC832 * IF($AD832&lt;=2,
SUMPRODUCT(INDEX($AL$72:$AN$76,,$AE832), INDEX($AO$72:$AU$76,,$AD832), 1 / ($AV$72:$AV$76*BK832 + (1-$AV$72:$AV$76)*BG832), N($AK$72:$AK$76&gt;$AI832)),
SUMPRODUCT(INDEX($AL$67:$AN$76,,$AE832), INDEX($AO$67:$AU$76,,$AD832), 1 / ($AW$67:$AW$76*BK832 + (1-$AW$67:$AW$76)*BG832), N($AK$67:$AK$76&gt;$AI832))
) / 1000</f>
        <v>0</v>
      </c>
      <c r="BM832" s="250">
        <f t="shared" si="743"/>
        <v>25</v>
      </c>
      <c r="BN832" s="237">
        <f t="shared" si="758"/>
        <v>39.516666666666666</v>
      </c>
      <c r="BO832" s="253">
        <f t="shared" si="759"/>
        <v>3.877011788826243</v>
      </c>
      <c r="BP832" s="253" cm="1">
        <f t="array" ref="BP832">$BC832 * IF($AD832&lt;=2,
SUMPRODUCT(INDEX($AL$67:$AN$71,,$AE832), INDEX($AO$67:$AU$71,,$AD832), 1 / ($AV$67:$AV$71*BO832 + (1-$AV$67:$AV$71)*BK832), N($AK$67:$AK$71&gt;$AI832)),
SUMPRODUCT(INDEX($AL$57:$AN$66,,$AE832), INDEX($AO$57:$AU$66,,$AD832), 1 / ($AW$57:$AW$66*BO832 + (1-$AW$57:$AW$66)*BK832), N($AK$57:$AK$66&gt;$AI832))
) / 1000</f>
        <v>0</v>
      </c>
      <c r="BQ832" s="250">
        <f t="shared" si="744"/>
        <v>20</v>
      </c>
      <c r="BR832" s="237">
        <f t="shared" si="760"/>
        <v>33</v>
      </c>
      <c r="BS832" s="253">
        <f t="shared" si="761"/>
        <v>4.8487499999999999</v>
      </c>
      <c r="BT832" s="253" cm="1">
        <f t="array" ref="BT832">$BC832 * IF($AD832&lt;=2,
SUMPRODUCT(INDEX($AL$62:$AN$66,,$AE832), INDEX($AO$62:$AU$66,,$AD832), 1 / ($AV$62:$AV$66*BS832 + (1-$AV$62:$AV$66)*BO832), N($AK$62:$AK$66&gt;$AI832)),
SUMPRODUCT(INDEX($AL$47:$AN$56,,$AE832), INDEX($AO$47:$AU$56,,$AD832), 1 / ($AW$47:$AW$56*BS832 + (1-$AW$47:$AW$56)*BO832), N($AK$47:$AK$56&gt;$AI832))
) / 1000</f>
        <v>0</v>
      </c>
      <c r="BU832" s="253" cm="1">
        <f t="array" ref="BU832">$BC832 * IF($AD832&lt;=2,
SUMPRODUCT(INDEX($AL$23:$AN$61,,$AE832), INDEX($AO$23:$AU$61,,$AD832), 1 / ($AV$23:$AV$61*BS832), N($AK$23:$AK$61&gt;$AI832)),
SUMPRODUCT(INDEX($AL$23:$AN$46,,$AE832), INDEX($AO$23:$AU$46,,$AD832), 1 / ($AW$23:$AW$46*BS832), N($AK$23:$AK$46&gt;$AI832))
) / 1000</f>
        <v>0</v>
      </c>
      <c r="BV832" s="237">
        <f t="shared" si="762"/>
        <v>0</v>
      </c>
      <c r="BW832" s="210"/>
      <c r="BX832" s="237">
        <f t="shared" si="763"/>
        <v>0</v>
      </c>
      <c r="BY832" s="236">
        <v>35</v>
      </c>
      <c r="BZ832" s="237">
        <f t="shared" si="764"/>
        <v>48</v>
      </c>
      <c r="CA832" s="253">
        <f t="shared" si="765"/>
        <v>3.0748170731707316</v>
      </c>
      <c r="CB832" s="253" cm="1">
        <f t="array" ref="CB832">$BC832 * SUMPRODUCT(INDEX($AL$77:$AN$82,,$AE832),INDEX($AO$77:$AU$82,,$AD832), N($AK$77:$AK$82&gt;$AI832)) / CA832 / 1000</f>
        <v>0</v>
      </c>
      <c r="CC832" s="250">
        <f t="shared" si="745"/>
        <v>30</v>
      </c>
      <c r="CD832" s="237">
        <f t="shared" si="766"/>
        <v>43</v>
      </c>
      <c r="CE832" s="253">
        <f t="shared" si="767"/>
        <v>3.5018750000000001</v>
      </c>
      <c r="CF832" s="253" cm="1">
        <f t="array" ref="CF832">$BC832 * IF($AD832&lt;=2,
SUMPRODUCT(INDEX($AL$72:$AN$76,,$AE832), INDEX($AO$72:$AU$76,,$AD832), 1 / ($AV$72:$AV$76*CE832 + (1-$AV$72:$AV$76)*CA832), N($AK$72:$AK$76&gt;$AI832)),
SUMPRODUCT(INDEX($AL$67:$AN$76,,$AE832), INDEX($AO$67:$AU$76,,$AD832), 1 / ($AW$67:$AW$76*CE832 + (1-$AW$67:$AW$76)*CA832), N($AK$67:$AK$76&gt;$AI832))
) / 1000</f>
        <v>0</v>
      </c>
      <c r="CG832" s="250">
        <f t="shared" si="746"/>
        <v>25</v>
      </c>
      <c r="CH832" s="237">
        <f t="shared" si="768"/>
        <v>38</v>
      </c>
      <c r="CI832" s="253">
        <f t="shared" si="769"/>
        <v>4.0666935483870965</v>
      </c>
      <c r="CJ832" s="253" cm="1">
        <f t="array" ref="CJ832">$BC832 * IF($AD832&lt;=2,
SUMPRODUCT(INDEX($AL$67:$AN$71,,$AE832), INDEX($AO$67:$AU$71,,$AD832), 1 / ($AV$67:$AV$71*CI832 + (1-$AV$67:$AV$71)*CE832), N($AK$67:$AK$71&gt;$AI832)),
SUMPRODUCT(INDEX($AL$57:$AN$66,,$AE832), INDEX($AO$57:$AU$66,,$AD832), 1 / ($AW$57:$AW$66*CI832 + (1-$AW$57:$AW$66)*CE832), N($AK$57:$AK$66&gt;$AI832))
) / 1000</f>
        <v>0</v>
      </c>
      <c r="CK832" s="250">
        <f t="shared" si="747"/>
        <v>20</v>
      </c>
      <c r="CL832" s="237">
        <f t="shared" si="770"/>
        <v>33</v>
      </c>
      <c r="CM832" s="253">
        <f t="shared" si="771"/>
        <v>4.8487499999999999</v>
      </c>
      <c r="CN832" s="253" cm="1">
        <f t="array" ref="CN832">$BC832 * IF($AD832&lt;=2,
SUMPRODUCT(INDEX($AL$62:$AN$66,,$AE832), INDEX($AO$62:$AU$66,,$AD832), 1 / ($AV$62:$AV$66*CM832 + (1-$AV$62:$AV$66)*CI832), N($AK$62:$AK$66&gt;$AI832)),
SUMPRODUCT(INDEX($AL$47:$AN$56,,$AE832), INDEX($AO$47:$AU$56,,$AD832), 1 / ($AW$47:$AW$56*CM832 + (1-$AW$47:$AW$56)*CI832), N($AK$47:$AK$56&gt;$AI832))
) / 1000</f>
        <v>0</v>
      </c>
      <c r="CO832" s="253" cm="1">
        <f t="array" ref="CO832">$BC832 * IF($AD832&lt;=2,
SUMPRODUCT(INDEX($AL$23:$AN$61,,$AE832), INDEX($AO$23:$AU$61,,$AD832), 1 / ($AV$23:$AV$61*CM832), N($AK$23:$AK$61&gt;$AI832)),
SUMPRODUCT(INDEX($AL$23:$AN$46,,$AE832), INDEX($AO$23:$AU$46,,$AD832), 1 / ($AW$23:$AW$46*CM832), N($AK$23:$AK$46&gt;$AI832))
) / 1000</f>
        <v>0</v>
      </c>
      <c r="CP832" s="237">
        <f t="shared" si="772"/>
        <v>0</v>
      </c>
      <c r="CQ832" s="210"/>
    </row>
    <row r="833" spans="1:95" s="76" customFormat="1" ht="14.25" customHeight="1" x14ac:dyDescent="0.2">
      <c r="A833" s="238" t="b">
        <f t="shared" si="739"/>
        <v>0</v>
      </c>
      <c r="B833" s="239">
        <v>811</v>
      </c>
      <c r="C833" s="258"/>
      <c r="D833" s="258"/>
      <c r="E833" s="240"/>
      <c r="F833" s="241" t="str">
        <f>IF(ISBLANK(E833), "", VLOOKUP(E833, Z!$A$2:$C$4127, 3, FALSE))</f>
        <v/>
      </c>
      <c r="G833" s="242"/>
      <c r="H833" s="242"/>
      <c r="I833" s="243"/>
      <c r="J833" s="244"/>
      <c r="K833" s="259"/>
      <c r="L833" s="260"/>
      <c r="M833" s="247" t="str" cm="1">
        <f t="array" ref="M833">IF($K833&gt;0, INDEX(Clean,1+AG833,$C$1), "")</f>
        <v/>
      </c>
      <c r="N833" s="245"/>
      <c r="O833" s="245"/>
      <c r="P833" s="246"/>
      <c r="Q833" s="248">
        <f t="shared" si="749"/>
        <v>0</v>
      </c>
      <c r="R833" s="247" t="str" cm="1">
        <f t="array" ref="R833">IF($K833&gt;0, INDEX(Clean,1+AH833,$C$1), "")</f>
        <v/>
      </c>
      <c r="S833" s="245"/>
      <c r="T833" s="245"/>
      <c r="U833" s="246"/>
      <c r="V833" s="248">
        <f t="shared" si="750"/>
        <v>0</v>
      </c>
      <c r="W833" s="261"/>
      <c r="X833" s="258"/>
      <c r="Y833" s="240"/>
      <c r="Z833" s="241" t="str">
        <f>IF(ISBLANK(Y833), "", VLOOKUP(Y833, Z!$A$2:$C$4127, 3, FALSE))</f>
        <v/>
      </c>
      <c r="AA833" s="262"/>
      <c r="AB833" s="249">
        <f t="shared" si="748"/>
        <v>0</v>
      </c>
      <c r="AC833" s="210"/>
      <c r="AD833" s="236">
        <f t="shared" si="773"/>
        <v>1</v>
      </c>
      <c r="AE833" s="236">
        <f t="shared" si="774"/>
        <v>1</v>
      </c>
      <c r="AF833" s="236">
        <f t="shared" si="775"/>
        <v>0</v>
      </c>
      <c r="AG833" s="236">
        <v>1</v>
      </c>
      <c r="AH833" s="236">
        <v>0</v>
      </c>
      <c r="AI833" s="236">
        <f t="shared" si="751"/>
        <v>-100</v>
      </c>
      <c r="AJ833" s="210"/>
      <c r="AK833" s="254"/>
      <c r="AL833" s="254"/>
      <c r="AM833" s="255"/>
      <c r="AN833" s="255"/>
      <c r="AO833" s="255"/>
      <c r="AP833" s="255"/>
      <c r="AQ833" s="255"/>
      <c r="AR833" s="255"/>
      <c r="AS833" s="255"/>
      <c r="AT833" s="255"/>
      <c r="AU833" s="255"/>
      <c r="AV833" s="255"/>
      <c r="AW833" s="255"/>
      <c r="AX833" s="210"/>
      <c r="AY833" s="236" cm="1">
        <f t="array" ref="AY833">INDEX(Use, $AD833, 4)</f>
        <v>7</v>
      </c>
      <c r="AZ833" s="236">
        <f t="shared" si="752"/>
        <v>32</v>
      </c>
      <c r="BA833" s="236">
        <f t="shared" si="740"/>
        <v>13</v>
      </c>
      <c r="BB833" s="236">
        <f t="shared" si="741"/>
        <v>0</v>
      </c>
      <c r="BC833" s="252" cm="1">
        <f t="array" ref="BC833">K833/IF($L833&gt;0, INDEX($AO$23:$AU$77, $L833+20, $AD833), 1)</f>
        <v>0</v>
      </c>
      <c r="BD833" s="237">
        <f t="shared" si="753"/>
        <v>0</v>
      </c>
      <c r="BE833" s="236">
        <v>35</v>
      </c>
      <c r="BF833" s="237">
        <f t="shared" si="754"/>
        <v>52.55</v>
      </c>
      <c r="BG833" s="253">
        <f t="shared" si="755"/>
        <v>2.7676728869374316</v>
      </c>
      <c r="BH833" s="253" cm="1">
        <f t="array" ref="BH833">$BC833 * SUMPRODUCT(INDEX($AL$77:$AN$82,,$AE833),INDEX($AO$77:$AU$82,,$AD833), N($AK$77:$AK$82&gt;$AI833)) / BG833 / 1000</f>
        <v>0</v>
      </c>
      <c r="BI833" s="250">
        <f t="shared" si="742"/>
        <v>30</v>
      </c>
      <c r="BJ833" s="237">
        <f t="shared" si="756"/>
        <v>46.033333333333331</v>
      </c>
      <c r="BK833" s="253">
        <f t="shared" si="757"/>
        <v>3.2297395388556791</v>
      </c>
      <c r="BL833" s="253" cm="1">
        <f t="array" ref="BL833">$BC833 * IF($AD833&lt;=2,
SUMPRODUCT(INDEX($AL$72:$AN$76,,$AE833), INDEX($AO$72:$AU$76,,$AD833), 1 / ($AV$72:$AV$76*BK833 + (1-$AV$72:$AV$76)*BG833), N($AK$72:$AK$76&gt;$AI833)),
SUMPRODUCT(INDEX($AL$67:$AN$76,,$AE833), INDEX($AO$67:$AU$76,,$AD833), 1 / ($AW$67:$AW$76*BK833 + (1-$AW$67:$AW$76)*BG833), N($AK$67:$AK$76&gt;$AI833))
) / 1000</f>
        <v>0</v>
      </c>
      <c r="BM833" s="250">
        <f t="shared" si="743"/>
        <v>25</v>
      </c>
      <c r="BN833" s="237">
        <f t="shared" si="758"/>
        <v>39.516666666666666</v>
      </c>
      <c r="BO833" s="253">
        <f t="shared" si="759"/>
        <v>3.877011788826243</v>
      </c>
      <c r="BP833" s="253" cm="1">
        <f t="array" ref="BP833">$BC833 * IF($AD833&lt;=2,
SUMPRODUCT(INDEX($AL$67:$AN$71,,$AE833), INDEX($AO$67:$AU$71,,$AD833), 1 / ($AV$67:$AV$71*BO833 + (1-$AV$67:$AV$71)*BK833), N($AK$67:$AK$71&gt;$AI833)),
SUMPRODUCT(INDEX($AL$57:$AN$66,,$AE833), INDEX($AO$57:$AU$66,,$AD833), 1 / ($AW$57:$AW$66*BO833 + (1-$AW$57:$AW$66)*BK833), N($AK$57:$AK$66&gt;$AI833))
) / 1000</f>
        <v>0</v>
      </c>
      <c r="BQ833" s="250">
        <f t="shared" si="744"/>
        <v>20</v>
      </c>
      <c r="BR833" s="237">
        <f t="shared" si="760"/>
        <v>33</v>
      </c>
      <c r="BS833" s="253">
        <f t="shared" si="761"/>
        <v>4.8487499999999999</v>
      </c>
      <c r="BT833" s="253" cm="1">
        <f t="array" ref="BT833">$BC833 * IF($AD833&lt;=2,
SUMPRODUCT(INDEX($AL$62:$AN$66,,$AE833), INDEX($AO$62:$AU$66,,$AD833), 1 / ($AV$62:$AV$66*BS833 + (1-$AV$62:$AV$66)*BO833), N($AK$62:$AK$66&gt;$AI833)),
SUMPRODUCT(INDEX($AL$47:$AN$56,,$AE833), INDEX($AO$47:$AU$56,,$AD833), 1 / ($AW$47:$AW$56*BS833 + (1-$AW$47:$AW$56)*BO833), N($AK$47:$AK$56&gt;$AI833))
) / 1000</f>
        <v>0</v>
      </c>
      <c r="BU833" s="253" cm="1">
        <f t="array" ref="BU833">$BC833 * IF($AD833&lt;=2,
SUMPRODUCT(INDEX($AL$23:$AN$61,,$AE833), INDEX($AO$23:$AU$61,,$AD833), 1 / ($AV$23:$AV$61*BS833), N($AK$23:$AK$61&gt;$AI833)),
SUMPRODUCT(INDEX($AL$23:$AN$46,,$AE833), INDEX($AO$23:$AU$46,,$AD833), 1 / ($AW$23:$AW$46*BS833), N($AK$23:$AK$46&gt;$AI833))
) / 1000</f>
        <v>0</v>
      </c>
      <c r="BV833" s="237">
        <f t="shared" si="762"/>
        <v>0</v>
      </c>
      <c r="BW833" s="210"/>
      <c r="BX833" s="237">
        <f t="shared" si="763"/>
        <v>0</v>
      </c>
      <c r="BY833" s="236">
        <v>35</v>
      </c>
      <c r="BZ833" s="237">
        <f t="shared" si="764"/>
        <v>48</v>
      </c>
      <c r="CA833" s="253">
        <f t="shared" si="765"/>
        <v>3.0748170731707316</v>
      </c>
      <c r="CB833" s="253" cm="1">
        <f t="array" ref="CB833">$BC833 * SUMPRODUCT(INDEX($AL$77:$AN$82,,$AE833),INDEX($AO$77:$AU$82,,$AD833), N($AK$77:$AK$82&gt;$AI833)) / CA833 / 1000</f>
        <v>0</v>
      </c>
      <c r="CC833" s="250">
        <f t="shared" si="745"/>
        <v>30</v>
      </c>
      <c r="CD833" s="237">
        <f t="shared" si="766"/>
        <v>43</v>
      </c>
      <c r="CE833" s="253">
        <f t="shared" si="767"/>
        <v>3.5018750000000001</v>
      </c>
      <c r="CF833" s="253" cm="1">
        <f t="array" ref="CF833">$BC833 * IF($AD833&lt;=2,
SUMPRODUCT(INDEX($AL$72:$AN$76,,$AE833), INDEX($AO$72:$AU$76,,$AD833), 1 / ($AV$72:$AV$76*CE833 + (1-$AV$72:$AV$76)*CA833), N($AK$72:$AK$76&gt;$AI833)),
SUMPRODUCT(INDEX($AL$67:$AN$76,,$AE833), INDEX($AO$67:$AU$76,,$AD833), 1 / ($AW$67:$AW$76*CE833 + (1-$AW$67:$AW$76)*CA833), N($AK$67:$AK$76&gt;$AI833))
) / 1000</f>
        <v>0</v>
      </c>
      <c r="CG833" s="250">
        <f t="shared" si="746"/>
        <v>25</v>
      </c>
      <c r="CH833" s="237">
        <f t="shared" si="768"/>
        <v>38</v>
      </c>
      <c r="CI833" s="253">
        <f t="shared" si="769"/>
        <v>4.0666935483870965</v>
      </c>
      <c r="CJ833" s="253" cm="1">
        <f t="array" ref="CJ833">$BC833 * IF($AD833&lt;=2,
SUMPRODUCT(INDEX($AL$67:$AN$71,,$AE833), INDEX($AO$67:$AU$71,,$AD833), 1 / ($AV$67:$AV$71*CI833 + (1-$AV$67:$AV$71)*CE833), N($AK$67:$AK$71&gt;$AI833)),
SUMPRODUCT(INDEX($AL$57:$AN$66,,$AE833), INDEX($AO$57:$AU$66,,$AD833), 1 / ($AW$57:$AW$66*CI833 + (1-$AW$57:$AW$66)*CE833), N($AK$57:$AK$66&gt;$AI833))
) / 1000</f>
        <v>0</v>
      </c>
      <c r="CK833" s="250">
        <f t="shared" si="747"/>
        <v>20</v>
      </c>
      <c r="CL833" s="237">
        <f t="shared" si="770"/>
        <v>33</v>
      </c>
      <c r="CM833" s="253">
        <f t="shared" si="771"/>
        <v>4.8487499999999999</v>
      </c>
      <c r="CN833" s="253" cm="1">
        <f t="array" ref="CN833">$BC833 * IF($AD833&lt;=2,
SUMPRODUCT(INDEX($AL$62:$AN$66,,$AE833), INDEX($AO$62:$AU$66,,$AD833), 1 / ($AV$62:$AV$66*CM833 + (1-$AV$62:$AV$66)*CI833), N($AK$62:$AK$66&gt;$AI833)),
SUMPRODUCT(INDEX($AL$47:$AN$56,,$AE833), INDEX($AO$47:$AU$56,,$AD833), 1 / ($AW$47:$AW$56*CM833 + (1-$AW$47:$AW$56)*CI833), N($AK$47:$AK$56&gt;$AI833))
) / 1000</f>
        <v>0</v>
      </c>
      <c r="CO833" s="253" cm="1">
        <f t="array" ref="CO833">$BC833 * IF($AD833&lt;=2,
SUMPRODUCT(INDEX($AL$23:$AN$61,,$AE833), INDEX($AO$23:$AU$61,,$AD833), 1 / ($AV$23:$AV$61*CM833), N($AK$23:$AK$61&gt;$AI833)),
SUMPRODUCT(INDEX($AL$23:$AN$46,,$AE833), INDEX($AO$23:$AU$46,,$AD833), 1 / ($AW$23:$AW$46*CM833), N($AK$23:$AK$46&gt;$AI833))
) / 1000</f>
        <v>0</v>
      </c>
      <c r="CP833" s="237">
        <f t="shared" si="772"/>
        <v>0</v>
      </c>
      <c r="CQ833" s="210"/>
    </row>
    <row r="834" spans="1:95" s="76" customFormat="1" ht="14.25" customHeight="1" x14ac:dyDescent="0.2">
      <c r="A834" s="238" t="b">
        <f t="shared" si="739"/>
        <v>0</v>
      </c>
      <c r="B834" s="239">
        <v>812</v>
      </c>
      <c r="C834" s="258"/>
      <c r="D834" s="258"/>
      <c r="E834" s="240"/>
      <c r="F834" s="241" t="str">
        <f>IF(ISBLANK(E834), "", VLOOKUP(E834, Z!$A$2:$C$4127, 3, FALSE))</f>
        <v/>
      </c>
      <c r="G834" s="242"/>
      <c r="H834" s="242"/>
      <c r="I834" s="243"/>
      <c r="J834" s="244"/>
      <c r="K834" s="259"/>
      <c r="L834" s="260"/>
      <c r="M834" s="247" t="str" cm="1">
        <f t="array" ref="M834">IF($K834&gt;0, INDEX(Clean,1+AG834,$C$1), "")</f>
        <v/>
      </c>
      <c r="N834" s="245"/>
      <c r="O834" s="245"/>
      <c r="P834" s="246"/>
      <c r="Q834" s="248">
        <f t="shared" si="749"/>
        <v>0</v>
      </c>
      <c r="R834" s="247" t="str" cm="1">
        <f t="array" ref="R834">IF($K834&gt;0, INDEX(Clean,1+AH834,$C$1), "")</f>
        <v/>
      </c>
      <c r="S834" s="245"/>
      <c r="T834" s="245"/>
      <c r="U834" s="246"/>
      <c r="V834" s="248">
        <f t="shared" si="750"/>
        <v>0</v>
      </c>
      <c r="W834" s="261"/>
      <c r="X834" s="258"/>
      <c r="Y834" s="240"/>
      <c r="Z834" s="241" t="str">
        <f>IF(ISBLANK(Y834), "", VLOOKUP(Y834, Z!$A$2:$C$4127, 3, FALSE))</f>
        <v/>
      </c>
      <c r="AA834" s="262"/>
      <c r="AB834" s="249">
        <f t="shared" si="748"/>
        <v>0</v>
      </c>
      <c r="AC834" s="210"/>
      <c r="AD834" s="236">
        <f t="shared" si="773"/>
        <v>1</v>
      </c>
      <c r="AE834" s="236">
        <f t="shared" si="774"/>
        <v>1</v>
      </c>
      <c r="AF834" s="236">
        <f t="shared" si="775"/>
        <v>0</v>
      </c>
      <c r="AG834" s="236">
        <v>1</v>
      </c>
      <c r="AH834" s="236">
        <v>0</v>
      </c>
      <c r="AI834" s="236">
        <f t="shared" si="751"/>
        <v>-100</v>
      </c>
      <c r="AJ834" s="210"/>
      <c r="AK834" s="254"/>
      <c r="AL834" s="254"/>
      <c r="AM834" s="255"/>
      <c r="AN834" s="255"/>
      <c r="AO834" s="255"/>
      <c r="AP834" s="255"/>
      <c r="AQ834" s="255"/>
      <c r="AR834" s="255"/>
      <c r="AS834" s="255"/>
      <c r="AT834" s="255"/>
      <c r="AU834" s="255"/>
      <c r="AV834" s="255"/>
      <c r="AW834" s="255"/>
      <c r="AX834" s="210"/>
      <c r="AY834" s="236" cm="1">
        <f t="array" ref="AY834">INDEX(Use, $AD834, 4)</f>
        <v>7</v>
      </c>
      <c r="AZ834" s="236">
        <f t="shared" si="752"/>
        <v>32</v>
      </c>
      <c r="BA834" s="236">
        <f t="shared" si="740"/>
        <v>13</v>
      </c>
      <c r="BB834" s="236">
        <f t="shared" si="741"/>
        <v>0</v>
      </c>
      <c r="BC834" s="252" cm="1">
        <f t="array" ref="BC834">K834/IF($L834&gt;0, INDEX($AO$23:$AU$77, $L834+20, $AD834), 1)</f>
        <v>0</v>
      </c>
      <c r="BD834" s="237">
        <f t="shared" si="753"/>
        <v>0</v>
      </c>
      <c r="BE834" s="236">
        <v>35</v>
      </c>
      <c r="BF834" s="237">
        <f t="shared" si="754"/>
        <v>52.55</v>
      </c>
      <c r="BG834" s="253">
        <f t="shared" si="755"/>
        <v>2.7676728869374316</v>
      </c>
      <c r="BH834" s="253" cm="1">
        <f t="array" ref="BH834">$BC834 * SUMPRODUCT(INDEX($AL$77:$AN$82,,$AE834),INDEX($AO$77:$AU$82,,$AD834), N($AK$77:$AK$82&gt;$AI834)) / BG834 / 1000</f>
        <v>0</v>
      </c>
      <c r="BI834" s="250">
        <f t="shared" si="742"/>
        <v>30</v>
      </c>
      <c r="BJ834" s="237">
        <f t="shared" si="756"/>
        <v>46.033333333333331</v>
      </c>
      <c r="BK834" s="253">
        <f t="shared" si="757"/>
        <v>3.2297395388556791</v>
      </c>
      <c r="BL834" s="253" cm="1">
        <f t="array" ref="BL834">$BC834 * IF($AD834&lt;=2,
SUMPRODUCT(INDEX($AL$72:$AN$76,,$AE834), INDEX($AO$72:$AU$76,,$AD834), 1 / ($AV$72:$AV$76*BK834 + (1-$AV$72:$AV$76)*BG834), N($AK$72:$AK$76&gt;$AI834)),
SUMPRODUCT(INDEX($AL$67:$AN$76,,$AE834), INDEX($AO$67:$AU$76,,$AD834), 1 / ($AW$67:$AW$76*BK834 + (1-$AW$67:$AW$76)*BG834), N($AK$67:$AK$76&gt;$AI834))
) / 1000</f>
        <v>0</v>
      </c>
      <c r="BM834" s="250">
        <f t="shared" si="743"/>
        <v>25</v>
      </c>
      <c r="BN834" s="237">
        <f t="shared" si="758"/>
        <v>39.516666666666666</v>
      </c>
      <c r="BO834" s="253">
        <f t="shared" si="759"/>
        <v>3.877011788826243</v>
      </c>
      <c r="BP834" s="253" cm="1">
        <f t="array" ref="BP834">$BC834 * IF($AD834&lt;=2,
SUMPRODUCT(INDEX($AL$67:$AN$71,,$AE834), INDEX($AO$67:$AU$71,,$AD834), 1 / ($AV$67:$AV$71*BO834 + (1-$AV$67:$AV$71)*BK834), N($AK$67:$AK$71&gt;$AI834)),
SUMPRODUCT(INDEX($AL$57:$AN$66,,$AE834), INDEX($AO$57:$AU$66,,$AD834), 1 / ($AW$57:$AW$66*BO834 + (1-$AW$57:$AW$66)*BK834), N($AK$57:$AK$66&gt;$AI834))
) / 1000</f>
        <v>0</v>
      </c>
      <c r="BQ834" s="250">
        <f t="shared" si="744"/>
        <v>20</v>
      </c>
      <c r="BR834" s="237">
        <f t="shared" si="760"/>
        <v>33</v>
      </c>
      <c r="BS834" s="253">
        <f t="shared" si="761"/>
        <v>4.8487499999999999</v>
      </c>
      <c r="BT834" s="253" cm="1">
        <f t="array" ref="BT834">$BC834 * IF($AD834&lt;=2,
SUMPRODUCT(INDEX($AL$62:$AN$66,,$AE834), INDEX($AO$62:$AU$66,,$AD834), 1 / ($AV$62:$AV$66*BS834 + (1-$AV$62:$AV$66)*BO834), N($AK$62:$AK$66&gt;$AI834)),
SUMPRODUCT(INDEX($AL$47:$AN$56,,$AE834), INDEX($AO$47:$AU$56,,$AD834), 1 / ($AW$47:$AW$56*BS834 + (1-$AW$47:$AW$56)*BO834), N($AK$47:$AK$56&gt;$AI834))
) / 1000</f>
        <v>0</v>
      </c>
      <c r="BU834" s="253" cm="1">
        <f t="array" ref="BU834">$BC834 * IF($AD834&lt;=2,
SUMPRODUCT(INDEX($AL$23:$AN$61,,$AE834), INDEX($AO$23:$AU$61,,$AD834), 1 / ($AV$23:$AV$61*BS834), N($AK$23:$AK$61&gt;$AI834)),
SUMPRODUCT(INDEX($AL$23:$AN$46,,$AE834), INDEX($AO$23:$AU$46,,$AD834), 1 / ($AW$23:$AW$46*BS834), N($AK$23:$AK$46&gt;$AI834))
) / 1000</f>
        <v>0</v>
      </c>
      <c r="BV834" s="237">
        <f t="shared" si="762"/>
        <v>0</v>
      </c>
      <c r="BW834" s="210"/>
      <c r="BX834" s="237">
        <f t="shared" si="763"/>
        <v>0</v>
      </c>
      <c r="BY834" s="236">
        <v>35</v>
      </c>
      <c r="BZ834" s="237">
        <f t="shared" si="764"/>
        <v>48</v>
      </c>
      <c r="CA834" s="253">
        <f t="shared" si="765"/>
        <v>3.0748170731707316</v>
      </c>
      <c r="CB834" s="253" cm="1">
        <f t="array" ref="CB834">$BC834 * SUMPRODUCT(INDEX($AL$77:$AN$82,,$AE834),INDEX($AO$77:$AU$82,,$AD834), N($AK$77:$AK$82&gt;$AI834)) / CA834 / 1000</f>
        <v>0</v>
      </c>
      <c r="CC834" s="250">
        <f t="shared" si="745"/>
        <v>30</v>
      </c>
      <c r="CD834" s="237">
        <f t="shared" si="766"/>
        <v>43</v>
      </c>
      <c r="CE834" s="253">
        <f t="shared" si="767"/>
        <v>3.5018750000000001</v>
      </c>
      <c r="CF834" s="253" cm="1">
        <f t="array" ref="CF834">$BC834 * IF($AD834&lt;=2,
SUMPRODUCT(INDEX($AL$72:$AN$76,,$AE834), INDEX($AO$72:$AU$76,,$AD834), 1 / ($AV$72:$AV$76*CE834 + (1-$AV$72:$AV$76)*CA834), N($AK$72:$AK$76&gt;$AI834)),
SUMPRODUCT(INDEX($AL$67:$AN$76,,$AE834), INDEX($AO$67:$AU$76,,$AD834), 1 / ($AW$67:$AW$76*CE834 + (1-$AW$67:$AW$76)*CA834), N($AK$67:$AK$76&gt;$AI834))
) / 1000</f>
        <v>0</v>
      </c>
      <c r="CG834" s="250">
        <f t="shared" si="746"/>
        <v>25</v>
      </c>
      <c r="CH834" s="237">
        <f t="shared" si="768"/>
        <v>38</v>
      </c>
      <c r="CI834" s="253">
        <f t="shared" si="769"/>
        <v>4.0666935483870965</v>
      </c>
      <c r="CJ834" s="253" cm="1">
        <f t="array" ref="CJ834">$BC834 * IF($AD834&lt;=2,
SUMPRODUCT(INDEX($AL$67:$AN$71,,$AE834), INDEX($AO$67:$AU$71,,$AD834), 1 / ($AV$67:$AV$71*CI834 + (1-$AV$67:$AV$71)*CE834), N($AK$67:$AK$71&gt;$AI834)),
SUMPRODUCT(INDEX($AL$57:$AN$66,,$AE834), INDEX($AO$57:$AU$66,,$AD834), 1 / ($AW$57:$AW$66*CI834 + (1-$AW$57:$AW$66)*CE834), N($AK$57:$AK$66&gt;$AI834))
) / 1000</f>
        <v>0</v>
      </c>
      <c r="CK834" s="250">
        <f t="shared" si="747"/>
        <v>20</v>
      </c>
      <c r="CL834" s="237">
        <f t="shared" si="770"/>
        <v>33</v>
      </c>
      <c r="CM834" s="253">
        <f t="shared" si="771"/>
        <v>4.8487499999999999</v>
      </c>
      <c r="CN834" s="253" cm="1">
        <f t="array" ref="CN834">$BC834 * IF($AD834&lt;=2,
SUMPRODUCT(INDEX($AL$62:$AN$66,,$AE834), INDEX($AO$62:$AU$66,,$AD834), 1 / ($AV$62:$AV$66*CM834 + (1-$AV$62:$AV$66)*CI834), N($AK$62:$AK$66&gt;$AI834)),
SUMPRODUCT(INDEX($AL$47:$AN$56,,$AE834), INDEX($AO$47:$AU$56,,$AD834), 1 / ($AW$47:$AW$56*CM834 + (1-$AW$47:$AW$56)*CI834), N($AK$47:$AK$56&gt;$AI834))
) / 1000</f>
        <v>0</v>
      </c>
      <c r="CO834" s="253" cm="1">
        <f t="array" ref="CO834">$BC834 * IF($AD834&lt;=2,
SUMPRODUCT(INDEX($AL$23:$AN$61,,$AE834), INDEX($AO$23:$AU$61,,$AD834), 1 / ($AV$23:$AV$61*CM834), N($AK$23:$AK$61&gt;$AI834)),
SUMPRODUCT(INDEX($AL$23:$AN$46,,$AE834), INDEX($AO$23:$AU$46,,$AD834), 1 / ($AW$23:$AW$46*CM834), N($AK$23:$AK$46&gt;$AI834))
) / 1000</f>
        <v>0</v>
      </c>
      <c r="CP834" s="237">
        <f t="shared" si="772"/>
        <v>0</v>
      </c>
      <c r="CQ834" s="210"/>
    </row>
    <row r="835" spans="1:95" s="76" customFormat="1" ht="14.25" customHeight="1" x14ac:dyDescent="0.2">
      <c r="A835" s="238" t="b">
        <f t="shared" si="739"/>
        <v>0</v>
      </c>
      <c r="B835" s="239">
        <v>813</v>
      </c>
      <c r="C835" s="258"/>
      <c r="D835" s="258"/>
      <c r="E835" s="240"/>
      <c r="F835" s="241" t="str">
        <f>IF(ISBLANK(E835), "", VLOOKUP(E835, Z!$A$2:$C$4127, 3, FALSE))</f>
        <v/>
      </c>
      <c r="G835" s="242"/>
      <c r="H835" s="242"/>
      <c r="I835" s="243"/>
      <c r="J835" s="244"/>
      <c r="K835" s="259"/>
      <c r="L835" s="260"/>
      <c r="M835" s="247" t="str" cm="1">
        <f t="array" ref="M835">IF($K835&gt;0, INDEX(Clean,1+AG835,$C$1), "")</f>
        <v/>
      </c>
      <c r="N835" s="245"/>
      <c r="O835" s="245"/>
      <c r="P835" s="246"/>
      <c r="Q835" s="248">
        <f t="shared" si="749"/>
        <v>0</v>
      </c>
      <c r="R835" s="247" t="str" cm="1">
        <f t="array" ref="R835">IF($K835&gt;0, INDEX(Clean,1+AH835,$C$1), "")</f>
        <v/>
      </c>
      <c r="S835" s="245"/>
      <c r="T835" s="245"/>
      <c r="U835" s="246"/>
      <c r="V835" s="248">
        <f t="shared" si="750"/>
        <v>0</v>
      </c>
      <c r="W835" s="261"/>
      <c r="X835" s="258"/>
      <c r="Y835" s="240"/>
      <c r="Z835" s="241" t="str">
        <f>IF(ISBLANK(Y835), "", VLOOKUP(Y835, Z!$A$2:$C$4127, 3, FALSE))</f>
        <v/>
      </c>
      <c r="AA835" s="262"/>
      <c r="AB835" s="249">
        <f t="shared" si="748"/>
        <v>0</v>
      </c>
      <c r="AC835" s="210"/>
      <c r="AD835" s="236">
        <f t="shared" si="773"/>
        <v>1</v>
      </c>
      <c r="AE835" s="236">
        <f t="shared" si="774"/>
        <v>1</v>
      </c>
      <c r="AF835" s="236">
        <f t="shared" si="775"/>
        <v>0</v>
      </c>
      <c r="AG835" s="236">
        <v>1</v>
      </c>
      <c r="AH835" s="236">
        <v>0</v>
      </c>
      <c r="AI835" s="236">
        <f t="shared" si="751"/>
        <v>-100</v>
      </c>
      <c r="AJ835" s="210"/>
      <c r="AK835" s="254"/>
      <c r="AL835" s="254"/>
      <c r="AM835" s="255"/>
      <c r="AN835" s="255"/>
      <c r="AO835" s="255"/>
      <c r="AP835" s="255"/>
      <c r="AQ835" s="255"/>
      <c r="AR835" s="255"/>
      <c r="AS835" s="255"/>
      <c r="AT835" s="255"/>
      <c r="AU835" s="255"/>
      <c r="AV835" s="255"/>
      <c r="AW835" s="255"/>
      <c r="AX835" s="210"/>
      <c r="AY835" s="236" cm="1">
        <f t="array" ref="AY835">INDEX(Use, $AD835, 4)</f>
        <v>7</v>
      </c>
      <c r="AZ835" s="236">
        <f t="shared" si="752"/>
        <v>32</v>
      </c>
      <c r="BA835" s="236">
        <f t="shared" si="740"/>
        <v>13</v>
      </c>
      <c r="BB835" s="236">
        <f t="shared" si="741"/>
        <v>0</v>
      </c>
      <c r="BC835" s="252" cm="1">
        <f t="array" ref="BC835">K835/IF($L835&gt;0, INDEX($AO$23:$AU$77, $L835+20, $AD835), 1)</f>
        <v>0</v>
      </c>
      <c r="BD835" s="237">
        <f t="shared" si="753"/>
        <v>0</v>
      </c>
      <c r="BE835" s="236">
        <v>35</v>
      </c>
      <c r="BF835" s="237">
        <f t="shared" si="754"/>
        <v>52.55</v>
      </c>
      <c r="BG835" s="253">
        <f t="shared" si="755"/>
        <v>2.7676728869374316</v>
      </c>
      <c r="BH835" s="253" cm="1">
        <f t="array" ref="BH835">$BC835 * SUMPRODUCT(INDEX($AL$77:$AN$82,,$AE835),INDEX($AO$77:$AU$82,,$AD835), N($AK$77:$AK$82&gt;$AI835)) / BG835 / 1000</f>
        <v>0</v>
      </c>
      <c r="BI835" s="250">
        <f t="shared" si="742"/>
        <v>30</v>
      </c>
      <c r="BJ835" s="237">
        <f t="shared" si="756"/>
        <v>46.033333333333331</v>
      </c>
      <c r="BK835" s="253">
        <f t="shared" si="757"/>
        <v>3.2297395388556791</v>
      </c>
      <c r="BL835" s="253" cm="1">
        <f t="array" ref="BL835">$BC835 * IF($AD835&lt;=2,
SUMPRODUCT(INDEX($AL$72:$AN$76,,$AE835), INDEX($AO$72:$AU$76,,$AD835), 1 / ($AV$72:$AV$76*BK835 + (1-$AV$72:$AV$76)*BG835), N($AK$72:$AK$76&gt;$AI835)),
SUMPRODUCT(INDEX($AL$67:$AN$76,,$AE835), INDEX($AO$67:$AU$76,,$AD835), 1 / ($AW$67:$AW$76*BK835 + (1-$AW$67:$AW$76)*BG835), N($AK$67:$AK$76&gt;$AI835))
) / 1000</f>
        <v>0</v>
      </c>
      <c r="BM835" s="250">
        <f t="shared" si="743"/>
        <v>25</v>
      </c>
      <c r="BN835" s="237">
        <f t="shared" si="758"/>
        <v>39.516666666666666</v>
      </c>
      <c r="BO835" s="253">
        <f t="shared" si="759"/>
        <v>3.877011788826243</v>
      </c>
      <c r="BP835" s="253" cm="1">
        <f t="array" ref="BP835">$BC835 * IF($AD835&lt;=2,
SUMPRODUCT(INDEX($AL$67:$AN$71,,$AE835), INDEX($AO$67:$AU$71,,$AD835), 1 / ($AV$67:$AV$71*BO835 + (1-$AV$67:$AV$71)*BK835), N($AK$67:$AK$71&gt;$AI835)),
SUMPRODUCT(INDEX($AL$57:$AN$66,,$AE835), INDEX($AO$57:$AU$66,,$AD835), 1 / ($AW$57:$AW$66*BO835 + (1-$AW$57:$AW$66)*BK835), N($AK$57:$AK$66&gt;$AI835))
) / 1000</f>
        <v>0</v>
      </c>
      <c r="BQ835" s="250">
        <f t="shared" si="744"/>
        <v>20</v>
      </c>
      <c r="BR835" s="237">
        <f t="shared" si="760"/>
        <v>33</v>
      </c>
      <c r="BS835" s="253">
        <f t="shared" si="761"/>
        <v>4.8487499999999999</v>
      </c>
      <c r="BT835" s="253" cm="1">
        <f t="array" ref="BT835">$BC835 * IF($AD835&lt;=2,
SUMPRODUCT(INDEX($AL$62:$AN$66,,$AE835), INDEX($AO$62:$AU$66,,$AD835), 1 / ($AV$62:$AV$66*BS835 + (1-$AV$62:$AV$66)*BO835), N($AK$62:$AK$66&gt;$AI835)),
SUMPRODUCT(INDEX($AL$47:$AN$56,,$AE835), INDEX($AO$47:$AU$56,,$AD835), 1 / ($AW$47:$AW$56*BS835 + (1-$AW$47:$AW$56)*BO835), N($AK$47:$AK$56&gt;$AI835))
) / 1000</f>
        <v>0</v>
      </c>
      <c r="BU835" s="253" cm="1">
        <f t="array" ref="BU835">$BC835 * IF($AD835&lt;=2,
SUMPRODUCT(INDEX($AL$23:$AN$61,,$AE835), INDEX($AO$23:$AU$61,,$AD835), 1 / ($AV$23:$AV$61*BS835), N($AK$23:$AK$61&gt;$AI835)),
SUMPRODUCT(INDEX($AL$23:$AN$46,,$AE835), INDEX($AO$23:$AU$46,,$AD835), 1 / ($AW$23:$AW$46*BS835), N($AK$23:$AK$46&gt;$AI835))
) / 1000</f>
        <v>0</v>
      </c>
      <c r="BV835" s="237">
        <f t="shared" si="762"/>
        <v>0</v>
      </c>
      <c r="BW835" s="210"/>
      <c r="BX835" s="237">
        <f t="shared" si="763"/>
        <v>0</v>
      </c>
      <c r="BY835" s="236">
        <v>35</v>
      </c>
      <c r="BZ835" s="237">
        <f t="shared" si="764"/>
        <v>48</v>
      </c>
      <c r="CA835" s="253">
        <f t="shared" si="765"/>
        <v>3.0748170731707316</v>
      </c>
      <c r="CB835" s="253" cm="1">
        <f t="array" ref="CB835">$BC835 * SUMPRODUCT(INDEX($AL$77:$AN$82,,$AE835),INDEX($AO$77:$AU$82,,$AD835), N($AK$77:$AK$82&gt;$AI835)) / CA835 / 1000</f>
        <v>0</v>
      </c>
      <c r="CC835" s="250">
        <f t="shared" si="745"/>
        <v>30</v>
      </c>
      <c r="CD835" s="237">
        <f t="shared" si="766"/>
        <v>43</v>
      </c>
      <c r="CE835" s="253">
        <f t="shared" si="767"/>
        <v>3.5018750000000001</v>
      </c>
      <c r="CF835" s="253" cm="1">
        <f t="array" ref="CF835">$BC835 * IF($AD835&lt;=2,
SUMPRODUCT(INDEX($AL$72:$AN$76,,$AE835), INDEX($AO$72:$AU$76,,$AD835), 1 / ($AV$72:$AV$76*CE835 + (1-$AV$72:$AV$76)*CA835), N($AK$72:$AK$76&gt;$AI835)),
SUMPRODUCT(INDEX($AL$67:$AN$76,,$AE835), INDEX($AO$67:$AU$76,,$AD835), 1 / ($AW$67:$AW$76*CE835 + (1-$AW$67:$AW$76)*CA835), N($AK$67:$AK$76&gt;$AI835))
) / 1000</f>
        <v>0</v>
      </c>
      <c r="CG835" s="250">
        <f t="shared" si="746"/>
        <v>25</v>
      </c>
      <c r="CH835" s="237">
        <f t="shared" si="768"/>
        <v>38</v>
      </c>
      <c r="CI835" s="253">
        <f t="shared" si="769"/>
        <v>4.0666935483870965</v>
      </c>
      <c r="CJ835" s="253" cm="1">
        <f t="array" ref="CJ835">$BC835 * IF($AD835&lt;=2,
SUMPRODUCT(INDEX($AL$67:$AN$71,,$AE835), INDEX($AO$67:$AU$71,,$AD835), 1 / ($AV$67:$AV$71*CI835 + (1-$AV$67:$AV$71)*CE835), N($AK$67:$AK$71&gt;$AI835)),
SUMPRODUCT(INDEX($AL$57:$AN$66,,$AE835), INDEX($AO$57:$AU$66,,$AD835), 1 / ($AW$57:$AW$66*CI835 + (1-$AW$57:$AW$66)*CE835), N($AK$57:$AK$66&gt;$AI835))
) / 1000</f>
        <v>0</v>
      </c>
      <c r="CK835" s="250">
        <f t="shared" si="747"/>
        <v>20</v>
      </c>
      <c r="CL835" s="237">
        <f t="shared" si="770"/>
        <v>33</v>
      </c>
      <c r="CM835" s="253">
        <f t="shared" si="771"/>
        <v>4.8487499999999999</v>
      </c>
      <c r="CN835" s="253" cm="1">
        <f t="array" ref="CN835">$BC835 * IF($AD835&lt;=2,
SUMPRODUCT(INDEX($AL$62:$AN$66,,$AE835), INDEX($AO$62:$AU$66,,$AD835), 1 / ($AV$62:$AV$66*CM835 + (1-$AV$62:$AV$66)*CI835), N($AK$62:$AK$66&gt;$AI835)),
SUMPRODUCT(INDEX($AL$47:$AN$56,,$AE835), INDEX($AO$47:$AU$56,,$AD835), 1 / ($AW$47:$AW$56*CM835 + (1-$AW$47:$AW$56)*CI835), N($AK$47:$AK$56&gt;$AI835))
) / 1000</f>
        <v>0</v>
      </c>
      <c r="CO835" s="253" cm="1">
        <f t="array" ref="CO835">$BC835 * IF($AD835&lt;=2,
SUMPRODUCT(INDEX($AL$23:$AN$61,,$AE835), INDEX($AO$23:$AU$61,,$AD835), 1 / ($AV$23:$AV$61*CM835), N($AK$23:$AK$61&gt;$AI835)),
SUMPRODUCT(INDEX($AL$23:$AN$46,,$AE835), INDEX($AO$23:$AU$46,,$AD835), 1 / ($AW$23:$AW$46*CM835), N($AK$23:$AK$46&gt;$AI835))
) / 1000</f>
        <v>0</v>
      </c>
      <c r="CP835" s="237">
        <f t="shared" si="772"/>
        <v>0</v>
      </c>
      <c r="CQ835" s="210"/>
    </row>
    <row r="836" spans="1:95" s="76" customFormat="1" ht="14.25" customHeight="1" x14ac:dyDescent="0.2">
      <c r="A836" s="238" t="b">
        <f t="shared" si="739"/>
        <v>0</v>
      </c>
      <c r="B836" s="239">
        <v>814</v>
      </c>
      <c r="C836" s="258"/>
      <c r="D836" s="258"/>
      <c r="E836" s="240"/>
      <c r="F836" s="241" t="str">
        <f>IF(ISBLANK(E836), "", VLOOKUP(E836, Z!$A$2:$C$4127, 3, FALSE))</f>
        <v/>
      </c>
      <c r="G836" s="242"/>
      <c r="H836" s="242"/>
      <c r="I836" s="243"/>
      <c r="J836" s="244"/>
      <c r="K836" s="259"/>
      <c r="L836" s="260"/>
      <c r="M836" s="247" t="str" cm="1">
        <f t="array" ref="M836">IF($K836&gt;0, INDEX(Clean,1+AG836,$C$1), "")</f>
        <v/>
      </c>
      <c r="N836" s="245"/>
      <c r="O836" s="245"/>
      <c r="P836" s="246"/>
      <c r="Q836" s="248">
        <f t="shared" si="749"/>
        <v>0</v>
      </c>
      <c r="R836" s="247" t="str" cm="1">
        <f t="array" ref="R836">IF($K836&gt;0, INDEX(Clean,1+AH836,$C$1), "")</f>
        <v/>
      </c>
      <c r="S836" s="245"/>
      <c r="T836" s="245"/>
      <c r="U836" s="246"/>
      <c r="V836" s="248">
        <f t="shared" si="750"/>
        <v>0</v>
      </c>
      <c r="W836" s="261"/>
      <c r="X836" s="258"/>
      <c r="Y836" s="240"/>
      <c r="Z836" s="241" t="str">
        <f>IF(ISBLANK(Y836), "", VLOOKUP(Y836, Z!$A$2:$C$4127, 3, FALSE))</f>
        <v/>
      </c>
      <c r="AA836" s="262"/>
      <c r="AB836" s="249">
        <f t="shared" si="748"/>
        <v>0</v>
      </c>
      <c r="AC836" s="210"/>
      <c r="AD836" s="236">
        <f t="shared" si="773"/>
        <v>1</v>
      </c>
      <c r="AE836" s="236">
        <f t="shared" si="774"/>
        <v>1</v>
      </c>
      <c r="AF836" s="236">
        <f t="shared" si="775"/>
        <v>0</v>
      </c>
      <c r="AG836" s="236">
        <v>1</v>
      </c>
      <c r="AH836" s="236">
        <v>0</v>
      </c>
      <c r="AI836" s="236">
        <f t="shared" si="751"/>
        <v>-100</v>
      </c>
      <c r="AJ836" s="210"/>
      <c r="AK836" s="254"/>
      <c r="AL836" s="254"/>
      <c r="AM836" s="255"/>
      <c r="AN836" s="255"/>
      <c r="AO836" s="255"/>
      <c r="AP836" s="255"/>
      <c r="AQ836" s="255"/>
      <c r="AR836" s="255"/>
      <c r="AS836" s="255"/>
      <c r="AT836" s="255"/>
      <c r="AU836" s="255"/>
      <c r="AV836" s="255"/>
      <c r="AW836" s="255"/>
      <c r="AX836" s="210"/>
      <c r="AY836" s="236" cm="1">
        <f t="array" ref="AY836">INDEX(Use, $AD836, 4)</f>
        <v>7</v>
      </c>
      <c r="AZ836" s="236">
        <f t="shared" si="752"/>
        <v>32</v>
      </c>
      <c r="BA836" s="236">
        <f t="shared" si="740"/>
        <v>13</v>
      </c>
      <c r="BB836" s="236">
        <f t="shared" si="741"/>
        <v>0</v>
      </c>
      <c r="BC836" s="252" cm="1">
        <f t="array" ref="BC836">K836/IF($L836&gt;0, INDEX($AO$23:$AU$77, $L836+20, $AD836), 1)</f>
        <v>0</v>
      </c>
      <c r="BD836" s="237">
        <f t="shared" si="753"/>
        <v>0</v>
      </c>
      <c r="BE836" s="236">
        <v>35</v>
      </c>
      <c r="BF836" s="237">
        <f t="shared" si="754"/>
        <v>52.55</v>
      </c>
      <c r="BG836" s="253">
        <f t="shared" si="755"/>
        <v>2.7676728869374316</v>
      </c>
      <c r="BH836" s="253" cm="1">
        <f t="array" ref="BH836">$BC836 * SUMPRODUCT(INDEX($AL$77:$AN$82,,$AE836),INDEX($AO$77:$AU$82,,$AD836), N($AK$77:$AK$82&gt;$AI836)) / BG836 / 1000</f>
        <v>0</v>
      </c>
      <c r="BI836" s="250">
        <f t="shared" si="742"/>
        <v>30</v>
      </c>
      <c r="BJ836" s="237">
        <f t="shared" si="756"/>
        <v>46.033333333333331</v>
      </c>
      <c r="BK836" s="253">
        <f t="shared" si="757"/>
        <v>3.2297395388556791</v>
      </c>
      <c r="BL836" s="253" cm="1">
        <f t="array" ref="BL836">$BC836 * IF($AD836&lt;=2,
SUMPRODUCT(INDEX($AL$72:$AN$76,,$AE836), INDEX($AO$72:$AU$76,,$AD836), 1 / ($AV$72:$AV$76*BK836 + (1-$AV$72:$AV$76)*BG836), N($AK$72:$AK$76&gt;$AI836)),
SUMPRODUCT(INDEX($AL$67:$AN$76,,$AE836), INDEX($AO$67:$AU$76,,$AD836), 1 / ($AW$67:$AW$76*BK836 + (1-$AW$67:$AW$76)*BG836), N($AK$67:$AK$76&gt;$AI836))
) / 1000</f>
        <v>0</v>
      </c>
      <c r="BM836" s="250">
        <f t="shared" si="743"/>
        <v>25</v>
      </c>
      <c r="BN836" s="237">
        <f t="shared" si="758"/>
        <v>39.516666666666666</v>
      </c>
      <c r="BO836" s="253">
        <f t="shared" si="759"/>
        <v>3.877011788826243</v>
      </c>
      <c r="BP836" s="253" cm="1">
        <f t="array" ref="BP836">$BC836 * IF($AD836&lt;=2,
SUMPRODUCT(INDEX($AL$67:$AN$71,,$AE836), INDEX($AO$67:$AU$71,,$AD836), 1 / ($AV$67:$AV$71*BO836 + (1-$AV$67:$AV$71)*BK836), N($AK$67:$AK$71&gt;$AI836)),
SUMPRODUCT(INDEX($AL$57:$AN$66,,$AE836), INDEX($AO$57:$AU$66,,$AD836), 1 / ($AW$57:$AW$66*BO836 + (1-$AW$57:$AW$66)*BK836), N($AK$57:$AK$66&gt;$AI836))
) / 1000</f>
        <v>0</v>
      </c>
      <c r="BQ836" s="250">
        <f t="shared" si="744"/>
        <v>20</v>
      </c>
      <c r="BR836" s="237">
        <f t="shared" si="760"/>
        <v>33</v>
      </c>
      <c r="BS836" s="253">
        <f t="shared" si="761"/>
        <v>4.8487499999999999</v>
      </c>
      <c r="BT836" s="253" cm="1">
        <f t="array" ref="BT836">$BC836 * IF($AD836&lt;=2,
SUMPRODUCT(INDEX($AL$62:$AN$66,,$AE836), INDEX($AO$62:$AU$66,,$AD836), 1 / ($AV$62:$AV$66*BS836 + (1-$AV$62:$AV$66)*BO836), N($AK$62:$AK$66&gt;$AI836)),
SUMPRODUCT(INDEX($AL$47:$AN$56,,$AE836), INDEX($AO$47:$AU$56,,$AD836), 1 / ($AW$47:$AW$56*BS836 + (1-$AW$47:$AW$56)*BO836), N($AK$47:$AK$56&gt;$AI836))
) / 1000</f>
        <v>0</v>
      </c>
      <c r="BU836" s="253" cm="1">
        <f t="array" ref="BU836">$BC836 * IF($AD836&lt;=2,
SUMPRODUCT(INDEX($AL$23:$AN$61,,$AE836), INDEX($AO$23:$AU$61,,$AD836), 1 / ($AV$23:$AV$61*BS836), N($AK$23:$AK$61&gt;$AI836)),
SUMPRODUCT(INDEX($AL$23:$AN$46,,$AE836), INDEX($AO$23:$AU$46,,$AD836), 1 / ($AW$23:$AW$46*BS836), N($AK$23:$AK$46&gt;$AI836))
) / 1000</f>
        <v>0</v>
      </c>
      <c r="BV836" s="237">
        <f t="shared" si="762"/>
        <v>0</v>
      </c>
      <c r="BW836" s="210"/>
      <c r="BX836" s="237">
        <f t="shared" si="763"/>
        <v>0</v>
      </c>
      <c r="BY836" s="236">
        <v>35</v>
      </c>
      <c r="BZ836" s="237">
        <f t="shared" si="764"/>
        <v>48</v>
      </c>
      <c r="CA836" s="253">
        <f t="shared" si="765"/>
        <v>3.0748170731707316</v>
      </c>
      <c r="CB836" s="253" cm="1">
        <f t="array" ref="CB836">$BC836 * SUMPRODUCT(INDEX($AL$77:$AN$82,,$AE836),INDEX($AO$77:$AU$82,,$AD836), N($AK$77:$AK$82&gt;$AI836)) / CA836 / 1000</f>
        <v>0</v>
      </c>
      <c r="CC836" s="250">
        <f t="shared" si="745"/>
        <v>30</v>
      </c>
      <c r="CD836" s="237">
        <f t="shared" si="766"/>
        <v>43</v>
      </c>
      <c r="CE836" s="253">
        <f t="shared" si="767"/>
        <v>3.5018750000000001</v>
      </c>
      <c r="CF836" s="253" cm="1">
        <f t="array" ref="CF836">$BC836 * IF($AD836&lt;=2,
SUMPRODUCT(INDEX($AL$72:$AN$76,,$AE836), INDEX($AO$72:$AU$76,,$AD836), 1 / ($AV$72:$AV$76*CE836 + (1-$AV$72:$AV$76)*CA836), N($AK$72:$AK$76&gt;$AI836)),
SUMPRODUCT(INDEX($AL$67:$AN$76,,$AE836), INDEX($AO$67:$AU$76,,$AD836), 1 / ($AW$67:$AW$76*CE836 + (1-$AW$67:$AW$76)*CA836), N($AK$67:$AK$76&gt;$AI836))
) / 1000</f>
        <v>0</v>
      </c>
      <c r="CG836" s="250">
        <f t="shared" si="746"/>
        <v>25</v>
      </c>
      <c r="CH836" s="237">
        <f t="shared" si="768"/>
        <v>38</v>
      </c>
      <c r="CI836" s="253">
        <f t="shared" si="769"/>
        <v>4.0666935483870965</v>
      </c>
      <c r="CJ836" s="253" cm="1">
        <f t="array" ref="CJ836">$BC836 * IF($AD836&lt;=2,
SUMPRODUCT(INDEX($AL$67:$AN$71,,$AE836), INDEX($AO$67:$AU$71,,$AD836), 1 / ($AV$67:$AV$71*CI836 + (1-$AV$67:$AV$71)*CE836), N($AK$67:$AK$71&gt;$AI836)),
SUMPRODUCT(INDEX($AL$57:$AN$66,,$AE836), INDEX($AO$57:$AU$66,,$AD836), 1 / ($AW$57:$AW$66*CI836 + (1-$AW$57:$AW$66)*CE836), N($AK$57:$AK$66&gt;$AI836))
) / 1000</f>
        <v>0</v>
      </c>
      <c r="CK836" s="250">
        <f t="shared" si="747"/>
        <v>20</v>
      </c>
      <c r="CL836" s="237">
        <f t="shared" si="770"/>
        <v>33</v>
      </c>
      <c r="CM836" s="253">
        <f t="shared" si="771"/>
        <v>4.8487499999999999</v>
      </c>
      <c r="CN836" s="253" cm="1">
        <f t="array" ref="CN836">$BC836 * IF($AD836&lt;=2,
SUMPRODUCT(INDEX($AL$62:$AN$66,,$AE836), INDEX($AO$62:$AU$66,,$AD836), 1 / ($AV$62:$AV$66*CM836 + (1-$AV$62:$AV$66)*CI836), N($AK$62:$AK$66&gt;$AI836)),
SUMPRODUCT(INDEX($AL$47:$AN$56,,$AE836), INDEX($AO$47:$AU$56,,$AD836), 1 / ($AW$47:$AW$56*CM836 + (1-$AW$47:$AW$56)*CI836), N($AK$47:$AK$56&gt;$AI836))
) / 1000</f>
        <v>0</v>
      </c>
      <c r="CO836" s="253" cm="1">
        <f t="array" ref="CO836">$BC836 * IF($AD836&lt;=2,
SUMPRODUCT(INDEX($AL$23:$AN$61,,$AE836), INDEX($AO$23:$AU$61,,$AD836), 1 / ($AV$23:$AV$61*CM836), N($AK$23:$AK$61&gt;$AI836)),
SUMPRODUCT(INDEX($AL$23:$AN$46,,$AE836), INDEX($AO$23:$AU$46,,$AD836), 1 / ($AW$23:$AW$46*CM836), N($AK$23:$AK$46&gt;$AI836))
) / 1000</f>
        <v>0</v>
      </c>
      <c r="CP836" s="237">
        <f t="shared" si="772"/>
        <v>0</v>
      </c>
      <c r="CQ836" s="210"/>
    </row>
    <row r="837" spans="1:95" s="76" customFormat="1" ht="14.25" customHeight="1" x14ac:dyDescent="0.2">
      <c r="A837" s="238" t="b">
        <f t="shared" si="739"/>
        <v>0</v>
      </c>
      <c r="B837" s="239">
        <v>815</v>
      </c>
      <c r="C837" s="258"/>
      <c r="D837" s="258"/>
      <c r="E837" s="240"/>
      <c r="F837" s="241" t="str">
        <f>IF(ISBLANK(E837), "", VLOOKUP(E837, Z!$A$2:$C$4127, 3, FALSE))</f>
        <v/>
      </c>
      <c r="G837" s="242"/>
      <c r="H837" s="242"/>
      <c r="I837" s="243"/>
      <c r="J837" s="244"/>
      <c r="K837" s="259"/>
      <c r="L837" s="260"/>
      <c r="M837" s="247" t="str" cm="1">
        <f t="array" ref="M837">IF($K837&gt;0, INDEX(Clean,1+AG837,$C$1), "")</f>
        <v/>
      </c>
      <c r="N837" s="245"/>
      <c r="O837" s="245"/>
      <c r="P837" s="246"/>
      <c r="Q837" s="248">
        <f t="shared" si="749"/>
        <v>0</v>
      </c>
      <c r="R837" s="247" t="str" cm="1">
        <f t="array" ref="R837">IF($K837&gt;0, INDEX(Clean,1+AH837,$C$1), "")</f>
        <v/>
      </c>
      <c r="S837" s="245"/>
      <c r="T837" s="245"/>
      <c r="U837" s="246"/>
      <c r="V837" s="248">
        <f t="shared" si="750"/>
        <v>0</v>
      </c>
      <c r="W837" s="261"/>
      <c r="X837" s="258"/>
      <c r="Y837" s="240"/>
      <c r="Z837" s="241" t="str">
        <f>IF(ISBLANK(Y837), "", VLOOKUP(Y837, Z!$A$2:$C$4127, 3, FALSE))</f>
        <v/>
      </c>
      <c r="AA837" s="262"/>
      <c r="AB837" s="249">
        <f t="shared" si="748"/>
        <v>0</v>
      </c>
      <c r="AC837" s="210"/>
      <c r="AD837" s="236">
        <f t="shared" si="773"/>
        <v>1</v>
      </c>
      <c r="AE837" s="236">
        <f t="shared" si="774"/>
        <v>1</v>
      </c>
      <c r="AF837" s="236">
        <f t="shared" si="775"/>
        <v>0</v>
      </c>
      <c r="AG837" s="236">
        <v>1</v>
      </c>
      <c r="AH837" s="236">
        <v>0</v>
      </c>
      <c r="AI837" s="236">
        <f t="shared" si="751"/>
        <v>-100</v>
      </c>
      <c r="AJ837" s="210"/>
      <c r="AK837" s="254"/>
      <c r="AL837" s="254"/>
      <c r="AM837" s="255"/>
      <c r="AN837" s="255"/>
      <c r="AO837" s="255"/>
      <c r="AP837" s="255"/>
      <c r="AQ837" s="255"/>
      <c r="AR837" s="255"/>
      <c r="AS837" s="255"/>
      <c r="AT837" s="255"/>
      <c r="AU837" s="255"/>
      <c r="AV837" s="255"/>
      <c r="AW837" s="255"/>
      <c r="AX837" s="210"/>
      <c r="AY837" s="236" cm="1">
        <f t="array" ref="AY837">INDEX(Use, $AD837, 4)</f>
        <v>7</v>
      </c>
      <c r="AZ837" s="236">
        <f t="shared" si="752"/>
        <v>32</v>
      </c>
      <c r="BA837" s="236">
        <f t="shared" si="740"/>
        <v>13</v>
      </c>
      <c r="BB837" s="236">
        <f t="shared" si="741"/>
        <v>0</v>
      </c>
      <c r="BC837" s="252" cm="1">
        <f t="array" ref="BC837">K837/IF($L837&gt;0, INDEX($AO$23:$AU$77, $L837+20, $AD837), 1)</f>
        <v>0</v>
      </c>
      <c r="BD837" s="237">
        <f t="shared" si="753"/>
        <v>0</v>
      </c>
      <c r="BE837" s="236">
        <v>35</v>
      </c>
      <c r="BF837" s="237">
        <f t="shared" si="754"/>
        <v>52.55</v>
      </c>
      <c r="BG837" s="253">
        <f t="shared" si="755"/>
        <v>2.7676728869374316</v>
      </c>
      <c r="BH837" s="253" cm="1">
        <f t="array" ref="BH837">$BC837 * SUMPRODUCT(INDEX($AL$77:$AN$82,,$AE837),INDEX($AO$77:$AU$82,,$AD837), N($AK$77:$AK$82&gt;$AI837)) / BG837 / 1000</f>
        <v>0</v>
      </c>
      <c r="BI837" s="250">
        <f t="shared" si="742"/>
        <v>30</v>
      </c>
      <c r="BJ837" s="237">
        <f t="shared" si="756"/>
        <v>46.033333333333331</v>
      </c>
      <c r="BK837" s="253">
        <f t="shared" si="757"/>
        <v>3.2297395388556791</v>
      </c>
      <c r="BL837" s="253" cm="1">
        <f t="array" ref="BL837">$BC837 * IF($AD837&lt;=2,
SUMPRODUCT(INDEX($AL$72:$AN$76,,$AE837), INDEX($AO$72:$AU$76,,$AD837), 1 / ($AV$72:$AV$76*BK837 + (1-$AV$72:$AV$76)*BG837), N($AK$72:$AK$76&gt;$AI837)),
SUMPRODUCT(INDEX($AL$67:$AN$76,,$AE837), INDEX($AO$67:$AU$76,,$AD837), 1 / ($AW$67:$AW$76*BK837 + (1-$AW$67:$AW$76)*BG837), N($AK$67:$AK$76&gt;$AI837))
) / 1000</f>
        <v>0</v>
      </c>
      <c r="BM837" s="250">
        <f t="shared" si="743"/>
        <v>25</v>
      </c>
      <c r="BN837" s="237">
        <f t="shared" si="758"/>
        <v>39.516666666666666</v>
      </c>
      <c r="BO837" s="253">
        <f t="shared" si="759"/>
        <v>3.877011788826243</v>
      </c>
      <c r="BP837" s="253" cm="1">
        <f t="array" ref="BP837">$BC837 * IF($AD837&lt;=2,
SUMPRODUCT(INDEX($AL$67:$AN$71,,$AE837), INDEX($AO$67:$AU$71,,$AD837), 1 / ($AV$67:$AV$71*BO837 + (1-$AV$67:$AV$71)*BK837), N($AK$67:$AK$71&gt;$AI837)),
SUMPRODUCT(INDEX($AL$57:$AN$66,,$AE837), INDEX($AO$57:$AU$66,,$AD837), 1 / ($AW$57:$AW$66*BO837 + (1-$AW$57:$AW$66)*BK837), N($AK$57:$AK$66&gt;$AI837))
) / 1000</f>
        <v>0</v>
      </c>
      <c r="BQ837" s="250">
        <f t="shared" si="744"/>
        <v>20</v>
      </c>
      <c r="BR837" s="237">
        <f t="shared" si="760"/>
        <v>33</v>
      </c>
      <c r="BS837" s="253">
        <f t="shared" si="761"/>
        <v>4.8487499999999999</v>
      </c>
      <c r="BT837" s="253" cm="1">
        <f t="array" ref="BT837">$BC837 * IF($AD837&lt;=2,
SUMPRODUCT(INDEX($AL$62:$AN$66,,$AE837), INDEX($AO$62:$AU$66,,$AD837), 1 / ($AV$62:$AV$66*BS837 + (1-$AV$62:$AV$66)*BO837), N($AK$62:$AK$66&gt;$AI837)),
SUMPRODUCT(INDEX($AL$47:$AN$56,,$AE837), INDEX($AO$47:$AU$56,,$AD837), 1 / ($AW$47:$AW$56*BS837 + (1-$AW$47:$AW$56)*BO837), N($AK$47:$AK$56&gt;$AI837))
) / 1000</f>
        <v>0</v>
      </c>
      <c r="BU837" s="253" cm="1">
        <f t="array" ref="BU837">$BC837 * IF($AD837&lt;=2,
SUMPRODUCT(INDEX($AL$23:$AN$61,,$AE837), INDEX($AO$23:$AU$61,,$AD837), 1 / ($AV$23:$AV$61*BS837), N($AK$23:$AK$61&gt;$AI837)),
SUMPRODUCT(INDEX($AL$23:$AN$46,,$AE837), INDEX($AO$23:$AU$46,,$AD837), 1 / ($AW$23:$AW$46*BS837), N($AK$23:$AK$46&gt;$AI837))
) / 1000</f>
        <v>0</v>
      </c>
      <c r="BV837" s="237">
        <f t="shared" si="762"/>
        <v>0</v>
      </c>
      <c r="BW837" s="210"/>
      <c r="BX837" s="237">
        <f t="shared" si="763"/>
        <v>0</v>
      </c>
      <c r="BY837" s="236">
        <v>35</v>
      </c>
      <c r="BZ837" s="237">
        <f t="shared" si="764"/>
        <v>48</v>
      </c>
      <c r="CA837" s="253">
        <f t="shared" si="765"/>
        <v>3.0748170731707316</v>
      </c>
      <c r="CB837" s="253" cm="1">
        <f t="array" ref="CB837">$BC837 * SUMPRODUCT(INDEX($AL$77:$AN$82,,$AE837),INDEX($AO$77:$AU$82,,$AD837), N($AK$77:$AK$82&gt;$AI837)) / CA837 / 1000</f>
        <v>0</v>
      </c>
      <c r="CC837" s="250">
        <f t="shared" si="745"/>
        <v>30</v>
      </c>
      <c r="CD837" s="237">
        <f t="shared" si="766"/>
        <v>43</v>
      </c>
      <c r="CE837" s="253">
        <f t="shared" si="767"/>
        <v>3.5018750000000001</v>
      </c>
      <c r="CF837" s="253" cm="1">
        <f t="array" ref="CF837">$BC837 * IF($AD837&lt;=2,
SUMPRODUCT(INDEX($AL$72:$AN$76,,$AE837), INDEX($AO$72:$AU$76,,$AD837), 1 / ($AV$72:$AV$76*CE837 + (1-$AV$72:$AV$76)*CA837), N($AK$72:$AK$76&gt;$AI837)),
SUMPRODUCT(INDEX($AL$67:$AN$76,,$AE837), INDEX($AO$67:$AU$76,,$AD837), 1 / ($AW$67:$AW$76*CE837 + (1-$AW$67:$AW$76)*CA837), N($AK$67:$AK$76&gt;$AI837))
) / 1000</f>
        <v>0</v>
      </c>
      <c r="CG837" s="250">
        <f t="shared" si="746"/>
        <v>25</v>
      </c>
      <c r="CH837" s="237">
        <f t="shared" si="768"/>
        <v>38</v>
      </c>
      <c r="CI837" s="253">
        <f t="shared" si="769"/>
        <v>4.0666935483870965</v>
      </c>
      <c r="CJ837" s="253" cm="1">
        <f t="array" ref="CJ837">$BC837 * IF($AD837&lt;=2,
SUMPRODUCT(INDEX($AL$67:$AN$71,,$AE837), INDEX($AO$67:$AU$71,,$AD837), 1 / ($AV$67:$AV$71*CI837 + (1-$AV$67:$AV$71)*CE837), N($AK$67:$AK$71&gt;$AI837)),
SUMPRODUCT(INDEX($AL$57:$AN$66,,$AE837), INDEX($AO$57:$AU$66,,$AD837), 1 / ($AW$57:$AW$66*CI837 + (1-$AW$57:$AW$66)*CE837), N($AK$57:$AK$66&gt;$AI837))
) / 1000</f>
        <v>0</v>
      </c>
      <c r="CK837" s="250">
        <f t="shared" si="747"/>
        <v>20</v>
      </c>
      <c r="CL837" s="237">
        <f t="shared" si="770"/>
        <v>33</v>
      </c>
      <c r="CM837" s="253">
        <f t="shared" si="771"/>
        <v>4.8487499999999999</v>
      </c>
      <c r="CN837" s="253" cm="1">
        <f t="array" ref="CN837">$BC837 * IF($AD837&lt;=2,
SUMPRODUCT(INDEX($AL$62:$AN$66,,$AE837), INDEX($AO$62:$AU$66,,$AD837), 1 / ($AV$62:$AV$66*CM837 + (1-$AV$62:$AV$66)*CI837), N($AK$62:$AK$66&gt;$AI837)),
SUMPRODUCT(INDEX($AL$47:$AN$56,,$AE837), INDEX($AO$47:$AU$56,,$AD837), 1 / ($AW$47:$AW$56*CM837 + (1-$AW$47:$AW$56)*CI837), N($AK$47:$AK$56&gt;$AI837))
) / 1000</f>
        <v>0</v>
      </c>
      <c r="CO837" s="253" cm="1">
        <f t="array" ref="CO837">$BC837 * IF($AD837&lt;=2,
SUMPRODUCT(INDEX($AL$23:$AN$61,,$AE837), INDEX($AO$23:$AU$61,,$AD837), 1 / ($AV$23:$AV$61*CM837), N($AK$23:$AK$61&gt;$AI837)),
SUMPRODUCT(INDEX($AL$23:$AN$46,,$AE837), INDEX($AO$23:$AU$46,,$AD837), 1 / ($AW$23:$AW$46*CM837), N($AK$23:$AK$46&gt;$AI837))
) / 1000</f>
        <v>0</v>
      </c>
      <c r="CP837" s="237">
        <f t="shared" si="772"/>
        <v>0</v>
      </c>
      <c r="CQ837" s="210"/>
    </row>
    <row r="838" spans="1:95" s="76" customFormat="1" ht="14.25" customHeight="1" x14ac:dyDescent="0.2">
      <c r="A838" s="238" t="b">
        <f t="shared" si="739"/>
        <v>0</v>
      </c>
      <c r="B838" s="239">
        <v>816</v>
      </c>
      <c r="C838" s="258"/>
      <c r="D838" s="258"/>
      <c r="E838" s="240"/>
      <c r="F838" s="241" t="str">
        <f>IF(ISBLANK(E838), "", VLOOKUP(E838, Z!$A$2:$C$4127, 3, FALSE))</f>
        <v/>
      </c>
      <c r="G838" s="242"/>
      <c r="H838" s="242"/>
      <c r="I838" s="243"/>
      <c r="J838" s="244"/>
      <c r="K838" s="259"/>
      <c r="L838" s="260"/>
      <c r="M838" s="247" t="str" cm="1">
        <f t="array" ref="M838">IF($K838&gt;0, INDEX(Clean,1+AG838,$C$1), "")</f>
        <v/>
      </c>
      <c r="N838" s="245"/>
      <c r="O838" s="245"/>
      <c r="P838" s="246"/>
      <c r="Q838" s="248">
        <f t="shared" si="749"/>
        <v>0</v>
      </c>
      <c r="R838" s="247" t="str" cm="1">
        <f t="array" ref="R838">IF($K838&gt;0, INDEX(Clean,1+AH838,$C$1), "")</f>
        <v/>
      </c>
      <c r="S838" s="245"/>
      <c r="T838" s="245"/>
      <c r="U838" s="246"/>
      <c r="V838" s="248">
        <f t="shared" si="750"/>
        <v>0</v>
      </c>
      <c r="W838" s="261"/>
      <c r="X838" s="258"/>
      <c r="Y838" s="240"/>
      <c r="Z838" s="241" t="str">
        <f>IF(ISBLANK(Y838), "", VLOOKUP(Y838, Z!$A$2:$C$4127, 3, FALSE))</f>
        <v/>
      </c>
      <c r="AA838" s="262"/>
      <c r="AB838" s="249">
        <f t="shared" si="748"/>
        <v>0</v>
      </c>
      <c r="AC838" s="210"/>
      <c r="AD838" s="236">
        <f t="shared" si="773"/>
        <v>1</v>
      </c>
      <c r="AE838" s="236">
        <f t="shared" si="774"/>
        <v>1</v>
      </c>
      <c r="AF838" s="236">
        <f t="shared" si="775"/>
        <v>0</v>
      </c>
      <c r="AG838" s="236">
        <v>1</v>
      </c>
      <c r="AH838" s="236">
        <v>0</v>
      </c>
      <c r="AI838" s="236">
        <f t="shared" si="751"/>
        <v>-100</v>
      </c>
      <c r="AJ838" s="210"/>
      <c r="AK838" s="254"/>
      <c r="AL838" s="254"/>
      <c r="AM838" s="255"/>
      <c r="AN838" s="255"/>
      <c r="AO838" s="255"/>
      <c r="AP838" s="255"/>
      <c r="AQ838" s="255"/>
      <c r="AR838" s="255"/>
      <c r="AS838" s="255"/>
      <c r="AT838" s="255"/>
      <c r="AU838" s="255"/>
      <c r="AV838" s="255"/>
      <c r="AW838" s="255"/>
      <c r="AX838" s="210"/>
      <c r="AY838" s="236" cm="1">
        <f t="array" ref="AY838">INDEX(Use, $AD838, 4)</f>
        <v>7</v>
      </c>
      <c r="AZ838" s="236">
        <f t="shared" si="752"/>
        <v>32</v>
      </c>
      <c r="BA838" s="236">
        <f t="shared" si="740"/>
        <v>13</v>
      </c>
      <c r="BB838" s="236">
        <f t="shared" si="741"/>
        <v>0</v>
      </c>
      <c r="BC838" s="252" cm="1">
        <f t="array" ref="BC838">K838/IF($L838&gt;0, INDEX($AO$23:$AU$77, $L838+20, $AD838), 1)</f>
        <v>0</v>
      </c>
      <c r="BD838" s="237">
        <f t="shared" si="753"/>
        <v>0</v>
      </c>
      <c r="BE838" s="236">
        <v>35</v>
      </c>
      <c r="BF838" s="237">
        <f t="shared" si="754"/>
        <v>52.55</v>
      </c>
      <c r="BG838" s="253">
        <f t="shared" si="755"/>
        <v>2.7676728869374316</v>
      </c>
      <c r="BH838" s="253" cm="1">
        <f t="array" ref="BH838">$BC838 * SUMPRODUCT(INDEX($AL$77:$AN$82,,$AE838),INDEX($AO$77:$AU$82,,$AD838), N($AK$77:$AK$82&gt;$AI838)) / BG838 / 1000</f>
        <v>0</v>
      </c>
      <c r="BI838" s="250">
        <f t="shared" si="742"/>
        <v>30</v>
      </c>
      <c r="BJ838" s="237">
        <f t="shared" si="756"/>
        <v>46.033333333333331</v>
      </c>
      <c r="BK838" s="253">
        <f t="shared" si="757"/>
        <v>3.2297395388556791</v>
      </c>
      <c r="BL838" s="253" cm="1">
        <f t="array" ref="BL838">$BC838 * IF($AD838&lt;=2,
SUMPRODUCT(INDEX($AL$72:$AN$76,,$AE838), INDEX($AO$72:$AU$76,,$AD838), 1 / ($AV$72:$AV$76*BK838 + (1-$AV$72:$AV$76)*BG838), N($AK$72:$AK$76&gt;$AI838)),
SUMPRODUCT(INDEX($AL$67:$AN$76,,$AE838), INDEX($AO$67:$AU$76,,$AD838), 1 / ($AW$67:$AW$76*BK838 + (1-$AW$67:$AW$76)*BG838), N($AK$67:$AK$76&gt;$AI838))
) / 1000</f>
        <v>0</v>
      </c>
      <c r="BM838" s="250">
        <f t="shared" si="743"/>
        <v>25</v>
      </c>
      <c r="BN838" s="237">
        <f t="shared" si="758"/>
        <v>39.516666666666666</v>
      </c>
      <c r="BO838" s="253">
        <f t="shared" si="759"/>
        <v>3.877011788826243</v>
      </c>
      <c r="BP838" s="253" cm="1">
        <f t="array" ref="BP838">$BC838 * IF($AD838&lt;=2,
SUMPRODUCT(INDEX($AL$67:$AN$71,,$AE838), INDEX($AO$67:$AU$71,,$AD838), 1 / ($AV$67:$AV$71*BO838 + (1-$AV$67:$AV$71)*BK838), N($AK$67:$AK$71&gt;$AI838)),
SUMPRODUCT(INDEX($AL$57:$AN$66,,$AE838), INDEX($AO$57:$AU$66,,$AD838), 1 / ($AW$57:$AW$66*BO838 + (1-$AW$57:$AW$66)*BK838), N($AK$57:$AK$66&gt;$AI838))
) / 1000</f>
        <v>0</v>
      </c>
      <c r="BQ838" s="250">
        <f t="shared" si="744"/>
        <v>20</v>
      </c>
      <c r="BR838" s="237">
        <f t="shared" si="760"/>
        <v>33</v>
      </c>
      <c r="BS838" s="253">
        <f t="shared" si="761"/>
        <v>4.8487499999999999</v>
      </c>
      <c r="BT838" s="253" cm="1">
        <f t="array" ref="BT838">$BC838 * IF($AD838&lt;=2,
SUMPRODUCT(INDEX($AL$62:$AN$66,,$AE838), INDEX($AO$62:$AU$66,,$AD838), 1 / ($AV$62:$AV$66*BS838 + (1-$AV$62:$AV$66)*BO838), N($AK$62:$AK$66&gt;$AI838)),
SUMPRODUCT(INDEX($AL$47:$AN$56,,$AE838), INDEX($AO$47:$AU$56,,$AD838), 1 / ($AW$47:$AW$56*BS838 + (1-$AW$47:$AW$56)*BO838), N($AK$47:$AK$56&gt;$AI838))
) / 1000</f>
        <v>0</v>
      </c>
      <c r="BU838" s="253" cm="1">
        <f t="array" ref="BU838">$BC838 * IF($AD838&lt;=2,
SUMPRODUCT(INDEX($AL$23:$AN$61,,$AE838), INDEX($AO$23:$AU$61,,$AD838), 1 / ($AV$23:$AV$61*BS838), N($AK$23:$AK$61&gt;$AI838)),
SUMPRODUCT(INDEX($AL$23:$AN$46,,$AE838), INDEX($AO$23:$AU$46,,$AD838), 1 / ($AW$23:$AW$46*BS838), N($AK$23:$AK$46&gt;$AI838))
) / 1000</f>
        <v>0</v>
      </c>
      <c r="BV838" s="237">
        <f t="shared" si="762"/>
        <v>0</v>
      </c>
      <c r="BW838" s="210"/>
      <c r="BX838" s="237">
        <f t="shared" si="763"/>
        <v>0</v>
      </c>
      <c r="BY838" s="236">
        <v>35</v>
      </c>
      <c r="BZ838" s="237">
        <f t="shared" si="764"/>
        <v>48</v>
      </c>
      <c r="CA838" s="253">
        <f t="shared" si="765"/>
        <v>3.0748170731707316</v>
      </c>
      <c r="CB838" s="253" cm="1">
        <f t="array" ref="CB838">$BC838 * SUMPRODUCT(INDEX($AL$77:$AN$82,,$AE838),INDEX($AO$77:$AU$82,,$AD838), N($AK$77:$AK$82&gt;$AI838)) / CA838 / 1000</f>
        <v>0</v>
      </c>
      <c r="CC838" s="250">
        <f t="shared" si="745"/>
        <v>30</v>
      </c>
      <c r="CD838" s="237">
        <f t="shared" si="766"/>
        <v>43</v>
      </c>
      <c r="CE838" s="253">
        <f t="shared" si="767"/>
        <v>3.5018750000000001</v>
      </c>
      <c r="CF838" s="253" cm="1">
        <f t="array" ref="CF838">$BC838 * IF($AD838&lt;=2,
SUMPRODUCT(INDEX($AL$72:$AN$76,,$AE838), INDEX($AO$72:$AU$76,,$AD838), 1 / ($AV$72:$AV$76*CE838 + (1-$AV$72:$AV$76)*CA838), N($AK$72:$AK$76&gt;$AI838)),
SUMPRODUCT(INDEX($AL$67:$AN$76,,$AE838), INDEX($AO$67:$AU$76,,$AD838), 1 / ($AW$67:$AW$76*CE838 + (1-$AW$67:$AW$76)*CA838), N($AK$67:$AK$76&gt;$AI838))
) / 1000</f>
        <v>0</v>
      </c>
      <c r="CG838" s="250">
        <f t="shared" si="746"/>
        <v>25</v>
      </c>
      <c r="CH838" s="237">
        <f t="shared" si="768"/>
        <v>38</v>
      </c>
      <c r="CI838" s="253">
        <f t="shared" si="769"/>
        <v>4.0666935483870965</v>
      </c>
      <c r="CJ838" s="253" cm="1">
        <f t="array" ref="CJ838">$BC838 * IF($AD838&lt;=2,
SUMPRODUCT(INDEX($AL$67:$AN$71,,$AE838), INDEX($AO$67:$AU$71,,$AD838), 1 / ($AV$67:$AV$71*CI838 + (1-$AV$67:$AV$71)*CE838), N($AK$67:$AK$71&gt;$AI838)),
SUMPRODUCT(INDEX($AL$57:$AN$66,,$AE838), INDEX($AO$57:$AU$66,,$AD838), 1 / ($AW$57:$AW$66*CI838 + (1-$AW$57:$AW$66)*CE838), N($AK$57:$AK$66&gt;$AI838))
) / 1000</f>
        <v>0</v>
      </c>
      <c r="CK838" s="250">
        <f t="shared" si="747"/>
        <v>20</v>
      </c>
      <c r="CL838" s="237">
        <f t="shared" si="770"/>
        <v>33</v>
      </c>
      <c r="CM838" s="253">
        <f t="shared" si="771"/>
        <v>4.8487499999999999</v>
      </c>
      <c r="CN838" s="253" cm="1">
        <f t="array" ref="CN838">$BC838 * IF($AD838&lt;=2,
SUMPRODUCT(INDEX($AL$62:$AN$66,,$AE838), INDEX($AO$62:$AU$66,,$AD838), 1 / ($AV$62:$AV$66*CM838 + (1-$AV$62:$AV$66)*CI838), N($AK$62:$AK$66&gt;$AI838)),
SUMPRODUCT(INDEX($AL$47:$AN$56,,$AE838), INDEX($AO$47:$AU$56,,$AD838), 1 / ($AW$47:$AW$56*CM838 + (1-$AW$47:$AW$56)*CI838), N($AK$47:$AK$56&gt;$AI838))
) / 1000</f>
        <v>0</v>
      </c>
      <c r="CO838" s="253" cm="1">
        <f t="array" ref="CO838">$BC838 * IF($AD838&lt;=2,
SUMPRODUCT(INDEX($AL$23:$AN$61,,$AE838), INDEX($AO$23:$AU$61,,$AD838), 1 / ($AV$23:$AV$61*CM838), N($AK$23:$AK$61&gt;$AI838)),
SUMPRODUCT(INDEX($AL$23:$AN$46,,$AE838), INDEX($AO$23:$AU$46,,$AD838), 1 / ($AW$23:$AW$46*CM838), N($AK$23:$AK$46&gt;$AI838))
) / 1000</f>
        <v>0</v>
      </c>
      <c r="CP838" s="237">
        <f t="shared" si="772"/>
        <v>0</v>
      </c>
      <c r="CQ838" s="210"/>
    </row>
    <row r="839" spans="1:95" s="76" customFormat="1" ht="14.25" customHeight="1" x14ac:dyDescent="0.2">
      <c r="A839" s="238" t="b">
        <f t="shared" si="739"/>
        <v>0</v>
      </c>
      <c r="B839" s="239">
        <v>817</v>
      </c>
      <c r="C839" s="258"/>
      <c r="D839" s="258"/>
      <c r="E839" s="240"/>
      <c r="F839" s="241" t="str">
        <f>IF(ISBLANK(E839), "", VLOOKUP(E839, Z!$A$2:$C$4127, 3, FALSE))</f>
        <v/>
      </c>
      <c r="G839" s="242"/>
      <c r="H839" s="242"/>
      <c r="I839" s="243"/>
      <c r="J839" s="244"/>
      <c r="K839" s="259"/>
      <c r="L839" s="260"/>
      <c r="M839" s="247" t="str" cm="1">
        <f t="array" ref="M839">IF($K839&gt;0, INDEX(Clean,1+AG839,$C$1), "")</f>
        <v/>
      </c>
      <c r="N839" s="245"/>
      <c r="O839" s="245"/>
      <c r="P839" s="246"/>
      <c r="Q839" s="248">
        <f t="shared" si="749"/>
        <v>0</v>
      </c>
      <c r="R839" s="247" t="str" cm="1">
        <f t="array" ref="R839">IF($K839&gt;0, INDEX(Clean,1+AH839,$C$1), "")</f>
        <v/>
      </c>
      <c r="S839" s="245"/>
      <c r="T839" s="245"/>
      <c r="U839" s="246"/>
      <c r="V839" s="248">
        <f t="shared" si="750"/>
        <v>0</v>
      </c>
      <c r="W839" s="261"/>
      <c r="X839" s="258"/>
      <c r="Y839" s="240"/>
      <c r="Z839" s="241" t="str">
        <f>IF(ISBLANK(Y839), "", VLOOKUP(Y839, Z!$A$2:$C$4127, 3, FALSE))</f>
        <v/>
      </c>
      <c r="AA839" s="262"/>
      <c r="AB839" s="249">
        <f t="shared" si="748"/>
        <v>0</v>
      </c>
      <c r="AC839" s="210"/>
      <c r="AD839" s="236">
        <f t="shared" si="773"/>
        <v>1</v>
      </c>
      <c r="AE839" s="236">
        <f t="shared" si="774"/>
        <v>1</v>
      </c>
      <c r="AF839" s="236">
        <f t="shared" si="775"/>
        <v>0</v>
      </c>
      <c r="AG839" s="236">
        <v>1</v>
      </c>
      <c r="AH839" s="236">
        <v>0</v>
      </c>
      <c r="AI839" s="236">
        <f t="shared" si="751"/>
        <v>-100</v>
      </c>
      <c r="AJ839" s="210"/>
      <c r="AK839" s="254"/>
      <c r="AL839" s="254"/>
      <c r="AM839" s="255"/>
      <c r="AN839" s="255"/>
      <c r="AO839" s="255"/>
      <c r="AP839" s="255"/>
      <c r="AQ839" s="255"/>
      <c r="AR839" s="255"/>
      <c r="AS839" s="255"/>
      <c r="AT839" s="255"/>
      <c r="AU839" s="255"/>
      <c r="AV839" s="255"/>
      <c r="AW839" s="255"/>
      <c r="AX839" s="210"/>
      <c r="AY839" s="236" cm="1">
        <f t="array" ref="AY839">INDEX(Use, $AD839, 4)</f>
        <v>7</v>
      </c>
      <c r="AZ839" s="236">
        <f t="shared" si="752"/>
        <v>32</v>
      </c>
      <c r="BA839" s="236">
        <f t="shared" si="740"/>
        <v>13</v>
      </c>
      <c r="BB839" s="236">
        <f t="shared" si="741"/>
        <v>0</v>
      </c>
      <c r="BC839" s="252" cm="1">
        <f t="array" ref="BC839">K839/IF($L839&gt;0, INDEX($AO$23:$AU$77, $L839+20, $AD839), 1)</f>
        <v>0</v>
      </c>
      <c r="BD839" s="237">
        <f t="shared" si="753"/>
        <v>0</v>
      </c>
      <c r="BE839" s="236">
        <v>35</v>
      </c>
      <c r="BF839" s="237">
        <f t="shared" si="754"/>
        <v>52.55</v>
      </c>
      <c r="BG839" s="253">
        <f t="shared" si="755"/>
        <v>2.7676728869374316</v>
      </c>
      <c r="BH839" s="253" cm="1">
        <f t="array" ref="BH839">$BC839 * SUMPRODUCT(INDEX($AL$77:$AN$82,,$AE839),INDEX($AO$77:$AU$82,,$AD839), N($AK$77:$AK$82&gt;$AI839)) / BG839 / 1000</f>
        <v>0</v>
      </c>
      <c r="BI839" s="250">
        <f t="shared" si="742"/>
        <v>30</v>
      </c>
      <c r="BJ839" s="237">
        <f t="shared" si="756"/>
        <v>46.033333333333331</v>
      </c>
      <c r="BK839" s="253">
        <f t="shared" si="757"/>
        <v>3.2297395388556791</v>
      </c>
      <c r="BL839" s="253" cm="1">
        <f t="array" ref="BL839">$BC839 * IF($AD839&lt;=2,
SUMPRODUCT(INDEX($AL$72:$AN$76,,$AE839), INDEX($AO$72:$AU$76,,$AD839), 1 / ($AV$72:$AV$76*BK839 + (1-$AV$72:$AV$76)*BG839), N($AK$72:$AK$76&gt;$AI839)),
SUMPRODUCT(INDEX($AL$67:$AN$76,,$AE839), INDEX($AO$67:$AU$76,,$AD839), 1 / ($AW$67:$AW$76*BK839 + (1-$AW$67:$AW$76)*BG839), N($AK$67:$AK$76&gt;$AI839))
) / 1000</f>
        <v>0</v>
      </c>
      <c r="BM839" s="250">
        <f t="shared" si="743"/>
        <v>25</v>
      </c>
      <c r="BN839" s="237">
        <f t="shared" si="758"/>
        <v>39.516666666666666</v>
      </c>
      <c r="BO839" s="253">
        <f t="shared" si="759"/>
        <v>3.877011788826243</v>
      </c>
      <c r="BP839" s="253" cm="1">
        <f t="array" ref="BP839">$BC839 * IF($AD839&lt;=2,
SUMPRODUCT(INDEX($AL$67:$AN$71,,$AE839), INDEX($AO$67:$AU$71,,$AD839), 1 / ($AV$67:$AV$71*BO839 + (1-$AV$67:$AV$71)*BK839), N($AK$67:$AK$71&gt;$AI839)),
SUMPRODUCT(INDEX($AL$57:$AN$66,,$AE839), INDEX($AO$57:$AU$66,,$AD839), 1 / ($AW$57:$AW$66*BO839 + (1-$AW$57:$AW$66)*BK839), N($AK$57:$AK$66&gt;$AI839))
) / 1000</f>
        <v>0</v>
      </c>
      <c r="BQ839" s="250">
        <f t="shared" si="744"/>
        <v>20</v>
      </c>
      <c r="BR839" s="237">
        <f t="shared" si="760"/>
        <v>33</v>
      </c>
      <c r="BS839" s="253">
        <f t="shared" si="761"/>
        <v>4.8487499999999999</v>
      </c>
      <c r="BT839" s="253" cm="1">
        <f t="array" ref="BT839">$BC839 * IF($AD839&lt;=2,
SUMPRODUCT(INDEX($AL$62:$AN$66,,$AE839), INDEX($AO$62:$AU$66,,$AD839), 1 / ($AV$62:$AV$66*BS839 + (1-$AV$62:$AV$66)*BO839), N($AK$62:$AK$66&gt;$AI839)),
SUMPRODUCT(INDEX($AL$47:$AN$56,,$AE839), INDEX($AO$47:$AU$56,,$AD839), 1 / ($AW$47:$AW$56*BS839 + (1-$AW$47:$AW$56)*BO839), N($AK$47:$AK$56&gt;$AI839))
) / 1000</f>
        <v>0</v>
      </c>
      <c r="BU839" s="253" cm="1">
        <f t="array" ref="BU839">$BC839 * IF($AD839&lt;=2,
SUMPRODUCT(INDEX($AL$23:$AN$61,,$AE839), INDEX($AO$23:$AU$61,,$AD839), 1 / ($AV$23:$AV$61*BS839), N($AK$23:$AK$61&gt;$AI839)),
SUMPRODUCT(INDEX($AL$23:$AN$46,,$AE839), INDEX($AO$23:$AU$46,,$AD839), 1 / ($AW$23:$AW$46*BS839), N($AK$23:$AK$46&gt;$AI839))
) / 1000</f>
        <v>0</v>
      </c>
      <c r="BV839" s="237">
        <f t="shared" si="762"/>
        <v>0</v>
      </c>
      <c r="BW839" s="210"/>
      <c r="BX839" s="237">
        <f t="shared" si="763"/>
        <v>0</v>
      </c>
      <c r="BY839" s="236">
        <v>35</v>
      </c>
      <c r="BZ839" s="237">
        <f t="shared" si="764"/>
        <v>48</v>
      </c>
      <c r="CA839" s="253">
        <f t="shared" si="765"/>
        <v>3.0748170731707316</v>
      </c>
      <c r="CB839" s="253" cm="1">
        <f t="array" ref="CB839">$BC839 * SUMPRODUCT(INDEX($AL$77:$AN$82,,$AE839),INDEX($AO$77:$AU$82,,$AD839), N($AK$77:$AK$82&gt;$AI839)) / CA839 / 1000</f>
        <v>0</v>
      </c>
      <c r="CC839" s="250">
        <f t="shared" si="745"/>
        <v>30</v>
      </c>
      <c r="CD839" s="237">
        <f t="shared" si="766"/>
        <v>43</v>
      </c>
      <c r="CE839" s="253">
        <f t="shared" si="767"/>
        <v>3.5018750000000001</v>
      </c>
      <c r="CF839" s="253" cm="1">
        <f t="array" ref="CF839">$BC839 * IF($AD839&lt;=2,
SUMPRODUCT(INDEX($AL$72:$AN$76,,$AE839), INDEX($AO$72:$AU$76,,$AD839), 1 / ($AV$72:$AV$76*CE839 + (1-$AV$72:$AV$76)*CA839), N($AK$72:$AK$76&gt;$AI839)),
SUMPRODUCT(INDEX($AL$67:$AN$76,,$AE839), INDEX($AO$67:$AU$76,,$AD839), 1 / ($AW$67:$AW$76*CE839 + (1-$AW$67:$AW$76)*CA839), N($AK$67:$AK$76&gt;$AI839))
) / 1000</f>
        <v>0</v>
      </c>
      <c r="CG839" s="250">
        <f t="shared" si="746"/>
        <v>25</v>
      </c>
      <c r="CH839" s="237">
        <f t="shared" si="768"/>
        <v>38</v>
      </c>
      <c r="CI839" s="253">
        <f t="shared" si="769"/>
        <v>4.0666935483870965</v>
      </c>
      <c r="CJ839" s="253" cm="1">
        <f t="array" ref="CJ839">$BC839 * IF($AD839&lt;=2,
SUMPRODUCT(INDEX($AL$67:$AN$71,,$AE839), INDEX($AO$67:$AU$71,,$AD839), 1 / ($AV$67:$AV$71*CI839 + (1-$AV$67:$AV$71)*CE839), N($AK$67:$AK$71&gt;$AI839)),
SUMPRODUCT(INDEX($AL$57:$AN$66,,$AE839), INDEX($AO$57:$AU$66,,$AD839), 1 / ($AW$57:$AW$66*CI839 + (1-$AW$57:$AW$66)*CE839), N($AK$57:$AK$66&gt;$AI839))
) / 1000</f>
        <v>0</v>
      </c>
      <c r="CK839" s="250">
        <f t="shared" si="747"/>
        <v>20</v>
      </c>
      <c r="CL839" s="237">
        <f t="shared" si="770"/>
        <v>33</v>
      </c>
      <c r="CM839" s="253">
        <f t="shared" si="771"/>
        <v>4.8487499999999999</v>
      </c>
      <c r="CN839" s="253" cm="1">
        <f t="array" ref="CN839">$BC839 * IF($AD839&lt;=2,
SUMPRODUCT(INDEX($AL$62:$AN$66,,$AE839), INDEX($AO$62:$AU$66,,$AD839), 1 / ($AV$62:$AV$66*CM839 + (1-$AV$62:$AV$66)*CI839), N($AK$62:$AK$66&gt;$AI839)),
SUMPRODUCT(INDEX($AL$47:$AN$56,,$AE839), INDEX($AO$47:$AU$56,,$AD839), 1 / ($AW$47:$AW$56*CM839 + (1-$AW$47:$AW$56)*CI839), N($AK$47:$AK$56&gt;$AI839))
) / 1000</f>
        <v>0</v>
      </c>
      <c r="CO839" s="253" cm="1">
        <f t="array" ref="CO839">$BC839 * IF($AD839&lt;=2,
SUMPRODUCT(INDEX($AL$23:$AN$61,,$AE839), INDEX($AO$23:$AU$61,,$AD839), 1 / ($AV$23:$AV$61*CM839), N($AK$23:$AK$61&gt;$AI839)),
SUMPRODUCT(INDEX($AL$23:$AN$46,,$AE839), INDEX($AO$23:$AU$46,,$AD839), 1 / ($AW$23:$AW$46*CM839), N($AK$23:$AK$46&gt;$AI839))
) / 1000</f>
        <v>0</v>
      </c>
      <c r="CP839" s="237">
        <f t="shared" si="772"/>
        <v>0</v>
      </c>
      <c r="CQ839" s="210"/>
    </row>
    <row r="840" spans="1:95" s="76" customFormat="1" ht="14.25" customHeight="1" x14ac:dyDescent="0.2">
      <c r="A840" s="238" t="b">
        <f t="shared" si="739"/>
        <v>0</v>
      </c>
      <c r="B840" s="239">
        <v>818</v>
      </c>
      <c r="C840" s="258"/>
      <c r="D840" s="258"/>
      <c r="E840" s="240"/>
      <c r="F840" s="241" t="str">
        <f>IF(ISBLANK(E840), "", VLOOKUP(E840, Z!$A$2:$C$4127, 3, FALSE))</f>
        <v/>
      </c>
      <c r="G840" s="242"/>
      <c r="H840" s="242"/>
      <c r="I840" s="243"/>
      <c r="J840" s="244"/>
      <c r="K840" s="259"/>
      <c r="L840" s="260"/>
      <c r="M840" s="247" t="str" cm="1">
        <f t="array" ref="M840">IF($K840&gt;0, INDEX(Clean,1+AG840,$C$1), "")</f>
        <v/>
      </c>
      <c r="N840" s="245"/>
      <c r="O840" s="245"/>
      <c r="P840" s="246"/>
      <c r="Q840" s="248">
        <f t="shared" si="749"/>
        <v>0</v>
      </c>
      <c r="R840" s="247" t="str" cm="1">
        <f t="array" ref="R840">IF($K840&gt;0, INDEX(Clean,1+AH840,$C$1), "")</f>
        <v/>
      </c>
      <c r="S840" s="245"/>
      <c r="T840" s="245"/>
      <c r="U840" s="246"/>
      <c r="V840" s="248">
        <f t="shared" si="750"/>
        <v>0</v>
      </c>
      <c r="W840" s="261"/>
      <c r="X840" s="258"/>
      <c r="Y840" s="240"/>
      <c r="Z840" s="241" t="str">
        <f>IF(ISBLANK(Y840), "", VLOOKUP(Y840, Z!$A$2:$C$4127, 3, FALSE))</f>
        <v/>
      </c>
      <c r="AA840" s="262"/>
      <c r="AB840" s="249">
        <f t="shared" si="748"/>
        <v>0</v>
      </c>
      <c r="AC840" s="210"/>
      <c r="AD840" s="236">
        <f t="shared" si="773"/>
        <v>1</v>
      </c>
      <c r="AE840" s="236">
        <f t="shared" si="774"/>
        <v>1</v>
      </c>
      <c r="AF840" s="236">
        <f t="shared" si="775"/>
        <v>0</v>
      </c>
      <c r="AG840" s="236">
        <v>1</v>
      </c>
      <c r="AH840" s="236">
        <v>0</v>
      </c>
      <c r="AI840" s="236">
        <f t="shared" si="751"/>
        <v>-100</v>
      </c>
      <c r="AJ840" s="210"/>
      <c r="AK840" s="254"/>
      <c r="AL840" s="254"/>
      <c r="AM840" s="255"/>
      <c r="AN840" s="255"/>
      <c r="AO840" s="255"/>
      <c r="AP840" s="255"/>
      <c r="AQ840" s="255"/>
      <c r="AR840" s="255"/>
      <c r="AS840" s="255"/>
      <c r="AT840" s="255"/>
      <c r="AU840" s="255"/>
      <c r="AV840" s="255"/>
      <c r="AW840" s="255"/>
      <c r="AX840" s="210"/>
      <c r="AY840" s="236" cm="1">
        <f t="array" ref="AY840">INDEX(Use, $AD840, 4)</f>
        <v>7</v>
      </c>
      <c r="AZ840" s="236">
        <f t="shared" si="752"/>
        <v>32</v>
      </c>
      <c r="BA840" s="236">
        <f t="shared" si="740"/>
        <v>13</v>
      </c>
      <c r="BB840" s="236">
        <f t="shared" si="741"/>
        <v>0</v>
      </c>
      <c r="BC840" s="252" cm="1">
        <f t="array" ref="BC840">K840/IF($L840&gt;0, INDEX($AO$23:$AU$77, $L840+20, $AD840), 1)</f>
        <v>0</v>
      </c>
      <c r="BD840" s="237">
        <f t="shared" si="753"/>
        <v>0</v>
      </c>
      <c r="BE840" s="236">
        <v>35</v>
      </c>
      <c r="BF840" s="237">
        <f t="shared" si="754"/>
        <v>52.55</v>
      </c>
      <c r="BG840" s="253">
        <f t="shared" si="755"/>
        <v>2.7676728869374316</v>
      </c>
      <c r="BH840" s="253" cm="1">
        <f t="array" ref="BH840">$BC840 * SUMPRODUCT(INDEX($AL$77:$AN$82,,$AE840),INDEX($AO$77:$AU$82,,$AD840), N($AK$77:$AK$82&gt;$AI840)) / BG840 / 1000</f>
        <v>0</v>
      </c>
      <c r="BI840" s="250">
        <f t="shared" si="742"/>
        <v>30</v>
      </c>
      <c r="BJ840" s="237">
        <f t="shared" si="756"/>
        <v>46.033333333333331</v>
      </c>
      <c r="BK840" s="253">
        <f t="shared" si="757"/>
        <v>3.2297395388556791</v>
      </c>
      <c r="BL840" s="253" cm="1">
        <f t="array" ref="BL840">$BC840 * IF($AD840&lt;=2,
SUMPRODUCT(INDEX($AL$72:$AN$76,,$AE840), INDEX($AO$72:$AU$76,,$AD840), 1 / ($AV$72:$AV$76*BK840 + (1-$AV$72:$AV$76)*BG840), N($AK$72:$AK$76&gt;$AI840)),
SUMPRODUCT(INDEX($AL$67:$AN$76,,$AE840), INDEX($AO$67:$AU$76,,$AD840), 1 / ($AW$67:$AW$76*BK840 + (1-$AW$67:$AW$76)*BG840), N($AK$67:$AK$76&gt;$AI840))
) / 1000</f>
        <v>0</v>
      </c>
      <c r="BM840" s="250">
        <f t="shared" si="743"/>
        <v>25</v>
      </c>
      <c r="BN840" s="237">
        <f t="shared" si="758"/>
        <v>39.516666666666666</v>
      </c>
      <c r="BO840" s="253">
        <f t="shared" si="759"/>
        <v>3.877011788826243</v>
      </c>
      <c r="BP840" s="253" cm="1">
        <f t="array" ref="BP840">$BC840 * IF($AD840&lt;=2,
SUMPRODUCT(INDEX($AL$67:$AN$71,,$AE840), INDEX($AO$67:$AU$71,,$AD840), 1 / ($AV$67:$AV$71*BO840 + (1-$AV$67:$AV$71)*BK840), N($AK$67:$AK$71&gt;$AI840)),
SUMPRODUCT(INDEX($AL$57:$AN$66,,$AE840), INDEX($AO$57:$AU$66,,$AD840), 1 / ($AW$57:$AW$66*BO840 + (1-$AW$57:$AW$66)*BK840), N($AK$57:$AK$66&gt;$AI840))
) / 1000</f>
        <v>0</v>
      </c>
      <c r="BQ840" s="250">
        <f t="shared" si="744"/>
        <v>20</v>
      </c>
      <c r="BR840" s="237">
        <f t="shared" si="760"/>
        <v>33</v>
      </c>
      <c r="BS840" s="253">
        <f t="shared" si="761"/>
        <v>4.8487499999999999</v>
      </c>
      <c r="BT840" s="253" cm="1">
        <f t="array" ref="BT840">$BC840 * IF($AD840&lt;=2,
SUMPRODUCT(INDEX($AL$62:$AN$66,,$AE840), INDEX($AO$62:$AU$66,,$AD840), 1 / ($AV$62:$AV$66*BS840 + (1-$AV$62:$AV$66)*BO840), N($AK$62:$AK$66&gt;$AI840)),
SUMPRODUCT(INDEX($AL$47:$AN$56,,$AE840), INDEX($AO$47:$AU$56,,$AD840), 1 / ($AW$47:$AW$56*BS840 + (1-$AW$47:$AW$56)*BO840), N($AK$47:$AK$56&gt;$AI840))
) / 1000</f>
        <v>0</v>
      </c>
      <c r="BU840" s="253" cm="1">
        <f t="array" ref="BU840">$BC840 * IF($AD840&lt;=2,
SUMPRODUCT(INDEX($AL$23:$AN$61,,$AE840), INDEX($AO$23:$AU$61,,$AD840), 1 / ($AV$23:$AV$61*BS840), N($AK$23:$AK$61&gt;$AI840)),
SUMPRODUCT(INDEX($AL$23:$AN$46,,$AE840), INDEX($AO$23:$AU$46,,$AD840), 1 / ($AW$23:$AW$46*BS840), N($AK$23:$AK$46&gt;$AI840))
) / 1000</f>
        <v>0</v>
      </c>
      <c r="BV840" s="237">
        <f t="shared" si="762"/>
        <v>0</v>
      </c>
      <c r="BW840" s="210"/>
      <c r="BX840" s="237">
        <f t="shared" si="763"/>
        <v>0</v>
      </c>
      <c r="BY840" s="236">
        <v>35</v>
      </c>
      <c r="BZ840" s="237">
        <f t="shared" si="764"/>
        <v>48</v>
      </c>
      <c r="CA840" s="253">
        <f t="shared" si="765"/>
        <v>3.0748170731707316</v>
      </c>
      <c r="CB840" s="253" cm="1">
        <f t="array" ref="CB840">$BC840 * SUMPRODUCT(INDEX($AL$77:$AN$82,,$AE840),INDEX($AO$77:$AU$82,,$AD840), N($AK$77:$AK$82&gt;$AI840)) / CA840 / 1000</f>
        <v>0</v>
      </c>
      <c r="CC840" s="250">
        <f t="shared" si="745"/>
        <v>30</v>
      </c>
      <c r="CD840" s="237">
        <f t="shared" si="766"/>
        <v>43</v>
      </c>
      <c r="CE840" s="253">
        <f t="shared" si="767"/>
        <v>3.5018750000000001</v>
      </c>
      <c r="CF840" s="253" cm="1">
        <f t="array" ref="CF840">$BC840 * IF($AD840&lt;=2,
SUMPRODUCT(INDEX($AL$72:$AN$76,,$AE840), INDEX($AO$72:$AU$76,,$AD840), 1 / ($AV$72:$AV$76*CE840 + (1-$AV$72:$AV$76)*CA840), N($AK$72:$AK$76&gt;$AI840)),
SUMPRODUCT(INDEX($AL$67:$AN$76,,$AE840), INDEX($AO$67:$AU$76,,$AD840), 1 / ($AW$67:$AW$76*CE840 + (1-$AW$67:$AW$76)*CA840), N($AK$67:$AK$76&gt;$AI840))
) / 1000</f>
        <v>0</v>
      </c>
      <c r="CG840" s="250">
        <f t="shared" si="746"/>
        <v>25</v>
      </c>
      <c r="CH840" s="237">
        <f t="shared" si="768"/>
        <v>38</v>
      </c>
      <c r="CI840" s="253">
        <f t="shared" si="769"/>
        <v>4.0666935483870965</v>
      </c>
      <c r="CJ840" s="253" cm="1">
        <f t="array" ref="CJ840">$BC840 * IF($AD840&lt;=2,
SUMPRODUCT(INDEX($AL$67:$AN$71,,$AE840), INDEX($AO$67:$AU$71,,$AD840), 1 / ($AV$67:$AV$71*CI840 + (1-$AV$67:$AV$71)*CE840), N($AK$67:$AK$71&gt;$AI840)),
SUMPRODUCT(INDEX($AL$57:$AN$66,,$AE840), INDEX($AO$57:$AU$66,,$AD840), 1 / ($AW$57:$AW$66*CI840 + (1-$AW$57:$AW$66)*CE840), N($AK$57:$AK$66&gt;$AI840))
) / 1000</f>
        <v>0</v>
      </c>
      <c r="CK840" s="250">
        <f t="shared" si="747"/>
        <v>20</v>
      </c>
      <c r="CL840" s="237">
        <f t="shared" si="770"/>
        <v>33</v>
      </c>
      <c r="CM840" s="253">
        <f t="shared" si="771"/>
        <v>4.8487499999999999</v>
      </c>
      <c r="CN840" s="253" cm="1">
        <f t="array" ref="CN840">$BC840 * IF($AD840&lt;=2,
SUMPRODUCT(INDEX($AL$62:$AN$66,,$AE840), INDEX($AO$62:$AU$66,,$AD840), 1 / ($AV$62:$AV$66*CM840 + (1-$AV$62:$AV$66)*CI840), N($AK$62:$AK$66&gt;$AI840)),
SUMPRODUCT(INDEX($AL$47:$AN$56,,$AE840), INDEX($AO$47:$AU$56,,$AD840), 1 / ($AW$47:$AW$56*CM840 + (1-$AW$47:$AW$56)*CI840), N($AK$47:$AK$56&gt;$AI840))
) / 1000</f>
        <v>0</v>
      </c>
      <c r="CO840" s="253" cm="1">
        <f t="array" ref="CO840">$BC840 * IF($AD840&lt;=2,
SUMPRODUCT(INDEX($AL$23:$AN$61,,$AE840), INDEX($AO$23:$AU$61,,$AD840), 1 / ($AV$23:$AV$61*CM840), N($AK$23:$AK$61&gt;$AI840)),
SUMPRODUCT(INDEX($AL$23:$AN$46,,$AE840), INDEX($AO$23:$AU$46,,$AD840), 1 / ($AW$23:$AW$46*CM840), N($AK$23:$AK$46&gt;$AI840))
) / 1000</f>
        <v>0</v>
      </c>
      <c r="CP840" s="237">
        <f t="shared" si="772"/>
        <v>0</v>
      </c>
      <c r="CQ840" s="210"/>
    </row>
    <row r="841" spans="1:95" s="76" customFormat="1" ht="14.25" customHeight="1" x14ac:dyDescent="0.2">
      <c r="A841" s="238" t="b">
        <f t="shared" si="739"/>
        <v>0</v>
      </c>
      <c r="B841" s="239">
        <v>819</v>
      </c>
      <c r="C841" s="258"/>
      <c r="D841" s="258"/>
      <c r="E841" s="240"/>
      <c r="F841" s="241" t="str">
        <f>IF(ISBLANK(E841), "", VLOOKUP(E841, Z!$A$2:$C$4127, 3, FALSE))</f>
        <v/>
      </c>
      <c r="G841" s="242"/>
      <c r="H841" s="242"/>
      <c r="I841" s="243"/>
      <c r="J841" s="244"/>
      <c r="K841" s="259"/>
      <c r="L841" s="260"/>
      <c r="M841" s="247" t="str" cm="1">
        <f t="array" ref="M841">IF($K841&gt;0, INDEX(Clean,1+AG841,$C$1), "")</f>
        <v/>
      </c>
      <c r="N841" s="245"/>
      <c r="O841" s="245"/>
      <c r="P841" s="246"/>
      <c r="Q841" s="248">
        <f t="shared" si="749"/>
        <v>0</v>
      </c>
      <c r="R841" s="247" t="str" cm="1">
        <f t="array" ref="R841">IF($K841&gt;0, INDEX(Clean,1+AH841,$C$1), "")</f>
        <v/>
      </c>
      <c r="S841" s="245"/>
      <c r="T841" s="245"/>
      <c r="U841" s="246"/>
      <c r="V841" s="248">
        <f t="shared" si="750"/>
        <v>0</v>
      </c>
      <c r="W841" s="261"/>
      <c r="X841" s="258"/>
      <c r="Y841" s="240"/>
      <c r="Z841" s="241" t="str">
        <f>IF(ISBLANK(Y841), "", VLOOKUP(Y841, Z!$A$2:$C$4127, 3, FALSE))</f>
        <v/>
      </c>
      <c r="AA841" s="262"/>
      <c r="AB841" s="249">
        <f t="shared" si="748"/>
        <v>0</v>
      </c>
      <c r="AC841" s="210"/>
      <c r="AD841" s="236">
        <f t="shared" si="773"/>
        <v>1</v>
      </c>
      <c r="AE841" s="236">
        <f t="shared" si="774"/>
        <v>1</v>
      </c>
      <c r="AF841" s="236">
        <f t="shared" si="775"/>
        <v>0</v>
      </c>
      <c r="AG841" s="236">
        <v>1</v>
      </c>
      <c r="AH841" s="236">
        <v>0</v>
      </c>
      <c r="AI841" s="236">
        <f t="shared" si="751"/>
        <v>-100</v>
      </c>
      <c r="AJ841" s="210"/>
      <c r="AK841" s="254"/>
      <c r="AL841" s="254"/>
      <c r="AM841" s="255"/>
      <c r="AN841" s="255"/>
      <c r="AO841" s="255"/>
      <c r="AP841" s="255"/>
      <c r="AQ841" s="255"/>
      <c r="AR841" s="255"/>
      <c r="AS841" s="255"/>
      <c r="AT841" s="255"/>
      <c r="AU841" s="255"/>
      <c r="AV841" s="255"/>
      <c r="AW841" s="255"/>
      <c r="AX841" s="210"/>
      <c r="AY841" s="236" cm="1">
        <f t="array" ref="AY841">INDEX(Use, $AD841, 4)</f>
        <v>7</v>
      </c>
      <c r="AZ841" s="236">
        <f t="shared" si="752"/>
        <v>32</v>
      </c>
      <c r="BA841" s="236">
        <f t="shared" si="740"/>
        <v>13</v>
      </c>
      <c r="BB841" s="236">
        <f t="shared" si="741"/>
        <v>0</v>
      </c>
      <c r="BC841" s="252" cm="1">
        <f t="array" ref="BC841">K841/IF($L841&gt;0, INDEX($AO$23:$AU$77, $L841+20, $AD841), 1)</f>
        <v>0</v>
      </c>
      <c r="BD841" s="237">
        <f t="shared" si="753"/>
        <v>0</v>
      </c>
      <c r="BE841" s="236">
        <v>35</v>
      </c>
      <c r="BF841" s="237">
        <f t="shared" si="754"/>
        <v>52.55</v>
      </c>
      <c r="BG841" s="253">
        <f t="shared" si="755"/>
        <v>2.7676728869374316</v>
      </c>
      <c r="BH841" s="253" cm="1">
        <f t="array" ref="BH841">$BC841 * SUMPRODUCT(INDEX($AL$77:$AN$82,,$AE841),INDEX($AO$77:$AU$82,,$AD841), N($AK$77:$AK$82&gt;$AI841)) / BG841 / 1000</f>
        <v>0</v>
      </c>
      <c r="BI841" s="250">
        <f t="shared" si="742"/>
        <v>30</v>
      </c>
      <c r="BJ841" s="237">
        <f t="shared" si="756"/>
        <v>46.033333333333331</v>
      </c>
      <c r="BK841" s="253">
        <f t="shared" si="757"/>
        <v>3.2297395388556791</v>
      </c>
      <c r="BL841" s="253" cm="1">
        <f t="array" ref="BL841">$BC841 * IF($AD841&lt;=2,
SUMPRODUCT(INDEX($AL$72:$AN$76,,$AE841), INDEX($AO$72:$AU$76,,$AD841), 1 / ($AV$72:$AV$76*BK841 + (1-$AV$72:$AV$76)*BG841), N($AK$72:$AK$76&gt;$AI841)),
SUMPRODUCT(INDEX($AL$67:$AN$76,,$AE841), INDEX($AO$67:$AU$76,,$AD841), 1 / ($AW$67:$AW$76*BK841 + (1-$AW$67:$AW$76)*BG841), N($AK$67:$AK$76&gt;$AI841))
) / 1000</f>
        <v>0</v>
      </c>
      <c r="BM841" s="250">
        <f t="shared" si="743"/>
        <v>25</v>
      </c>
      <c r="BN841" s="237">
        <f t="shared" si="758"/>
        <v>39.516666666666666</v>
      </c>
      <c r="BO841" s="253">
        <f t="shared" si="759"/>
        <v>3.877011788826243</v>
      </c>
      <c r="BP841" s="253" cm="1">
        <f t="array" ref="BP841">$BC841 * IF($AD841&lt;=2,
SUMPRODUCT(INDEX($AL$67:$AN$71,,$AE841), INDEX($AO$67:$AU$71,,$AD841), 1 / ($AV$67:$AV$71*BO841 + (1-$AV$67:$AV$71)*BK841), N($AK$67:$AK$71&gt;$AI841)),
SUMPRODUCT(INDEX($AL$57:$AN$66,,$AE841), INDEX($AO$57:$AU$66,,$AD841), 1 / ($AW$57:$AW$66*BO841 + (1-$AW$57:$AW$66)*BK841), N($AK$57:$AK$66&gt;$AI841))
) / 1000</f>
        <v>0</v>
      </c>
      <c r="BQ841" s="250">
        <f t="shared" si="744"/>
        <v>20</v>
      </c>
      <c r="BR841" s="237">
        <f t="shared" si="760"/>
        <v>33</v>
      </c>
      <c r="BS841" s="253">
        <f t="shared" si="761"/>
        <v>4.8487499999999999</v>
      </c>
      <c r="BT841" s="253" cm="1">
        <f t="array" ref="BT841">$BC841 * IF($AD841&lt;=2,
SUMPRODUCT(INDEX($AL$62:$AN$66,,$AE841), INDEX($AO$62:$AU$66,,$AD841), 1 / ($AV$62:$AV$66*BS841 + (1-$AV$62:$AV$66)*BO841), N($AK$62:$AK$66&gt;$AI841)),
SUMPRODUCT(INDEX($AL$47:$AN$56,,$AE841), INDEX($AO$47:$AU$56,,$AD841), 1 / ($AW$47:$AW$56*BS841 + (1-$AW$47:$AW$56)*BO841), N($AK$47:$AK$56&gt;$AI841))
) / 1000</f>
        <v>0</v>
      </c>
      <c r="BU841" s="253" cm="1">
        <f t="array" ref="BU841">$BC841 * IF($AD841&lt;=2,
SUMPRODUCT(INDEX($AL$23:$AN$61,,$AE841), INDEX($AO$23:$AU$61,,$AD841), 1 / ($AV$23:$AV$61*BS841), N($AK$23:$AK$61&gt;$AI841)),
SUMPRODUCT(INDEX($AL$23:$AN$46,,$AE841), INDEX($AO$23:$AU$46,,$AD841), 1 / ($AW$23:$AW$46*BS841), N($AK$23:$AK$46&gt;$AI841))
) / 1000</f>
        <v>0</v>
      </c>
      <c r="BV841" s="237">
        <f t="shared" si="762"/>
        <v>0</v>
      </c>
      <c r="BW841" s="210"/>
      <c r="BX841" s="237">
        <f t="shared" si="763"/>
        <v>0</v>
      </c>
      <c r="BY841" s="236">
        <v>35</v>
      </c>
      <c r="BZ841" s="237">
        <f t="shared" si="764"/>
        <v>48</v>
      </c>
      <c r="CA841" s="253">
        <f t="shared" si="765"/>
        <v>3.0748170731707316</v>
      </c>
      <c r="CB841" s="253" cm="1">
        <f t="array" ref="CB841">$BC841 * SUMPRODUCT(INDEX($AL$77:$AN$82,,$AE841),INDEX($AO$77:$AU$82,,$AD841), N($AK$77:$AK$82&gt;$AI841)) / CA841 / 1000</f>
        <v>0</v>
      </c>
      <c r="CC841" s="250">
        <f t="shared" si="745"/>
        <v>30</v>
      </c>
      <c r="CD841" s="237">
        <f t="shared" si="766"/>
        <v>43</v>
      </c>
      <c r="CE841" s="253">
        <f t="shared" si="767"/>
        <v>3.5018750000000001</v>
      </c>
      <c r="CF841" s="253" cm="1">
        <f t="array" ref="CF841">$BC841 * IF($AD841&lt;=2,
SUMPRODUCT(INDEX($AL$72:$AN$76,,$AE841), INDEX($AO$72:$AU$76,,$AD841), 1 / ($AV$72:$AV$76*CE841 + (1-$AV$72:$AV$76)*CA841), N($AK$72:$AK$76&gt;$AI841)),
SUMPRODUCT(INDEX($AL$67:$AN$76,,$AE841), INDEX($AO$67:$AU$76,,$AD841), 1 / ($AW$67:$AW$76*CE841 + (1-$AW$67:$AW$76)*CA841), N($AK$67:$AK$76&gt;$AI841))
) / 1000</f>
        <v>0</v>
      </c>
      <c r="CG841" s="250">
        <f t="shared" si="746"/>
        <v>25</v>
      </c>
      <c r="CH841" s="237">
        <f t="shared" si="768"/>
        <v>38</v>
      </c>
      <c r="CI841" s="253">
        <f t="shared" si="769"/>
        <v>4.0666935483870965</v>
      </c>
      <c r="CJ841" s="253" cm="1">
        <f t="array" ref="CJ841">$BC841 * IF($AD841&lt;=2,
SUMPRODUCT(INDEX($AL$67:$AN$71,,$AE841), INDEX($AO$67:$AU$71,,$AD841), 1 / ($AV$67:$AV$71*CI841 + (1-$AV$67:$AV$71)*CE841), N($AK$67:$AK$71&gt;$AI841)),
SUMPRODUCT(INDEX($AL$57:$AN$66,,$AE841), INDEX($AO$57:$AU$66,,$AD841), 1 / ($AW$57:$AW$66*CI841 + (1-$AW$57:$AW$66)*CE841), N($AK$57:$AK$66&gt;$AI841))
) / 1000</f>
        <v>0</v>
      </c>
      <c r="CK841" s="250">
        <f t="shared" si="747"/>
        <v>20</v>
      </c>
      <c r="CL841" s="237">
        <f t="shared" si="770"/>
        <v>33</v>
      </c>
      <c r="CM841" s="253">
        <f t="shared" si="771"/>
        <v>4.8487499999999999</v>
      </c>
      <c r="CN841" s="253" cm="1">
        <f t="array" ref="CN841">$BC841 * IF($AD841&lt;=2,
SUMPRODUCT(INDEX($AL$62:$AN$66,,$AE841), INDEX($AO$62:$AU$66,,$AD841), 1 / ($AV$62:$AV$66*CM841 + (1-$AV$62:$AV$66)*CI841), N($AK$62:$AK$66&gt;$AI841)),
SUMPRODUCT(INDEX($AL$47:$AN$56,,$AE841), INDEX($AO$47:$AU$56,,$AD841), 1 / ($AW$47:$AW$56*CM841 + (1-$AW$47:$AW$56)*CI841), N($AK$47:$AK$56&gt;$AI841))
) / 1000</f>
        <v>0</v>
      </c>
      <c r="CO841" s="253" cm="1">
        <f t="array" ref="CO841">$BC841 * IF($AD841&lt;=2,
SUMPRODUCT(INDEX($AL$23:$AN$61,,$AE841), INDEX($AO$23:$AU$61,,$AD841), 1 / ($AV$23:$AV$61*CM841), N($AK$23:$AK$61&gt;$AI841)),
SUMPRODUCT(INDEX($AL$23:$AN$46,,$AE841), INDEX($AO$23:$AU$46,,$AD841), 1 / ($AW$23:$AW$46*CM841), N($AK$23:$AK$46&gt;$AI841))
) / 1000</f>
        <v>0</v>
      </c>
      <c r="CP841" s="237">
        <f t="shared" si="772"/>
        <v>0</v>
      </c>
      <c r="CQ841" s="210"/>
    </row>
    <row r="842" spans="1:95" s="76" customFormat="1" ht="14.25" customHeight="1" x14ac:dyDescent="0.2">
      <c r="A842" s="238" t="b">
        <f t="shared" si="739"/>
        <v>0</v>
      </c>
      <c r="B842" s="239">
        <v>820</v>
      </c>
      <c r="C842" s="258"/>
      <c r="D842" s="258"/>
      <c r="E842" s="240"/>
      <c r="F842" s="241" t="str">
        <f>IF(ISBLANK(E842), "", VLOOKUP(E842, Z!$A$2:$C$4127, 3, FALSE))</f>
        <v/>
      </c>
      <c r="G842" s="242"/>
      <c r="H842" s="242"/>
      <c r="I842" s="243"/>
      <c r="J842" s="244"/>
      <c r="K842" s="259"/>
      <c r="L842" s="260"/>
      <c r="M842" s="247" t="str" cm="1">
        <f t="array" ref="M842">IF($K842&gt;0, INDEX(Clean,1+AG842,$C$1), "")</f>
        <v/>
      </c>
      <c r="N842" s="245"/>
      <c r="O842" s="245"/>
      <c r="P842" s="246"/>
      <c r="Q842" s="248">
        <f t="shared" si="749"/>
        <v>0</v>
      </c>
      <c r="R842" s="247" t="str" cm="1">
        <f t="array" ref="R842">IF($K842&gt;0, INDEX(Clean,1+AH842,$C$1), "")</f>
        <v/>
      </c>
      <c r="S842" s="245"/>
      <c r="T842" s="245"/>
      <c r="U842" s="246"/>
      <c r="V842" s="248">
        <f t="shared" si="750"/>
        <v>0</v>
      </c>
      <c r="W842" s="261"/>
      <c r="X842" s="258"/>
      <c r="Y842" s="240"/>
      <c r="Z842" s="241" t="str">
        <f>IF(ISBLANK(Y842), "", VLOOKUP(Y842, Z!$A$2:$C$4127, 3, FALSE))</f>
        <v/>
      </c>
      <c r="AA842" s="262"/>
      <c r="AB842" s="249">
        <f t="shared" si="748"/>
        <v>0</v>
      </c>
      <c r="AC842" s="210"/>
      <c r="AD842" s="236">
        <f t="shared" si="773"/>
        <v>1</v>
      </c>
      <c r="AE842" s="236">
        <f t="shared" si="774"/>
        <v>1</v>
      </c>
      <c r="AF842" s="236">
        <f t="shared" si="775"/>
        <v>0</v>
      </c>
      <c r="AG842" s="236">
        <v>1</v>
      </c>
      <c r="AH842" s="236">
        <v>0</v>
      </c>
      <c r="AI842" s="236">
        <f t="shared" si="751"/>
        <v>-100</v>
      </c>
      <c r="AJ842" s="210"/>
      <c r="AK842" s="254"/>
      <c r="AL842" s="254"/>
      <c r="AM842" s="255"/>
      <c r="AN842" s="255"/>
      <c r="AO842" s="255"/>
      <c r="AP842" s="255"/>
      <c r="AQ842" s="255"/>
      <c r="AR842" s="255"/>
      <c r="AS842" s="255"/>
      <c r="AT842" s="255"/>
      <c r="AU842" s="255"/>
      <c r="AV842" s="255"/>
      <c r="AW842" s="255"/>
      <c r="AX842" s="210"/>
      <c r="AY842" s="236" cm="1">
        <f t="array" ref="AY842">INDEX(Use, $AD842, 4)</f>
        <v>7</v>
      </c>
      <c r="AZ842" s="236">
        <f t="shared" si="752"/>
        <v>32</v>
      </c>
      <c r="BA842" s="236">
        <f t="shared" si="740"/>
        <v>13</v>
      </c>
      <c r="BB842" s="236">
        <f t="shared" si="741"/>
        <v>0</v>
      </c>
      <c r="BC842" s="252" cm="1">
        <f t="array" ref="BC842">K842/IF($L842&gt;0, INDEX($AO$23:$AU$77, $L842+20, $AD842), 1)</f>
        <v>0</v>
      </c>
      <c r="BD842" s="237">
        <f t="shared" si="753"/>
        <v>0</v>
      </c>
      <c r="BE842" s="236">
        <v>35</v>
      </c>
      <c r="BF842" s="237">
        <f t="shared" si="754"/>
        <v>52.55</v>
      </c>
      <c r="BG842" s="253">
        <f t="shared" si="755"/>
        <v>2.7676728869374316</v>
      </c>
      <c r="BH842" s="253" cm="1">
        <f t="array" ref="BH842">$BC842 * SUMPRODUCT(INDEX($AL$77:$AN$82,,$AE842),INDEX($AO$77:$AU$82,,$AD842), N($AK$77:$AK$82&gt;$AI842)) / BG842 / 1000</f>
        <v>0</v>
      </c>
      <c r="BI842" s="250">
        <f t="shared" si="742"/>
        <v>30</v>
      </c>
      <c r="BJ842" s="237">
        <f t="shared" si="756"/>
        <v>46.033333333333331</v>
      </c>
      <c r="BK842" s="253">
        <f t="shared" si="757"/>
        <v>3.2297395388556791</v>
      </c>
      <c r="BL842" s="253" cm="1">
        <f t="array" ref="BL842">$BC842 * IF($AD842&lt;=2,
SUMPRODUCT(INDEX($AL$72:$AN$76,,$AE842), INDEX($AO$72:$AU$76,,$AD842), 1 / ($AV$72:$AV$76*BK842 + (1-$AV$72:$AV$76)*BG842), N($AK$72:$AK$76&gt;$AI842)),
SUMPRODUCT(INDEX($AL$67:$AN$76,,$AE842), INDEX($AO$67:$AU$76,,$AD842), 1 / ($AW$67:$AW$76*BK842 + (1-$AW$67:$AW$76)*BG842), N($AK$67:$AK$76&gt;$AI842))
) / 1000</f>
        <v>0</v>
      </c>
      <c r="BM842" s="250">
        <f t="shared" si="743"/>
        <v>25</v>
      </c>
      <c r="BN842" s="237">
        <f t="shared" si="758"/>
        <v>39.516666666666666</v>
      </c>
      <c r="BO842" s="253">
        <f t="shared" si="759"/>
        <v>3.877011788826243</v>
      </c>
      <c r="BP842" s="253" cm="1">
        <f t="array" ref="BP842">$BC842 * IF($AD842&lt;=2,
SUMPRODUCT(INDEX($AL$67:$AN$71,,$AE842), INDEX($AO$67:$AU$71,,$AD842), 1 / ($AV$67:$AV$71*BO842 + (1-$AV$67:$AV$71)*BK842), N($AK$67:$AK$71&gt;$AI842)),
SUMPRODUCT(INDEX($AL$57:$AN$66,,$AE842), INDEX($AO$57:$AU$66,,$AD842), 1 / ($AW$57:$AW$66*BO842 + (1-$AW$57:$AW$66)*BK842), N($AK$57:$AK$66&gt;$AI842))
) / 1000</f>
        <v>0</v>
      </c>
      <c r="BQ842" s="250">
        <f t="shared" si="744"/>
        <v>20</v>
      </c>
      <c r="BR842" s="237">
        <f t="shared" si="760"/>
        <v>33</v>
      </c>
      <c r="BS842" s="253">
        <f t="shared" si="761"/>
        <v>4.8487499999999999</v>
      </c>
      <c r="BT842" s="253" cm="1">
        <f t="array" ref="BT842">$BC842 * IF($AD842&lt;=2,
SUMPRODUCT(INDEX($AL$62:$AN$66,,$AE842), INDEX($AO$62:$AU$66,,$AD842), 1 / ($AV$62:$AV$66*BS842 + (1-$AV$62:$AV$66)*BO842), N($AK$62:$AK$66&gt;$AI842)),
SUMPRODUCT(INDEX($AL$47:$AN$56,,$AE842), INDEX($AO$47:$AU$56,,$AD842), 1 / ($AW$47:$AW$56*BS842 + (1-$AW$47:$AW$56)*BO842), N($AK$47:$AK$56&gt;$AI842))
) / 1000</f>
        <v>0</v>
      </c>
      <c r="BU842" s="253" cm="1">
        <f t="array" ref="BU842">$BC842 * IF($AD842&lt;=2,
SUMPRODUCT(INDEX($AL$23:$AN$61,,$AE842), INDEX($AO$23:$AU$61,,$AD842), 1 / ($AV$23:$AV$61*BS842), N($AK$23:$AK$61&gt;$AI842)),
SUMPRODUCT(INDEX($AL$23:$AN$46,,$AE842), INDEX($AO$23:$AU$46,,$AD842), 1 / ($AW$23:$AW$46*BS842), N($AK$23:$AK$46&gt;$AI842))
) / 1000</f>
        <v>0</v>
      </c>
      <c r="BV842" s="237">
        <f t="shared" si="762"/>
        <v>0</v>
      </c>
      <c r="BW842" s="210"/>
      <c r="BX842" s="237">
        <f t="shared" si="763"/>
        <v>0</v>
      </c>
      <c r="BY842" s="236">
        <v>35</v>
      </c>
      <c r="BZ842" s="237">
        <f t="shared" si="764"/>
        <v>48</v>
      </c>
      <c r="CA842" s="253">
        <f t="shared" si="765"/>
        <v>3.0748170731707316</v>
      </c>
      <c r="CB842" s="253" cm="1">
        <f t="array" ref="CB842">$BC842 * SUMPRODUCT(INDEX($AL$77:$AN$82,,$AE842),INDEX($AO$77:$AU$82,,$AD842), N($AK$77:$AK$82&gt;$AI842)) / CA842 / 1000</f>
        <v>0</v>
      </c>
      <c r="CC842" s="250">
        <f t="shared" si="745"/>
        <v>30</v>
      </c>
      <c r="CD842" s="237">
        <f t="shared" si="766"/>
        <v>43</v>
      </c>
      <c r="CE842" s="253">
        <f t="shared" si="767"/>
        <v>3.5018750000000001</v>
      </c>
      <c r="CF842" s="253" cm="1">
        <f t="array" ref="CF842">$BC842 * IF($AD842&lt;=2,
SUMPRODUCT(INDEX($AL$72:$AN$76,,$AE842), INDEX($AO$72:$AU$76,,$AD842), 1 / ($AV$72:$AV$76*CE842 + (1-$AV$72:$AV$76)*CA842), N($AK$72:$AK$76&gt;$AI842)),
SUMPRODUCT(INDEX($AL$67:$AN$76,,$AE842), INDEX($AO$67:$AU$76,,$AD842), 1 / ($AW$67:$AW$76*CE842 + (1-$AW$67:$AW$76)*CA842), N($AK$67:$AK$76&gt;$AI842))
) / 1000</f>
        <v>0</v>
      </c>
      <c r="CG842" s="250">
        <f t="shared" si="746"/>
        <v>25</v>
      </c>
      <c r="CH842" s="237">
        <f t="shared" si="768"/>
        <v>38</v>
      </c>
      <c r="CI842" s="253">
        <f t="shared" si="769"/>
        <v>4.0666935483870965</v>
      </c>
      <c r="CJ842" s="253" cm="1">
        <f t="array" ref="CJ842">$BC842 * IF($AD842&lt;=2,
SUMPRODUCT(INDEX($AL$67:$AN$71,,$AE842), INDEX($AO$67:$AU$71,,$AD842), 1 / ($AV$67:$AV$71*CI842 + (1-$AV$67:$AV$71)*CE842), N($AK$67:$AK$71&gt;$AI842)),
SUMPRODUCT(INDEX($AL$57:$AN$66,,$AE842), INDEX($AO$57:$AU$66,,$AD842), 1 / ($AW$57:$AW$66*CI842 + (1-$AW$57:$AW$66)*CE842), N($AK$57:$AK$66&gt;$AI842))
) / 1000</f>
        <v>0</v>
      </c>
      <c r="CK842" s="250">
        <f t="shared" si="747"/>
        <v>20</v>
      </c>
      <c r="CL842" s="237">
        <f t="shared" si="770"/>
        <v>33</v>
      </c>
      <c r="CM842" s="253">
        <f t="shared" si="771"/>
        <v>4.8487499999999999</v>
      </c>
      <c r="CN842" s="253" cm="1">
        <f t="array" ref="CN842">$BC842 * IF($AD842&lt;=2,
SUMPRODUCT(INDEX($AL$62:$AN$66,,$AE842), INDEX($AO$62:$AU$66,,$AD842), 1 / ($AV$62:$AV$66*CM842 + (1-$AV$62:$AV$66)*CI842), N($AK$62:$AK$66&gt;$AI842)),
SUMPRODUCT(INDEX($AL$47:$AN$56,,$AE842), INDEX($AO$47:$AU$56,,$AD842), 1 / ($AW$47:$AW$56*CM842 + (1-$AW$47:$AW$56)*CI842), N($AK$47:$AK$56&gt;$AI842))
) / 1000</f>
        <v>0</v>
      </c>
      <c r="CO842" s="253" cm="1">
        <f t="array" ref="CO842">$BC842 * IF($AD842&lt;=2,
SUMPRODUCT(INDEX($AL$23:$AN$61,,$AE842), INDEX($AO$23:$AU$61,,$AD842), 1 / ($AV$23:$AV$61*CM842), N($AK$23:$AK$61&gt;$AI842)),
SUMPRODUCT(INDEX($AL$23:$AN$46,,$AE842), INDEX($AO$23:$AU$46,,$AD842), 1 / ($AW$23:$AW$46*CM842), N($AK$23:$AK$46&gt;$AI842))
) / 1000</f>
        <v>0</v>
      </c>
      <c r="CP842" s="237">
        <f t="shared" si="772"/>
        <v>0</v>
      </c>
      <c r="CQ842" s="210"/>
    </row>
    <row r="843" spans="1:95" s="76" customFormat="1" ht="14.25" customHeight="1" x14ac:dyDescent="0.2">
      <c r="A843" s="238" t="b">
        <f t="shared" si="739"/>
        <v>0</v>
      </c>
      <c r="B843" s="239">
        <v>821</v>
      </c>
      <c r="C843" s="258"/>
      <c r="D843" s="258"/>
      <c r="E843" s="240"/>
      <c r="F843" s="241" t="str">
        <f>IF(ISBLANK(E843), "", VLOOKUP(E843, Z!$A$2:$C$4127, 3, FALSE))</f>
        <v/>
      </c>
      <c r="G843" s="242"/>
      <c r="H843" s="242"/>
      <c r="I843" s="243"/>
      <c r="J843" s="244"/>
      <c r="K843" s="259"/>
      <c r="L843" s="260"/>
      <c r="M843" s="247" t="str" cm="1">
        <f t="array" ref="M843">IF($K843&gt;0, INDEX(Clean,1+AG843,$C$1), "")</f>
        <v/>
      </c>
      <c r="N843" s="245"/>
      <c r="O843" s="245"/>
      <c r="P843" s="246"/>
      <c r="Q843" s="248">
        <f t="shared" si="749"/>
        <v>0</v>
      </c>
      <c r="R843" s="247" t="str" cm="1">
        <f t="array" ref="R843">IF($K843&gt;0, INDEX(Clean,1+AH843,$C$1), "")</f>
        <v/>
      </c>
      <c r="S843" s="245"/>
      <c r="T843" s="245"/>
      <c r="U843" s="246"/>
      <c r="V843" s="248">
        <f t="shared" si="750"/>
        <v>0</v>
      </c>
      <c r="W843" s="261"/>
      <c r="X843" s="258"/>
      <c r="Y843" s="240"/>
      <c r="Z843" s="241" t="str">
        <f>IF(ISBLANK(Y843), "", VLOOKUP(Y843, Z!$A$2:$C$4127, 3, FALSE))</f>
        <v/>
      </c>
      <c r="AA843" s="262"/>
      <c r="AB843" s="249">
        <f t="shared" si="748"/>
        <v>0</v>
      </c>
      <c r="AC843" s="210"/>
      <c r="AD843" s="236">
        <f t="shared" si="773"/>
        <v>1</v>
      </c>
      <c r="AE843" s="236">
        <f t="shared" si="774"/>
        <v>1</v>
      </c>
      <c r="AF843" s="236">
        <f t="shared" si="775"/>
        <v>0</v>
      </c>
      <c r="AG843" s="236">
        <v>1</v>
      </c>
      <c r="AH843" s="236">
        <v>0</v>
      </c>
      <c r="AI843" s="236">
        <f t="shared" si="751"/>
        <v>-100</v>
      </c>
      <c r="AJ843" s="210"/>
      <c r="AK843" s="254"/>
      <c r="AL843" s="254"/>
      <c r="AM843" s="255"/>
      <c r="AN843" s="255"/>
      <c r="AO843" s="255"/>
      <c r="AP843" s="255"/>
      <c r="AQ843" s="255"/>
      <c r="AR843" s="255"/>
      <c r="AS843" s="255"/>
      <c r="AT843" s="255"/>
      <c r="AU843" s="255"/>
      <c r="AV843" s="255"/>
      <c r="AW843" s="255"/>
      <c r="AX843" s="210"/>
      <c r="AY843" s="236" cm="1">
        <f t="array" ref="AY843">INDEX(Use, $AD843, 4)</f>
        <v>7</v>
      </c>
      <c r="AZ843" s="236">
        <f t="shared" si="752"/>
        <v>32</v>
      </c>
      <c r="BA843" s="236">
        <f t="shared" si="740"/>
        <v>13</v>
      </c>
      <c r="BB843" s="236">
        <f t="shared" si="741"/>
        <v>0</v>
      </c>
      <c r="BC843" s="252" cm="1">
        <f t="array" ref="BC843">K843/IF($L843&gt;0, INDEX($AO$23:$AU$77, $L843+20, $AD843), 1)</f>
        <v>0</v>
      </c>
      <c r="BD843" s="237">
        <f t="shared" si="753"/>
        <v>0</v>
      </c>
      <c r="BE843" s="236">
        <v>35</v>
      </c>
      <c r="BF843" s="237">
        <f t="shared" si="754"/>
        <v>52.55</v>
      </c>
      <c r="BG843" s="253">
        <f t="shared" si="755"/>
        <v>2.7676728869374316</v>
      </c>
      <c r="BH843" s="253" cm="1">
        <f t="array" ref="BH843">$BC843 * SUMPRODUCT(INDEX($AL$77:$AN$82,,$AE843),INDEX($AO$77:$AU$82,,$AD843), N($AK$77:$AK$82&gt;$AI843)) / BG843 / 1000</f>
        <v>0</v>
      </c>
      <c r="BI843" s="250">
        <f t="shared" si="742"/>
        <v>30</v>
      </c>
      <c r="BJ843" s="237">
        <f t="shared" si="756"/>
        <v>46.033333333333331</v>
      </c>
      <c r="BK843" s="253">
        <f t="shared" si="757"/>
        <v>3.2297395388556791</v>
      </c>
      <c r="BL843" s="253" cm="1">
        <f t="array" ref="BL843">$BC843 * IF($AD843&lt;=2,
SUMPRODUCT(INDEX($AL$72:$AN$76,,$AE843), INDEX($AO$72:$AU$76,,$AD843), 1 / ($AV$72:$AV$76*BK843 + (1-$AV$72:$AV$76)*BG843), N($AK$72:$AK$76&gt;$AI843)),
SUMPRODUCT(INDEX($AL$67:$AN$76,,$AE843), INDEX($AO$67:$AU$76,,$AD843), 1 / ($AW$67:$AW$76*BK843 + (1-$AW$67:$AW$76)*BG843), N($AK$67:$AK$76&gt;$AI843))
) / 1000</f>
        <v>0</v>
      </c>
      <c r="BM843" s="250">
        <f t="shared" si="743"/>
        <v>25</v>
      </c>
      <c r="BN843" s="237">
        <f t="shared" si="758"/>
        <v>39.516666666666666</v>
      </c>
      <c r="BO843" s="253">
        <f t="shared" si="759"/>
        <v>3.877011788826243</v>
      </c>
      <c r="BP843" s="253" cm="1">
        <f t="array" ref="BP843">$BC843 * IF($AD843&lt;=2,
SUMPRODUCT(INDEX($AL$67:$AN$71,,$AE843), INDEX($AO$67:$AU$71,,$AD843), 1 / ($AV$67:$AV$71*BO843 + (1-$AV$67:$AV$71)*BK843), N($AK$67:$AK$71&gt;$AI843)),
SUMPRODUCT(INDEX($AL$57:$AN$66,,$AE843), INDEX($AO$57:$AU$66,,$AD843), 1 / ($AW$57:$AW$66*BO843 + (1-$AW$57:$AW$66)*BK843), N($AK$57:$AK$66&gt;$AI843))
) / 1000</f>
        <v>0</v>
      </c>
      <c r="BQ843" s="250">
        <f t="shared" si="744"/>
        <v>20</v>
      </c>
      <c r="BR843" s="237">
        <f t="shared" si="760"/>
        <v>33</v>
      </c>
      <c r="BS843" s="253">
        <f t="shared" si="761"/>
        <v>4.8487499999999999</v>
      </c>
      <c r="BT843" s="253" cm="1">
        <f t="array" ref="BT843">$BC843 * IF($AD843&lt;=2,
SUMPRODUCT(INDEX($AL$62:$AN$66,,$AE843), INDEX($AO$62:$AU$66,,$AD843), 1 / ($AV$62:$AV$66*BS843 + (1-$AV$62:$AV$66)*BO843), N($AK$62:$AK$66&gt;$AI843)),
SUMPRODUCT(INDEX($AL$47:$AN$56,,$AE843), INDEX($AO$47:$AU$56,,$AD843), 1 / ($AW$47:$AW$56*BS843 + (1-$AW$47:$AW$56)*BO843), N($AK$47:$AK$56&gt;$AI843))
) / 1000</f>
        <v>0</v>
      </c>
      <c r="BU843" s="253" cm="1">
        <f t="array" ref="BU843">$BC843 * IF($AD843&lt;=2,
SUMPRODUCT(INDEX($AL$23:$AN$61,,$AE843), INDEX($AO$23:$AU$61,,$AD843), 1 / ($AV$23:$AV$61*BS843), N($AK$23:$AK$61&gt;$AI843)),
SUMPRODUCT(INDEX($AL$23:$AN$46,,$AE843), INDEX($AO$23:$AU$46,,$AD843), 1 / ($AW$23:$AW$46*BS843), N($AK$23:$AK$46&gt;$AI843))
) / 1000</f>
        <v>0</v>
      </c>
      <c r="BV843" s="237">
        <f t="shared" si="762"/>
        <v>0</v>
      </c>
      <c r="BW843" s="210"/>
      <c r="BX843" s="237">
        <f t="shared" si="763"/>
        <v>0</v>
      </c>
      <c r="BY843" s="236">
        <v>35</v>
      </c>
      <c r="BZ843" s="237">
        <f t="shared" si="764"/>
        <v>48</v>
      </c>
      <c r="CA843" s="253">
        <f t="shared" si="765"/>
        <v>3.0748170731707316</v>
      </c>
      <c r="CB843" s="253" cm="1">
        <f t="array" ref="CB843">$BC843 * SUMPRODUCT(INDEX($AL$77:$AN$82,,$AE843),INDEX($AO$77:$AU$82,,$AD843), N($AK$77:$AK$82&gt;$AI843)) / CA843 / 1000</f>
        <v>0</v>
      </c>
      <c r="CC843" s="250">
        <f t="shared" si="745"/>
        <v>30</v>
      </c>
      <c r="CD843" s="237">
        <f t="shared" si="766"/>
        <v>43</v>
      </c>
      <c r="CE843" s="253">
        <f t="shared" si="767"/>
        <v>3.5018750000000001</v>
      </c>
      <c r="CF843" s="253" cm="1">
        <f t="array" ref="CF843">$BC843 * IF($AD843&lt;=2,
SUMPRODUCT(INDEX($AL$72:$AN$76,,$AE843), INDEX($AO$72:$AU$76,,$AD843), 1 / ($AV$72:$AV$76*CE843 + (1-$AV$72:$AV$76)*CA843), N($AK$72:$AK$76&gt;$AI843)),
SUMPRODUCT(INDEX($AL$67:$AN$76,,$AE843), INDEX($AO$67:$AU$76,,$AD843), 1 / ($AW$67:$AW$76*CE843 + (1-$AW$67:$AW$76)*CA843), N($AK$67:$AK$76&gt;$AI843))
) / 1000</f>
        <v>0</v>
      </c>
      <c r="CG843" s="250">
        <f t="shared" si="746"/>
        <v>25</v>
      </c>
      <c r="CH843" s="237">
        <f t="shared" si="768"/>
        <v>38</v>
      </c>
      <c r="CI843" s="253">
        <f t="shared" si="769"/>
        <v>4.0666935483870965</v>
      </c>
      <c r="CJ843" s="253" cm="1">
        <f t="array" ref="CJ843">$BC843 * IF($AD843&lt;=2,
SUMPRODUCT(INDEX($AL$67:$AN$71,,$AE843), INDEX($AO$67:$AU$71,,$AD843), 1 / ($AV$67:$AV$71*CI843 + (1-$AV$67:$AV$71)*CE843), N($AK$67:$AK$71&gt;$AI843)),
SUMPRODUCT(INDEX($AL$57:$AN$66,,$AE843), INDEX($AO$57:$AU$66,,$AD843), 1 / ($AW$57:$AW$66*CI843 + (1-$AW$57:$AW$66)*CE843), N($AK$57:$AK$66&gt;$AI843))
) / 1000</f>
        <v>0</v>
      </c>
      <c r="CK843" s="250">
        <f t="shared" si="747"/>
        <v>20</v>
      </c>
      <c r="CL843" s="237">
        <f t="shared" si="770"/>
        <v>33</v>
      </c>
      <c r="CM843" s="253">
        <f t="shared" si="771"/>
        <v>4.8487499999999999</v>
      </c>
      <c r="CN843" s="253" cm="1">
        <f t="array" ref="CN843">$BC843 * IF($AD843&lt;=2,
SUMPRODUCT(INDEX($AL$62:$AN$66,,$AE843), INDEX($AO$62:$AU$66,,$AD843), 1 / ($AV$62:$AV$66*CM843 + (1-$AV$62:$AV$66)*CI843), N($AK$62:$AK$66&gt;$AI843)),
SUMPRODUCT(INDEX($AL$47:$AN$56,,$AE843), INDEX($AO$47:$AU$56,,$AD843), 1 / ($AW$47:$AW$56*CM843 + (1-$AW$47:$AW$56)*CI843), N($AK$47:$AK$56&gt;$AI843))
) / 1000</f>
        <v>0</v>
      </c>
      <c r="CO843" s="253" cm="1">
        <f t="array" ref="CO843">$BC843 * IF($AD843&lt;=2,
SUMPRODUCT(INDEX($AL$23:$AN$61,,$AE843), INDEX($AO$23:$AU$61,,$AD843), 1 / ($AV$23:$AV$61*CM843), N($AK$23:$AK$61&gt;$AI843)),
SUMPRODUCT(INDEX($AL$23:$AN$46,,$AE843), INDEX($AO$23:$AU$46,,$AD843), 1 / ($AW$23:$AW$46*CM843), N($AK$23:$AK$46&gt;$AI843))
) / 1000</f>
        <v>0</v>
      </c>
      <c r="CP843" s="237">
        <f t="shared" si="772"/>
        <v>0</v>
      </c>
      <c r="CQ843" s="210"/>
    </row>
    <row r="844" spans="1:95" s="76" customFormat="1" ht="14.25" customHeight="1" x14ac:dyDescent="0.2">
      <c r="A844" s="238" t="b">
        <f t="shared" si="739"/>
        <v>0</v>
      </c>
      <c r="B844" s="239">
        <v>822</v>
      </c>
      <c r="C844" s="258"/>
      <c r="D844" s="258"/>
      <c r="E844" s="240"/>
      <c r="F844" s="241" t="str">
        <f>IF(ISBLANK(E844), "", VLOOKUP(E844, Z!$A$2:$C$4127, 3, FALSE))</f>
        <v/>
      </c>
      <c r="G844" s="242"/>
      <c r="H844" s="242"/>
      <c r="I844" s="243"/>
      <c r="J844" s="244"/>
      <c r="K844" s="259"/>
      <c r="L844" s="260"/>
      <c r="M844" s="247" t="str" cm="1">
        <f t="array" ref="M844">IF($K844&gt;0, INDEX(Clean,1+AG844,$C$1), "")</f>
        <v/>
      </c>
      <c r="N844" s="245"/>
      <c r="O844" s="245"/>
      <c r="P844" s="246"/>
      <c r="Q844" s="248">
        <f t="shared" si="749"/>
        <v>0</v>
      </c>
      <c r="R844" s="247" t="str" cm="1">
        <f t="array" ref="R844">IF($K844&gt;0, INDEX(Clean,1+AH844,$C$1), "")</f>
        <v/>
      </c>
      <c r="S844" s="245"/>
      <c r="T844" s="245"/>
      <c r="U844" s="246"/>
      <c r="V844" s="248">
        <f t="shared" si="750"/>
        <v>0</v>
      </c>
      <c r="W844" s="261"/>
      <c r="X844" s="258"/>
      <c r="Y844" s="240"/>
      <c r="Z844" s="241" t="str">
        <f>IF(ISBLANK(Y844), "", VLOOKUP(Y844, Z!$A$2:$C$4127, 3, FALSE))</f>
        <v/>
      </c>
      <c r="AA844" s="262"/>
      <c r="AB844" s="249">
        <f t="shared" si="748"/>
        <v>0</v>
      </c>
      <c r="AC844" s="210"/>
      <c r="AD844" s="236">
        <f t="shared" si="773"/>
        <v>1</v>
      </c>
      <c r="AE844" s="236">
        <f t="shared" si="774"/>
        <v>1</v>
      </c>
      <c r="AF844" s="236">
        <f t="shared" si="775"/>
        <v>0</v>
      </c>
      <c r="AG844" s="236">
        <v>1</v>
      </c>
      <c r="AH844" s="236">
        <v>0</v>
      </c>
      <c r="AI844" s="236">
        <f t="shared" si="751"/>
        <v>-100</v>
      </c>
      <c r="AJ844" s="210"/>
      <c r="AK844" s="254"/>
      <c r="AL844" s="254"/>
      <c r="AM844" s="255"/>
      <c r="AN844" s="255"/>
      <c r="AO844" s="255"/>
      <c r="AP844" s="255"/>
      <c r="AQ844" s="255"/>
      <c r="AR844" s="255"/>
      <c r="AS844" s="255"/>
      <c r="AT844" s="255"/>
      <c r="AU844" s="255"/>
      <c r="AV844" s="255"/>
      <c r="AW844" s="255"/>
      <c r="AX844" s="210"/>
      <c r="AY844" s="236" cm="1">
        <f t="array" ref="AY844">INDEX(Use, $AD844, 4)</f>
        <v>7</v>
      </c>
      <c r="AZ844" s="236">
        <f t="shared" si="752"/>
        <v>32</v>
      </c>
      <c r="BA844" s="236">
        <f t="shared" si="740"/>
        <v>13</v>
      </c>
      <c r="BB844" s="236">
        <f t="shared" si="741"/>
        <v>0</v>
      </c>
      <c r="BC844" s="252" cm="1">
        <f t="array" ref="BC844">K844/IF($L844&gt;0, INDEX($AO$23:$AU$77, $L844+20, $AD844), 1)</f>
        <v>0</v>
      </c>
      <c r="BD844" s="237">
        <f t="shared" si="753"/>
        <v>0</v>
      </c>
      <c r="BE844" s="236">
        <v>35</v>
      </c>
      <c r="BF844" s="237">
        <f t="shared" si="754"/>
        <v>52.55</v>
      </c>
      <c r="BG844" s="253">
        <f t="shared" si="755"/>
        <v>2.7676728869374316</v>
      </c>
      <c r="BH844" s="253" cm="1">
        <f t="array" ref="BH844">$BC844 * SUMPRODUCT(INDEX($AL$77:$AN$82,,$AE844),INDEX($AO$77:$AU$82,,$AD844), N($AK$77:$AK$82&gt;$AI844)) / BG844 / 1000</f>
        <v>0</v>
      </c>
      <c r="BI844" s="250">
        <f t="shared" si="742"/>
        <v>30</v>
      </c>
      <c r="BJ844" s="237">
        <f t="shared" si="756"/>
        <v>46.033333333333331</v>
      </c>
      <c r="BK844" s="253">
        <f t="shared" si="757"/>
        <v>3.2297395388556791</v>
      </c>
      <c r="BL844" s="253" cm="1">
        <f t="array" ref="BL844">$BC844 * IF($AD844&lt;=2,
SUMPRODUCT(INDEX($AL$72:$AN$76,,$AE844), INDEX($AO$72:$AU$76,,$AD844), 1 / ($AV$72:$AV$76*BK844 + (1-$AV$72:$AV$76)*BG844), N($AK$72:$AK$76&gt;$AI844)),
SUMPRODUCT(INDEX($AL$67:$AN$76,,$AE844), INDEX($AO$67:$AU$76,,$AD844), 1 / ($AW$67:$AW$76*BK844 + (1-$AW$67:$AW$76)*BG844), N($AK$67:$AK$76&gt;$AI844))
) / 1000</f>
        <v>0</v>
      </c>
      <c r="BM844" s="250">
        <f t="shared" si="743"/>
        <v>25</v>
      </c>
      <c r="BN844" s="237">
        <f t="shared" si="758"/>
        <v>39.516666666666666</v>
      </c>
      <c r="BO844" s="253">
        <f t="shared" si="759"/>
        <v>3.877011788826243</v>
      </c>
      <c r="BP844" s="253" cm="1">
        <f t="array" ref="BP844">$BC844 * IF($AD844&lt;=2,
SUMPRODUCT(INDEX($AL$67:$AN$71,,$AE844), INDEX($AO$67:$AU$71,,$AD844), 1 / ($AV$67:$AV$71*BO844 + (1-$AV$67:$AV$71)*BK844), N($AK$67:$AK$71&gt;$AI844)),
SUMPRODUCT(INDEX($AL$57:$AN$66,,$AE844), INDEX($AO$57:$AU$66,,$AD844), 1 / ($AW$57:$AW$66*BO844 + (1-$AW$57:$AW$66)*BK844), N($AK$57:$AK$66&gt;$AI844))
) / 1000</f>
        <v>0</v>
      </c>
      <c r="BQ844" s="250">
        <f t="shared" si="744"/>
        <v>20</v>
      </c>
      <c r="BR844" s="237">
        <f t="shared" si="760"/>
        <v>33</v>
      </c>
      <c r="BS844" s="253">
        <f t="shared" si="761"/>
        <v>4.8487499999999999</v>
      </c>
      <c r="BT844" s="253" cm="1">
        <f t="array" ref="BT844">$BC844 * IF($AD844&lt;=2,
SUMPRODUCT(INDEX($AL$62:$AN$66,,$AE844), INDEX($AO$62:$AU$66,,$AD844), 1 / ($AV$62:$AV$66*BS844 + (1-$AV$62:$AV$66)*BO844), N($AK$62:$AK$66&gt;$AI844)),
SUMPRODUCT(INDEX($AL$47:$AN$56,,$AE844), INDEX($AO$47:$AU$56,,$AD844), 1 / ($AW$47:$AW$56*BS844 + (1-$AW$47:$AW$56)*BO844), N($AK$47:$AK$56&gt;$AI844))
) / 1000</f>
        <v>0</v>
      </c>
      <c r="BU844" s="253" cm="1">
        <f t="array" ref="BU844">$BC844 * IF($AD844&lt;=2,
SUMPRODUCT(INDEX($AL$23:$AN$61,,$AE844), INDEX($AO$23:$AU$61,,$AD844), 1 / ($AV$23:$AV$61*BS844), N($AK$23:$AK$61&gt;$AI844)),
SUMPRODUCT(INDEX($AL$23:$AN$46,,$AE844), INDEX($AO$23:$AU$46,,$AD844), 1 / ($AW$23:$AW$46*BS844), N($AK$23:$AK$46&gt;$AI844))
) / 1000</f>
        <v>0</v>
      </c>
      <c r="BV844" s="237">
        <f t="shared" si="762"/>
        <v>0</v>
      </c>
      <c r="BW844" s="210"/>
      <c r="BX844" s="237">
        <f t="shared" si="763"/>
        <v>0</v>
      </c>
      <c r="BY844" s="236">
        <v>35</v>
      </c>
      <c r="BZ844" s="237">
        <f t="shared" si="764"/>
        <v>48</v>
      </c>
      <c r="CA844" s="253">
        <f t="shared" si="765"/>
        <v>3.0748170731707316</v>
      </c>
      <c r="CB844" s="253" cm="1">
        <f t="array" ref="CB844">$BC844 * SUMPRODUCT(INDEX($AL$77:$AN$82,,$AE844),INDEX($AO$77:$AU$82,,$AD844), N($AK$77:$AK$82&gt;$AI844)) / CA844 / 1000</f>
        <v>0</v>
      </c>
      <c r="CC844" s="250">
        <f t="shared" si="745"/>
        <v>30</v>
      </c>
      <c r="CD844" s="237">
        <f t="shared" si="766"/>
        <v>43</v>
      </c>
      <c r="CE844" s="253">
        <f t="shared" si="767"/>
        <v>3.5018750000000001</v>
      </c>
      <c r="CF844" s="253" cm="1">
        <f t="array" ref="CF844">$BC844 * IF($AD844&lt;=2,
SUMPRODUCT(INDEX($AL$72:$AN$76,,$AE844), INDEX($AO$72:$AU$76,,$AD844), 1 / ($AV$72:$AV$76*CE844 + (1-$AV$72:$AV$76)*CA844), N($AK$72:$AK$76&gt;$AI844)),
SUMPRODUCT(INDEX($AL$67:$AN$76,,$AE844), INDEX($AO$67:$AU$76,,$AD844), 1 / ($AW$67:$AW$76*CE844 + (1-$AW$67:$AW$76)*CA844), N($AK$67:$AK$76&gt;$AI844))
) / 1000</f>
        <v>0</v>
      </c>
      <c r="CG844" s="250">
        <f t="shared" si="746"/>
        <v>25</v>
      </c>
      <c r="CH844" s="237">
        <f t="shared" si="768"/>
        <v>38</v>
      </c>
      <c r="CI844" s="253">
        <f t="shared" si="769"/>
        <v>4.0666935483870965</v>
      </c>
      <c r="CJ844" s="253" cm="1">
        <f t="array" ref="CJ844">$BC844 * IF($AD844&lt;=2,
SUMPRODUCT(INDEX($AL$67:$AN$71,,$AE844), INDEX($AO$67:$AU$71,,$AD844), 1 / ($AV$67:$AV$71*CI844 + (1-$AV$67:$AV$71)*CE844), N($AK$67:$AK$71&gt;$AI844)),
SUMPRODUCT(INDEX($AL$57:$AN$66,,$AE844), INDEX($AO$57:$AU$66,,$AD844), 1 / ($AW$57:$AW$66*CI844 + (1-$AW$57:$AW$66)*CE844), N($AK$57:$AK$66&gt;$AI844))
) / 1000</f>
        <v>0</v>
      </c>
      <c r="CK844" s="250">
        <f t="shared" si="747"/>
        <v>20</v>
      </c>
      <c r="CL844" s="237">
        <f t="shared" si="770"/>
        <v>33</v>
      </c>
      <c r="CM844" s="253">
        <f t="shared" si="771"/>
        <v>4.8487499999999999</v>
      </c>
      <c r="CN844" s="253" cm="1">
        <f t="array" ref="CN844">$BC844 * IF($AD844&lt;=2,
SUMPRODUCT(INDEX($AL$62:$AN$66,,$AE844), INDEX($AO$62:$AU$66,,$AD844), 1 / ($AV$62:$AV$66*CM844 + (1-$AV$62:$AV$66)*CI844), N($AK$62:$AK$66&gt;$AI844)),
SUMPRODUCT(INDEX($AL$47:$AN$56,,$AE844), INDEX($AO$47:$AU$56,,$AD844), 1 / ($AW$47:$AW$56*CM844 + (1-$AW$47:$AW$56)*CI844), N($AK$47:$AK$56&gt;$AI844))
) / 1000</f>
        <v>0</v>
      </c>
      <c r="CO844" s="253" cm="1">
        <f t="array" ref="CO844">$BC844 * IF($AD844&lt;=2,
SUMPRODUCT(INDEX($AL$23:$AN$61,,$AE844), INDEX($AO$23:$AU$61,,$AD844), 1 / ($AV$23:$AV$61*CM844), N($AK$23:$AK$61&gt;$AI844)),
SUMPRODUCT(INDEX($AL$23:$AN$46,,$AE844), INDEX($AO$23:$AU$46,,$AD844), 1 / ($AW$23:$AW$46*CM844), N($AK$23:$AK$46&gt;$AI844))
) / 1000</f>
        <v>0</v>
      </c>
      <c r="CP844" s="237">
        <f t="shared" si="772"/>
        <v>0</v>
      </c>
      <c r="CQ844" s="210"/>
    </row>
    <row r="845" spans="1:95" s="76" customFormat="1" ht="14.25" customHeight="1" x14ac:dyDescent="0.2">
      <c r="A845" s="238" t="b">
        <f t="shared" si="739"/>
        <v>0</v>
      </c>
      <c r="B845" s="239">
        <v>823</v>
      </c>
      <c r="C845" s="258"/>
      <c r="D845" s="258"/>
      <c r="E845" s="240"/>
      <c r="F845" s="241" t="str">
        <f>IF(ISBLANK(E845), "", VLOOKUP(E845, Z!$A$2:$C$4127, 3, FALSE))</f>
        <v/>
      </c>
      <c r="G845" s="242"/>
      <c r="H845" s="242"/>
      <c r="I845" s="243"/>
      <c r="J845" s="244"/>
      <c r="K845" s="259"/>
      <c r="L845" s="260"/>
      <c r="M845" s="247" t="str" cm="1">
        <f t="array" ref="M845">IF($K845&gt;0, INDEX(Clean,1+AG845,$C$1), "")</f>
        <v/>
      </c>
      <c r="N845" s="245"/>
      <c r="O845" s="245"/>
      <c r="P845" s="246"/>
      <c r="Q845" s="248">
        <f t="shared" si="749"/>
        <v>0</v>
      </c>
      <c r="R845" s="247" t="str" cm="1">
        <f t="array" ref="R845">IF($K845&gt;0, INDEX(Clean,1+AH845,$C$1), "")</f>
        <v/>
      </c>
      <c r="S845" s="245"/>
      <c r="T845" s="245"/>
      <c r="U845" s="246"/>
      <c r="V845" s="248">
        <f t="shared" si="750"/>
        <v>0</v>
      </c>
      <c r="W845" s="261"/>
      <c r="X845" s="258"/>
      <c r="Y845" s="240"/>
      <c r="Z845" s="241" t="str">
        <f>IF(ISBLANK(Y845), "", VLOOKUP(Y845, Z!$A$2:$C$4127, 3, FALSE))</f>
        <v/>
      </c>
      <c r="AA845" s="262"/>
      <c r="AB845" s="249">
        <f t="shared" si="748"/>
        <v>0</v>
      </c>
      <c r="AC845" s="210"/>
      <c r="AD845" s="236">
        <f t="shared" si="773"/>
        <v>1</v>
      </c>
      <c r="AE845" s="236">
        <f t="shared" si="774"/>
        <v>1</v>
      </c>
      <c r="AF845" s="236">
        <f t="shared" si="775"/>
        <v>0</v>
      </c>
      <c r="AG845" s="236">
        <v>1</v>
      </c>
      <c r="AH845" s="236">
        <v>0</v>
      </c>
      <c r="AI845" s="236">
        <f t="shared" si="751"/>
        <v>-100</v>
      </c>
      <c r="AJ845" s="210"/>
      <c r="AK845" s="254"/>
      <c r="AL845" s="254"/>
      <c r="AM845" s="255"/>
      <c r="AN845" s="255"/>
      <c r="AO845" s="255"/>
      <c r="AP845" s="255"/>
      <c r="AQ845" s="255"/>
      <c r="AR845" s="255"/>
      <c r="AS845" s="255"/>
      <c r="AT845" s="255"/>
      <c r="AU845" s="255"/>
      <c r="AV845" s="255"/>
      <c r="AW845" s="255"/>
      <c r="AX845" s="210"/>
      <c r="AY845" s="236" cm="1">
        <f t="array" ref="AY845">INDEX(Use, $AD845, 4)</f>
        <v>7</v>
      </c>
      <c r="AZ845" s="236">
        <f t="shared" si="752"/>
        <v>32</v>
      </c>
      <c r="BA845" s="236">
        <f t="shared" si="740"/>
        <v>13</v>
      </c>
      <c r="BB845" s="236">
        <f t="shared" si="741"/>
        <v>0</v>
      </c>
      <c r="BC845" s="252" cm="1">
        <f t="array" ref="BC845">K845/IF($L845&gt;0, INDEX($AO$23:$AU$77, $L845+20, $AD845), 1)</f>
        <v>0</v>
      </c>
      <c r="BD845" s="237">
        <f t="shared" si="753"/>
        <v>0</v>
      </c>
      <c r="BE845" s="236">
        <v>35</v>
      </c>
      <c r="BF845" s="237">
        <f t="shared" si="754"/>
        <v>52.55</v>
      </c>
      <c r="BG845" s="253">
        <f t="shared" si="755"/>
        <v>2.7676728869374316</v>
      </c>
      <c r="BH845" s="253" cm="1">
        <f t="array" ref="BH845">$BC845 * SUMPRODUCT(INDEX($AL$77:$AN$82,,$AE845),INDEX($AO$77:$AU$82,,$AD845), N($AK$77:$AK$82&gt;$AI845)) / BG845 / 1000</f>
        <v>0</v>
      </c>
      <c r="BI845" s="250">
        <f t="shared" si="742"/>
        <v>30</v>
      </c>
      <c r="BJ845" s="237">
        <f t="shared" si="756"/>
        <v>46.033333333333331</v>
      </c>
      <c r="BK845" s="253">
        <f t="shared" si="757"/>
        <v>3.2297395388556791</v>
      </c>
      <c r="BL845" s="253" cm="1">
        <f t="array" ref="BL845">$BC845 * IF($AD845&lt;=2,
SUMPRODUCT(INDEX($AL$72:$AN$76,,$AE845), INDEX($AO$72:$AU$76,,$AD845), 1 / ($AV$72:$AV$76*BK845 + (1-$AV$72:$AV$76)*BG845), N($AK$72:$AK$76&gt;$AI845)),
SUMPRODUCT(INDEX($AL$67:$AN$76,,$AE845), INDEX($AO$67:$AU$76,,$AD845), 1 / ($AW$67:$AW$76*BK845 + (1-$AW$67:$AW$76)*BG845), N($AK$67:$AK$76&gt;$AI845))
) / 1000</f>
        <v>0</v>
      </c>
      <c r="BM845" s="250">
        <f t="shared" si="743"/>
        <v>25</v>
      </c>
      <c r="BN845" s="237">
        <f t="shared" si="758"/>
        <v>39.516666666666666</v>
      </c>
      <c r="BO845" s="253">
        <f t="shared" si="759"/>
        <v>3.877011788826243</v>
      </c>
      <c r="BP845" s="253" cm="1">
        <f t="array" ref="BP845">$BC845 * IF($AD845&lt;=2,
SUMPRODUCT(INDEX($AL$67:$AN$71,,$AE845), INDEX($AO$67:$AU$71,,$AD845), 1 / ($AV$67:$AV$71*BO845 + (1-$AV$67:$AV$71)*BK845), N($AK$67:$AK$71&gt;$AI845)),
SUMPRODUCT(INDEX($AL$57:$AN$66,,$AE845), INDEX($AO$57:$AU$66,,$AD845), 1 / ($AW$57:$AW$66*BO845 + (1-$AW$57:$AW$66)*BK845), N($AK$57:$AK$66&gt;$AI845))
) / 1000</f>
        <v>0</v>
      </c>
      <c r="BQ845" s="250">
        <f t="shared" si="744"/>
        <v>20</v>
      </c>
      <c r="BR845" s="237">
        <f t="shared" si="760"/>
        <v>33</v>
      </c>
      <c r="BS845" s="253">
        <f t="shared" si="761"/>
        <v>4.8487499999999999</v>
      </c>
      <c r="BT845" s="253" cm="1">
        <f t="array" ref="BT845">$BC845 * IF($AD845&lt;=2,
SUMPRODUCT(INDEX($AL$62:$AN$66,,$AE845), INDEX($AO$62:$AU$66,,$AD845), 1 / ($AV$62:$AV$66*BS845 + (1-$AV$62:$AV$66)*BO845), N($AK$62:$AK$66&gt;$AI845)),
SUMPRODUCT(INDEX($AL$47:$AN$56,,$AE845), INDEX($AO$47:$AU$56,,$AD845), 1 / ($AW$47:$AW$56*BS845 + (1-$AW$47:$AW$56)*BO845), N($AK$47:$AK$56&gt;$AI845))
) / 1000</f>
        <v>0</v>
      </c>
      <c r="BU845" s="253" cm="1">
        <f t="array" ref="BU845">$BC845 * IF($AD845&lt;=2,
SUMPRODUCT(INDEX($AL$23:$AN$61,,$AE845), INDEX($AO$23:$AU$61,,$AD845), 1 / ($AV$23:$AV$61*BS845), N($AK$23:$AK$61&gt;$AI845)),
SUMPRODUCT(INDEX($AL$23:$AN$46,,$AE845), INDEX($AO$23:$AU$46,,$AD845), 1 / ($AW$23:$AW$46*BS845), N($AK$23:$AK$46&gt;$AI845))
) / 1000</f>
        <v>0</v>
      </c>
      <c r="BV845" s="237">
        <f t="shared" si="762"/>
        <v>0</v>
      </c>
      <c r="BW845" s="210"/>
      <c r="BX845" s="237">
        <f t="shared" si="763"/>
        <v>0</v>
      </c>
      <c r="BY845" s="236">
        <v>35</v>
      </c>
      <c r="BZ845" s="237">
        <f t="shared" si="764"/>
        <v>48</v>
      </c>
      <c r="CA845" s="253">
        <f t="shared" si="765"/>
        <v>3.0748170731707316</v>
      </c>
      <c r="CB845" s="253" cm="1">
        <f t="array" ref="CB845">$BC845 * SUMPRODUCT(INDEX($AL$77:$AN$82,,$AE845),INDEX($AO$77:$AU$82,,$AD845), N($AK$77:$AK$82&gt;$AI845)) / CA845 / 1000</f>
        <v>0</v>
      </c>
      <c r="CC845" s="250">
        <f t="shared" si="745"/>
        <v>30</v>
      </c>
      <c r="CD845" s="237">
        <f t="shared" si="766"/>
        <v>43</v>
      </c>
      <c r="CE845" s="253">
        <f t="shared" si="767"/>
        <v>3.5018750000000001</v>
      </c>
      <c r="CF845" s="253" cm="1">
        <f t="array" ref="CF845">$BC845 * IF($AD845&lt;=2,
SUMPRODUCT(INDEX($AL$72:$AN$76,,$AE845), INDEX($AO$72:$AU$76,,$AD845), 1 / ($AV$72:$AV$76*CE845 + (1-$AV$72:$AV$76)*CA845), N($AK$72:$AK$76&gt;$AI845)),
SUMPRODUCT(INDEX($AL$67:$AN$76,,$AE845), INDEX($AO$67:$AU$76,,$AD845), 1 / ($AW$67:$AW$76*CE845 + (1-$AW$67:$AW$76)*CA845), N($AK$67:$AK$76&gt;$AI845))
) / 1000</f>
        <v>0</v>
      </c>
      <c r="CG845" s="250">
        <f t="shared" si="746"/>
        <v>25</v>
      </c>
      <c r="CH845" s="237">
        <f t="shared" si="768"/>
        <v>38</v>
      </c>
      <c r="CI845" s="253">
        <f t="shared" si="769"/>
        <v>4.0666935483870965</v>
      </c>
      <c r="CJ845" s="253" cm="1">
        <f t="array" ref="CJ845">$BC845 * IF($AD845&lt;=2,
SUMPRODUCT(INDEX($AL$67:$AN$71,,$AE845), INDEX($AO$67:$AU$71,,$AD845), 1 / ($AV$67:$AV$71*CI845 + (1-$AV$67:$AV$71)*CE845), N($AK$67:$AK$71&gt;$AI845)),
SUMPRODUCT(INDEX($AL$57:$AN$66,,$AE845), INDEX($AO$57:$AU$66,,$AD845), 1 / ($AW$57:$AW$66*CI845 + (1-$AW$57:$AW$66)*CE845), N($AK$57:$AK$66&gt;$AI845))
) / 1000</f>
        <v>0</v>
      </c>
      <c r="CK845" s="250">
        <f t="shared" si="747"/>
        <v>20</v>
      </c>
      <c r="CL845" s="237">
        <f t="shared" si="770"/>
        <v>33</v>
      </c>
      <c r="CM845" s="253">
        <f t="shared" si="771"/>
        <v>4.8487499999999999</v>
      </c>
      <c r="CN845" s="253" cm="1">
        <f t="array" ref="CN845">$BC845 * IF($AD845&lt;=2,
SUMPRODUCT(INDEX($AL$62:$AN$66,,$AE845), INDEX($AO$62:$AU$66,,$AD845), 1 / ($AV$62:$AV$66*CM845 + (1-$AV$62:$AV$66)*CI845), N($AK$62:$AK$66&gt;$AI845)),
SUMPRODUCT(INDEX($AL$47:$AN$56,,$AE845), INDEX($AO$47:$AU$56,,$AD845), 1 / ($AW$47:$AW$56*CM845 + (1-$AW$47:$AW$56)*CI845), N($AK$47:$AK$56&gt;$AI845))
) / 1000</f>
        <v>0</v>
      </c>
      <c r="CO845" s="253" cm="1">
        <f t="array" ref="CO845">$BC845 * IF($AD845&lt;=2,
SUMPRODUCT(INDEX($AL$23:$AN$61,,$AE845), INDEX($AO$23:$AU$61,,$AD845), 1 / ($AV$23:$AV$61*CM845), N($AK$23:$AK$61&gt;$AI845)),
SUMPRODUCT(INDEX($AL$23:$AN$46,,$AE845), INDEX($AO$23:$AU$46,,$AD845), 1 / ($AW$23:$AW$46*CM845), N($AK$23:$AK$46&gt;$AI845))
) / 1000</f>
        <v>0</v>
      </c>
      <c r="CP845" s="237">
        <f t="shared" si="772"/>
        <v>0</v>
      </c>
      <c r="CQ845" s="210"/>
    </row>
    <row r="846" spans="1:95" s="76" customFormat="1" ht="14.25" customHeight="1" x14ac:dyDescent="0.2">
      <c r="A846" s="238" t="b">
        <f t="shared" si="739"/>
        <v>0</v>
      </c>
      <c r="B846" s="239">
        <v>824</v>
      </c>
      <c r="C846" s="258"/>
      <c r="D846" s="258"/>
      <c r="E846" s="240"/>
      <c r="F846" s="241" t="str">
        <f>IF(ISBLANK(E846), "", VLOOKUP(E846, Z!$A$2:$C$4127, 3, FALSE))</f>
        <v/>
      </c>
      <c r="G846" s="242"/>
      <c r="H846" s="242"/>
      <c r="I846" s="243"/>
      <c r="J846" s="244"/>
      <c r="K846" s="259"/>
      <c r="L846" s="260"/>
      <c r="M846" s="247" t="str" cm="1">
        <f t="array" ref="M846">IF($K846&gt;0, INDEX(Clean,1+AG846,$C$1), "")</f>
        <v/>
      </c>
      <c r="N846" s="245"/>
      <c r="O846" s="245"/>
      <c r="P846" s="246"/>
      <c r="Q846" s="248">
        <f t="shared" si="749"/>
        <v>0</v>
      </c>
      <c r="R846" s="247" t="str" cm="1">
        <f t="array" ref="R846">IF($K846&gt;0, INDEX(Clean,1+AH846,$C$1), "")</f>
        <v/>
      </c>
      <c r="S846" s="245"/>
      <c r="T846" s="245"/>
      <c r="U846" s="246"/>
      <c r="V846" s="248">
        <f t="shared" si="750"/>
        <v>0</v>
      </c>
      <c r="W846" s="261"/>
      <c r="X846" s="258"/>
      <c r="Y846" s="240"/>
      <c r="Z846" s="241" t="str">
        <f>IF(ISBLANK(Y846), "", VLOOKUP(Y846, Z!$A$2:$C$4127, 3, FALSE))</f>
        <v/>
      </c>
      <c r="AA846" s="262"/>
      <c r="AB846" s="249">
        <f t="shared" si="748"/>
        <v>0</v>
      </c>
      <c r="AC846" s="210"/>
      <c r="AD846" s="236">
        <f t="shared" si="773"/>
        <v>1</v>
      </c>
      <c r="AE846" s="236">
        <f t="shared" si="774"/>
        <v>1</v>
      </c>
      <c r="AF846" s="236">
        <f t="shared" si="775"/>
        <v>0</v>
      </c>
      <c r="AG846" s="236">
        <v>1</v>
      </c>
      <c r="AH846" s="236">
        <v>0</v>
      </c>
      <c r="AI846" s="236">
        <f t="shared" si="751"/>
        <v>-100</v>
      </c>
      <c r="AJ846" s="210"/>
      <c r="AK846" s="254"/>
      <c r="AL846" s="254"/>
      <c r="AM846" s="255"/>
      <c r="AN846" s="255"/>
      <c r="AO846" s="255"/>
      <c r="AP846" s="255"/>
      <c r="AQ846" s="255"/>
      <c r="AR846" s="255"/>
      <c r="AS846" s="255"/>
      <c r="AT846" s="255"/>
      <c r="AU846" s="255"/>
      <c r="AV846" s="255"/>
      <c r="AW846" s="255"/>
      <c r="AX846" s="210"/>
      <c r="AY846" s="236" cm="1">
        <f t="array" ref="AY846">INDEX(Use, $AD846, 4)</f>
        <v>7</v>
      </c>
      <c r="AZ846" s="236">
        <f t="shared" si="752"/>
        <v>32</v>
      </c>
      <c r="BA846" s="236">
        <f t="shared" si="740"/>
        <v>13</v>
      </c>
      <c r="BB846" s="236">
        <f t="shared" si="741"/>
        <v>0</v>
      </c>
      <c r="BC846" s="252" cm="1">
        <f t="array" ref="BC846">K846/IF($L846&gt;0, INDEX($AO$23:$AU$77, $L846+20, $AD846), 1)</f>
        <v>0</v>
      </c>
      <c r="BD846" s="237">
        <f t="shared" si="753"/>
        <v>0</v>
      </c>
      <c r="BE846" s="236">
        <v>35</v>
      </c>
      <c r="BF846" s="237">
        <f t="shared" si="754"/>
        <v>52.55</v>
      </c>
      <c r="BG846" s="253">
        <f t="shared" si="755"/>
        <v>2.7676728869374316</v>
      </c>
      <c r="BH846" s="253" cm="1">
        <f t="array" ref="BH846">$BC846 * SUMPRODUCT(INDEX($AL$77:$AN$82,,$AE846),INDEX($AO$77:$AU$82,,$AD846), N($AK$77:$AK$82&gt;$AI846)) / BG846 / 1000</f>
        <v>0</v>
      </c>
      <c r="BI846" s="250">
        <f t="shared" si="742"/>
        <v>30</v>
      </c>
      <c r="BJ846" s="237">
        <f t="shared" si="756"/>
        <v>46.033333333333331</v>
      </c>
      <c r="BK846" s="253">
        <f t="shared" si="757"/>
        <v>3.2297395388556791</v>
      </c>
      <c r="BL846" s="253" cm="1">
        <f t="array" ref="BL846">$BC846 * IF($AD846&lt;=2,
SUMPRODUCT(INDEX($AL$72:$AN$76,,$AE846), INDEX($AO$72:$AU$76,,$AD846), 1 / ($AV$72:$AV$76*BK846 + (1-$AV$72:$AV$76)*BG846), N($AK$72:$AK$76&gt;$AI846)),
SUMPRODUCT(INDEX($AL$67:$AN$76,,$AE846), INDEX($AO$67:$AU$76,,$AD846), 1 / ($AW$67:$AW$76*BK846 + (1-$AW$67:$AW$76)*BG846), N($AK$67:$AK$76&gt;$AI846))
) / 1000</f>
        <v>0</v>
      </c>
      <c r="BM846" s="250">
        <f t="shared" si="743"/>
        <v>25</v>
      </c>
      <c r="BN846" s="237">
        <f t="shared" si="758"/>
        <v>39.516666666666666</v>
      </c>
      <c r="BO846" s="253">
        <f t="shared" si="759"/>
        <v>3.877011788826243</v>
      </c>
      <c r="BP846" s="253" cm="1">
        <f t="array" ref="BP846">$BC846 * IF($AD846&lt;=2,
SUMPRODUCT(INDEX($AL$67:$AN$71,,$AE846), INDEX($AO$67:$AU$71,,$AD846), 1 / ($AV$67:$AV$71*BO846 + (1-$AV$67:$AV$71)*BK846), N($AK$67:$AK$71&gt;$AI846)),
SUMPRODUCT(INDEX($AL$57:$AN$66,,$AE846), INDEX($AO$57:$AU$66,,$AD846), 1 / ($AW$57:$AW$66*BO846 + (1-$AW$57:$AW$66)*BK846), N($AK$57:$AK$66&gt;$AI846))
) / 1000</f>
        <v>0</v>
      </c>
      <c r="BQ846" s="250">
        <f t="shared" si="744"/>
        <v>20</v>
      </c>
      <c r="BR846" s="237">
        <f t="shared" si="760"/>
        <v>33</v>
      </c>
      <c r="BS846" s="253">
        <f t="shared" si="761"/>
        <v>4.8487499999999999</v>
      </c>
      <c r="BT846" s="253" cm="1">
        <f t="array" ref="BT846">$BC846 * IF($AD846&lt;=2,
SUMPRODUCT(INDEX($AL$62:$AN$66,,$AE846), INDEX($AO$62:$AU$66,,$AD846), 1 / ($AV$62:$AV$66*BS846 + (1-$AV$62:$AV$66)*BO846), N($AK$62:$AK$66&gt;$AI846)),
SUMPRODUCT(INDEX($AL$47:$AN$56,,$AE846), INDEX($AO$47:$AU$56,,$AD846), 1 / ($AW$47:$AW$56*BS846 + (1-$AW$47:$AW$56)*BO846), N($AK$47:$AK$56&gt;$AI846))
) / 1000</f>
        <v>0</v>
      </c>
      <c r="BU846" s="253" cm="1">
        <f t="array" ref="BU846">$BC846 * IF($AD846&lt;=2,
SUMPRODUCT(INDEX($AL$23:$AN$61,,$AE846), INDEX($AO$23:$AU$61,,$AD846), 1 / ($AV$23:$AV$61*BS846), N($AK$23:$AK$61&gt;$AI846)),
SUMPRODUCT(INDEX($AL$23:$AN$46,,$AE846), INDEX($AO$23:$AU$46,,$AD846), 1 / ($AW$23:$AW$46*BS846), N($AK$23:$AK$46&gt;$AI846))
) / 1000</f>
        <v>0</v>
      </c>
      <c r="BV846" s="237">
        <f t="shared" si="762"/>
        <v>0</v>
      </c>
      <c r="BW846" s="210"/>
      <c r="BX846" s="237">
        <f t="shared" si="763"/>
        <v>0</v>
      </c>
      <c r="BY846" s="236">
        <v>35</v>
      </c>
      <c r="BZ846" s="237">
        <f t="shared" si="764"/>
        <v>48</v>
      </c>
      <c r="CA846" s="253">
        <f t="shared" si="765"/>
        <v>3.0748170731707316</v>
      </c>
      <c r="CB846" s="253" cm="1">
        <f t="array" ref="CB846">$BC846 * SUMPRODUCT(INDEX($AL$77:$AN$82,,$AE846),INDEX($AO$77:$AU$82,,$AD846), N($AK$77:$AK$82&gt;$AI846)) / CA846 / 1000</f>
        <v>0</v>
      </c>
      <c r="CC846" s="250">
        <f t="shared" si="745"/>
        <v>30</v>
      </c>
      <c r="CD846" s="237">
        <f t="shared" si="766"/>
        <v>43</v>
      </c>
      <c r="CE846" s="253">
        <f t="shared" si="767"/>
        <v>3.5018750000000001</v>
      </c>
      <c r="CF846" s="253" cm="1">
        <f t="array" ref="CF846">$BC846 * IF($AD846&lt;=2,
SUMPRODUCT(INDEX($AL$72:$AN$76,,$AE846), INDEX($AO$72:$AU$76,,$AD846), 1 / ($AV$72:$AV$76*CE846 + (1-$AV$72:$AV$76)*CA846), N($AK$72:$AK$76&gt;$AI846)),
SUMPRODUCT(INDEX($AL$67:$AN$76,,$AE846), INDEX($AO$67:$AU$76,,$AD846), 1 / ($AW$67:$AW$76*CE846 + (1-$AW$67:$AW$76)*CA846), N($AK$67:$AK$76&gt;$AI846))
) / 1000</f>
        <v>0</v>
      </c>
      <c r="CG846" s="250">
        <f t="shared" si="746"/>
        <v>25</v>
      </c>
      <c r="CH846" s="237">
        <f t="shared" si="768"/>
        <v>38</v>
      </c>
      <c r="CI846" s="253">
        <f t="shared" si="769"/>
        <v>4.0666935483870965</v>
      </c>
      <c r="CJ846" s="253" cm="1">
        <f t="array" ref="CJ846">$BC846 * IF($AD846&lt;=2,
SUMPRODUCT(INDEX($AL$67:$AN$71,,$AE846), INDEX($AO$67:$AU$71,,$AD846), 1 / ($AV$67:$AV$71*CI846 + (1-$AV$67:$AV$71)*CE846), N($AK$67:$AK$71&gt;$AI846)),
SUMPRODUCT(INDEX($AL$57:$AN$66,,$AE846), INDEX($AO$57:$AU$66,,$AD846), 1 / ($AW$57:$AW$66*CI846 + (1-$AW$57:$AW$66)*CE846), N($AK$57:$AK$66&gt;$AI846))
) / 1000</f>
        <v>0</v>
      </c>
      <c r="CK846" s="250">
        <f t="shared" si="747"/>
        <v>20</v>
      </c>
      <c r="CL846" s="237">
        <f t="shared" si="770"/>
        <v>33</v>
      </c>
      <c r="CM846" s="253">
        <f t="shared" si="771"/>
        <v>4.8487499999999999</v>
      </c>
      <c r="CN846" s="253" cm="1">
        <f t="array" ref="CN846">$BC846 * IF($AD846&lt;=2,
SUMPRODUCT(INDEX($AL$62:$AN$66,,$AE846), INDEX($AO$62:$AU$66,,$AD846), 1 / ($AV$62:$AV$66*CM846 + (1-$AV$62:$AV$66)*CI846), N($AK$62:$AK$66&gt;$AI846)),
SUMPRODUCT(INDEX($AL$47:$AN$56,,$AE846), INDEX($AO$47:$AU$56,,$AD846), 1 / ($AW$47:$AW$56*CM846 + (1-$AW$47:$AW$56)*CI846), N($AK$47:$AK$56&gt;$AI846))
) / 1000</f>
        <v>0</v>
      </c>
      <c r="CO846" s="253" cm="1">
        <f t="array" ref="CO846">$BC846 * IF($AD846&lt;=2,
SUMPRODUCT(INDEX($AL$23:$AN$61,,$AE846), INDEX($AO$23:$AU$61,,$AD846), 1 / ($AV$23:$AV$61*CM846), N($AK$23:$AK$61&gt;$AI846)),
SUMPRODUCT(INDEX($AL$23:$AN$46,,$AE846), INDEX($AO$23:$AU$46,,$AD846), 1 / ($AW$23:$AW$46*CM846), N($AK$23:$AK$46&gt;$AI846))
) / 1000</f>
        <v>0</v>
      </c>
      <c r="CP846" s="237">
        <f t="shared" si="772"/>
        <v>0</v>
      </c>
      <c r="CQ846" s="210"/>
    </row>
    <row r="847" spans="1:95" s="76" customFormat="1" ht="14.25" customHeight="1" x14ac:dyDescent="0.2">
      <c r="A847" s="238" t="b">
        <f t="shared" si="739"/>
        <v>0</v>
      </c>
      <c r="B847" s="239">
        <v>825</v>
      </c>
      <c r="C847" s="258"/>
      <c r="D847" s="258"/>
      <c r="E847" s="240"/>
      <c r="F847" s="241" t="str">
        <f>IF(ISBLANK(E847), "", VLOOKUP(E847, Z!$A$2:$C$4127, 3, FALSE))</f>
        <v/>
      </c>
      <c r="G847" s="242"/>
      <c r="H847" s="242"/>
      <c r="I847" s="243"/>
      <c r="J847" s="244"/>
      <c r="K847" s="259"/>
      <c r="L847" s="260"/>
      <c r="M847" s="247" t="str" cm="1">
        <f t="array" ref="M847">IF($K847&gt;0, INDEX(Clean,1+AG847,$C$1), "")</f>
        <v/>
      </c>
      <c r="N847" s="245"/>
      <c r="O847" s="245"/>
      <c r="P847" s="246"/>
      <c r="Q847" s="248">
        <f t="shared" si="749"/>
        <v>0</v>
      </c>
      <c r="R847" s="247" t="str" cm="1">
        <f t="array" ref="R847">IF($K847&gt;0, INDEX(Clean,1+AH847,$C$1), "")</f>
        <v/>
      </c>
      <c r="S847" s="245"/>
      <c r="T847" s="245"/>
      <c r="U847" s="246"/>
      <c r="V847" s="248">
        <f t="shared" si="750"/>
        <v>0</v>
      </c>
      <c r="W847" s="261"/>
      <c r="X847" s="258"/>
      <c r="Y847" s="240"/>
      <c r="Z847" s="241" t="str">
        <f>IF(ISBLANK(Y847), "", VLOOKUP(Y847, Z!$A$2:$C$4127, 3, FALSE))</f>
        <v/>
      </c>
      <c r="AA847" s="262"/>
      <c r="AB847" s="249">
        <f t="shared" si="748"/>
        <v>0</v>
      </c>
      <c r="AC847" s="210"/>
      <c r="AD847" s="236">
        <f t="shared" si="773"/>
        <v>1</v>
      </c>
      <c r="AE847" s="236">
        <f t="shared" si="774"/>
        <v>1</v>
      </c>
      <c r="AF847" s="236">
        <f t="shared" si="775"/>
        <v>0</v>
      </c>
      <c r="AG847" s="236">
        <v>1</v>
      </c>
      <c r="AH847" s="236">
        <v>0</v>
      </c>
      <c r="AI847" s="236">
        <f t="shared" si="751"/>
        <v>-100</v>
      </c>
      <c r="AJ847" s="210"/>
      <c r="AK847" s="254"/>
      <c r="AL847" s="254"/>
      <c r="AM847" s="255"/>
      <c r="AN847" s="255"/>
      <c r="AO847" s="255"/>
      <c r="AP847" s="255"/>
      <c r="AQ847" s="255"/>
      <c r="AR847" s="255"/>
      <c r="AS847" s="255"/>
      <c r="AT847" s="255"/>
      <c r="AU847" s="255"/>
      <c r="AV847" s="255"/>
      <c r="AW847" s="255"/>
      <c r="AX847" s="210"/>
      <c r="AY847" s="236" cm="1">
        <f t="array" ref="AY847">INDEX(Use, $AD847, 4)</f>
        <v>7</v>
      </c>
      <c r="AZ847" s="236">
        <f t="shared" si="752"/>
        <v>32</v>
      </c>
      <c r="BA847" s="236">
        <f t="shared" si="740"/>
        <v>13</v>
      </c>
      <c r="BB847" s="236">
        <f t="shared" si="741"/>
        <v>0</v>
      </c>
      <c r="BC847" s="252" cm="1">
        <f t="array" ref="BC847">K847/IF($L847&gt;0, INDEX($AO$23:$AU$77, $L847+20, $AD847), 1)</f>
        <v>0</v>
      </c>
      <c r="BD847" s="237">
        <f t="shared" si="753"/>
        <v>0</v>
      </c>
      <c r="BE847" s="236">
        <v>35</v>
      </c>
      <c r="BF847" s="237">
        <f t="shared" si="754"/>
        <v>52.55</v>
      </c>
      <c r="BG847" s="253">
        <f t="shared" si="755"/>
        <v>2.7676728869374316</v>
      </c>
      <c r="BH847" s="253" cm="1">
        <f t="array" ref="BH847">$BC847 * SUMPRODUCT(INDEX($AL$77:$AN$82,,$AE847),INDEX($AO$77:$AU$82,,$AD847), N($AK$77:$AK$82&gt;$AI847)) / BG847 / 1000</f>
        <v>0</v>
      </c>
      <c r="BI847" s="250">
        <f t="shared" si="742"/>
        <v>30</v>
      </c>
      <c r="BJ847" s="237">
        <f t="shared" si="756"/>
        <v>46.033333333333331</v>
      </c>
      <c r="BK847" s="253">
        <f t="shared" si="757"/>
        <v>3.2297395388556791</v>
      </c>
      <c r="BL847" s="253" cm="1">
        <f t="array" ref="BL847">$BC847 * IF($AD847&lt;=2,
SUMPRODUCT(INDEX($AL$72:$AN$76,,$AE847), INDEX($AO$72:$AU$76,,$AD847), 1 / ($AV$72:$AV$76*BK847 + (1-$AV$72:$AV$76)*BG847), N($AK$72:$AK$76&gt;$AI847)),
SUMPRODUCT(INDEX($AL$67:$AN$76,,$AE847), INDEX($AO$67:$AU$76,,$AD847), 1 / ($AW$67:$AW$76*BK847 + (1-$AW$67:$AW$76)*BG847), N($AK$67:$AK$76&gt;$AI847))
) / 1000</f>
        <v>0</v>
      </c>
      <c r="BM847" s="250">
        <f t="shared" si="743"/>
        <v>25</v>
      </c>
      <c r="BN847" s="237">
        <f t="shared" si="758"/>
        <v>39.516666666666666</v>
      </c>
      <c r="BO847" s="253">
        <f t="shared" si="759"/>
        <v>3.877011788826243</v>
      </c>
      <c r="BP847" s="253" cm="1">
        <f t="array" ref="BP847">$BC847 * IF($AD847&lt;=2,
SUMPRODUCT(INDEX($AL$67:$AN$71,,$AE847), INDEX($AO$67:$AU$71,,$AD847), 1 / ($AV$67:$AV$71*BO847 + (1-$AV$67:$AV$71)*BK847), N($AK$67:$AK$71&gt;$AI847)),
SUMPRODUCT(INDEX($AL$57:$AN$66,,$AE847), INDEX($AO$57:$AU$66,,$AD847), 1 / ($AW$57:$AW$66*BO847 + (1-$AW$57:$AW$66)*BK847), N($AK$57:$AK$66&gt;$AI847))
) / 1000</f>
        <v>0</v>
      </c>
      <c r="BQ847" s="250">
        <f t="shared" si="744"/>
        <v>20</v>
      </c>
      <c r="BR847" s="237">
        <f t="shared" si="760"/>
        <v>33</v>
      </c>
      <c r="BS847" s="253">
        <f t="shared" si="761"/>
        <v>4.8487499999999999</v>
      </c>
      <c r="BT847" s="253" cm="1">
        <f t="array" ref="BT847">$BC847 * IF($AD847&lt;=2,
SUMPRODUCT(INDEX($AL$62:$AN$66,,$AE847), INDEX($AO$62:$AU$66,,$AD847), 1 / ($AV$62:$AV$66*BS847 + (1-$AV$62:$AV$66)*BO847), N($AK$62:$AK$66&gt;$AI847)),
SUMPRODUCT(INDEX($AL$47:$AN$56,,$AE847), INDEX($AO$47:$AU$56,,$AD847), 1 / ($AW$47:$AW$56*BS847 + (1-$AW$47:$AW$56)*BO847), N($AK$47:$AK$56&gt;$AI847))
) / 1000</f>
        <v>0</v>
      </c>
      <c r="BU847" s="253" cm="1">
        <f t="array" ref="BU847">$BC847 * IF($AD847&lt;=2,
SUMPRODUCT(INDEX($AL$23:$AN$61,,$AE847), INDEX($AO$23:$AU$61,,$AD847), 1 / ($AV$23:$AV$61*BS847), N($AK$23:$AK$61&gt;$AI847)),
SUMPRODUCT(INDEX($AL$23:$AN$46,,$AE847), INDEX($AO$23:$AU$46,,$AD847), 1 / ($AW$23:$AW$46*BS847), N($AK$23:$AK$46&gt;$AI847))
) / 1000</f>
        <v>0</v>
      </c>
      <c r="BV847" s="237">
        <f t="shared" si="762"/>
        <v>0</v>
      </c>
      <c r="BW847" s="210"/>
      <c r="BX847" s="237">
        <f t="shared" si="763"/>
        <v>0</v>
      </c>
      <c r="BY847" s="236">
        <v>35</v>
      </c>
      <c r="BZ847" s="237">
        <f t="shared" si="764"/>
        <v>48</v>
      </c>
      <c r="CA847" s="253">
        <f t="shared" si="765"/>
        <v>3.0748170731707316</v>
      </c>
      <c r="CB847" s="253" cm="1">
        <f t="array" ref="CB847">$BC847 * SUMPRODUCT(INDEX($AL$77:$AN$82,,$AE847),INDEX($AO$77:$AU$82,,$AD847), N($AK$77:$AK$82&gt;$AI847)) / CA847 / 1000</f>
        <v>0</v>
      </c>
      <c r="CC847" s="250">
        <f t="shared" si="745"/>
        <v>30</v>
      </c>
      <c r="CD847" s="237">
        <f t="shared" si="766"/>
        <v>43</v>
      </c>
      <c r="CE847" s="253">
        <f t="shared" si="767"/>
        <v>3.5018750000000001</v>
      </c>
      <c r="CF847" s="253" cm="1">
        <f t="array" ref="CF847">$BC847 * IF($AD847&lt;=2,
SUMPRODUCT(INDEX($AL$72:$AN$76,,$AE847), INDEX($AO$72:$AU$76,,$AD847), 1 / ($AV$72:$AV$76*CE847 + (1-$AV$72:$AV$76)*CA847), N($AK$72:$AK$76&gt;$AI847)),
SUMPRODUCT(INDEX($AL$67:$AN$76,,$AE847), INDEX($AO$67:$AU$76,,$AD847), 1 / ($AW$67:$AW$76*CE847 + (1-$AW$67:$AW$76)*CA847), N($AK$67:$AK$76&gt;$AI847))
) / 1000</f>
        <v>0</v>
      </c>
      <c r="CG847" s="250">
        <f t="shared" si="746"/>
        <v>25</v>
      </c>
      <c r="CH847" s="237">
        <f t="shared" si="768"/>
        <v>38</v>
      </c>
      <c r="CI847" s="253">
        <f t="shared" si="769"/>
        <v>4.0666935483870965</v>
      </c>
      <c r="CJ847" s="253" cm="1">
        <f t="array" ref="CJ847">$BC847 * IF($AD847&lt;=2,
SUMPRODUCT(INDEX($AL$67:$AN$71,,$AE847), INDEX($AO$67:$AU$71,,$AD847), 1 / ($AV$67:$AV$71*CI847 + (1-$AV$67:$AV$71)*CE847), N($AK$67:$AK$71&gt;$AI847)),
SUMPRODUCT(INDEX($AL$57:$AN$66,,$AE847), INDEX($AO$57:$AU$66,,$AD847), 1 / ($AW$57:$AW$66*CI847 + (1-$AW$57:$AW$66)*CE847), N($AK$57:$AK$66&gt;$AI847))
) / 1000</f>
        <v>0</v>
      </c>
      <c r="CK847" s="250">
        <f t="shared" si="747"/>
        <v>20</v>
      </c>
      <c r="CL847" s="237">
        <f t="shared" si="770"/>
        <v>33</v>
      </c>
      <c r="CM847" s="253">
        <f t="shared" si="771"/>
        <v>4.8487499999999999</v>
      </c>
      <c r="CN847" s="253" cm="1">
        <f t="array" ref="CN847">$BC847 * IF($AD847&lt;=2,
SUMPRODUCT(INDEX($AL$62:$AN$66,,$AE847), INDEX($AO$62:$AU$66,,$AD847), 1 / ($AV$62:$AV$66*CM847 + (1-$AV$62:$AV$66)*CI847), N($AK$62:$AK$66&gt;$AI847)),
SUMPRODUCT(INDEX($AL$47:$AN$56,,$AE847), INDEX($AO$47:$AU$56,,$AD847), 1 / ($AW$47:$AW$56*CM847 + (1-$AW$47:$AW$56)*CI847), N($AK$47:$AK$56&gt;$AI847))
) / 1000</f>
        <v>0</v>
      </c>
      <c r="CO847" s="253" cm="1">
        <f t="array" ref="CO847">$BC847 * IF($AD847&lt;=2,
SUMPRODUCT(INDEX($AL$23:$AN$61,,$AE847), INDEX($AO$23:$AU$61,,$AD847), 1 / ($AV$23:$AV$61*CM847), N($AK$23:$AK$61&gt;$AI847)),
SUMPRODUCT(INDEX($AL$23:$AN$46,,$AE847), INDEX($AO$23:$AU$46,,$AD847), 1 / ($AW$23:$AW$46*CM847), N($AK$23:$AK$46&gt;$AI847))
) / 1000</f>
        <v>0</v>
      </c>
      <c r="CP847" s="237">
        <f t="shared" si="772"/>
        <v>0</v>
      </c>
      <c r="CQ847" s="210"/>
    </row>
    <row r="848" spans="1:95" s="76" customFormat="1" ht="14.25" customHeight="1" x14ac:dyDescent="0.2">
      <c r="A848" s="238" t="b">
        <f t="shared" si="739"/>
        <v>0</v>
      </c>
      <c r="B848" s="239">
        <v>826</v>
      </c>
      <c r="C848" s="258"/>
      <c r="D848" s="258"/>
      <c r="E848" s="240"/>
      <c r="F848" s="241" t="str">
        <f>IF(ISBLANK(E848), "", VLOOKUP(E848, Z!$A$2:$C$4127, 3, FALSE))</f>
        <v/>
      </c>
      <c r="G848" s="242"/>
      <c r="H848" s="242"/>
      <c r="I848" s="243"/>
      <c r="J848" s="244"/>
      <c r="K848" s="259"/>
      <c r="L848" s="260"/>
      <c r="M848" s="247" t="str" cm="1">
        <f t="array" ref="M848">IF($K848&gt;0, INDEX(Clean,1+AG848,$C$1), "")</f>
        <v/>
      </c>
      <c r="N848" s="245"/>
      <c r="O848" s="245"/>
      <c r="P848" s="246"/>
      <c r="Q848" s="248">
        <f t="shared" si="749"/>
        <v>0</v>
      </c>
      <c r="R848" s="247" t="str" cm="1">
        <f t="array" ref="R848">IF($K848&gt;0, INDEX(Clean,1+AH848,$C$1), "")</f>
        <v/>
      </c>
      <c r="S848" s="245"/>
      <c r="T848" s="245"/>
      <c r="U848" s="246"/>
      <c r="V848" s="248">
        <f t="shared" si="750"/>
        <v>0</v>
      </c>
      <c r="W848" s="261"/>
      <c r="X848" s="258"/>
      <c r="Y848" s="240"/>
      <c r="Z848" s="241" t="str">
        <f>IF(ISBLANK(Y848), "", VLOOKUP(Y848, Z!$A$2:$C$4127, 3, FALSE))</f>
        <v/>
      </c>
      <c r="AA848" s="262"/>
      <c r="AB848" s="249">
        <f t="shared" si="748"/>
        <v>0</v>
      </c>
      <c r="AC848" s="210"/>
      <c r="AD848" s="236">
        <f t="shared" si="773"/>
        <v>1</v>
      </c>
      <c r="AE848" s="236">
        <f t="shared" si="774"/>
        <v>1</v>
      </c>
      <c r="AF848" s="236">
        <f t="shared" si="775"/>
        <v>0</v>
      </c>
      <c r="AG848" s="236">
        <v>1</v>
      </c>
      <c r="AH848" s="236">
        <v>0</v>
      </c>
      <c r="AI848" s="236">
        <f t="shared" si="751"/>
        <v>-100</v>
      </c>
      <c r="AJ848" s="210"/>
      <c r="AK848" s="254"/>
      <c r="AL848" s="254"/>
      <c r="AM848" s="255"/>
      <c r="AN848" s="255"/>
      <c r="AO848" s="255"/>
      <c r="AP848" s="255"/>
      <c r="AQ848" s="255"/>
      <c r="AR848" s="255"/>
      <c r="AS848" s="255"/>
      <c r="AT848" s="255"/>
      <c r="AU848" s="255"/>
      <c r="AV848" s="255"/>
      <c r="AW848" s="255"/>
      <c r="AX848" s="210"/>
      <c r="AY848" s="236" cm="1">
        <f t="array" ref="AY848">INDEX(Use, $AD848, 4)</f>
        <v>7</v>
      </c>
      <c r="AZ848" s="236">
        <f t="shared" si="752"/>
        <v>32</v>
      </c>
      <c r="BA848" s="236">
        <f t="shared" si="740"/>
        <v>13</v>
      </c>
      <c r="BB848" s="236">
        <f t="shared" si="741"/>
        <v>0</v>
      </c>
      <c r="BC848" s="252" cm="1">
        <f t="array" ref="BC848">K848/IF($L848&gt;0, INDEX($AO$23:$AU$77, $L848+20, $AD848), 1)</f>
        <v>0</v>
      </c>
      <c r="BD848" s="237">
        <f t="shared" si="753"/>
        <v>0</v>
      </c>
      <c r="BE848" s="236">
        <v>35</v>
      </c>
      <c r="BF848" s="237">
        <f t="shared" si="754"/>
        <v>52.55</v>
      </c>
      <c r="BG848" s="253">
        <f t="shared" si="755"/>
        <v>2.7676728869374316</v>
      </c>
      <c r="BH848" s="253" cm="1">
        <f t="array" ref="BH848">$BC848 * SUMPRODUCT(INDEX($AL$77:$AN$82,,$AE848),INDEX($AO$77:$AU$82,,$AD848), N($AK$77:$AK$82&gt;$AI848)) / BG848 / 1000</f>
        <v>0</v>
      </c>
      <c r="BI848" s="250">
        <f t="shared" si="742"/>
        <v>30</v>
      </c>
      <c r="BJ848" s="237">
        <f t="shared" si="756"/>
        <v>46.033333333333331</v>
      </c>
      <c r="BK848" s="253">
        <f t="shared" si="757"/>
        <v>3.2297395388556791</v>
      </c>
      <c r="BL848" s="253" cm="1">
        <f t="array" ref="BL848">$BC848 * IF($AD848&lt;=2,
SUMPRODUCT(INDEX($AL$72:$AN$76,,$AE848), INDEX($AO$72:$AU$76,,$AD848), 1 / ($AV$72:$AV$76*BK848 + (1-$AV$72:$AV$76)*BG848), N($AK$72:$AK$76&gt;$AI848)),
SUMPRODUCT(INDEX($AL$67:$AN$76,,$AE848), INDEX($AO$67:$AU$76,,$AD848), 1 / ($AW$67:$AW$76*BK848 + (1-$AW$67:$AW$76)*BG848), N($AK$67:$AK$76&gt;$AI848))
) / 1000</f>
        <v>0</v>
      </c>
      <c r="BM848" s="250">
        <f t="shared" si="743"/>
        <v>25</v>
      </c>
      <c r="BN848" s="237">
        <f t="shared" si="758"/>
        <v>39.516666666666666</v>
      </c>
      <c r="BO848" s="253">
        <f t="shared" si="759"/>
        <v>3.877011788826243</v>
      </c>
      <c r="BP848" s="253" cm="1">
        <f t="array" ref="BP848">$BC848 * IF($AD848&lt;=2,
SUMPRODUCT(INDEX($AL$67:$AN$71,,$AE848), INDEX($AO$67:$AU$71,,$AD848), 1 / ($AV$67:$AV$71*BO848 + (1-$AV$67:$AV$71)*BK848), N($AK$67:$AK$71&gt;$AI848)),
SUMPRODUCT(INDEX($AL$57:$AN$66,,$AE848), INDEX($AO$57:$AU$66,,$AD848), 1 / ($AW$57:$AW$66*BO848 + (1-$AW$57:$AW$66)*BK848), N($AK$57:$AK$66&gt;$AI848))
) / 1000</f>
        <v>0</v>
      </c>
      <c r="BQ848" s="250">
        <f t="shared" si="744"/>
        <v>20</v>
      </c>
      <c r="BR848" s="237">
        <f t="shared" si="760"/>
        <v>33</v>
      </c>
      <c r="BS848" s="253">
        <f t="shared" si="761"/>
        <v>4.8487499999999999</v>
      </c>
      <c r="BT848" s="253" cm="1">
        <f t="array" ref="BT848">$BC848 * IF($AD848&lt;=2,
SUMPRODUCT(INDEX($AL$62:$AN$66,,$AE848), INDEX($AO$62:$AU$66,,$AD848), 1 / ($AV$62:$AV$66*BS848 + (1-$AV$62:$AV$66)*BO848), N($AK$62:$AK$66&gt;$AI848)),
SUMPRODUCT(INDEX($AL$47:$AN$56,,$AE848), INDEX($AO$47:$AU$56,,$AD848), 1 / ($AW$47:$AW$56*BS848 + (1-$AW$47:$AW$56)*BO848), N($AK$47:$AK$56&gt;$AI848))
) / 1000</f>
        <v>0</v>
      </c>
      <c r="BU848" s="253" cm="1">
        <f t="array" ref="BU848">$BC848 * IF($AD848&lt;=2,
SUMPRODUCT(INDEX($AL$23:$AN$61,,$AE848), INDEX($AO$23:$AU$61,,$AD848), 1 / ($AV$23:$AV$61*BS848), N($AK$23:$AK$61&gt;$AI848)),
SUMPRODUCT(INDEX($AL$23:$AN$46,,$AE848), INDEX($AO$23:$AU$46,,$AD848), 1 / ($AW$23:$AW$46*BS848), N($AK$23:$AK$46&gt;$AI848))
) / 1000</f>
        <v>0</v>
      </c>
      <c r="BV848" s="237">
        <f t="shared" si="762"/>
        <v>0</v>
      </c>
      <c r="BW848" s="210"/>
      <c r="BX848" s="237">
        <f t="shared" si="763"/>
        <v>0</v>
      </c>
      <c r="BY848" s="236">
        <v>35</v>
      </c>
      <c r="BZ848" s="237">
        <f t="shared" si="764"/>
        <v>48</v>
      </c>
      <c r="CA848" s="253">
        <f t="shared" si="765"/>
        <v>3.0748170731707316</v>
      </c>
      <c r="CB848" s="253" cm="1">
        <f t="array" ref="CB848">$BC848 * SUMPRODUCT(INDEX($AL$77:$AN$82,,$AE848),INDEX($AO$77:$AU$82,,$AD848), N($AK$77:$AK$82&gt;$AI848)) / CA848 / 1000</f>
        <v>0</v>
      </c>
      <c r="CC848" s="250">
        <f t="shared" si="745"/>
        <v>30</v>
      </c>
      <c r="CD848" s="237">
        <f t="shared" si="766"/>
        <v>43</v>
      </c>
      <c r="CE848" s="253">
        <f t="shared" si="767"/>
        <v>3.5018750000000001</v>
      </c>
      <c r="CF848" s="253" cm="1">
        <f t="array" ref="CF848">$BC848 * IF($AD848&lt;=2,
SUMPRODUCT(INDEX($AL$72:$AN$76,,$AE848), INDEX($AO$72:$AU$76,,$AD848), 1 / ($AV$72:$AV$76*CE848 + (1-$AV$72:$AV$76)*CA848), N($AK$72:$AK$76&gt;$AI848)),
SUMPRODUCT(INDEX($AL$67:$AN$76,,$AE848), INDEX($AO$67:$AU$76,,$AD848), 1 / ($AW$67:$AW$76*CE848 + (1-$AW$67:$AW$76)*CA848), N($AK$67:$AK$76&gt;$AI848))
) / 1000</f>
        <v>0</v>
      </c>
      <c r="CG848" s="250">
        <f t="shared" si="746"/>
        <v>25</v>
      </c>
      <c r="CH848" s="237">
        <f t="shared" si="768"/>
        <v>38</v>
      </c>
      <c r="CI848" s="253">
        <f t="shared" si="769"/>
        <v>4.0666935483870965</v>
      </c>
      <c r="CJ848" s="253" cm="1">
        <f t="array" ref="CJ848">$BC848 * IF($AD848&lt;=2,
SUMPRODUCT(INDEX($AL$67:$AN$71,,$AE848), INDEX($AO$67:$AU$71,,$AD848), 1 / ($AV$67:$AV$71*CI848 + (1-$AV$67:$AV$71)*CE848), N($AK$67:$AK$71&gt;$AI848)),
SUMPRODUCT(INDEX($AL$57:$AN$66,,$AE848), INDEX($AO$57:$AU$66,,$AD848), 1 / ($AW$57:$AW$66*CI848 + (1-$AW$57:$AW$66)*CE848), N($AK$57:$AK$66&gt;$AI848))
) / 1000</f>
        <v>0</v>
      </c>
      <c r="CK848" s="250">
        <f t="shared" si="747"/>
        <v>20</v>
      </c>
      <c r="CL848" s="237">
        <f t="shared" si="770"/>
        <v>33</v>
      </c>
      <c r="CM848" s="253">
        <f t="shared" si="771"/>
        <v>4.8487499999999999</v>
      </c>
      <c r="CN848" s="253" cm="1">
        <f t="array" ref="CN848">$BC848 * IF($AD848&lt;=2,
SUMPRODUCT(INDEX($AL$62:$AN$66,,$AE848), INDEX($AO$62:$AU$66,,$AD848), 1 / ($AV$62:$AV$66*CM848 + (1-$AV$62:$AV$66)*CI848), N($AK$62:$AK$66&gt;$AI848)),
SUMPRODUCT(INDEX($AL$47:$AN$56,,$AE848), INDEX($AO$47:$AU$56,,$AD848), 1 / ($AW$47:$AW$56*CM848 + (1-$AW$47:$AW$56)*CI848), N($AK$47:$AK$56&gt;$AI848))
) / 1000</f>
        <v>0</v>
      </c>
      <c r="CO848" s="253" cm="1">
        <f t="array" ref="CO848">$BC848 * IF($AD848&lt;=2,
SUMPRODUCT(INDEX($AL$23:$AN$61,,$AE848), INDEX($AO$23:$AU$61,,$AD848), 1 / ($AV$23:$AV$61*CM848), N($AK$23:$AK$61&gt;$AI848)),
SUMPRODUCT(INDEX($AL$23:$AN$46,,$AE848), INDEX($AO$23:$AU$46,,$AD848), 1 / ($AW$23:$AW$46*CM848), N($AK$23:$AK$46&gt;$AI848))
) / 1000</f>
        <v>0</v>
      </c>
      <c r="CP848" s="237">
        <f t="shared" si="772"/>
        <v>0</v>
      </c>
      <c r="CQ848" s="210"/>
    </row>
    <row r="849" spans="1:95" s="76" customFormat="1" ht="14.25" customHeight="1" x14ac:dyDescent="0.2">
      <c r="A849" s="238" t="b">
        <f t="shared" si="739"/>
        <v>0</v>
      </c>
      <c r="B849" s="239">
        <v>827</v>
      </c>
      <c r="C849" s="258"/>
      <c r="D849" s="258"/>
      <c r="E849" s="240"/>
      <c r="F849" s="241" t="str">
        <f>IF(ISBLANK(E849), "", VLOOKUP(E849, Z!$A$2:$C$4127, 3, FALSE))</f>
        <v/>
      </c>
      <c r="G849" s="242"/>
      <c r="H849" s="242"/>
      <c r="I849" s="243"/>
      <c r="J849" s="244"/>
      <c r="K849" s="259"/>
      <c r="L849" s="260"/>
      <c r="M849" s="247" t="str" cm="1">
        <f t="array" ref="M849">IF($K849&gt;0, INDEX(Clean,1+AG849,$C$1), "")</f>
        <v/>
      </c>
      <c r="N849" s="245"/>
      <c r="O849" s="245"/>
      <c r="P849" s="246"/>
      <c r="Q849" s="248">
        <f t="shared" si="749"/>
        <v>0</v>
      </c>
      <c r="R849" s="247" t="str" cm="1">
        <f t="array" ref="R849">IF($K849&gt;0, INDEX(Clean,1+AH849,$C$1), "")</f>
        <v/>
      </c>
      <c r="S849" s="245"/>
      <c r="T849" s="245"/>
      <c r="U849" s="246"/>
      <c r="V849" s="248">
        <f t="shared" si="750"/>
        <v>0</v>
      </c>
      <c r="W849" s="261"/>
      <c r="X849" s="258"/>
      <c r="Y849" s="240"/>
      <c r="Z849" s="241" t="str">
        <f>IF(ISBLANK(Y849), "", VLOOKUP(Y849, Z!$A$2:$C$4127, 3, FALSE))</f>
        <v/>
      </c>
      <c r="AA849" s="262"/>
      <c r="AB849" s="249">
        <f t="shared" si="748"/>
        <v>0</v>
      </c>
      <c r="AC849" s="210"/>
      <c r="AD849" s="236">
        <f t="shared" si="773"/>
        <v>1</v>
      </c>
      <c r="AE849" s="236">
        <f t="shared" si="774"/>
        <v>1</v>
      </c>
      <c r="AF849" s="236">
        <f t="shared" si="775"/>
        <v>0</v>
      </c>
      <c r="AG849" s="236">
        <v>1</v>
      </c>
      <c r="AH849" s="236">
        <v>0</v>
      </c>
      <c r="AI849" s="236">
        <f t="shared" si="751"/>
        <v>-100</v>
      </c>
      <c r="AJ849" s="210"/>
      <c r="AK849" s="254"/>
      <c r="AL849" s="254"/>
      <c r="AM849" s="255"/>
      <c r="AN849" s="255"/>
      <c r="AO849" s="255"/>
      <c r="AP849" s="255"/>
      <c r="AQ849" s="255"/>
      <c r="AR849" s="255"/>
      <c r="AS849" s="255"/>
      <c r="AT849" s="255"/>
      <c r="AU849" s="255"/>
      <c r="AV849" s="255"/>
      <c r="AW849" s="255"/>
      <c r="AX849" s="210"/>
      <c r="AY849" s="236" cm="1">
        <f t="array" ref="AY849">INDEX(Use, $AD849, 4)</f>
        <v>7</v>
      </c>
      <c r="AZ849" s="236">
        <f t="shared" si="752"/>
        <v>32</v>
      </c>
      <c r="BA849" s="236">
        <f t="shared" si="740"/>
        <v>13</v>
      </c>
      <c r="BB849" s="236">
        <f t="shared" si="741"/>
        <v>0</v>
      </c>
      <c r="BC849" s="252" cm="1">
        <f t="array" ref="BC849">K849/IF($L849&gt;0, INDEX($AO$23:$AU$77, $L849+20, $AD849), 1)</f>
        <v>0</v>
      </c>
      <c r="BD849" s="237">
        <f t="shared" si="753"/>
        <v>0</v>
      </c>
      <c r="BE849" s="236">
        <v>35</v>
      </c>
      <c r="BF849" s="237">
        <f t="shared" si="754"/>
        <v>52.55</v>
      </c>
      <c r="BG849" s="253">
        <f t="shared" si="755"/>
        <v>2.7676728869374316</v>
      </c>
      <c r="BH849" s="253" cm="1">
        <f t="array" ref="BH849">$BC849 * SUMPRODUCT(INDEX($AL$77:$AN$82,,$AE849),INDEX($AO$77:$AU$82,,$AD849), N($AK$77:$AK$82&gt;$AI849)) / BG849 / 1000</f>
        <v>0</v>
      </c>
      <c r="BI849" s="250">
        <f t="shared" si="742"/>
        <v>30</v>
      </c>
      <c r="BJ849" s="237">
        <f t="shared" si="756"/>
        <v>46.033333333333331</v>
      </c>
      <c r="BK849" s="253">
        <f t="shared" si="757"/>
        <v>3.2297395388556791</v>
      </c>
      <c r="BL849" s="253" cm="1">
        <f t="array" ref="BL849">$BC849 * IF($AD849&lt;=2,
SUMPRODUCT(INDEX($AL$72:$AN$76,,$AE849), INDEX($AO$72:$AU$76,,$AD849), 1 / ($AV$72:$AV$76*BK849 + (1-$AV$72:$AV$76)*BG849), N($AK$72:$AK$76&gt;$AI849)),
SUMPRODUCT(INDEX($AL$67:$AN$76,,$AE849), INDEX($AO$67:$AU$76,,$AD849), 1 / ($AW$67:$AW$76*BK849 + (1-$AW$67:$AW$76)*BG849), N($AK$67:$AK$76&gt;$AI849))
) / 1000</f>
        <v>0</v>
      </c>
      <c r="BM849" s="250">
        <f t="shared" si="743"/>
        <v>25</v>
      </c>
      <c r="BN849" s="237">
        <f t="shared" si="758"/>
        <v>39.516666666666666</v>
      </c>
      <c r="BO849" s="253">
        <f t="shared" si="759"/>
        <v>3.877011788826243</v>
      </c>
      <c r="BP849" s="253" cm="1">
        <f t="array" ref="BP849">$BC849 * IF($AD849&lt;=2,
SUMPRODUCT(INDEX($AL$67:$AN$71,,$AE849), INDEX($AO$67:$AU$71,,$AD849), 1 / ($AV$67:$AV$71*BO849 + (1-$AV$67:$AV$71)*BK849), N($AK$67:$AK$71&gt;$AI849)),
SUMPRODUCT(INDEX($AL$57:$AN$66,,$AE849), INDEX($AO$57:$AU$66,,$AD849), 1 / ($AW$57:$AW$66*BO849 + (1-$AW$57:$AW$66)*BK849), N($AK$57:$AK$66&gt;$AI849))
) / 1000</f>
        <v>0</v>
      </c>
      <c r="BQ849" s="250">
        <f t="shared" si="744"/>
        <v>20</v>
      </c>
      <c r="BR849" s="237">
        <f t="shared" si="760"/>
        <v>33</v>
      </c>
      <c r="BS849" s="253">
        <f t="shared" si="761"/>
        <v>4.8487499999999999</v>
      </c>
      <c r="BT849" s="253" cm="1">
        <f t="array" ref="BT849">$BC849 * IF($AD849&lt;=2,
SUMPRODUCT(INDEX($AL$62:$AN$66,,$AE849), INDEX($AO$62:$AU$66,,$AD849), 1 / ($AV$62:$AV$66*BS849 + (1-$AV$62:$AV$66)*BO849), N($AK$62:$AK$66&gt;$AI849)),
SUMPRODUCT(INDEX($AL$47:$AN$56,,$AE849), INDEX($AO$47:$AU$56,,$AD849), 1 / ($AW$47:$AW$56*BS849 + (1-$AW$47:$AW$56)*BO849), N($AK$47:$AK$56&gt;$AI849))
) / 1000</f>
        <v>0</v>
      </c>
      <c r="BU849" s="253" cm="1">
        <f t="array" ref="BU849">$BC849 * IF($AD849&lt;=2,
SUMPRODUCT(INDEX($AL$23:$AN$61,,$AE849), INDEX($AO$23:$AU$61,,$AD849), 1 / ($AV$23:$AV$61*BS849), N($AK$23:$AK$61&gt;$AI849)),
SUMPRODUCT(INDEX($AL$23:$AN$46,,$AE849), INDEX($AO$23:$AU$46,,$AD849), 1 / ($AW$23:$AW$46*BS849), N($AK$23:$AK$46&gt;$AI849))
) / 1000</f>
        <v>0</v>
      </c>
      <c r="BV849" s="237">
        <f t="shared" si="762"/>
        <v>0</v>
      </c>
      <c r="BW849" s="210"/>
      <c r="BX849" s="237">
        <f t="shared" si="763"/>
        <v>0</v>
      </c>
      <c r="BY849" s="236">
        <v>35</v>
      </c>
      <c r="BZ849" s="237">
        <f t="shared" si="764"/>
        <v>48</v>
      </c>
      <c r="CA849" s="253">
        <f t="shared" si="765"/>
        <v>3.0748170731707316</v>
      </c>
      <c r="CB849" s="253" cm="1">
        <f t="array" ref="CB849">$BC849 * SUMPRODUCT(INDEX($AL$77:$AN$82,,$AE849),INDEX($AO$77:$AU$82,,$AD849), N($AK$77:$AK$82&gt;$AI849)) / CA849 / 1000</f>
        <v>0</v>
      </c>
      <c r="CC849" s="250">
        <f t="shared" si="745"/>
        <v>30</v>
      </c>
      <c r="CD849" s="237">
        <f t="shared" si="766"/>
        <v>43</v>
      </c>
      <c r="CE849" s="253">
        <f t="shared" si="767"/>
        <v>3.5018750000000001</v>
      </c>
      <c r="CF849" s="253" cm="1">
        <f t="array" ref="CF849">$BC849 * IF($AD849&lt;=2,
SUMPRODUCT(INDEX($AL$72:$AN$76,,$AE849), INDEX($AO$72:$AU$76,,$AD849), 1 / ($AV$72:$AV$76*CE849 + (1-$AV$72:$AV$76)*CA849), N($AK$72:$AK$76&gt;$AI849)),
SUMPRODUCT(INDEX($AL$67:$AN$76,,$AE849), INDEX($AO$67:$AU$76,,$AD849), 1 / ($AW$67:$AW$76*CE849 + (1-$AW$67:$AW$76)*CA849), N($AK$67:$AK$76&gt;$AI849))
) / 1000</f>
        <v>0</v>
      </c>
      <c r="CG849" s="250">
        <f t="shared" si="746"/>
        <v>25</v>
      </c>
      <c r="CH849" s="237">
        <f t="shared" si="768"/>
        <v>38</v>
      </c>
      <c r="CI849" s="253">
        <f t="shared" si="769"/>
        <v>4.0666935483870965</v>
      </c>
      <c r="CJ849" s="253" cm="1">
        <f t="array" ref="CJ849">$BC849 * IF($AD849&lt;=2,
SUMPRODUCT(INDEX($AL$67:$AN$71,,$AE849), INDEX($AO$67:$AU$71,,$AD849), 1 / ($AV$67:$AV$71*CI849 + (1-$AV$67:$AV$71)*CE849), N($AK$67:$AK$71&gt;$AI849)),
SUMPRODUCT(INDEX($AL$57:$AN$66,,$AE849), INDEX($AO$57:$AU$66,,$AD849), 1 / ($AW$57:$AW$66*CI849 + (1-$AW$57:$AW$66)*CE849), N($AK$57:$AK$66&gt;$AI849))
) / 1000</f>
        <v>0</v>
      </c>
      <c r="CK849" s="250">
        <f t="shared" si="747"/>
        <v>20</v>
      </c>
      <c r="CL849" s="237">
        <f t="shared" si="770"/>
        <v>33</v>
      </c>
      <c r="CM849" s="253">
        <f t="shared" si="771"/>
        <v>4.8487499999999999</v>
      </c>
      <c r="CN849" s="253" cm="1">
        <f t="array" ref="CN849">$BC849 * IF($AD849&lt;=2,
SUMPRODUCT(INDEX($AL$62:$AN$66,,$AE849), INDEX($AO$62:$AU$66,,$AD849), 1 / ($AV$62:$AV$66*CM849 + (1-$AV$62:$AV$66)*CI849), N($AK$62:$AK$66&gt;$AI849)),
SUMPRODUCT(INDEX($AL$47:$AN$56,,$AE849), INDEX($AO$47:$AU$56,,$AD849), 1 / ($AW$47:$AW$56*CM849 + (1-$AW$47:$AW$56)*CI849), N($AK$47:$AK$56&gt;$AI849))
) / 1000</f>
        <v>0</v>
      </c>
      <c r="CO849" s="253" cm="1">
        <f t="array" ref="CO849">$BC849 * IF($AD849&lt;=2,
SUMPRODUCT(INDEX($AL$23:$AN$61,,$AE849), INDEX($AO$23:$AU$61,,$AD849), 1 / ($AV$23:$AV$61*CM849), N($AK$23:$AK$61&gt;$AI849)),
SUMPRODUCT(INDEX($AL$23:$AN$46,,$AE849), INDEX($AO$23:$AU$46,,$AD849), 1 / ($AW$23:$AW$46*CM849), N($AK$23:$AK$46&gt;$AI849))
) / 1000</f>
        <v>0</v>
      </c>
      <c r="CP849" s="237">
        <f t="shared" si="772"/>
        <v>0</v>
      </c>
      <c r="CQ849" s="210"/>
    </row>
    <row r="850" spans="1:95" s="76" customFormat="1" ht="14.25" customHeight="1" x14ac:dyDescent="0.2">
      <c r="A850" s="238" t="b">
        <f t="shared" si="739"/>
        <v>0</v>
      </c>
      <c r="B850" s="239">
        <v>828</v>
      </c>
      <c r="C850" s="258"/>
      <c r="D850" s="258"/>
      <c r="E850" s="240"/>
      <c r="F850" s="241" t="str">
        <f>IF(ISBLANK(E850), "", VLOOKUP(E850, Z!$A$2:$C$4127, 3, FALSE))</f>
        <v/>
      </c>
      <c r="G850" s="242"/>
      <c r="H850" s="242"/>
      <c r="I850" s="243"/>
      <c r="J850" s="244"/>
      <c r="K850" s="259"/>
      <c r="L850" s="260"/>
      <c r="M850" s="247" t="str" cm="1">
        <f t="array" ref="M850">IF($K850&gt;0, INDEX(Clean,1+AG850,$C$1), "")</f>
        <v/>
      </c>
      <c r="N850" s="245"/>
      <c r="O850" s="245"/>
      <c r="P850" s="246"/>
      <c r="Q850" s="248">
        <f t="shared" si="749"/>
        <v>0</v>
      </c>
      <c r="R850" s="247" t="str" cm="1">
        <f t="array" ref="R850">IF($K850&gt;0, INDEX(Clean,1+AH850,$C$1), "")</f>
        <v/>
      </c>
      <c r="S850" s="245"/>
      <c r="T850" s="245"/>
      <c r="U850" s="246"/>
      <c r="V850" s="248">
        <f t="shared" si="750"/>
        <v>0</v>
      </c>
      <c r="W850" s="261"/>
      <c r="X850" s="258"/>
      <c r="Y850" s="240"/>
      <c r="Z850" s="241" t="str">
        <f>IF(ISBLANK(Y850), "", VLOOKUP(Y850, Z!$A$2:$C$4127, 3, FALSE))</f>
        <v/>
      </c>
      <c r="AA850" s="262"/>
      <c r="AB850" s="249">
        <f t="shared" si="748"/>
        <v>0</v>
      </c>
      <c r="AC850" s="210"/>
      <c r="AD850" s="236">
        <f t="shared" si="773"/>
        <v>1</v>
      </c>
      <c r="AE850" s="236">
        <f t="shared" si="774"/>
        <v>1</v>
      </c>
      <c r="AF850" s="236">
        <f t="shared" si="775"/>
        <v>0</v>
      </c>
      <c r="AG850" s="236">
        <v>1</v>
      </c>
      <c r="AH850" s="236">
        <v>0</v>
      </c>
      <c r="AI850" s="236">
        <f t="shared" si="751"/>
        <v>-100</v>
      </c>
      <c r="AJ850" s="210"/>
      <c r="AK850" s="254"/>
      <c r="AL850" s="254"/>
      <c r="AM850" s="255"/>
      <c r="AN850" s="255"/>
      <c r="AO850" s="255"/>
      <c r="AP850" s="255"/>
      <c r="AQ850" s="255"/>
      <c r="AR850" s="255"/>
      <c r="AS850" s="255"/>
      <c r="AT850" s="255"/>
      <c r="AU850" s="255"/>
      <c r="AV850" s="255"/>
      <c r="AW850" s="255"/>
      <c r="AX850" s="210"/>
      <c r="AY850" s="236" cm="1">
        <f t="array" ref="AY850">INDEX(Use, $AD850, 4)</f>
        <v>7</v>
      </c>
      <c r="AZ850" s="236">
        <f t="shared" si="752"/>
        <v>32</v>
      </c>
      <c r="BA850" s="236">
        <f t="shared" si="740"/>
        <v>13</v>
      </c>
      <c r="BB850" s="236">
        <f t="shared" si="741"/>
        <v>0</v>
      </c>
      <c r="BC850" s="252" cm="1">
        <f t="array" ref="BC850">K850/IF($L850&gt;0, INDEX($AO$23:$AU$77, $L850+20, $AD850), 1)</f>
        <v>0</v>
      </c>
      <c r="BD850" s="237">
        <f t="shared" si="753"/>
        <v>0</v>
      </c>
      <c r="BE850" s="236">
        <v>35</v>
      </c>
      <c r="BF850" s="237">
        <f t="shared" si="754"/>
        <v>52.55</v>
      </c>
      <c r="BG850" s="253">
        <f t="shared" si="755"/>
        <v>2.7676728869374316</v>
      </c>
      <c r="BH850" s="253" cm="1">
        <f t="array" ref="BH850">$BC850 * SUMPRODUCT(INDEX($AL$77:$AN$82,,$AE850),INDEX($AO$77:$AU$82,,$AD850), N($AK$77:$AK$82&gt;$AI850)) / BG850 / 1000</f>
        <v>0</v>
      </c>
      <c r="BI850" s="250">
        <f t="shared" si="742"/>
        <v>30</v>
      </c>
      <c r="BJ850" s="237">
        <f t="shared" si="756"/>
        <v>46.033333333333331</v>
      </c>
      <c r="BK850" s="253">
        <f t="shared" si="757"/>
        <v>3.2297395388556791</v>
      </c>
      <c r="BL850" s="253" cm="1">
        <f t="array" ref="BL850">$BC850 * IF($AD850&lt;=2,
SUMPRODUCT(INDEX($AL$72:$AN$76,,$AE850), INDEX($AO$72:$AU$76,,$AD850), 1 / ($AV$72:$AV$76*BK850 + (1-$AV$72:$AV$76)*BG850), N($AK$72:$AK$76&gt;$AI850)),
SUMPRODUCT(INDEX($AL$67:$AN$76,,$AE850), INDEX($AO$67:$AU$76,,$AD850), 1 / ($AW$67:$AW$76*BK850 + (1-$AW$67:$AW$76)*BG850), N($AK$67:$AK$76&gt;$AI850))
) / 1000</f>
        <v>0</v>
      </c>
      <c r="BM850" s="250">
        <f t="shared" si="743"/>
        <v>25</v>
      </c>
      <c r="BN850" s="237">
        <f t="shared" si="758"/>
        <v>39.516666666666666</v>
      </c>
      <c r="BO850" s="253">
        <f t="shared" si="759"/>
        <v>3.877011788826243</v>
      </c>
      <c r="BP850" s="253" cm="1">
        <f t="array" ref="BP850">$BC850 * IF($AD850&lt;=2,
SUMPRODUCT(INDEX($AL$67:$AN$71,,$AE850), INDEX($AO$67:$AU$71,,$AD850), 1 / ($AV$67:$AV$71*BO850 + (1-$AV$67:$AV$71)*BK850), N($AK$67:$AK$71&gt;$AI850)),
SUMPRODUCT(INDEX($AL$57:$AN$66,,$AE850), INDEX($AO$57:$AU$66,,$AD850), 1 / ($AW$57:$AW$66*BO850 + (1-$AW$57:$AW$66)*BK850), N($AK$57:$AK$66&gt;$AI850))
) / 1000</f>
        <v>0</v>
      </c>
      <c r="BQ850" s="250">
        <f t="shared" si="744"/>
        <v>20</v>
      </c>
      <c r="BR850" s="237">
        <f t="shared" si="760"/>
        <v>33</v>
      </c>
      <c r="BS850" s="253">
        <f t="shared" si="761"/>
        <v>4.8487499999999999</v>
      </c>
      <c r="BT850" s="253" cm="1">
        <f t="array" ref="BT850">$BC850 * IF($AD850&lt;=2,
SUMPRODUCT(INDEX($AL$62:$AN$66,,$AE850), INDEX($AO$62:$AU$66,,$AD850), 1 / ($AV$62:$AV$66*BS850 + (1-$AV$62:$AV$66)*BO850), N($AK$62:$AK$66&gt;$AI850)),
SUMPRODUCT(INDEX($AL$47:$AN$56,,$AE850), INDEX($AO$47:$AU$56,,$AD850), 1 / ($AW$47:$AW$56*BS850 + (1-$AW$47:$AW$56)*BO850), N($AK$47:$AK$56&gt;$AI850))
) / 1000</f>
        <v>0</v>
      </c>
      <c r="BU850" s="253" cm="1">
        <f t="array" ref="BU850">$BC850 * IF($AD850&lt;=2,
SUMPRODUCT(INDEX($AL$23:$AN$61,,$AE850), INDEX($AO$23:$AU$61,,$AD850), 1 / ($AV$23:$AV$61*BS850), N($AK$23:$AK$61&gt;$AI850)),
SUMPRODUCT(INDEX($AL$23:$AN$46,,$AE850), INDEX($AO$23:$AU$46,,$AD850), 1 / ($AW$23:$AW$46*BS850), N($AK$23:$AK$46&gt;$AI850))
) / 1000</f>
        <v>0</v>
      </c>
      <c r="BV850" s="237">
        <f t="shared" si="762"/>
        <v>0</v>
      </c>
      <c r="BW850" s="210"/>
      <c r="BX850" s="237">
        <f t="shared" si="763"/>
        <v>0</v>
      </c>
      <c r="BY850" s="236">
        <v>35</v>
      </c>
      <c r="BZ850" s="237">
        <f t="shared" si="764"/>
        <v>48</v>
      </c>
      <c r="CA850" s="253">
        <f t="shared" si="765"/>
        <v>3.0748170731707316</v>
      </c>
      <c r="CB850" s="253" cm="1">
        <f t="array" ref="CB850">$BC850 * SUMPRODUCT(INDEX($AL$77:$AN$82,,$AE850),INDEX($AO$77:$AU$82,,$AD850), N($AK$77:$AK$82&gt;$AI850)) / CA850 / 1000</f>
        <v>0</v>
      </c>
      <c r="CC850" s="250">
        <f t="shared" si="745"/>
        <v>30</v>
      </c>
      <c r="CD850" s="237">
        <f t="shared" si="766"/>
        <v>43</v>
      </c>
      <c r="CE850" s="253">
        <f t="shared" si="767"/>
        <v>3.5018750000000001</v>
      </c>
      <c r="CF850" s="253" cm="1">
        <f t="array" ref="CF850">$BC850 * IF($AD850&lt;=2,
SUMPRODUCT(INDEX($AL$72:$AN$76,,$AE850), INDEX($AO$72:$AU$76,,$AD850), 1 / ($AV$72:$AV$76*CE850 + (1-$AV$72:$AV$76)*CA850), N($AK$72:$AK$76&gt;$AI850)),
SUMPRODUCT(INDEX($AL$67:$AN$76,,$AE850), INDEX($AO$67:$AU$76,,$AD850), 1 / ($AW$67:$AW$76*CE850 + (1-$AW$67:$AW$76)*CA850), N($AK$67:$AK$76&gt;$AI850))
) / 1000</f>
        <v>0</v>
      </c>
      <c r="CG850" s="250">
        <f t="shared" si="746"/>
        <v>25</v>
      </c>
      <c r="CH850" s="237">
        <f t="shared" si="768"/>
        <v>38</v>
      </c>
      <c r="CI850" s="253">
        <f t="shared" si="769"/>
        <v>4.0666935483870965</v>
      </c>
      <c r="CJ850" s="253" cm="1">
        <f t="array" ref="CJ850">$BC850 * IF($AD850&lt;=2,
SUMPRODUCT(INDEX($AL$67:$AN$71,,$AE850), INDEX($AO$67:$AU$71,,$AD850), 1 / ($AV$67:$AV$71*CI850 + (1-$AV$67:$AV$71)*CE850), N($AK$67:$AK$71&gt;$AI850)),
SUMPRODUCT(INDEX($AL$57:$AN$66,,$AE850), INDEX($AO$57:$AU$66,,$AD850), 1 / ($AW$57:$AW$66*CI850 + (1-$AW$57:$AW$66)*CE850), N($AK$57:$AK$66&gt;$AI850))
) / 1000</f>
        <v>0</v>
      </c>
      <c r="CK850" s="250">
        <f t="shared" si="747"/>
        <v>20</v>
      </c>
      <c r="CL850" s="237">
        <f t="shared" si="770"/>
        <v>33</v>
      </c>
      <c r="CM850" s="253">
        <f t="shared" si="771"/>
        <v>4.8487499999999999</v>
      </c>
      <c r="CN850" s="253" cm="1">
        <f t="array" ref="CN850">$BC850 * IF($AD850&lt;=2,
SUMPRODUCT(INDEX($AL$62:$AN$66,,$AE850), INDEX($AO$62:$AU$66,,$AD850), 1 / ($AV$62:$AV$66*CM850 + (1-$AV$62:$AV$66)*CI850), N($AK$62:$AK$66&gt;$AI850)),
SUMPRODUCT(INDEX($AL$47:$AN$56,,$AE850), INDEX($AO$47:$AU$56,,$AD850), 1 / ($AW$47:$AW$56*CM850 + (1-$AW$47:$AW$56)*CI850), N($AK$47:$AK$56&gt;$AI850))
) / 1000</f>
        <v>0</v>
      </c>
      <c r="CO850" s="253" cm="1">
        <f t="array" ref="CO850">$BC850 * IF($AD850&lt;=2,
SUMPRODUCT(INDEX($AL$23:$AN$61,,$AE850), INDEX($AO$23:$AU$61,,$AD850), 1 / ($AV$23:$AV$61*CM850), N($AK$23:$AK$61&gt;$AI850)),
SUMPRODUCT(INDEX($AL$23:$AN$46,,$AE850), INDEX($AO$23:$AU$46,,$AD850), 1 / ($AW$23:$AW$46*CM850), N($AK$23:$AK$46&gt;$AI850))
) / 1000</f>
        <v>0</v>
      </c>
      <c r="CP850" s="237">
        <f t="shared" si="772"/>
        <v>0</v>
      </c>
      <c r="CQ850" s="210"/>
    </row>
    <row r="851" spans="1:95" s="76" customFormat="1" ht="14.25" customHeight="1" x14ac:dyDescent="0.2">
      <c r="A851" s="238" t="b">
        <f t="shared" si="739"/>
        <v>0</v>
      </c>
      <c r="B851" s="239">
        <v>829</v>
      </c>
      <c r="C851" s="258"/>
      <c r="D851" s="258"/>
      <c r="E851" s="240"/>
      <c r="F851" s="241" t="str">
        <f>IF(ISBLANK(E851), "", VLOOKUP(E851, Z!$A$2:$C$4127, 3, FALSE))</f>
        <v/>
      </c>
      <c r="G851" s="242"/>
      <c r="H851" s="242"/>
      <c r="I851" s="243"/>
      <c r="J851" s="244"/>
      <c r="K851" s="259"/>
      <c r="L851" s="260"/>
      <c r="M851" s="247" t="str" cm="1">
        <f t="array" ref="M851">IF($K851&gt;0, INDEX(Clean,1+AG851,$C$1), "")</f>
        <v/>
      </c>
      <c r="N851" s="245"/>
      <c r="O851" s="245"/>
      <c r="P851" s="246"/>
      <c r="Q851" s="248">
        <f t="shared" si="749"/>
        <v>0</v>
      </c>
      <c r="R851" s="247" t="str" cm="1">
        <f t="array" ref="R851">IF($K851&gt;0, INDEX(Clean,1+AH851,$C$1), "")</f>
        <v/>
      </c>
      <c r="S851" s="245"/>
      <c r="T851" s="245"/>
      <c r="U851" s="246"/>
      <c r="V851" s="248">
        <f t="shared" si="750"/>
        <v>0</v>
      </c>
      <c r="W851" s="261"/>
      <c r="X851" s="258"/>
      <c r="Y851" s="240"/>
      <c r="Z851" s="241" t="str">
        <f>IF(ISBLANK(Y851), "", VLOOKUP(Y851, Z!$A$2:$C$4127, 3, FALSE))</f>
        <v/>
      </c>
      <c r="AA851" s="262"/>
      <c r="AB851" s="249">
        <f t="shared" si="748"/>
        <v>0</v>
      </c>
      <c r="AC851" s="210"/>
      <c r="AD851" s="236">
        <f t="shared" si="773"/>
        <v>1</v>
      </c>
      <c r="AE851" s="236">
        <f t="shared" si="774"/>
        <v>1</v>
      </c>
      <c r="AF851" s="236">
        <f t="shared" si="775"/>
        <v>0</v>
      </c>
      <c r="AG851" s="236">
        <v>1</v>
      </c>
      <c r="AH851" s="236">
        <v>0</v>
      </c>
      <c r="AI851" s="236">
        <f t="shared" si="751"/>
        <v>-100</v>
      </c>
      <c r="AJ851" s="210"/>
      <c r="AK851" s="254"/>
      <c r="AL851" s="254"/>
      <c r="AM851" s="255"/>
      <c r="AN851" s="255"/>
      <c r="AO851" s="255"/>
      <c r="AP851" s="255"/>
      <c r="AQ851" s="255"/>
      <c r="AR851" s="255"/>
      <c r="AS851" s="255"/>
      <c r="AT851" s="255"/>
      <c r="AU851" s="255"/>
      <c r="AV851" s="255"/>
      <c r="AW851" s="255"/>
      <c r="AX851" s="210"/>
      <c r="AY851" s="236" cm="1">
        <f t="array" ref="AY851">INDEX(Use, $AD851, 4)</f>
        <v>7</v>
      </c>
      <c r="AZ851" s="236">
        <f t="shared" si="752"/>
        <v>32</v>
      </c>
      <c r="BA851" s="236">
        <f t="shared" si="740"/>
        <v>13</v>
      </c>
      <c r="BB851" s="236">
        <f t="shared" si="741"/>
        <v>0</v>
      </c>
      <c r="BC851" s="252" cm="1">
        <f t="array" ref="BC851">K851/IF($L851&gt;0, INDEX($AO$23:$AU$77, $L851+20, $AD851), 1)</f>
        <v>0</v>
      </c>
      <c r="BD851" s="237">
        <f t="shared" si="753"/>
        <v>0</v>
      </c>
      <c r="BE851" s="236">
        <v>35</v>
      </c>
      <c r="BF851" s="237">
        <f t="shared" si="754"/>
        <v>52.55</v>
      </c>
      <c r="BG851" s="253">
        <f t="shared" si="755"/>
        <v>2.7676728869374316</v>
      </c>
      <c r="BH851" s="253" cm="1">
        <f t="array" ref="BH851">$BC851 * SUMPRODUCT(INDEX($AL$77:$AN$82,,$AE851),INDEX($AO$77:$AU$82,,$AD851), N($AK$77:$AK$82&gt;$AI851)) / BG851 / 1000</f>
        <v>0</v>
      </c>
      <c r="BI851" s="250">
        <f t="shared" si="742"/>
        <v>30</v>
      </c>
      <c r="BJ851" s="237">
        <f t="shared" si="756"/>
        <v>46.033333333333331</v>
      </c>
      <c r="BK851" s="253">
        <f t="shared" si="757"/>
        <v>3.2297395388556791</v>
      </c>
      <c r="BL851" s="253" cm="1">
        <f t="array" ref="BL851">$BC851 * IF($AD851&lt;=2,
SUMPRODUCT(INDEX($AL$72:$AN$76,,$AE851), INDEX($AO$72:$AU$76,,$AD851), 1 / ($AV$72:$AV$76*BK851 + (1-$AV$72:$AV$76)*BG851), N($AK$72:$AK$76&gt;$AI851)),
SUMPRODUCT(INDEX($AL$67:$AN$76,,$AE851), INDEX($AO$67:$AU$76,,$AD851), 1 / ($AW$67:$AW$76*BK851 + (1-$AW$67:$AW$76)*BG851), N($AK$67:$AK$76&gt;$AI851))
) / 1000</f>
        <v>0</v>
      </c>
      <c r="BM851" s="250">
        <f t="shared" si="743"/>
        <v>25</v>
      </c>
      <c r="BN851" s="237">
        <f t="shared" si="758"/>
        <v>39.516666666666666</v>
      </c>
      <c r="BO851" s="253">
        <f t="shared" si="759"/>
        <v>3.877011788826243</v>
      </c>
      <c r="BP851" s="253" cm="1">
        <f t="array" ref="BP851">$BC851 * IF($AD851&lt;=2,
SUMPRODUCT(INDEX($AL$67:$AN$71,,$AE851), INDEX($AO$67:$AU$71,,$AD851), 1 / ($AV$67:$AV$71*BO851 + (1-$AV$67:$AV$71)*BK851), N($AK$67:$AK$71&gt;$AI851)),
SUMPRODUCT(INDEX($AL$57:$AN$66,,$AE851), INDEX($AO$57:$AU$66,,$AD851), 1 / ($AW$57:$AW$66*BO851 + (1-$AW$57:$AW$66)*BK851), N($AK$57:$AK$66&gt;$AI851))
) / 1000</f>
        <v>0</v>
      </c>
      <c r="BQ851" s="250">
        <f t="shared" si="744"/>
        <v>20</v>
      </c>
      <c r="BR851" s="237">
        <f t="shared" si="760"/>
        <v>33</v>
      </c>
      <c r="BS851" s="253">
        <f t="shared" si="761"/>
        <v>4.8487499999999999</v>
      </c>
      <c r="BT851" s="253" cm="1">
        <f t="array" ref="BT851">$BC851 * IF($AD851&lt;=2,
SUMPRODUCT(INDEX($AL$62:$AN$66,,$AE851), INDEX($AO$62:$AU$66,,$AD851), 1 / ($AV$62:$AV$66*BS851 + (1-$AV$62:$AV$66)*BO851), N($AK$62:$AK$66&gt;$AI851)),
SUMPRODUCT(INDEX($AL$47:$AN$56,,$AE851), INDEX($AO$47:$AU$56,,$AD851), 1 / ($AW$47:$AW$56*BS851 + (1-$AW$47:$AW$56)*BO851), N($AK$47:$AK$56&gt;$AI851))
) / 1000</f>
        <v>0</v>
      </c>
      <c r="BU851" s="253" cm="1">
        <f t="array" ref="BU851">$BC851 * IF($AD851&lt;=2,
SUMPRODUCT(INDEX($AL$23:$AN$61,,$AE851), INDEX($AO$23:$AU$61,,$AD851), 1 / ($AV$23:$AV$61*BS851), N($AK$23:$AK$61&gt;$AI851)),
SUMPRODUCT(INDEX($AL$23:$AN$46,,$AE851), INDEX($AO$23:$AU$46,,$AD851), 1 / ($AW$23:$AW$46*BS851), N($AK$23:$AK$46&gt;$AI851))
) / 1000</f>
        <v>0</v>
      </c>
      <c r="BV851" s="237">
        <f t="shared" si="762"/>
        <v>0</v>
      </c>
      <c r="BW851" s="210"/>
      <c r="BX851" s="237">
        <f t="shared" si="763"/>
        <v>0</v>
      </c>
      <c r="BY851" s="236">
        <v>35</v>
      </c>
      <c r="BZ851" s="237">
        <f t="shared" si="764"/>
        <v>48</v>
      </c>
      <c r="CA851" s="253">
        <f t="shared" si="765"/>
        <v>3.0748170731707316</v>
      </c>
      <c r="CB851" s="253" cm="1">
        <f t="array" ref="CB851">$BC851 * SUMPRODUCT(INDEX($AL$77:$AN$82,,$AE851),INDEX($AO$77:$AU$82,,$AD851), N($AK$77:$AK$82&gt;$AI851)) / CA851 / 1000</f>
        <v>0</v>
      </c>
      <c r="CC851" s="250">
        <f t="shared" si="745"/>
        <v>30</v>
      </c>
      <c r="CD851" s="237">
        <f t="shared" si="766"/>
        <v>43</v>
      </c>
      <c r="CE851" s="253">
        <f t="shared" si="767"/>
        <v>3.5018750000000001</v>
      </c>
      <c r="CF851" s="253" cm="1">
        <f t="array" ref="CF851">$BC851 * IF($AD851&lt;=2,
SUMPRODUCT(INDEX($AL$72:$AN$76,,$AE851), INDEX($AO$72:$AU$76,,$AD851), 1 / ($AV$72:$AV$76*CE851 + (1-$AV$72:$AV$76)*CA851), N($AK$72:$AK$76&gt;$AI851)),
SUMPRODUCT(INDEX($AL$67:$AN$76,,$AE851), INDEX($AO$67:$AU$76,,$AD851), 1 / ($AW$67:$AW$76*CE851 + (1-$AW$67:$AW$76)*CA851), N($AK$67:$AK$76&gt;$AI851))
) / 1000</f>
        <v>0</v>
      </c>
      <c r="CG851" s="250">
        <f t="shared" si="746"/>
        <v>25</v>
      </c>
      <c r="CH851" s="237">
        <f t="shared" si="768"/>
        <v>38</v>
      </c>
      <c r="CI851" s="253">
        <f t="shared" si="769"/>
        <v>4.0666935483870965</v>
      </c>
      <c r="CJ851" s="253" cm="1">
        <f t="array" ref="CJ851">$BC851 * IF($AD851&lt;=2,
SUMPRODUCT(INDEX($AL$67:$AN$71,,$AE851), INDEX($AO$67:$AU$71,,$AD851), 1 / ($AV$67:$AV$71*CI851 + (1-$AV$67:$AV$71)*CE851), N($AK$67:$AK$71&gt;$AI851)),
SUMPRODUCT(INDEX($AL$57:$AN$66,,$AE851), INDEX($AO$57:$AU$66,,$AD851), 1 / ($AW$57:$AW$66*CI851 + (1-$AW$57:$AW$66)*CE851), N($AK$57:$AK$66&gt;$AI851))
) / 1000</f>
        <v>0</v>
      </c>
      <c r="CK851" s="250">
        <f t="shared" si="747"/>
        <v>20</v>
      </c>
      <c r="CL851" s="237">
        <f t="shared" si="770"/>
        <v>33</v>
      </c>
      <c r="CM851" s="253">
        <f t="shared" si="771"/>
        <v>4.8487499999999999</v>
      </c>
      <c r="CN851" s="253" cm="1">
        <f t="array" ref="CN851">$BC851 * IF($AD851&lt;=2,
SUMPRODUCT(INDEX($AL$62:$AN$66,,$AE851), INDEX($AO$62:$AU$66,,$AD851), 1 / ($AV$62:$AV$66*CM851 + (1-$AV$62:$AV$66)*CI851), N($AK$62:$AK$66&gt;$AI851)),
SUMPRODUCT(INDEX($AL$47:$AN$56,,$AE851), INDEX($AO$47:$AU$56,,$AD851), 1 / ($AW$47:$AW$56*CM851 + (1-$AW$47:$AW$56)*CI851), N($AK$47:$AK$56&gt;$AI851))
) / 1000</f>
        <v>0</v>
      </c>
      <c r="CO851" s="253" cm="1">
        <f t="array" ref="CO851">$BC851 * IF($AD851&lt;=2,
SUMPRODUCT(INDEX($AL$23:$AN$61,,$AE851), INDEX($AO$23:$AU$61,,$AD851), 1 / ($AV$23:$AV$61*CM851), N($AK$23:$AK$61&gt;$AI851)),
SUMPRODUCT(INDEX($AL$23:$AN$46,,$AE851), INDEX($AO$23:$AU$46,,$AD851), 1 / ($AW$23:$AW$46*CM851), N($AK$23:$AK$46&gt;$AI851))
) / 1000</f>
        <v>0</v>
      </c>
      <c r="CP851" s="237">
        <f t="shared" si="772"/>
        <v>0</v>
      </c>
      <c r="CQ851" s="210"/>
    </row>
    <row r="852" spans="1:95" s="76" customFormat="1" ht="14.25" customHeight="1" x14ac:dyDescent="0.2">
      <c r="A852" s="238" t="b">
        <f t="shared" si="739"/>
        <v>0</v>
      </c>
      <c r="B852" s="239">
        <v>830</v>
      </c>
      <c r="C852" s="258"/>
      <c r="D852" s="258"/>
      <c r="E852" s="240"/>
      <c r="F852" s="241" t="str">
        <f>IF(ISBLANK(E852), "", VLOOKUP(E852, Z!$A$2:$C$4127, 3, FALSE))</f>
        <v/>
      </c>
      <c r="G852" s="242"/>
      <c r="H852" s="242"/>
      <c r="I852" s="243"/>
      <c r="J852" s="244"/>
      <c r="K852" s="259"/>
      <c r="L852" s="260"/>
      <c r="M852" s="247" t="str" cm="1">
        <f t="array" ref="M852">IF($K852&gt;0, INDEX(Clean,1+AG852,$C$1), "")</f>
        <v/>
      </c>
      <c r="N852" s="245"/>
      <c r="O852" s="245"/>
      <c r="P852" s="246"/>
      <c r="Q852" s="248">
        <f t="shared" si="749"/>
        <v>0</v>
      </c>
      <c r="R852" s="247" t="str" cm="1">
        <f t="array" ref="R852">IF($K852&gt;0, INDEX(Clean,1+AH852,$C$1), "")</f>
        <v/>
      </c>
      <c r="S852" s="245"/>
      <c r="T852" s="245"/>
      <c r="U852" s="246"/>
      <c r="V852" s="248">
        <f t="shared" si="750"/>
        <v>0</v>
      </c>
      <c r="W852" s="261"/>
      <c r="X852" s="258"/>
      <c r="Y852" s="240"/>
      <c r="Z852" s="241" t="str">
        <f>IF(ISBLANK(Y852), "", VLOOKUP(Y852, Z!$A$2:$C$4127, 3, FALSE))</f>
        <v/>
      </c>
      <c r="AA852" s="262"/>
      <c r="AB852" s="249">
        <f t="shared" si="748"/>
        <v>0</v>
      </c>
      <c r="AC852" s="210"/>
      <c r="AD852" s="236">
        <f t="shared" si="773"/>
        <v>1</v>
      </c>
      <c r="AE852" s="236">
        <f t="shared" si="774"/>
        <v>1</v>
      </c>
      <c r="AF852" s="236">
        <f t="shared" si="775"/>
        <v>0</v>
      </c>
      <c r="AG852" s="236">
        <v>1</v>
      </c>
      <c r="AH852" s="236">
        <v>0</v>
      </c>
      <c r="AI852" s="236">
        <f t="shared" si="751"/>
        <v>-100</v>
      </c>
      <c r="AJ852" s="210"/>
      <c r="AK852" s="254"/>
      <c r="AL852" s="254"/>
      <c r="AM852" s="255"/>
      <c r="AN852" s="255"/>
      <c r="AO852" s="255"/>
      <c r="AP852" s="255"/>
      <c r="AQ852" s="255"/>
      <c r="AR852" s="255"/>
      <c r="AS852" s="255"/>
      <c r="AT852" s="255"/>
      <c r="AU852" s="255"/>
      <c r="AV852" s="255"/>
      <c r="AW852" s="255"/>
      <c r="AX852" s="210"/>
      <c r="AY852" s="236" cm="1">
        <f t="array" ref="AY852">INDEX(Use, $AD852, 4)</f>
        <v>7</v>
      </c>
      <c r="AZ852" s="236">
        <f t="shared" si="752"/>
        <v>32</v>
      </c>
      <c r="BA852" s="236">
        <f t="shared" si="740"/>
        <v>13</v>
      </c>
      <c r="BB852" s="236">
        <f t="shared" si="741"/>
        <v>0</v>
      </c>
      <c r="BC852" s="252" cm="1">
        <f t="array" ref="BC852">K852/IF($L852&gt;0, INDEX($AO$23:$AU$77, $L852+20, $AD852), 1)</f>
        <v>0</v>
      </c>
      <c r="BD852" s="237">
        <f t="shared" si="753"/>
        <v>0</v>
      </c>
      <c r="BE852" s="236">
        <v>35</v>
      </c>
      <c r="BF852" s="237">
        <f t="shared" si="754"/>
        <v>52.55</v>
      </c>
      <c r="BG852" s="253">
        <f t="shared" si="755"/>
        <v>2.7676728869374316</v>
      </c>
      <c r="BH852" s="253" cm="1">
        <f t="array" ref="BH852">$BC852 * SUMPRODUCT(INDEX($AL$77:$AN$82,,$AE852),INDEX($AO$77:$AU$82,,$AD852), N($AK$77:$AK$82&gt;$AI852)) / BG852 / 1000</f>
        <v>0</v>
      </c>
      <c r="BI852" s="250">
        <f t="shared" si="742"/>
        <v>30</v>
      </c>
      <c r="BJ852" s="237">
        <f t="shared" si="756"/>
        <v>46.033333333333331</v>
      </c>
      <c r="BK852" s="253">
        <f t="shared" si="757"/>
        <v>3.2297395388556791</v>
      </c>
      <c r="BL852" s="253" cm="1">
        <f t="array" ref="BL852">$BC852 * IF($AD852&lt;=2,
SUMPRODUCT(INDEX($AL$72:$AN$76,,$AE852), INDEX($AO$72:$AU$76,,$AD852), 1 / ($AV$72:$AV$76*BK852 + (1-$AV$72:$AV$76)*BG852), N($AK$72:$AK$76&gt;$AI852)),
SUMPRODUCT(INDEX($AL$67:$AN$76,,$AE852), INDEX($AO$67:$AU$76,,$AD852), 1 / ($AW$67:$AW$76*BK852 + (1-$AW$67:$AW$76)*BG852), N($AK$67:$AK$76&gt;$AI852))
) / 1000</f>
        <v>0</v>
      </c>
      <c r="BM852" s="250">
        <f t="shared" si="743"/>
        <v>25</v>
      </c>
      <c r="BN852" s="237">
        <f t="shared" si="758"/>
        <v>39.516666666666666</v>
      </c>
      <c r="BO852" s="253">
        <f t="shared" si="759"/>
        <v>3.877011788826243</v>
      </c>
      <c r="BP852" s="253" cm="1">
        <f t="array" ref="BP852">$BC852 * IF($AD852&lt;=2,
SUMPRODUCT(INDEX($AL$67:$AN$71,,$AE852), INDEX($AO$67:$AU$71,,$AD852), 1 / ($AV$67:$AV$71*BO852 + (1-$AV$67:$AV$71)*BK852), N($AK$67:$AK$71&gt;$AI852)),
SUMPRODUCT(INDEX($AL$57:$AN$66,,$AE852), INDEX($AO$57:$AU$66,,$AD852), 1 / ($AW$57:$AW$66*BO852 + (1-$AW$57:$AW$66)*BK852), N($AK$57:$AK$66&gt;$AI852))
) / 1000</f>
        <v>0</v>
      </c>
      <c r="BQ852" s="250">
        <f t="shared" si="744"/>
        <v>20</v>
      </c>
      <c r="BR852" s="237">
        <f t="shared" si="760"/>
        <v>33</v>
      </c>
      <c r="BS852" s="253">
        <f t="shared" si="761"/>
        <v>4.8487499999999999</v>
      </c>
      <c r="BT852" s="253" cm="1">
        <f t="array" ref="BT852">$BC852 * IF($AD852&lt;=2,
SUMPRODUCT(INDEX($AL$62:$AN$66,,$AE852), INDEX($AO$62:$AU$66,,$AD852), 1 / ($AV$62:$AV$66*BS852 + (1-$AV$62:$AV$66)*BO852), N($AK$62:$AK$66&gt;$AI852)),
SUMPRODUCT(INDEX($AL$47:$AN$56,,$AE852), INDEX($AO$47:$AU$56,,$AD852), 1 / ($AW$47:$AW$56*BS852 + (1-$AW$47:$AW$56)*BO852), N($AK$47:$AK$56&gt;$AI852))
) / 1000</f>
        <v>0</v>
      </c>
      <c r="BU852" s="253" cm="1">
        <f t="array" ref="BU852">$BC852 * IF($AD852&lt;=2,
SUMPRODUCT(INDEX($AL$23:$AN$61,,$AE852), INDEX($AO$23:$AU$61,,$AD852), 1 / ($AV$23:$AV$61*BS852), N($AK$23:$AK$61&gt;$AI852)),
SUMPRODUCT(INDEX($AL$23:$AN$46,,$AE852), INDEX($AO$23:$AU$46,,$AD852), 1 / ($AW$23:$AW$46*BS852), N($AK$23:$AK$46&gt;$AI852))
) / 1000</f>
        <v>0</v>
      </c>
      <c r="BV852" s="237">
        <f t="shared" si="762"/>
        <v>0</v>
      </c>
      <c r="BW852" s="210"/>
      <c r="BX852" s="237">
        <f t="shared" si="763"/>
        <v>0</v>
      </c>
      <c r="BY852" s="236">
        <v>35</v>
      </c>
      <c r="BZ852" s="237">
        <f t="shared" si="764"/>
        <v>48</v>
      </c>
      <c r="CA852" s="253">
        <f t="shared" si="765"/>
        <v>3.0748170731707316</v>
      </c>
      <c r="CB852" s="253" cm="1">
        <f t="array" ref="CB852">$BC852 * SUMPRODUCT(INDEX($AL$77:$AN$82,,$AE852),INDEX($AO$77:$AU$82,,$AD852), N($AK$77:$AK$82&gt;$AI852)) / CA852 / 1000</f>
        <v>0</v>
      </c>
      <c r="CC852" s="250">
        <f t="shared" si="745"/>
        <v>30</v>
      </c>
      <c r="CD852" s="237">
        <f t="shared" si="766"/>
        <v>43</v>
      </c>
      <c r="CE852" s="253">
        <f t="shared" si="767"/>
        <v>3.5018750000000001</v>
      </c>
      <c r="CF852" s="253" cm="1">
        <f t="array" ref="CF852">$BC852 * IF($AD852&lt;=2,
SUMPRODUCT(INDEX($AL$72:$AN$76,,$AE852), INDEX($AO$72:$AU$76,,$AD852), 1 / ($AV$72:$AV$76*CE852 + (1-$AV$72:$AV$76)*CA852), N($AK$72:$AK$76&gt;$AI852)),
SUMPRODUCT(INDEX($AL$67:$AN$76,,$AE852), INDEX($AO$67:$AU$76,,$AD852), 1 / ($AW$67:$AW$76*CE852 + (1-$AW$67:$AW$76)*CA852), N($AK$67:$AK$76&gt;$AI852))
) / 1000</f>
        <v>0</v>
      </c>
      <c r="CG852" s="250">
        <f t="shared" si="746"/>
        <v>25</v>
      </c>
      <c r="CH852" s="237">
        <f t="shared" si="768"/>
        <v>38</v>
      </c>
      <c r="CI852" s="253">
        <f t="shared" si="769"/>
        <v>4.0666935483870965</v>
      </c>
      <c r="CJ852" s="253" cm="1">
        <f t="array" ref="CJ852">$BC852 * IF($AD852&lt;=2,
SUMPRODUCT(INDEX($AL$67:$AN$71,,$AE852), INDEX($AO$67:$AU$71,,$AD852), 1 / ($AV$67:$AV$71*CI852 + (1-$AV$67:$AV$71)*CE852), N($AK$67:$AK$71&gt;$AI852)),
SUMPRODUCT(INDEX($AL$57:$AN$66,,$AE852), INDEX($AO$57:$AU$66,,$AD852), 1 / ($AW$57:$AW$66*CI852 + (1-$AW$57:$AW$66)*CE852), N($AK$57:$AK$66&gt;$AI852))
) / 1000</f>
        <v>0</v>
      </c>
      <c r="CK852" s="250">
        <f t="shared" si="747"/>
        <v>20</v>
      </c>
      <c r="CL852" s="237">
        <f t="shared" si="770"/>
        <v>33</v>
      </c>
      <c r="CM852" s="253">
        <f t="shared" si="771"/>
        <v>4.8487499999999999</v>
      </c>
      <c r="CN852" s="253" cm="1">
        <f t="array" ref="CN852">$BC852 * IF($AD852&lt;=2,
SUMPRODUCT(INDEX($AL$62:$AN$66,,$AE852), INDEX($AO$62:$AU$66,,$AD852), 1 / ($AV$62:$AV$66*CM852 + (1-$AV$62:$AV$66)*CI852), N($AK$62:$AK$66&gt;$AI852)),
SUMPRODUCT(INDEX($AL$47:$AN$56,,$AE852), INDEX($AO$47:$AU$56,,$AD852), 1 / ($AW$47:$AW$56*CM852 + (1-$AW$47:$AW$56)*CI852), N($AK$47:$AK$56&gt;$AI852))
) / 1000</f>
        <v>0</v>
      </c>
      <c r="CO852" s="253" cm="1">
        <f t="array" ref="CO852">$BC852 * IF($AD852&lt;=2,
SUMPRODUCT(INDEX($AL$23:$AN$61,,$AE852), INDEX($AO$23:$AU$61,,$AD852), 1 / ($AV$23:$AV$61*CM852), N($AK$23:$AK$61&gt;$AI852)),
SUMPRODUCT(INDEX($AL$23:$AN$46,,$AE852), INDEX($AO$23:$AU$46,,$AD852), 1 / ($AW$23:$AW$46*CM852), N($AK$23:$AK$46&gt;$AI852))
) / 1000</f>
        <v>0</v>
      </c>
      <c r="CP852" s="237">
        <f t="shared" si="772"/>
        <v>0</v>
      </c>
      <c r="CQ852" s="210"/>
    </row>
    <row r="853" spans="1:95" s="76" customFormat="1" ht="14.25" customHeight="1" x14ac:dyDescent="0.2">
      <c r="A853" s="238" t="b">
        <f t="shared" si="739"/>
        <v>0</v>
      </c>
      <c r="B853" s="239">
        <v>831</v>
      </c>
      <c r="C853" s="258"/>
      <c r="D853" s="258"/>
      <c r="E853" s="240"/>
      <c r="F853" s="241" t="str">
        <f>IF(ISBLANK(E853), "", VLOOKUP(E853, Z!$A$2:$C$4127, 3, FALSE))</f>
        <v/>
      </c>
      <c r="G853" s="242"/>
      <c r="H853" s="242"/>
      <c r="I853" s="243"/>
      <c r="J853" s="244"/>
      <c r="K853" s="259"/>
      <c r="L853" s="260"/>
      <c r="M853" s="247" t="str" cm="1">
        <f t="array" ref="M853">IF($K853&gt;0, INDEX(Clean,1+AG853,$C$1), "")</f>
        <v/>
      </c>
      <c r="N853" s="245"/>
      <c r="O853" s="245"/>
      <c r="P853" s="246"/>
      <c r="Q853" s="248">
        <f t="shared" si="749"/>
        <v>0</v>
      </c>
      <c r="R853" s="247" t="str" cm="1">
        <f t="array" ref="R853">IF($K853&gt;0, INDEX(Clean,1+AH853,$C$1), "")</f>
        <v/>
      </c>
      <c r="S853" s="245"/>
      <c r="T853" s="245"/>
      <c r="U853" s="246"/>
      <c r="V853" s="248">
        <f t="shared" si="750"/>
        <v>0</v>
      </c>
      <c r="W853" s="261"/>
      <c r="X853" s="258"/>
      <c r="Y853" s="240"/>
      <c r="Z853" s="241" t="str">
        <f>IF(ISBLANK(Y853), "", VLOOKUP(Y853, Z!$A$2:$C$4127, 3, FALSE))</f>
        <v/>
      </c>
      <c r="AA853" s="262"/>
      <c r="AB853" s="249">
        <f t="shared" si="748"/>
        <v>0</v>
      </c>
      <c r="AC853" s="210"/>
      <c r="AD853" s="236">
        <f t="shared" si="773"/>
        <v>1</v>
      </c>
      <c r="AE853" s="236">
        <f t="shared" si="774"/>
        <v>1</v>
      </c>
      <c r="AF853" s="236">
        <f t="shared" si="775"/>
        <v>0</v>
      </c>
      <c r="AG853" s="236">
        <v>1</v>
      </c>
      <c r="AH853" s="236">
        <v>0</v>
      </c>
      <c r="AI853" s="236">
        <f t="shared" si="751"/>
        <v>-100</v>
      </c>
      <c r="AJ853" s="210"/>
      <c r="AK853" s="254"/>
      <c r="AL853" s="254"/>
      <c r="AM853" s="255"/>
      <c r="AN853" s="255"/>
      <c r="AO853" s="255"/>
      <c r="AP853" s="255"/>
      <c r="AQ853" s="255"/>
      <c r="AR853" s="255"/>
      <c r="AS853" s="255"/>
      <c r="AT853" s="255"/>
      <c r="AU853" s="255"/>
      <c r="AV853" s="255"/>
      <c r="AW853" s="255"/>
      <c r="AX853" s="210"/>
      <c r="AY853" s="236" cm="1">
        <f t="array" ref="AY853">INDEX(Use, $AD853, 4)</f>
        <v>7</v>
      </c>
      <c r="AZ853" s="236">
        <f t="shared" si="752"/>
        <v>32</v>
      </c>
      <c r="BA853" s="236">
        <f t="shared" si="740"/>
        <v>13</v>
      </c>
      <c r="BB853" s="236">
        <f t="shared" si="741"/>
        <v>0</v>
      </c>
      <c r="BC853" s="252" cm="1">
        <f t="array" ref="BC853">K853/IF($L853&gt;0, INDEX($AO$23:$AU$77, $L853+20, $AD853), 1)</f>
        <v>0</v>
      </c>
      <c r="BD853" s="237">
        <f t="shared" si="753"/>
        <v>0</v>
      </c>
      <c r="BE853" s="236">
        <v>35</v>
      </c>
      <c r="BF853" s="237">
        <f t="shared" si="754"/>
        <v>52.55</v>
      </c>
      <c r="BG853" s="253">
        <f t="shared" si="755"/>
        <v>2.7676728869374316</v>
      </c>
      <c r="BH853" s="253" cm="1">
        <f t="array" ref="BH853">$BC853 * SUMPRODUCT(INDEX($AL$77:$AN$82,,$AE853),INDEX($AO$77:$AU$82,,$AD853), N($AK$77:$AK$82&gt;$AI853)) / BG853 / 1000</f>
        <v>0</v>
      </c>
      <c r="BI853" s="250">
        <f t="shared" si="742"/>
        <v>30</v>
      </c>
      <c r="BJ853" s="237">
        <f t="shared" si="756"/>
        <v>46.033333333333331</v>
      </c>
      <c r="BK853" s="253">
        <f t="shared" si="757"/>
        <v>3.2297395388556791</v>
      </c>
      <c r="BL853" s="253" cm="1">
        <f t="array" ref="BL853">$BC853 * IF($AD853&lt;=2,
SUMPRODUCT(INDEX($AL$72:$AN$76,,$AE853), INDEX($AO$72:$AU$76,,$AD853), 1 / ($AV$72:$AV$76*BK853 + (1-$AV$72:$AV$76)*BG853), N($AK$72:$AK$76&gt;$AI853)),
SUMPRODUCT(INDEX($AL$67:$AN$76,,$AE853), INDEX($AO$67:$AU$76,,$AD853), 1 / ($AW$67:$AW$76*BK853 + (1-$AW$67:$AW$76)*BG853), N($AK$67:$AK$76&gt;$AI853))
) / 1000</f>
        <v>0</v>
      </c>
      <c r="BM853" s="250">
        <f t="shared" si="743"/>
        <v>25</v>
      </c>
      <c r="BN853" s="237">
        <f t="shared" si="758"/>
        <v>39.516666666666666</v>
      </c>
      <c r="BO853" s="253">
        <f t="shared" si="759"/>
        <v>3.877011788826243</v>
      </c>
      <c r="BP853" s="253" cm="1">
        <f t="array" ref="BP853">$BC853 * IF($AD853&lt;=2,
SUMPRODUCT(INDEX($AL$67:$AN$71,,$AE853), INDEX($AO$67:$AU$71,,$AD853), 1 / ($AV$67:$AV$71*BO853 + (1-$AV$67:$AV$71)*BK853), N($AK$67:$AK$71&gt;$AI853)),
SUMPRODUCT(INDEX($AL$57:$AN$66,,$AE853), INDEX($AO$57:$AU$66,,$AD853), 1 / ($AW$57:$AW$66*BO853 + (1-$AW$57:$AW$66)*BK853), N($AK$57:$AK$66&gt;$AI853))
) / 1000</f>
        <v>0</v>
      </c>
      <c r="BQ853" s="250">
        <f t="shared" si="744"/>
        <v>20</v>
      </c>
      <c r="BR853" s="237">
        <f t="shared" si="760"/>
        <v>33</v>
      </c>
      <c r="BS853" s="253">
        <f t="shared" si="761"/>
        <v>4.8487499999999999</v>
      </c>
      <c r="BT853" s="253" cm="1">
        <f t="array" ref="BT853">$BC853 * IF($AD853&lt;=2,
SUMPRODUCT(INDEX($AL$62:$AN$66,,$AE853), INDEX($AO$62:$AU$66,,$AD853), 1 / ($AV$62:$AV$66*BS853 + (1-$AV$62:$AV$66)*BO853), N($AK$62:$AK$66&gt;$AI853)),
SUMPRODUCT(INDEX($AL$47:$AN$56,,$AE853), INDEX($AO$47:$AU$56,,$AD853), 1 / ($AW$47:$AW$56*BS853 + (1-$AW$47:$AW$56)*BO853), N($AK$47:$AK$56&gt;$AI853))
) / 1000</f>
        <v>0</v>
      </c>
      <c r="BU853" s="253" cm="1">
        <f t="array" ref="BU853">$BC853 * IF($AD853&lt;=2,
SUMPRODUCT(INDEX($AL$23:$AN$61,,$AE853), INDEX($AO$23:$AU$61,,$AD853), 1 / ($AV$23:$AV$61*BS853), N($AK$23:$AK$61&gt;$AI853)),
SUMPRODUCT(INDEX($AL$23:$AN$46,,$AE853), INDEX($AO$23:$AU$46,,$AD853), 1 / ($AW$23:$AW$46*BS853), N($AK$23:$AK$46&gt;$AI853))
) / 1000</f>
        <v>0</v>
      </c>
      <c r="BV853" s="237">
        <f t="shared" si="762"/>
        <v>0</v>
      </c>
      <c r="BW853" s="210"/>
      <c r="BX853" s="237">
        <f t="shared" si="763"/>
        <v>0</v>
      </c>
      <c r="BY853" s="236">
        <v>35</v>
      </c>
      <c r="BZ853" s="237">
        <f t="shared" si="764"/>
        <v>48</v>
      </c>
      <c r="CA853" s="253">
        <f t="shared" si="765"/>
        <v>3.0748170731707316</v>
      </c>
      <c r="CB853" s="253" cm="1">
        <f t="array" ref="CB853">$BC853 * SUMPRODUCT(INDEX($AL$77:$AN$82,,$AE853),INDEX($AO$77:$AU$82,,$AD853), N($AK$77:$AK$82&gt;$AI853)) / CA853 / 1000</f>
        <v>0</v>
      </c>
      <c r="CC853" s="250">
        <f t="shared" si="745"/>
        <v>30</v>
      </c>
      <c r="CD853" s="237">
        <f t="shared" si="766"/>
        <v>43</v>
      </c>
      <c r="CE853" s="253">
        <f t="shared" si="767"/>
        <v>3.5018750000000001</v>
      </c>
      <c r="CF853" s="253" cm="1">
        <f t="array" ref="CF853">$BC853 * IF($AD853&lt;=2,
SUMPRODUCT(INDEX($AL$72:$AN$76,,$AE853), INDEX($AO$72:$AU$76,,$AD853), 1 / ($AV$72:$AV$76*CE853 + (1-$AV$72:$AV$76)*CA853), N($AK$72:$AK$76&gt;$AI853)),
SUMPRODUCT(INDEX($AL$67:$AN$76,,$AE853), INDEX($AO$67:$AU$76,,$AD853), 1 / ($AW$67:$AW$76*CE853 + (1-$AW$67:$AW$76)*CA853), N($AK$67:$AK$76&gt;$AI853))
) / 1000</f>
        <v>0</v>
      </c>
      <c r="CG853" s="250">
        <f t="shared" si="746"/>
        <v>25</v>
      </c>
      <c r="CH853" s="237">
        <f t="shared" si="768"/>
        <v>38</v>
      </c>
      <c r="CI853" s="253">
        <f t="shared" si="769"/>
        <v>4.0666935483870965</v>
      </c>
      <c r="CJ853" s="253" cm="1">
        <f t="array" ref="CJ853">$BC853 * IF($AD853&lt;=2,
SUMPRODUCT(INDEX($AL$67:$AN$71,,$AE853), INDEX($AO$67:$AU$71,,$AD853), 1 / ($AV$67:$AV$71*CI853 + (1-$AV$67:$AV$71)*CE853), N($AK$67:$AK$71&gt;$AI853)),
SUMPRODUCT(INDEX($AL$57:$AN$66,,$AE853), INDEX($AO$57:$AU$66,,$AD853), 1 / ($AW$57:$AW$66*CI853 + (1-$AW$57:$AW$66)*CE853), N($AK$57:$AK$66&gt;$AI853))
) / 1000</f>
        <v>0</v>
      </c>
      <c r="CK853" s="250">
        <f t="shared" si="747"/>
        <v>20</v>
      </c>
      <c r="CL853" s="237">
        <f t="shared" si="770"/>
        <v>33</v>
      </c>
      <c r="CM853" s="253">
        <f t="shared" si="771"/>
        <v>4.8487499999999999</v>
      </c>
      <c r="CN853" s="253" cm="1">
        <f t="array" ref="CN853">$BC853 * IF($AD853&lt;=2,
SUMPRODUCT(INDEX($AL$62:$AN$66,,$AE853), INDEX($AO$62:$AU$66,,$AD853), 1 / ($AV$62:$AV$66*CM853 + (1-$AV$62:$AV$66)*CI853), N($AK$62:$AK$66&gt;$AI853)),
SUMPRODUCT(INDEX($AL$47:$AN$56,,$AE853), INDEX($AO$47:$AU$56,,$AD853), 1 / ($AW$47:$AW$56*CM853 + (1-$AW$47:$AW$56)*CI853), N($AK$47:$AK$56&gt;$AI853))
) / 1000</f>
        <v>0</v>
      </c>
      <c r="CO853" s="253" cm="1">
        <f t="array" ref="CO853">$BC853 * IF($AD853&lt;=2,
SUMPRODUCT(INDEX($AL$23:$AN$61,,$AE853), INDEX($AO$23:$AU$61,,$AD853), 1 / ($AV$23:$AV$61*CM853), N($AK$23:$AK$61&gt;$AI853)),
SUMPRODUCT(INDEX($AL$23:$AN$46,,$AE853), INDEX($AO$23:$AU$46,,$AD853), 1 / ($AW$23:$AW$46*CM853), N($AK$23:$AK$46&gt;$AI853))
) / 1000</f>
        <v>0</v>
      </c>
      <c r="CP853" s="237">
        <f t="shared" si="772"/>
        <v>0</v>
      </c>
      <c r="CQ853" s="210"/>
    </row>
    <row r="854" spans="1:95" s="76" customFormat="1" ht="14.25" customHeight="1" x14ac:dyDescent="0.2">
      <c r="A854" s="238" t="b">
        <f t="shared" ref="A854:A917" si="776">IF(OR(AND($K854&gt;80, $AD854=1), AND($K854&gt;40, $AD854=3), AND($K854&gt;30, $AD854=4),), TRUE, FALSE)</f>
        <v>0</v>
      </c>
      <c r="B854" s="239">
        <v>832</v>
      </c>
      <c r="C854" s="258"/>
      <c r="D854" s="258"/>
      <c r="E854" s="240"/>
      <c r="F854" s="241" t="str">
        <f>IF(ISBLANK(E854), "", VLOOKUP(E854, Z!$A$2:$C$4127, 3, FALSE))</f>
        <v/>
      </c>
      <c r="G854" s="242"/>
      <c r="H854" s="242"/>
      <c r="I854" s="243"/>
      <c r="J854" s="244"/>
      <c r="K854" s="259"/>
      <c r="L854" s="260"/>
      <c r="M854" s="247" t="str" cm="1">
        <f t="array" ref="M854">IF($K854&gt;0, INDEX(Clean,1+AG854,$C$1), "")</f>
        <v/>
      </c>
      <c r="N854" s="245"/>
      <c r="O854" s="245"/>
      <c r="P854" s="246"/>
      <c r="Q854" s="248">
        <f t="shared" si="749"/>
        <v>0</v>
      </c>
      <c r="R854" s="247" t="str" cm="1">
        <f t="array" ref="R854">IF($K854&gt;0, INDEX(Clean,1+AH854,$C$1), "")</f>
        <v/>
      </c>
      <c r="S854" s="245"/>
      <c r="T854" s="245"/>
      <c r="U854" s="246"/>
      <c r="V854" s="248">
        <f t="shared" si="750"/>
        <v>0</v>
      </c>
      <c r="W854" s="261"/>
      <c r="X854" s="258"/>
      <c r="Y854" s="240"/>
      <c r="Z854" s="241" t="str">
        <f>IF(ISBLANK(Y854), "", VLOOKUP(Y854, Z!$A$2:$C$4127, 3, FALSE))</f>
        <v/>
      </c>
      <c r="AA854" s="262"/>
      <c r="AB854" s="249">
        <f t="shared" si="748"/>
        <v>0</v>
      </c>
      <c r="AC854" s="210"/>
      <c r="AD854" s="236">
        <f t="shared" si="773"/>
        <v>1</v>
      </c>
      <c r="AE854" s="236">
        <f t="shared" si="774"/>
        <v>1</v>
      </c>
      <c r="AF854" s="236">
        <f t="shared" si="775"/>
        <v>0</v>
      </c>
      <c r="AG854" s="236">
        <v>1</v>
      </c>
      <c r="AH854" s="236">
        <v>0</v>
      </c>
      <c r="AI854" s="236">
        <f t="shared" si="751"/>
        <v>-100</v>
      </c>
      <c r="AJ854" s="210"/>
      <c r="AK854" s="254"/>
      <c r="AL854" s="254"/>
      <c r="AM854" s="255"/>
      <c r="AN854" s="255"/>
      <c r="AO854" s="255"/>
      <c r="AP854" s="255"/>
      <c r="AQ854" s="255"/>
      <c r="AR854" s="255"/>
      <c r="AS854" s="255"/>
      <c r="AT854" s="255"/>
      <c r="AU854" s="255"/>
      <c r="AV854" s="255"/>
      <c r="AW854" s="255"/>
      <c r="AX854" s="210"/>
      <c r="AY854" s="236" cm="1">
        <f t="array" ref="AY854">INDEX(Use, $AD854, 4)</f>
        <v>7</v>
      </c>
      <c r="AZ854" s="236">
        <f t="shared" si="752"/>
        <v>32</v>
      </c>
      <c r="BA854" s="236">
        <f t="shared" si="740"/>
        <v>13</v>
      </c>
      <c r="BB854" s="236">
        <f t="shared" si="741"/>
        <v>0</v>
      </c>
      <c r="BC854" s="252" cm="1">
        <f t="array" ref="BC854">K854/IF($L854&gt;0, INDEX($AO$23:$AU$77, $L854+20, $AD854), 1)</f>
        <v>0</v>
      </c>
      <c r="BD854" s="237">
        <f t="shared" si="753"/>
        <v>0</v>
      </c>
      <c r="BE854" s="236">
        <v>35</v>
      </c>
      <c r="BF854" s="237">
        <f t="shared" si="754"/>
        <v>52.55</v>
      </c>
      <c r="BG854" s="253">
        <f t="shared" si="755"/>
        <v>2.7676728869374316</v>
      </c>
      <c r="BH854" s="253" cm="1">
        <f t="array" ref="BH854">$BC854 * SUMPRODUCT(INDEX($AL$77:$AN$82,,$AE854),INDEX($AO$77:$AU$82,,$AD854), N($AK$77:$AK$82&gt;$AI854)) / BG854 / 1000</f>
        <v>0</v>
      </c>
      <c r="BI854" s="250">
        <f t="shared" si="742"/>
        <v>30</v>
      </c>
      <c r="BJ854" s="237">
        <f t="shared" si="756"/>
        <v>46.033333333333331</v>
      </c>
      <c r="BK854" s="253">
        <f t="shared" si="757"/>
        <v>3.2297395388556791</v>
      </c>
      <c r="BL854" s="253" cm="1">
        <f t="array" ref="BL854">$BC854 * IF($AD854&lt;=2,
SUMPRODUCT(INDEX($AL$72:$AN$76,,$AE854), INDEX($AO$72:$AU$76,,$AD854), 1 / ($AV$72:$AV$76*BK854 + (1-$AV$72:$AV$76)*BG854), N($AK$72:$AK$76&gt;$AI854)),
SUMPRODUCT(INDEX($AL$67:$AN$76,,$AE854), INDEX($AO$67:$AU$76,,$AD854), 1 / ($AW$67:$AW$76*BK854 + (1-$AW$67:$AW$76)*BG854), N($AK$67:$AK$76&gt;$AI854))
) / 1000</f>
        <v>0</v>
      </c>
      <c r="BM854" s="250">
        <f t="shared" si="743"/>
        <v>25</v>
      </c>
      <c r="BN854" s="237">
        <f t="shared" si="758"/>
        <v>39.516666666666666</v>
      </c>
      <c r="BO854" s="253">
        <f t="shared" si="759"/>
        <v>3.877011788826243</v>
      </c>
      <c r="BP854" s="253" cm="1">
        <f t="array" ref="BP854">$BC854 * IF($AD854&lt;=2,
SUMPRODUCT(INDEX($AL$67:$AN$71,,$AE854), INDEX($AO$67:$AU$71,,$AD854), 1 / ($AV$67:$AV$71*BO854 + (1-$AV$67:$AV$71)*BK854), N($AK$67:$AK$71&gt;$AI854)),
SUMPRODUCT(INDEX($AL$57:$AN$66,,$AE854), INDEX($AO$57:$AU$66,,$AD854), 1 / ($AW$57:$AW$66*BO854 + (1-$AW$57:$AW$66)*BK854), N($AK$57:$AK$66&gt;$AI854))
) / 1000</f>
        <v>0</v>
      </c>
      <c r="BQ854" s="250">
        <f t="shared" si="744"/>
        <v>20</v>
      </c>
      <c r="BR854" s="237">
        <f t="shared" si="760"/>
        <v>33</v>
      </c>
      <c r="BS854" s="253">
        <f t="shared" si="761"/>
        <v>4.8487499999999999</v>
      </c>
      <c r="BT854" s="253" cm="1">
        <f t="array" ref="BT854">$BC854 * IF($AD854&lt;=2,
SUMPRODUCT(INDEX($AL$62:$AN$66,,$AE854), INDEX($AO$62:$AU$66,,$AD854), 1 / ($AV$62:$AV$66*BS854 + (1-$AV$62:$AV$66)*BO854), N($AK$62:$AK$66&gt;$AI854)),
SUMPRODUCT(INDEX($AL$47:$AN$56,,$AE854), INDEX($AO$47:$AU$56,,$AD854), 1 / ($AW$47:$AW$56*BS854 + (1-$AW$47:$AW$56)*BO854), N($AK$47:$AK$56&gt;$AI854))
) / 1000</f>
        <v>0</v>
      </c>
      <c r="BU854" s="253" cm="1">
        <f t="array" ref="BU854">$BC854 * IF($AD854&lt;=2,
SUMPRODUCT(INDEX($AL$23:$AN$61,,$AE854), INDEX($AO$23:$AU$61,,$AD854), 1 / ($AV$23:$AV$61*BS854), N($AK$23:$AK$61&gt;$AI854)),
SUMPRODUCT(INDEX($AL$23:$AN$46,,$AE854), INDEX($AO$23:$AU$46,,$AD854), 1 / ($AW$23:$AW$46*BS854), N($AK$23:$AK$46&gt;$AI854))
) / 1000</f>
        <v>0</v>
      </c>
      <c r="BV854" s="237">
        <f t="shared" si="762"/>
        <v>0</v>
      </c>
      <c r="BW854" s="210"/>
      <c r="BX854" s="237">
        <f t="shared" si="763"/>
        <v>0</v>
      </c>
      <c r="BY854" s="236">
        <v>35</v>
      </c>
      <c r="BZ854" s="237">
        <f t="shared" si="764"/>
        <v>48</v>
      </c>
      <c r="CA854" s="253">
        <f t="shared" si="765"/>
        <v>3.0748170731707316</v>
      </c>
      <c r="CB854" s="253" cm="1">
        <f t="array" ref="CB854">$BC854 * SUMPRODUCT(INDEX($AL$77:$AN$82,,$AE854),INDEX($AO$77:$AU$82,,$AD854), N($AK$77:$AK$82&gt;$AI854)) / CA854 / 1000</f>
        <v>0</v>
      </c>
      <c r="CC854" s="250">
        <f t="shared" si="745"/>
        <v>30</v>
      </c>
      <c r="CD854" s="237">
        <f t="shared" si="766"/>
        <v>43</v>
      </c>
      <c r="CE854" s="253">
        <f t="shared" si="767"/>
        <v>3.5018750000000001</v>
      </c>
      <c r="CF854" s="253" cm="1">
        <f t="array" ref="CF854">$BC854 * IF($AD854&lt;=2,
SUMPRODUCT(INDEX($AL$72:$AN$76,,$AE854), INDEX($AO$72:$AU$76,,$AD854), 1 / ($AV$72:$AV$76*CE854 + (1-$AV$72:$AV$76)*CA854), N($AK$72:$AK$76&gt;$AI854)),
SUMPRODUCT(INDEX($AL$67:$AN$76,,$AE854), INDEX($AO$67:$AU$76,,$AD854), 1 / ($AW$67:$AW$76*CE854 + (1-$AW$67:$AW$76)*CA854), N($AK$67:$AK$76&gt;$AI854))
) / 1000</f>
        <v>0</v>
      </c>
      <c r="CG854" s="250">
        <f t="shared" si="746"/>
        <v>25</v>
      </c>
      <c r="CH854" s="237">
        <f t="shared" si="768"/>
        <v>38</v>
      </c>
      <c r="CI854" s="253">
        <f t="shared" si="769"/>
        <v>4.0666935483870965</v>
      </c>
      <c r="CJ854" s="253" cm="1">
        <f t="array" ref="CJ854">$BC854 * IF($AD854&lt;=2,
SUMPRODUCT(INDEX($AL$67:$AN$71,,$AE854), INDEX($AO$67:$AU$71,,$AD854), 1 / ($AV$67:$AV$71*CI854 + (1-$AV$67:$AV$71)*CE854), N($AK$67:$AK$71&gt;$AI854)),
SUMPRODUCT(INDEX($AL$57:$AN$66,,$AE854), INDEX($AO$57:$AU$66,,$AD854), 1 / ($AW$57:$AW$66*CI854 + (1-$AW$57:$AW$66)*CE854), N($AK$57:$AK$66&gt;$AI854))
) / 1000</f>
        <v>0</v>
      </c>
      <c r="CK854" s="250">
        <f t="shared" si="747"/>
        <v>20</v>
      </c>
      <c r="CL854" s="237">
        <f t="shared" si="770"/>
        <v>33</v>
      </c>
      <c r="CM854" s="253">
        <f t="shared" si="771"/>
        <v>4.8487499999999999</v>
      </c>
      <c r="CN854" s="253" cm="1">
        <f t="array" ref="CN854">$BC854 * IF($AD854&lt;=2,
SUMPRODUCT(INDEX($AL$62:$AN$66,,$AE854), INDEX($AO$62:$AU$66,,$AD854), 1 / ($AV$62:$AV$66*CM854 + (1-$AV$62:$AV$66)*CI854), N($AK$62:$AK$66&gt;$AI854)),
SUMPRODUCT(INDEX($AL$47:$AN$56,,$AE854), INDEX($AO$47:$AU$56,,$AD854), 1 / ($AW$47:$AW$56*CM854 + (1-$AW$47:$AW$56)*CI854), N($AK$47:$AK$56&gt;$AI854))
) / 1000</f>
        <v>0</v>
      </c>
      <c r="CO854" s="253" cm="1">
        <f t="array" ref="CO854">$BC854 * IF($AD854&lt;=2,
SUMPRODUCT(INDEX($AL$23:$AN$61,,$AE854), INDEX($AO$23:$AU$61,,$AD854), 1 / ($AV$23:$AV$61*CM854), N($AK$23:$AK$61&gt;$AI854)),
SUMPRODUCT(INDEX($AL$23:$AN$46,,$AE854), INDEX($AO$23:$AU$46,,$AD854), 1 / ($AW$23:$AW$46*CM854), N($AK$23:$AK$46&gt;$AI854))
) / 1000</f>
        <v>0</v>
      </c>
      <c r="CP854" s="237">
        <f t="shared" si="772"/>
        <v>0</v>
      </c>
      <c r="CQ854" s="210"/>
    </row>
    <row r="855" spans="1:95" s="76" customFormat="1" ht="14.25" customHeight="1" x14ac:dyDescent="0.2">
      <c r="A855" s="238" t="b">
        <f t="shared" si="776"/>
        <v>0</v>
      </c>
      <c r="B855" s="239">
        <v>833</v>
      </c>
      <c r="C855" s="258"/>
      <c r="D855" s="258"/>
      <c r="E855" s="240"/>
      <c r="F855" s="241" t="str">
        <f>IF(ISBLANK(E855), "", VLOOKUP(E855, Z!$A$2:$C$4127, 3, FALSE))</f>
        <v/>
      </c>
      <c r="G855" s="242"/>
      <c r="H855" s="242"/>
      <c r="I855" s="243"/>
      <c r="J855" s="244"/>
      <c r="K855" s="259"/>
      <c r="L855" s="260"/>
      <c r="M855" s="247" t="str" cm="1">
        <f t="array" ref="M855">IF($K855&gt;0, INDEX(Clean,1+AG855,$C$1), "")</f>
        <v/>
      </c>
      <c r="N855" s="245"/>
      <c r="O855" s="245"/>
      <c r="P855" s="246"/>
      <c r="Q855" s="248">
        <f t="shared" si="749"/>
        <v>0</v>
      </c>
      <c r="R855" s="247" t="str" cm="1">
        <f t="array" ref="R855">IF($K855&gt;0, INDEX(Clean,1+AH855,$C$1), "")</f>
        <v/>
      </c>
      <c r="S855" s="245"/>
      <c r="T855" s="245"/>
      <c r="U855" s="246"/>
      <c r="V855" s="248">
        <f t="shared" si="750"/>
        <v>0</v>
      </c>
      <c r="W855" s="261"/>
      <c r="X855" s="258"/>
      <c r="Y855" s="240"/>
      <c r="Z855" s="241" t="str">
        <f>IF(ISBLANK(Y855), "", VLOOKUP(Y855, Z!$A$2:$C$4127, 3, FALSE))</f>
        <v/>
      </c>
      <c r="AA855" s="262"/>
      <c r="AB855" s="249">
        <f t="shared" si="748"/>
        <v>0</v>
      </c>
      <c r="AC855" s="210"/>
      <c r="AD855" s="236">
        <f t="shared" si="773"/>
        <v>1</v>
      </c>
      <c r="AE855" s="236">
        <f t="shared" si="774"/>
        <v>1</v>
      </c>
      <c r="AF855" s="236">
        <f t="shared" si="775"/>
        <v>0</v>
      </c>
      <c r="AG855" s="236">
        <v>1</v>
      </c>
      <c r="AH855" s="236">
        <v>0</v>
      </c>
      <c r="AI855" s="236">
        <f t="shared" si="751"/>
        <v>-100</v>
      </c>
      <c r="AJ855" s="210"/>
      <c r="AK855" s="254"/>
      <c r="AL855" s="254"/>
      <c r="AM855" s="255"/>
      <c r="AN855" s="255"/>
      <c r="AO855" s="255"/>
      <c r="AP855" s="255"/>
      <c r="AQ855" s="255"/>
      <c r="AR855" s="255"/>
      <c r="AS855" s="255"/>
      <c r="AT855" s="255"/>
      <c r="AU855" s="255"/>
      <c r="AV855" s="255"/>
      <c r="AW855" s="255"/>
      <c r="AX855" s="210"/>
      <c r="AY855" s="236" cm="1">
        <f t="array" ref="AY855">INDEX(Use, $AD855, 4)</f>
        <v>7</v>
      </c>
      <c r="AZ855" s="236">
        <f t="shared" si="752"/>
        <v>32</v>
      </c>
      <c r="BA855" s="236">
        <f t="shared" ref="BA855:BA918" si="777">IF($AF855=1, 6, IF($AD855=4, 10, 13))</f>
        <v>13</v>
      </c>
      <c r="BB855" s="236">
        <f t="shared" ref="BB855:BB918" si="778">IF($AF855=1, 9, 0)</f>
        <v>0</v>
      </c>
      <c r="BC855" s="252" cm="1">
        <f t="array" ref="BC855">K855/IF($L855&gt;0, INDEX($AO$23:$AU$77, $L855+20, $AD855), 1)</f>
        <v>0</v>
      </c>
      <c r="BD855" s="237">
        <f t="shared" si="753"/>
        <v>0</v>
      </c>
      <c r="BE855" s="236">
        <v>35</v>
      </c>
      <c r="BF855" s="237">
        <f t="shared" si="754"/>
        <v>52.55</v>
      </c>
      <c r="BG855" s="253">
        <f t="shared" si="755"/>
        <v>2.7676728869374316</v>
      </c>
      <c r="BH855" s="253" cm="1">
        <f t="array" ref="BH855">$BC855 * SUMPRODUCT(INDEX($AL$77:$AN$82,,$AE855),INDEX($AO$77:$AU$82,,$AD855), N($AK$77:$AK$82&gt;$AI855)) / BG855 / 1000</f>
        <v>0</v>
      </c>
      <c r="BI855" s="250">
        <f t="shared" ref="BI855:BI918" si="779">IF($AD855&lt;=2, 30, 25)</f>
        <v>30</v>
      </c>
      <c r="BJ855" s="237">
        <f t="shared" si="756"/>
        <v>46.033333333333331</v>
      </c>
      <c r="BK855" s="253">
        <f t="shared" si="757"/>
        <v>3.2297395388556791</v>
      </c>
      <c r="BL855" s="253" cm="1">
        <f t="array" ref="BL855">$BC855 * IF($AD855&lt;=2,
SUMPRODUCT(INDEX($AL$72:$AN$76,,$AE855), INDEX($AO$72:$AU$76,,$AD855), 1 / ($AV$72:$AV$76*BK855 + (1-$AV$72:$AV$76)*BG855), N($AK$72:$AK$76&gt;$AI855)),
SUMPRODUCT(INDEX($AL$67:$AN$76,,$AE855), INDEX($AO$67:$AU$76,,$AD855), 1 / ($AW$67:$AW$76*BK855 + (1-$AW$67:$AW$76)*BG855), N($AK$67:$AK$76&gt;$AI855))
) / 1000</f>
        <v>0</v>
      </c>
      <c r="BM855" s="250">
        <f t="shared" ref="BM855:BM918" si="780">IF($AD855&lt;=2, 25, 15)</f>
        <v>25</v>
      </c>
      <c r="BN855" s="237">
        <f t="shared" si="758"/>
        <v>39.516666666666666</v>
      </c>
      <c r="BO855" s="253">
        <f t="shared" si="759"/>
        <v>3.877011788826243</v>
      </c>
      <c r="BP855" s="253" cm="1">
        <f t="array" ref="BP855">$BC855 * IF($AD855&lt;=2,
SUMPRODUCT(INDEX($AL$67:$AN$71,,$AE855), INDEX($AO$67:$AU$71,,$AD855), 1 / ($AV$67:$AV$71*BO855 + (1-$AV$67:$AV$71)*BK855), N($AK$67:$AK$71&gt;$AI855)),
SUMPRODUCT(INDEX($AL$57:$AN$66,,$AE855), INDEX($AO$57:$AU$66,,$AD855), 1 / ($AW$57:$AW$66*BO855 + (1-$AW$57:$AW$66)*BK855), N($AK$57:$AK$66&gt;$AI855))
) / 1000</f>
        <v>0</v>
      </c>
      <c r="BQ855" s="250">
        <f t="shared" ref="BQ855:BQ918" si="781">IF($AD855&lt;=2, 20, 5)</f>
        <v>20</v>
      </c>
      <c r="BR855" s="237">
        <f t="shared" si="760"/>
        <v>33</v>
      </c>
      <c r="BS855" s="253">
        <f t="shared" si="761"/>
        <v>4.8487499999999999</v>
      </c>
      <c r="BT855" s="253" cm="1">
        <f t="array" ref="BT855">$BC855 * IF($AD855&lt;=2,
SUMPRODUCT(INDEX($AL$62:$AN$66,,$AE855), INDEX($AO$62:$AU$66,,$AD855), 1 / ($AV$62:$AV$66*BS855 + (1-$AV$62:$AV$66)*BO855), N($AK$62:$AK$66&gt;$AI855)),
SUMPRODUCT(INDEX($AL$47:$AN$56,,$AE855), INDEX($AO$47:$AU$56,,$AD855), 1 / ($AW$47:$AW$56*BS855 + (1-$AW$47:$AW$56)*BO855), N($AK$47:$AK$56&gt;$AI855))
) / 1000</f>
        <v>0</v>
      </c>
      <c r="BU855" s="253" cm="1">
        <f t="array" ref="BU855">$BC855 * IF($AD855&lt;=2,
SUMPRODUCT(INDEX($AL$23:$AN$61,,$AE855), INDEX($AO$23:$AU$61,,$AD855), 1 / ($AV$23:$AV$61*BS855), N($AK$23:$AK$61&gt;$AI855)),
SUMPRODUCT(INDEX($AL$23:$AN$46,,$AE855), INDEX($AO$23:$AU$46,,$AD855), 1 / ($AW$23:$AW$46*BS855), N($AK$23:$AK$46&gt;$AI855))
) / 1000</f>
        <v>0</v>
      </c>
      <c r="BV855" s="237">
        <f t="shared" si="762"/>
        <v>0</v>
      </c>
      <c r="BW855" s="210"/>
      <c r="BX855" s="237">
        <f t="shared" si="763"/>
        <v>0</v>
      </c>
      <c r="BY855" s="236">
        <v>35</v>
      </c>
      <c r="BZ855" s="237">
        <f t="shared" si="764"/>
        <v>48</v>
      </c>
      <c r="CA855" s="253">
        <f t="shared" si="765"/>
        <v>3.0748170731707316</v>
      </c>
      <c r="CB855" s="253" cm="1">
        <f t="array" ref="CB855">$BC855 * SUMPRODUCT(INDEX($AL$77:$AN$82,,$AE855),INDEX($AO$77:$AU$82,,$AD855), N($AK$77:$AK$82&gt;$AI855)) / CA855 / 1000</f>
        <v>0</v>
      </c>
      <c r="CC855" s="250">
        <f t="shared" ref="CC855:CC918" si="782">IF($AD855&lt;=2, 30, 25)</f>
        <v>30</v>
      </c>
      <c r="CD855" s="237">
        <f t="shared" si="766"/>
        <v>43</v>
      </c>
      <c r="CE855" s="253">
        <f t="shared" si="767"/>
        <v>3.5018750000000001</v>
      </c>
      <c r="CF855" s="253" cm="1">
        <f t="array" ref="CF855">$BC855 * IF($AD855&lt;=2,
SUMPRODUCT(INDEX($AL$72:$AN$76,,$AE855), INDEX($AO$72:$AU$76,,$AD855), 1 / ($AV$72:$AV$76*CE855 + (1-$AV$72:$AV$76)*CA855), N($AK$72:$AK$76&gt;$AI855)),
SUMPRODUCT(INDEX($AL$67:$AN$76,,$AE855), INDEX($AO$67:$AU$76,,$AD855), 1 / ($AW$67:$AW$76*CE855 + (1-$AW$67:$AW$76)*CA855), N($AK$67:$AK$76&gt;$AI855))
) / 1000</f>
        <v>0</v>
      </c>
      <c r="CG855" s="250">
        <f t="shared" ref="CG855:CG918" si="783">IF($AD855&lt;=2, 25, 15)</f>
        <v>25</v>
      </c>
      <c r="CH855" s="237">
        <f t="shared" si="768"/>
        <v>38</v>
      </c>
      <c r="CI855" s="253">
        <f t="shared" si="769"/>
        <v>4.0666935483870965</v>
      </c>
      <c r="CJ855" s="253" cm="1">
        <f t="array" ref="CJ855">$BC855 * IF($AD855&lt;=2,
SUMPRODUCT(INDEX($AL$67:$AN$71,,$AE855), INDEX($AO$67:$AU$71,,$AD855), 1 / ($AV$67:$AV$71*CI855 + (1-$AV$67:$AV$71)*CE855), N($AK$67:$AK$71&gt;$AI855)),
SUMPRODUCT(INDEX($AL$57:$AN$66,,$AE855), INDEX($AO$57:$AU$66,,$AD855), 1 / ($AW$57:$AW$66*CI855 + (1-$AW$57:$AW$66)*CE855), N($AK$57:$AK$66&gt;$AI855))
) / 1000</f>
        <v>0</v>
      </c>
      <c r="CK855" s="250">
        <f t="shared" ref="CK855:CK918" si="784">IF($AD855&lt;=2, 20, 5)</f>
        <v>20</v>
      </c>
      <c r="CL855" s="237">
        <f t="shared" si="770"/>
        <v>33</v>
      </c>
      <c r="CM855" s="253">
        <f t="shared" si="771"/>
        <v>4.8487499999999999</v>
      </c>
      <c r="CN855" s="253" cm="1">
        <f t="array" ref="CN855">$BC855 * IF($AD855&lt;=2,
SUMPRODUCT(INDEX($AL$62:$AN$66,,$AE855), INDEX($AO$62:$AU$66,,$AD855), 1 / ($AV$62:$AV$66*CM855 + (1-$AV$62:$AV$66)*CI855), N($AK$62:$AK$66&gt;$AI855)),
SUMPRODUCT(INDEX($AL$47:$AN$56,,$AE855), INDEX($AO$47:$AU$56,,$AD855), 1 / ($AW$47:$AW$56*CM855 + (1-$AW$47:$AW$56)*CI855), N($AK$47:$AK$56&gt;$AI855))
) / 1000</f>
        <v>0</v>
      </c>
      <c r="CO855" s="253" cm="1">
        <f t="array" ref="CO855">$BC855 * IF($AD855&lt;=2,
SUMPRODUCT(INDEX($AL$23:$AN$61,,$AE855), INDEX($AO$23:$AU$61,,$AD855), 1 / ($AV$23:$AV$61*CM855), N($AK$23:$AK$61&gt;$AI855)),
SUMPRODUCT(INDEX($AL$23:$AN$46,,$AE855), INDEX($AO$23:$AU$46,,$AD855), 1 / ($AW$23:$AW$46*CM855), N($AK$23:$AK$46&gt;$AI855))
) / 1000</f>
        <v>0</v>
      </c>
      <c r="CP855" s="237">
        <f t="shared" si="772"/>
        <v>0</v>
      </c>
      <c r="CQ855" s="210"/>
    </row>
    <row r="856" spans="1:95" s="76" customFormat="1" ht="14.25" customHeight="1" x14ac:dyDescent="0.2">
      <c r="A856" s="238" t="b">
        <f t="shared" si="776"/>
        <v>0</v>
      </c>
      <c r="B856" s="239">
        <v>834</v>
      </c>
      <c r="C856" s="258"/>
      <c r="D856" s="258"/>
      <c r="E856" s="240"/>
      <c r="F856" s="241" t="str">
        <f>IF(ISBLANK(E856), "", VLOOKUP(E856, Z!$A$2:$C$4127, 3, FALSE))</f>
        <v/>
      </c>
      <c r="G856" s="242"/>
      <c r="H856" s="242"/>
      <c r="I856" s="243"/>
      <c r="J856" s="244"/>
      <c r="K856" s="259"/>
      <c r="L856" s="260"/>
      <c r="M856" s="247" t="str" cm="1">
        <f t="array" ref="M856">IF($K856&gt;0, INDEX(Clean,1+AG856,$C$1), "")</f>
        <v/>
      </c>
      <c r="N856" s="245"/>
      <c r="O856" s="245"/>
      <c r="P856" s="246"/>
      <c r="Q856" s="248">
        <f t="shared" si="749"/>
        <v>0</v>
      </c>
      <c r="R856" s="247" t="str" cm="1">
        <f t="array" ref="R856">IF($K856&gt;0, INDEX(Clean,1+AH856,$C$1), "")</f>
        <v/>
      </c>
      <c r="S856" s="245"/>
      <c r="T856" s="245"/>
      <c r="U856" s="246"/>
      <c r="V856" s="248">
        <f t="shared" si="750"/>
        <v>0</v>
      </c>
      <c r="W856" s="261"/>
      <c r="X856" s="258"/>
      <c r="Y856" s="240"/>
      <c r="Z856" s="241" t="str">
        <f>IF(ISBLANK(Y856), "", VLOOKUP(Y856, Z!$A$2:$C$4127, 3, FALSE))</f>
        <v/>
      </c>
      <c r="AA856" s="262"/>
      <c r="AB856" s="249">
        <f t="shared" ref="AB856:AB919" si="785">0.75*$AJ$22*(Q856-V856)</f>
        <v>0</v>
      </c>
      <c r="AC856" s="210"/>
      <c r="AD856" s="236">
        <f t="shared" si="773"/>
        <v>1</v>
      </c>
      <c r="AE856" s="236">
        <f t="shared" si="774"/>
        <v>1</v>
      </c>
      <c r="AF856" s="236">
        <f t="shared" si="775"/>
        <v>0</v>
      </c>
      <c r="AG856" s="236">
        <v>1</v>
      </c>
      <c r="AH856" s="236">
        <v>0</v>
      </c>
      <c r="AI856" s="236">
        <f t="shared" si="751"/>
        <v>-100</v>
      </c>
      <c r="AJ856" s="210"/>
      <c r="AK856" s="254"/>
      <c r="AL856" s="254"/>
      <c r="AM856" s="255"/>
      <c r="AN856" s="255"/>
      <c r="AO856" s="255"/>
      <c r="AP856" s="255"/>
      <c r="AQ856" s="255"/>
      <c r="AR856" s="255"/>
      <c r="AS856" s="255"/>
      <c r="AT856" s="255"/>
      <c r="AU856" s="255"/>
      <c r="AV856" s="255"/>
      <c r="AW856" s="255"/>
      <c r="AX856" s="210"/>
      <c r="AY856" s="236" cm="1">
        <f t="array" ref="AY856">INDEX(Use, $AD856, 4)</f>
        <v>7</v>
      </c>
      <c r="AZ856" s="236">
        <f t="shared" si="752"/>
        <v>32</v>
      </c>
      <c r="BA856" s="236">
        <f t="shared" si="777"/>
        <v>13</v>
      </c>
      <c r="BB856" s="236">
        <f t="shared" si="778"/>
        <v>0</v>
      </c>
      <c r="BC856" s="252" cm="1">
        <f t="array" ref="BC856">K856/IF($L856&gt;0, INDEX($AO$23:$AU$77, $L856+20, $AD856), 1)</f>
        <v>0</v>
      </c>
      <c r="BD856" s="237">
        <f t="shared" si="753"/>
        <v>0</v>
      </c>
      <c r="BE856" s="236">
        <v>35</v>
      </c>
      <c r="BF856" s="237">
        <f t="shared" si="754"/>
        <v>52.55</v>
      </c>
      <c r="BG856" s="253">
        <f t="shared" si="755"/>
        <v>2.7676728869374316</v>
      </c>
      <c r="BH856" s="253" cm="1">
        <f t="array" ref="BH856">$BC856 * SUMPRODUCT(INDEX($AL$77:$AN$82,,$AE856),INDEX($AO$77:$AU$82,,$AD856), N($AK$77:$AK$82&gt;$AI856)) / BG856 / 1000</f>
        <v>0</v>
      </c>
      <c r="BI856" s="250">
        <f t="shared" si="779"/>
        <v>30</v>
      </c>
      <c r="BJ856" s="237">
        <f t="shared" si="756"/>
        <v>46.033333333333331</v>
      </c>
      <c r="BK856" s="253">
        <f t="shared" si="757"/>
        <v>3.2297395388556791</v>
      </c>
      <c r="BL856" s="253" cm="1">
        <f t="array" ref="BL856">$BC856 * IF($AD856&lt;=2,
SUMPRODUCT(INDEX($AL$72:$AN$76,,$AE856), INDEX($AO$72:$AU$76,,$AD856), 1 / ($AV$72:$AV$76*BK856 + (1-$AV$72:$AV$76)*BG856), N($AK$72:$AK$76&gt;$AI856)),
SUMPRODUCT(INDEX($AL$67:$AN$76,,$AE856), INDEX($AO$67:$AU$76,,$AD856), 1 / ($AW$67:$AW$76*BK856 + (1-$AW$67:$AW$76)*BG856), N($AK$67:$AK$76&gt;$AI856))
) / 1000</f>
        <v>0</v>
      </c>
      <c r="BM856" s="250">
        <f t="shared" si="780"/>
        <v>25</v>
      </c>
      <c r="BN856" s="237">
        <f t="shared" si="758"/>
        <v>39.516666666666666</v>
      </c>
      <c r="BO856" s="253">
        <f t="shared" si="759"/>
        <v>3.877011788826243</v>
      </c>
      <c r="BP856" s="253" cm="1">
        <f t="array" ref="BP856">$BC856 * IF($AD856&lt;=2,
SUMPRODUCT(INDEX($AL$67:$AN$71,,$AE856), INDEX($AO$67:$AU$71,,$AD856), 1 / ($AV$67:$AV$71*BO856 + (1-$AV$67:$AV$71)*BK856), N($AK$67:$AK$71&gt;$AI856)),
SUMPRODUCT(INDEX($AL$57:$AN$66,,$AE856), INDEX($AO$57:$AU$66,,$AD856), 1 / ($AW$57:$AW$66*BO856 + (1-$AW$57:$AW$66)*BK856), N($AK$57:$AK$66&gt;$AI856))
) / 1000</f>
        <v>0</v>
      </c>
      <c r="BQ856" s="250">
        <f t="shared" si="781"/>
        <v>20</v>
      </c>
      <c r="BR856" s="237">
        <f t="shared" si="760"/>
        <v>33</v>
      </c>
      <c r="BS856" s="253">
        <f t="shared" si="761"/>
        <v>4.8487499999999999</v>
      </c>
      <c r="BT856" s="253" cm="1">
        <f t="array" ref="BT856">$BC856 * IF($AD856&lt;=2,
SUMPRODUCT(INDEX($AL$62:$AN$66,,$AE856), INDEX($AO$62:$AU$66,,$AD856), 1 / ($AV$62:$AV$66*BS856 + (1-$AV$62:$AV$66)*BO856), N($AK$62:$AK$66&gt;$AI856)),
SUMPRODUCT(INDEX($AL$47:$AN$56,,$AE856), INDEX($AO$47:$AU$56,,$AD856), 1 / ($AW$47:$AW$56*BS856 + (1-$AW$47:$AW$56)*BO856), N($AK$47:$AK$56&gt;$AI856))
) / 1000</f>
        <v>0</v>
      </c>
      <c r="BU856" s="253" cm="1">
        <f t="array" ref="BU856">$BC856 * IF($AD856&lt;=2,
SUMPRODUCT(INDEX($AL$23:$AN$61,,$AE856), INDEX($AO$23:$AU$61,,$AD856), 1 / ($AV$23:$AV$61*BS856), N($AK$23:$AK$61&gt;$AI856)),
SUMPRODUCT(INDEX($AL$23:$AN$46,,$AE856), INDEX($AO$23:$AU$46,,$AD856), 1 / ($AW$23:$AW$46*BS856), N($AK$23:$AK$46&gt;$AI856))
) / 1000</f>
        <v>0</v>
      </c>
      <c r="BV856" s="237">
        <f t="shared" si="762"/>
        <v>0</v>
      </c>
      <c r="BW856" s="210"/>
      <c r="BX856" s="237">
        <f t="shared" si="763"/>
        <v>0</v>
      </c>
      <c r="BY856" s="236">
        <v>35</v>
      </c>
      <c r="BZ856" s="237">
        <f t="shared" si="764"/>
        <v>48</v>
      </c>
      <c r="CA856" s="253">
        <f t="shared" si="765"/>
        <v>3.0748170731707316</v>
      </c>
      <c r="CB856" s="253" cm="1">
        <f t="array" ref="CB856">$BC856 * SUMPRODUCT(INDEX($AL$77:$AN$82,,$AE856),INDEX($AO$77:$AU$82,,$AD856), N($AK$77:$AK$82&gt;$AI856)) / CA856 / 1000</f>
        <v>0</v>
      </c>
      <c r="CC856" s="250">
        <f t="shared" si="782"/>
        <v>30</v>
      </c>
      <c r="CD856" s="237">
        <f t="shared" si="766"/>
        <v>43</v>
      </c>
      <c r="CE856" s="253">
        <f t="shared" si="767"/>
        <v>3.5018750000000001</v>
      </c>
      <c r="CF856" s="253" cm="1">
        <f t="array" ref="CF856">$BC856 * IF($AD856&lt;=2,
SUMPRODUCT(INDEX($AL$72:$AN$76,,$AE856), INDEX($AO$72:$AU$76,,$AD856), 1 / ($AV$72:$AV$76*CE856 + (1-$AV$72:$AV$76)*CA856), N($AK$72:$AK$76&gt;$AI856)),
SUMPRODUCT(INDEX($AL$67:$AN$76,,$AE856), INDEX($AO$67:$AU$76,,$AD856), 1 / ($AW$67:$AW$76*CE856 + (1-$AW$67:$AW$76)*CA856), N($AK$67:$AK$76&gt;$AI856))
) / 1000</f>
        <v>0</v>
      </c>
      <c r="CG856" s="250">
        <f t="shared" si="783"/>
        <v>25</v>
      </c>
      <c r="CH856" s="237">
        <f t="shared" si="768"/>
        <v>38</v>
      </c>
      <c r="CI856" s="253">
        <f t="shared" si="769"/>
        <v>4.0666935483870965</v>
      </c>
      <c r="CJ856" s="253" cm="1">
        <f t="array" ref="CJ856">$BC856 * IF($AD856&lt;=2,
SUMPRODUCT(INDEX($AL$67:$AN$71,,$AE856), INDEX($AO$67:$AU$71,,$AD856), 1 / ($AV$67:$AV$71*CI856 + (1-$AV$67:$AV$71)*CE856), N($AK$67:$AK$71&gt;$AI856)),
SUMPRODUCT(INDEX($AL$57:$AN$66,,$AE856), INDEX($AO$57:$AU$66,,$AD856), 1 / ($AW$57:$AW$66*CI856 + (1-$AW$57:$AW$66)*CE856), N($AK$57:$AK$66&gt;$AI856))
) / 1000</f>
        <v>0</v>
      </c>
      <c r="CK856" s="250">
        <f t="shared" si="784"/>
        <v>20</v>
      </c>
      <c r="CL856" s="237">
        <f t="shared" si="770"/>
        <v>33</v>
      </c>
      <c r="CM856" s="253">
        <f t="shared" si="771"/>
        <v>4.8487499999999999</v>
      </c>
      <c r="CN856" s="253" cm="1">
        <f t="array" ref="CN856">$BC856 * IF($AD856&lt;=2,
SUMPRODUCT(INDEX($AL$62:$AN$66,,$AE856), INDEX($AO$62:$AU$66,,$AD856), 1 / ($AV$62:$AV$66*CM856 + (1-$AV$62:$AV$66)*CI856), N($AK$62:$AK$66&gt;$AI856)),
SUMPRODUCT(INDEX($AL$47:$AN$56,,$AE856), INDEX($AO$47:$AU$56,,$AD856), 1 / ($AW$47:$AW$56*CM856 + (1-$AW$47:$AW$56)*CI856), N($AK$47:$AK$56&gt;$AI856))
) / 1000</f>
        <v>0</v>
      </c>
      <c r="CO856" s="253" cm="1">
        <f t="array" ref="CO856">$BC856 * IF($AD856&lt;=2,
SUMPRODUCT(INDEX($AL$23:$AN$61,,$AE856), INDEX($AO$23:$AU$61,,$AD856), 1 / ($AV$23:$AV$61*CM856), N($AK$23:$AK$61&gt;$AI856)),
SUMPRODUCT(INDEX($AL$23:$AN$46,,$AE856), INDEX($AO$23:$AU$46,,$AD856), 1 / ($AW$23:$AW$46*CM856), N($AK$23:$AK$46&gt;$AI856))
) / 1000</f>
        <v>0</v>
      </c>
      <c r="CP856" s="237">
        <f t="shared" si="772"/>
        <v>0</v>
      </c>
      <c r="CQ856" s="210"/>
    </row>
    <row r="857" spans="1:95" s="76" customFormat="1" ht="14.25" customHeight="1" x14ac:dyDescent="0.2">
      <c r="A857" s="238" t="b">
        <f t="shared" si="776"/>
        <v>0</v>
      </c>
      <c r="B857" s="239">
        <v>835</v>
      </c>
      <c r="C857" s="258"/>
      <c r="D857" s="258"/>
      <c r="E857" s="240"/>
      <c r="F857" s="241" t="str">
        <f>IF(ISBLANK(E857), "", VLOOKUP(E857, Z!$A$2:$C$4127, 3, FALSE))</f>
        <v/>
      </c>
      <c r="G857" s="242"/>
      <c r="H857" s="242"/>
      <c r="I857" s="243"/>
      <c r="J857" s="244"/>
      <c r="K857" s="259"/>
      <c r="L857" s="260"/>
      <c r="M857" s="247" t="str" cm="1">
        <f t="array" ref="M857">IF($K857&gt;0, INDEX(Clean,1+AG857,$C$1), "")</f>
        <v/>
      </c>
      <c r="N857" s="245"/>
      <c r="O857" s="245"/>
      <c r="P857" s="246"/>
      <c r="Q857" s="248">
        <f t="shared" si="749"/>
        <v>0</v>
      </c>
      <c r="R857" s="247" t="str" cm="1">
        <f t="array" ref="R857">IF($K857&gt;0, INDEX(Clean,1+AH857,$C$1), "")</f>
        <v/>
      </c>
      <c r="S857" s="245"/>
      <c r="T857" s="245"/>
      <c r="U857" s="246"/>
      <c r="V857" s="248">
        <f t="shared" si="750"/>
        <v>0</v>
      </c>
      <c r="W857" s="261"/>
      <c r="X857" s="258"/>
      <c r="Y857" s="240"/>
      <c r="Z857" s="241" t="str">
        <f>IF(ISBLANK(Y857), "", VLOOKUP(Y857, Z!$A$2:$C$4127, 3, FALSE))</f>
        <v/>
      </c>
      <c r="AA857" s="262"/>
      <c r="AB857" s="249">
        <f t="shared" si="785"/>
        <v>0</v>
      </c>
      <c r="AC857" s="210"/>
      <c r="AD857" s="236">
        <f t="shared" si="773"/>
        <v>1</v>
      </c>
      <c r="AE857" s="236">
        <f t="shared" si="774"/>
        <v>1</v>
      </c>
      <c r="AF857" s="236">
        <f t="shared" si="775"/>
        <v>0</v>
      </c>
      <c r="AG857" s="236">
        <v>1</v>
      </c>
      <c r="AH857" s="236">
        <v>0</v>
      </c>
      <c r="AI857" s="236">
        <f t="shared" si="751"/>
        <v>-100</v>
      </c>
      <c r="AJ857" s="210"/>
      <c r="AK857" s="254"/>
      <c r="AL857" s="254"/>
      <c r="AM857" s="255"/>
      <c r="AN857" s="255"/>
      <c r="AO857" s="255"/>
      <c r="AP857" s="255"/>
      <c r="AQ857" s="255"/>
      <c r="AR857" s="255"/>
      <c r="AS857" s="255"/>
      <c r="AT857" s="255"/>
      <c r="AU857" s="255"/>
      <c r="AV857" s="255"/>
      <c r="AW857" s="255"/>
      <c r="AX857" s="210"/>
      <c r="AY857" s="236" cm="1">
        <f t="array" ref="AY857">INDEX(Use, $AD857, 4)</f>
        <v>7</v>
      </c>
      <c r="AZ857" s="236">
        <f t="shared" si="752"/>
        <v>32</v>
      </c>
      <c r="BA857" s="236">
        <f t="shared" si="777"/>
        <v>13</v>
      </c>
      <c r="BB857" s="236">
        <f t="shared" si="778"/>
        <v>0</v>
      </c>
      <c r="BC857" s="252" cm="1">
        <f t="array" ref="BC857">K857/IF($L857&gt;0, INDEX($AO$23:$AU$77, $L857+20, $AD857), 1)</f>
        <v>0</v>
      </c>
      <c r="BD857" s="237">
        <f t="shared" si="753"/>
        <v>0</v>
      </c>
      <c r="BE857" s="236">
        <v>35</v>
      </c>
      <c r="BF857" s="237">
        <f t="shared" si="754"/>
        <v>52.55</v>
      </c>
      <c r="BG857" s="253">
        <f t="shared" si="755"/>
        <v>2.7676728869374316</v>
      </c>
      <c r="BH857" s="253" cm="1">
        <f t="array" ref="BH857">$BC857 * SUMPRODUCT(INDEX($AL$77:$AN$82,,$AE857),INDEX($AO$77:$AU$82,,$AD857), N($AK$77:$AK$82&gt;$AI857)) / BG857 / 1000</f>
        <v>0</v>
      </c>
      <c r="BI857" s="250">
        <f t="shared" si="779"/>
        <v>30</v>
      </c>
      <c r="BJ857" s="237">
        <f t="shared" si="756"/>
        <v>46.033333333333331</v>
      </c>
      <c r="BK857" s="253">
        <f t="shared" si="757"/>
        <v>3.2297395388556791</v>
      </c>
      <c r="BL857" s="253" cm="1">
        <f t="array" ref="BL857">$BC857 * IF($AD857&lt;=2,
SUMPRODUCT(INDEX($AL$72:$AN$76,,$AE857), INDEX($AO$72:$AU$76,,$AD857), 1 / ($AV$72:$AV$76*BK857 + (1-$AV$72:$AV$76)*BG857), N($AK$72:$AK$76&gt;$AI857)),
SUMPRODUCT(INDEX($AL$67:$AN$76,,$AE857), INDEX($AO$67:$AU$76,,$AD857), 1 / ($AW$67:$AW$76*BK857 + (1-$AW$67:$AW$76)*BG857), N($AK$67:$AK$76&gt;$AI857))
) / 1000</f>
        <v>0</v>
      </c>
      <c r="BM857" s="250">
        <f t="shared" si="780"/>
        <v>25</v>
      </c>
      <c r="BN857" s="237">
        <f t="shared" si="758"/>
        <v>39.516666666666666</v>
      </c>
      <c r="BO857" s="253">
        <f t="shared" si="759"/>
        <v>3.877011788826243</v>
      </c>
      <c r="BP857" s="253" cm="1">
        <f t="array" ref="BP857">$BC857 * IF($AD857&lt;=2,
SUMPRODUCT(INDEX($AL$67:$AN$71,,$AE857), INDEX($AO$67:$AU$71,,$AD857), 1 / ($AV$67:$AV$71*BO857 + (1-$AV$67:$AV$71)*BK857), N($AK$67:$AK$71&gt;$AI857)),
SUMPRODUCT(INDEX($AL$57:$AN$66,,$AE857), INDEX($AO$57:$AU$66,,$AD857), 1 / ($AW$57:$AW$66*BO857 + (1-$AW$57:$AW$66)*BK857), N($AK$57:$AK$66&gt;$AI857))
) / 1000</f>
        <v>0</v>
      </c>
      <c r="BQ857" s="250">
        <f t="shared" si="781"/>
        <v>20</v>
      </c>
      <c r="BR857" s="237">
        <f t="shared" si="760"/>
        <v>33</v>
      </c>
      <c r="BS857" s="253">
        <f t="shared" si="761"/>
        <v>4.8487499999999999</v>
      </c>
      <c r="BT857" s="253" cm="1">
        <f t="array" ref="BT857">$BC857 * IF($AD857&lt;=2,
SUMPRODUCT(INDEX($AL$62:$AN$66,,$AE857), INDEX($AO$62:$AU$66,,$AD857), 1 / ($AV$62:$AV$66*BS857 + (1-$AV$62:$AV$66)*BO857), N($AK$62:$AK$66&gt;$AI857)),
SUMPRODUCT(INDEX($AL$47:$AN$56,,$AE857), INDEX($AO$47:$AU$56,,$AD857), 1 / ($AW$47:$AW$56*BS857 + (1-$AW$47:$AW$56)*BO857), N($AK$47:$AK$56&gt;$AI857))
) / 1000</f>
        <v>0</v>
      </c>
      <c r="BU857" s="253" cm="1">
        <f t="array" ref="BU857">$BC857 * IF($AD857&lt;=2,
SUMPRODUCT(INDEX($AL$23:$AN$61,,$AE857), INDEX($AO$23:$AU$61,,$AD857), 1 / ($AV$23:$AV$61*BS857), N($AK$23:$AK$61&gt;$AI857)),
SUMPRODUCT(INDEX($AL$23:$AN$46,,$AE857), INDEX($AO$23:$AU$46,,$AD857), 1 / ($AW$23:$AW$46*BS857), N($AK$23:$AK$46&gt;$AI857))
) / 1000</f>
        <v>0</v>
      </c>
      <c r="BV857" s="237">
        <f t="shared" si="762"/>
        <v>0</v>
      </c>
      <c r="BW857" s="210"/>
      <c r="BX857" s="237">
        <f t="shared" si="763"/>
        <v>0</v>
      </c>
      <c r="BY857" s="236">
        <v>35</v>
      </c>
      <c r="BZ857" s="237">
        <f t="shared" si="764"/>
        <v>48</v>
      </c>
      <c r="CA857" s="253">
        <f t="shared" si="765"/>
        <v>3.0748170731707316</v>
      </c>
      <c r="CB857" s="253" cm="1">
        <f t="array" ref="CB857">$BC857 * SUMPRODUCT(INDEX($AL$77:$AN$82,,$AE857),INDEX($AO$77:$AU$82,,$AD857), N($AK$77:$AK$82&gt;$AI857)) / CA857 / 1000</f>
        <v>0</v>
      </c>
      <c r="CC857" s="250">
        <f t="shared" si="782"/>
        <v>30</v>
      </c>
      <c r="CD857" s="237">
        <f t="shared" si="766"/>
        <v>43</v>
      </c>
      <c r="CE857" s="253">
        <f t="shared" si="767"/>
        <v>3.5018750000000001</v>
      </c>
      <c r="CF857" s="253" cm="1">
        <f t="array" ref="CF857">$BC857 * IF($AD857&lt;=2,
SUMPRODUCT(INDEX($AL$72:$AN$76,,$AE857), INDEX($AO$72:$AU$76,,$AD857), 1 / ($AV$72:$AV$76*CE857 + (1-$AV$72:$AV$76)*CA857), N($AK$72:$AK$76&gt;$AI857)),
SUMPRODUCT(INDEX($AL$67:$AN$76,,$AE857), INDEX($AO$67:$AU$76,,$AD857), 1 / ($AW$67:$AW$76*CE857 + (1-$AW$67:$AW$76)*CA857), N($AK$67:$AK$76&gt;$AI857))
) / 1000</f>
        <v>0</v>
      </c>
      <c r="CG857" s="250">
        <f t="shared" si="783"/>
        <v>25</v>
      </c>
      <c r="CH857" s="237">
        <f t="shared" si="768"/>
        <v>38</v>
      </c>
      <c r="CI857" s="253">
        <f t="shared" si="769"/>
        <v>4.0666935483870965</v>
      </c>
      <c r="CJ857" s="253" cm="1">
        <f t="array" ref="CJ857">$BC857 * IF($AD857&lt;=2,
SUMPRODUCT(INDEX($AL$67:$AN$71,,$AE857), INDEX($AO$67:$AU$71,,$AD857), 1 / ($AV$67:$AV$71*CI857 + (1-$AV$67:$AV$71)*CE857), N($AK$67:$AK$71&gt;$AI857)),
SUMPRODUCT(INDEX($AL$57:$AN$66,,$AE857), INDEX($AO$57:$AU$66,,$AD857), 1 / ($AW$57:$AW$66*CI857 + (1-$AW$57:$AW$66)*CE857), N($AK$57:$AK$66&gt;$AI857))
) / 1000</f>
        <v>0</v>
      </c>
      <c r="CK857" s="250">
        <f t="shared" si="784"/>
        <v>20</v>
      </c>
      <c r="CL857" s="237">
        <f t="shared" si="770"/>
        <v>33</v>
      </c>
      <c r="CM857" s="253">
        <f t="shared" si="771"/>
        <v>4.8487499999999999</v>
      </c>
      <c r="CN857" s="253" cm="1">
        <f t="array" ref="CN857">$BC857 * IF($AD857&lt;=2,
SUMPRODUCT(INDEX($AL$62:$AN$66,,$AE857), INDEX($AO$62:$AU$66,,$AD857), 1 / ($AV$62:$AV$66*CM857 + (1-$AV$62:$AV$66)*CI857), N($AK$62:$AK$66&gt;$AI857)),
SUMPRODUCT(INDEX($AL$47:$AN$56,,$AE857), INDEX($AO$47:$AU$56,,$AD857), 1 / ($AW$47:$AW$56*CM857 + (1-$AW$47:$AW$56)*CI857), N($AK$47:$AK$56&gt;$AI857))
) / 1000</f>
        <v>0</v>
      </c>
      <c r="CO857" s="253" cm="1">
        <f t="array" ref="CO857">$BC857 * IF($AD857&lt;=2,
SUMPRODUCT(INDEX($AL$23:$AN$61,,$AE857), INDEX($AO$23:$AU$61,,$AD857), 1 / ($AV$23:$AV$61*CM857), N($AK$23:$AK$61&gt;$AI857)),
SUMPRODUCT(INDEX($AL$23:$AN$46,,$AE857), INDEX($AO$23:$AU$46,,$AD857), 1 / ($AW$23:$AW$46*CM857), N($AK$23:$AK$46&gt;$AI857))
) / 1000</f>
        <v>0</v>
      </c>
      <c r="CP857" s="237">
        <f t="shared" si="772"/>
        <v>0</v>
      </c>
      <c r="CQ857" s="210"/>
    </row>
    <row r="858" spans="1:95" s="76" customFormat="1" ht="14.25" customHeight="1" x14ac:dyDescent="0.2">
      <c r="A858" s="238" t="b">
        <f t="shared" si="776"/>
        <v>0</v>
      </c>
      <c r="B858" s="239">
        <v>836</v>
      </c>
      <c r="C858" s="258"/>
      <c r="D858" s="258"/>
      <c r="E858" s="240"/>
      <c r="F858" s="241" t="str">
        <f>IF(ISBLANK(E858), "", VLOOKUP(E858, Z!$A$2:$C$4127, 3, FALSE))</f>
        <v/>
      </c>
      <c r="G858" s="242"/>
      <c r="H858" s="242"/>
      <c r="I858" s="243"/>
      <c r="J858" s="244"/>
      <c r="K858" s="259"/>
      <c r="L858" s="260"/>
      <c r="M858" s="247" t="str" cm="1">
        <f t="array" ref="M858">IF($K858&gt;0, INDEX(Clean,1+AG858,$C$1), "")</f>
        <v/>
      </c>
      <c r="N858" s="245"/>
      <c r="O858" s="245"/>
      <c r="P858" s="246"/>
      <c r="Q858" s="248">
        <f t="shared" si="749"/>
        <v>0</v>
      </c>
      <c r="R858" s="247" t="str" cm="1">
        <f t="array" ref="R858">IF($K858&gt;0, INDEX(Clean,1+AH858,$C$1), "")</f>
        <v/>
      </c>
      <c r="S858" s="245"/>
      <c r="T858" s="245"/>
      <c r="U858" s="246"/>
      <c r="V858" s="248">
        <f t="shared" si="750"/>
        <v>0</v>
      </c>
      <c r="W858" s="261"/>
      <c r="X858" s="258"/>
      <c r="Y858" s="240"/>
      <c r="Z858" s="241" t="str">
        <f>IF(ISBLANK(Y858), "", VLOOKUP(Y858, Z!$A$2:$C$4127, 3, FALSE))</f>
        <v/>
      </c>
      <c r="AA858" s="262"/>
      <c r="AB858" s="249">
        <f t="shared" si="785"/>
        <v>0</v>
      </c>
      <c r="AC858" s="210"/>
      <c r="AD858" s="236">
        <f t="shared" si="773"/>
        <v>1</v>
      </c>
      <c r="AE858" s="236">
        <f t="shared" si="774"/>
        <v>1</v>
      </c>
      <c r="AF858" s="236">
        <f t="shared" si="775"/>
        <v>0</v>
      </c>
      <c r="AG858" s="236">
        <v>1</v>
      </c>
      <c r="AH858" s="236">
        <v>0</v>
      </c>
      <c r="AI858" s="236">
        <f t="shared" si="751"/>
        <v>-100</v>
      </c>
      <c r="AJ858" s="210"/>
      <c r="AK858" s="254"/>
      <c r="AL858" s="254"/>
      <c r="AM858" s="255"/>
      <c r="AN858" s="255"/>
      <c r="AO858" s="255"/>
      <c r="AP858" s="255"/>
      <c r="AQ858" s="255"/>
      <c r="AR858" s="255"/>
      <c r="AS858" s="255"/>
      <c r="AT858" s="255"/>
      <c r="AU858" s="255"/>
      <c r="AV858" s="255"/>
      <c r="AW858" s="255"/>
      <c r="AX858" s="210"/>
      <c r="AY858" s="236" cm="1">
        <f t="array" ref="AY858">INDEX(Use, $AD858, 4)</f>
        <v>7</v>
      </c>
      <c r="AZ858" s="236">
        <f t="shared" si="752"/>
        <v>32</v>
      </c>
      <c r="BA858" s="236">
        <f t="shared" si="777"/>
        <v>13</v>
      </c>
      <c r="BB858" s="236">
        <f t="shared" si="778"/>
        <v>0</v>
      </c>
      <c r="BC858" s="252" cm="1">
        <f t="array" ref="BC858">K858/IF($L858&gt;0, INDEX($AO$23:$AU$77, $L858+20, $AD858), 1)</f>
        <v>0</v>
      </c>
      <c r="BD858" s="237">
        <f t="shared" si="753"/>
        <v>0</v>
      </c>
      <c r="BE858" s="236">
        <v>35</v>
      </c>
      <c r="BF858" s="237">
        <f t="shared" si="754"/>
        <v>52.55</v>
      </c>
      <c r="BG858" s="253">
        <f t="shared" si="755"/>
        <v>2.7676728869374316</v>
      </c>
      <c r="BH858" s="253" cm="1">
        <f t="array" ref="BH858">$BC858 * SUMPRODUCT(INDEX($AL$77:$AN$82,,$AE858),INDEX($AO$77:$AU$82,,$AD858), N($AK$77:$AK$82&gt;$AI858)) / BG858 / 1000</f>
        <v>0</v>
      </c>
      <c r="BI858" s="250">
        <f t="shared" si="779"/>
        <v>30</v>
      </c>
      <c r="BJ858" s="237">
        <f t="shared" si="756"/>
        <v>46.033333333333331</v>
      </c>
      <c r="BK858" s="253">
        <f t="shared" si="757"/>
        <v>3.2297395388556791</v>
      </c>
      <c r="BL858" s="253" cm="1">
        <f t="array" ref="BL858">$BC858 * IF($AD858&lt;=2,
SUMPRODUCT(INDEX($AL$72:$AN$76,,$AE858), INDEX($AO$72:$AU$76,,$AD858), 1 / ($AV$72:$AV$76*BK858 + (1-$AV$72:$AV$76)*BG858), N($AK$72:$AK$76&gt;$AI858)),
SUMPRODUCT(INDEX($AL$67:$AN$76,,$AE858), INDEX($AO$67:$AU$76,,$AD858), 1 / ($AW$67:$AW$76*BK858 + (1-$AW$67:$AW$76)*BG858), N($AK$67:$AK$76&gt;$AI858))
) / 1000</f>
        <v>0</v>
      </c>
      <c r="BM858" s="250">
        <f t="shared" si="780"/>
        <v>25</v>
      </c>
      <c r="BN858" s="237">
        <f t="shared" si="758"/>
        <v>39.516666666666666</v>
      </c>
      <c r="BO858" s="253">
        <f t="shared" si="759"/>
        <v>3.877011788826243</v>
      </c>
      <c r="BP858" s="253" cm="1">
        <f t="array" ref="BP858">$BC858 * IF($AD858&lt;=2,
SUMPRODUCT(INDEX($AL$67:$AN$71,,$AE858), INDEX($AO$67:$AU$71,,$AD858), 1 / ($AV$67:$AV$71*BO858 + (1-$AV$67:$AV$71)*BK858), N($AK$67:$AK$71&gt;$AI858)),
SUMPRODUCT(INDEX($AL$57:$AN$66,,$AE858), INDEX($AO$57:$AU$66,,$AD858), 1 / ($AW$57:$AW$66*BO858 + (1-$AW$57:$AW$66)*BK858), N($AK$57:$AK$66&gt;$AI858))
) / 1000</f>
        <v>0</v>
      </c>
      <c r="BQ858" s="250">
        <f t="shared" si="781"/>
        <v>20</v>
      </c>
      <c r="BR858" s="237">
        <f t="shared" si="760"/>
        <v>33</v>
      </c>
      <c r="BS858" s="253">
        <f t="shared" si="761"/>
        <v>4.8487499999999999</v>
      </c>
      <c r="BT858" s="253" cm="1">
        <f t="array" ref="BT858">$BC858 * IF($AD858&lt;=2,
SUMPRODUCT(INDEX($AL$62:$AN$66,,$AE858), INDEX($AO$62:$AU$66,,$AD858), 1 / ($AV$62:$AV$66*BS858 + (1-$AV$62:$AV$66)*BO858), N($AK$62:$AK$66&gt;$AI858)),
SUMPRODUCT(INDEX($AL$47:$AN$56,,$AE858), INDEX($AO$47:$AU$56,,$AD858), 1 / ($AW$47:$AW$56*BS858 + (1-$AW$47:$AW$56)*BO858), N($AK$47:$AK$56&gt;$AI858))
) / 1000</f>
        <v>0</v>
      </c>
      <c r="BU858" s="253" cm="1">
        <f t="array" ref="BU858">$BC858 * IF($AD858&lt;=2,
SUMPRODUCT(INDEX($AL$23:$AN$61,,$AE858), INDEX($AO$23:$AU$61,,$AD858), 1 / ($AV$23:$AV$61*BS858), N($AK$23:$AK$61&gt;$AI858)),
SUMPRODUCT(INDEX($AL$23:$AN$46,,$AE858), INDEX($AO$23:$AU$46,,$AD858), 1 / ($AW$23:$AW$46*BS858), N($AK$23:$AK$46&gt;$AI858))
) / 1000</f>
        <v>0</v>
      </c>
      <c r="BV858" s="237">
        <f t="shared" si="762"/>
        <v>0</v>
      </c>
      <c r="BW858" s="210"/>
      <c r="BX858" s="237">
        <f t="shared" si="763"/>
        <v>0</v>
      </c>
      <c r="BY858" s="236">
        <v>35</v>
      </c>
      <c r="BZ858" s="237">
        <f t="shared" si="764"/>
        <v>48</v>
      </c>
      <c r="CA858" s="253">
        <f t="shared" si="765"/>
        <v>3.0748170731707316</v>
      </c>
      <c r="CB858" s="253" cm="1">
        <f t="array" ref="CB858">$BC858 * SUMPRODUCT(INDEX($AL$77:$AN$82,,$AE858),INDEX($AO$77:$AU$82,,$AD858), N($AK$77:$AK$82&gt;$AI858)) / CA858 / 1000</f>
        <v>0</v>
      </c>
      <c r="CC858" s="250">
        <f t="shared" si="782"/>
        <v>30</v>
      </c>
      <c r="CD858" s="237">
        <f t="shared" si="766"/>
        <v>43</v>
      </c>
      <c r="CE858" s="253">
        <f t="shared" si="767"/>
        <v>3.5018750000000001</v>
      </c>
      <c r="CF858" s="253" cm="1">
        <f t="array" ref="CF858">$BC858 * IF($AD858&lt;=2,
SUMPRODUCT(INDEX($AL$72:$AN$76,,$AE858), INDEX($AO$72:$AU$76,,$AD858), 1 / ($AV$72:$AV$76*CE858 + (1-$AV$72:$AV$76)*CA858), N($AK$72:$AK$76&gt;$AI858)),
SUMPRODUCT(INDEX($AL$67:$AN$76,,$AE858), INDEX($AO$67:$AU$76,,$AD858), 1 / ($AW$67:$AW$76*CE858 + (1-$AW$67:$AW$76)*CA858), N($AK$67:$AK$76&gt;$AI858))
) / 1000</f>
        <v>0</v>
      </c>
      <c r="CG858" s="250">
        <f t="shared" si="783"/>
        <v>25</v>
      </c>
      <c r="CH858" s="237">
        <f t="shared" si="768"/>
        <v>38</v>
      </c>
      <c r="CI858" s="253">
        <f t="shared" si="769"/>
        <v>4.0666935483870965</v>
      </c>
      <c r="CJ858" s="253" cm="1">
        <f t="array" ref="CJ858">$BC858 * IF($AD858&lt;=2,
SUMPRODUCT(INDEX($AL$67:$AN$71,,$AE858), INDEX($AO$67:$AU$71,,$AD858), 1 / ($AV$67:$AV$71*CI858 + (1-$AV$67:$AV$71)*CE858), N($AK$67:$AK$71&gt;$AI858)),
SUMPRODUCT(INDEX($AL$57:$AN$66,,$AE858), INDEX($AO$57:$AU$66,,$AD858), 1 / ($AW$57:$AW$66*CI858 + (1-$AW$57:$AW$66)*CE858), N($AK$57:$AK$66&gt;$AI858))
) / 1000</f>
        <v>0</v>
      </c>
      <c r="CK858" s="250">
        <f t="shared" si="784"/>
        <v>20</v>
      </c>
      <c r="CL858" s="237">
        <f t="shared" si="770"/>
        <v>33</v>
      </c>
      <c r="CM858" s="253">
        <f t="shared" si="771"/>
        <v>4.8487499999999999</v>
      </c>
      <c r="CN858" s="253" cm="1">
        <f t="array" ref="CN858">$BC858 * IF($AD858&lt;=2,
SUMPRODUCT(INDEX($AL$62:$AN$66,,$AE858), INDEX($AO$62:$AU$66,,$AD858), 1 / ($AV$62:$AV$66*CM858 + (1-$AV$62:$AV$66)*CI858), N($AK$62:$AK$66&gt;$AI858)),
SUMPRODUCT(INDEX($AL$47:$AN$56,,$AE858), INDEX($AO$47:$AU$56,,$AD858), 1 / ($AW$47:$AW$56*CM858 + (1-$AW$47:$AW$56)*CI858), N($AK$47:$AK$56&gt;$AI858))
) / 1000</f>
        <v>0</v>
      </c>
      <c r="CO858" s="253" cm="1">
        <f t="array" ref="CO858">$BC858 * IF($AD858&lt;=2,
SUMPRODUCT(INDEX($AL$23:$AN$61,,$AE858), INDEX($AO$23:$AU$61,,$AD858), 1 / ($AV$23:$AV$61*CM858), N($AK$23:$AK$61&gt;$AI858)),
SUMPRODUCT(INDEX($AL$23:$AN$46,,$AE858), INDEX($AO$23:$AU$46,,$AD858), 1 / ($AW$23:$AW$46*CM858), N($AK$23:$AK$46&gt;$AI858))
) / 1000</f>
        <v>0</v>
      </c>
      <c r="CP858" s="237">
        <f t="shared" si="772"/>
        <v>0</v>
      </c>
      <c r="CQ858" s="210"/>
    </row>
    <row r="859" spans="1:95" s="76" customFormat="1" ht="14.25" customHeight="1" x14ac:dyDescent="0.2">
      <c r="A859" s="238" t="b">
        <f t="shared" si="776"/>
        <v>0</v>
      </c>
      <c r="B859" s="239">
        <v>837</v>
      </c>
      <c r="C859" s="258"/>
      <c r="D859" s="258"/>
      <c r="E859" s="240"/>
      <c r="F859" s="241" t="str">
        <f>IF(ISBLANK(E859), "", VLOOKUP(E859, Z!$A$2:$C$4127, 3, FALSE))</f>
        <v/>
      </c>
      <c r="G859" s="242"/>
      <c r="H859" s="242"/>
      <c r="I859" s="243"/>
      <c r="J859" s="244"/>
      <c r="K859" s="259"/>
      <c r="L859" s="260"/>
      <c r="M859" s="247" t="str" cm="1">
        <f t="array" ref="M859">IF($K859&gt;0, INDEX(Clean,1+AG859,$C$1), "")</f>
        <v/>
      </c>
      <c r="N859" s="245"/>
      <c r="O859" s="245"/>
      <c r="P859" s="246"/>
      <c r="Q859" s="248">
        <f t="shared" si="749"/>
        <v>0</v>
      </c>
      <c r="R859" s="247" t="str" cm="1">
        <f t="array" ref="R859">IF($K859&gt;0, INDEX(Clean,1+AH859,$C$1), "")</f>
        <v/>
      </c>
      <c r="S859" s="245"/>
      <c r="T859" s="245"/>
      <c r="U859" s="246"/>
      <c r="V859" s="248">
        <f t="shared" si="750"/>
        <v>0</v>
      </c>
      <c r="W859" s="261"/>
      <c r="X859" s="258"/>
      <c r="Y859" s="240"/>
      <c r="Z859" s="241" t="str">
        <f>IF(ISBLANK(Y859), "", VLOOKUP(Y859, Z!$A$2:$C$4127, 3, FALSE))</f>
        <v/>
      </c>
      <c r="AA859" s="262"/>
      <c r="AB859" s="249">
        <f t="shared" si="785"/>
        <v>0</v>
      </c>
      <c r="AC859" s="210"/>
      <c r="AD859" s="236">
        <f t="shared" si="773"/>
        <v>1</v>
      </c>
      <c r="AE859" s="236">
        <f t="shared" si="774"/>
        <v>1</v>
      </c>
      <c r="AF859" s="236">
        <f t="shared" si="775"/>
        <v>0</v>
      </c>
      <c r="AG859" s="236">
        <v>1</v>
      </c>
      <c r="AH859" s="236">
        <v>0</v>
      </c>
      <c r="AI859" s="236">
        <f t="shared" si="751"/>
        <v>-100</v>
      </c>
      <c r="AJ859" s="210"/>
      <c r="AK859" s="254"/>
      <c r="AL859" s="254"/>
      <c r="AM859" s="255"/>
      <c r="AN859" s="255"/>
      <c r="AO859" s="255"/>
      <c r="AP859" s="255"/>
      <c r="AQ859" s="255"/>
      <c r="AR859" s="255"/>
      <c r="AS859" s="255"/>
      <c r="AT859" s="255"/>
      <c r="AU859" s="255"/>
      <c r="AV859" s="255"/>
      <c r="AW859" s="255"/>
      <c r="AX859" s="210"/>
      <c r="AY859" s="236" cm="1">
        <f t="array" ref="AY859">INDEX(Use, $AD859, 4)</f>
        <v>7</v>
      </c>
      <c r="AZ859" s="236">
        <f t="shared" si="752"/>
        <v>32</v>
      </c>
      <c r="BA859" s="236">
        <f t="shared" si="777"/>
        <v>13</v>
      </c>
      <c r="BB859" s="236">
        <f t="shared" si="778"/>
        <v>0</v>
      </c>
      <c r="BC859" s="252" cm="1">
        <f t="array" ref="BC859">K859/IF($L859&gt;0, INDEX($AO$23:$AU$77, $L859+20, $AD859), 1)</f>
        <v>0</v>
      </c>
      <c r="BD859" s="237">
        <f t="shared" si="753"/>
        <v>0</v>
      </c>
      <c r="BE859" s="236">
        <v>35</v>
      </c>
      <c r="BF859" s="237">
        <f t="shared" si="754"/>
        <v>52.55</v>
      </c>
      <c r="BG859" s="253">
        <f t="shared" si="755"/>
        <v>2.7676728869374316</v>
      </c>
      <c r="BH859" s="253" cm="1">
        <f t="array" ref="BH859">$BC859 * SUMPRODUCT(INDEX($AL$77:$AN$82,,$AE859),INDEX($AO$77:$AU$82,,$AD859), N($AK$77:$AK$82&gt;$AI859)) / BG859 / 1000</f>
        <v>0</v>
      </c>
      <c r="BI859" s="250">
        <f t="shared" si="779"/>
        <v>30</v>
      </c>
      <c r="BJ859" s="237">
        <f t="shared" si="756"/>
        <v>46.033333333333331</v>
      </c>
      <c r="BK859" s="253">
        <f t="shared" si="757"/>
        <v>3.2297395388556791</v>
      </c>
      <c r="BL859" s="253" cm="1">
        <f t="array" ref="BL859">$BC859 * IF($AD859&lt;=2,
SUMPRODUCT(INDEX($AL$72:$AN$76,,$AE859), INDEX($AO$72:$AU$76,,$AD859), 1 / ($AV$72:$AV$76*BK859 + (1-$AV$72:$AV$76)*BG859), N($AK$72:$AK$76&gt;$AI859)),
SUMPRODUCT(INDEX($AL$67:$AN$76,,$AE859), INDEX($AO$67:$AU$76,,$AD859), 1 / ($AW$67:$AW$76*BK859 + (1-$AW$67:$AW$76)*BG859), N($AK$67:$AK$76&gt;$AI859))
) / 1000</f>
        <v>0</v>
      </c>
      <c r="BM859" s="250">
        <f t="shared" si="780"/>
        <v>25</v>
      </c>
      <c r="BN859" s="237">
        <f t="shared" si="758"/>
        <v>39.516666666666666</v>
      </c>
      <c r="BO859" s="253">
        <f t="shared" si="759"/>
        <v>3.877011788826243</v>
      </c>
      <c r="BP859" s="253" cm="1">
        <f t="array" ref="BP859">$BC859 * IF($AD859&lt;=2,
SUMPRODUCT(INDEX($AL$67:$AN$71,,$AE859), INDEX($AO$67:$AU$71,,$AD859), 1 / ($AV$67:$AV$71*BO859 + (1-$AV$67:$AV$71)*BK859), N($AK$67:$AK$71&gt;$AI859)),
SUMPRODUCT(INDEX($AL$57:$AN$66,,$AE859), INDEX($AO$57:$AU$66,,$AD859), 1 / ($AW$57:$AW$66*BO859 + (1-$AW$57:$AW$66)*BK859), N($AK$57:$AK$66&gt;$AI859))
) / 1000</f>
        <v>0</v>
      </c>
      <c r="BQ859" s="250">
        <f t="shared" si="781"/>
        <v>20</v>
      </c>
      <c r="BR859" s="237">
        <f t="shared" si="760"/>
        <v>33</v>
      </c>
      <c r="BS859" s="253">
        <f t="shared" si="761"/>
        <v>4.8487499999999999</v>
      </c>
      <c r="BT859" s="253" cm="1">
        <f t="array" ref="BT859">$BC859 * IF($AD859&lt;=2,
SUMPRODUCT(INDEX($AL$62:$AN$66,,$AE859), INDEX($AO$62:$AU$66,,$AD859), 1 / ($AV$62:$AV$66*BS859 + (1-$AV$62:$AV$66)*BO859), N($AK$62:$AK$66&gt;$AI859)),
SUMPRODUCT(INDEX($AL$47:$AN$56,,$AE859), INDEX($AO$47:$AU$56,,$AD859), 1 / ($AW$47:$AW$56*BS859 + (1-$AW$47:$AW$56)*BO859), N($AK$47:$AK$56&gt;$AI859))
) / 1000</f>
        <v>0</v>
      </c>
      <c r="BU859" s="253" cm="1">
        <f t="array" ref="BU859">$BC859 * IF($AD859&lt;=2,
SUMPRODUCT(INDEX($AL$23:$AN$61,,$AE859), INDEX($AO$23:$AU$61,,$AD859), 1 / ($AV$23:$AV$61*BS859), N($AK$23:$AK$61&gt;$AI859)),
SUMPRODUCT(INDEX($AL$23:$AN$46,,$AE859), INDEX($AO$23:$AU$46,,$AD859), 1 / ($AW$23:$AW$46*BS859), N($AK$23:$AK$46&gt;$AI859))
) / 1000</f>
        <v>0</v>
      </c>
      <c r="BV859" s="237">
        <f t="shared" si="762"/>
        <v>0</v>
      </c>
      <c r="BW859" s="210"/>
      <c r="BX859" s="237">
        <f t="shared" si="763"/>
        <v>0</v>
      </c>
      <c r="BY859" s="236">
        <v>35</v>
      </c>
      <c r="BZ859" s="237">
        <f t="shared" si="764"/>
        <v>48</v>
      </c>
      <c r="CA859" s="253">
        <f t="shared" si="765"/>
        <v>3.0748170731707316</v>
      </c>
      <c r="CB859" s="253" cm="1">
        <f t="array" ref="CB859">$BC859 * SUMPRODUCT(INDEX($AL$77:$AN$82,,$AE859),INDEX($AO$77:$AU$82,,$AD859), N($AK$77:$AK$82&gt;$AI859)) / CA859 / 1000</f>
        <v>0</v>
      </c>
      <c r="CC859" s="250">
        <f t="shared" si="782"/>
        <v>30</v>
      </c>
      <c r="CD859" s="237">
        <f t="shared" si="766"/>
        <v>43</v>
      </c>
      <c r="CE859" s="253">
        <f t="shared" si="767"/>
        <v>3.5018750000000001</v>
      </c>
      <c r="CF859" s="253" cm="1">
        <f t="array" ref="CF859">$BC859 * IF($AD859&lt;=2,
SUMPRODUCT(INDEX($AL$72:$AN$76,,$AE859), INDEX($AO$72:$AU$76,,$AD859), 1 / ($AV$72:$AV$76*CE859 + (1-$AV$72:$AV$76)*CA859), N($AK$72:$AK$76&gt;$AI859)),
SUMPRODUCT(INDEX($AL$67:$AN$76,,$AE859), INDEX($AO$67:$AU$76,,$AD859), 1 / ($AW$67:$AW$76*CE859 + (1-$AW$67:$AW$76)*CA859), N($AK$67:$AK$76&gt;$AI859))
) / 1000</f>
        <v>0</v>
      </c>
      <c r="CG859" s="250">
        <f t="shared" si="783"/>
        <v>25</v>
      </c>
      <c r="CH859" s="237">
        <f t="shared" si="768"/>
        <v>38</v>
      </c>
      <c r="CI859" s="253">
        <f t="shared" si="769"/>
        <v>4.0666935483870965</v>
      </c>
      <c r="CJ859" s="253" cm="1">
        <f t="array" ref="CJ859">$BC859 * IF($AD859&lt;=2,
SUMPRODUCT(INDEX($AL$67:$AN$71,,$AE859), INDEX($AO$67:$AU$71,,$AD859), 1 / ($AV$67:$AV$71*CI859 + (1-$AV$67:$AV$71)*CE859), N($AK$67:$AK$71&gt;$AI859)),
SUMPRODUCT(INDEX($AL$57:$AN$66,,$AE859), INDEX($AO$57:$AU$66,,$AD859), 1 / ($AW$57:$AW$66*CI859 + (1-$AW$57:$AW$66)*CE859), N($AK$57:$AK$66&gt;$AI859))
) / 1000</f>
        <v>0</v>
      </c>
      <c r="CK859" s="250">
        <f t="shared" si="784"/>
        <v>20</v>
      </c>
      <c r="CL859" s="237">
        <f t="shared" si="770"/>
        <v>33</v>
      </c>
      <c r="CM859" s="253">
        <f t="shared" si="771"/>
        <v>4.8487499999999999</v>
      </c>
      <c r="CN859" s="253" cm="1">
        <f t="array" ref="CN859">$BC859 * IF($AD859&lt;=2,
SUMPRODUCT(INDEX($AL$62:$AN$66,,$AE859), INDEX($AO$62:$AU$66,,$AD859), 1 / ($AV$62:$AV$66*CM859 + (1-$AV$62:$AV$66)*CI859), N($AK$62:$AK$66&gt;$AI859)),
SUMPRODUCT(INDEX($AL$47:$AN$56,,$AE859), INDEX($AO$47:$AU$56,,$AD859), 1 / ($AW$47:$AW$56*CM859 + (1-$AW$47:$AW$56)*CI859), N($AK$47:$AK$56&gt;$AI859))
) / 1000</f>
        <v>0</v>
      </c>
      <c r="CO859" s="253" cm="1">
        <f t="array" ref="CO859">$BC859 * IF($AD859&lt;=2,
SUMPRODUCT(INDEX($AL$23:$AN$61,,$AE859), INDEX($AO$23:$AU$61,,$AD859), 1 / ($AV$23:$AV$61*CM859), N($AK$23:$AK$61&gt;$AI859)),
SUMPRODUCT(INDEX($AL$23:$AN$46,,$AE859), INDEX($AO$23:$AU$46,,$AD859), 1 / ($AW$23:$AW$46*CM859), N($AK$23:$AK$46&gt;$AI859))
) / 1000</f>
        <v>0</v>
      </c>
      <c r="CP859" s="237">
        <f t="shared" si="772"/>
        <v>0</v>
      </c>
      <c r="CQ859" s="210"/>
    </row>
    <row r="860" spans="1:95" s="76" customFormat="1" ht="14.25" customHeight="1" x14ac:dyDescent="0.2">
      <c r="A860" s="238" t="b">
        <f t="shared" si="776"/>
        <v>0</v>
      </c>
      <c r="B860" s="239">
        <v>838</v>
      </c>
      <c r="C860" s="258"/>
      <c r="D860" s="258"/>
      <c r="E860" s="240"/>
      <c r="F860" s="241" t="str">
        <f>IF(ISBLANK(E860), "", VLOOKUP(E860, Z!$A$2:$C$4127, 3, FALSE))</f>
        <v/>
      </c>
      <c r="G860" s="242"/>
      <c r="H860" s="242"/>
      <c r="I860" s="243"/>
      <c r="J860" s="244"/>
      <c r="K860" s="259"/>
      <c r="L860" s="260"/>
      <c r="M860" s="247" t="str" cm="1">
        <f t="array" ref="M860">IF($K860&gt;0, INDEX(Clean,1+AG860,$C$1), "")</f>
        <v/>
      </c>
      <c r="N860" s="245"/>
      <c r="O860" s="245"/>
      <c r="P860" s="246"/>
      <c r="Q860" s="248">
        <f t="shared" si="749"/>
        <v>0</v>
      </c>
      <c r="R860" s="247" t="str" cm="1">
        <f t="array" ref="R860">IF($K860&gt;0, INDEX(Clean,1+AH860,$C$1), "")</f>
        <v/>
      </c>
      <c r="S860" s="245"/>
      <c r="T860" s="245"/>
      <c r="U860" s="246"/>
      <c r="V860" s="248">
        <f t="shared" si="750"/>
        <v>0</v>
      </c>
      <c r="W860" s="261"/>
      <c r="X860" s="258"/>
      <c r="Y860" s="240"/>
      <c r="Z860" s="241" t="str">
        <f>IF(ISBLANK(Y860), "", VLOOKUP(Y860, Z!$A$2:$C$4127, 3, FALSE))</f>
        <v/>
      </c>
      <c r="AA860" s="262"/>
      <c r="AB860" s="249">
        <f t="shared" si="785"/>
        <v>0</v>
      </c>
      <c r="AC860" s="210"/>
      <c r="AD860" s="236">
        <f t="shared" si="773"/>
        <v>1</v>
      </c>
      <c r="AE860" s="236">
        <f t="shared" si="774"/>
        <v>1</v>
      </c>
      <c r="AF860" s="236">
        <f t="shared" si="775"/>
        <v>0</v>
      </c>
      <c r="AG860" s="236">
        <v>1</v>
      </c>
      <c r="AH860" s="236">
        <v>0</v>
      </c>
      <c r="AI860" s="236">
        <f t="shared" si="751"/>
        <v>-100</v>
      </c>
      <c r="AJ860" s="210"/>
      <c r="AK860" s="254"/>
      <c r="AL860" s="254"/>
      <c r="AM860" s="255"/>
      <c r="AN860" s="255"/>
      <c r="AO860" s="255"/>
      <c r="AP860" s="255"/>
      <c r="AQ860" s="255"/>
      <c r="AR860" s="255"/>
      <c r="AS860" s="255"/>
      <c r="AT860" s="255"/>
      <c r="AU860" s="255"/>
      <c r="AV860" s="255"/>
      <c r="AW860" s="255"/>
      <c r="AX860" s="210"/>
      <c r="AY860" s="236" cm="1">
        <f t="array" ref="AY860">INDEX(Use, $AD860, 4)</f>
        <v>7</v>
      </c>
      <c r="AZ860" s="236">
        <f t="shared" si="752"/>
        <v>32</v>
      </c>
      <c r="BA860" s="236">
        <f t="shared" si="777"/>
        <v>13</v>
      </c>
      <c r="BB860" s="236">
        <f t="shared" si="778"/>
        <v>0</v>
      </c>
      <c r="BC860" s="252" cm="1">
        <f t="array" ref="BC860">K860/IF($L860&gt;0, INDEX($AO$23:$AU$77, $L860+20, $AD860), 1)</f>
        <v>0</v>
      </c>
      <c r="BD860" s="237">
        <f t="shared" si="753"/>
        <v>0</v>
      </c>
      <c r="BE860" s="236">
        <v>35</v>
      </c>
      <c r="BF860" s="237">
        <f t="shared" si="754"/>
        <v>52.55</v>
      </c>
      <c r="BG860" s="253">
        <f t="shared" si="755"/>
        <v>2.7676728869374316</v>
      </c>
      <c r="BH860" s="253" cm="1">
        <f t="array" ref="BH860">$BC860 * SUMPRODUCT(INDEX($AL$77:$AN$82,,$AE860),INDEX($AO$77:$AU$82,,$AD860), N($AK$77:$AK$82&gt;$AI860)) / BG860 / 1000</f>
        <v>0</v>
      </c>
      <c r="BI860" s="250">
        <f t="shared" si="779"/>
        <v>30</v>
      </c>
      <c r="BJ860" s="237">
        <f t="shared" si="756"/>
        <v>46.033333333333331</v>
      </c>
      <c r="BK860" s="253">
        <f t="shared" si="757"/>
        <v>3.2297395388556791</v>
      </c>
      <c r="BL860" s="253" cm="1">
        <f t="array" ref="BL860">$BC860 * IF($AD860&lt;=2,
SUMPRODUCT(INDEX($AL$72:$AN$76,,$AE860), INDEX($AO$72:$AU$76,,$AD860), 1 / ($AV$72:$AV$76*BK860 + (1-$AV$72:$AV$76)*BG860), N($AK$72:$AK$76&gt;$AI860)),
SUMPRODUCT(INDEX($AL$67:$AN$76,,$AE860), INDEX($AO$67:$AU$76,,$AD860), 1 / ($AW$67:$AW$76*BK860 + (1-$AW$67:$AW$76)*BG860), N($AK$67:$AK$76&gt;$AI860))
) / 1000</f>
        <v>0</v>
      </c>
      <c r="BM860" s="250">
        <f t="shared" si="780"/>
        <v>25</v>
      </c>
      <c r="BN860" s="237">
        <f t="shared" si="758"/>
        <v>39.516666666666666</v>
      </c>
      <c r="BO860" s="253">
        <f t="shared" si="759"/>
        <v>3.877011788826243</v>
      </c>
      <c r="BP860" s="253" cm="1">
        <f t="array" ref="BP860">$BC860 * IF($AD860&lt;=2,
SUMPRODUCT(INDEX($AL$67:$AN$71,,$AE860), INDEX($AO$67:$AU$71,,$AD860), 1 / ($AV$67:$AV$71*BO860 + (1-$AV$67:$AV$71)*BK860), N($AK$67:$AK$71&gt;$AI860)),
SUMPRODUCT(INDEX($AL$57:$AN$66,,$AE860), INDEX($AO$57:$AU$66,,$AD860), 1 / ($AW$57:$AW$66*BO860 + (1-$AW$57:$AW$66)*BK860), N($AK$57:$AK$66&gt;$AI860))
) / 1000</f>
        <v>0</v>
      </c>
      <c r="BQ860" s="250">
        <f t="shared" si="781"/>
        <v>20</v>
      </c>
      <c r="BR860" s="237">
        <f t="shared" si="760"/>
        <v>33</v>
      </c>
      <c r="BS860" s="253">
        <f t="shared" si="761"/>
        <v>4.8487499999999999</v>
      </c>
      <c r="BT860" s="253" cm="1">
        <f t="array" ref="BT860">$BC860 * IF($AD860&lt;=2,
SUMPRODUCT(INDEX($AL$62:$AN$66,,$AE860), INDEX($AO$62:$AU$66,,$AD860), 1 / ($AV$62:$AV$66*BS860 + (1-$AV$62:$AV$66)*BO860), N($AK$62:$AK$66&gt;$AI860)),
SUMPRODUCT(INDEX($AL$47:$AN$56,,$AE860), INDEX($AO$47:$AU$56,,$AD860), 1 / ($AW$47:$AW$56*BS860 + (1-$AW$47:$AW$56)*BO860), N($AK$47:$AK$56&gt;$AI860))
) / 1000</f>
        <v>0</v>
      </c>
      <c r="BU860" s="253" cm="1">
        <f t="array" ref="BU860">$BC860 * IF($AD860&lt;=2,
SUMPRODUCT(INDEX($AL$23:$AN$61,,$AE860), INDEX($AO$23:$AU$61,,$AD860), 1 / ($AV$23:$AV$61*BS860), N($AK$23:$AK$61&gt;$AI860)),
SUMPRODUCT(INDEX($AL$23:$AN$46,,$AE860), INDEX($AO$23:$AU$46,,$AD860), 1 / ($AW$23:$AW$46*BS860), N($AK$23:$AK$46&gt;$AI860))
) / 1000</f>
        <v>0</v>
      </c>
      <c r="BV860" s="237">
        <f t="shared" si="762"/>
        <v>0</v>
      </c>
      <c r="BW860" s="210"/>
      <c r="BX860" s="237">
        <f t="shared" si="763"/>
        <v>0</v>
      </c>
      <c r="BY860" s="236">
        <v>35</v>
      </c>
      <c r="BZ860" s="237">
        <f t="shared" si="764"/>
        <v>48</v>
      </c>
      <c r="CA860" s="253">
        <f t="shared" si="765"/>
        <v>3.0748170731707316</v>
      </c>
      <c r="CB860" s="253" cm="1">
        <f t="array" ref="CB860">$BC860 * SUMPRODUCT(INDEX($AL$77:$AN$82,,$AE860),INDEX($AO$77:$AU$82,,$AD860), N($AK$77:$AK$82&gt;$AI860)) / CA860 / 1000</f>
        <v>0</v>
      </c>
      <c r="CC860" s="250">
        <f t="shared" si="782"/>
        <v>30</v>
      </c>
      <c r="CD860" s="237">
        <f t="shared" si="766"/>
        <v>43</v>
      </c>
      <c r="CE860" s="253">
        <f t="shared" si="767"/>
        <v>3.5018750000000001</v>
      </c>
      <c r="CF860" s="253" cm="1">
        <f t="array" ref="CF860">$BC860 * IF($AD860&lt;=2,
SUMPRODUCT(INDEX($AL$72:$AN$76,,$AE860), INDEX($AO$72:$AU$76,,$AD860), 1 / ($AV$72:$AV$76*CE860 + (1-$AV$72:$AV$76)*CA860), N($AK$72:$AK$76&gt;$AI860)),
SUMPRODUCT(INDEX($AL$67:$AN$76,,$AE860), INDEX($AO$67:$AU$76,,$AD860), 1 / ($AW$67:$AW$76*CE860 + (1-$AW$67:$AW$76)*CA860), N($AK$67:$AK$76&gt;$AI860))
) / 1000</f>
        <v>0</v>
      </c>
      <c r="CG860" s="250">
        <f t="shared" si="783"/>
        <v>25</v>
      </c>
      <c r="CH860" s="237">
        <f t="shared" si="768"/>
        <v>38</v>
      </c>
      <c r="CI860" s="253">
        <f t="shared" si="769"/>
        <v>4.0666935483870965</v>
      </c>
      <c r="CJ860" s="253" cm="1">
        <f t="array" ref="CJ860">$BC860 * IF($AD860&lt;=2,
SUMPRODUCT(INDEX($AL$67:$AN$71,,$AE860), INDEX($AO$67:$AU$71,,$AD860), 1 / ($AV$67:$AV$71*CI860 + (1-$AV$67:$AV$71)*CE860), N($AK$67:$AK$71&gt;$AI860)),
SUMPRODUCT(INDEX($AL$57:$AN$66,,$AE860), INDEX($AO$57:$AU$66,,$AD860), 1 / ($AW$57:$AW$66*CI860 + (1-$AW$57:$AW$66)*CE860), N($AK$57:$AK$66&gt;$AI860))
) / 1000</f>
        <v>0</v>
      </c>
      <c r="CK860" s="250">
        <f t="shared" si="784"/>
        <v>20</v>
      </c>
      <c r="CL860" s="237">
        <f t="shared" si="770"/>
        <v>33</v>
      </c>
      <c r="CM860" s="253">
        <f t="shared" si="771"/>
        <v>4.8487499999999999</v>
      </c>
      <c r="CN860" s="253" cm="1">
        <f t="array" ref="CN860">$BC860 * IF($AD860&lt;=2,
SUMPRODUCT(INDEX($AL$62:$AN$66,,$AE860), INDEX($AO$62:$AU$66,,$AD860), 1 / ($AV$62:$AV$66*CM860 + (1-$AV$62:$AV$66)*CI860), N($AK$62:$AK$66&gt;$AI860)),
SUMPRODUCT(INDEX($AL$47:$AN$56,,$AE860), INDEX($AO$47:$AU$56,,$AD860), 1 / ($AW$47:$AW$56*CM860 + (1-$AW$47:$AW$56)*CI860), N($AK$47:$AK$56&gt;$AI860))
) / 1000</f>
        <v>0</v>
      </c>
      <c r="CO860" s="253" cm="1">
        <f t="array" ref="CO860">$BC860 * IF($AD860&lt;=2,
SUMPRODUCT(INDEX($AL$23:$AN$61,,$AE860), INDEX($AO$23:$AU$61,,$AD860), 1 / ($AV$23:$AV$61*CM860), N($AK$23:$AK$61&gt;$AI860)),
SUMPRODUCT(INDEX($AL$23:$AN$46,,$AE860), INDEX($AO$23:$AU$46,,$AD860), 1 / ($AW$23:$AW$46*CM860), N($AK$23:$AK$46&gt;$AI860))
) / 1000</f>
        <v>0</v>
      </c>
      <c r="CP860" s="237">
        <f t="shared" si="772"/>
        <v>0</v>
      </c>
      <c r="CQ860" s="210"/>
    </row>
    <row r="861" spans="1:95" s="76" customFormat="1" ht="14.25" customHeight="1" x14ac:dyDescent="0.2">
      <c r="A861" s="238" t="b">
        <f t="shared" si="776"/>
        <v>0</v>
      </c>
      <c r="B861" s="239">
        <v>839</v>
      </c>
      <c r="C861" s="258"/>
      <c r="D861" s="258"/>
      <c r="E861" s="240"/>
      <c r="F861" s="241" t="str">
        <f>IF(ISBLANK(E861), "", VLOOKUP(E861, Z!$A$2:$C$4127, 3, FALSE))</f>
        <v/>
      </c>
      <c r="G861" s="242"/>
      <c r="H861" s="242"/>
      <c r="I861" s="243"/>
      <c r="J861" s="244"/>
      <c r="K861" s="259"/>
      <c r="L861" s="260"/>
      <c r="M861" s="247" t="str" cm="1">
        <f t="array" ref="M861">IF($K861&gt;0, INDEX(Clean,1+AG861,$C$1), "")</f>
        <v/>
      </c>
      <c r="N861" s="245"/>
      <c r="O861" s="245"/>
      <c r="P861" s="246"/>
      <c r="Q861" s="248">
        <f t="shared" si="749"/>
        <v>0</v>
      </c>
      <c r="R861" s="247" t="str" cm="1">
        <f t="array" ref="R861">IF($K861&gt;0, INDEX(Clean,1+AH861,$C$1), "")</f>
        <v/>
      </c>
      <c r="S861" s="245"/>
      <c r="T861" s="245"/>
      <c r="U861" s="246"/>
      <c r="V861" s="248">
        <f t="shared" si="750"/>
        <v>0</v>
      </c>
      <c r="W861" s="261"/>
      <c r="X861" s="258"/>
      <c r="Y861" s="240"/>
      <c r="Z861" s="241" t="str">
        <f>IF(ISBLANK(Y861), "", VLOOKUP(Y861, Z!$A$2:$C$4127, 3, FALSE))</f>
        <v/>
      </c>
      <c r="AA861" s="262"/>
      <c r="AB861" s="249">
        <f t="shared" si="785"/>
        <v>0</v>
      </c>
      <c r="AC861" s="210"/>
      <c r="AD861" s="236">
        <f t="shared" si="773"/>
        <v>1</v>
      </c>
      <c r="AE861" s="236">
        <f t="shared" si="774"/>
        <v>1</v>
      </c>
      <c r="AF861" s="236">
        <f t="shared" si="775"/>
        <v>0</v>
      </c>
      <c r="AG861" s="236">
        <v>1</v>
      </c>
      <c r="AH861" s="236">
        <v>0</v>
      </c>
      <c r="AI861" s="236">
        <f t="shared" si="751"/>
        <v>-100</v>
      </c>
      <c r="AJ861" s="210"/>
      <c r="AK861" s="254"/>
      <c r="AL861" s="254"/>
      <c r="AM861" s="255"/>
      <c r="AN861" s="255"/>
      <c r="AO861" s="255"/>
      <c r="AP861" s="255"/>
      <c r="AQ861" s="255"/>
      <c r="AR861" s="255"/>
      <c r="AS861" s="255"/>
      <c r="AT861" s="255"/>
      <c r="AU861" s="255"/>
      <c r="AV861" s="255"/>
      <c r="AW861" s="255"/>
      <c r="AX861" s="210"/>
      <c r="AY861" s="236" cm="1">
        <f t="array" ref="AY861">INDEX(Use, $AD861, 4)</f>
        <v>7</v>
      </c>
      <c r="AZ861" s="236">
        <f t="shared" si="752"/>
        <v>32</v>
      </c>
      <c r="BA861" s="236">
        <f t="shared" si="777"/>
        <v>13</v>
      </c>
      <c r="BB861" s="236">
        <f t="shared" si="778"/>
        <v>0</v>
      </c>
      <c r="BC861" s="252" cm="1">
        <f t="array" ref="BC861">K861/IF($L861&gt;0, INDEX($AO$23:$AU$77, $L861+20, $AD861), 1)</f>
        <v>0</v>
      </c>
      <c r="BD861" s="237">
        <f t="shared" si="753"/>
        <v>0</v>
      </c>
      <c r="BE861" s="236">
        <v>35</v>
      </c>
      <c r="BF861" s="237">
        <f t="shared" si="754"/>
        <v>52.55</v>
      </c>
      <c r="BG861" s="253">
        <f t="shared" si="755"/>
        <v>2.7676728869374316</v>
      </c>
      <c r="BH861" s="253" cm="1">
        <f t="array" ref="BH861">$BC861 * SUMPRODUCT(INDEX($AL$77:$AN$82,,$AE861),INDEX($AO$77:$AU$82,,$AD861), N($AK$77:$AK$82&gt;$AI861)) / BG861 / 1000</f>
        <v>0</v>
      </c>
      <c r="BI861" s="250">
        <f t="shared" si="779"/>
        <v>30</v>
      </c>
      <c r="BJ861" s="237">
        <f t="shared" si="756"/>
        <v>46.033333333333331</v>
      </c>
      <c r="BK861" s="253">
        <f t="shared" si="757"/>
        <v>3.2297395388556791</v>
      </c>
      <c r="BL861" s="253" cm="1">
        <f t="array" ref="BL861">$BC861 * IF($AD861&lt;=2,
SUMPRODUCT(INDEX($AL$72:$AN$76,,$AE861), INDEX($AO$72:$AU$76,,$AD861), 1 / ($AV$72:$AV$76*BK861 + (1-$AV$72:$AV$76)*BG861), N($AK$72:$AK$76&gt;$AI861)),
SUMPRODUCT(INDEX($AL$67:$AN$76,,$AE861), INDEX($AO$67:$AU$76,,$AD861), 1 / ($AW$67:$AW$76*BK861 + (1-$AW$67:$AW$76)*BG861), N($AK$67:$AK$76&gt;$AI861))
) / 1000</f>
        <v>0</v>
      </c>
      <c r="BM861" s="250">
        <f t="shared" si="780"/>
        <v>25</v>
      </c>
      <c r="BN861" s="237">
        <f t="shared" si="758"/>
        <v>39.516666666666666</v>
      </c>
      <c r="BO861" s="253">
        <f t="shared" si="759"/>
        <v>3.877011788826243</v>
      </c>
      <c r="BP861" s="253" cm="1">
        <f t="array" ref="BP861">$BC861 * IF($AD861&lt;=2,
SUMPRODUCT(INDEX($AL$67:$AN$71,,$AE861), INDEX($AO$67:$AU$71,,$AD861), 1 / ($AV$67:$AV$71*BO861 + (1-$AV$67:$AV$71)*BK861), N($AK$67:$AK$71&gt;$AI861)),
SUMPRODUCT(INDEX($AL$57:$AN$66,,$AE861), INDEX($AO$57:$AU$66,,$AD861), 1 / ($AW$57:$AW$66*BO861 + (1-$AW$57:$AW$66)*BK861), N($AK$57:$AK$66&gt;$AI861))
) / 1000</f>
        <v>0</v>
      </c>
      <c r="BQ861" s="250">
        <f t="shared" si="781"/>
        <v>20</v>
      </c>
      <c r="BR861" s="237">
        <f t="shared" si="760"/>
        <v>33</v>
      </c>
      <c r="BS861" s="253">
        <f t="shared" si="761"/>
        <v>4.8487499999999999</v>
      </c>
      <c r="BT861" s="253" cm="1">
        <f t="array" ref="BT861">$BC861 * IF($AD861&lt;=2,
SUMPRODUCT(INDEX($AL$62:$AN$66,,$AE861), INDEX($AO$62:$AU$66,,$AD861), 1 / ($AV$62:$AV$66*BS861 + (1-$AV$62:$AV$66)*BO861), N($AK$62:$AK$66&gt;$AI861)),
SUMPRODUCT(INDEX($AL$47:$AN$56,,$AE861), INDEX($AO$47:$AU$56,,$AD861), 1 / ($AW$47:$AW$56*BS861 + (1-$AW$47:$AW$56)*BO861), N($AK$47:$AK$56&gt;$AI861))
) / 1000</f>
        <v>0</v>
      </c>
      <c r="BU861" s="253" cm="1">
        <f t="array" ref="BU861">$BC861 * IF($AD861&lt;=2,
SUMPRODUCT(INDEX($AL$23:$AN$61,,$AE861), INDEX($AO$23:$AU$61,,$AD861), 1 / ($AV$23:$AV$61*BS861), N($AK$23:$AK$61&gt;$AI861)),
SUMPRODUCT(INDEX($AL$23:$AN$46,,$AE861), INDEX($AO$23:$AU$46,,$AD861), 1 / ($AW$23:$AW$46*BS861), N($AK$23:$AK$46&gt;$AI861))
) / 1000</f>
        <v>0</v>
      </c>
      <c r="BV861" s="237">
        <f t="shared" si="762"/>
        <v>0</v>
      </c>
      <c r="BW861" s="210"/>
      <c r="BX861" s="237">
        <f t="shared" si="763"/>
        <v>0</v>
      </c>
      <c r="BY861" s="236">
        <v>35</v>
      </c>
      <c r="BZ861" s="237">
        <f t="shared" si="764"/>
        <v>48</v>
      </c>
      <c r="CA861" s="253">
        <f t="shared" si="765"/>
        <v>3.0748170731707316</v>
      </c>
      <c r="CB861" s="253" cm="1">
        <f t="array" ref="CB861">$BC861 * SUMPRODUCT(INDEX($AL$77:$AN$82,,$AE861),INDEX($AO$77:$AU$82,,$AD861), N($AK$77:$AK$82&gt;$AI861)) / CA861 / 1000</f>
        <v>0</v>
      </c>
      <c r="CC861" s="250">
        <f t="shared" si="782"/>
        <v>30</v>
      </c>
      <c r="CD861" s="237">
        <f t="shared" si="766"/>
        <v>43</v>
      </c>
      <c r="CE861" s="253">
        <f t="shared" si="767"/>
        <v>3.5018750000000001</v>
      </c>
      <c r="CF861" s="253" cm="1">
        <f t="array" ref="CF861">$BC861 * IF($AD861&lt;=2,
SUMPRODUCT(INDEX($AL$72:$AN$76,,$AE861), INDEX($AO$72:$AU$76,,$AD861), 1 / ($AV$72:$AV$76*CE861 + (1-$AV$72:$AV$76)*CA861), N($AK$72:$AK$76&gt;$AI861)),
SUMPRODUCT(INDEX($AL$67:$AN$76,,$AE861), INDEX($AO$67:$AU$76,,$AD861), 1 / ($AW$67:$AW$76*CE861 + (1-$AW$67:$AW$76)*CA861), N($AK$67:$AK$76&gt;$AI861))
) / 1000</f>
        <v>0</v>
      </c>
      <c r="CG861" s="250">
        <f t="shared" si="783"/>
        <v>25</v>
      </c>
      <c r="CH861" s="237">
        <f t="shared" si="768"/>
        <v>38</v>
      </c>
      <c r="CI861" s="253">
        <f t="shared" si="769"/>
        <v>4.0666935483870965</v>
      </c>
      <c r="CJ861" s="253" cm="1">
        <f t="array" ref="CJ861">$BC861 * IF($AD861&lt;=2,
SUMPRODUCT(INDEX($AL$67:$AN$71,,$AE861), INDEX($AO$67:$AU$71,,$AD861), 1 / ($AV$67:$AV$71*CI861 + (1-$AV$67:$AV$71)*CE861), N($AK$67:$AK$71&gt;$AI861)),
SUMPRODUCT(INDEX($AL$57:$AN$66,,$AE861), INDEX($AO$57:$AU$66,,$AD861), 1 / ($AW$57:$AW$66*CI861 + (1-$AW$57:$AW$66)*CE861), N($AK$57:$AK$66&gt;$AI861))
) / 1000</f>
        <v>0</v>
      </c>
      <c r="CK861" s="250">
        <f t="shared" si="784"/>
        <v>20</v>
      </c>
      <c r="CL861" s="237">
        <f t="shared" si="770"/>
        <v>33</v>
      </c>
      <c r="CM861" s="253">
        <f t="shared" si="771"/>
        <v>4.8487499999999999</v>
      </c>
      <c r="CN861" s="253" cm="1">
        <f t="array" ref="CN861">$BC861 * IF($AD861&lt;=2,
SUMPRODUCT(INDEX($AL$62:$AN$66,,$AE861), INDEX($AO$62:$AU$66,,$AD861), 1 / ($AV$62:$AV$66*CM861 + (1-$AV$62:$AV$66)*CI861), N($AK$62:$AK$66&gt;$AI861)),
SUMPRODUCT(INDEX($AL$47:$AN$56,,$AE861), INDEX($AO$47:$AU$56,,$AD861), 1 / ($AW$47:$AW$56*CM861 + (1-$AW$47:$AW$56)*CI861), N($AK$47:$AK$56&gt;$AI861))
) / 1000</f>
        <v>0</v>
      </c>
      <c r="CO861" s="253" cm="1">
        <f t="array" ref="CO861">$BC861 * IF($AD861&lt;=2,
SUMPRODUCT(INDEX($AL$23:$AN$61,,$AE861), INDEX($AO$23:$AU$61,,$AD861), 1 / ($AV$23:$AV$61*CM861), N($AK$23:$AK$61&gt;$AI861)),
SUMPRODUCT(INDEX($AL$23:$AN$46,,$AE861), INDEX($AO$23:$AU$46,,$AD861), 1 / ($AW$23:$AW$46*CM861), N($AK$23:$AK$46&gt;$AI861))
) / 1000</f>
        <v>0</v>
      </c>
      <c r="CP861" s="237">
        <f t="shared" si="772"/>
        <v>0</v>
      </c>
      <c r="CQ861" s="210"/>
    </row>
    <row r="862" spans="1:95" s="76" customFormat="1" ht="14.25" customHeight="1" x14ac:dyDescent="0.2">
      <c r="A862" s="238" t="b">
        <f t="shared" si="776"/>
        <v>0</v>
      </c>
      <c r="B862" s="239">
        <v>840</v>
      </c>
      <c r="C862" s="258"/>
      <c r="D862" s="258"/>
      <c r="E862" s="240"/>
      <c r="F862" s="241" t="str">
        <f>IF(ISBLANK(E862), "", VLOOKUP(E862, Z!$A$2:$C$4127, 3, FALSE))</f>
        <v/>
      </c>
      <c r="G862" s="242"/>
      <c r="H862" s="242"/>
      <c r="I862" s="243"/>
      <c r="J862" s="244"/>
      <c r="K862" s="259"/>
      <c r="L862" s="260"/>
      <c r="M862" s="247" t="str" cm="1">
        <f t="array" ref="M862">IF($K862&gt;0, INDEX(Clean,1+AG862,$C$1), "")</f>
        <v/>
      </c>
      <c r="N862" s="245"/>
      <c r="O862" s="245"/>
      <c r="P862" s="246"/>
      <c r="Q862" s="248">
        <f t="shared" si="749"/>
        <v>0</v>
      </c>
      <c r="R862" s="247" t="str" cm="1">
        <f t="array" ref="R862">IF($K862&gt;0, INDEX(Clean,1+AH862,$C$1), "")</f>
        <v/>
      </c>
      <c r="S862" s="245"/>
      <c r="T862" s="245"/>
      <c r="U862" s="246"/>
      <c r="V862" s="248">
        <f t="shared" si="750"/>
        <v>0</v>
      </c>
      <c r="W862" s="261"/>
      <c r="X862" s="258"/>
      <c r="Y862" s="240"/>
      <c r="Z862" s="241" t="str">
        <f>IF(ISBLANK(Y862), "", VLOOKUP(Y862, Z!$A$2:$C$4127, 3, FALSE))</f>
        <v/>
      </c>
      <c r="AA862" s="262"/>
      <c r="AB862" s="249">
        <f t="shared" si="785"/>
        <v>0</v>
      </c>
      <c r="AC862" s="210"/>
      <c r="AD862" s="236">
        <f t="shared" si="773"/>
        <v>1</v>
      </c>
      <c r="AE862" s="236">
        <f t="shared" si="774"/>
        <v>1</v>
      </c>
      <c r="AF862" s="236">
        <f t="shared" si="775"/>
        <v>0</v>
      </c>
      <c r="AG862" s="236">
        <v>1</v>
      </c>
      <c r="AH862" s="236">
        <v>0</v>
      </c>
      <c r="AI862" s="236">
        <f t="shared" si="751"/>
        <v>-100</v>
      </c>
      <c r="AJ862" s="210"/>
      <c r="AK862" s="254"/>
      <c r="AL862" s="254"/>
      <c r="AM862" s="255"/>
      <c r="AN862" s="255"/>
      <c r="AO862" s="255"/>
      <c r="AP862" s="255"/>
      <c r="AQ862" s="255"/>
      <c r="AR862" s="255"/>
      <c r="AS862" s="255"/>
      <c r="AT862" s="255"/>
      <c r="AU862" s="255"/>
      <c r="AV862" s="255"/>
      <c r="AW862" s="255"/>
      <c r="AX862" s="210"/>
      <c r="AY862" s="236" cm="1">
        <f t="array" ref="AY862">INDEX(Use, $AD862, 4)</f>
        <v>7</v>
      </c>
      <c r="AZ862" s="236">
        <f t="shared" si="752"/>
        <v>32</v>
      </c>
      <c r="BA862" s="236">
        <f t="shared" si="777"/>
        <v>13</v>
      </c>
      <c r="BB862" s="236">
        <f t="shared" si="778"/>
        <v>0</v>
      </c>
      <c r="BC862" s="252" cm="1">
        <f t="array" ref="BC862">K862/IF($L862&gt;0, INDEX($AO$23:$AU$77, $L862+20, $AD862), 1)</f>
        <v>0</v>
      </c>
      <c r="BD862" s="237">
        <f t="shared" si="753"/>
        <v>0</v>
      </c>
      <c r="BE862" s="236">
        <v>35</v>
      </c>
      <c r="BF862" s="237">
        <f t="shared" si="754"/>
        <v>52.55</v>
      </c>
      <c r="BG862" s="253">
        <f t="shared" si="755"/>
        <v>2.7676728869374316</v>
      </c>
      <c r="BH862" s="253" cm="1">
        <f t="array" ref="BH862">$BC862 * SUMPRODUCT(INDEX($AL$77:$AN$82,,$AE862),INDEX($AO$77:$AU$82,,$AD862), N($AK$77:$AK$82&gt;$AI862)) / BG862 / 1000</f>
        <v>0</v>
      </c>
      <c r="BI862" s="250">
        <f t="shared" si="779"/>
        <v>30</v>
      </c>
      <c r="BJ862" s="237">
        <f t="shared" si="756"/>
        <v>46.033333333333331</v>
      </c>
      <c r="BK862" s="253">
        <f t="shared" si="757"/>
        <v>3.2297395388556791</v>
      </c>
      <c r="BL862" s="253" cm="1">
        <f t="array" ref="BL862">$BC862 * IF($AD862&lt;=2,
SUMPRODUCT(INDEX($AL$72:$AN$76,,$AE862), INDEX($AO$72:$AU$76,,$AD862), 1 / ($AV$72:$AV$76*BK862 + (1-$AV$72:$AV$76)*BG862), N($AK$72:$AK$76&gt;$AI862)),
SUMPRODUCT(INDEX($AL$67:$AN$76,,$AE862), INDEX($AO$67:$AU$76,,$AD862), 1 / ($AW$67:$AW$76*BK862 + (1-$AW$67:$AW$76)*BG862), N($AK$67:$AK$76&gt;$AI862))
) / 1000</f>
        <v>0</v>
      </c>
      <c r="BM862" s="250">
        <f t="shared" si="780"/>
        <v>25</v>
      </c>
      <c r="BN862" s="237">
        <f t="shared" si="758"/>
        <v>39.516666666666666</v>
      </c>
      <c r="BO862" s="253">
        <f t="shared" si="759"/>
        <v>3.877011788826243</v>
      </c>
      <c r="BP862" s="253" cm="1">
        <f t="array" ref="BP862">$BC862 * IF($AD862&lt;=2,
SUMPRODUCT(INDEX($AL$67:$AN$71,,$AE862), INDEX($AO$67:$AU$71,,$AD862), 1 / ($AV$67:$AV$71*BO862 + (1-$AV$67:$AV$71)*BK862), N($AK$67:$AK$71&gt;$AI862)),
SUMPRODUCT(INDEX($AL$57:$AN$66,,$AE862), INDEX($AO$57:$AU$66,,$AD862), 1 / ($AW$57:$AW$66*BO862 + (1-$AW$57:$AW$66)*BK862), N($AK$57:$AK$66&gt;$AI862))
) / 1000</f>
        <v>0</v>
      </c>
      <c r="BQ862" s="250">
        <f t="shared" si="781"/>
        <v>20</v>
      </c>
      <c r="BR862" s="237">
        <f t="shared" si="760"/>
        <v>33</v>
      </c>
      <c r="BS862" s="253">
        <f t="shared" si="761"/>
        <v>4.8487499999999999</v>
      </c>
      <c r="BT862" s="253" cm="1">
        <f t="array" ref="BT862">$BC862 * IF($AD862&lt;=2,
SUMPRODUCT(INDEX($AL$62:$AN$66,,$AE862), INDEX($AO$62:$AU$66,,$AD862), 1 / ($AV$62:$AV$66*BS862 + (1-$AV$62:$AV$66)*BO862), N($AK$62:$AK$66&gt;$AI862)),
SUMPRODUCT(INDEX($AL$47:$AN$56,,$AE862), INDEX($AO$47:$AU$56,,$AD862), 1 / ($AW$47:$AW$56*BS862 + (1-$AW$47:$AW$56)*BO862), N($AK$47:$AK$56&gt;$AI862))
) / 1000</f>
        <v>0</v>
      </c>
      <c r="BU862" s="253" cm="1">
        <f t="array" ref="BU862">$BC862 * IF($AD862&lt;=2,
SUMPRODUCT(INDEX($AL$23:$AN$61,,$AE862), INDEX($AO$23:$AU$61,,$AD862), 1 / ($AV$23:$AV$61*BS862), N($AK$23:$AK$61&gt;$AI862)),
SUMPRODUCT(INDEX($AL$23:$AN$46,,$AE862), INDEX($AO$23:$AU$46,,$AD862), 1 / ($AW$23:$AW$46*BS862), N($AK$23:$AK$46&gt;$AI862))
) / 1000</f>
        <v>0</v>
      </c>
      <c r="BV862" s="237">
        <f t="shared" si="762"/>
        <v>0</v>
      </c>
      <c r="BW862" s="210"/>
      <c r="BX862" s="237">
        <f t="shared" si="763"/>
        <v>0</v>
      </c>
      <c r="BY862" s="236">
        <v>35</v>
      </c>
      <c r="BZ862" s="237">
        <f t="shared" si="764"/>
        <v>48</v>
      </c>
      <c r="CA862" s="253">
        <f t="shared" si="765"/>
        <v>3.0748170731707316</v>
      </c>
      <c r="CB862" s="253" cm="1">
        <f t="array" ref="CB862">$BC862 * SUMPRODUCT(INDEX($AL$77:$AN$82,,$AE862),INDEX($AO$77:$AU$82,,$AD862), N($AK$77:$AK$82&gt;$AI862)) / CA862 / 1000</f>
        <v>0</v>
      </c>
      <c r="CC862" s="250">
        <f t="shared" si="782"/>
        <v>30</v>
      </c>
      <c r="CD862" s="237">
        <f t="shared" si="766"/>
        <v>43</v>
      </c>
      <c r="CE862" s="253">
        <f t="shared" si="767"/>
        <v>3.5018750000000001</v>
      </c>
      <c r="CF862" s="253" cm="1">
        <f t="array" ref="CF862">$BC862 * IF($AD862&lt;=2,
SUMPRODUCT(INDEX($AL$72:$AN$76,,$AE862), INDEX($AO$72:$AU$76,,$AD862), 1 / ($AV$72:$AV$76*CE862 + (1-$AV$72:$AV$76)*CA862), N($AK$72:$AK$76&gt;$AI862)),
SUMPRODUCT(INDEX($AL$67:$AN$76,,$AE862), INDEX($AO$67:$AU$76,,$AD862), 1 / ($AW$67:$AW$76*CE862 + (1-$AW$67:$AW$76)*CA862), N($AK$67:$AK$76&gt;$AI862))
) / 1000</f>
        <v>0</v>
      </c>
      <c r="CG862" s="250">
        <f t="shared" si="783"/>
        <v>25</v>
      </c>
      <c r="CH862" s="237">
        <f t="shared" si="768"/>
        <v>38</v>
      </c>
      <c r="CI862" s="253">
        <f t="shared" si="769"/>
        <v>4.0666935483870965</v>
      </c>
      <c r="CJ862" s="253" cm="1">
        <f t="array" ref="CJ862">$BC862 * IF($AD862&lt;=2,
SUMPRODUCT(INDEX($AL$67:$AN$71,,$AE862), INDEX($AO$67:$AU$71,,$AD862), 1 / ($AV$67:$AV$71*CI862 + (1-$AV$67:$AV$71)*CE862), N($AK$67:$AK$71&gt;$AI862)),
SUMPRODUCT(INDEX($AL$57:$AN$66,,$AE862), INDEX($AO$57:$AU$66,,$AD862), 1 / ($AW$57:$AW$66*CI862 + (1-$AW$57:$AW$66)*CE862), N($AK$57:$AK$66&gt;$AI862))
) / 1000</f>
        <v>0</v>
      </c>
      <c r="CK862" s="250">
        <f t="shared" si="784"/>
        <v>20</v>
      </c>
      <c r="CL862" s="237">
        <f t="shared" si="770"/>
        <v>33</v>
      </c>
      <c r="CM862" s="253">
        <f t="shared" si="771"/>
        <v>4.8487499999999999</v>
      </c>
      <c r="CN862" s="253" cm="1">
        <f t="array" ref="CN862">$BC862 * IF($AD862&lt;=2,
SUMPRODUCT(INDEX($AL$62:$AN$66,,$AE862), INDEX($AO$62:$AU$66,,$AD862), 1 / ($AV$62:$AV$66*CM862 + (1-$AV$62:$AV$66)*CI862), N($AK$62:$AK$66&gt;$AI862)),
SUMPRODUCT(INDEX($AL$47:$AN$56,,$AE862), INDEX($AO$47:$AU$56,,$AD862), 1 / ($AW$47:$AW$56*CM862 + (1-$AW$47:$AW$56)*CI862), N($AK$47:$AK$56&gt;$AI862))
) / 1000</f>
        <v>0</v>
      </c>
      <c r="CO862" s="253" cm="1">
        <f t="array" ref="CO862">$BC862 * IF($AD862&lt;=2,
SUMPRODUCT(INDEX($AL$23:$AN$61,,$AE862), INDEX($AO$23:$AU$61,,$AD862), 1 / ($AV$23:$AV$61*CM862), N($AK$23:$AK$61&gt;$AI862)),
SUMPRODUCT(INDEX($AL$23:$AN$46,,$AE862), INDEX($AO$23:$AU$46,,$AD862), 1 / ($AW$23:$AW$46*CM862), N($AK$23:$AK$46&gt;$AI862))
) / 1000</f>
        <v>0</v>
      </c>
      <c r="CP862" s="237">
        <f t="shared" si="772"/>
        <v>0</v>
      </c>
      <c r="CQ862" s="210"/>
    </row>
    <row r="863" spans="1:95" s="76" customFormat="1" ht="14.25" customHeight="1" x14ac:dyDescent="0.2">
      <c r="A863" s="238" t="b">
        <f t="shared" si="776"/>
        <v>0</v>
      </c>
      <c r="B863" s="239">
        <v>841</v>
      </c>
      <c r="C863" s="258"/>
      <c r="D863" s="258"/>
      <c r="E863" s="240"/>
      <c r="F863" s="241" t="str">
        <f>IF(ISBLANK(E863), "", VLOOKUP(E863, Z!$A$2:$C$4127, 3, FALSE))</f>
        <v/>
      </c>
      <c r="G863" s="242"/>
      <c r="H863" s="242"/>
      <c r="I863" s="243"/>
      <c r="J863" s="244"/>
      <c r="K863" s="259"/>
      <c r="L863" s="260"/>
      <c r="M863" s="247" t="str" cm="1">
        <f t="array" ref="M863">IF($K863&gt;0, INDEX(Clean,1+AG863,$C$1), "")</f>
        <v/>
      </c>
      <c r="N863" s="245"/>
      <c r="O863" s="245"/>
      <c r="P863" s="246"/>
      <c r="Q863" s="248">
        <f t="shared" si="749"/>
        <v>0</v>
      </c>
      <c r="R863" s="247" t="str" cm="1">
        <f t="array" ref="R863">IF($K863&gt;0, INDEX(Clean,1+AH863,$C$1), "")</f>
        <v/>
      </c>
      <c r="S863" s="245"/>
      <c r="T863" s="245"/>
      <c r="U863" s="246"/>
      <c r="V863" s="248">
        <f t="shared" si="750"/>
        <v>0</v>
      </c>
      <c r="W863" s="261"/>
      <c r="X863" s="258"/>
      <c r="Y863" s="240"/>
      <c r="Z863" s="241" t="str">
        <f>IF(ISBLANK(Y863), "", VLOOKUP(Y863, Z!$A$2:$C$4127, 3, FALSE))</f>
        <v/>
      </c>
      <c r="AA863" s="262"/>
      <c r="AB863" s="249">
        <f t="shared" si="785"/>
        <v>0</v>
      </c>
      <c r="AC863" s="210"/>
      <c r="AD863" s="236">
        <f t="shared" si="773"/>
        <v>1</v>
      </c>
      <c r="AE863" s="236">
        <f t="shared" si="774"/>
        <v>1</v>
      </c>
      <c r="AF863" s="236">
        <f t="shared" si="775"/>
        <v>0</v>
      </c>
      <c r="AG863" s="236">
        <v>1</v>
      </c>
      <c r="AH863" s="236">
        <v>0</v>
      </c>
      <c r="AI863" s="236">
        <f t="shared" si="751"/>
        <v>-100</v>
      </c>
      <c r="AJ863" s="210"/>
      <c r="AK863" s="254"/>
      <c r="AL863" s="254"/>
      <c r="AM863" s="255"/>
      <c r="AN863" s="255"/>
      <c r="AO863" s="255"/>
      <c r="AP863" s="255"/>
      <c r="AQ863" s="255"/>
      <c r="AR863" s="255"/>
      <c r="AS863" s="255"/>
      <c r="AT863" s="255"/>
      <c r="AU863" s="255"/>
      <c r="AV863" s="255"/>
      <c r="AW863" s="255"/>
      <c r="AX863" s="210"/>
      <c r="AY863" s="236" cm="1">
        <f t="array" ref="AY863">INDEX(Use, $AD863, 4)</f>
        <v>7</v>
      </c>
      <c r="AZ863" s="236">
        <f t="shared" si="752"/>
        <v>32</v>
      </c>
      <c r="BA863" s="236">
        <f t="shared" si="777"/>
        <v>13</v>
      </c>
      <c r="BB863" s="236">
        <f t="shared" si="778"/>
        <v>0</v>
      </c>
      <c r="BC863" s="252" cm="1">
        <f t="array" ref="BC863">K863/IF($L863&gt;0, INDEX($AO$23:$AU$77, $L863+20, $AD863), 1)</f>
        <v>0</v>
      </c>
      <c r="BD863" s="237">
        <f t="shared" si="753"/>
        <v>0</v>
      </c>
      <c r="BE863" s="236">
        <v>35</v>
      </c>
      <c r="BF863" s="237">
        <f t="shared" si="754"/>
        <v>52.55</v>
      </c>
      <c r="BG863" s="253">
        <f t="shared" si="755"/>
        <v>2.7676728869374316</v>
      </c>
      <c r="BH863" s="253" cm="1">
        <f t="array" ref="BH863">$BC863 * SUMPRODUCT(INDEX($AL$77:$AN$82,,$AE863),INDEX($AO$77:$AU$82,,$AD863), N($AK$77:$AK$82&gt;$AI863)) / BG863 / 1000</f>
        <v>0</v>
      </c>
      <c r="BI863" s="250">
        <f t="shared" si="779"/>
        <v>30</v>
      </c>
      <c r="BJ863" s="237">
        <f t="shared" si="756"/>
        <v>46.033333333333331</v>
      </c>
      <c r="BK863" s="253">
        <f t="shared" si="757"/>
        <v>3.2297395388556791</v>
      </c>
      <c r="BL863" s="253" cm="1">
        <f t="array" ref="BL863">$BC863 * IF($AD863&lt;=2,
SUMPRODUCT(INDEX($AL$72:$AN$76,,$AE863), INDEX($AO$72:$AU$76,,$AD863), 1 / ($AV$72:$AV$76*BK863 + (1-$AV$72:$AV$76)*BG863), N($AK$72:$AK$76&gt;$AI863)),
SUMPRODUCT(INDEX($AL$67:$AN$76,,$AE863), INDEX($AO$67:$AU$76,,$AD863), 1 / ($AW$67:$AW$76*BK863 + (1-$AW$67:$AW$76)*BG863), N($AK$67:$AK$76&gt;$AI863))
) / 1000</f>
        <v>0</v>
      </c>
      <c r="BM863" s="250">
        <f t="shared" si="780"/>
        <v>25</v>
      </c>
      <c r="BN863" s="237">
        <f t="shared" si="758"/>
        <v>39.516666666666666</v>
      </c>
      <c r="BO863" s="253">
        <f t="shared" si="759"/>
        <v>3.877011788826243</v>
      </c>
      <c r="BP863" s="253" cm="1">
        <f t="array" ref="BP863">$BC863 * IF($AD863&lt;=2,
SUMPRODUCT(INDEX($AL$67:$AN$71,,$AE863), INDEX($AO$67:$AU$71,,$AD863), 1 / ($AV$67:$AV$71*BO863 + (1-$AV$67:$AV$71)*BK863), N($AK$67:$AK$71&gt;$AI863)),
SUMPRODUCT(INDEX($AL$57:$AN$66,,$AE863), INDEX($AO$57:$AU$66,,$AD863), 1 / ($AW$57:$AW$66*BO863 + (1-$AW$57:$AW$66)*BK863), N($AK$57:$AK$66&gt;$AI863))
) / 1000</f>
        <v>0</v>
      </c>
      <c r="BQ863" s="250">
        <f t="shared" si="781"/>
        <v>20</v>
      </c>
      <c r="BR863" s="237">
        <f t="shared" si="760"/>
        <v>33</v>
      </c>
      <c r="BS863" s="253">
        <f t="shared" si="761"/>
        <v>4.8487499999999999</v>
      </c>
      <c r="BT863" s="253" cm="1">
        <f t="array" ref="BT863">$BC863 * IF($AD863&lt;=2,
SUMPRODUCT(INDEX($AL$62:$AN$66,,$AE863), INDEX($AO$62:$AU$66,,$AD863), 1 / ($AV$62:$AV$66*BS863 + (1-$AV$62:$AV$66)*BO863), N($AK$62:$AK$66&gt;$AI863)),
SUMPRODUCT(INDEX($AL$47:$AN$56,,$AE863), INDEX($AO$47:$AU$56,,$AD863), 1 / ($AW$47:$AW$56*BS863 + (1-$AW$47:$AW$56)*BO863), N($AK$47:$AK$56&gt;$AI863))
) / 1000</f>
        <v>0</v>
      </c>
      <c r="BU863" s="253" cm="1">
        <f t="array" ref="BU863">$BC863 * IF($AD863&lt;=2,
SUMPRODUCT(INDEX($AL$23:$AN$61,,$AE863), INDEX($AO$23:$AU$61,,$AD863), 1 / ($AV$23:$AV$61*BS863), N($AK$23:$AK$61&gt;$AI863)),
SUMPRODUCT(INDEX($AL$23:$AN$46,,$AE863), INDEX($AO$23:$AU$46,,$AD863), 1 / ($AW$23:$AW$46*BS863), N($AK$23:$AK$46&gt;$AI863))
) / 1000</f>
        <v>0</v>
      </c>
      <c r="BV863" s="237">
        <f t="shared" si="762"/>
        <v>0</v>
      </c>
      <c r="BW863" s="210"/>
      <c r="BX863" s="237">
        <f t="shared" si="763"/>
        <v>0</v>
      </c>
      <c r="BY863" s="236">
        <v>35</v>
      </c>
      <c r="BZ863" s="237">
        <f t="shared" si="764"/>
        <v>48</v>
      </c>
      <c r="CA863" s="253">
        <f t="shared" si="765"/>
        <v>3.0748170731707316</v>
      </c>
      <c r="CB863" s="253" cm="1">
        <f t="array" ref="CB863">$BC863 * SUMPRODUCT(INDEX($AL$77:$AN$82,,$AE863),INDEX($AO$77:$AU$82,,$AD863), N($AK$77:$AK$82&gt;$AI863)) / CA863 / 1000</f>
        <v>0</v>
      </c>
      <c r="CC863" s="250">
        <f t="shared" si="782"/>
        <v>30</v>
      </c>
      <c r="CD863" s="237">
        <f t="shared" si="766"/>
        <v>43</v>
      </c>
      <c r="CE863" s="253">
        <f t="shared" si="767"/>
        <v>3.5018750000000001</v>
      </c>
      <c r="CF863" s="253" cm="1">
        <f t="array" ref="CF863">$BC863 * IF($AD863&lt;=2,
SUMPRODUCT(INDEX($AL$72:$AN$76,,$AE863), INDEX($AO$72:$AU$76,,$AD863), 1 / ($AV$72:$AV$76*CE863 + (1-$AV$72:$AV$76)*CA863), N($AK$72:$AK$76&gt;$AI863)),
SUMPRODUCT(INDEX($AL$67:$AN$76,,$AE863), INDEX($AO$67:$AU$76,,$AD863), 1 / ($AW$67:$AW$76*CE863 + (1-$AW$67:$AW$76)*CA863), N($AK$67:$AK$76&gt;$AI863))
) / 1000</f>
        <v>0</v>
      </c>
      <c r="CG863" s="250">
        <f t="shared" si="783"/>
        <v>25</v>
      </c>
      <c r="CH863" s="237">
        <f t="shared" si="768"/>
        <v>38</v>
      </c>
      <c r="CI863" s="253">
        <f t="shared" si="769"/>
        <v>4.0666935483870965</v>
      </c>
      <c r="CJ863" s="253" cm="1">
        <f t="array" ref="CJ863">$BC863 * IF($AD863&lt;=2,
SUMPRODUCT(INDEX($AL$67:$AN$71,,$AE863), INDEX($AO$67:$AU$71,,$AD863), 1 / ($AV$67:$AV$71*CI863 + (1-$AV$67:$AV$71)*CE863), N($AK$67:$AK$71&gt;$AI863)),
SUMPRODUCT(INDEX($AL$57:$AN$66,,$AE863), INDEX($AO$57:$AU$66,,$AD863), 1 / ($AW$57:$AW$66*CI863 + (1-$AW$57:$AW$66)*CE863), N($AK$57:$AK$66&gt;$AI863))
) / 1000</f>
        <v>0</v>
      </c>
      <c r="CK863" s="250">
        <f t="shared" si="784"/>
        <v>20</v>
      </c>
      <c r="CL863" s="237">
        <f t="shared" si="770"/>
        <v>33</v>
      </c>
      <c r="CM863" s="253">
        <f t="shared" si="771"/>
        <v>4.8487499999999999</v>
      </c>
      <c r="CN863" s="253" cm="1">
        <f t="array" ref="CN863">$BC863 * IF($AD863&lt;=2,
SUMPRODUCT(INDEX($AL$62:$AN$66,,$AE863), INDEX($AO$62:$AU$66,,$AD863), 1 / ($AV$62:$AV$66*CM863 + (1-$AV$62:$AV$66)*CI863), N($AK$62:$AK$66&gt;$AI863)),
SUMPRODUCT(INDEX($AL$47:$AN$56,,$AE863), INDEX($AO$47:$AU$56,,$AD863), 1 / ($AW$47:$AW$56*CM863 + (1-$AW$47:$AW$56)*CI863), N($AK$47:$AK$56&gt;$AI863))
) / 1000</f>
        <v>0</v>
      </c>
      <c r="CO863" s="253" cm="1">
        <f t="array" ref="CO863">$BC863 * IF($AD863&lt;=2,
SUMPRODUCT(INDEX($AL$23:$AN$61,,$AE863), INDEX($AO$23:$AU$61,,$AD863), 1 / ($AV$23:$AV$61*CM863), N($AK$23:$AK$61&gt;$AI863)),
SUMPRODUCT(INDEX($AL$23:$AN$46,,$AE863), INDEX($AO$23:$AU$46,,$AD863), 1 / ($AW$23:$AW$46*CM863), N($AK$23:$AK$46&gt;$AI863))
) / 1000</f>
        <v>0</v>
      </c>
      <c r="CP863" s="237">
        <f t="shared" si="772"/>
        <v>0</v>
      </c>
      <c r="CQ863" s="210"/>
    </row>
    <row r="864" spans="1:95" s="76" customFormat="1" ht="14.25" customHeight="1" x14ac:dyDescent="0.2">
      <c r="A864" s="238" t="b">
        <f t="shared" si="776"/>
        <v>0</v>
      </c>
      <c r="B864" s="239">
        <v>842</v>
      </c>
      <c r="C864" s="258"/>
      <c r="D864" s="258"/>
      <c r="E864" s="240"/>
      <c r="F864" s="241" t="str">
        <f>IF(ISBLANK(E864), "", VLOOKUP(E864, Z!$A$2:$C$4127, 3, FALSE))</f>
        <v/>
      </c>
      <c r="G864" s="242"/>
      <c r="H864" s="242"/>
      <c r="I864" s="243"/>
      <c r="J864" s="244"/>
      <c r="K864" s="259"/>
      <c r="L864" s="260"/>
      <c r="M864" s="247" t="str" cm="1">
        <f t="array" ref="M864">IF($K864&gt;0, INDEX(Clean,1+AG864,$C$1), "")</f>
        <v/>
      </c>
      <c r="N864" s="245"/>
      <c r="O864" s="245"/>
      <c r="P864" s="246"/>
      <c r="Q864" s="248">
        <f t="shared" si="749"/>
        <v>0</v>
      </c>
      <c r="R864" s="247" t="str" cm="1">
        <f t="array" ref="R864">IF($K864&gt;0, INDEX(Clean,1+AH864,$C$1), "")</f>
        <v/>
      </c>
      <c r="S864" s="245"/>
      <c r="T864" s="245"/>
      <c r="U864" s="246"/>
      <c r="V864" s="248">
        <f t="shared" si="750"/>
        <v>0</v>
      </c>
      <c r="W864" s="261"/>
      <c r="X864" s="258"/>
      <c r="Y864" s="240"/>
      <c r="Z864" s="241" t="str">
        <f>IF(ISBLANK(Y864), "", VLOOKUP(Y864, Z!$A$2:$C$4127, 3, FALSE))</f>
        <v/>
      </c>
      <c r="AA864" s="262"/>
      <c r="AB864" s="249">
        <f t="shared" si="785"/>
        <v>0</v>
      </c>
      <c r="AC864" s="210"/>
      <c r="AD864" s="236">
        <f t="shared" si="773"/>
        <v>1</v>
      </c>
      <c r="AE864" s="236">
        <f t="shared" si="774"/>
        <v>1</v>
      </c>
      <c r="AF864" s="236">
        <f t="shared" si="775"/>
        <v>0</v>
      </c>
      <c r="AG864" s="236">
        <v>1</v>
      </c>
      <c r="AH864" s="236">
        <v>0</v>
      </c>
      <c r="AI864" s="236">
        <f t="shared" si="751"/>
        <v>-100</v>
      </c>
      <c r="AJ864" s="210"/>
      <c r="AK864" s="254"/>
      <c r="AL864" s="254"/>
      <c r="AM864" s="255"/>
      <c r="AN864" s="255"/>
      <c r="AO864" s="255"/>
      <c r="AP864" s="255"/>
      <c r="AQ864" s="255"/>
      <c r="AR864" s="255"/>
      <c r="AS864" s="255"/>
      <c r="AT864" s="255"/>
      <c r="AU864" s="255"/>
      <c r="AV864" s="255"/>
      <c r="AW864" s="255"/>
      <c r="AX864" s="210"/>
      <c r="AY864" s="236" cm="1">
        <f t="array" ref="AY864">INDEX(Use, $AD864, 4)</f>
        <v>7</v>
      </c>
      <c r="AZ864" s="236">
        <f t="shared" si="752"/>
        <v>32</v>
      </c>
      <c r="BA864" s="236">
        <f t="shared" si="777"/>
        <v>13</v>
      </c>
      <c r="BB864" s="236">
        <f t="shared" si="778"/>
        <v>0</v>
      </c>
      <c r="BC864" s="252" cm="1">
        <f t="array" ref="BC864">K864/IF($L864&gt;0, INDEX($AO$23:$AU$77, $L864+20, $AD864), 1)</f>
        <v>0</v>
      </c>
      <c r="BD864" s="237">
        <f t="shared" si="753"/>
        <v>0</v>
      </c>
      <c r="BE864" s="236">
        <v>35</v>
      </c>
      <c r="BF864" s="237">
        <f t="shared" si="754"/>
        <v>52.55</v>
      </c>
      <c r="BG864" s="253">
        <f t="shared" si="755"/>
        <v>2.7676728869374316</v>
      </c>
      <c r="BH864" s="253" cm="1">
        <f t="array" ref="BH864">$BC864 * SUMPRODUCT(INDEX($AL$77:$AN$82,,$AE864),INDEX($AO$77:$AU$82,,$AD864), N($AK$77:$AK$82&gt;$AI864)) / BG864 / 1000</f>
        <v>0</v>
      </c>
      <c r="BI864" s="250">
        <f t="shared" si="779"/>
        <v>30</v>
      </c>
      <c r="BJ864" s="237">
        <f t="shared" si="756"/>
        <v>46.033333333333331</v>
      </c>
      <c r="BK864" s="253">
        <f t="shared" si="757"/>
        <v>3.2297395388556791</v>
      </c>
      <c r="BL864" s="253" cm="1">
        <f t="array" ref="BL864">$BC864 * IF($AD864&lt;=2,
SUMPRODUCT(INDEX($AL$72:$AN$76,,$AE864), INDEX($AO$72:$AU$76,,$AD864), 1 / ($AV$72:$AV$76*BK864 + (1-$AV$72:$AV$76)*BG864), N($AK$72:$AK$76&gt;$AI864)),
SUMPRODUCT(INDEX($AL$67:$AN$76,,$AE864), INDEX($AO$67:$AU$76,,$AD864), 1 / ($AW$67:$AW$76*BK864 + (1-$AW$67:$AW$76)*BG864), N($AK$67:$AK$76&gt;$AI864))
) / 1000</f>
        <v>0</v>
      </c>
      <c r="BM864" s="250">
        <f t="shared" si="780"/>
        <v>25</v>
      </c>
      <c r="BN864" s="237">
        <f t="shared" si="758"/>
        <v>39.516666666666666</v>
      </c>
      <c r="BO864" s="253">
        <f t="shared" si="759"/>
        <v>3.877011788826243</v>
      </c>
      <c r="BP864" s="253" cm="1">
        <f t="array" ref="BP864">$BC864 * IF($AD864&lt;=2,
SUMPRODUCT(INDEX($AL$67:$AN$71,,$AE864), INDEX($AO$67:$AU$71,,$AD864), 1 / ($AV$67:$AV$71*BO864 + (1-$AV$67:$AV$71)*BK864), N($AK$67:$AK$71&gt;$AI864)),
SUMPRODUCT(INDEX($AL$57:$AN$66,,$AE864), INDEX($AO$57:$AU$66,,$AD864), 1 / ($AW$57:$AW$66*BO864 + (1-$AW$57:$AW$66)*BK864), N($AK$57:$AK$66&gt;$AI864))
) / 1000</f>
        <v>0</v>
      </c>
      <c r="BQ864" s="250">
        <f t="shared" si="781"/>
        <v>20</v>
      </c>
      <c r="BR864" s="237">
        <f t="shared" si="760"/>
        <v>33</v>
      </c>
      <c r="BS864" s="253">
        <f t="shared" si="761"/>
        <v>4.8487499999999999</v>
      </c>
      <c r="BT864" s="253" cm="1">
        <f t="array" ref="BT864">$BC864 * IF($AD864&lt;=2,
SUMPRODUCT(INDEX($AL$62:$AN$66,,$AE864), INDEX($AO$62:$AU$66,,$AD864), 1 / ($AV$62:$AV$66*BS864 + (1-$AV$62:$AV$66)*BO864), N($AK$62:$AK$66&gt;$AI864)),
SUMPRODUCT(INDEX($AL$47:$AN$56,,$AE864), INDEX($AO$47:$AU$56,,$AD864), 1 / ($AW$47:$AW$56*BS864 + (1-$AW$47:$AW$56)*BO864), N($AK$47:$AK$56&gt;$AI864))
) / 1000</f>
        <v>0</v>
      </c>
      <c r="BU864" s="253" cm="1">
        <f t="array" ref="BU864">$BC864 * IF($AD864&lt;=2,
SUMPRODUCT(INDEX($AL$23:$AN$61,,$AE864), INDEX($AO$23:$AU$61,,$AD864), 1 / ($AV$23:$AV$61*BS864), N($AK$23:$AK$61&gt;$AI864)),
SUMPRODUCT(INDEX($AL$23:$AN$46,,$AE864), INDEX($AO$23:$AU$46,,$AD864), 1 / ($AW$23:$AW$46*BS864), N($AK$23:$AK$46&gt;$AI864))
) / 1000</f>
        <v>0</v>
      </c>
      <c r="BV864" s="237">
        <f t="shared" si="762"/>
        <v>0</v>
      </c>
      <c r="BW864" s="210"/>
      <c r="BX864" s="237">
        <f t="shared" si="763"/>
        <v>0</v>
      </c>
      <c r="BY864" s="236">
        <v>35</v>
      </c>
      <c r="BZ864" s="237">
        <f t="shared" si="764"/>
        <v>48</v>
      </c>
      <c r="CA864" s="253">
        <f t="shared" si="765"/>
        <v>3.0748170731707316</v>
      </c>
      <c r="CB864" s="253" cm="1">
        <f t="array" ref="CB864">$BC864 * SUMPRODUCT(INDEX($AL$77:$AN$82,,$AE864),INDEX($AO$77:$AU$82,,$AD864), N($AK$77:$AK$82&gt;$AI864)) / CA864 / 1000</f>
        <v>0</v>
      </c>
      <c r="CC864" s="250">
        <f t="shared" si="782"/>
        <v>30</v>
      </c>
      <c r="CD864" s="237">
        <f t="shared" si="766"/>
        <v>43</v>
      </c>
      <c r="CE864" s="253">
        <f t="shared" si="767"/>
        <v>3.5018750000000001</v>
      </c>
      <c r="CF864" s="253" cm="1">
        <f t="array" ref="CF864">$BC864 * IF($AD864&lt;=2,
SUMPRODUCT(INDEX($AL$72:$AN$76,,$AE864), INDEX($AO$72:$AU$76,,$AD864), 1 / ($AV$72:$AV$76*CE864 + (1-$AV$72:$AV$76)*CA864), N($AK$72:$AK$76&gt;$AI864)),
SUMPRODUCT(INDEX($AL$67:$AN$76,,$AE864), INDEX($AO$67:$AU$76,,$AD864), 1 / ($AW$67:$AW$76*CE864 + (1-$AW$67:$AW$76)*CA864), N($AK$67:$AK$76&gt;$AI864))
) / 1000</f>
        <v>0</v>
      </c>
      <c r="CG864" s="250">
        <f t="shared" si="783"/>
        <v>25</v>
      </c>
      <c r="CH864" s="237">
        <f t="shared" si="768"/>
        <v>38</v>
      </c>
      <c r="CI864" s="253">
        <f t="shared" si="769"/>
        <v>4.0666935483870965</v>
      </c>
      <c r="CJ864" s="253" cm="1">
        <f t="array" ref="CJ864">$BC864 * IF($AD864&lt;=2,
SUMPRODUCT(INDEX($AL$67:$AN$71,,$AE864), INDEX($AO$67:$AU$71,,$AD864), 1 / ($AV$67:$AV$71*CI864 + (1-$AV$67:$AV$71)*CE864), N($AK$67:$AK$71&gt;$AI864)),
SUMPRODUCT(INDEX($AL$57:$AN$66,,$AE864), INDEX($AO$57:$AU$66,,$AD864), 1 / ($AW$57:$AW$66*CI864 + (1-$AW$57:$AW$66)*CE864), N($AK$57:$AK$66&gt;$AI864))
) / 1000</f>
        <v>0</v>
      </c>
      <c r="CK864" s="250">
        <f t="shared" si="784"/>
        <v>20</v>
      </c>
      <c r="CL864" s="237">
        <f t="shared" si="770"/>
        <v>33</v>
      </c>
      <c r="CM864" s="253">
        <f t="shared" si="771"/>
        <v>4.8487499999999999</v>
      </c>
      <c r="CN864" s="253" cm="1">
        <f t="array" ref="CN864">$BC864 * IF($AD864&lt;=2,
SUMPRODUCT(INDEX($AL$62:$AN$66,,$AE864), INDEX($AO$62:$AU$66,,$AD864), 1 / ($AV$62:$AV$66*CM864 + (1-$AV$62:$AV$66)*CI864), N($AK$62:$AK$66&gt;$AI864)),
SUMPRODUCT(INDEX($AL$47:$AN$56,,$AE864), INDEX($AO$47:$AU$56,,$AD864), 1 / ($AW$47:$AW$56*CM864 + (1-$AW$47:$AW$56)*CI864), N($AK$47:$AK$56&gt;$AI864))
) / 1000</f>
        <v>0</v>
      </c>
      <c r="CO864" s="253" cm="1">
        <f t="array" ref="CO864">$BC864 * IF($AD864&lt;=2,
SUMPRODUCT(INDEX($AL$23:$AN$61,,$AE864), INDEX($AO$23:$AU$61,,$AD864), 1 / ($AV$23:$AV$61*CM864), N($AK$23:$AK$61&gt;$AI864)),
SUMPRODUCT(INDEX($AL$23:$AN$46,,$AE864), INDEX($AO$23:$AU$46,,$AD864), 1 / ($AW$23:$AW$46*CM864), N($AK$23:$AK$46&gt;$AI864))
) / 1000</f>
        <v>0</v>
      </c>
      <c r="CP864" s="237">
        <f t="shared" si="772"/>
        <v>0</v>
      </c>
      <c r="CQ864" s="210"/>
    </row>
    <row r="865" spans="1:95" s="76" customFormat="1" ht="14.25" customHeight="1" x14ac:dyDescent="0.2">
      <c r="A865" s="238" t="b">
        <f t="shared" si="776"/>
        <v>0</v>
      </c>
      <c r="B865" s="239">
        <v>843</v>
      </c>
      <c r="C865" s="258"/>
      <c r="D865" s="258"/>
      <c r="E865" s="240"/>
      <c r="F865" s="241" t="str">
        <f>IF(ISBLANK(E865), "", VLOOKUP(E865, Z!$A$2:$C$4127, 3, FALSE))</f>
        <v/>
      </c>
      <c r="G865" s="242"/>
      <c r="H865" s="242"/>
      <c r="I865" s="243"/>
      <c r="J865" s="244"/>
      <c r="K865" s="259"/>
      <c r="L865" s="260"/>
      <c r="M865" s="247" t="str" cm="1">
        <f t="array" ref="M865">IF($K865&gt;0, INDEX(Clean,1+AG865,$C$1), "")</f>
        <v/>
      </c>
      <c r="N865" s="245"/>
      <c r="O865" s="245"/>
      <c r="P865" s="246"/>
      <c r="Q865" s="248">
        <f t="shared" si="749"/>
        <v>0</v>
      </c>
      <c r="R865" s="247" t="str" cm="1">
        <f t="array" ref="R865">IF($K865&gt;0, INDEX(Clean,1+AH865,$C$1), "")</f>
        <v/>
      </c>
      <c r="S865" s="245"/>
      <c r="T865" s="245"/>
      <c r="U865" s="246"/>
      <c r="V865" s="248">
        <f t="shared" si="750"/>
        <v>0</v>
      </c>
      <c r="W865" s="261"/>
      <c r="X865" s="258"/>
      <c r="Y865" s="240"/>
      <c r="Z865" s="241" t="str">
        <f>IF(ISBLANK(Y865), "", VLOOKUP(Y865, Z!$A$2:$C$4127, 3, FALSE))</f>
        <v/>
      </c>
      <c r="AA865" s="262"/>
      <c r="AB865" s="249">
        <f t="shared" si="785"/>
        <v>0</v>
      </c>
      <c r="AC865" s="210"/>
      <c r="AD865" s="236">
        <f t="shared" si="773"/>
        <v>1</v>
      </c>
      <c r="AE865" s="236">
        <f t="shared" si="774"/>
        <v>1</v>
      </c>
      <c r="AF865" s="236">
        <f t="shared" si="775"/>
        <v>0</v>
      </c>
      <c r="AG865" s="236">
        <v>1</v>
      </c>
      <c r="AH865" s="236">
        <v>0</v>
      </c>
      <c r="AI865" s="236">
        <f t="shared" si="751"/>
        <v>-100</v>
      </c>
      <c r="AJ865" s="210"/>
      <c r="AK865" s="254"/>
      <c r="AL865" s="254"/>
      <c r="AM865" s="255"/>
      <c r="AN865" s="255"/>
      <c r="AO865" s="255"/>
      <c r="AP865" s="255"/>
      <c r="AQ865" s="255"/>
      <c r="AR865" s="255"/>
      <c r="AS865" s="255"/>
      <c r="AT865" s="255"/>
      <c r="AU865" s="255"/>
      <c r="AV865" s="255"/>
      <c r="AW865" s="255"/>
      <c r="AX865" s="210"/>
      <c r="AY865" s="236" cm="1">
        <f t="array" ref="AY865">INDEX(Use, $AD865, 4)</f>
        <v>7</v>
      </c>
      <c r="AZ865" s="236">
        <f t="shared" si="752"/>
        <v>32</v>
      </c>
      <c r="BA865" s="236">
        <f t="shared" si="777"/>
        <v>13</v>
      </c>
      <c r="BB865" s="236">
        <f t="shared" si="778"/>
        <v>0</v>
      </c>
      <c r="BC865" s="252" cm="1">
        <f t="array" ref="BC865">K865/IF($L865&gt;0, INDEX($AO$23:$AU$77, $L865+20, $AD865), 1)</f>
        <v>0</v>
      </c>
      <c r="BD865" s="237">
        <f t="shared" si="753"/>
        <v>0</v>
      </c>
      <c r="BE865" s="236">
        <v>35</v>
      </c>
      <c r="BF865" s="237">
        <f t="shared" si="754"/>
        <v>52.55</v>
      </c>
      <c r="BG865" s="253">
        <f t="shared" si="755"/>
        <v>2.7676728869374316</v>
      </c>
      <c r="BH865" s="253" cm="1">
        <f t="array" ref="BH865">$BC865 * SUMPRODUCT(INDEX($AL$77:$AN$82,,$AE865),INDEX($AO$77:$AU$82,,$AD865), N($AK$77:$AK$82&gt;$AI865)) / BG865 / 1000</f>
        <v>0</v>
      </c>
      <c r="BI865" s="250">
        <f t="shared" si="779"/>
        <v>30</v>
      </c>
      <c r="BJ865" s="237">
        <f t="shared" si="756"/>
        <v>46.033333333333331</v>
      </c>
      <c r="BK865" s="253">
        <f t="shared" si="757"/>
        <v>3.2297395388556791</v>
      </c>
      <c r="BL865" s="253" cm="1">
        <f t="array" ref="BL865">$BC865 * IF($AD865&lt;=2,
SUMPRODUCT(INDEX($AL$72:$AN$76,,$AE865), INDEX($AO$72:$AU$76,,$AD865), 1 / ($AV$72:$AV$76*BK865 + (1-$AV$72:$AV$76)*BG865), N($AK$72:$AK$76&gt;$AI865)),
SUMPRODUCT(INDEX($AL$67:$AN$76,,$AE865), INDEX($AO$67:$AU$76,,$AD865), 1 / ($AW$67:$AW$76*BK865 + (1-$AW$67:$AW$76)*BG865), N($AK$67:$AK$76&gt;$AI865))
) / 1000</f>
        <v>0</v>
      </c>
      <c r="BM865" s="250">
        <f t="shared" si="780"/>
        <v>25</v>
      </c>
      <c r="BN865" s="237">
        <f t="shared" si="758"/>
        <v>39.516666666666666</v>
      </c>
      <c r="BO865" s="253">
        <f t="shared" si="759"/>
        <v>3.877011788826243</v>
      </c>
      <c r="BP865" s="253" cm="1">
        <f t="array" ref="BP865">$BC865 * IF($AD865&lt;=2,
SUMPRODUCT(INDEX($AL$67:$AN$71,,$AE865), INDEX($AO$67:$AU$71,,$AD865), 1 / ($AV$67:$AV$71*BO865 + (1-$AV$67:$AV$71)*BK865), N($AK$67:$AK$71&gt;$AI865)),
SUMPRODUCT(INDEX($AL$57:$AN$66,,$AE865), INDEX($AO$57:$AU$66,,$AD865), 1 / ($AW$57:$AW$66*BO865 + (1-$AW$57:$AW$66)*BK865), N($AK$57:$AK$66&gt;$AI865))
) / 1000</f>
        <v>0</v>
      </c>
      <c r="BQ865" s="250">
        <f t="shared" si="781"/>
        <v>20</v>
      </c>
      <c r="BR865" s="237">
        <f t="shared" si="760"/>
        <v>33</v>
      </c>
      <c r="BS865" s="253">
        <f t="shared" si="761"/>
        <v>4.8487499999999999</v>
      </c>
      <c r="BT865" s="253" cm="1">
        <f t="array" ref="BT865">$BC865 * IF($AD865&lt;=2,
SUMPRODUCT(INDEX($AL$62:$AN$66,,$AE865), INDEX($AO$62:$AU$66,,$AD865), 1 / ($AV$62:$AV$66*BS865 + (1-$AV$62:$AV$66)*BO865), N($AK$62:$AK$66&gt;$AI865)),
SUMPRODUCT(INDEX($AL$47:$AN$56,,$AE865), INDEX($AO$47:$AU$56,,$AD865), 1 / ($AW$47:$AW$56*BS865 + (1-$AW$47:$AW$56)*BO865), N($AK$47:$AK$56&gt;$AI865))
) / 1000</f>
        <v>0</v>
      </c>
      <c r="BU865" s="253" cm="1">
        <f t="array" ref="BU865">$BC865 * IF($AD865&lt;=2,
SUMPRODUCT(INDEX($AL$23:$AN$61,,$AE865), INDEX($AO$23:$AU$61,,$AD865), 1 / ($AV$23:$AV$61*BS865), N($AK$23:$AK$61&gt;$AI865)),
SUMPRODUCT(INDEX($AL$23:$AN$46,,$AE865), INDEX($AO$23:$AU$46,,$AD865), 1 / ($AW$23:$AW$46*BS865), N($AK$23:$AK$46&gt;$AI865))
) / 1000</f>
        <v>0</v>
      </c>
      <c r="BV865" s="237">
        <f t="shared" si="762"/>
        <v>0</v>
      </c>
      <c r="BW865" s="210"/>
      <c r="BX865" s="237">
        <f t="shared" si="763"/>
        <v>0</v>
      </c>
      <c r="BY865" s="236">
        <v>35</v>
      </c>
      <c r="BZ865" s="237">
        <f t="shared" si="764"/>
        <v>48</v>
      </c>
      <c r="CA865" s="253">
        <f t="shared" si="765"/>
        <v>3.0748170731707316</v>
      </c>
      <c r="CB865" s="253" cm="1">
        <f t="array" ref="CB865">$BC865 * SUMPRODUCT(INDEX($AL$77:$AN$82,,$AE865),INDEX($AO$77:$AU$82,,$AD865), N($AK$77:$AK$82&gt;$AI865)) / CA865 / 1000</f>
        <v>0</v>
      </c>
      <c r="CC865" s="250">
        <f t="shared" si="782"/>
        <v>30</v>
      </c>
      <c r="CD865" s="237">
        <f t="shared" si="766"/>
        <v>43</v>
      </c>
      <c r="CE865" s="253">
        <f t="shared" si="767"/>
        <v>3.5018750000000001</v>
      </c>
      <c r="CF865" s="253" cm="1">
        <f t="array" ref="CF865">$BC865 * IF($AD865&lt;=2,
SUMPRODUCT(INDEX($AL$72:$AN$76,,$AE865), INDEX($AO$72:$AU$76,,$AD865), 1 / ($AV$72:$AV$76*CE865 + (1-$AV$72:$AV$76)*CA865), N($AK$72:$AK$76&gt;$AI865)),
SUMPRODUCT(INDEX($AL$67:$AN$76,,$AE865), INDEX($AO$67:$AU$76,,$AD865), 1 / ($AW$67:$AW$76*CE865 + (1-$AW$67:$AW$76)*CA865), N($AK$67:$AK$76&gt;$AI865))
) / 1000</f>
        <v>0</v>
      </c>
      <c r="CG865" s="250">
        <f t="shared" si="783"/>
        <v>25</v>
      </c>
      <c r="CH865" s="237">
        <f t="shared" si="768"/>
        <v>38</v>
      </c>
      <c r="CI865" s="253">
        <f t="shared" si="769"/>
        <v>4.0666935483870965</v>
      </c>
      <c r="CJ865" s="253" cm="1">
        <f t="array" ref="CJ865">$BC865 * IF($AD865&lt;=2,
SUMPRODUCT(INDEX($AL$67:$AN$71,,$AE865), INDEX($AO$67:$AU$71,,$AD865), 1 / ($AV$67:$AV$71*CI865 + (1-$AV$67:$AV$71)*CE865), N($AK$67:$AK$71&gt;$AI865)),
SUMPRODUCT(INDEX($AL$57:$AN$66,,$AE865), INDEX($AO$57:$AU$66,,$AD865), 1 / ($AW$57:$AW$66*CI865 + (1-$AW$57:$AW$66)*CE865), N($AK$57:$AK$66&gt;$AI865))
) / 1000</f>
        <v>0</v>
      </c>
      <c r="CK865" s="250">
        <f t="shared" si="784"/>
        <v>20</v>
      </c>
      <c r="CL865" s="237">
        <f t="shared" si="770"/>
        <v>33</v>
      </c>
      <c r="CM865" s="253">
        <f t="shared" si="771"/>
        <v>4.8487499999999999</v>
      </c>
      <c r="CN865" s="253" cm="1">
        <f t="array" ref="CN865">$BC865 * IF($AD865&lt;=2,
SUMPRODUCT(INDEX($AL$62:$AN$66,,$AE865), INDEX($AO$62:$AU$66,,$AD865), 1 / ($AV$62:$AV$66*CM865 + (1-$AV$62:$AV$66)*CI865), N($AK$62:$AK$66&gt;$AI865)),
SUMPRODUCT(INDEX($AL$47:$AN$56,,$AE865), INDEX($AO$47:$AU$56,,$AD865), 1 / ($AW$47:$AW$56*CM865 + (1-$AW$47:$AW$56)*CI865), N($AK$47:$AK$56&gt;$AI865))
) / 1000</f>
        <v>0</v>
      </c>
      <c r="CO865" s="253" cm="1">
        <f t="array" ref="CO865">$BC865 * IF($AD865&lt;=2,
SUMPRODUCT(INDEX($AL$23:$AN$61,,$AE865), INDEX($AO$23:$AU$61,,$AD865), 1 / ($AV$23:$AV$61*CM865), N($AK$23:$AK$61&gt;$AI865)),
SUMPRODUCT(INDEX($AL$23:$AN$46,,$AE865), INDEX($AO$23:$AU$46,,$AD865), 1 / ($AW$23:$AW$46*CM865), N($AK$23:$AK$46&gt;$AI865))
) / 1000</f>
        <v>0</v>
      </c>
      <c r="CP865" s="237">
        <f t="shared" si="772"/>
        <v>0</v>
      </c>
      <c r="CQ865" s="210"/>
    </row>
    <row r="866" spans="1:95" s="76" customFormat="1" ht="14.25" customHeight="1" x14ac:dyDescent="0.2">
      <c r="A866" s="238" t="b">
        <f t="shared" si="776"/>
        <v>0</v>
      </c>
      <c r="B866" s="239">
        <v>844</v>
      </c>
      <c r="C866" s="258"/>
      <c r="D866" s="258"/>
      <c r="E866" s="240"/>
      <c r="F866" s="241" t="str">
        <f>IF(ISBLANK(E866), "", VLOOKUP(E866, Z!$A$2:$C$4127, 3, FALSE))</f>
        <v/>
      </c>
      <c r="G866" s="242"/>
      <c r="H866" s="242"/>
      <c r="I866" s="243"/>
      <c r="J866" s="244"/>
      <c r="K866" s="259"/>
      <c r="L866" s="260"/>
      <c r="M866" s="247" t="str" cm="1">
        <f t="array" ref="M866">IF($K866&gt;0, INDEX(Clean,1+AG866,$C$1), "")</f>
        <v/>
      </c>
      <c r="N866" s="245"/>
      <c r="O866" s="245"/>
      <c r="P866" s="246"/>
      <c r="Q866" s="248">
        <f t="shared" si="749"/>
        <v>0</v>
      </c>
      <c r="R866" s="247" t="str" cm="1">
        <f t="array" ref="R866">IF($K866&gt;0, INDEX(Clean,1+AH866,$C$1), "")</f>
        <v/>
      </c>
      <c r="S866" s="245"/>
      <c r="T866" s="245"/>
      <c r="U866" s="246"/>
      <c r="V866" s="248">
        <f t="shared" si="750"/>
        <v>0</v>
      </c>
      <c r="W866" s="261"/>
      <c r="X866" s="258"/>
      <c r="Y866" s="240"/>
      <c r="Z866" s="241" t="str">
        <f>IF(ISBLANK(Y866), "", VLOOKUP(Y866, Z!$A$2:$C$4127, 3, FALSE))</f>
        <v/>
      </c>
      <c r="AA866" s="262"/>
      <c r="AB866" s="249">
        <f t="shared" si="785"/>
        <v>0</v>
      </c>
      <c r="AC866" s="210"/>
      <c r="AD866" s="236">
        <f t="shared" si="773"/>
        <v>1</v>
      </c>
      <c r="AE866" s="236">
        <f t="shared" si="774"/>
        <v>1</v>
      </c>
      <c r="AF866" s="236">
        <f t="shared" si="775"/>
        <v>0</v>
      </c>
      <c r="AG866" s="236">
        <v>1</v>
      </c>
      <c r="AH866" s="236">
        <v>0</v>
      </c>
      <c r="AI866" s="236">
        <f t="shared" si="751"/>
        <v>-100</v>
      </c>
      <c r="AJ866" s="210"/>
      <c r="AK866" s="254"/>
      <c r="AL866" s="254"/>
      <c r="AM866" s="255"/>
      <c r="AN866" s="255"/>
      <c r="AO866" s="255"/>
      <c r="AP866" s="255"/>
      <c r="AQ866" s="255"/>
      <c r="AR866" s="255"/>
      <c r="AS866" s="255"/>
      <c r="AT866" s="255"/>
      <c r="AU866" s="255"/>
      <c r="AV866" s="255"/>
      <c r="AW866" s="255"/>
      <c r="AX866" s="210"/>
      <c r="AY866" s="236" cm="1">
        <f t="array" ref="AY866">INDEX(Use, $AD866, 4)</f>
        <v>7</v>
      </c>
      <c r="AZ866" s="236">
        <f t="shared" si="752"/>
        <v>32</v>
      </c>
      <c r="BA866" s="236">
        <f t="shared" si="777"/>
        <v>13</v>
      </c>
      <c r="BB866" s="236">
        <f t="shared" si="778"/>
        <v>0</v>
      </c>
      <c r="BC866" s="252" cm="1">
        <f t="array" ref="BC866">K866/IF($L866&gt;0, INDEX($AO$23:$AU$77, $L866+20, $AD866), 1)</f>
        <v>0</v>
      </c>
      <c r="BD866" s="237">
        <f t="shared" si="753"/>
        <v>0</v>
      </c>
      <c r="BE866" s="236">
        <v>35</v>
      </c>
      <c r="BF866" s="237">
        <f t="shared" si="754"/>
        <v>52.55</v>
      </c>
      <c r="BG866" s="253">
        <f t="shared" si="755"/>
        <v>2.7676728869374316</v>
      </c>
      <c r="BH866" s="253" cm="1">
        <f t="array" ref="BH866">$BC866 * SUMPRODUCT(INDEX($AL$77:$AN$82,,$AE866),INDEX($AO$77:$AU$82,,$AD866), N($AK$77:$AK$82&gt;$AI866)) / BG866 / 1000</f>
        <v>0</v>
      </c>
      <c r="BI866" s="250">
        <f t="shared" si="779"/>
        <v>30</v>
      </c>
      <c r="BJ866" s="237">
        <f t="shared" si="756"/>
        <v>46.033333333333331</v>
      </c>
      <c r="BK866" s="253">
        <f t="shared" si="757"/>
        <v>3.2297395388556791</v>
      </c>
      <c r="BL866" s="253" cm="1">
        <f t="array" ref="BL866">$BC866 * IF($AD866&lt;=2,
SUMPRODUCT(INDEX($AL$72:$AN$76,,$AE866), INDEX($AO$72:$AU$76,,$AD866), 1 / ($AV$72:$AV$76*BK866 + (1-$AV$72:$AV$76)*BG866), N($AK$72:$AK$76&gt;$AI866)),
SUMPRODUCT(INDEX($AL$67:$AN$76,,$AE866), INDEX($AO$67:$AU$76,,$AD866), 1 / ($AW$67:$AW$76*BK866 + (1-$AW$67:$AW$76)*BG866), N($AK$67:$AK$76&gt;$AI866))
) / 1000</f>
        <v>0</v>
      </c>
      <c r="BM866" s="250">
        <f t="shared" si="780"/>
        <v>25</v>
      </c>
      <c r="BN866" s="237">
        <f t="shared" si="758"/>
        <v>39.516666666666666</v>
      </c>
      <c r="BO866" s="253">
        <f t="shared" si="759"/>
        <v>3.877011788826243</v>
      </c>
      <c r="BP866" s="253" cm="1">
        <f t="array" ref="BP866">$BC866 * IF($AD866&lt;=2,
SUMPRODUCT(INDEX($AL$67:$AN$71,,$AE866), INDEX($AO$67:$AU$71,,$AD866), 1 / ($AV$67:$AV$71*BO866 + (1-$AV$67:$AV$71)*BK866), N($AK$67:$AK$71&gt;$AI866)),
SUMPRODUCT(INDEX($AL$57:$AN$66,,$AE866), INDEX($AO$57:$AU$66,,$AD866), 1 / ($AW$57:$AW$66*BO866 + (1-$AW$57:$AW$66)*BK866), N($AK$57:$AK$66&gt;$AI866))
) / 1000</f>
        <v>0</v>
      </c>
      <c r="BQ866" s="250">
        <f t="shared" si="781"/>
        <v>20</v>
      </c>
      <c r="BR866" s="237">
        <f t="shared" si="760"/>
        <v>33</v>
      </c>
      <c r="BS866" s="253">
        <f t="shared" si="761"/>
        <v>4.8487499999999999</v>
      </c>
      <c r="BT866" s="253" cm="1">
        <f t="array" ref="BT866">$BC866 * IF($AD866&lt;=2,
SUMPRODUCT(INDEX($AL$62:$AN$66,,$AE866), INDEX($AO$62:$AU$66,,$AD866), 1 / ($AV$62:$AV$66*BS866 + (1-$AV$62:$AV$66)*BO866), N($AK$62:$AK$66&gt;$AI866)),
SUMPRODUCT(INDEX($AL$47:$AN$56,,$AE866), INDEX($AO$47:$AU$56,,$AD866), 1 / ($AW$47:$AW$56*BS866 + (1-$AW$47:$AW$56)*BO866), N($AK$47:$AK$56&gt;$AI866))
) / 1000</f>
        <v>0</v>
      </c>
      <c r="BU866" s="253" cm="1">
        <f t="array" ref="BU866">$BC866 * IF($AD866&lt;=2,
SUMPRODUCT(INDEX($AL$23:$AN$61,,$AE866), INDEX($AO$23:$AU$61,,$AD866), 1 / ($AV$23:$AV$61*BS866), N($AK$23:$AK$61&gt;$AI866)),
SUMPRODUCT(INDEX($AL$23:$AN$46,,$AE866), INDEX($AO$23:$AU$46,,$AD866), 1 / ($AW$23:$AW$46*BS866), N($AK$23:$AK$46&gt;$AI866))
) / 1000</f>
        <v>0</v>
      </c>
      <c r="BV866" s="237">
        <f t="shared" si="762"/>
        <v>0</v>
      </c>
      <c r="BW866" s="210"/>
      <c r="BX866" s="237">
        <f t="shared" si="763"/>
        <v>0</v>
      </c>
      <c r="BY866" s="236">
        <v>35</v>
      </c>
      <c r="BZ866" s="237">
        <f t="shared" si="764"/>
        <v>48</v>
      </c>
      <c r="CA866" s="253">
        <f t="shared" si="765"/>
        <v>3.0748170731707316</v>
      </c>
      <c r="CB866" s="253" cm="1">
        <f t="array" ref="CB866">$BC866 * SUMPRODUCT(INDEX($AL$77:$AN$82,,$AE866),INDEX($AO$77:$AU$82,,$AD866), N($AK$77:$AK$82&gt;$AI866)) / CA866 / 1000</f>
        <v>0</v>
      </c>
      <c r="CC866" s="250">
        <f t="shared" si="782"/>
        <v>30</v>
      </c>
      <c r="CD866" s="237">
        <f t="shared" si="766"/>
        <v>43</v>
      </c>
      <c r="CE866" s="253">
        <f t="shared" si="767"/>
        <v>3.5018750000000001</v>
      </c>
      <c r="CF866" s="253" cm="1">
        <f t="array" ref="CF866">$BC866 * IF($AD866&lt;=2,
SUMPRODUCT(INDEX($AL$72:$AN$76,,$AE866), INDEX($AO$72:$AU$76,,$AD866), 1 / ($AV$72:$AV$76*CE866 + (1-$AV$72:$AV$76)*CA866), N($AK$72:$AK$76&gt;$AI866)),
SUMPRODUCT(INDEX($AL$67:$AN$76,,$AE866), INDEX($AO$67:$AU$76,,$AD866), 1 / ($AW$67:$AW$76*CE866 + (1-$AW$67:$AW$76)*CA866), N($AK$67:$AK$76&gt;$AI866))
) / 1000</f>
        <v>0</v>
      </c>
      <c r="CG866" s="250">
        <f t="shared" si="783"/>
        <v>25</v>
      </c>
      <c r="CH866" s="237">
        <f t="shared" si="768"/>
        <v>38</v>
      </c>
      <c r="CI866" s="253">
        <f t="shared" si="769"/>
        <v>4.0666935483870965</v>
      </c>
      <c r="CJ866" s="253" cm="1">
        <f t="array" ref="CJ866">$BC866 * IF($AD866&lt;=2,
SUMPRODUCT(INDEX($AL$67:$AN$71,,$AE866), INDEX($AO$67:$AU$71,,$AD866), 1 / ($AV$67:$AV$71*CI866 + (1-$AV$67:$AV$71)*CE866), N($AK$67:$AK$71&gt;$AI866)),
SUMPRODUCT(INDEX($AL$57:$AN$66,,$AE866), INDEX($AO$57:$AU$66,,$AD866), 1 / ($AW$57:$AW$66*CI866 + (1-$AW$57:$AW$66)*CE866), N($AK$57:$AK$66&gt;$AI866))
) / 1000</f>
        <v>0</v>
      </c>
      <c r="CK866" s="250">
        <f t="shared" si="784"/>
        <v>20</v>
      </c>
      <c r="CL866" s="237">
        <f t="shared" si="770"/>
        <v>33</v>
      </c>
      <c r="CM866" s="253">
        <f t="shared" si="771"/>
        <v>4.8487499999999999</v>
      </c>
      <c r="CN866" s="253" cm="1">
        <f t="array" ref="CN866">$BC866 * IF($AD866&lt;=2,
SUMPRODUCT(INDEX($AL$62:$AN$66,,$AE866), INDEX($AO$62:$AU$66,,$AD866), 1 / ($AV$62:$AV$66*CM866 + (1-$AV$62:$AV$66)*CI866), N($AK$62:$AK$66&gt;$AI866)),
SUMPRODUCT(INDEX($AL$47:$AN$56,,$AE866), INDEX($AO$47:$AU$56,,$AD866), 1 / ($AW$47:$AW$56*CM866 + (1-$AW$47:$AW$56)*CI866), N($AK$47:$AK$56&gt;$AI866))
) / 1000</f>
        <v>0</v>
      </c>
      <c r="CO866" s="253" cm="1">
        <f t="array" ref="CO866">$BC866 * IF($AD866&lt;=2,
SUMPRODUCT(INDEX($AL$23:$AN$61,,$AE866), INDEX($AO$23:$AU$61,,$AD866), 1 / ($AV$23:$AV$61*CM866), N($AK$23:$AK$61&gt;$AI866)),
SUMPRODUCT(INDEX($AL$23:$AN$46,,$AE866), INDEX($AO$23:$AU$46,,$AD866), 1 / ($AW$23:$AW$46*CM866), N($AK$23:$AK$46&gt;$AI866))
) / 1000</f>
        <v>0</v>
      </c>
      <c r="CP866" s="237">
        <f t="shared" si="772"/>
        <v>0</v>
      </c>
      <c r="CQ866" s="210"/>
    </row>
    <row r="867" spans="1:95" s="76" customFormat="1" ht="14.25" customHeight="1" x14ac:dyDescent="0.2">
      <c r="A867" s="238" t="b">
        <f t="shared" si="776"/>
        <v>0</v>
      </c>
      <c r="B867" s="239">
        <v>845</v>
      </c>
      <c r="C867" s="258"/>
      <c r="D867" s="258"/>
      <c r="E867" s="240"/>
      <c r="F867" s="241" t="str">
        <f>IF(ISBLANK(E867), "", VLOOKUP(E867, Z!$A$2:$C$4127, 3, FALSE))</f>
        <v/>
      </c>
      <c r="G867" s="242"/>
      <c r="H867" s="242"/>
      <c r="I867" s="243"/>
      <c r="J867" s="244"/>
      <c r="K867" s="259"/>
      <c r="L867" s="260"/>
      <c r="M867" s="247" t="str" cm="1">
        <f t="array" ref="M867">IF($K867&gt;0, INDEX(Clean,1+AG867,$C$1), "")</f>
        <v/>
      </c>
      <c r="N867" s="245"/>
      <c r="O867" s="245"/>
      <c r="P867" s="246"/>
      <c r="Q867" s="248">
        <f t="shared" si="749"/>
        <v>0</v>
      </c>
      <c r="R867" s="247" t="str" cm="1">
        <f t="array" ref="R867">IF($K867&gt;0, INDEX(Clean,1+AH867,$C$1), "")</f>
        <v/>
      </c>
      <c r="S867" s="245"/>
      <c r="T867" s="245"/>
      <c r="U867" s="246"/>
      <c r="V867" s="248">
        <f t="shared" si="750"/>
        <v>0</v>
      </c>
      <c r="W867" s="261"/>
      <c r="X867" s="258"/>
      <c r="Y867" s="240"/>
      <c r="Z867" s="241" t="str">
        <f>IF(ISBLANK(Y867), "", VLOOKUP(Y867, Z!$A$2:$C$4127, 3, FALSE))</f>
        <v/>
      </c>
      <c r="AA867" s="262"/>
      <c r="AB867" s="249">
        <f t="shared" si="785"/>
        <v>0</v>
      </c>
      <c r="AC867" s="210"/>
      <c r="AD867" s="236">
        <f t="shared" si="773"/>
        <v>1</v>
      </c>
      <c r="AE867" s="236">
        <f t="shared" si="774"/>
        <v>1</v>
      </c>
      <c r="AF867" s="236">
        <f t="shared" si="775"/>
        <v>0</v>
      </c>
      <c r="AG867" s="236">
        <v>1</v>
      </c>
      <c r="AH867" s="236">
        <v>0</v>
      </c>
      <c r="AI867" s="236">
        <f t="shared" si="751"/>
        <v>-100</v>
      </c>
      <c r="AJ867" s="210"/>
      <c r="AK867" s="254"/>
      <c r="AL867" s="254"/>
      <c r="AM867" s="255"/>
      <c r="AN867" s="255"/>
      <c r="AO867" s="255"/>
      <c r="AP867" s="255"/>
      <c r="AQ867" s="255"/>
      <c r="AR867" s="255"/>
      <c r="AS867" s="255"/>
      <c r="AT867" s="255"/>
      <c r="AU867" s="255"/>
      <c r="AV867" s="255"/>
      <c r="AW867" s="255"/>
      <c r="AX867" s="210"/>
      <c r="AY867" s="236" cm="1">
        <f t="array" ref="AY867">INDEX(Use, $AD867, 4)</f>
        <v>7</v>
      </c>
      <c r="AZ867" s="236">
        <f t="shared" si="752"/>
        <v>32</v>
      </c>
      <c r="BA867" s="236">
        <f t="shared" si="777"/>
        <v>13</v>
      </c>
      <c r="BB867" s="236">
        <f t="shared" si="778"/>
        <v>0</v>
      </c>
      <c r="BC867" s="252" cm="1">
        <f t="array" ref="BC867">K867/IF($L867&gt;0, INDEX($AO$23:$AU$77, $L867+20, $AD867), 1)</f>
        <v>0</v>
      </c>
      <c r="BD867" s="237">
        <f t="shared" si="753"/>
        <v>0</v>
      </c>
      <c r="BE867" s="236">
        <v>35</v>
      </c>
      <c r="BF867" s="237">
        <f t="shared" si="754"/>
        <v>52.55</v>
      </c>
      <c r="BG867" s="253">
        <f t="shared" si="755"/>
        <v>2.7676728869374316</v>
      </c>
      <c r="BH867" s="253" cm="1">
        <f t="array" ref="BH867">$BC867 * SUMPRODUCT(INDEX($AL$77:$AN$82,,$AE867),INDEX($AO$77:$AU$82,,$AD867), N($AK$77:$AK$82&gt;$AI867)) / BG867 / 1000</f>
        <v>0</v>
      </c>
      <c r="BI867" s="250">
        <f t="shared" si="779"/>
        <v>30</v>
      </c>
      <c r="BJ867" s="237">
        <f t="shared" si="756"/>
        <v>46.033333333333331</v>
      </c>
      <c r="BK867" s="253">
        <f t="shared" si="757"/>
        <v>3.2297395388556791</v>
      </c>
      <c r="BL867" s="253" cm="1">
        <f t="array" ref="BL867">$BC867 * IF($AD867&lt;=2,
SUMPRODUCT(INDEX($AL$72:$AN$76,,$AE867), INDEX($AO$72:$AU$76,,$AD867), 1 / ($AV$72:$AV$76*BK867 + (1-$AV$72:$AV$76)*BG867), N($AK$72:$AK$76&gt;$AI867)),
SUMPRODUCT(INDEX($AL$67:$AN$76,,$AE867), INDEX($AO$67:$AU$76,,$AD867), 1 / ($AW$67:$AW$76*BK867 + (1-$AW$67:$AW$76)*BG867), N($AK$67:$AK$76&gt;$AI867))
) / 1000</f>
        <v>0</v>
      </c>
      <c r="BM867" s="250">
        <f t="shared" si="780"/>
        <v>25</v>
      </c>
      <c r="BN867" s="237">
        <f t="shared" si="758"/>
        <v>39.516666666666666</v>
      </c>
      <c r="BO867" s="253">
        <f t="shared" si="759"/>
        <v>3.877011788826243</v>
      </c>
      <c r="BP867" s="253" cm="1">
        <f t="array" ref="BP867">$BC867 * IF($AD867&lt;=2,
SUMPRODUCT(INDEX($AL$67:$AN$71,,$AE867), INDEX($AO$67:$AU$71,,$AD867), 1 / ($AV$67:$AV$71*BO867 + (1-$AV$67:$AV$71)*BK867), N($AK$67:$AK$71&gt;$AI867)),
SUMPRODUCT(INDEX($AL$57:$AN$66,,$AE867), INDEX($AO$57:$AU$66,,$AD867), 1 / ($AW$57:$AW$66*BO867 + (1-$AW$57:$AW$66)*BK867), N($AK$57:$AK$66&gt;$AI867))
) / 1000</f>
        <v>0</v>
      </c>
      <c r="BQ867" s="250">
        <f t="shared" si="781"/>
        <v>20</v>
      </c>
      <c r="BR867" s="237">
        <f t="shared" si="760"/>
        <v>33</v>
      </c>
      <c r="BS867" s="253">
        <f t="shared" si="761"/>
        <v>4.8487499999999999</v>
      </c>
      <c r="BT867" s="253" cm="1">
        <f t="array" ref="BT867">$BC867 * IF($AD867&lt;=2,
SUMPRODUCT(INDEX($AL$62:$AN$66,,$AE867), INDEX($AO$62:$AU$66,,$AD867), 1 / ($AV$62:$AV$66*BS867 + (1-$AV$62:$AV$66)*BO867), N($AK$62:$AK$66&gt;$AI867)),
SUMPRODUCT(INDEX($AL$47:$AN$56,,$AE867), INDEX($AO$47:$AU$56,,$AD867), 1 / ($AW$47:$AW$56*BS867 + (1-$AW$47:$AW$56)*BO867), N($AK$47:$AK$56&gt;$AI867))
) / 1000</f>
        <v>0</v>
      </c>
      <c r="BU867" s="253" cm="1">
        <f t="array" ref="BU867">$BC867 * IF($AD867&lt;=2,
SUMPRODUCT(INDEX($AL$23:$AN$61,,$AE867), INDEX($AO$23:$AU$61,,$AD867), 1 / ($AV$23:$AV$61*BS867), N($AK$23:$AK$61&gt;$AI867)),
SUMPRODUCT(INDEX($AL$23:$AN$46,,$AE867), INDEX($AO$23:$AU$46,,$AD867), 1 / ($AW$23:$AW$46*BS867), N($AK$23:$AK$46&gt;$AI867))
) / 1000</f>
        <v>0</v>
      </c>
      <c r="BV867" s="237">
        <f t="shared" si="762"/>
        <v>0</v>
      </c>
      <c r="BW867" s="210"/>
      <c r="BX867" s="237">
        <f t="shared" si="763"/>
        <v>0</v>
      </c>
      <c r="BY867" s="236">
        <v>35</v>
      </c>
      <c r="BZ867" s="237">
        <f t="shared" si="764"/>
        <v>48</v>
      </c>
      <c r="CA867" s="253">
        <f t="shared" si="765"/>
        <v>3.0748170731707316</v>
      </c>
      <c r="CB867" s="253" cm="1">
        <f t="array" ref="CB867">$BC867 * SUMPRODUCT(INDEX($AL$77:$AN$82,,$AE867),INDEX($AO$77:$AU$82,,$AD867), N($AK$77:$AK$82&gt;$AI867)) / CA867 / 1000</f>
        <v>0</v>
      </c>
      <c r="CC867" s="250">
        <f t="shared" si="782"/>
        <v>30</v>
      </c>
      <c r="CD867" s="237">
        <f t="shared" si="766"/>
        <v>43</v>
      </c>
      <c r="CE867" s="253">
        <f t="shared" si="767"/>
        <v>3.5018750000000001</v>
      </c>
      <c r="CF867" s="253" cm="1">
        <f t="array" ref="CF867">$BC867 * IF($AD867&lt;=2,
SUMPRODUCT(INDEX($AL$72:$AN$76,,$AE867), INDEX($AO$72:$AU$76,,$AD867), 1 / ($AV$72:$AV$76*CE867 + (1-$AV$72:$AV$76)*CA867), N($AK$72:$AK$76&gt;$AI867)),
SUMPRODUCT(INDEX($AL$67:$AN$76,,$AE867), INDEX($AO$67:$AU$76,,$AD867), 1 / ($AW$67:$AW$76*CE867 + (1-$AW$67:$AW$76)*CA867), N($AK$67:$AK$76&gt;$AI867))
) / 1000</f>
        <v>0</v>
      </c>
      <c r="CG867" s="250">
        <f t="shared" si="783"/>
        <v>25</v>
      </c>
      <c r="CH867" s="237">
        <f t="shared" si="768"/>
        <v>38</v>
      </c>
      <c r="CI867" s="253">
        <f t="shared" si="769"/>
        <v>4.0666935483870965</v>
      </c>
      <c r="CJ867" s="253" cm="1">
        <f t="array" ref="CJ867">$BC867 * IF($AD867&lt;=2,
SUMPRODUCT(INDEX($AL$67:$AN$71,,$AE867), INDEX($AO$67:$AU$71,,$AD867), 1 / ($AV$67:$AV$71*CI867 + (1-$AV$67:$AV$71)*CE867), N($AK$67:$AK$71&gt;$AI867)),
SUMPRODUCT(INDEX($AL$57:$AN$66,,$AE867), INDEX($AO$57:$AU$66,,$AD867), 1 / ($AW$57:$AW$66*CI867 + (1-$AW$57:$AW$66)*CE867), N($AK$57:$AK$66&gt;$AI867))
) / 1000</f>
        <v>0</v>
      </c>
      <c r="CK867" s="250">
        <f t="shared" si="784"/>
        <v>20</v>
      </c>
      <c r="CL867" s="237">
        <f t="shared" si="770"/>
        <v>33</v>
      </c>
      <c r="CM867" s="253">
        <f t="shared" si="771"/>
        <v>4.8487499999999999</v>
      </c>
      <c r="CN867" s="253" cm="1">
        <f t="array" ref="CN867">$BC867 * IF($AD867&lt;=2,
SUMPRODUCT(INDEX($AL$62:$AN$66,,$AE867), INDEX($AO$62:$AU$66,,$AD867), 1 / ($AV$62:$AV$66*CM867 + (1-$AV$62:$AV$66)*CI867), N($AK$62:$AK$66&gt;$AI867)),
SUMPRODUCT(INDEX($AL$47:$AN$56,,$AE867), INDEX($AO$47:$AU$56,,$AD867), 1 / ($AW$47:$AW$56*CM867 + (1-$AW$47:$AW$56)*CI867), N($AK$47:$AK$56&gt;$AI867))
) / 1000</f>
        <v>0</v>
      </c>
      <c r="CO867" s="253" cm="1">
        <f t="array" ref="CO867">$BC867 * IF($AD867&lt;=2,
SUMPRODUCT(INDEX($AL$23:$AN$61,,$AE867), INDEX($AO$23:$AU$61,,$AD867), 1 / ($AV$23:$AV$61*CM867), N($AK$23:$AK$61&gt;$AI867)),
SUMPRODUCT(INDEX($AL$23:$AN$46,,$AE867), INDEX($AO$23:$AU$46,,$AD867), 1 / ($AW$23:$AW$46*CM867), N($AK$23:$AK$46&gt;$AI867))
) / 1000</f>
        <v>0</v>
      </c>
      <c r="CP867" s="237">
        <f t="shared" si="772"/>
        <v>0</v>
      </c>
      <c r="CQ867" s="210"/>
    </row>
    <row r="868" spans="1:95" s="76" customFormat="1" ht="14.25" customHeight="1" x14ac:dyDescent="0.2">
      <c r="A868" s="238" t="b">
        <f t="shared" si="776"/>
        <v>0</v>
      </c>
      <c r="B868" s="239">
        <v>846</v>
      </c>
      <c r="C868" s="258"/>
      <c r="D868" s="258"/>
      <c r="E868" s="240"/>
      <c r="F868" s="241" t="str">
        <f>IF(ISBLANK(E868), "", VLOOKUP(E868, Z!$A$2:$C$4127, 3, FALSE))</f>
        <v/>
      </c>
      <c r="G868" s="242"/>
      <c r="H868" s="242"/>
      <c r="I868" s="243"/>
      <c r="J868" s="244"/>
      <c r="K868" s="259"/>
      <c r="L868" s="260"/>
      <c r="M868" s="247" t="str" cm="1">
        <f t="array" ref="M868">IF($K868&gt;0, INDEX(Clean,1+AG868,$C$1), "")</f>
        <v/>
      </c>
      <c r="N868" s="245"/>
      <c r="O868" s="245"/>
      <c r="P868" s="246"/>
      <c r="Q868" s="248">
        <f t="shared" si="749"/>
        <v>0</v>
      </c>
      <c r="R868" s="247" t="str" cm="1">
        <f t="array" ref="R868">IF($K868&gt;0, INDEX(Clean,1+AH868,$C$1), "")</f>
        <v/>
      </c>
      <c r="S868" s="245"/>
      <c r="T868" s="245"/>
      <c r="U868" s="246"/>
      <c r="V868" s="248">
        <f t="shared" si="750"/>
        <v>0</v>
      </c>
      <c r="W868" s="261"/>
      <c r="X868" s="258"/>
      <c r="Y868" s="240"/>
      <c r="Z868" s="241" t="str">
        <f>IF(ISBLANK(Y868), "", VLOOKUP(Y868, Z!$A$2:$C$4127, 3, FALSE))</f>
        <v/>
      </c>
      <c r="AA868" s="262"/>
      <c r="AB868" s="249">
        <f t="shared" si="785"/>
        <v>0</v>
      </c>
      <c r="AC868" s="210"/>
      <c r="AD868" s="236">
        <f t="shared" si="773"/>
        <v>1</v>
      </c>
      <c r="AE868" s="236">
        <f t="shared" si="774"/>
        <v>1</v>
      </c>
      <c r="AF868" s="236">
        <f t="shared" si="775"/>
        <v>0</v>
      </c>
      <c r="AG868" s="236">
        <v>1</v>
      </c>
      <c r="AH868" s="236">
        <v>0</v>
      </c>
      <c r="AI868" s="236">
        <f t="shared" si="751"/>
        <v>-100</v>
      </c>
      <c r="AJ868" s="210"/>
      <c r="AK868" s="254"/>
      <c r="AL868" s="254"/>
      <c r="AM868" s="255"/>
      <c r="AN868" s="255"/>
      <c r="AO868" s="255"/>
      <c r="AP868" s="255"/>
      <c r="AQ868" s="255"/>
      <c r="AR868" s="255"/>
      <c r="AS868" s="255"/>
      <c r="AT868" s="255"/>
      <c r="AU868" s="255"/>
      <c r="AV868" s="255"/>
      <c r="AW868" s="255"/>
      <c r="AX868" s="210"/>
      <c r="AY868" s="236" cm="1">
        <f t="array" ref="AY868">INDEX(Use, $AD868, 4)</f>
        <v>7</v>
      </c>
      <c r="AZ868" s="236">
        <f t="shared" si="752"/>
        <v>32</v>
      </c>
      <c r="BA868" s="236">
        <f t="shared" si="777"/>
        <v>13</v>
      </c>
      <c r="BB868" s="236">
        <f t="shared" si="778"/>
        <v>0</v>
      </c>
      <c r="BC868" s="252" cm="1">
        <f t="array" ref="BC868">K868/IF($L868&gt;0, INDEX($AO$23:$AU$77, $L868+20, $AD868), 1)</f>
        <v>0</v>
      </c>
      <c r="BD868" s="237">
        <f t="shared" si="753"/>
        <v>0</v>
      </c>
      <c r="BE868" s="236">
        <v>35</v>
      </c>
      <c r="BF868" s="237">
        <f t="shared" si="754"/>
        <v>52.55</v>
      </c>
      <c r="BG868" s="253">
        <f t="shared" si="755"/>
        <v>2.7676728869374316</v>
      </c>
      <c r="BH868" s="253" cm="1">
        <f t="array" ref="BH868">$BC868 * SUMPRODUCT(INDEX($AL$77:$AN$82,,$AE868),INDEX($AO$77:$AU$82,,$AD868), N($AK$77:$AK$82&gt;$AI868)) / BG868 / 1000</f>
        <v>0</v>
      </c>
      <c r="BI868" s="250">
        <f t="shared" si="779"/>
        <v>30</v>
      </c>
      <c r="BJ868" s="237">
        <f t="shared" si="756"/>
        <v>46.033333333333331</v>
      </c>
      <c r="BK868" s="253">
        <f t="shared" si="757"/>
        <v>3.2297395388556791</v>
      </c>
      <c r="BL868" s="253" cm="1">
        <f t="array" ref="BL868">$BC868 * IF($AD868&lt;=2,
SUMPRODUCT(INDEX($AL$72:$AN$76,,$AE868), INDEX($AO$72:$AU$76,,$AD868), 1 / ($AV$72:$AV$76*BK868 + (1-$AV$72:$AV$76)*BG868), N($AK$72:$AK$76&gt;$AI868)),
SUMPRODUCT(INDEX($AL$67:$AN$76,,$AE868), INDEX($AO$67:$AU$76,,$AD868), 1 / ($AW$67:$AW$76*BK868 + (1-$AW$67:$AW$76)*BG868), N($AK$67:$AK$76&gt;$AI868))
) / 1000</f>
        <v>0</v>
      </c>
      <c r="BM868" s="250">
        <f t="shared" si="780"/>
        <v>25</v>
      </c>
      <c r="BN868" s="237">
        <f t="shared" si="758"/>
        <v>39.516666666666666</v>
      </c>
      <c r="BO868" s="253">
        <f t="shared" si="759"/>
        <v>3.877011788826243</v>
      </c>
      <c r="BP868" s="253" cm="1">
        <f t="array" ref="BP868">$BC868 * IF($AD868&lt;=2,
SUMPRODUCT(INDEX($AL$67:$AN$71,,$AE868), INDEX($AO$67:$AU$71,,$AD868), 1 / ($AV$67:$AV$71*BO868 + (1-$AV$67:$AV$71)*BK868), N($AK$67:$AK$71&gt;$AI868)),
SUMPRODUCT(INDEX($AL$57:$AN$66,,$AE868), INDEX($AO$57:$AU$66,,$AD868), 1 / ($AW$57:$AW$66*BO868 + (1-$AW$57:$AW$66)*BK868), N($AK$57:$AK$66&gt;$AI868))
) / 1000</f>
        <v>0</v>
      </c>
      <c r="BQ868" s="250">
        <f t="shared" si="781"/>
        <v>20</v>
      </c>
      <c r="BR868" s="237">
        <f t="shared" si="760"/>
        <v>33</v>
      </c>
      <c r="BS868" s="253">
        <f t="shared" si="761"/>
        <v>4.8487499999999999</v>
      </c>
      <c r="BT868" s="253" cm="1">
        <f t="array" ref="BT868">$BC868 * IF($AD868&lt;=2,
SUMPRODUCT(INDEX($AL$62:$AN$66,,$AE868), INDEX($AO$62:$AU$66,,$AD868), 1 / ($AV$62:$AV$66*BS868 + (1-$AV$62:$AV$66)*BO868), N($AK$62:$AK$66&gt;$AI868)),
SUMPRODUCT(INDEX($AL$47:$AN$56,,$AE868), INDEX($AO$47:$AU$56,,$AD868), 1 / ($AW$47:$AW$56*BS868 + (1-$AW$47:$AW$56)*BO868), N($AK$47:$AK$56&gt;$AI868))
) / 1000</f>
        <v>0</v>
      </c>
      <c r="BU868" s="253" cm="1">
        <f t="array" ref="BU868">$BC868 * IF($AD868&lt;=2,
SUMPRODUCT(INDEX($AL$23:$AN$61,,$AE868), INDEX($AO$23:$AU$61,,$AD868), 1 / ($AV$23:$AV$61*BS868), N($AK$23:$AK$61&gt;$AI868)),
SUMPRODUCT(INDEX($AL$23:$AN$46,,$AE868), INDEX($AO$23:$AU$46,,$AD868), 1 / ($AW$23:$AW$46*BS868), N($AK$23:$AK$46&gt;$AI868))
) / 1000</f>
        <v>0</v>
      </c>
      <c r="BV868" s="237">
        <f t="shared" si="762"/>
        <v>0</v>
      </c>
      <c r="BW868" s="210"/>
      <c r="BX868" s="237">
        <f t="shared" si="763"/>
        <v>0</v>
      </c>
      <c r="BY868" s="236">
        <v>35</v>
      </c>
      <c r="BZ868" s="237">
        <f t="shared" si="764"/>
        <v>48</v>
      </c>
      <c r="CA868" s="253">
        <f t="shared" si="765"/>
        <v>3.0748170731707316</v>
      </c>
      <c r="CB868" s="253" cm="1">
        <f t="array" ref="CB868">$BC868 * SUMPRODUCT(INDEX($AL$77:$AN$82,,$AE868),INDEX($AO$77:$AU$82,,$AD868), N($AK$77:$AK$82&gt;$AI868)) / CA868 / 1000</f>
        <v>0</v>
      </c>
      <c r="CC868" s="250">
        <f t="shared" si="782"/>
        <v>30</v>
      </c>
      <c r="CD868" s="237">
        <f t="shared" si="766"/>
        <v>43</v>
      </c>
      <c r="CE868" s="253">
        <f t="shared" si="767"/>
        <v>3.5018750000000001</v>
      </c>
      <c r="CF868" s="253" cm="1">
        <f t="array" ref="CF868">$BC868 * IF($AD868&lt;=2,
SUMPRODUCT(INDEX($AL$72:$AN$76,,$AE868), INDEX($AO$72:$AU$76,,$AD868), 1 / ($AV$72:$AV$76*CE868 + (1-$AV$72:$AV$76)*CA868), N($AK$72:$AK$76&gt;$AI868)),
SUMPRODUCT(INDEX($AL$67:$AN$76,,$AE868), INDEX($AO$67:$AU$76,,$AD868), 1 / ($AW$67:$AW$76*CE868 + (1-$AW$67:$AW$76)*CA868), N($AK$67:$AK$76&gt;$AI868))
) / 1000</f>
        <v>0</v>
      </c>
      <c r="CG868" s="250">
        <f t="shared" si="783"/>
        <v>25</v>
      </c>
      <c r="CH868" s="237">
        <f t="shared" si="768"/>
        <v>38</v>
      </c>
      <c r="CI868" s="253">
        <f t="shared" si="769"/>
        <v>4.0666935483870965</v>
      </c>
      <c r="CJ868" s="253" cm="1">
        <f t="array" ref="CJ868">$BC868 * IF($AD868&lt;=2,
SUMPRODUCT(INDEX($AL$67:$AN$71,,$AE868), INDEX($AO$67:$AU$71,,$AD868), 1 / ($AV$67:$AV$71*CI868 + (1-$AV$67:$AV$71)*CE868), N($AK$67:$AK$71&gt;$AI868)),
SUMPRODUCT(INDEX($AL$57:$AN$66,,$AE868), INDEX($AO$57:$AU$66,,$AD868), 1 / ($AW$57:$AW$66*CI868 + (1-$AW$57:$AW$66)*CE868), N($AK$57:$AK$66&gt;$AI868))
) / 1000</f>
        <v>0</v>
      </c>
      <c r="CK868" s="250">
        <f t="shared" si="784"/>
        <v>20</v>
      </c>
      <c r="CL868" s="237">
        <f t="shared" si="770"/>
        <v>33</v>
      </c>
      <c r="CM868" s="253">
        <f t="shared" si="771"/>
        <v>4.8487499999999999</v>
      </c>
      <c r="CN868" s="253" cm="1">
        <f t="array" ref="CN868">$BC868 * IF($AD868&lt;=2,
SUMPRODUCT(INDEX($AL$62:$AN$66,,$AE868), INDEX($AO$62:$AU$66,,$AD868), 1 / ($AV$62:$AV$66*CM868 + (1-$AV$62:$AV$66)*CI868), N($AK$62:$AK$66&gt;$AI868)),
SUMPRODUCT(INDEX($AL$47:$AN$56,,$AE868), INDEX($AO$47:$AU$56,,$AD868), 1 / ($AW$47:$AW$56*CM868 + (1-$AW$47:$AW$56)*CI868), N($AK$47:$AK$56&gt;$AI868))
) / 1000</f>
        <v>0</v>
      </c>
      <c r="CO868" s="253" cm="1">
        <f t="array" ref="CO868">$BC868 * IF($AD868&lt;=2,
SUMPRODUCT(INDEX($AL$23:$AN$61,,$AE868), INDEX($AO$23:$AU$61,,$AD868), 1 / ($AV$23:$AV$61*CM868), N($AK$23:$AK$61&gt;$AI868)),
SUMPRODUCT(INDEX($AL$23:$AN$46,,$AE868), INDEX($AO$23:$AU$46,,$AD868), 1 / ($AW$23:$AW$46*CM868), N($AK$23:$AK$46&gt;$AI868))
) / 1000</f>
        <v>0</v>
      </c>
      <c r="CP868" s="237">
        <f t="shared" si="772"/>
        <v>0</v>
      </c>
      <c r="CQ868" s="210"/>
    </row>
    <row r="869" spans="1:95" s="76" customFormat="1" ht="14.25" customHeight="1" x14ac:dyDescent="0.2">
      <c r="A869" s="238" t="b">
        <f t="shared" si="776"/>
        <v>0</v>
      </c>
      <c r="B869" s="239">
        <v>847</v>
      </c>
      <c r="C869" s="258"/>
      <c r="D869" s="258"/>
      <c r="E869" s="240"/>
      <c r="F869" s="241" t="str">
        <f>IF(ISBLANK(E869), "", VLOOKUP(E869, Z!$A$2:$C$4127, 3, FALSE))</f>
        <v/>
      </c>
      <c r="G869" s="242"/>
      <c r="H869" s="242"/>
      <c r="I869" s="243"/>
      <c r="J869" s="244"/>
      <c r="K869" s="259"/>
      <c r="L869" s="260"/>
      <c r="M869" s="247" t="str" cm="1">
        <f t="array" ref="M869">IF($K869&gt;0, INDEX(Clean,1+AG869,$C$1), "")</f>
        <v/>
      </c>
      <c r="N869" s="245"/>
      <c r="O869" s="245"/>
      <c r="P869" s="246"/>
      <c r="Q869" s="248">
        <f t="shared" si="749"/>
        <v>0</v>
      </c>
      <c r="R869" s="247" t="str" cm="1">
        <f t="array" ref="R869">IF($K869&gt;0, INDEX(Clean,1+AH869,$C$1), "")</f>
        <v/>
      </c>
      <c r="S869" s="245"/>
      <c r="T869" s="245"/>
      <c r="U869" s="246"/>
      <c r="V869" s="248">
        <f t="shared" si="750"/>
        <v>0</v>
      </c>
      <c r="W869" s="261"/>
      <c r="X869" s="258"/>
      <c r="Y869" s="240"/>
      <c r="Z869" s="241" t="str">
        <f>IF(ISBLANK(Y869), "", VLOOKUP(Y869, Z!$A$2:$C$4127, 3, FALSE))</f>
        <v/>
      </c>
      <c r="AA869" s="262"/>
      <c r="AB869" s="249">
        <f t="shared" si="785"/>
        <v>0</v>
      </c>
      <c r="AC869" s="210"/>
      <c r="AD869" s="236">
        <f t="shared" si="773"/>
        <v>1</v>
      </c>
      <c r="AE869" s="236">
        <f t="shared" si="774"/>
        <v>1</v>
      </c>
      <c r="AF869" s="236">
        <f t="shared" si="775"/>
        <v>0</v>
      </c>
      <c r="AG869" s="236">
        <v>1</v>
      </c>
      <c r="AH869" s="236">
        <v>0</v>
      </c>
      <c r="AI869" s="236">
        <f t="shared" si="751"/>
        <v>-100</v>
      </c>
      <c r="AJ869" s="210"/>
      <c r="AK869" s="254"/>
      <c r="AL869" s="254"/>
      <c r="AM869" s="255"/>
      <c r="AN869" s="255"/>
      <c r="AO869" s="255"/>
      <c r="AP869" s="255"/>
      <c r="AQ869" s="255"/>
      <c r="AR869" s="255"/>
      <c r="AS869" s="255"/>
      <c r="AT869" s="255"/>
      <c r="AU869" s="255"/>
      <c r="AV869" s="255"/>
      <c r="AW869" s="255"/>
      <c r="AX869" s="210"/>
      <c r="AY869" s="236" cm="1">
        <f t="array" ref="AY869">INDEX(Use, $AD869, 4)</f>
        <v>7</v>
      </c>
      <c r="AZ869" s="236">
        <f t="shared" si="752"/>
        <v>32</v>
      </c>
      <c r="BA869" s="236">
        <f t="shared" si="777"/>
        <v>13</v>
      </c>
      <c r="BB869" s="236">
        <f t="shared" si="778"/>
        <v>0</v>
      </c>
      <c r="BC869" s="252" cm="1">
        <f t="array" ref="BC869">K869/IF($L869&gt;0, INDEX($AO$23:$AU$77, $L869+20, $AD869), 1)</f>
        <v>0</v>
      </c>
      <c r="BD869" s="237">
        <f t="shared" si="753"/>
        <v>0</v>
      </c>
      <c r="BE869" s="236">
        <v>35</v>
      </c>
      <c r="BF869" s="237">
        <f t="shared" si="754"/>
        <v>52.55</v>
      </c>
      <c r="BG869" s="253">
        <f t="shared" si="755"/>
        <v>2.7676728869374316</v>
      </c>
      <c r="BH869" s="253" cm="1">
        <f t="array" ref="BH869">$BC869 * SUMPRODUCT(INDEX($AL$77:$AN$82,,$AE869),INDEX($AO$77:$AU$82,,$AD869), N($AK$77:$AK$82&gt;$AI869)) / BG869 / 1000</f>
        <v>0</v>
      </c>
      <c r="BI869" s="250">
        <f t="shared" si="779"/>
        <v>30</v>
      </c>
      <c r="BJ869" s="237">
        <f t="shared" si="756"/>
        <v>46.033333333333331</v>
      </c>
      <c r="BK869" s="253">
        <f t="shared" si="757"/>
        <v>3.2297395388556791</v>
      </c>
      <c r="BL869" s="253" cm="1">
        <f t="array" ref="BL869">$BC869 * IF($AD869&lt;=2,
SUMPRODUCT(INDEX($AL$72:$AN$76,,$AE869), INDEX($AO$72:$AU$76,,$AD869), 1 / ($AV$72:$AV$76*BK869 + (1-$AV$72:$AV$76)*BG869), N($AK$72:$AK$76&gt;$AI869)),
SUMPRODUCT(INDEX($AL$67:$AN$76,,$AE869), INDEX($AO$67:$AU$76,,$AD869), 1 / ($AW$67:$AW$76*BK869 + (1-$AW$67:$AW$76)*BG869), N($AK$67:$AK$76&gt;$AI869))
) / 1000</f>
        <v>0</v>
      </c>
      <c r="BM869" s="250">
        <f t="shared" si="780"/>
        <v>25</v>
      </c>
      <c r="BN869" s="237">
        <f t="shared" si="758"/>
        <v>39.516666666666666</v>
      </c>
      <c r="BO869" s="253">
        <f t="shared" si="759"/>
        <v>3.877011788826243</v>
      </c>
      <c r="BP869" s="253" cm="1">
        <f t="array" ref="BP869">$BC869 * IF($AD869&lt;=2,
SUMPRODUCT(INDEX($AL$67:$AN$71,,$AE869), INDEX($AO$67:$AU$71,,$AD869), 1 / ($AV$67:$AV$71*BO869 + (1-$AV$67:$AV$71)*BK869), N($AK$67:$AK$71&gt;$AI869)),
SUMPRODUCT(INDEX($AL$57:$AN$66,,$AE869), INDEX($AO$57:$AU$66,,$AD869), 1 / ($AW$57:$AW$66*BO869 + (1-$AW$57:$AW$66)*BK869), N($AK$57:$AK$66&gt;$AI869))
) / 1000</f>
        <v>0</v>
      </c>
      <c r="BQ869" s="250">
        <f t="shared" si="781"/>
        <v>20</v>
      </c>
      <c r="BR869" s="237">
        <f t="shared" si="760"/>
        <v>33</v>
      </c>
      <c r="BS869" s="253">
        <f t="shared" si="761"/>
        <v>4.8487499999999999</v>
      </c>
      <c r="BT869" s="253" cm="1">
        <f t="array" ref="BT869">$BC869 * IF($AD869&lt;=2,
SUMPRODUCT(INDEX($AL$62:$AN$66,,$AE869), INDEX($AO$62:$AU$66,,$AD869), 1 / ($AV$62:$AV$66*BS869 + (1-$AV$62:$AV$66)*BO869), N($AK$62:$AK$66&gt;$AI869)),
SUMPRODUCT(INDEX($AL$47:$AN$56,,$AE869), INDEX($AO$47:$AU$56,,$AD869), 1 / ($AW$47:$AW$56*BS869 + (1-$AW$47:$AW$56)*BO869), N($AK$47:$AK$56&gt;$AI869))
) / 1000</f>
        <v>0</v>
      </c>
      <c r="BU869" s="253" cm="1">
        <f t="array" ref="BU869">$BC869 * IF($AD869&lt;=2,
SUMPRODUCT(INDEX($AL$23:$AN$61,,$AE869), INDEX($AO$23:$AU$61,,$AD869), 1 / ($AV$23:$AV$61*BS869), N($AK$23:$AK$61&gt;$AI869)),
SUMPRODUCT(INDEX($AL$23:$AN$46,,$AE869), INDEX($AO$23:$AU$46,,$AD869), 1 / ($AW$23:$AW$46*BS869), N($AK$23:$AK$46&gt;$AI869))
) / 1000</f>
        <v>0</v>
      </c>
      <c r="BV869" s="237">
        <f t="shared" si="762"/>
        <v>0</v>
      </c>
      <c r="BW869" s="210"/>
      <c r="BX869" s="237">
        <f t="shared" si="763"/>
        <v>0</v>
      </c>
      <c r="BY869" s="236">
        <v>35</v>
      </c>
      <c r="BZ869" s="237">
        <f t="shared" si="764"/>
        <v>48</v>
      </c>
      <c r="CA869" s="253">
        <f t="shared" si="765"/>
        <v>3.0748170731707316</v>
      </c>
      <c r="CB869" s="253" cm="1">
        <f t="array" ref="CB869">$BC869 * SUMPRODUCT(INDEX($AL$77:$AN$82,,$AE869),INDEX($AO$77:$AU$82,,$AD869), N($AK$77:$AK$82&gt;$AI869)) / CA869 / 1000</f>
        <v>0</v>
      </c>
      <c r="CC869" s="250">
        <f t="shared" si="782"/>
        <v>30</v>
      </c>
      <c r="CD869" s="237">
        <f t="shared" si="766"/>
        <v>43</v>
      </c>
      <c r="CE869" s="253">
        <f t="shared" si="767"/>
        <v>3.5018750000000001</v>
      </c>
      <c r="CF869" s="253" cm="1">
        <f t="array" ref="CF869">$BC869 * IF($AD869&lt;=2,
SUMPRODUCT(INDEX($AL$72:$AN$76,,$AE869), INDEX($AO$72:$AU$76,,$AD869), 1 / ($AV$72:$AV$76*CE869 + (1-$AV$72:$AV$76)*CA869), N($AK$72:$AK$76&gt;$AI869)),
SUMPRODUCT(INDEX($AL$67:$AN$76,,$AE869), INDEX($AO$67:$AU$76,,$AD869), 1 / ($AW$67:$AW$76*CE869 + (1-$AW$67:$AW$76)*CA869), N($AK$67:$AK$76&gt;$AI869))
) / 1000</f>
        <v>0</v>
      </c>
      <c r="CG869" s="250">
        <f t="shared" si="783"/>
        <v>25</v>
      </c>
      <c r="CH869" s="237">
        <f t="shared" si="768"/>
        <v>38</v>
      </c>
      <c r="CI869" s="253">
        <f t="shared" si="769"/>
        <v>4.0666935483870965</v>
      </c>
      <c r="CJ869" s="253" cm="1">
        <f t="array" ref="CJ869">$BC869 * IF($AD869&lt;=2,
SUMPRODUCT(INDEX($AL$67:$AN$71,,$AE869), INDEX($AO$67:$AU$71,,$AD869), 1 / ($AV$67:$AV$71*CI869 + (1-$AV$67:$AV$71)*CE869), N($AK$67:$AK$71&gt;$AI869)),
SUMPRODUCT(INDEX($AL$57:$AN$66,,$AE869), INDEX($AO$57:$AU$66,,$AD869), 1 / ($AW$57:$AW$66*CI869 + (1-$AW$57:$AW$66)*CE869), N($AK$57:$AK$66&gt;$AI869))
) / 1000</f>
        <v>0</v>
      </c>
      <c r="CK869" s="250">
        <f t="shared" si="784"/>
        <v>20</v>
      </c>
      <c r="CL869" s="237">
        <f t="shared" si="770"/>
        <v>33</v>
      </c>
      <c r="CM869" s="253">
        <f t="shared" si="771"/>
        <v>4.8487499999999999</v>
      </c>
      <c r="CN869" s="253" cm="1">
        <f t="array" ref="CN869">$BC869 * IF($AD869&lt;=2,
SUMPRODUCT(INDEX($AL$62:$AN$66,,$AE869), INDEX($AO$62:$AU$66,,$AD869), 1 / ($AV$62:$AV$66*CM869 + (1-$AV$62:$AV$66)*CI869), N($AK$62:$AK$66&gt;$AI869)),
SUMPRODUCT(INDEX($AL$47:$AN$56,,$AE869), INDEX($AO$47:$AU$56,,$AD869), 1 / ($AW$47:$AW$56*CM869 + (1-$AW$47:$AW$56)*CI869), N($AK$47:$AK$56&gt;$AI869))
) / 1000</f>
        <v>0</v>
      </c>
      <c r="CO869" s="253" cm="1">
        <f t="array" ref="CO869">$BC869 * IF($AD869&lt;=2,
SUMPRODUCT(INDEX($AL$23:$AN$61,,$AE869), INDEX($AO$23:$AU$61,,$AD869), 1 / ($AV$23:$AV$61*CM869), N($AK$23:$AK$61&gt;$AI869)),
SUMPRODUCT(INDEX($AL$23:$AN$46,,$AE869), INDEX($AO$23:$AU$46,,$AD869), 1 / ($AW$23:$AW$46*CM869), N($AK$23:$AK$46&gt;$AI869))
) / 1000</f>
        <v>0</v>
      </c>
      <c r="CP869" s="237">
        <f t="shared" si="772"/>
        <v>0</v>
      </c>
      <c r="CQ869" s="210"/>
    </row>
    <row r="870" spans="1:95" s="76" customFormat="1" ht="14.25" customHeight="1" x14ac:dyDescent="0.2">
      <c r="A870" s="238" t="b">
        <f t="shared" si="776"/>
        <v>0</v>
      </c>
      <c r="B870" s="239">
        <v>848</v>
      </c>
      <c r="C870" s="258"/>
      <c r="D870" s="258"/>
      <c r="E870" s="240"/>
      <c r="F870" s="241" t="str">
        <f>IF(ISBLANK(E870), "", VLOOKUP(E870, Z!$A$2:$C$4127, 3, FALSE))</f>
        <v/>
      </c>
      <c r="G870" s="242"/>
      <c r="H870" s="242"/>
      <c r="I870" s="243"/>
      <c r="J870" s="244"/>
      <c r="K870" s="259"/>
      <c r="L870" s="260"/>
      <c r="M870" s="247" t="str" cm="1">
        <f t="array" ref="M870">IF($K870&gt;0, INDEX(Clean,1+AG870,$C$1), "")</f>
        <v/>
      </c>
      <c r="N870" s="245"/>
      <c r="O870" s="245"/>
      <c r="P870" s="246"/>
      <c r="Q870" s="248">
        <f t="shared" si="749"/>
        <v>0</v>
      </c>
      <c r="R870" s="247" t="str" cm="1">
        <f t="array" ref="R870">IF($K870&gt;0, INDEX(Clean,1+AH870,$C$1), "")</f>
        <v/>
      </c>
      <c r="S870" s="245"/>
      <c r="T870" s="245"/>
      <c r="U870" s="246"/>
      <c r="V870" s="248">
        <f t="shared" si="750"/>
        <v>0</v>
      </c>
      <c r="W870" s="261"/>
      <c r="X870" s="258"/>
      <c r="Y870" s="240"/>
      <c r="Z870" s="241" t="str">
        <f>IF(ISBLANK(Y870), "", VLOOKUP(Y870, Z!$A$2:$C$4127, 3, FALSE))</f>
        <v/>
      </c>
      <c r="AA870" s="262"/>
      <c r="AB870" s="249">
        <f t="shared" si="785"/>
        <v>0</v>
      </c>
      <c r="AC870" s="210"/>
      <c r="AD870" s="236">
        <f t="shared" si="773"/>
        <v>1</v>
      </c>
      <c r="AE870" s="236">
        <f t="shared" si="774"/>
        <v>1</v>
      </c>
      <c r="AF870" s="236">
        <f t="shared" si="775"/>
        <v>0</v>
      </c>
      <c r="AG870" s="236">
        <v>1</v>
      </c>
      <c r="AH870" s="236">
        <v>0</v>
      </c>
      <c r="AI870" s="236">
        <f t="shared" si="751"/>
        <v>-100</v>
      </c>
      <c r="AJ870" s="210"/>
      <c r="AK870" s="254"/>
      <c r="AL870" s="254"/>
      <c r="AM870" s="255"/>
      <c r="AN870" s="255"/>
      <c r="AO870" s="255"/>
      <c r="AP870" s="255"/>
      <c r="AQ870" s="255"/>
      <c r="AR870" s="255"/>
      <c r="AS870" s="255"/>
      <c r="AT870" s="255"/>
      <c r="AU870" s="255"/>
      <c r="AV870" s="255"/>
      <c r="AW870" s="255"/>
      <c r="AX870" s="210"/>
      <c r="AY870" s="236" cm="1">
        <f t="array" ref="AY870">INDEX(Use, $AD870, 4)</f>
        <v>7</v>
      </c>
      <c r="AZ870" s="236">
        <f t="shared" si="752"/>
        <v>32</v>
      </c>
      <c r="BA870" s="236">
        <f t="shared" si="777"/>
        <v>13</v>
      </c>
      <c r="BB870" s="236">
        <f t="shared" si="778"/>
        <v>0</v>
      </c>
      <c r="BC870" s="252" cm="1">
        <f t="array" ref="BC870">K870/IF($L870&gt;0, INDEX($AO$23:$AU$77, $L870+20, $AD870), 1)</f>
        <v>0</v>
      </c>
      <c r="BD870" s="237">
        <f t="shared" si="753"/>
        <v>0</v>
      </c>
      <c r="BE870" s="236">
        <v>35</v>
      </c>
      <c r="BF870" s="237">
        <f t="shared" si="754"/>
        <v>52.55</v>
      </c>
      <c r="BG870" s="253">
        <f t="shared" si="755"/>
        <v>2.7676728869374316</v>
      </c>
      <c r="BH870" s="253" cm="1">
        <f t="array" ref="BH870">$BC870 * SUMPRODUCT(INDEX($AL$77:$AN$82,,$AE870),INDEX($AO$77:$AU$82,,$AD870), N($AK$77:$AK$82&gt;$AI870)) / BG870 / 1000</f>
        <v>0</v>
      </c>
      <c r="BI870" s="250">
        <f t="shared" si="779"/>
        <v>30</v>
      </c>
      <c r="BJ870" s="237">
        <f t="shared" si="756"/>
        <v>46.033333333333331</v>
      </c>
      <c r="BK870" s="253">
        <f t="shared" si="757"/>
        <v>3.2297395388556791</v>
      </c>
      <c r="BL870" s="253" cm="1">
        <f t="array" ref="BL870">$BC870 * IF($AD870&lt;=2,
SUMPRODUCT(INDEX($AL$72:$AN$76,,$AE870), INDEX($AO$72:$AU$76,,$AD870), 1 / ($AV$72:$AV$76*BK870 + (1-$AV$72:$AV$76)*BG870), N($AK$72:$AK$76&gt;$AI870)),
SUMPRODUCT(INDEX($AL$67:$AN$76,,$AE870), INDEX($AO$67:$AU$76,,$AD870), 1 / ($AW$67:$AW$76*BK870 + (1-$AW$67:$AW$76)*BG870), N($AK$67:$AK$76&gt;$AI870))
) / 1000</f>
        <v>0</v>
      </c>
      <c r="BM870" s="250">
        <f t="shared" si="780"/>
        <v>25</v>
      </c>
      <c r="BN870" s="237">
        <f t="shared" si="758"/>
        <v>39.516666666666666</v>
      </c>
      <c r="BO870" s="253">
        <f t="shared" si="759"/>
        <v>3.877011788826243</v>
      </c>
      <c r="BP870" s="253" cm="1">
        <f t="array" ref="BP870">$BC870 * IF($AD870&lt;=2,
SUMPRODUCT(INDEX($AL$67:$AN$71,,$AE870), INDEX($AO$67:$AU$71,,$AD870), 1 / ($AV$67:$AV$71*BO870 + (1-$AV$67:$AV$71)*BK870), N($AK$67:$AK$71&gt;$AI870)),
SUMPRODUCT(INDEX($AL$57:$AN$66,,$AE870), INDEX($AO$57:$AU$66,,$AD870), 1 / ($AW$57:$AW$66*BO870 + (1-$AW$57:$AW$66)*BK870), N($AK$57:$AK$66&gt;$AI870))
) / 1000</f>
        <v>0</v>
      </c>
      <c r="BQ870" s="250">
        <f t="shared" si="781"/>
        <v>20</v>
      </c>
      <c r="BR870" s="237">
        <f t="shared" si="760"/>
        <v>33</v>
      </c>
      <c r="BS870" s="253">
        <f t="shared" si="761"/>
        <v>4.8487499999999999</v>
      </c>
      <c r="BT870" s="253" cm="1">
        <f t="array" ref="BT870">$BC870 * IF($AD870&lt;=2,
SUMPRODUCT(INDEX($AL$62:$AN$66,,$AE870), INDEX($AO$62:$AU$66,,$AD870), 1 / ($AV$62:$AV$66*BS870 + (1-$AV$62:$AV$66)*BO870), N($AK$62:$AK$66&gt;$AI870)),
SUMPRODUCT(INDEX($AL$47:$AN$56,,$AE870), INDEX($AO$47:$AU$56,,$AD870), 1 / ($AW$47:$AW$56*BS870 + (1-$AW$47:$AW$56)*BO870), N($AK$47:$AK$56&gt;$AI870))
) / 1000</f>
        <v>0</v>
      </c>
      <c r="BU870" s="253" cm="1">
        <f t="array" ref="BU870">$BC870 * IF($AD870&lt;=2,
SUMPRODUCT(INDEX($AL$23:$AN$61,,$AE870), INDEX($AO$23:$AU$61,,$AD870), 1 / ($AV$23:$AV$61*BS870), N($AK$23:$AK$61&gt;$AI870)),
SUMPRODUCT(INDEX($AL$23:$AN$46,,$AE870), INDEX($AO$23:$AU$46,,$AD870), 1 / ($AW$23:$AW$46*BS870), N($AK$23:$AK$46&gt;$AI870))
) / 1000</f>
        <v>0</v>
      </c>
      <c r="BV870" s="237">
        <f t="shared" si="762"/>
        <v>0</v>
      </c>
      <c r="BW870" s="210"/>
      <c r="BX870" s="237">
        <f t="shared" si="763"/>
        <v>0</v>
      </c>
      <c r="BY870" s="236">
        <v>35</v>
      </c>
      <c r="BZ870" s="237">
        <f t="shared" si="764"/>
        <v>48</v>
      </c>
      <c r="CA870" s="253">
        <f t="shared" si="765"/>
        <v>3.0748170731707316</v>
      </c>
      <c r="CB870" s="253" cm="1">
        <f t="array" ref="CB870">$BC870 * SUMPRODUCT(INDEX($AL$77:$AN$82,,$AE870),INDEX($AO$77:$AU$82,,$AD870), N($AK$77:$AK$82&gt;$AI870)) / CA870 / 1000</f>
        <v>0</v>
      </c>
      <c r="CC870" s="250">
        <f t="shared" si="782"/>
        <v>30</v>
      </c>
      <c r="CD870" s="237">
        <f t="shared" si="766"/>
        <v>43</v>
      </c>
      <c r="CE870" s="253">
        <f t="shared" si="767"/>
        <v>3.5018750000000001</v>
      </c>
      <c r="CF870" s="253" cm="1">
        <f t="array" ref="CF870">$BC870 * IF($AD870&lt;=2,
SUMPRODUCT(INDEX($AL$72:$AN$76,,$AE870), INDEX($AO$72:$AU$76,,$AD870), 1 / ($AV$72:$AV$76*CE870 + (1-$AV$72:$AV$76)*CA870), N($AK$72:$AK$76&gt;$AI870)),
SUMPRODUCT(INDEX($AL$67:$AN$76,,$AE870), INDEX($AO$67:$AU$76,,$AD870), 1 / ($AW$67:$AW$76*CE870 + (1-$AW$67:$AW$76)*CA870), N($AK$67:$AK$76&gt;$AI870))
) / 1000</f>
        <v>0</v>
      </c>
      <c r="CG870" s="250">
        <f t="shared" si="783"/>
        <v>25</v>
      </c>
      <c r="CH870" s="237">
        <f t="shared" si="768"/>
        <v>38</v>
      </c>
      <c r="CI870" s="253">
        <f t="shared" si="769"/>
        <v>4.0666935483870965</v>
      </c>
      <c r="CJ870" s="253" cm="1">
        <f t="array" ref="CJ870">$BC870 * IF($AD870&lt;=2,
SUMPRODUCT(INDEX($AL$67:$AN$71,,$AE870), INDEX($AO$67:$AU$71,,$AD870), 1 / ($AV$67:$AV$71*CI870 + (1-$AV$67:$AV$71)*CE870), N($AK$67:$AK$71&gt;$AI870)),
SUMPRODUCT(INDEX($AL$57:$AN$66,,$AE870), INDEX($AO$57:$AU$66,,$AD870), 1 / ($AW$57:$AW$66*CI870 + (1-$AW$57:$AW$66)*CE870), N($AK$57:$AK$66&gt;$AI870))
) / 1000</f>
        <v>0</v>
      </c>
      <c r="CK870" s="250">
        <f t="shared" si="784"/>
        <v>20</v>
      </c>
      <c r="CL870" s="237">
        <f t="shared" si="770"/>
        <v>33</v>
      </c>
      <c r="CM870" s="253">
        <f t="shared" si="771"/>
        <v>4.8487499999999999</v>
      </c>
      <c r="CN870" s="253" cm="1">
        <f t="array" ref="CN870">$BC870 * IF($AD870&lt;=2,
SUMPRODUCT(INDEX($AL$62:$AN$66,,$AE870), INDEX($AO$62:$AU$66,,$AD870), 1 / ($AV$62:$AV$66*CM870 + (1-$AV$62:$AV$66)*CI870), N($AK$62:$AK$66&gt;$AI870)),
SUMPRODUCT(INDEX($AL$47:$AN$56,,$AE870), INDEX($AO$47:$AU$56,,$AD870), 1 / ($AW$47:$AW$56*CM870 + (1-$AW$47:$AW$56)*CI870), N($AK$47:$AK$56&gt;$AI870))
) / 1000</f>
        <v>0</v>
      </c>
      <c r="CO870" s="253" cm="1">
        <f t="array" ref="CO870">$BC870 * IF($AD870&lt;=2,
SUMPRODUCT(INDEX($AL$23:$AN$61,,$AE870), INDEX($AO$23:$AU$61,,$AD870), 1 / ($AV$23:$AV$61*CM870), N($AK$23:$AK$61&gt;$AI870)),
SUMPRODUCT(INDEX($AL$23:$AN$46,,$AE870), INDEX($AO$23:$AU$46,,$AD870), 1 / ($AW$23:$AW$46*CM870), N($AK$23:$AK$46&gt;$AI870))
) / 1000</f>
        <v>0</v>
      </c>
      <c r="CP870" s="237">
        <f t="shared" si="772"/>
        <v>0</v>
      </c>
      <c r="CQ870" s="210"/>
    </row>
    <row r="871" spans="1:95" s="76" customFormat="1" ht="14.25" customHeight="1" x14ac:dyDescent="0.2">
      <c r="A871" s="238" t="b">
        <f t="shared" si="776"/>
        <v>0</v>
      </c>
      <c r="B871" s="239">
        <v>849</v>
      </c>
      <c r="C871" s="258"/>
      <c r="D871" s="258"/>
      <c r="E871" s="240"/>
      <c r="F871" s="241" t="str">
        <f>IF(ISBLANK(E871), "", VLOOKUP(E871, Z!$A$2:$C$4127, 3, FALSE))</f>
        <v/>
      </c>
      <c r="G871" s="242"/>
      <c r="H871" s="242"/>
      <c r="I871" s="243"/>
      <c r="J871" s="244"/>
      <c r="K871" s="259"/>
      <c r="L871" s="260"/>
      <c r="M871" s="247" t="str" cm="1">
        <f t="array" ref="M871">IF($K871&gt;0, INDEX(Clean,1+AG871,$C$1), "")</f>
        <v/>
      </c>
      <c r="N871" s="245"/>
      <c r="O871" s="245"/>
      <c r="P871" s="246"/>
      <c r="Q871" s="248">
        <f t="shared" si="749"/>
        <v>0</v>
      </c>
      <c r="R871" s="247" t="str" cm="1">
        <f t="array" ref="R871">IF($K871&gt;0, INDEX(Clean,1+AH871,$C$1), "")</f>
        <v/>
      </c>
      <c r="S871" s="245"/>
      <c r="T871" s="245"/>
      <c r="U871" s="246"/>
      <c r="V871" s="248">
        <f t="shared" si="750"/>
        <v>0</v>
      </c>
      <c r="W871" s="261"/>
      <c r="X871" s="258"/>
      <c r="Y871" s="240"/>
      <c r="Z871" s="241" t="str">
        <f>IF(ISBLANK(Y871), "", VLOOKUP(Y871, Z!$A$2:$C$4127, 3, FALSE))</f>
        <v/>
      </c>
      <c r="AA871" s="262"/>
      <c r="AB871" s="249">
        <f t="shared" si="785"/>
        <v>0</v>
      </c>
      <c r="AC871" s="210"/>
      <c r="AD871" s="236">
        <f t="shared" si="773"/>
        <v>1</v>
      </c>
      <c r="AE871" s="236">
        <f t="shared" si="774"/>
        <v>1</v>
      </c>
      <c r="AF871" s="236">
        <f t="shared" si="775"/>
        <v>0</v>
      </c>
      <c r="AG871" s="236">
        <v>1</v>
      </c>
      <c r="AH871" s="236">
        <v>0</v>
      </c>
      <c r="AI871" s="236">
        <f t="shared" si="751"/>
        <v>-100</v>
      </c>
      <c r="AJ871" s="210"/>
      <c r="AK871" s="254"/>
      <c r="AL871" s="254"/>
      <c r="AM871" s="255"/>
      <c r="AN871" s="255"/>
      <c r="AO871" s="255"/>
      <c r="AP871" s="255"/>
      <c r="AQ871" s="255"/>
      <c r="AR871" s="255"/>
      <c r="AS871" s="255"/>
      <c r="AT871" s="255"/>
      <c r="AU871" s="255"/>
      <c r="AV871" s="255"/>
      <c r="AW871" s="255"/>
      <c r="AX871" s="210"/>
      <c r="AY871" s="236" cm="1">
        <f t="array" ref="AY871">INDEX(Use, $AD871, 4)</f>
        <v>7</v>
      </c>
      <c r="AZ871" s="236">
        <f t="shared" si="752"/>
        <v>32</v>
      </c>
      <c r="BA871" s="236">
        <f t="shared" si="777"/>
        <v>13</v>
      </c>
      <c r="BB871" s="236">
        <f t="shared" si="778"/>
        <v>0</v>
      </c>
      <c r="BC871" s="252" cm="1">
        <f t="array" ref="BC871">K871/IF($L871&gt;0, INDEX($AO$23:$AU$77, $L871+20, $AD871), 1)</f>
        <v>0</v>
      </c>
      <c r="BD871" s="237">
        <f t="shared" si="753"/>
        <v>0</v>
      </c>
      <c r="BE871" s="236">
        <v>35</v>
      </c>
      <c r="BF871" s="237">
        <f t="shared" si="754"/>
        <v>52.55</v>
      </c>
      <c r="BG871" s="253">
        <f t="shared" si="755"/>
        <v>2.7676728869374316</v>
      </c>
      <c r="BH871" s="253" cm="1">
        <f t="array" ref="BH871">$BC871 * SUMPRODUCT(INDEX($AL$77:$AN$82,,$AE871),INDEX($AO$77:$AU$82,,$AD871), N($AK$77:$AK$82&gt;$AI871)) / BG871 / 1000</f>
        <v>0</v>
      </c>
      <c r="BI871" s="250">
        <f t="shared" si="779"/>
        <v>30</v>
      </c>
      <c r="BJ871" s="237">
        <f t="shared" si="756"/>
        <v>46.033333333333331</v>
      </c>
      <c r="BK871" s="253">
        <f t="shared" si="757"/>
        <v>3.2297395388556791</v>
      </c>
      <c r="BL871" s="253" cm="1">
        <f t="array" ref="BL871">$BC871 * IF($AD871&lt;=2,
SUMPRODUCT(INDEX($AL$72:$AN$76,,$AE871), INDEX($AO$72:$AU$76,,$AD871), 1 / ($AV$72:$AV$76*BK871 + (1-$AV$72:$AV$76)*BG871), N($AK$72:$AK$76&gt;$AI871)),
SUMPRODUCT(INDEX($AL$67:$AN$76,,$AE871), INDEX($AO$67:$AU$76,,$AD871), 1 / ($AW$67:$AW$76*BK871 + (1-$AW$67:$AW$76)*BG871), N($AK$67:$AK$76&gt;$AI871))
) / 1000</f>
        <v>0</v>
      </c>
      <c r="BM871" s="250">
        <f t="shared" si="780"/>
        <v>25</v>
      </c>
      <c r="BN871" s="237">
        <f t="shared" si="758"/>
        <v>39.516666666666666</v>
      </c>
      <c r="BO871" s="253">
        <f t="shared" si="759"/>
        <v>3.877011788826243</v>
      </c>
      <c r="BP871" s="253" cm="1">
        <f t="array" ref="BP871">$BC871 * IF($AD871&lt;=2,
SUMPRODUCT(INDEX($AL$67:$AN$71,,$AE871), INDEX($AO$67:$AU$71,,$AD871), 1 / ($AV$67:$AV$71*BO871 + (1-$AV$67:$AV$71)*BK871), N($AK$67:$AK$71&gt;$AI871)),
SUMPRODUCT(INDEX($AL$57:$AN$66,,$AE871), INDEX($AO$57:$AU$66,,$AD871), 1 / ($AW$57:$AW$66*BO871 + (1-$AW$57:$AW$66)*BK871), N($AK$57:$AK$66&gt;$AI871))
) / 1000</f>
        <v>0</v>
      </c>
      <c r="BQ871" s="250">
        <f t="shared" si="781"/>
        <v>20</v>
      </c>
      <c r="BR871" s="237">
        <f t="shared" si="760"/>
        <v>33</v>
      </c>
      <c r="BS871" s="253">
        <f t="shared" si="761"/>
        <v>4.8487499999999999</v>
      </c>
      <c r="BT871" s="253" cm="1">
        <f t="array" ref="BT871">$BC871 * IF($AD871&lt;=2,
SUMPRODUCT(INDEX($AL$62:$AN$66,,$AE871), INDEX($AO$62:$AU$66,,$AD871), 1 / ($AV$62:$AV$66*BS871 + (1-$AV$62:$AV$66)*BO871), N($AK$62:$AK$66&gt;$AI871)),
SUMPRODUCT(INDEX($AL$47:$AN$56,,$AE871), INDEX($AO$47:$AU$56,,$AD871), 1 / ($AW$47:$AW$56*BS871 + (1-$AW$47:$AW$56)*BO871), N($AK$47:$AK$56&gt;$AI871))
) / 1000</f>
        <v>0</v>
      </c>
      <c r="BU871" s="253" cm="1">
        <f t="array" ref="BU871">$BC871 * IF($AD871&lt;=2,
SUMPRODUCT(INDEX($AL$23:$AN$61,,$AE871), INDEX($AO$23:$AU$61,,$AD871), 1 / ($AV$23:$AV$61*BS871), N($AK$23:$AK$61&gt;$AI871)),
SUMPRODUCT(INDEX($AL$23:$AN$46,,$AE871), INDEX($AO$23:$AU$46,,$AD871), 1 / ($AW$23:$AW$46*BS871), N($AK$23:$AK$46&gt;$AI871))
) / 1000</f>
        <v>0</v>
      </c>
      <c r="BV871" s="237">
        <f t="shared" si="762"/>
        <v>0</v>
      </c>
      <c r="BW871" s="210"/>
      <c r="BX871" s="237">
        <f t="shared" si="763"/>
        <v>0</v>
      </c>
      <c r="BY871" s="236">
        <v>35</v>
      </c>
      <c r="BZ871" s="237">
        <f t="shared" si="764"/>
        <v>48</v>
      </c>
      <c r="CA871" s="253">
        <f t="shared" si="765"/>
        <v>3.0748170731707316</v>
      </c>
      <c r="CB871" s="253" cm="1">
        <f t="array" ref="CB871">$BC871 * SUMPRODUCT(INDEX($AL$77:$AN$82,,$AE871),INDEX($AO$77:$AU$82,,$AD871), N($AK$77:$AK$82&gt;$AI871)) / CA871 / 1000</f>
        <v>0</v>
      </c>
      <c r="CC871" s="250">
        <f t="shared" si="782"/>
        <v>30</v>
      </c>
      <c r="CD871" s="237">
        <f t="shared" si="766"/>
        <v>43</v>
      </c>
      <c r="CE871" s="253">
        <f t="shared" si="767"/>
        <v>3.5018750000000001</v>
      </c>
      <c r="CF871" s="253" cm="1">
        <f t="array" ref="CF871">$BC871 * IF($AD871&lt;=2,
SUMPRODUCT(INDEX($AL$72:$AN$76,,$AE871), INDEX($AO$72:$AU$76,,$AD871), 1 / ($AV$72:$AV$76*CE871 + (1-$AV$72:$AV$76)*CA871), N($AK$72:$AK$76&gt;$AI871)),
SUMPRODUCT(INDEX($AL$67:$AN$76,,$AE871), INDEX($AO$67:$AU$76,,$AD871), 1 / ($AW$67:$AW$76*CE871 + (1-$AW$67:$AW$76)*CA871), N($AK$67:$AK$76&gt;$AI871))
) / 1000</f>
        <v>0</v>
      </c>
      <c r="CG871" s="250">
        <f t="shared" si="783"/>
        <v>25</v>
      </c>
      <c r="CH871" s="237">
        <f t="shared" si="768"/>
        <v>38</v>
      </c>
      <c r="CI871" s="253">
        <f t="shared" si="769"/>
        <v>4.0666935483870965</v>
      </c>
      <c r="CJ871" s="253" cm="1">
        <f t="array" ref="CJ871">$BC871 * IF($AD871&lt;=2,
SUMPRODUCT(INDEX($AL$67:$AN$71,,$AE871), INDEX($AO$67:$AU$71,,$AD871), 1 / ($AV$67:$AV$71*CI871 + (1-$AV$67:$AV$71)*CE871), N($AK$67:$AK$71&gt;$AI871)),
SUMPRODUCT(INDEX($AL$57:$AN$66,,$AE871), INDEX($AO$57:$AU$66,,$AD871), 1 / ($AW$57:$AW$66*CI871 + (1-$AW$57:$AW$66)*CE871), N($AK$57:$AK$66&gt;$AI871))
) / 1000</f>
        <v>0</v>
      </c>
      <c r="CK871" s="250">
        <f t="shared" si="784"/>
        <v>20</v>
      </c>
      <c r="CL871" s="237">
        <f t="shared" si="770"/>
        <v>33</v>
      </c>
      <c r="CM871" s="253">
        <f t="shared" si="771"/>
        <v>4.8487499999999999</v>
      </c>
      <c r="CN871" s="253" cm="1">
        <f t="array" ref="CN871">$BC871 * IF($AD871&lt;=2,
SUMPRODUCT(INDEX($AL$62:$AN$66,,$AE871), INDEX($AO$62:$AU$66,,$AD871), 1 / ($AV$62:$AV$66*CM871 + (1-$AV$62:$AV$66)*CI871), N($AK$62:$AK$66&gt;$AI871)),
SUMPRODUCT(INDEX($AL$47:$AN$56,,$AE871), INDEX($AO$47:$AU$56,,$AD871), 1 / ($AW$47:$AW$56*CM871 + (1-$AW$47:$AW$56)*CI871), N($AK$47:$AK$56&gt;$AI871))
) / 1000</f>
        <v>0</v>
      </c>
      <c r="CO871" s="253" cm="1">
        <f t="array" ref="CO871">$BC871 * IF($AD871&lt;=2,
SUMPRODUCT(INDEX($AL$23:$AN$61,,$AE871), INDEX($AO$23:$AU$61,,$AD871), 1 / ($AV$23:$AV$61*CM871), N($AK$23:$AK$61&gt;$AI871)),
SUMPRODUCT(INDEX($AL$23:$AN$46,,$AE871), INDEX($AO$23:$AU$46,,$AD871), 1 / ($AW$23:$AW$46*CM871), N($AK$23:$AK$46&gt;$AI871))
) / 1000</f>
        <v>0</v>
      </c>
      <c r="CP871" s="237">
        <f t="shared" si="772"/>
        <v>0</v>
      </c>
      <c r="CQ871" s="210"/>
    </row>
    <row r="872" spans="1:95" s="76" customFormat="1" ht="14.25" customHeight="1" x14ac:dyDescent="0.2">
      <c r="A872" s="238" t="b">
        <f t="shared" si="776"/>
        <v>0</v>
      </c>
      <c r="B872" s="239">
        <v>850</v>
      </c>
      <c r="C872" s="258"/>
      <c r="D872" s="258"/>
      <c r="E872" s="240"/>
      <c r="F872" s="241" t="str">
        <f>IF(ISBLANK(E872), "", VLOOKUP(E872, Z!$A$2:$C$4127, 3, FALSE))</f>
        <v/>
      </c>
      <c r="G872" s="242"/>
      <c r="H872" s="242"/>
      <c r="I872" s="243"/>
      <c r="J872" s="244"/>
      <c r="K872" s="259"/>
      <c r="L872" s="260"/>
      <c r="M872" s="247" t="str" cm="1">
        <f t="array" ref="M872">IF($K872&gt;0, INDEX(Clean,1+AG872,$C$1), "")</f>
        <v/>
      </c>
      <c r="N872" s="245"/>
      <c r="O872" s="245"/>
      <c r="P872" s="246"/>
      <c r="Q872" s="248">
        <f t="shared" si="749"/>
        <v>0</v>
      </c>
      <c r="R872" s="247" t="str" cm="1">
        <f t="array" ref="R872">IF($K872&gt;0, INDEX(Clean,1+AH872,$C$1), "")</f>
        <v/>
      </c>
      <c r="S872" s="245"/>
      <c r="T872" s="245"/>
      <c r="U872" s="246"/>
      <c r="V872" s="248">
        <f t="shared" si="750"/>
        <v>0</v>
      </c>
      <c r="W872" s="261"/>
      <c r="X872" s="258"/>
      <c r="Y872" s="240"/>
      <c r="Z872" s="241" t="str">
        <f>IF(ISBLANK(Y872), "", VLOOKUP(Y872, Z!$A$2:$C$4127, 3, FALSE))</f>
        <v/>
      </c>
      <c r="AA872" s="262"/>
      <c r="AB872" s="249">
        <f t="shared" si="785"/>
        <v>0</v>
      </c>
      <c r="AC872" s="210"/>
      <c r="AD872" s="236">
        <f t="shared" si="773"/>
        <v>1</v>
      </c>
      <c r="AE872" s="236">
        <f t="shared" si="774"/>
        <v>1</v>
      </c>
      <c r="AF872" s="236">
        <f t="shared" si="775"/>
        <v>0</v>
      </c>
      <c r="AG872" s="236">
        <v>1</v>
      </c>
      <c r="AH872" s="236">
        <v>0</v>
      </c>
      <c r="AI872" s="236">
        <f t="shared" si="751"/>
        <v>-100</v>
      </c>
      <c r="AJ872" s="210"/>
      <c r="AK872" s="254"/>
      <c r="AL872" s="254"/>
      <c r="AM872" s="255"/>
      <c r="AN872" s="255"/>
      <c r="AO872" s="255"/>
      <c r="AP872" s="255"/>
      <c r="AQ872" s="255"/>
      <c r="AR872" s="255"/>
      <c r="AS872" s="255"/>
      <c r="AT872" s="255"/>
      <c r="AU872" s="255"/>
      <c r="AV872" s="255"/>
      <c r="AW872" s="255"/>
      <c r="AX872" s="210"/>
      <c r="AY872" s="236" cm="1">
        <f t="array" ref="AY872">INDEX(Use, $AD872, 4)</f>
        <v>7</v>
      </c>
      <c r="AZ872" s="236">
        <f t="shared" si="752"/>
        <v>32</v>
      </c>
      <c r="BA872" s="236">
        <f t="shared" si="777"/>
        <v>13</v>
      </c>
      <c r="BB872" s="236">
        <f t="shared" si="778"/>
        <v>0</v>
      </c>
      <c r="BC872" s="252" cm="1">
        <f t="array" ref="BC872">K872/IF($L872&gt;0, INDEX($AO$23:$AU$77, $L872+20, $AD872), 1)</f>
        <v>0</v>
      </c>
      <c r="BD872" s="237">
        <f t="shared" si="753"/>
        <v>0</v>
      </c>
      <c r="BE872" s="236">
        <v>35</v>
      </c>
      <c r="BF872" s="237">
        <f t="shared" si="754"/>
        <v>52.55</v>
      </c>
      <c r="BG872" s="253">
        <f t="shared" si="755"/>
        <v>2.7676728869374316</v>
      </c>
      <c r="BH872" s="253" cm="1">
        <f t="array" ref="BH872">$BC872 * SUMPRODUCT(INDEX($AL$77:$AN$82,,$AE872),INDEX($AO$77:$AU$82,,$AD872), N($AK$77:$AK$82&gt;$AI872)) / BG872 / 1000</f>
        <v>0</v>
      </c>
      <c r="BI872" s="250">
        <f t="shared" si="779"/>
        <v>30</v>
      </c>
      <c r="BJ872" s="237">
        <f t="shared" si="756"/>
        <v>46.033333333333331</v>
      </c>
      <c r="BK872" s="253">
        <f t="shared" si="757"/>
        <v>3.2297395388556791</v>
      </c>
      <c r="BL872" s="253" cm="1">
        <f t="array" ref="BL872">$BC872 * IF($AD872&lt;=2,
SUMPRODUCT(INDEX($AL$72:$AN$76,,$AE872), INDEX($AO$72:$AU$76,,$AD872), 1 / ($AV$72:$AV$76*BK872 + (1-$AV$72:$AV$76)*BG872), N($AK$72:$AK$76&gt;$AI872)),
SUMPRODUCT(INDEX($AL$67:$AN$76,,$AE872), INDEX($AO$67:$AU$76,,$AD872), 1 / ($AW$67:$AW$76*BK872 + (1-$AW$67:$AW$76)*BG872), N($AK$67:$AK$76&gt;$AI872))
) / 1000</f>
        <v>0</v>
      </c>
      <c r="BM872" s="250">
        <f t="shared" si="780"/>
        <v>25</v>
      </c>
      <c r="BN872" s="237">
        <f t="shared" si="758"/>
        <v>39.516666666666666</v>
      </c>
      <c r="BO872" s="253">
        <f t="shared" si="759"/>
        <v>3.877011788826243</v>
      </c>
      <c r="BP872" s="253" cm="1">
        <f t="array" ref="BP872">$BC872 * IF($AD872&lt;=2,
SUMPRODUCT(INDEX($AL$67:$AN$71,,$AE872), INDEX($AO$67:$AU$71,,$AD872), 1 / ($AV$67:$AV$71*BO872 + (1-$AV$67:$AV$71)*BK872), N($AK$67:$AK$71&gt;$AI872)),
SUMPRODUCT(INDEX($AL$57:$AN$66,,$AE872), INDEX($AO$57:$AU$66,,$AD872), 1 / ($AW$57:$AW$66*BO872 + (1-$AW$57:$AW$66)*BK872), N($AK$57:$AK$66&gt;$AI872))
) / 1000</f>
        <v>0</v>
      </c>
      <c r="BQ872" s="250">
        <f t="shared" si="781"/>
        <v>20</v>
      </c>
      <c r="BR872" s="237">
        <f t="shared" si="760"/>
        <v>33</v>
      </c>
      <c r="BS872" s="253">
        <f t="shared" si="761"/>
        <v>4.8487499999999999</v>
      </c>
      <c r="BT872" s="253" cm="1">
        <f t="array" ref="BT872">$BC872 * IF($AD872&lt;=2,
SUMPRODUCT(INDEX($AL$62:$AN$66,,$AE872), INDEX($AO$62:$AU$66,,$AD872), 1 / ($AV$62:$AV$66*BS872 + (1-$AV$62:$AV$66)*BO872), N($AK$62:$AK$66&gt;$AI872)),
SUMPRODUCT(INDEX($AL$47:$AN$56,,$AE872), INDEX($AO$47:$AU$56,,$AD872), 1 / ($AW$47:$AW$56*BS872 + (1-$AW$47:$AW$56)*BO872), N($AK$47:$AK$56&gt;$AI872))
) / 1000</f>
        <v>0</v>
      </c>
      <c r="BU872" s="253" cm="1">
        <f t="array" ref="BU872">$BC872 * IF($AD872&lt;=2,
SUMPRODUCT(INDEX($AL$23:$AN$61,,$AE872), INDEX($AO$23:$AU$61,,$AD872), 1 / ($AV$23:$AV$61*BS872), N($AK$23:$AK$61&gt;$AI872)),
SUMPRODUCT(INDEX($AL$23:$AN$46,,$AE872), INDEX($AO$23:$AU$46,,$AD872), 1 / ($AW$23:$AW$46*BS872), N($AK$23:$AK$46&gt;$AI872))
) / 1000</f>
        <v>0</v>
      </c>
      <c r="BV872" s="237">
        <f t="shared" si="762"/>
        <v>0</v>
      </c>
      <c r="BW872" s="210"/>
      <c r="BX872" s="237">
        <f t="shared" si="763"/>
        <v>0</v>
      </c>
      <c r="BY872" s="236">
        <v>35</v>
      </c>
      <c r="BZ872" s="237">
        <f t="shared" si="764"/>
        <v>48</v>
      </c>
      <c r="CA872" s="253">
        <f t="shared" si="765"/>
        <v>3.0748170731707316</v>
      </c>
      <c r="CB872" s="253" cm="1">
        <f t="array" ref="CB872">$BC872 * SUMPRODUCT(INDEX($AL$77:$AN$82,,$AE872),INDEX($AO$77:$AU$82,,$AD872), N($AK$77:$AK$82&gt;$AI872)) / CA872 / 1000</f>
        <v>0</v>
      </c>
      <c r="CC872" s="250">
        <f t="shared" si="782"/>
        <v>30</v>
      </c>
      <c r="CD872" s="237">
        <f t="shared" si="766"/>
        <v>43</v>
      </c>
      <c r="CE872" s="253">
        <f t="shared" si="767"/>
        <v>3.5018750000000001</v>
      </c>
      <c r="CF872" s="253" cm="1">
        <f t="array" ref="CF872">$BC872 * IF($AD872&lt;=2,
SUMPRODUCT(INDEX($AL$72:$AN$76,,$AE872), INDEX($AO$72:$AU$76,,$AD872), 1 / ($AV$72:$AV$76*CE872 + (1-$AV$72:$AV$76)*CA872), N($AK$72:$AK$76&gt;$AI872)),
SUMPRODUCT(INDEX($AL$67:$AN$76,,$AE872), INDEX($AO$67:$AU$76,,$AD872), 1 / ($AW$67:$AW$76*CE872 + (1-$AW$67:$AW$76)*CA872), N($AK$67:$AK$76&gt;$AI872))
) / 1000</f>
        <v>0</v>
      </c>
      <c r="CG872" s="250">
        <f t="shared" si="783"/>
        <v>25</v>
      </c>
      <c r="CH872" s="237">
        <f t="shared" si="768"/>
        <v>38</v>
      </c>
      <c r="CI872" s="253">
        <f t="shared" si="769"/>
        <v>4.0666935483870965</v>
      </c>
      <c r="CJ872" s="253" cm="1">
        <f t="array" ref="CJ872">$BC872 * IF($AD872&lt;=2,
SUMPRODUCT(INDEX($AL$67:$AN$71,,$AE872), INDEX($AO$67:$AU$71,,$AD872), 1 / ($AV$67:$AV$71*CI872 + (1-$AV$67:$AV$71)*CE872), N($AK$67:$AK$71&gt;$AI872)),
SUMPRODUCT(INDEX($AL$57:$AN$66,,$AE872), INDEX($AO$57:$AU$66,,$AD872), 1 / ($AW$57:$AW$66*CI872 + (1-$AW$57:$AW$66)*CE872), N($AK$57:$AK$66&gt;$AI872))
) / 1000</f>
        <v>0</v>
      </c>
      <c r="CK872" s="250">
        <f t="shared" si="784"/>
        <v>20</v>
      </c>
      <c r="CL872" s="237">
        <f t="shared" si="770"/>
        <v>33</v>
      </c>
      <c r="CM872" s="253">
        <f t="shared" si="771"/>
        <v>4.8487499999999999</v>
      </c>
      <c r="CN872" s="253" cm="1">
        <f t="array" ref="CN872">$BC872 * IF($AD872&lt;=2,
SUMPRODUCT(INDEX($AL$62:$AN$66,,$AE872), INDEX($AO$62:$AU$66,,$AD872), 1 / ($AV$62:$AV$66*CM872 + (1-$AV$62:$AV$66)*CI872), N($AK$62:$AK$66&gt;$AI872)),
SUMPRODUCT(INDEX($AL$47:$AN$56,,$AE872), INDEX($AO$47:$AU$56,,$AD872), 1 / ($AW$47:$AW$56*CM872 + (1-$AW$47:$AW$56)*CI872), N($AK$47:$AK$56&gt;$AI872))
) / 1000</f>
        <v>0</v>
      </c>
      <c r="CO872" s="253" cm="1">
        <f t="array" ref="CO872">$BC872 * IF($AD872&lt;=2,
SUMPRODUCT(INDEX($AL$23:$AN$61,,$AE872), INDEX($AO$23:$AU$61,,$AD872), 1 / ($AV$23:$AV$61*CM872), N($AK$23:$AK$61&gt;$AI872)),
SUMPRODUCT(INDEX($AL$23:$AN$46,,$AE872), INDEX($AO$23:$AU$46,,$AD872), 1 / ($AW$23:$AW$46*CM872), N($AK$23:$AK$46&gt;$AI872))
) / 1000</f>
        <v>0</v>
      </c>
      <c r="CP872" s="237">
        <f t="shared" si="772"/>
        <v>0</v>
      </c>
      <c r="CQ872" s="210"/>
    </row>
    <row r="873" spans="1:95" s="76" customFormat="1" ht="14.25" customHeight="1" x14ac:dyDescent="0.2">
      <c r="A873" s="238" t="b">
        <f t="shared" si="776"/>
        <v>0</v>
      </c>
      <c r="B873" s="239">
        <v>851</v>
      </c>
      <c r="C873" s="258"/>
      <c r="D873" s="258"/>
      <c r="E873" s="240"/>
      <c r="F873" s="241" t="str">
        <f>IF(ISBLANK(E873), "", VLOOKUP(E873, Z!$A$2:$C$4127, 3, FALSE))</f>
        <v/>
      </c>
      <c r="G873" s="242"/>
      <c r="H873" s="242"/>
      <c r="I873" s="243"/>
      <c r="J873" s="244"/>
      <c r="K873" s="259"/>
      <c r="L873" s="260"/>
      <c r="M873" s="247" t="str" cm="1">
        <f t="array" ref="M873">IF($K873&gt;0, INDEX(Clean,1+AG873,$C$1), "")</f>
        <v/>
      </c>
      <c r="N873" s="245"/>
      <c r="O873" s="245"/>
      <c r="P873" s="246"/>
      <c r="Q873" s="248">
        <f t="shared" si="749"/>
        <v>0</v>
      </c>
      <c r="R873" s="247" t="str" cm="1">
        <f t="array" ref="R873">IF($K873&gt;0, INDEX(Clean,1+AH873,$C$1), "")</f>
        <v/>
      </c>
      <c r="S873" s="245"/>
      <c r="T873" s="245"/>
      <c r="U873" s="246"/>
      <c r="V873" s="248">
        <f t="shared" si="750"/>
        <v>0</v>
      </c>
      <c r="W873" s="261"/>
      <c r="X873" s="258"/>
      <c r="Y873" s="240"/>
      <c r="Z873" s="241" t="str">
        <f>IF(ISBLANK(Y873), "", VLOOKUP(Y873, Z!$A$2:$C$4127, 3, FALSE))</f>
        <v/>
      </c>
      <c r="AA873" s="262"/>
      <c r="AB873" s="249">
        <f t="shared" si="785"/>
        <v>0</v>
      </c>
      <c r="AC873" s="210"/>
      <c r="AD873" s="236">
        <f t="shared" si="773"/>
        <v>1</v>
      </c>
      <c r="AE873" s="236">
        <f t="shared" si="774"/>
        <v>1</v>
      </c>
      <c r="AF873" s="236">
        <f t="shared" si="775"/>
        <v>0</v>
      </c>
      <c r="AG873" s="236">
        <v>1</v>
      </c>
      <c r="AH873" s="236">
        <v>0</v>
      </c>
      <c r="AI873" s="236">
        <f t="shared" si="751"/>
        <v>-100</v>
      </c>
      <c r="AJ873" s="210"/>
      <c r="AK873" s="254"/>
      <c r="AL873" s="254"/>
      <c r="AM873" s="255"/>
      <c r="AN873" s="255"/>
      <c r="AO873" s="255"/>
      <c r="AP873" s="255"/>
      <c r="AQ873" s="255"/>
      <c r="AR873" s="255"/>
      <c r="AS873" s="255"/>
      <c r="AT873" s="255"/>
      <c r="AU873" s="255"/>
      <c r="AV873" s="255"/>
      <c r="AW873" s="255"/>
      <c r="AX873" s="210"/>
      <c r="AY873" s="236" cm="1">
        <f t="array" ref="AY873">INDEX(Use, $AD873, 4)</f>
        <v>7</v>
      </c>
      <c r="AZ873" s="236">
        <f t="shared" si="752"/>
        <v>32</v>
      </c>
      <c r="BA873" s="236">
        <f t="shared" si="777"/>
        <v>13</v>
      </c>
      <c r="BB873" s="236">
        <f t="shared" si="778"/>
        <v>0</v>
      </c>
      <c r="BC873" s="252" cm="1">
        <f t="array" ref="BC873">K873/IF($L873&gt;0, INDEX($AO$23:$AU$77, $L873+20, $AD873), 1)</f>
        <v>0</v>
      </c>
      <c r="BD873" s="237">
        <f t="shared" si="753"/>
        <v>0</v>
      </c>
      <c r="BE873" s="236">
        <v>35</v>
      </c>
      <c r="BF873" s="237">
        <f t="shared" si="754"/>
        <v>52.55</v>
      </c>
      <c r="BG873" s="253">
        <f t="shared" si="755"/>
        <v>2.7676728869374316</v>
      </c>
      <c r="BH873" s="253" cm="1">
        <f t="array" ref="BH873">$BC873 * SUMPRODUCT(INDEX($AL$77:$AN$82,,$AE873),INDEX($AO$77:$AU$82,,$AD873), N($AK$77:$AK$82&gt;$AI873)) / BG873 / 1000</f>
        <v>0</v>
      </c>
      <c r="BI873" s="250">
        <f t="shared" si="779"/>
        <v>30</v>
      </c>
      <c r="BJ873" s="237">
        <f t="shared" si="756"/>
        <v>46.033333333333331</v>
      </c>
      <c r="BK873" s="253">
        <f t="shared" si="757"/>
        <v>3.2297395388556791</v>
      </c>
      <c r="BL873" s="253" cm="1">
        <f t="array" ref="BL873">$BC873 * IF($AD873&lt;=2,
SUMPRODUCT(INDEX($AL$72:$AN$76,,$AE873), INDEX($AO$72:$AU$76,,$AD873), 1 / ($AV$72:$AV$76*BK873 + (1-$AV$72:$AV$76)*BG873), N($AK$72:$AK$76&gt;$AI873)),
SUMPRODUCT(INDEX($AL$67:$AN$76,,$AE873), INDEX($AO$67:$AU$76,,$AD873), 1 / ($AW$67:$AW$76*BK873 + (1-$AW$67:$AW$76)*BG873), N($AK$67:$AK$76&gt;$AI873))
) / 1000</f>
        <v>0</v>
      </c>
      <c r="BM873" s="250">
        <f t="shared" si="780"/>
        <v>25</v>
      </c>
      <c r="BN873" s="237">
        <f t="shared" si="758"/>
        <v>39.516666666666666</v>
      </c>
      <c r="BO873" s="253">
        <f t="shared" si="759"/>
        <v>3.877011788826243</v>
      </c>
      <c r="BP873" s="253" cm="1">
        <f t="array" ref="BP873">$BC873 * IF($AD873&lt;=2,
SUMPRODUCT(INDEX($AL$67:$AN$71,,$AE873), INDEX($AO$67:$AU$71,,$AD873), 1 / ($AV$67:$AV$71*BO873 + (1-$AV$67:$AV$71)*BK873), N($AK$67:$AK$71&gt;$AI873)),
SUMPRODUCT(INDEX($AL$57:$AN$66,,$AE873), INDEX($AO$57:$AU$66,,$AD873), 1 / ($AW$57:$AW$66*BO873 + (1-$AW$57:$AW$66)*BK873), N($AK$57:$AK$66&gt;$AI873))
) / 1000</f>
        <v>0</v>
      </c>
      <c r="BQ873" s="250">
        <f t="shared" si="781"/>
        <v>20</v>
      </c>
      <c r="BR873" s="237">
        <f t="shared" si="760"/>
        <v>33</v>
      </c>
      <c r="BS873" s="253">
        <f t="shared" si="761"/>
        <v>4.8487499999999999</v>
      </c>
      <c r="BT873" s="253" cm="1">
        <f t="array" ref="BT873">$BC873 * IF($AD873&lt;=2,
SUMPRODUCT(INDEX($AL$62:$AN$66,,$AE873), INDEX($AO$62:$AU$66,,$AD873), 1 / ($AV$62:$AV$66*BS873 + (1-$AV$62:$AV$66)*BO873), N($AK$62:$AK$66&gt;$AI873)),
SUMPRODUCT(INDEX($AL$47:$AN$56,,$AE873), INDEX($AO$47:$AU$56,,$AD873), 1 / ($AW$47:$AW$56*BS873 + (1-$AW$47:$AW$56)*BO873), N($AK$47:$AK$56&gt;$AI873))
) / 1000</f>
        <v>0</v>
      </c>
      <c r="BU873" s="253" cm="1">
        <f t="array" ref="BU873">$BC873 * IF($AD873&lt;=2,
SUMPRODUCT(INDEX($AL$23:$AN$61,,$AE873), INDEX($AO$23:$AU$61,,$AD873), 1 / ($AV$23:$AV$61*BS873), N($AK$23:$AK$61&gt;$AI873)),
SUMPRODUCT(INDEX($AL$23:$AN$46,,$AE873), INDEX($AO$23:$AU$46,,$AD873), 1 / ($AW$23:$AW$46*BS873), N($AK$23:$AK$46&gt;$AI873))
) / 1000</f>
        <v>0</v>
      </c>
      <c r="BV873" s="237">
        <f t="shared" si="762"/>
        <v>0</v>
      </c>
      <c r="BW873" s="210"/>
      <c r="BX873" s="237">
        <f t="shared" si="763"/>
        <v>0</v>
      </c>
      <c r="BY873" s="236">
        <v>35</v>
      </c>
      <c r="BZ873" s="237">
        <f t="shared" si="764"/>
        <v>48</v>
      </c>
      <c r="CA873" s="253">
        <f t="shared" si="765"/>
        <v>3.0748170731707316</v>
      </c>
      <c r="CB873" s="253" cm="1">
        <f t="array" ref="CB873">$BC873 * SUMPRODUCT(INDEX($AL$77:$AN$82,,$AE873),INDEX($AO$77:$AU$82,,$AD873), N($AK$77:$AK$82&gt;$AI873)) / CA873 / 1000</f>
        <v>0</v>
      </c>
      <c r="CC873" s="250">
        <f t="shared" si="782"/>
        <v>30</v>
      </c>
      <c r="CD873" s="237">
        <f t="shared" si="766"/>
        <v>43</v>
      </c>
      <c r="CE873" s="253">
        <f t="shared" si="767"/>
        <v>3.5018750000000001</v>
      </c>
      <c r="CF873" s="253" cm="1">
        <f t="array" ref="CF873">$BC873 * IF($AD873&lt;=2,
SUMPRODUCT(INDEX($AL$72:$AN$76,,$AE873), INDEX($AO$72:$AU$76,,$AD873), 1 / ($AV$72:$AV$76*CE873 + (1-$AV$72:$AV$76)*CA873), N($AK$72:$AK$76&gt;$AI873)),
SUMPRODUCT(INDEX($AL$67:$AN$76,,$AE873), INDEX($AO$67:$AU$76,,$AD873), 1 / ($AW$67:$AW$76*CE873 + (1-$AW$67:$AW$76)*CA873), N($AK$67:$AK$76&gt;$AI873))
) / 1000</f>
        <v>0</v>
      </c>
      <c r="CG873" s="250">
        <f t="shared" si="783"/>
        <v>25</v>
      </c>
      <c r="CH873" s="237">
        <f t="shared" si="768"/>
        <v>38</v>
      </c>
      <c r="CI873" s="253">
        <f t="shared" si="769"/>
        <v>4.0666935483870965</v>
      </c>
      <c r="CJ873" s="253" cm="1">
        <f t="array" ref="CJ873">$BC873 * IF($AD873&lt;=2,
SUMPRODUCT(INDEX($AL$67:$AN$71,,$AE873), INDEX($AO$67:$AU$71,,$AD873), 1 / ($AV$67:$AV$71*CI873 + (1-$AV$67:$AV$71)*CE873), N($AK$67:$AK$71&gt;$AI873)),
SUMPRODUCT(INDEX($AL$57:$AN$66,,$AE873), INDEX($AO$57:$AU$66,,$AD873), 1 / ($AW$57:$AW$66*CI873 + (1-$AW$57:$AW$66)*CE873), N($AK$57:$AK$66&gt;$AI873))
) / 1000</f>
        <v>0</v>
      </c>
      <c r="CK873" s="250">
        <f t="shared" si="784"/>
        <v>20</v>
      </c>
      <c r="CL873" s="237">
        <f t="shared" si="770"/>
        <v>33</v>
      </c>
      <c r="CM873" s="253">
        <f t="shared" si="771"/>
        <v>4.8487499999999999</v>
      </c>
      <c r="CN873" s="253" cm="1">
        <f t="array" ref="CN873">$BC873 * IF($AD873&lt;=2,
SUMPRODUCT(INDEX($AL$62:$AN$66,,$AE873), INDEX($AO$62:$AU$66,,$AD873), 1 / ($AV$62:$AV$66*CM873 + (1-$AV$62:$AV$66)*CI873), N($AK$62:$AK$66&gt;$AI873)),
SUMPRODUCT(INDEX($AL$47:$AN$56,,$AE873), INDEX($AO$47:$AU$56,,$AD873), 1 / ($AW$47:$AW$56*CM873 + (1-$AW$47:$AW$56)*CI873), N($AK$47:$AK$56&gt;$AI873))
) / 1000</f>
        <v>0</v>
      </c>
      <c r="CO873" s="253" cm="1">
        <f t="array" ref="CO873">$BC873 * IF($AD873&lt;=2,
SUMPRODUCT(INDEX($AL$23:$AN$61,,$AE873), INDEX($AO$23:$AU$61,,$AD873), 1 / ($AV$23:$AV$61*CM873), N($AK$23:$AK$61&gt;$AI873)),
SUMPRODUCT(INDEX($AL$23:$AN$46,,$AE873), INDEX($AO$23:$AU$46,,$AD873), 1 / ($AW$23:$AW$46*CM873), N($AK$23:$AK$46&gt;$AI873))
) / 1000</f>
        <v>0</v>
      </c>
      <c r="CP873" s="237">
        <f t="shared" si="772"/>
        <v>0</v>
      </c>
      <c r="CQ873" s="210"/>
    </row>
    <row r="874" spans="1:95" s="76" customFormat="1" ht="14.25" customHeight="1" x14ac:dyDescent="0.2">
      <c r="A874" s="238" t="b">
        <f t="shared" si="776"/>
        <v>0</v>
      </c>
      <c r="B874" s="239">
        <v>852</v>
      </c>
      <c r="C874" s="258"/>
      <c r="D874" s="258"/>
      <c r="E874" s="240"/>
      <c r="F874" s="241" t="str">
        <f>IF(ISBLANK(E874), "", VLOOKUP(E874, Z!$A$2:$C$4127, 3, FALSE))</f>
        <v/>
      </c>
      <c r="G874" s="242"/>
      <c r="H874" s="242"/>
      <c r="I874" s="243"/>
      <c r="J874" s="244"/>
      <c r="K874" s="259"/>
      <c r="L874" s="260"/>
      <c r="M874" s="247" t="str" cm="1">
        <f t="array" ref="M874">IF($K874&gt;0, INDEX(Clean,1+AG874,$C$1), "")</f>
        <v/>
      </c>
      <c r="N874" s="245"/>
      <c r="O874" s="245"/>
      <c r="P874" s="246"/>
      <c r="Q874" s="248">
        <f t="shared" si="749"/>
        <v>0</v>
      </c>
      <c r="R874" s="247" t="str" cm="1">
        <f t="array" ref="R874">IF($K874&gt;0, INDEX(Clean,1+AH874,$C$1), "")</f>
        <v/>
      </c>
      <c r="S874" s="245"/>
      <c r="T874" s="245"/>
      <c r="U874" s="246"/>
      <c r="V874" s="248">
        <f t="shared" si="750"/>
        <v>0</v>
      </c>
      <c r="W874" s="261"/>
      <c r="X874" s="258"/>
      <c r="Y874" s="240"/>
      <c r="Z874" s="241" t="str">
        <f>IF(ISBLANK(Y874), "", VLOOKUP(Y874, Z!$A$2:$C$4127, 3, FALSE))</f>
        <v/>
      </c>
      <c r="AA874" s="262"/>
      <c r="AB874" s="249">
        <f t="shared" si="785"/>
        <v>0</v>
      </c>
      <c r="AC874" s="210"/>
      <c r="AD874" s="236">
        <f t="shared" si="773"/>
        <v>1</v>
      </c>
      <c r="AE874" s="236">
        <f t="shared" si="774"/>
        <v>1</v>
      </c>
      <c r="AF874" s="236">
        <f t="shared" si="775"/>
        <v>0</v>
      </c>
      <c r="AG874" s="236">
        <v>1</v>
      </c>
      <c r="AH874" s="236">
        <v>0</v>
      </c>
      <c r="AI874" s="236">
        <f t="shared" si="751"/>
        <v>-100</v>
      </c>
      <c r="AJ874" s="210"/>
      <c r="AK874" s="254"/>
      <c r="AL874" s="254"/>
      <c r="AM874" s="255"/>
      <c r="AN874" s="255"/>
      <c r="AO874" s="255"/>
      <c r="AP874" s="255"/>
      <c r="AQ874" s="255"/>
      <c r="AR874" s="255"/>
      <c r="AS874" s="255"/>
      <c r="AT874" s="255"/>
      <c r="AU874" s="255"/>
      <c r="AV874" s="255"/>
      <c r="AW874" s="255"/>
      <c r="AX874" s="210"/>
      <c r="AY874" s="236" cm="1">
        <f t="array" ref="AY874">INDEX(Use, $AD874, 4)</f>
        <v>7</v>
      </c>
      <c r="AZ874" s="236">
        <f t="shared" si="752"/>
        <v>32</v>
      </c>
      <c r="BA874" s="236">
        <f t="shared" si="777"/>
        <v>13</v>
      </c>
      <c r="BB874" s="236">
        <f t="shared" si="778"/>
        <v>0</v>
      </c>
      <c r="BC874" s="252" cm="1">
        <f t="array" ref="BC874">K874/IF($L874&gt;0, INDEX($AO$23:$AU$77, $L874+20, $AD874), 1)</f>
        <v>0</v>
      </c>
      <c r="BD874" s="237">
        <f t="shared" si="753"/>
        <v>0</v>
      </c>
      <c r="BE874" s="236">
        <v>35</v>
      </c>
      <c r="BF874" s="237">
        <f t="shared" si="754"/>
        <v>52.55</v>
      </c>
      <c r="BG874" s="253">
        <f t="shared" si="755"/>
        <v>2.7676728869374316</v>
      </c>
      <c r="BH874" s="253" cm="1">
        <f t="array" ref="BH874">$BC874 * SUMPRODUCT(INDEX($AL$77:$AN$82,,$AE874),INDEX($AO$77:$AU$82,,$AD874), N($AK$77:$AK$82&gt;$AI874)) / BG874 / 1000</f>
        <v>0</v>
      </c>
      <c r="BI874" s="250">
        <f t="shared" si="779"/>
        <v>30</v>
      </c>
      <c r="BJ874" s="237">
        <f t="shared" si="756"/>
        <v>46.033333333333331</v>
      </c>
      <c r="BK874" s="253">
        <f t="shared" si="757"/>
        <v>3.2297395388556791</v>
      </c>
      <c r="BL874" s="253" cm="1">
        <f t="array" ref="BL874">$BC874 * IF($AD874&lt;=2,
SUMPRODUCT(INDEX($AL$72:$AN$76,,$AE874), INDEX($AO$72:$AU$76,,$AD874), 1 / ($AV$72:$AV$76*BK874 + (1-$AV$72:$AV$76)*BG874), N($AK$72:$AK$76&gt;$AI874)),
SUMPRODUCT(INDEX($AL$67:$AN$76,,$AE874), INDEX($AO$67:$AU$76,,$AD874), 1 / ($AW$67:$AW$76*BK874 + (1-$AW$67:$AW$76)*BG874), N($AK$67:$AK$76&gt;$AI874))
) / 1000</f>
        <v>0</v>
      </c>
      <c r="BM874" s="250">
        <f t="shared" si="780"/>
        <v>25</v>
      </c>
      <c r="BN874" s="237">
        <f t="shared" si="758"/>
        <v>39.516666666666666</v>
      </c>
      <c r="BO874" s="253">
        <f t="shared" si="759"/>
        <v>3.877011788826243</v>
      </c>
      <c r="BP874" s="253" cm="1">
        <f t="array" ref="BP874">$BC874 * IF($AD874&lt;=2,
SUMPRODUCT(INDEX($AL$67:$AN$71,,$AE874), INDEX($AO$67:$AU$71,,$AD874), 1 / ($AV$67:$AV$71*BO874 + (1-$AV$67:$AV$71)*BK874), N($AK$67:$AK$71&gt;$AI874)),
SUMPRODUCT(INDEX($AL$57:$AN$66,,$AE874), INDEX($AO$57:$AU$66,,$AD874), 1 / ($AW$57:$AW$66*BO874 + (1-$AW$57:$AW$66)*BK874), N($AK$57:$AK$66&gt;$AI874))
) / 1000</f>
        <v>0</v>
      </c>
      <c r="BQ874" s="250">
        <f t="shared" si="781"/>
        <v>20</v>
      </c>
      <c r="BR874" s="237">
        <f t="shared" si="760"/>
        <v>33</v>
      </c>
      <c r="BS874" s="253">
        <f t="shared" si="761"/>
        <v>4.8487499999999999</v>
      </c>
      <c r="BT874" s="253" cm="1">
        <f t="array" ref="BT874">$BC874 * IF($AD874&lt;=2,
SUMPRODUCT(INDEX($AL$62:$AN$66,,$AE874), INDEX($AO$62:$AU$66,,$AD874), 1 / ($AV$62:$AV$66*BS874 + (1-$AV$62:$AV$66)*BO874), N($AK$62:$AK$66&gt;$AI874)),
SUMPRODUCT(INDEX($AL$47:$AN$56,,$AE874), INDEX($AO$47:$AU$56,,$AD874), 1 / ($AW$47:$AW$56*BS874 + (1-$AW$47:$AW$56)*BO874), N($AK$47:$AK$56&gt;$AI874))
) / 1000</f>
        <v>0</v>
      </c>
      <c r="BU874" s="253" cm="1">
        <f t="array" ref="BU874">$BC874 * IF($AD874&lt;=2,
SUMPRODUCT(INDEX($AL$23:$AN$61,,$AE874), INDEX($AO$23:$AU$61,,$AD874), 1 / ($AV$23:$AV$61*BS874), N($AK$23:$AK$61&gt;$AI874)),
SUMPRODUCT(INDEX($AL$23:$AN$46,,$AE874), INDEX($AO$23:$AU$46,,$AD874), 1 / ($AW$23:$AW$46*BS874), N($AK$23:$AK$46&gt;$AI874))
) / 1000</f>
        <v>0</v>
      </c>
      <c r="BV874" s="237">
        <f t="shared" si="762"/>
        <v>0</v>
      </c>
      <c r="BW874" s="210"/>
      <c r="BX874" s="237">
        <f t="shared" si="763"/>
        <v>0</v>
      </c>
      <c r="BY874" s="236">
        <v>35</v>
      </c>
      <c r="BZ874" s="237">
        <f t="shared" si="764"/>
        <v>48</v>
      </c>
      <c r="CA874" s="253">
        <f t="shared" si="765"/>
        <v>3.0748170731707316</v>
      </c>
      <c r="CB874" s="253" cm="1">
        <f t="array" ref="CB874">$BC874 * SUMPRODUCT(INDEX($AL$77:$AN$82,,$AE874),INDEX($AO$77:$AU$82,,$AD874), N($AK$77:$AK$82&gt;$AI874)) / CA874 / 1000</f>
        <v>0</v>
      </c>
      <c r="CC874" s="250">
        <f t="shared" si="782"/>
        <v>30</v>
      </c>
      <c r="CD874" s="237">
        <f t="shared" si="766"/>
        <v>43</v>
      </c>
      <c r="CE874" s="253">
        <f t="shared" si="767"/>
        <v>3.5018750000000001</v>
      </c>
      <c r="CF874" s="253" cm="1">
        <f t="array" ref="CF874">$BC874 * IF($AD874&lt;=2,
SUMPRODUCT(INDEX($AL$72:$AN$76,,$AE874), INDEX($AO$72:$AU$76,,$AD874), 1 / ($AV$72:$AV$76*CE874 + (1-$AV$72:$AV$76)*CA874), N($AK$72:$AK$76&gt;$AI874)),
SUMPRODUCT(INDEX($AL$67:$AN$76,,$AE874), INDEX($AO$67:$AU$76,,$AD874), 1 / ($AW$67:$AW$76*CE874 + (1-$AW$67:$AW$76)*CA874), N($AK$67:$AK$76&gt;$AI874))
) / 1000</f>
        <v>0</v>
      </c>
      <c r="CG874" s="250">
        <f t="shared" si="783"/>
        <v>25</v>
      </c>
      <c r="CH874" s="237">
        <f t="shared" si="768"/>
        <v>38</v>
      </c>
      <c r="CI874" s="253">
        <f t="shared" si="769"/>
        <v>4.0666935483870965</v>
      </c>
      <c r="CJ874" s="253" cm="1">
        <f t="array" ref="CJ874">$BC874 * IF($AD874&lt;=2,
SUMPRODUCT(INDEX($AL$67:$AN$71,,$AE874), INDEX($AO$67:$AU$71,,$AD874), 1 / ($AV$67:$AV$71*CI874 + (1-$AV$67:$AV$71)*CE874), N($AK$67:$AK$71&gt;$AI874)),
SUMPRODUCT(INDEX($AL$57:$AN$66,,$AE874), INDEX($AO$57:$AU$66,,$AD874), 1 / ($AW$57:$AW$66*CI874 + (1-$AW$57:$AW$66)*CE874), N($AK$57:$AK$66&gt;$AI874))
) / 1000</f>
        <v>0</v>
      </c>
      <c r="CK874" s="250">
        <f t="shared" si="784"/>
        <v>20</v>
      </c>
      <c r="CL874" s="237">
        <f t="shared" si="770"/>
        <v>33</v>
      </c>
      <c r="CM874" s="253">
        <f t="shared" si="771"/>
        <v>4.8487499999999999</v>
      </c>
      <c r="CN874" s="253" cm="1">
        <f t="array" ref="CN874">$BC874 * IF($AD874&lt;=2,
SUMPRODUCT(INDEX($AL$62:$AN$66,,$AE874), INDEX($AO$62:$AU$66,,$AD874), 1 / ($AV$62:$AV$66*CM874 + (1-$AV$62:$AV$66)*CI874), N($AK$62:$AK$66&gt;$AI874)),
SUMPRODUCT(INDEX($AL$47:$AN$56,,$AE874), INDEX($AO$47:$AU$56,,$AD874), 1 / ($AW$47:$AW$56*CM874 + (1-$AW$47:$AW$56)*CI874), N($AK$47:$AK$56&gt;$AI874))
) / 1000</f>
        <v>0</v>
      </c>
      <c r="CO874" s="253" cm="1">
        <f t="array" ref="CO874">$BC874 * IF($AD874&lt;=2,
SUMPRODUCT(INDEX($AL$23:$AN$61,,$AE874), INDEX($AO$23:$AU$61,,$AD874), 1 / ($AV$23:$AV$61*CM874), N($AK$23:$AK$61&gt;$AI874)),
SUMPRODUCT(INDEX($AL$23:$AN$46,,$AE874), INDEX($AO$23:$AU$46,,$AD874), 1 / ($AW$23:$AW$46*CM874), N($AK$23:$AK$46&gt;$AI874))
) / 1000</f>
        <v>0</v>
      </c>
      <c r="CP874" s="237">
        <f t="shared" si="772"/>
        <v>0</v>
      </c>
      <c r="CQ874" s="210"/>
    </row>
    <row r="875" spans="1:95" s="76" customFormat="1" ht="14.25" customHeight="1" x14ac:dyDescent="0.2">
      <c r="A875" s="238" t="b">
        <f t="shared" si="776"/>
        <v>0</v>
      </c>
      <c r="B875" s="239">
        <v>853</v>
      </c>
      <c r="C875" s="258"/>
      <c r="D875" s="258"/>
      <c r="E875" s="240"/>
      <c r="F875" s="241" t="str">
        <f>IF(ISBLANK(E875), "", VLOOKUP(E875, Z!$A$2:$C$4127, 3, FALSE))</f>
        <v/>
      </c>
      <c r="G875" s="242"/>
      <c r="H875" s="242"/>
      <c r="I875" s="243"/>
      <c r="J875" s="244"/>
      <c r="K875" s="259"/>
      <c r="L875" s="260"/>
      <c r="M875" s="247" t="str" cm="1">
        <f t="array" ref="M875">IF($K875&gt;0, INDEX(Clean,1+AG875,$C$1), "")</f>
        <v/>
      </c>
      <c r="N875" s="245"/>
      <c r="O875" s="245"/>
      <c r="P875" s="246"/>
      <c r="Q875" s="248">
        <f t="shared" si="749"/>
        <v>0</v>
      </c>
      <c r="R875" s="247" t="str" cm="1">
        <f t="array" ref="R875">IF($K875&gt;0, INDEX(Clean,1+AH875,$C$1), "")</f>
        <v/>
      </c>
      <c r="S875" s="245"/>
      <c r="T875" s="245"/>
      <c r="U875" s="246"/>
      <c r="V875" s="248">
        <f t="shared" si="750"/>
        <v>0</v>
      </c>
      <c r="W875" s="261"/>
      <c r="X875" s="258"/>
      <c r="Y875" s="240"/>
      <c r="Z875" s="241" t="str">
        <f>IF(ISBLANK(Y875), "", VLOOKUP(Y875, Z!$A$2:$C$4127, 3, FALSE))</f>
        <v/>
      </c>
      <c r="AA875" s="262"/>
      <c r="AB875" s="249">
        <f t="shared" si="785"/>
        <v>0</v>
      </c>
      <c r="AC875" s="210"/>
      <c r="AD875" s="236">
        <f t="shared" si="773"/>
        <v>1</v>
      </c>
      <c r="AE875" s="236">
        <f t="shared" si="774"/>
        <v>1</v>
      </c>
      <c r="AF875" s="236">
        <f t="shared" si="775"/>
        <v>0</v>
      </c>
      <c r="AG875" s="236">
        <v>1</v>
      </c>
      <c r="AH875" s="236">
        <v>0</v>
      </c>
      <c r="AI875" s="236">
        <f t="shared" si="751"/>
        <v>-100</v>
      </c>
      <c r="AJ875" s="210"/>
      <c r="AK875" s="254"/>
      <c r="AL875" s="254"/>
      <c r="AM875" s="255"/>
      <c r="AN875" s="255"/>
      <c r="AO875" s="255"/>
      <c r="AP875" s="255"/>
      <c r="AQ875" s="255"/>
      <c r="AR875" s="255"/>
      <c r="AS875" s="255"/>
      <c r="AT875" s="255"/>
      <c r="AU875" s="255"/>
      <c r="AV875" s="255"/>
      <c r="AW875" s="255"/>
      <c r="AX875" s="210"/>
      <c r="AY875" s="236" cm="1">
        <f t="array" ref="AY875">INDEX(Use, $AD875, 4)</f>
        <v>7</v>
      </c>
      <c r="AZ875" s="236">
        <f t="shared" si="752"/>
        <v>32</v>
      </c>
      <c r="BA875" s="236">
        <f t="shared" si="777"/>
        <v>13</v>
      </c>
      <c r="BB875" s="236">
        <f t="shared" si="778"/>
        <v>0</v>
      </c>
      <c r="BC875" s="252" cm="1">
        <f t="array" ref="BC875">K875/IF($L875&gt;0, INDEX($AO$23:$AU$77, $L875+20, $AD875), 1)</f>
        <v>0</v>
      </c>
      <c r="BD875" s="237">
        <f t="shared" si="753"/>
        <v>0</v>
      </c>
      <c r="BE875" s="236">
        <v>35</v>
      </c>
      <c r="BF875" s="237">
        <f t="shared" si="754"/>
        <v>52.55</v>
      </c>
      <c r="BG875" s="253">
        <f t="shared" si="755"/>
        <v>2.7676728869374316</v>
      </c>
      <c r="BH875" s="253" cm="1">
        <f t="array" ref="BH875">$BC875 * SUMPRODUCT(INDEX($AL$77:$AN$82,,$AE875),INDEX($AO$77:$AU$82,,$AD875), N($AK$77:$AK$82&gt;$AI875)) / BG875 / 1000</f>
        <v>0</v>
      </c>
      <c r="BI875" s="250">
        <f t="shared" si="779"/>
        <v>30</v>
      </c>
      <c r="BJ875" s="237">
        <f t="shared" si="756"/>
        <v>46.033333333333331</v>
      </c>
      <c r="BK875" s="253">
        <f t="shared" si="757"/>
        <v>3.2297395388556791</v>
      </c>
      <c r="BL875" s="253" cm="1">
        <f t="array" ref="BL875">$BC875 * IF($AD875&lt;=2,
SUMPRODUCT(INDEX($AL$72:$AN$76,,$AE875), INDEX($AO$72:$AU$76,,$AD875), 1 / ($AV$72:$AV$76*BK875 + (1-$AV$72:$AV$76)*BG875), N($AK$72:$AK$76&gt;$AI875)),
SUMPRODUCT(INDEX($AL$67:$AN$76,,$AE875), INDEX($AO$67:$AU$76,,$AD875), 1 / ($AW$67:$AW$76*BK875 + (1-$AW$67:$AW$76)*BG875), N($AK$67:$AK$76&gt;$AI875))
) / 1000</f>
        <v>0</v>
      </c>
      <c r="BM875" s="250">
        <f t="shared" si="780"/>
        <v>25</v>
      </c>
      <c r="BN875" s="237">
        <f t="shared" si="758"/>
        <v>39.516666666666666</v>
      </c>
      <c r="BO875" s="253">
        <f t="shared" si="759"/>
        <v>3.877011788826243</v>
      </c>
      <c r="BP875" s="253" cm="1">
        <f t="array" ref="BP875">$BC875 * IF($AD875&lt;=2,
SUMPRODUCT(INDEX($AL$67:$AN$71,,$AE875), INDEX($AO$67:$AU$71,,$AD875), 1 / ($AV$67:$AV$71*BO875 + (1-$AV$67:$AV$71)*BK875), N($AK$67:$AK$71&gt;$AI875)),
SUMPRODUCT(INDEX($AL$57:$AN$66,,$AE875), INDEX($AO$57:$AU$66,,$AD875), 1 / ($AW$57:$AW$66*BO875 + (1-$AW$57:$AW$66)*BK875), N($AK$57:$AK$66&gt;$AI875))
) / 1000</f>
        <v>0</v>
      </c>
      <c r="BQ875" s="250">
        <f t="shared" si="781"/>
        <v>20</v>
      </c>
      <c r="BR875" s="237">
        <f t="shared" si="760"/>
        <v>33</v>
      </c>
      <c r="BS875" s="253">
        <f t="shared" si="761"/>
        <v>4.8487499999999999</v>
      </c>
      <c r="BT875" s="253" cm="1">
        <f t="array" ref="BT875">$BC875 * IF($AD875&lt;=2,
SUMPRODUCT(INDEX($AL$62:$AN$66,,$AE875), INDEX($AO$62:$AU$66,,$AD875), 1 / ($AV$62:$AV$66*BS875 + (1-$AV$62:$AV$66)*BO875), N($AK$62:$AK$66&gt;$AI875)),
SUMPRODUCT(INDEX($AL$47:$AN$56,,$AE875), INDEX($AO$47:$AU$56,,$AD875), 1 / ($AW$47:$AW$56*BS875 + (1-$AW$47:$AW$56)*BO875), N($AK$47:$AK$56&gt;$AI875))
) / 1000</f>
        <v>0</v>
      </c>
      <c r="BU875" s="253" cm="1">
        <f t="array" ref="BU875">$BC875 * IF($AD875&lt;=2,
SUMPRODUCT(INDEX($AL$23:$AN$61,,$AE875), INDEX($AO$23:$AU$61,,$AD875), 1 / ($AV$23:$AV$61*BS875), N($AK$23:$AK$61&gt;$AI875)),
SUMPRODUCT(INDEX($AL$23:$AN$46,,$AE875), INDEX($AO$23:$AU$46,,$AD875), 1 / ($AW$23:$AW$46*BS875), N($AK$23:$AK$46&gt;$AI875))
) / 1000</f>
        <v>0</v>
      </c>
      <c r="BV875" s="237">
        <f t="shared" si="762"/>
        <v>0</v>
      </c>
      <c r="BW875" s="210"/>
      <c r="BX875" s="237">
        <f t="shared" si="763"/>
        <v>0</v>
      </c>
      <c r="BY875" s="236">
        <v>35</v>
      </c>
      <c r="BZ875" s="237">
        <f t="shared" si="764"/>
        <v>48</v>
      </c>
      <c r="CA875" s="253">
        <f t="shared" si="765"/>
        <v>3.0748170731707316</v>
      </c>
      <c r="CB875" s="253" cm="1">
        <f t="array" ref="CB875">$BC875 * SUMPRODUCT(INDEX($AL$77:$AN$82,,$AE875),INDEX($AO$77:$AU$82,,$AD875), N($AK$77:$AK$82&gt;$AI875)) / CA875 / 1000</f>
        <v>0</v>
      </c>
      <c r="CC875" s="250">
        <f t="shared" si="782"/>
        <v>30</v>
      </c>
      <c r="CD875" s="237">
        <f t="shared" si="766"/>
        <v>43</v>
      </c>
      <c r="CE875" s="253">
        <f t="shared" si="767"/>
        <v>3.5018750000000001</v>
      </c>
      <c r="CF875" s="253" cm="1">
        <f t="array" ref="CF875">$BC875 * IF($AD875&lt;=2,
SUMPRODUCT(INDEX($AL$72:$AN$76,,$AE875), INDEX($AO$72:$AU$76,,$AD875), 1 / ($AV$72:$AV$76*CE875 + (1-$AV$72:$AV$76)*CA875), N($AK$72:$AK$76&gt;$AI875)),
SUMPRODUCT(INDEX($AL$67:$AN$76,,$AE875), INDEX($AO$67:$AU$76,,$AD875), 1 / ($AW$67:$AW$76*CE875 + (1-$AW$67:$AW$76)*CA875), N($AK$67:$AK$76&gt;$AI875))
) / 1000</f>
        <v>0</v>
      </c>
      <c r="CG875" s="250">
        <f t="shared" si="783"/>
        <v>25</v>
      </c>
      <c r="CH875" s="237">
        <f t="shared" si="768"/>
        <v>38</v>
      </c>
      <c r="CI875" s="253">
        <f t="shared" si="769"/>
        <v>4.0666935483870965</v>
      </c>
      <c r="CJ875" s="253" cm="1">
        <f t="array" ref="CJ875">$BC875 * IF($AD875&lt;=2,
SUMPRODUCT(INDEX($AL$67:$AN$71,,$AE875), INDEX($AO$67:$AU$71,,$AD875), 1 / ($AV$67:$AV$71*CI875 + (1-$AV$67:$AV$71)*CE875), N($AK$67:$AK$71&gt;$AI875)),
SUMPRODUCT(INDEX($AL$57:$AN$66,,$AE875), INDEX($AO$57:$AU$66,,$AD875), 1 / ($AW$57:$AW$66*CI875 + (1-$AW$57:$AW$66)*CE875), N($AK$57:$AK$66&gt;$AI875))
) / 1000</f>
        <v>0</v>
      </c>
      <c r="CK875" s="250">
        <f t="shared" si="784"/>
        <v>20</v>
      </c>
      <c r="CL875" s="237">
        <f t="shared" si="770"/>
        <v>33</v>
      </c>
      <c r="CM875" s="253">
        <f t="shared" si="771"/>
        <v>4.8487499999999999</v>
      </c>
      <c r="CN875" s="253" cm="1">
        <f t="array" ref="CN875">$BC875 * IF($AD875&lt;=2,
SUMPRODUCT(INDEX($AL$62:$AN$66,,$AE875), INDEX($AO$62:$AU$66,,$AD875), 1 / ($AV$62:$AV$66*CM875 + (1-$AV$62:$AV$66)*CI875), N($AK$62:$AK$66&gt;$AI875)),
SUMPRODUCT(INDEX($AL$47:$AN$56,,$AE875), INDEX($AO$47:$AU$56,,$AD875), 1 / ($AW$47:$AW$56*CM875 + (1-$AW$47:$AW$56)*CI875), N($AK$47:$AK$56&gt;$AI875))
) / 1000</f>
        <v>0</v>
      </c>
      <c r="CO875" s="253" cm="1">
        <f t="array" ref="CO875">$BC875 * IF($AD875&lt;=2,
SUMPRODUCT(INDEX($AL$23:$AN$61,,$AE875), INDEX($AO$23:$AU$61,,$AD875), 1 / ($AV$23:$AV$61*CM875), N($AK$23:$AK$61&gt;$AI875)),
SUMPRODUCT(INDEX($AL$23:$AN$46,,$AE875), INDEX($AO$23:$AU$46,,$AD875), 1 / ($AW$23:$AW$46*CM875), N($AK$23:$AK$46&gt;$AI875))
) / 1000</f>
        <v>0</v>
      </c>
      <c r="CP875" s="237">
        <f t="shared" si="772"/>
        <v>0</v>
      </c>
      <c r="CQ875" s="210"/>
    </row>
    <row r="876" spans="1:95" s="76" customFormat="1" ht="14.25" customHeight="1" x14ac:dyDescent="0.2">
      <c r="A876" s="238" t="b">
        <f t="shared" si="776"/>
        <v>0</v>
      </c>
      <c r="B876" s="239">
        <v>854</v>
      </c>
      <c r="C876" s="258"/>
      <c r="D876" s="258"/>
      <c r="E876" s="240"/>
      <c r="F876" s="241" t="str">
        <f>IF(ISBLANK(E876), "", VLOOKUP(E876, Z!$A$2:$C$4127, 3, FALSE))</f>
        <v/>
      </c>
      <c r="G876" s="242"/>
      <c r="H876" s="242"/>
      <c r="I876" s="243"/>
      <c r="J876" s="244"/>
      <c r="K876" s="259"/>
      <c r="L876" s="260"/>
      <c r="M876" s="247" t="str" cm="1">
        <f t="array" ref="M876">IF($K876&gt;0, INDEX(Clean,1+AG876,$C$1), "")</f>
        <v/>
      </c>
      <c r="N876" s="245"/>
      <c r="O876" s="245"/>
      <c r="P876" s="246"/>
      <c r="Q876" s="248">
        <f t="shared" si="749"/>
        <v>0</v>
      </c>
      <c r="R876" s="247" t="str" cm="1">
        <f t="array" ref="R876">IF($K876&gt;0, INDEX(Clean,1+AH876,$C$1), "")</f>
        <v/>
      </c>
      <c r="S876" s="245"/>
      <c r="T876" s="245"/>
      <c r="U876" s="246"/>
      <c r="V876" s="248">
        <f t="shared" si="750"/>
        <v>0</v>
      </c>
      <c r="W876" s="261"/>
      <c r="X876" s="258"/>
      <c r="Y876" s="240"/>
      <c r="Z876" s="241" t="str">
        <f>IF(ISBLANK(Y876), "", VLOOKUP(Y876, Z!$A$2:$C$4127, 3, FALSE))</f>
        <v/>
      </c>
      <c r="AA876" s="262"/>
      <c r="AB876" s="249">
        <f t="shared" si="785"/>
        <v>0</v>
      </c>
      <c r="AC876" s="210"/>
      <c r="AD876" s="236">
        <f t="shared" si="773"/>
        <v>1</v>
      </c>
      <c r="AE876" s="236">
        <f t="shared" si="774"/>
        <v>1</v>
      </c>
      <c r="AF876" s="236">
        <f t="shared" si="775"/>
        <v>0</v>
      </c>
      <c r="AG876" s="236">
        <v>1</v>
      </c>
      <c r="AH876" s="236">
        <v>0</v>
      </c>
      <c r="AI876" s="236">
        <f t="shared" si="751"/>
        <v>-100</v>
      </c>
      <c r="AJ876" s="210"/>
      <c r="AK876" s="254"/>
      <c r="AL876" s="254"/>
      <c r="AM876" s="255"/>
      <c r="AN876" s="255"/>
      <c r="AO876" s="255"/>
      <c r="AP876" s="255"/>
      <c r="AQ876" s="255"/>
      <c r="AR876" s="255"/>
      <c r="AS876" s="255"/>
      <c r="AT876" s="255"/>
      <c r="AU876" s="255"/>
      <c r="AV876" s="255"/>
      <c r="AW876" s="255"/>
      <c r="AX876" s="210"/>
      <c r="AY876" s="236" cm="1">
        <f t="array" ref="AY876">INDEX(Use, $AD876, 4)</f>
        <v>7</v>
      </c>
      <c r="AZ876" s="236">
        <f t="shared" si="752"/>
        <v>32</v>
      </c>
      <c r="BA876" s="236">
        <f t="shared" si="777"/>
        <v>13</v>
      </c>
      <c r="BB876" s="236">
        <f t="shared" si="778"/>
        <v>0</v>
      </c>
      <c r="BC876" s="252" cm="1">
        <f t="array" ref="BC876">K876/IF($L876&gt;0, INDEX($AO$23:$AU$77, $L876+20, $AD876), 1)</f>
        <v>0</v>
      </c>
      <c r="BD876" s="237">
        <f t="shared" si="753"/>
        <v>0</v>
      </c>
      <c r="BE876" s="236">
        <v>35</v>
      </c>
      <c r="BF876" s="237">
        <f t="shared" si="754"/>
        <v>52.55</v>
      </c>
      <c r="BG876" s="253">
        <f t="shared" si="755"/>
        <v>2.7676728869374316</v>
      </c>
      <c r="BH876" s="253" cm="1">
        <f t="array" ref="BH876">$BC876 * SUMPRODUCT(INDEX($AL$77:$AN$82,,$AE876),INDEX($AO$77:$AU$82,,$AD876), N($AK$77:$AK$82&gt;$AI876)) / BG876 / 1000</f>
        <v>0</v>
      </c>
      <c r="BI876" s="250">
        <f t="shared" si="779"/>
        <v>30</v>
      </c>
      <c r="BJ876" s="237">
        <f t="shared" si="756"/>
        <v>46.033333333333331</v>
      </c>
      <c r="BK876" s="253">
        <f t="shared" si="757"/>
        <v>3.2297395388556791</v>
      </c>
      <c r="BL876" s="253" cm="1">
        <f t="array" ref="BL876">$BC876 * IF($AD876&lt;=2,
SUMPRODUCT(INDEX($AL$72:$AN$76,,$AE876), INDEX($AO$72:$AU$76,,$AD876), 1 / ($AV$72:$AV$76*BK876 + (1-$AV$72:$AV$76)*BG876), N($AK$72:$AK$76&gt;$AI876)),
SUMPRODUCT(INDEX($AL$67:$AN$76,,$AE876), INDEX($AO$67:$AU$76,,$AD876), 1 / ($AW$67:$AW$76*BK876 + (1-$AW$67:$AW$76)*BG876), N($AK$67:$AK$76&gt;$AI876))
) / 1000</f>
        <v>0</v>
      </c>
      <c r="BM876" s="250">
        <f t="shared" si="780"/>
        <v>25</v>
      </c>
      <c r="BN876" s="237">
        <f t="shared" si="758"/>
        <v>39.516666666666666</v>
      </c>
      <c r="BO876" s="253">
        <f t="shared" si="759"/>
        <v>3.877011788826243</v>
      </c>
      <c r="BP876" s="253" cm="1">
        <f t="array" ref="BP876">$BC876 * IF($AD876&lt;=2,
SUMPRODUCT(INDEX($AL$67:$AN$71,,$AE876), INDEX($AO$67:$AU$71,,$AD876), 1 / ($AV$67:$AV$71*BO876 + (1-$AV$67:$AV$71)*BK876), N($AK$67:$AK$71&gt;$AI876)),
SUMPRODUCT(INDEX($AL$57:$AN$66,,$AE876), INDEX($AO$57:$AU$66,,$AD876), 1 / ($AW$57:$AW$66*BO876 + (1-$AW$57:$AW$66)*BK876), N($AK$57:$AK$66&gt;$AI876))
) / 1000</f>
        <v>0</v>
      </c>
      <c r="BQ876" s="250">
        <f t="shared" si="781"/>
        <v>20</v>
      </c>
      <c r="BR876" s="237">
        <f t="shared" si="760"/>
        <v>33</v>
      </c>
      <c r="BS876" s="253">
        <f t="shared" si="761"/>
        <v>4.8487499999999999</v>
      </c>
      <c r="BT876" s="253" cm="1">
        <f t="array" ref="BT876">$BC876 * IF($AD876&lt;=2,
SUMPRODUCT(INDEX($AL$62:$AN$66,,$AE876), INDEX($AO$62:$AU$66,,$AD876), 1 / ($AV$62:$AV$66*BS876 + (1-$AV$62:$AV$66)*BO876), N($AK$62:$AK$66&gt;$AI876)),
SUMPRODUCT(INDEX($AL$47:$AN$56,,$AE876), INDEX($AO$47:$AU$56,,$AD876), 1 / ($AW$47:$AW$56*BS876 + (1-$AW$47:$AW$56)*BO876), N($AK$47:$AK$56&gt;$AI876))
) / 1000</f>
        <v>0</v>
      </c>
      <c r="BU876" s="253" cm="1">
        <f t="array" ref="BU876">$BC876 * IF($AD876&lt;=2,
SUMPRODUCT(INDEX($AL$23:$AN$61,,$AE876), INDEX($AO$23:$AU$61,,$AD876), 1 / ($AV$23:$AV$61*BS876), N($AK$23:$AK$61&gt;$AI876)),
SUMPRODUCT(INDEX($AL$23:$AN$46,,$AE876), INDEX($AO$23:$AU$46,,$AD876), 1 / ($AW$23:$AW$46*BS876), N($AK$23:$AK$46&gt;$AI876))
) / 1000</f>
        <v>0</v>
      </c>
      <c r="BV876" s="237">
        <f t="shared" si="762"/>
        <v>0</v>
      </c>
      <c r="BW876" s="210"/>
      <c r="BX876" s="237">
        <f t="shared" si="763"/>
        <v>0</v>
      </c>
      <c r="BY876" s="236">
        <v>35</v>
      </c>
      <c r="BZ876" s="237">
        <f t="shared" si="764"/>
        <v>48</v>
      </c>
      <c r="CA876" s="253">
        <f t="shared" si="765"/>
        <v>3.0748170731707316</v>
      </c>
      <c r="CB876" s="253" cm="1">
        <f t="array" ref="CB876">$BC876 * SUMPRODUCT(INDEX($AL$77:$AN$82,,$AE876),INDEX($AO$77:$AU$82,,$AD876), N($AK$77:$AK$82&gt;$AI876)) / CA876 / 1000</f>
        <v>0</v>
      </c>
      <c r="CC876" s="250">
        <f t="shared" si="782"/>
        <v>30</v>
      </c>
      <c r="CD876" s="237">
        <f t="shared" si="766"/>
        <v>43</v>
      </c>
      <c r="CE876" s="253">
        <f t="shared" si="767"/>
        <v>3.5018750000000001</v>
      </c>
      <c r="CF876" s="253" cm="1">
        <f t="array" ref="CF876">$BC876 * IF($AD876&lt;=2,
SUMPRODUCT(INDEX($AL$72:$AN$76,,$AE876), INDEX($AO$72:$AU$76,,$AD876), 1 / ($AV$72:$AV$76*CE876 + (1-$AV$72:$AV$76)*CA876), N($AK$72:$AK$76&gt;$AI876)),
SUMPRODUCT(INDEX($AL$67:$AN$76,,$AE876), INDEX($AO$67:$AU$76,,$AD876), 1 / ($AW$67:$AW$76*CE876 + (1-$AW$67:$AW$76)*CA876), N($AK$67:$AK$76&gt;$AI876))
) / 1000</f>
        <v>0</v>
      </c>
      <c r="CG876" s="250">
        <f t="shared" si="783"/>
        <v>25</v>
      </c>
      <c r="CH876" s="237">
        <f t="shared" si="768"/>
        <v>38</v>
      </c>
      <c r="CI876" s="253">
        <f t="shared" si="769"/>
        <v>4.0666935483870965</v>
      </c>
      <c r="CJ876" s="253" cm="1">
        <f t="array" ref="CJ876">$BC876 * IF($AD876&lt;=2,
SUMPRODUCT(INDEX($AL$67:$AN$71,,$AE876), INDEX($AO$67:$AU$71,,$AD876), 1 / ($AV$67:$AV$71*CI876 + (1-$AV$67:$AV$71)*CE876), N($AK$67:$AK$71&gt;$AI876)),
SUMPRODUCT(INDEX($AL$57:$AN$66,,$AE876), INDEX($AO$57:$AU$66,,$AD876), 1 / ($AW$57:$AW$66*CI876 + (1-$AW$57:$AW$66)*CE876), N($AK$57:$AK$66&gt;$AI876))
) / 1000</f>
        <v>0</v>
      </c>
      <c r="CK876" s="250">
        <f t="shared" si="784"/>
        <v>20</v>
      </c>
      <c r="CL876" s="237">
        <f t="shared" si="770"/>
        <v>33</v>
      </c>
      <c r="CM876" s="253">
        <f t="shared" si="771"/>
        <v>4.8487499999999999</v>
      </c>
      <c r="CN876" s="253" cm="1">
        <f t="array" ref="CN876">$BC876 * IF($AD876&lt;=2,
SUMPRODUCT(INDEX($AL$62:$AN$66,,$AE876), INDEX($AO$62:$AU$66,,$AD876), 1 / ($AV$62:$AV$66*CM876 + (1-$AV$62:$AV$66)*CI876), N($AK$62:$AK$66&gt;$AI876)),
SUMPRODUCT(INDEX($AL$47:$AN$56,,$AE876), INDEX($AO$47:$AU$56,,$AD876), 1 / ($AW$47:$AW$56*CM876 + (1-$AW$47:$AW$56)*CI876), N($AK$47:$AK$56&gt;$AI876))
) / 1000</f>
        <v>0</v>
      </c>
      <c r="CO876" s="253" cm="1">
        <f t="array" ref="CO876">$BC876 * IF($AD876&lt;=2,
SUMPRODUCT(INDEX($AL$23:$AN$61,,$AE876), INDEX($AO$23:$AU$61,,$AD876), 1 / ($AV$23:$AV$61*CM876), N($AK$23:$AK$61&gt;$AI876)),
SUMPRODUCT(INDEX($AL$23:$AN$46,,$AE876), INDEX($AO$23:$AU$46,,$AD876), 1 / ($AW$23:$AW$46*CM876), N($AK$23:$AK$46&gt;$AI876))
) / 1000</f>
        <v>0</v>
      </c>
      <c r="CP876" s="237">
        <f t="shared" si="772"/>
        <v>0</v>
      </c>
      <c r="CQ876" s="210"/>
    </row>
    <row r="877" spans="1:95" s="76" customFormat="1" ht="14.25" customHeight="1" x14ac:dyDescent="0.2">
      <c r="A877" s="238" t="b">
        <f t="shared" si="776"/>
        <v>0</v>
      </c>
      <c r="B877" s="239">
        <v>855</v>
      </c>
      <c r="C877" s="258"/>
      <c r="D877" s="258"/>
      <c r="E877" s="240"/>
      <c r="F877" s="241" t="str">
        <f>IF(ISBLANK(E877), "", VLOOKUP(E877, Z!$A$2:$C$4127, 3, FALSE))</f>
        <v/>
      </c>
      <c r="G877" s="242"/>
      <c r="H877" s="242"/>
      <c r="I877" s="243"/>
      <c r="J877" s="244"/>
      <c r="K877" s="259"/>
      <c r="L877" s="260"/>
      <c r="M877" s="247" t="str" cm="1">
        <f t="array" ref="M877">IF($K877&gt;0, INDEX(Clean,1+AG877,$C$1), "")</f>
        <v/>
      </c>
      <c r="N877" s="245"/>
      <c r="O877" s="245"/>
      <c r="P877" s="246"/>
      <c r="Q877" s="248">
        <f t="shared" si="749"/>
        <v>0</v>
      </c>
      <c r="R877" s="247" t="str" cm="1">
        <f t="array" ref="R877">IF($K877&gt;0, INDEX(Clean,1+AH877,$C$1), "")</f>
        <v/>
      </c>
      <c r="S877" s="245"/>
      <c r="T877" s="245"/>
      <c r="U877" s="246"/>
      <c r="V877" s="248">
        <f t="shared" si="750"/>
        <v>0</v>
      </c>
      <c r="W877" s="261"/>
      <c r="X877" s="258"/>
      <c r="Y877" s="240"/>
      <c r="Z877" s="241" t="str">
        <f>IF(ISBLANK(Y877), "", VLOOKUP(Y877, Z!$A$2:$C$4127, 3, FALSE))</f>
        <v/>
      </c>
      <c r="AA877" s="262"/>
      <c r="AB877" s="249">
        <f t="shared" si="785"/>
        <v>0</v>
      </c>
      <c r="AC877" s="210"/>
      <c r="AD877" s="236">
        <f t="shared" si="773"/>
        <v>1</v>
      </c>
      <c r="AE877" s="236">
        <f t="shared" si="774"/>
        <v>1</v>
      </c>
      <c r="AF877" s="236">
        <f t="shared" si="775"/>
        <v>0</v>
      </c>
      <c r="AG877" s="236">
        <v>1</v>
      </c>
      <c r="AH877" s="236">
        <v>0</v>
      </c>
      <c r="AI877" s="236">
        <f t="shared" si="751"/>
        <v>-100</v>
      </c>
      <c r="AJ877" s="210"/>
      <c r="AK877" s="254"/>
      <c r="AL877" s="254"/>
      <c r="AM877" s="255"/>
      <c r="AN877" s="255"/>
      <c r="AO877" s="255"/>
      <c r="AP877" s="255"/>
      <c r="AQ877" s="255"/>
      <c r="AR877" s="255"/>
      <c r="AS877" s="255"/>
      <c r="AT877" s="255"/>
      <c r="AU877" s="255"/>
      <c r="AV877" s="255"/>
      <c r="AW877" s="255"/>
      <c r="AX877" s="210"/>
      <c r="AY877" s="236" cm="1">
        <f t="array" ref="AY877">INDEX(Use, $AD877, 4)</f>
        <v>7</v>
      </c>
      <c r="AZ877" s="236">
        <f t="shared" si="752"/>
        <v>32</v>
      </c>
      <c r="BA877" s="236">
        <f t="shared" si="777"/>
        <v>13</v>
      </c>
      <c r="BB877" s="236">
        <f t="shared" si="778"/>
        <v>0</v>
      </c>
      <c r="BC877" s="252" cm="1">
        <f t="array" ref="BC877">K877/IF($L877&gt;0, INDEX($AO$23:$AU$77, $L877+20, $AD877), 1)</f>
        <v>0</v>
      </c>
      <c r="BD877" s="237">
        <f t="shared" si="753"/>
        <v>0</v>
      </c>
      <c r="BE877" s="236">
        <v>35</v>
      </c>
      <c r="BF877" s="237">
        <f t="shared" si="754"/>
        <v>52.55</v>
      </c>
      <c r="BG877" s="253">
        <f t="shared" si="755"/>
        <v>2.7676728869374316</v>
      </c>
      <c r="BH877" s="253" cm="1">
        <f t="array" ref="BH877">$BC877 * SUMPRODUCT(INDEX($AL$77:$AN$82,,$AE877),INDEX($AO$77:$AU$82,,$AD877), N($AK$77:$AK$82&gt;$AI877)) / BG877 / 1000</f>
        <v>0</v>
      </c>
      <c r="BI877" s="250">
        <f t="shared" si="779"/>
        <v>30</v>
      </c>
      <c r="BJ877" s="237">
        <f t="shared" si="756"/>
        <v>46.033333333333331</v>
      </c>
      <c r="BK877" s="253">
        <f t="shared" si="757"/>
        <v>3.2297395388556791</v>
      </c>
      <c r="BL877" s="253" cm="1">
        <f t="array" ref="BL877">$BC877 * IF($AD877&lt;=2,
SUMPRODUCT(INDEX($AL$72:$AN$76,,$AE877), INDEX($AO$72:$AU$76,,$AD877), 1 / ($AV$72:$AV$76*BK877 + (1-$AV$72:$AV$76)*BG877), N($AK$72:$AK$76&gt;$AI877)),
SUMPRODUCT(INDEX($AL$67:$AN$76,,$AE877), INDEX($AO$67:$AU$76,,$AD877), 1 / ($AW$67:$AW$76*BK877 + (1-$AW$67:$AW$76)*BG877), N($AK$67:$AK$76&gt;$AI877))
) / 1000</f>
        <v>0</v>
      </c>
      <c r="BM877" s="250">
        <f t="shared" si="780"/>
        <v>25</v>
      </c>
      <c r="BN877" s="237">
        <f t="shared" si="758"/>
        <v>39.516666666666666</v>
      </c>
      <c r="BO877" s="253">
        <f t="shared" si="759"/>
        <v>3.877011788826243</v>
      </c>
      <c r="BP877" s="253" cm="1">
        <f t="array" ref="BP877">$BC877 * IF($AD877&lt;=2,
SUMPRODUCT(INDEX($AL$67:$AN$71,,$AE877), INDEX($AO$67:$AU$71,,$AD877), 1 / ($AV$67:$AV$71*BO877 + (1-$AV$67:$AV$71)*BK877), N($AK$67:$AK$71&gt;$AI877)),
SUMPRODUCT(INDEX($AL$57:$AN$66,,$AE877), INDEX($AO$57:$AU$66,,$AD877), 1 / ($AW$57:$AW$66*BO877 + (1-$AW$57:$AW$66)*BK877), N($AK$57:$AK$66&gt;$AI877))
) / 1000</f>
        <v>0</v>
      </c>
      <c r="BQ877" s="250">
        <f t="shared" si="781"/>
        <v>20</v>
      </c>
      <c r="BR877" s="237">
        <f t="shared" si="760"/>
        <v>33</v>
      </c>
      <c r="BS877" s="253">
        <f t="shared" si="761"/>
        <v>4.8487499999999999</v>
      </c>
      <c r="BT877" s="253" cm="1">
        <f t="array" ref="BT877">$BC877 * IF($AD877&lt;=2,
SUMPRODUCT(INDEX($AL$62:$AN$66,,$AE877), INDEX($AO$62:$AU$66,,$AD877), 1 / ($AV$62:$AV$66*BS877 + (1-$AV$62:$AV$66)*BO877), N($AK$62:$AK$66&gt;$AI877)),
SUMPRODUCT(INDEX($AL$47:$AN$56,,$AE877), INDEX($AO$47:$AU$56,,$AD877), 1 / ($AW$47:$AW$56*BS877 + (1-$AW$47:$AW$56)*BO877), N($AK$47:$AK$56&gt;$AI877))
) / 1000</f>
        <v>0</v>
      </c>
      <c r="BU877" s="253" cm="1">
        <f t="array" ref="BU877">$BC877 * IF($AD877&lt;=2,
SUMPRODUCT(INDEX($AL$23:$AN$61,,$AE877), INDEX($AO$23:$AU$61,,$AD877), 1 / ($AV$23:$AV$61*BS877), N($AK$23:$AK$61&gt;$AI877)),
SUMPRODUCT(INDEX($AL$23:$AN$46,,$AE877), INDEX($AO$23:$AU$46,,$AD877), 1 / ($AW$23:$AW$46*BS877), N($AK$23:$AK$46&gt;$AI877))
) / 1000</f>
        <v>0</v>
      </c>
      <c r="BV877" s="237">
        <f t="shared" si="762"/>
        <v>0</v>
      </c>
      <c r="BW877" s="210"/>
      <c r="BX877" s="237">
        <f t="shared" si="763"/>
        <v>0</v>
      </c>
      <c r="BY877" s="236">
        <v>35</v>
      </c>
      <c r="BZ877" s="237">
        <f t="shared" si="764"/>
        <v>48</v>
      </c>
      <c r="CA877" s="253">
        <f t="shared" si="765"/>
        <v>3.0748170731707316</v>
      </c>
      <c r="CB877" s="253" cm="1">
        <f t="array" ref="CB877">$BC877 * SUMPRODUCT(INDEX($AL$77:$AN$82,,$AE877),INDEX($AO$77:$AU$82,,$AD877), N($AK$77:$AK$82&gt;$AI877)) / CA877 / 1000</f>
        <v>0</v>
      </c>
      <c r="CC877" s="250">
        <f t="shared" si="782"/>
        <v>30</v>
      </c>
      <c r="CD877" s="237">
        <f t="shared" si="766"/>
        <v>43</v>
      </c>
      <c r="CE877" s="253">
        <f t="shared" si="767"/>
        <v>3.5018750000000001</v>
      </c>
      <c r="CF877" s="253" cm="1">
        <f t="array" ref="CF877">$BC877 * IF($AD877&lt;=2,
SUMPRODUCT(INDEX($AL$72:$AN$76,,$AE877), INDEX($AO$72:$AU$76,,$AD877), 1 / ($AV$72:$AV$76*CE877 + (1-$AV$72:$AV$76)*CA877), N($AK$72:$AK$76&gt;$AI877)),
SUMPRODUCT(INDEX($AL$67:$AN$76,,$AE877), INDEX($AO$67:$AU$76,,$AD877), 1 / ($AW$67:$AW$76*CE877 + (1-$AW$67:$AW$76)*CA877), N($AK$67:$AK$76&gt;$AI877))
) / 1000</f>
        <v>0</v>
      </c>
      <c r="CG877" s="250">
        <f t="shared" si="783"/>
        <v>25</v>
      </c>
      <c r="CH877" s="237">
        <f t="shared" si="768"/>
        <v>38</v>
      </c>
      <c r="CI877" s="253">
        <f t="shared" si="769"/>
        <v>4.0666935483870965</v>
      </c>
      <c r="CJ877" s="253" cm="1">
        <f t="array" ref="CJ877">$BC877 * IF($AD877&lt;=2,
SUMPRODUCT(INDEX($AL$67:$AN$71,,$AE877), INDEX($AO$67:$AU$71,,$AD877), 1 / ($AV$67:$AV$71*CI877 + (1-$AV$67:$AV$71)*CE877), N($AK$67:$AK$71&gt;$AI877)),
SUMPRODUCT(INDEX($AL$57:$AN$66,,$AE877), INDEX($AO$57:$AU$66,,$AD877), 1 / ($AW$57:$AW$66*CI877 + (1-$AW$57:$AW$66)*CE877), N($AK$57:$AK$66&gt;$AI877))
) / 1000</f>
        <v>0</v>
      </c>
      <c r="CK877" s="250">
        <f t="shared" si="784"/>
        <v>20</v>
      </c>
      <c r="CL877" s="237">
        <f t="shared" si="770"/>
        <v>33</v>
      </c>
      <c r="CM877" s="253">
        <f t="shared" si="771"/>
        <v>4.8487499999999999</v>
      </c>
      <c r="CN877" s="253" cm="1">
        <f t="array" ref="CN877">$BC877 * IF($AD877&lt;=2,
SUMPRODUCT(INDEX($AL$62:$AN$66,,$AE877), INDEX($AO$62:$AU$66,,$AD877), 1 / ($AV$62:$AV$66*CM877 + (1-$AV$62:$AV$66)*CI877), N($AK$62:$AK$66&gt;$AI877)),
SUMPRODUCT(INDEX($AL$47:$AN$56,,$AE877), INDEX($AO$47:$AU$56,,$AD877), 1 / ($AW$47:$AW$56*CM877 + (1-$AW$47:$AW$56)*CI877), N($AK$47:$AK$56&gt;$AI877))
) / 1000</f>
        <v>0</v>
      </c>
      <c r="CO877" s="253" cm="1">
        <f t="array" ref="CO877">$BC877 * IF($AD877&lt;=2,
SUMPRODUCT(INDEX($AL$23:$AN$61,,$AE877), INDEX($AO$23:$AU$61,,$AD877), 1 / ($AV$23:$AV$61*CM877), N($AK$23:$AK$61&gt;$AI877)),
SUMPRODUCT(INDEX($AL$23:$AN$46,,$AE877), INDEX($AO$23:$AU$46,,$AD877), 1 / ($AW$23:$AW$46*CM877), N($AK$23:$AK$46&gt;$AI877))
) / 1000</f>
        <v>0</v>
      </c>
      <c r="CP877" s="237">
        <f t="shared" si="772"/>
        <v>0</v>
      </c>
      <c r="CQ877" s="210"/>
    </row>
    <row r="878" spans="1:95" s="76" customFormat="1" ht="14.25" customHeight="1" x14ac:dyDescent="0.2">
      <c r="A878" s="238" t="b">
        <f t="shared" si="776"/>
        <v>0</v>
      </c>
      <c r="B878" s="239">
        <v>856</v>
      </c>
      <c r="C878" s="258"/>
      <c r="D878" s="258"/>
      <c r="E878" s="240"/>
      <c r="F878" s="241" t="str">
        <f>IF(ISBLANK(E878), "", VLOOKUP(E878, Z!$A$2:$C$4127, 3, FALSE))</f>
        <v/>
      </c>
      <c r="G878" s="242"/>
      <c r="H878" s="242"/>
      <c r="I878" s="243"/>
      <c r="J878" s="244"/>
      <c r="K878" s="259"/>
      <c r="L878" s="260"/>
      <c r="M878" s="247" t="str" cm="1">
        <f t="array" ref="M878">IF($K878&gt;0, INDEX(Clean,1+AG878,$C$1), "")</f>
        <v/>
      </c>
      <c r="N878" s="245"/>
      <c r="O878" s="245"/>
      <c r="P878" s="246"/>
      <c r="Q878" s="248">
        <f t="shared" si="749"/>
        <v>0</v>
      </c>
      <c r="R878" s="247" t="str" cm="1">
        <f t="array" ref="R878">IF($K878&gt;0, INDEX(Clean,1+AH878,$C$1), "")</f>
        <v/>
      </c>
      <c r="S878" s="245"/>
      <c r="T878" s="245"/>
      <c r="U878" s="246"/>
      <c r="V878" s="248">
        <f t="shared" si="750"/>
        <v>0</v>
      </c>
      <c r="W878" s="261"/>
      <c r="X878" s="258"/>
      <c r="Y878" s="240"/>
      <c r="Z878" s="241" t="str">
        <f>IF(ISBLANK(Y878), "", VLOOKUP(Y878, Z!$A$2:$C$4127, 3, FALSE))</f>
        <v/>
      </c>
      <c r="AA878" s="262"/>
      <c r="AB878" s="249">
        <f t="shared" si="785"/>
        <v>0</v>
      </c>
      <c r="AC878" s="210"/>
      <c r="AD878" s="236">
        <f t="shared" si="773"/>
        <v>1</v>
      </c>
      <c r="AE878" s="236">
        <f t="shared" si="774"/>
        <v>1</v>
      </c>
      <c r="AF878" s="236">
        <f t="shared" si="775"/>
        <v>0</v>
      </c>
      <c r="AG878" s="236">
        <v>1</v>
      </c>
      <c r="AH878" s="236">
        <v>0</v>
      </c>
      <c r="AI878" s="236">
        <f t="shared" si="751"/>
        <v>-100</v>
      </c>
      <c r="AJ878" s="210"/>
      <c r="AK878" s="254"/>
      <c r="AL878" s="254"/>
      <c r="AM878" s="255"/>
      <c r="AN878" s="255"/>
      <c r="AO878" s="255"/>
      <c r="AP878" s="255"/>
      <c r="AQ878" s="255"/>
      <c r="AR878" s="255"/>
      <c r="AS878" s="255"/>
      <c r="AT878" s="255"/>
      <c r="AU878" s="255"/>
      <c r="AV878" s="255"/>
      <c r="AW878" s="255"/>
      <c r="AX878" s="210"/>
      <c r="AY878" s="236" cm="1">
        <f t="array" ref="AY878">INDEX(Use, $AD878, 4)</f>
        <v>7</v>
      </c>
      <c r="AZ878" s="236">
        <f t="shared" si="752"/>
        <v>32</v>
      </c>
      <c r="BA878" s="236">
        <f t="shared" si="777"/>
        <v>13</v>
      </c>
      <c r="BB878" s="236">
        <f t="shared" si="778"/>
        <v>0</v>
      </c>
      <c r="BC878" s="252" cm="1">
        <f t="array" ref="BC878">K878/IF($L878&gt;0, INDEX($AO$23:$AU$77, $L878+20, $AD878), 1)</f>
        <v>0</v>
      </c>
      <c r="BD878" s="237">
        <f t="shared" si="753"/>
        <v>0</v>
      </c>
      <c r="BE878" s="236">
        <v>35</v>
      </c>
      <c r="BF878" s="237">
        <f t="shared" si="754"/>
        <v>52.55</v>
      </c>
      <c r="BG878" s="253">
        <f t="shared" si="755"/>
        <v>2.7676728869374316</v>
      </c>
      <c r="BH878" s="253" cm="1">
        <f t="array" ref="BH878">$BC878 * SUMPRODUCT(INDEX($AL$77:$AN$82,,$AE878),INDEX($AO$77:$AU$82,,$AD878), N($AK$77:$AK$82&gt;$AI878)) / BG878 / 1000</f>
        <v>0</v>
      </c>
      <c r="BI878" s="250">
        <f t="shared" si="779"/>
        <v>30</v>
      </c>
      <c r="BJ878" s="237">
        <f t="shared" si="756"/>
        <v>46.033333333333331</v>
      </c>
      <c r="BK878" s="253">
        <f t="shared" si="757"/>
        <v>3.2297395388556791</v>
      </c>
      <c r="BL878" s="253" cm="1">
        <f t="array" ref="BL878">$BC878 * IF($AD878&lt;=2,
SUMPRODUCT(INDEX($AL$72:$AN$76,,$AE878), INDEX($AO$72:$AU$76,,$AD878), 1 / ($AV$72:$AV$76*BK878 + (1-$AV$72:$AV$76)*BG878), N($AK$72:$AK$76&gt;$AI878)),
SUMPRODUCT(INDEX($AL$67:$AN$76,,$AE878), INDEX($AO$67:$AU$76,,$AD878), 1 / ($AW$67:$AW$76*BK878 + (1-$AW$67:$AW$76)*BG878), N($AK$67:$AK$76&gt;$AI878))
) / 1000</f>
        <v>0</v>
      </c>
      <c r="BM878" s="250">
        <f t="shared" si="780"/>
        <v>25</v>
      </c>
      <c r="BN878" s="237">
        <f t="shared" si="758"/>
        <v>39.516666666666666</v>
      </c>
      <c r="BO878" s="253">
        <f t="shared" si="759"/>
        <v>3.877011788826243</v>
      </c>
      <c r="BP878" s="253" cm="1">
        <f t="array" ref="BP878">$BC878 * IF($AD878&lt;=2,
SUMPRODUCT(INDEX($AL$67:$AN$71,,$AE878), INDEX($AO$67:$AU$71,,$AD878), 1 / ($AV$67:$AV$71*BO878 + (1-$AV$67:$AV$71)*BK878), N($AK$67:$AK$71&gt;$AI878)),
SUMPRODUCT(INDEX($AL$57:$AN$66,,$AE878), INDEX($AO$57:$AU$66,,$AD878), 1 / ($AW$57:$AW$66*BO878 + (1-$AW$57:$AW$66)*BK878), N($AK$57:$AK$66&gt;$AI878))
) / 1000</f>
        <v>0</v>
      </c>
      <c r="BQ878" s="250">
        <f t="shared" si="781"/>
        <v>20</v>
      </c>
      <c r="BR878" s="237">
        <f t="shared" si="760"/>
        <v>33</v>
      </c>
      <c r="BS878" s="253">
        <f t="shared" si="761"/>
        <v>4.8487499999999999</v>
      </c>
      <c r="BT878" s="253" cm="1">
        <f t="array" ref="BT878">$BC878 * IF($AD878&lt;=2,
SUMPRODUCT(INDEX($AL$62:$AN$66,,$AE878), INDEX($AO$62:$AU$66,,$AD878), 1 / ($AV$62:$AV$66*BS878 + (1-$AV$62:$AV$66)*BO878), N($AK$62:$AK$66&gt;$AI878)),
SUMPRODUCT(INDEX($AL$47:$AN$56,,$AE878), INDEX($AO$47:$AU$56,,$AD878), 1 / ($AW$47:$AW$56*BS878 + (1-$AW$47:$AW$56)*BO878), N($AK$47:$AK$56&gt;$AI878))
) / 1000</f>
        <v>0</v>
      </c>
      <c r="BU878" s="253" cm="1">
        <f t="array" ref="BU878">$BC878 * IF($AD878&lt;=2,
SUMPRODUCT(INDEX($AL$23:$AN$61,,$AE878), INDEX($AO$23:$AU$61,,$AD878), 1 / ($AV$23:$AV$61*BS878), N($AK$23:$AK$61&gt;$AI878)),
SUMPRODUCT(INDEX($AL$23:$AN$46,,$AE878), INDEX($AO$23:$AU$46,,$AD878), 1 / ($AW$23:$AW$46*BS878), N($AK$23:$AK$46&gt;$AI878))
) / 1000</f>
        <v>0</v>
      </c>
      <c r="BV878" s="237">
        <f t="shared" si="762"/>
        <v>0</v>
      </c>
      <c r="BW878" s="210"/>
      <c r="BX878" s="237">
        <f t="shared" si="763"/>
        <v>0</v>
      </c>
      <c r="BY878" s="236">
        <v>35</v>
      </c>
      <c r="BZ878" s="237">
        <f t="shared" si="764"/>
        <v>48</v>
      </c>
      <c r="CA878" s="253">
        <f t="shared" si="765"/>
        <v>3.0748170731707316</v>
      </c>
      <c r="CB878" s="253" cm="1">
        <f t="array" ref="CB878">$BC878 * SUMPRODUCT(INDEX($AL$77:$AN$82,,$AE878),INDEX($AO$77:$AU$82,,$AD878), N($AK$77:$AK$82&gt;$AI878)) / CA878 / 1000</f>
        <v>0</v>
      </c>
      <c r="CC878" s="250">
        <f t="shared" si="782"/>
        <v>30</v>
      </c>
      <c r="CD878" s="237">
        <f t="shared" si="766"/>
        <v>43</v>
      </c>
      <c r="CE878" s="253">
        <f t="shared" si="767"/>
        <v>3.5018750000000001</v>
      </c>
      <c r="CF878" s="253" cm="1">
        <f t="array" ref="CF878">$BC878 * IF($AD878&lt;=2,
SUMPRODUCT(INDEX($AL$72:$AN$76,,$AE878), INDEX($AO$72:$AU$76,,$AD878), 1 / ($AV$72:$AV$76*CE878 + (1-$AV$72:$AV$76)*CA878), N($AK$72:$AK$76&gt;$AI878)),
SUMPRODUCT(INDEX($AL$67:$AN$76,,$AE878), INDEX($AO$67:$AU$76,,$AD878), 1 / ($AW$67:$AW$76*CE878 + (1-$AW$67:$AW$76)*CA878), N($AK$67:$AK$76&gt;$AI878))
) / 1000</f>
        <v>0</v>
      </c>
      <c r="CG878" s="250">
        <f t="shared" si="783"/>
        <v>25</v>
      </c>
      <c r="CH878" s="237">
        <f t="shared" si="768"/>
        <v>38</v>
      </c>
      <c r="CI878" s="253">
        <f t="shared" si="769"/>
        <v>4.0666935483870965</v>
      </c>
      <c r="CJ878" s="253" cm="1">
        <f t="array" ref="CJ878">$BC878 * IF($AD878&lt;=2,
SUMPRODUCT(INDEX($AL$67:$AN$71,,$AE878), INDEX($AO$67:$AU$71,,$AD878), 1 / ($AV$67:$AV$71*CI878 + (1-$AV$67:$AV$71)*CE878), N($AK$67:$AK$71&gt;$AI878)),
SUMPRODUCT(INDEX($AL$57:$AN$66,,$AE878), INDEX($AO$57:$AU$66,,$AD878), 1 / ($AW$57:$AW$66*CI878 + (1-$AW$57:$AW$66)*CE878), N($AK$57:$AK$66&gt;$AI878))
) / 1000</f>
        <v>0</v>
      </c>
      <c r="CK878" s="250">
        <f t="shared" si="784"/>
        <v>20</v>
      </c>
      <c r="CL878" s="237">
        <f t="shared" si="770"/>
        <v>33</v>
      </c>
      <c r="CM878" s="253">
        <f t="shared" si="771"/>
        <v>4.8487499999999999</v>
      </c>
      <c r="CN878" s="253" cm="1">
        <f t="array" ref="CN878">$BC878 * IF($AD878&lt;=2,
SUMPRODUCT(INDEX($AL$62:$AN$66,,$AE878), INDEX($AO$62:$AU$66,,$AD878), 1 / ($AV$62:$AV$66*CM878 + (1-$AV$62:$AV$66)*CI878), N($AK$62:$AK$66&gt;$AI878)),
SUMPRODUCT(INDEX($AL$47:$AN$56,,$AE878), INDEX($AO$47:$AU$56,,$AD878), 1 / ($AW$47:$AW$56*CM878 + (1-$AW$47:$AW$56)*CI878), N($AK$47:$AK$56&gt;$AI878))
) / 1000</f>
        <v>0</v>
      </c>
      <c r="CO878" s="253" cm="1">
        <f t="array" ref="CO878">$BC878 * IF($AD878&lt;=2,
SUMPRODUCT(INDEX($AL$23:$AN$61,,$AE878), INDEX($AO$23:$AU$61,,$AD878), 1 / ($AV$23:$AV$61*CM878), N($AK$23:$AK$61&gt;$AI878)),
SUMPRODUCT(INDEX($AL$23:$AN$46,,$AE878), INDEX($AO$23:$AU$46,,$AD878), 1 / ($AW$23:$AW$46*CM878), N($AK$23:$AK$46&gt;$AI878))
) / 1000</f>
        <v>0</v>
      </c>
      <c r="CP878" s="237">
        <f t="shared" si="772"/>
        <v>0</v>
      </c>
      <c r="CQ878" s="210"/>
    </row>
    <row r="879" spans="1:95" s="76" customFormat="1" ht="14.25" customHeight="1" x14ac:dyDescent="0.2">
      <c r="A879" s="238" t="b">
        <f t="shared" si="776"/>
        <v>0</v>
      </c>
      <c r="B879" s="239">
        <v>857</v>
      </c>
      <c r="C879" s="258"/>
      <c r="D879" s="258"/>
      <c r="E879" s="240"/>
      <c r="F879" s="241" t="str">
        <f>IF(ISBLANK(E879), "", VLOOKUP(E879, Z!$A$2:$C$4127, 3, FALSE))</f>
        <v/>
      </c>
      <c r="G879" s="242"/>
      <c r="H879" s="242"/>
      <c r="I879" s="243"/>
      <c r="J879" s="244"/>
      <c r="K879" s="259"/>
      <c r="L879" s="260"/>
      <c r="M879" s="247" t="str" cm="1">
        <f t="array" ref="M879">IF($K879&gt;0, INDEX(Clean,1+AG879,$C$1), "")</f>
        <v/>
      </c>
      <c r="N879" s="245"/>
      <c r="O879" s="245"/>
      <c r="P879" s="246"/>
      <c r="Q879" s="248">
        <f t="shared" si="749"/>
        <v>0</v>
      </c>
      <c r="R879" s="247" t="str" cm="1">
        <f t="array" ref="R879">IF($K879&gt;0, INDEX(Clean,1+AH879,$C$1), "")</f>
        <v/>
      </c>
      <c r="S879" s="245"/>
      <c r="T879" s="245"/>
      <c r="U879" s="246"/>
      <c r="V879" s="248">
        <f t="shared" si="750"/>
        <v>0</v>
      </c>
      <c r="W879" s="261"/>
      <c r="X879" s="258"/>
      <c r="Y879" s="240"/>
      <c r="Z879" s="241" t="str">
        <f>IF(ISBLANK(Y879), "", VLOOKUP(Y879, Z!$A$2:$C$4127, 3, FALSE))</f>
        <v/>
      </c>
      <c r="AA879" s="262"/>
      <c r="AB879" s="249">
        <f t="shared" si="785"/>
        <v>0</v>
      </c>
      <c r="AC879" s="210"/>
      <c r="AD879" s="236">
        <f t="shared" si="773"/>
        <v>1</v>
      </c>
      <c r="AE879" s="236">
        <f t="shared" si="774"/>
        <v>1</v>
      </c>
      <c r="AF879" s="236">
        <f t="shared" si="775"/>
        <v>0</v>
      </c>
      <c r="AG879" s="236">
        <v>1</v>
      </c>
      <c r="AH879" s="236">
        <v>0</v>
      </c>
      <c r="AI879" s="236">
        <f t="shared" si="751"/>
        <v>-100</v>
      </c>
      <c r="AJ879" s="210"/>
      <c r="AK879" s="254"/>
      <c r="AL879" s="254"/>
      <c r="AM879" s="255"/>
      <c r="AN879" s="255"/>
      <c r="AO879" s="255"/>
      <c r="AP879" s="255"/>
      <c r="AQ879" s="255"/>
      <c r="AR879" s="255"/>
      <c r="AS879" s="255"/>
      <c r="AT879" s="255"/>
      <c r="AU879" s="255"/>
      <c r="AV879" s="255"/>
      <c r="AW879" s="255"/>
      <c r="AX879" s="210"/>
      <c r="AY879" s="236" cm="1">
        <f t="array" ref="AY879">INDEX(Use, $AD879, 4)</f>
        <v>7</v>
      </c>
      <c r="AZ879" s="236">
        <f t="shared" si="752"/>
        <v>32</v>
      </c>
      <c r="BA879" s="236">
        <f t="shared" si="777"/>
        <v>13</v>
      </c>
      <c r="BB879" s="236">
        <f t="shared" si="778"/>
        <v>0</v>
      </c>
      <c r="BC879" s="252" cm="1">
        <f t="array" ref="BC879">K879/IF($L879&gt;0, INDEX($AO$23:$AU$77, $L879+20, $AD879), 1)</f>
        <v>0</v>
      </c>
      <c r="BD879" s="237">
        <f t="shared" si="753"/>
        <v>0</v>
      </c>
      <c r="BE879" s="236">
        <v>35</v>
      </c>
      <c r="BF879" s="237">
        <f t="shared" si="754"/>
        <v>52.55</v>
      </c>
      <c r="BG879" s="253">
        <f t="shared" si="755"/>
        <v>2.7676728869374316</v>
      </c>
      <c r="BH879" s="253" cm="1">
        <f t="array" ref="BH879">$BC879 * SUMPRODUCT(INDEX($AL$77:$AN$82,,$AE879),INDEX($AO$77:$AU$82,,$AD879), N($AK$77:$AK$82&gt;$AI879)) / BG879 / 1000</f>
        <v>0</v>
      </c>
      <c r="BI879" s="250">
        <f t="shared" si="779"/>
        <v>30</v>
      </c>
      <c r="BJ879" s="237">
        <f t="shared" si="756"/>
        <v>46.033333333333331</v>
      </c>
      <c r="BK879" s="253">
        <f t="shared" si="757"/>
        <v>3.2297395388556791</v>
      </c>
      <c r="BL879" s="253" cm="1">
        <f t="array" ref="BL879">$BC879 * IF($AD879&lt;=2,
SUMPRODUCT(INDEX($AL$72:$AN$76,,$AE879), INDEX($AO$72:$AU$76,,$AD879), 1 / ($AV$72:$AV$76*BK879 + (1-$AV$72:$AV$76)*BG879), N($AK$72:$AK$76&gt;$AI879)),
SUMPRODUCT(INDEX($AL$67:$AN$76,,$AE879), INDEX($AO$67:$AU$76,,$AD879), 1 / ($AW$67:$AW$76*BK879 + (1-$AW$67:$AW$76)*BG879), N($AK$67:$AK$76&gt;$AI879))
) / 1000</f>
        <v>0</v>
      </c>
      <c r="BM879" s="250">
        <f t="shared" si="780"/>
        <v>25</v>
      </c>
      <c r="BN879" s="237">
        <f t="shared" si="758"/>
        <v>39.516666666666666</v>
      </c>
      <c r="BO879" s="253">
        <f t="shared" si="759"/>
        <v>3.877011788826243</v>
      </c>
      <c r="BP879" s="253" cm="1">
        <f t="array" ref="BP879">$BC879 * IF($AD879&lt;=2,
SUMPRODUCT(INDEX($AL$67:$AN$71,,$AE879), INDEX($AO$67:$AU$71,,$AD879), 1 / ($AV$67:$AV$71*BO879 + (1-$AV$67:$AV$71)*BK879), N($AK$67:$AK$71&gt;$AI879)),
SUMPRODUCT(INDEX($AL$57:$AN$66,,$AE879), INDEX($AO$57:$AU$66,,$AD879), 1 / ($AW$57:$AW$66*BO879 + (1-$AW$57:$AW$66)*BK879), N($AK$57:$AK$66&gt;$AI879))
) / 1000</f>
        <v>0</v>
      </c>
      <c r="BQ879" s="250">
        <f t="shared" si="781"/>
        <v>20</v>
      </c>
      <c r="BR879" s="237">
        <f t="shared" si="760"/>
        <v>33</v>
      </c>
      <c r="BS879" s="253">
        <f t="shared" si="761"/>
        <v>4.8487499999999999</v>
      </c>
      <c r="BT879" s="253" cm="1">
        <f t="array" ref="BT879">$BC879 * IF($AD879&lt;=2,
SUMPRODUCT(INDEX($AL$62:$AN$66,,$AE879), INDEX($AO$62:$AU$66,,$AD879), 1 / ($AV$62:$AV$66*BS879 + (1-$AV$62:$AV$66)*BO879), N($AK$62:$AK$66&gt;$AI879)),
SUMPRODUCT(INDEX($AL$47:$AN$56,,$AE879), INDEX($AO$47:$AU$56,,$AD879), 1 / ($AW$47:$AW$56*BS879 + (1-$AW$47:$AW$56)*BO879), N($AK$47:$AK$56&gt;$AI879))
) / 1000</f>
        <v>0</v>
      </c>
      <c r="BU879" s="253" cm="1">
        <f t="array" ref="BU879">$BC879 * IF($AD879&lt;=2,
SUMPRODUCT(INDEX($AL$23:$AN$61,,$AE879), INDEX($AO$23:$AU$61,,$AD879), 1 / ($AV$23:$AV$61*BS879), N($AK$23:$AK$61&gt;$AI879)),
SUMPRODUCT(INDEX($AL$23:$AN$46,,$AE879), INDEX($AO$23:$AU$46,,$AD879), 1 / ($AW$23:$AW$46*BS879), N($AK$23:$AK$46&gt;$AI879))
) / 1000</f>
        <v>0</v>
      </c>
      <c r="BV879" s="237">
        <f t="shared" si="762"/>
        <v>0</v>
      </c>
      <c r="BW879" s="210"/>
      <c r="BX879" s="237">
        <f t="shared" si="763"/>
        <v>0</v>
      </c>
      <c r="BY879" s="236">
        <v>35</v>
      </c>
      <c r="BZ879" s="237">
        <f t="shared" si="764"/>
        <v>48</v>
      </c>
      <c r="CA879" s="253">
        <f t="shared" si="765"/>
        <v>3.0748170731707316</v>
      </c>
      <c r="CB879" s="253" cm="1">
        <f t="array" ref="CB879">$BC879 * SUMPRODUCT(INDEX($AL$77:$AN$82,,$AE879),INDEX($AO$77:$AU$82,,$AD879), N($AK$77:$AK$82&gt;$AI879)) / CA879 / 1000</f>
        <v>0</v>
      </c>
      <c r="CC879" s="250">
        <f t="shared" si="782"/>
        <v>30</v>
      </c>
      <c r="CD879" s="237">
        <f t="shared" si="766"/>
        <v>43</v>
      </c>
      <c r="CE879" s="253">
        <f t="shared" si="767"/>
        <v>3.5018750000000001</v>
      </c>
      <c r="CF879" s="253" cm="1">
        <f t="array" ref="CF879">$BC879 * IF($AD879&lt;=2,
SUMPRODUCT(INDEX($AL$72:$AN$76,,$AE879), INDEX($AO$72:$AU$76,,$AD879), 1 / ($AV$72:$AV$76*CE879 + (1-$AV$72:$AV$76)*CA879), N($AK$72:$AK$76&gt;$AI879)),
SUMPRODUCT(INDEX($AL$67:$AN$76,,$AE879), INDEX($AO$67:$AU$76,,$AD879), 1 / ($AW$67:$AW$76*CE879 + (1-$AW$67:$AW$76)*CA879), N($AK$67:$AK$76&gt;$AI879))
) / 1000</f>
        <v>0</v>
      </c>
      <c r="CG879" s="250">
        <f t="shared" si="783"/>
        <v>25</v>
      </c>
      <c r="CH879" s="237">
        <f t="shared" si="768"/>
        <v>38</v>
      </c>
      <c r="CI879" s="253">
        <f t="shared" si="769"/>
        <v>4.0666935483870965</v>
      </c>
      <c r="CJ879" s="253" cm="1">
        <f t="array" ref="CJ879">$BC879 * IF($AD879&lt;=2,
SUMPRODUCT(INDEX($AL$67:$AN$71,,$AE879), INDEX($AO$67:$AU$71,,$AD879), 1 / ($AV$67:$AV$71*CI879 + (1-$AV$67:$AV$71)*CE879), N($AK$67:$AK$71&gt;$AI879)),
SUMPRODUCT(INDEX($AL$57:$AN$66,,$AE879), INDEX($AO$57:$AU$66,,$AD879), 1 / ($AW$57:$AW$66*CI879 + (1-$AW$57:$AW$66)*CE879), N($AK$57:$AK$66&gt;$AI879))
) / 1000</f>
        <v>0</v>
      </c>
      <c r="CK879" s="250">
        <f t="shared" si="784"/>
        <v>20</v>
      </c>
      <c r="CL879" s="237">
        <f t="shared" si="770"/>
        <v>33</v>
      </c>
      <c r="CM879" s="253">
        <f t="shared" si="771"/>
        <v>4.8487499999999999</v>
      </c>
      <c r="CN879" s="253" cm="1">
        <f t="array" ref="CN879">$BC879 * IF($AD879&lt;=2,
SUMPRODUCT(INDEX($AL$62:$AN$66,,$AE879), INDEX($AO$62:$AU$66,,$AD879), 1 / ($AV$62:$AV$66*CM879 + (1-$AV$62:$AV$66)*CI879), N($AK$62:$AK$66&gt;$AI879)),
SUMPRODUCT(INDEX($AL$47:$AN$56,,$AE879), INDEX($AO$47:$AU$56,,$AD879), 1 / ($AW$47:$AW$56*CM879 + (1-$AW$47:$AW$56)*CI879), N($AK$47:$AK$56&gt;$AI879))
) / 1000</f>
        <v>0</v>
      </c>
      <c r="CO879" s="253" cm="1">
        <f t="array" ref="CO879">$BC879 * IF($AD879&lt;=2,
SUMPRODUCT(INDEX($AL$23:$AN$61,,$AE879), INDEX($AO$23:$AU$61,,$AD879), 1 / ($AV$23:$AV$61*CM879), N($AK$23:$AK$61&gt;$AI879)),
SUMPRODUCT(INDEX($AL$23:$AN$46,,$AE879), INDEX($AO$23:$AU$46,,$AD879), 1 / ($AW$23:$AW$46*CM879), N($AK$23:$AK$46&gt;$AI879))
) / 1000</f>
        <v>0</v>
      </c>
      <c r="CP879" s="237">
        <f t="shared" si="772"/>
        <v>0</v>
      </c>
      <c r="CQ879" s="210"/>
    </row>
    <row r="880" spans="1:95" s="76" customFormat="1" ht="14.25" customHeight="1" x14ac:dyDescent="0.2">
      <c r="A880" s="238" t="b">
        <f t="shared" si="776"/>
        <v>0</v>
      </c>
      <c r="B880" s="239">
        <v>858</v>
      </c>
      <c r="C880" s="258"/>
      <c r="D880" s="258"/>
      <c r="E880" s="240"/>
      <c r="F880" s="241" t="str">
        <f>IF(ISBLANK(E880), "", VLOOKUP(E880, Z!$A$2:$C$4127, 3, FALSE))</f>
        <v/>
      </c>
      <c r="G880" s="242"/>
      <c r="H880" s="242"/>
      <c r="I880" s="243"/>
      <c r="J880" s="244"/>
      <c r="K880" s="259"/>
      <c r="L880" s="260"/>
      <c r="M880" s="247" t="str" cm="1">
        <f t="array" ref="M880">IF($K880&gt;0, INDEX(Clean,1+AG880,$C$1), "")</f>
        <v/>
      </c>
      <c r="N880" s="245"/>
      <c r="O880" s="245"/>
      <c r="P880" s="246"/>
      <c r="Q880" s="248">
        <f t="shared" si="749"/>
        <v>0</v>
      </c>
      <c r="R880" s="247" t="str" cm="1">
        <f t="array" ref="R880">IF($K880&gt;0, INDEX(Clean,1+AH880,$C$1), "")</f>
        <v/>
      </c>
      <c r="S880" s="245"/>
      <c r="T880" s="245"/>
      <c r="U880" s="246"/>
      <c r="V880" s="248">
        <f t="shared" si="750"/>
        <v>0</v>
      </c>
      <c r="W880" s="261"/>
      <c r="X880" s="258"/>
      <c r="Y880" s="240"/>
      <c r="Z880" s="241" t="str">
        <f>IF(ISBLANK(Y880), "", VLOOKUP(Y880, Z!$A$2:$C$4127, 3, FALSE))</f>
        <v/>
      </c>
      <c r="AA880" s="262"/>
      <c r="AB880" s="249">
        <f t="shared" si="785"/>
        <v>0</v>
      </c>
      <c r="AC880" s="210"/>
      <c r="AD880" s="236">
        <f t="shared" si="773"/>
        <v>1</v>
      </c>
      <c r="AE880" s="236">
        <f t="shared" si="774"/>
        <v>1</v>
      </c>
      <c r="AF880" s="236">
        <f t="shared" si="775"/>
        <v>0</v>
      </c>
      <c r="AG880" s="236">
        <v>1</v>
      </c>
      <c r="AH880" s="236">
        <v>0</v>
      </c>
      <c r="AI880" s="236">
        <f t="shared" si="751"/>
        <v>-100</v>
      </c>
      <c r="AJ880" s="210"/>
      <c r="AK880" s="254"/>
      <c r="AL880" s="254"/>
      <c r="AM880" s="255"/>
      <c r="AN880" s="255"/>
      <c r="AO880" s="255"/>
      <c r="AP880" s="255"/>
      <c r="AQ880" s="255"/>
      <c r="AR880" s="255"/>
      <c r="AS880" s="255"/>
      <c r="AT880" s="255"/>
      <c r="AU880" s="255"/>
      <c r="AV880" s="255"/>
      <c r="AW880" s="255"/>
      <c r="AX880" s="210"/>
      <c r="AY880" s="236" cm="1">
        <f t="array" ref="AY880">INDEX(Use, $AD880, 4)</f>
        <v>7</v>
      </c>
      <c r="AZ880" s="236">
        <f t="shared" si="752"/>
        <v>32</v>
      </c>
      <c r="BA880" s="236">
        <f t="shared" si="777"/>
        <v>13</v>
      </c>
      <c r="BB880" s="236">
        <f t="shared" si="778"/>
        <v>0</v>
      </c>
      <c r="BC880" s="252" cm="1">
        <f t="array" ref="BC880">K880/IF($L880&gt;0, INDEX($AO$23:$AU$77, $L880+20, $AD880), 1)</f>
        <v>0</v>
      </c>
      <c r="BD880" s="237">
        <f t="shared" si="753"/>
        <v>0</v>
      </c>
      <c r="BE880" s="236">
        <v>35</v>
      </c>
      <c r="BF880" s="237">
        <f t="shared" si="754"/>
        <v>52.55</v>
      </c>
      <c r="BG880" s="253">
        <f t="shared" si="755"/>
        <v>2.7676728869374316</v>
      </c>
      <c r="BH880" s="253" cm="1">
        <f t="array" ref="BH880">$BC880 * SUMPRODUCT(INDEX($AL$77:$AN$82,,$AE880),INDEX($AO$77:$AU$82,,$AD880), N($AK$77:$AK$82&gt;$AI880)) / BG880 / 1000</f>
        <v>0</v>
      </c>
      <c r="BI880" s="250">
        <f t="shared" si="779"/>
        <v>30</v>
      </c>
      <c r="BJ880" s="237">
        <f t="shared" si="756"/>
        <v>46.033333333333331</v>
      </c>
      <c r="BK880" s="253">
        <f t="shared" si="757"/>
        <v>3.2297395388556791</v>
      </c>
      <c r="BL880" s="253" cm="1">
        <f t="array" ref="BL880">$BC880 * IF($AD880&lt;=2,
SUMPRODUCT(INDEX($AL$72:$AN$76,,$AE880), INDEX($AO$72:$AU$76,,$AD880), 1 / ($AV$72:$AV$76*BK880 + (1-$AV$72:$AV$76)*BG880), N($AK$72:$AK$76&gt;$AI880)),
SUMPRODUCT(INDEX($AL$67:$AN$76,,$AE880), INDEX($AO$67:$AU$76,,$AD880), 1 / ($AW$67:$AW$76*BK880 + (1-$AW$67:$AW$76)*BG880), N($AK$67:$AK$76&gt;$AI880))
) / 1000</f>
        <v>0</v>
      </c>
      <c r="BM880" s="250">
        <f t="shared" si="780"/>
        <v>25</v>
      </c>
      <c r="BN880" s="237">
        <f t="shared" si="758"/>
        <v>39.516666666666666</v>
      </c>
      <c r="BO880" s="253">
        <f t="shared" si="759"/>
        <v>3.877011788826243</v>
      </c>
      <c r="BP880" s="253" cm="1">
        <f t="array" ref="BP880">$BC880 * IF($AD880&lt;=2,
SUMPRODUCT(INDEX($AL$67:$AN$71,,$AE880), INDEX($AO$67:$AU$71,,$AD880), 1 / ($AV$67:$AV$71*BO880 + (1-$AV$67:$AV$71)*BK880), N($AK$67:$AK$71&gt;$AI880)),
SUMPRODUCT(INDEX($AL$57:$AN$66,,$AE880), INDEX($AO$57:$AU$66,,$AD880), 1 / ($AW$57:$AW$66*BO880 + (1-$AW$57:$AW$66)*BK880), N($AK$57:$AK$66&gt;$AI880))
) / 1000</f>
        <v>0</v>
      </c>
      <c r="BQ880" s="250">
        <f t="shared" si="781"/>
        <v>20</v>
      </c>
      <c r="BR880" s="237">
        <f t="shared" si="760"/>
        <v>33</v>
      </c>
      <c r="BS880" s="253">
        <f t="shared" si="761"/>
        <v>4.8487499999999999</v>
      </c>
      <c r="BT880" s="253" cm="1">
        <f t="array" ref="BT880">$BC880 * IF($AD880&lt;=2,
SUMPRODUCT(INDEX($AL$62:$AN$66,,$AE880), INDEX($AO$62:$AU$66,,$AD880), 1 / ($AV$62:$AV$66*BS880 + (1-$AV$62:$AV$66)*BO880), N($AK$62:$AK$66&gt;$AI880)),
SUMPRODUCT(INDEX($AL$47:$AN$56,,$AE880), INDEX($AO$47:$AU$56,,$AD880), 1 / ($AW$47:$AW$56*BS880 + (1-$AW$47:$AW$56)*BO880), N($AK$47:$AK$56&gt;$AI880))
) / 1000</f>
        <v>0</v>
      </c>
      <c r="BU880" s="253" cm="1">
        <f t="array" ref="BU880">$BC880 * IF($AD880&lt;=2,
SUMPRODUCT(INDEX($AL$23:$AN$61,,$AE880), INDEX($AO$23:$AU$61,,$AD880), 1 / ($AV$23:$AV$61*BS880), N($AK$23:$AK$61&gt;$AI880)),
SUMPRODUCT(INDEX($AL$23:$AN$46,,$AE880), INDEX($AO$23:$AU$46,,$AD880), 1 / ($AW$23:$AW$46*BS880), N($AK$23:$AK$46&gt;$AI880))
) / 1000</f>
        <v>0</v>
      </c>
      <c r="BV880" s="237">
        <f t="shared" si="762"/>
        <v>0</v>
      </c>
      <c r="BW880" s="210"/>
      <c r="BX880" s="237">
        <f t="shared" si="763"/>
        <v>0</v>
      </c>
      <c r="BY880" s="236">
        <v>35</v>
      </c>
      <c r="BZ880" s="237">
        <f t="shared" si="764"/>
        <v>48</v>
      </c>
      <c r="CA880" s="253">
        <f t="shared" si="765"/>
        <v>3.0748170731707316</v>
      </c>
      <c r="CB880" s="253" cm="1">
        <f t="array" ref="CB880">$BC880 * SUMPRODUCT(INDEX($AL$77:$AN$82,,$AE880),INDEX($AO$77:$AU$82,,$AD880), N($AK$77:$AK$82&gt;$AI880)) / CA880 / 1000</f>
        <v>0</v>
      </c>
      <c r="CC880" s="250">
        <f t="shared" si="782"/>
        <v>30</v>
      </c>
      <c r="CD880" s="237">
        <f t="shared" si="766"/>
        <v>43</v>
      </c>
      <c r="CE880" s="253">
        <f t="shared" si="767"/>
        <v>3.5018750000000001</v>
      </c>
      <c r="CF880" s="253" cm="1">
        <f t="array" ref="CF880">$BC880 * IF($AD880&lt;=2,
SUMPRODUCT(INDEX($AL$72:$AN$76,,$AE880), INDEX($AO$72:$AU$76,,$AD880), 1 / ($AV$72:$AV$76*CE880 + (1-$AV$72:$AV$76)*CA880), N($AK$72:$AK$76&gt;$AI880)),
SUMPRODUCT(INDEX($AL$67:$AN$76,,$AE880), INDEX($AO$67:$AU$76,,$AD880), 1 / ($AW$67:$AW$76*CE880 + (1-$AW$67:$AW$76)*CA880), N($AK$67:$AK$76&gt;$AI880))
) / 1000</f>
        <v>0</v>
      </c>
      <c r="CG880" s="250">
        <f t="shared" si="783"/>
        <v>25</v>
      </c>
      <c r="CH880" s="237">
        <f t="shared" si="768"/>
        <v>38</v>
      </c>
      <c r="CI880" s="253">
        <f t="shared" si="769"/>
        <v>4.0666935483870965</v>
      </c>
      <c r="CJ880" s="253" cm="1">
        <f t="array" ref="CJ880">$BC880 * IF($AD880&lt;=2,
SUMPRODUCT(INDEX($AL$67:$AN$71,,$AE880), INDEX($AO$67:$AU$71,,$AD880), 1 / ($AV$67:$AV$71*CI880 + (1-$AV$67:$AV$71)*CE880), N($AK$67:$AK$71&gt;$AI880)),
SUMPRODUCT(INDEX($AL$57:$AN$66,,$AE880), INDEX($AO$57:$AU$66,,$AD880), 1 / ($AW$57:$AW$66*CI880 + (1-$AW$57:$AW$66)*CE880), N($AK$57:$AK$66&gt;$AI880))
) / 1000</f>
        <v>0</v>
      </c>
      <c r="CK880" s="250">
        <f t="shared" si="784"/>
        <v>20</v>
      </c>
      <c r="CL880" s="237">
        <f t="shared" si="770"/>
        <v>33</v>
      </c>
      <c r="CM880" s="253">
        <f t="shared" si="771"/>
        <v>4.8487499999999999</v>
      </c>
      <c r="CN880" s="253" cm="1">
        <f t="array" ref="CN880">$BC880 * IF($AD880&lt;=2,
SUMPRODUCT(INDEX($AL$62:$AN$66,,$AE880), INDEX($AO$62:$AU$66,,$AD880), 1 / ($AV$62:$AV$66*CM880 + (1-$AV$62:$AV$66)*CI880), N($AK$62:$AK$66&gt;$AI880)),
SUMPRODUCT(INDEX($AL$47:$AN$56,,$AE880), INDEX($AO$47:$AU$56,,$AD880), 1 / ($AW$47:$AW$56*CM880 + (1-$AW$47:$AW$56)*CI880), N($AK$47:$AK$56&gt;$AI880))
) / 1000</f>
        <v>0</v>
      </c>
      <c r="CO880" s="253" cm="1">
        <f t="array" ref="CO880">$BC880 * IF($AD880&lt;=2,
SUMPRODUCT(INDEX($AL$23:$AN$61,,$AE880), INDEX($AO$23:$AU$61,,$AD880), 1 / ($AV$23:$AV$61*CM880), N($AK$23:$AK$61&gt;$AI880)),
SUMPRODUCT(INDEX($AL$23:$AN$46,,$AE880), INDEX($AO$23:$AU$46,,$AD880), 1 / ($AW$23:$AW$46*CM880), N($AK$23:$AK$46&gt;$AI880))
) / 1000</f>
        <v>0</v>
      </c>
      <c r="CP880" s="237">
        <f t="shared" si="772"/>
        <v>0</v>
      </c>
      <c r="CQ880" s="210"/>
    </row>
    <row r="881" spans="1:95" s="76" customFormat="1" ht="14.25" customHeight="1" x14ac:dyDescent="0.2">
      <c r="A881" s="238" t="b">
        <f t="shared" si="776"/>
        <v>0</v>
      </c>
      <c r="B881" s="239">
        <v>859</v>
      </c>
      <c r="C881" s="258"/>
      <c r="D881" s="258"/>
      <c r="E881" s="240"/>
      <c r="F881" s="241" t="str">
        <f>IF(ISBLANK(E881), "", VLOOKUP(E881, Z!$A$2:$C$4127, 3, FALSE))</f>
        <v/>
      </c>
      <c r="G881" s="242"/>
      <c r="H881" s="242"/>
      <c r="I881" s="243"/>
      <c r="J881" s="244"/>
      <c r="K881" s="259"/>
      <c r="L881" s="260"/>
      <c r="M881" s="247" t="str" cm="1">
        <f t="array" ref="M881">IF($K881&gt;0, INDEX(Clean,1+AG881,$C$1), "")</f>
        <v/>
      </c>
      <c r="N881" s="245"/>
      <c r="O881" s="245"/>
      <c r="P881" s="246"/>
      <c r="Q881" s="248">
        <f t="shared" si="749"/>
        <v>0</v>
      </c>
      <c r="R881" s="247" t="str" cm="1">
        <f t="array" ref="R881">IF($K881&gt;0, INDEX(Clean,1+AH881,$C$1), "")</f>
        <v/>
      </c>
      <c r="S881" s="245"/>
      <c r="T881" s="245"/>
      <c r="U881" s="246"/>
      <c r="V881" s="248">
        <f t="shared" si="750"/>
        <v>0</v>
      </c>
      <c r="W881" s="261"/>
      <c r="X881" s="258"/>
      <c r="Y881" s="240"/>
      <c r="Z881" s="241" t="str">
        <f>IF(ISBLANK(Y881), "", VLOOKUP(Y881, Z!$A$2:$C$4127, 3, FALSE))</f>
        <v/>
      </c>
      <c r="AA881" s="262"/>
      <c r="AB881" s="249">
        <f t="shared" si="785"/>
        <v>0</v>
      </c>
      <c r="AC881" s="210"/>
      <c r="AD881" s="236">
        <f t="shared" si="773"/>
        <v>1</v>
      </c>
      <c r="AE881" s="236">
        <f t="shared" si="774"/>
        <v>1</v>
      </c>
      <c r="AF881" s="236">
        <f t="shared" si="775"/>
        <v>0</v>
      </c>
      <c r="AG881" s="236">
        <v>1</v>
      </c>
      <c r="AH881" s="236">
        <v>0</v>
      </c>
      <c r="AI881" s="236">
        <f t="shared" si="751"/>
        <v>-100</v>
      </c>
      <c r="AJ881" s="210"/>
      <c r="AK881" s="254"/>
      <c r="AL881" s="254"/>
      <c r="AM881" s="255"/>
      <c r="AN881" s="255"/>
      <c r="AO881" s="255"/>
      <c r="AP881" s="255"/>
      <c r="AQ881" s="255"/>
      <c r="AR881" s="255"/>
      <c r="AS881" s="255"/>
      <c r="AT881" s="255"/>
      <c r="AU881" s="255"/>
      <c r="AV881" s="255"/>
      <c r="AW881" s="255"/>
      <c r="AX881" s="210"/>
      <c r="AY881" s="236" cm="1">
        <f t="array" ref="AY881">INDEX(Use, $AD881, 4)</f>
        <v>7</v>
      </c>
      <c r="AZ881" s="236">
        <f t="shared" si="752"/>
        <v>32</v>
      </c>
      <c r="BA881" s="236">
        <f t="shared" si="777"/>
        <v>13</v>
      </c>
      <c r="BB881" s="236">
        <f t="shared" si="778"/>
        <v>0</v>
      </c>
      <c r="BC881" s="252" cm="1">
        <f t="array" ref="BC881">K881/IF($L881&gt;0, INDEX($AO$23:$AU$77, $L881+20, $AD881), 1)</f>
        <v>0</v>
      </c>
      <c r="BD881" s="237">
        <f t="shared" si="753"/>
        <v>0</v>
      </c>
      <c r="BE881" s="236">
        <v>35</v>
      </c>
      <c r="BF881" s="237">
        <f t="shared" si="754"/>
        <v>52.55</v>
      </c>
      <c r="BG881" s="253">
        <f t="shared" si="755"/>
        <v>2.7676728869374316</v>
      </c>
      <c r="BH881" s="253" cm="1">
        <f t="array" ref="BH881">$BC881 * SUMPRODUCT(INDEX($AL$77:$AN$82,,$AE881),INDEX($AO$77:$AU$82,,$AD881), N($AK$77:$AK$82&gt;$AI881)) / BG881 / 1000</f>
        <v>0</v>
      </c>
      <c r="BI881" s="250">
        <f t="shared" si="779"/>
        <v>30</v>
      </c>
      <c r="BJ881" s="237">
        <f t="shared" si="756"/>
        <v>46.033333333333331</v>
      </c>
      <c r="BK881" s="253">
        <f t="shared" si="757"/>
        <v>3.2297395388556791</v>
      </c>
      <c r="BL881" s="253" cm="1">
        <f t="array" ref="BL881">$BC881 * IF($AD881&lt;=2,
SUMPRODUCT(INDEX($AL$72:$AN$76,,$AE881), INDEX($AO$72:$AU$76,,$AD881), 1 / ($AV$72:$AV$76*BK881 + (1-$AV$72:$AV$76)*BG881), N($AK$72:$AK$76&gt;$AI881)),
SUMPRODUCT(INDEX($AL$67:$AN$76,,$AE881), INDEX($AO$67:$AU$76,,$AD881), 1 / ($AW$67:$AW$76*BK881 + (1-$AW$67:$AW$76)*BG881), N($AK$67:$AK$76&gt;$AI881))
) / 1000</f>
        <v>0</v>
      </c>
      <c r="BM881" s="250">
        <f t="shared" si="780"/>
        <v>25</v>
      </c>
      <c r="BN881" s="237">
        <f t="shared" si="758"/>
        <v>39.516666666666666</v>
      </c>
      <c r="BO881" s="253">
        <f t="shared" si="759"/>
        <v>3.877011788826243</v>
      </c>
      <c r="BP881" s="253" cm="1">
        <f t="array" ref="BP881">$BC881 * IF($AD881&lt;=2,
SUMPRODUCT(INDEX($AL$67:$AN$71,,$AE881), INDEX($AO$67:$AU$71,,$AD881), 1 / ($AV$67:$AV$71*BO881 + (1-$AV$67:$AV$71)*BK881), N($AK$67:$AK$71&gt;$AI881)),
SUMPRODUCT(INDEX($AL$57:$AN$66,,$AE881), INDEX($AO$57:$AU$66,,$AD881), 1 / ($AW$57:$AW$66*BO881 + (1-$AW$57:$AW$66)*BK881), N($AK$57:$AK$66&gt;$AI881))
) / 1000</f>
        <v>0</v>
      </c>
      <c r="BQ881" s="250">
        <f t="shared" si="781"/>
        <v>20</v>
      </c>
      <c r="BR881" s="237">
        <f t="shared" si="760"/>
        <v>33</v>
      </c>
      <c r="BS881" s="253">
        <f t="shared" si="761"/>
        <v>4.8487499999999999</v>
      </c>
      <c r="BT881" s="253" cm="1">
        <f t="array" ref="BT881">$BC881 * IF($AD881&lt;=2,
SUMPRODUCT(INDEX($AL$62:$AN$66,,$AE881), INDEX($AO$62:$AU$66,,$AD881), 1 / ($AV$62:$AV$66*BS881 + (1-$AV$62:$AV$66)*BO881), N($AK$62:$AK$66&gt;$AI881)),
SUMPRODUCT(INDEX($AL$47:$AN$56,,$AE881), INDEX($AO$47:$AU$56,,$AD881), 1 / ($AW$47:$AW$56*BS881 + (1-$AW$47:$AW$56)*BO881), N($AK$47:$AK$56&gt;$AI881))
) / 1000</f>
        <v>0</v>
      </c>
      <c r="BU881" s="253" cm="1">
        <f t="array" ref="BU881">$BC881 * IF($AD881&lt;=2,
SUMPRODUCT(INDEX($AL$23:$AN$61,,$AE881), INDEX($AO$23:$AU$61,,$AD881), 1 / ($AV$23:$AV$61*BS881), N($AK$23:$AK$61&gt;$AI881)),
SUMPRODUCT(INDEX($AL$23:$AN$46,,$AE881), INDEX($AO$23:$AU$46,,$AD881), 1 / ($AW$23:$AW$46*BS881), N($AK$23:$AK$46&gt;$AI881))
) / 1000</f>
        <v>0</v>
      </c>
      <c r="BV881" s="237">
        <f t="shared" si="762"/>
        <v>0</v>
      </c>
      <c r="BW881" s="210"/>
      <c r="BX881" s="237">
        <f t="shared" si="763"/>
        <v>0</v>
      </c>
      <c r="BY881" s="236">
        <v>35</v>
      </c>
      <c r="BZ881" s="237">
        <f t="shared" si="764"/>
        <v>48</v>
      </c>
      <c r="CA881" s="253">
        <f t="shared" si="765"/>
        <v>3.0748170731707316</v>
      </c>
      <c r="CB881" s="253" cm="1">
        <f t="array" ref="CB881">$BC881 * SUMPRODUCT(INDEX($AL$77:$AN$82,,$AE881),INDEX($AO$77:$AU$82,,$AD881), N($AK$77:$AK$82&gt;$AI881)) / CA881 / 1000</f>
        <v>0</v>
      </c>
      <c r="CC881" s="250">
        <f t="shared" si="782"/>
        <v>30</v>
      </c>
      <c r="CD881" s="237">
        <f t="shared" si="766"/>
        <v>43</v>
      </c>
      <c r="CE881" s="253">
        <f t="shared" si="767"/>
        <v>3.5018750000000001</v>
      </c>
      <c r="CF881" s="253" cm="1">
        <f t="array" ref="CF881">$BC881 * IF($AD881&lt;=2,
SUMPRODUCT(INDEX($AL$72:$AN$76,,$AE881), INDEX($AO$72:$AU$76,,$AD881), 1 / ($AV$72:$AV$76*CE881 + (1-$AV$72:$AV$76)*CA881), N($AK$72:$AK$76&gt;$AI881)),
SUMPRODUCT(INDEX($AL$67:$AN$76,,$AE881), INDEX($AO$67:$AU$76,,$AD881), 1 / ($AW$67:$AW$76*CE881 + (1-$AW$67:$AW$76)*CA881), N($AK$67:$AK$76&gt;$AI881))
) / 1000</f>
        <v>0</v>
      </c>
      <c r="CG881" s="250">
        <f t="shared" si="783"/>
        <v>25</v>
      </c>
      <c r="CH881" s="237">
        <f t="shared" si="768"/>
        <v>38</v>
      </c>
      <c r="CI881" s="253">
        <f t="shared" si="769"/>
        <v>4.0666935483870965</v>
      </c>
      <c r="CJ881" s="253" cm="1">
        <f t="array" ref="CJ881">$BC881 * IF($AD881&lt;=2,
SUMPRODUCT(INDEX($AL$67:$AN$71,,$AE881), INDEX($AO$67:$AU$71,,$AD881), 1 / ($AV$67:$AV$71*CI881 + (1-$AV$67:$AV$71)*CE881), N($AK$67:$AK$71&gt;$AI881)),
SUMPRODUCT(INDEX($AL$57:$AN$66,,$AE881), INDEX($AO$57:$AU$66,,$AD881), 1 / ($AW$57:$AW$66*CI881 + (1-$AW$57:$AW$66)*CE881), N($AK$57:$AK$66&gt;$AI881))
) / 1000</f>
        <v>0</v>
      </c>
      <c r="CK881" s="250">
        <f t="shared" si="784"/>
        <v>20</v>
      </c>
      <c r="CL881" s="237">
        <f t="shared" si="770"/>
        <v>33</v>
      </c>
      <c r="CM881" s="253">
        <f t="shared" si="771"/>
        <v>4.8487499999999999</v>
      </c>
      <c r="CN881" s="253" cm="1">
        <f t="array" ref="CN881">$BC881 * IF($AD881&lt;=2,
SUMPRODUCT(INDEX($AL$62:$AN$66,,$AE881), INDEX($AO$62:$AU$66,,$AD881), 1 / ($AV$62:$AV$66*CM881 + (1-$AV$62:$AV$66)*CI881), N($AK$62:$AK$66&gt;$AI881)),
SUMPRODUCT(INDEX($AL$47:$AN$56,,$AE881), INDEX($AO$47:$AU$56,,$AD881), 1 / ($AW$47:$AW$56*CM881 + (1-$AW$47:$AW$56)*CI881), N($AK$47:$AK$56&gt;$AI881))
) / 1000</f>
        <v>0</v>
      </c>
      <c r="CO881" s="253" cm="1">
        <f t="array" ref="CO881">$BC881 * IF($AD881&lt;=2,
SUMPRODUCT(INDEX($AL$23:$AN$61,,$AE881), INDEX($AO$23:$AU$61,,$AD881), 1 / ($AV$23:$AV$61*CM881), N($AK$23:$AK$61&gt;$AI881)),
SUMPRODUCT(INDEX($AL$23:$AN$46,,$AE881), INDEX($AO$23:$AU$46,,$AD881), 1 / ($AW$23:$AW$46*CM881), N($AK$23:$AK$46&gt;$AI881))
) / 1000</f>
        <v>0</v>
      </c>
      <c r="CP881" s="237">
        <f t="shared" si="772"/>
        <v>0</v>
      </c>
      <c r="CQ881" s="210"/>
    </row>
    <row r="882" spans="1:95" s="76" customFormat="1" ht="14.25" customHeight="1" x14ac:dyDescent="0.2">
      <c r="A882" s="238" t="b">
        <f t="shared" si="776"/>
        <v>0</v>
      </c>
      <c r="B882" s="239">
        <v>860</v>
      </c>
      <c r="C882" s="258"/>
      <c r="D882" s="258"/>
      <c r="E882" s="240"/>
      <c r="F882" s="241" t="str">
        <f>IF(ISBLANK(E882), "", VLOOKUP(E882, Z!$A$2:$C$4127, 3, FALSE))</f>
        <v/>
      </c>
      <c r="G882" s="242"/>
      <c r="H882" s="242"/>
      <c r="I882" s="243"/>
      <c r="J882" s="244"/>
      <c r="K882" s="259"/>
      <c r="L882" s="260"/>
      <c r="M882" s="247" t="str" cm="1">
        <f t="array" ref="M882">IF($K882&gt;0, INDEX(Clean,1+AG882,$C$1), "")</f>
        <v/>
      </c>
      <c r="N882" s="245"/>
      <c r="O882" s="245"/>
      <c r="P882" s="246"/>
      <c r="Q882" s="248">
        <f t="shared" si="749"/>
        <v>0</v>
      </c>
      <c r="R882" s="247" t="str" cm="1">
        <f t="array" ref="R882">IF($K882&gt;0, INDEX(Clean,1+AH882,$C$1), "")</f>
        <v/>
      </c>
      <c r="S882" s="245"/>
      <c r="T882" s="245"/>
      <c r="U882" s="246"/>
      <c r="V882" s="248">
        <f t="shared" si="750"/>
        <v>0</v>
      </c>
      <c r="W882" s="261"/>
      <c r="X882" s="258"/>
      <c r="Y882" s="240"/>
      <c r="Z882" s="241" t="str">
        <f>IF(ISBLANK(Y882), "", VLOOKUP(Y882, Z!$A$2:$C$4127, 3, FALSE))</f>
        <v/>
      </c>
      <c r="AA882" s="262"/>
      <c r="AB882" s="249">
        <f t="shared" si="785"/>
        <v>0</v>
      </c>
      <c r="AC882" s="210"/>
      <c r="AD882" s="236">
        <f t="shared" si="773"/>
        <v>1</v>
      </c>
      <c r="AE882" s="236">
        <f t="shared" si="774"/>
        <v>1</v>
      </c>
      <c r="AF882" s="236">
        <f t="shared" si="775"/>
        <v>0</v>
      </c>
      <c r="AG882" s="236">
        <v>1</v>
      </c>
      <c r="AH882" s="236">
        <v>0</v>
      </c>
      <c r="AI882" s="236">
        <f t="shared" si="751"/>
        <v>-100</v>
      </c>
      <c r="AJ882" s="210"/>
      <c r="AK882" s="254"/>
      <c r="AL882" s="254"/>
      <c r="AM882" s="255"/>
      <c r="AN882" s="255"/>
      <c r="AO882" s="255"/>
      <c r="AP882" s="255"/>
      <c r="AQ882" s="255"/>
      <c r="AR882" s="255"/>
      <c r="AS882" s="255"/>
      <c r="AT882" s="255"/>
      <c r="AU882" s="255"/>
      <c r="AV882" s="255"/>
      <c r="AW882" s="255"/>
      <c r="AX882" s="210"/>
      <c r="AY882" s="236" cm="1">
        <f t="array" ref="AY882">INDEX(Use, $AD882, 4)</f>
        <v>7</v>
      </c>
      <c r="AZ882" s="236">
        <f t="shared" si="752"/>
        <v>32</v>
      </c>
      <c r="BA882" s="236">
        <f t="shared" si="777"/>
        <v>13</v>
      </c>
      <c r="BB882" s="236">
        <f t="shared" si="778"/>
        <v>0</v>
      </c>
      <c r="BC882" s="252" cm="1">
        <f t="array" ref="BC882">K882/IF($L882&gt;0, INDEX($AO$23:$AU$77, $L882+20, $AD882), 1)</f>
        <v>0</v>
      </c>
      <c r="BD882" s="237">
        <f t="shared" si="753"/>
        <v>0</v>
      </c>
      <c r="BE882" s="236">
        <v>35</v>
      </c>
      <c r="BF882" s="237">
        <f t="shared" si="754"/>
        <v>52.55</v>
      </c>
      <c r="BG882" s="253">
        <f t="shared" si="755"/>
        <v>2.7676728869374316</v>
      </c>
      <c r="BH882" s="253" cm="1">
        <f t="array" ref="BH882">$BC882 * SUMPRODUCT(INDEX($AL$77:$AN$82,,$AE882),INDEX($AO$77:$AU$82,,$AD882), N($AK$77:$AK$82&gt;$AI882)) / BG882 / 1000</f>
        <v>0</v>
      </c>
      <c r="BI882" s="250">
        <f t="shared" si="779"/>
        <v>30</v>
      </c>
      <c r="BJ882" s="237">
        <f t="shared" si="756"/>
        <v>46.033333333333331</v>
      </c>
      <c r="BK882" s="253">
        <f t="shared" si="757"/>
        <v>3.2297395388556791</v>
      </c>
      <c r="BL882" s="253" cm="1">
        <f t="array" ref="BL882">$BC882 * IF($AD882&lt;=2,
SUMPRODUCT(INDEX($AL$72:$AN$76,,$AE882), INDEX($AO$72:$AU$76,,$AD882), 1 / ($AV$72:$AV$76*BK882 + (1-$AV$72:$AV$76)*BG882), N($AK$72:$AK$76&gt;$AI882)),
SUMPRODUCT(INDEX($AL$67:$AN$76,,$AE882), INDEX($AO$67:$AU$76,,$AD882), 1 / ($AW$67:$AW$76*BK882 + (1-$AW$67:$AW$76)*BG882), N($AK$67:$AK$76&gt;$AI882))
) / 1000</f>
        <v>0</v>
      </c>
      <c r="BM882" s="250">
        <f t="shared" si="780"/>
        <v>25</v>
      </c>
      <c r="BN882" s="237">
        <f t="shared" si="758"/>
        <v>39.516666666666666</v>
      </c>
      <c r="BO882" s="253">
        <f t="shared" si="759"/>
        <v>3.877011788826243</v>
      </c>
      <c r="BP882" s="253" cm="1">
        <f t="array" ref="BP882">$BC882 * IF($AD882&lt;=2,
SUMPRODUCT(INDEX($AL$67:$AN$71,,$AE882), INDEX($AO$67:$AU$71,,$AD882), 1 / ($AV$67:$AV$71*BO882 + (1-$AV$67:$AV$71)*BK882), N($AK$67:$AK$71&gt;$AI882)),
SUMPRODUCT(INDEX($AL$57:$AN$66,,$AE882), INDEX($AO$57:$AU$66,,$AD882), 1 / ($AW$57:$AW$66*BO882 + (1-$AW$57:$AW$66)*BK882), N($AK$57:$AK$66&gt;$AI882))
) / 1000</f>
        <v>0</v>
      </c>
      <c r="BQ882" s="250">
        <f t="shared" si="781"/>
        <v>20</v>
      </c>
      <c r="BR882" s="237">
        <f t="shared" si="760"/>
        <v>33</v>
      </c>
      <c r="BS882" s="253">
        <f t="shared" si="761"/>
        <v>4.8487499999999999</v>
      </c>
      <c r="BT882" s="253" cm="1">
        <f t="array" ref="BT882">$BC882 * IF($AD882&lt;=2,
SUMPRODUCT(INDEX($AL$62:$AN$66,,$AE882), INDEX($AO$62:$AU$66,,$AD882), 1 / ($AV$62:$AV$66*BS882 + (1-$AV$62:$AV$66)*BO882), N($AK$62:$AK$66&gt;$AI882)),
SUMPRODUCT(INDEX($AL$47:$AN$56,,$AE882), INDEX($AO$47:$AU$56,,$AD882), 1 / ($AW$47:$AW$56*BS882 + (1-$AW$47:$AW$56)*BO882), N($AK$47:$AK$56&gt;$AI882))
) / 1000</f>
        <v>0</v>
      </c>
      <c r="BU882" s="253" cm="1">
        <f t="array" ref="BU882">$BC882 * IF($AD882&lt;=2,
SUMPRODUCT(INDEX($AL$23:$AN$61,,$AE882), INDEX($AO$23:$AU$61,,$AD882), 1 / ($AV$23:$AV$61*BS882), N($AK$23:$AK$61&gt;$AI882)),
SUMPRODUCT(INDEX($AL$23:$AN$46,,$AE882), INDEX($AO$23:$AU$46,,$AD882), 1 / ($AW$23:$AW$46*BS882), N($AK$23:$AK$46&gt;$AI882))
) / 1000</f>
        <v>0</v>
      </c>
      <c r="BV882" s="237">
        <f t="shared" si="762"/>
        <v>0</v>
      </c>
      <c r="BW882" s="210"/>
      <c r="BX882" s="237">
        <f t="shared" si="763"/>
        <v>0</v>
      </c>
      <c r="BY882" s="236">
        <v>35</v>
      </c>
      <c r="BZ882" s="237">
        <f t="shared" si="764"/>
        <v>48</v>
      </c>
      <c r="CA882" s="253">
        <f t="shared" si="765"/>
        <v>3.0748170731707316</v>
      </c>
      <c r="CB882" s="253" cm="1">
        <f t="array" ref="CB882">$BC882 * SUMPRODUCT(INDEX($AL$77:$AN$82,,$AE882),INDEX($AO$77:$AU$82,,$AD882), N($AK$77:$AK$82&gt;$AI882)) / CA882 / 1000</f>
        <v>0</v>
      </c>
      <c r="CC882" s="250">
        <f t="shared" si="782"/>
        <v>30</v>
      </c>
      <c r="CD882" s="237">
        <f t="shared" si="766"/>
        <v>43</v>
      </c>
      <c r="CE882" s="253">
        <f t="shared" si="767"/>
        <v>3.5018750000000001</v>
      </c>
      <c r="CF882" s="253" cm="1">
        <f t="array" ref="CF882">$BC882 * IF($AD882&lt;=2,
SUMPRODUCT(INDEX($AL$72:$AN$76,,$AE882), INDEX($AO$72:$AU$76,,$AD882), 1 / ($AV$72:$AV$76*CE882 + (1-$AV$72:$AV$76)*CA882), N($AK$72:$AK$76&gt;$AI882)),
SUMPRODUCT(INDEX($AL$67:$AN$76,,$AE882), INDEX($AO$67:$AU$76,,$AD882), 1 / ($AW$67:$AW$76*CE882 + (1-$AW$67:$AW$76)*CA882), N($AK$67:$AK$76&gt;$AI882))
) / 1000</f>
        <v>0</v>
      </c>
      <c r="CG882" s="250">
        <f t="shared" si="783"/>
        <v>25</v>
      </c>
      <c r="CH882" s="237">
        <f t="shared" si="768"/>
        <v>38</v>
      </c>
      <c r="CI882" s="253">
        <f t="shared" si="769"/>
        <v>4.0666935483870965</v>
      </c>
      <c r="CJ882" s="253" cm="1">
        <f t="array" ref="CJ882">$BC882 * IF($AD882&lt;=2,
SUMPRODUCT(INDEX($AL$67:$AN$71,,$AE882), INDEX($AO$67:$AU$71,,$AD882), 1 / ($AV$67:$AV$71*CI882 + (1-$AV$67:$AV$71)*CE882), N($AK$67:$AK$71&gt;$AI882)),
SUMPRODUCT(INDEX($AL$57:$AN$66,,$AE882), INDEX($AO$57:$AU$66,,$AD882), 1 / ($AW$57:$AW$66*CI882 + (1-$AW$57:$AW$66)*CE882), N($AK$57:$AK$66&gt;$AI882))
) / 1000</f>
        <v>0</v>
      </c>
      <c r="CK882" s="250">
        <f t="shared" si="784"/>
        <v>20</v>
      </c>
      <c r="CL882" s="237">
        <f t="shared" si="770"/>
        <v>33</v>
      </c>
      <c r="CM882" s="253">
        <f t="shared" si="771"/>
        <v>4.8487499999999999</v>
      </c>
      <c r="CN882" s="253" cm="1">
        <f t="array" ref="CN882">$BC882 * IF($AD882&lt;=2,
SUMPRODUCT(INDEX($AL$62:$AN$66,,$AE882), INDEX($AO$62:$AU$66,,$AD882), 1 / ($AV$62:$AV$66*CM882 + (1-$AV$62:$AV$66)*CI882), N($AK$62:$AK$66&gt;$AI882)),
SUMPRODUCT(INDEX($AL$47:$AN$56,,$AE882), INDEX($AO$47:$AU$56,,$AD882), 1 / ($AW$47:$AW$56*CM882 + (1-$AW$47:$AW$56)*CI882), N($AK$47:$AK$56&gt;$AI882))
) / 1000</f>
        <v>0</v>
      </c>
      <c r="CO882" s="253" cm="1">
        <f t="array" ref="CO882">$BC882 * IF($AD882&lt;=2,
SUMPRODUCT(INDEX($AL$23:$AN$61,,$AE882), INDEX($AO$23:$AU$61,,$AD882), 1 / ($AV$23:$AV$61*CM882), N($AK$23:$AK$61&gt;$AI882)),
SUMPRODUCT(INDEX($AL$23:$AN$46,,$AE882), INDEX($AO$23:$AU$46,,$AD882), 1 / ($AW$23:$AW$46*CM882), N($AK$23:$AK$46&gt;$AI882))
) / 1000</f>
        <v>0</v>
      </c>
      <c r="CP882" s="237">
        <f t="shared" si="772"/>
        <v>0</v>
      </c>
      <c r="CQ882" s="210"/>
    </row>
    <row r="883" spans="1:95" s="76" customFormat="1" ht="14.25" customHeight="1" x14ac:dyDescent="0.2">
      <c r="A883" s="238" t="b">
        <f t="shared" si="776"/>
        <v>0</v>
      </c>
      <c r="B883" s="239">
        <v>861</v>
      </c>
      <c r="C883" s="258"/>
      <c r="D883" s="258"/>
      <c r="E883" s="240"/>
      <c r="F883" s="241" t="str">
        <f>IF(ISBLANK(E883), "", VLOOKUP(E883, Z!$A$2:$C$4127, 3, FALSE))</f>
        <v/>
      </c>
      <c r="G883" s="242"/>
      <c r="H883" s="242"/>
      <c r="I883" s="243"/>
      <c r="J883" s="244"/>
      <c r="K883" s="259"/>
      <c r="L883" s="260"/>
      <c r="M883" s="247" t="str" cm="1">
        <f t="array" ref="M883">IF($K883&gt;0, INDEX(Clean,1+AG883,$C$1), "")</f>
        <v/>
      </c>
      <c r="N883" s="245"/>
      <c r="O883" s="245"/>
      <c r="P883" s="246"/>
      <c r="Q883" s="248">
        <f t="shared" si="749"/>
        <v>0</v>
      </c>
      <c r="R883" s="247" t="str" cm="1">
        <f t="array" ref="R883">IF($K883&gt;0, INDEX(Clean,1+AH883,$C$1), "")</f>
        <v/>
      </c>
      <c r="S883" s="245"/>
      <c r="T883" s="245"/>
      <c r="U883" s="246"/>
      <c r="V883" s="248">
        <f t="shared" si="750"/>
        <v>0</v>
      </c>
      <c r="W883" s="261"/>
      <c r="X883" s="258"/>
      <c r="Y883" s="240"/>
      <c r="Z883" s="241" t="str">
        <f>IF(ISBLANK(Y883), "", VLOOKUP(Y883, Z!$A$2:$C$4127, 3, FALSE))</f>
        <v/>
      </c>
      <c r="AA883" s="262"/>
      <c r="AB883" s="249">
        <f t="shared" si="785"/>
        <v>0</v>
      </c>
      <c r="AC883" s="210"/>
      <c r="AD883" s="236">
        <f t="shared" si="773"/>
        <v>1</v>
      </c>
      <c r="AE883" s="236">
        <f t="shared" si="774"/>
        <v>1</v>
      </c>
      <c r="AF883" s="236">
        <f t="shared" si="775"/>
        <v>0</v>
      </c>
      <c r="AG883" s="236">
        <v>1</v>
      </c>
      <c r="AH883" s="236">
        <v>0</v>
      </c>
      <c r="AI883" s="236">
        <f t="shared" si="751"/>
        <v>-100</v>
      </c>
      <c r="AJ883" s="210"/>
      <c r="AK883" s="254"/>
      <c r="AL883" s="254"/>
      <c r="AM883" s="255"/>
      <c r="AN883" s="255"/>
      <c r="AO883" s="255"/>
      <c r="AP883" s="255"/>
      <c r="AQ883" s="255"/>
      <c r="AR883" s="255"/>
      <c r="AS883" s="255"/>
      <c r="AT883" s="255"/>
      <c r="AU883" s="255"/>
      <c r="AV883" s="255"/>
      <c r="AW883" s="255"/>
      <c r="AX883" s="210"/>
      <c r="AY883" s="236" cm="1">
        <f t="array" ref="AY883">INDEX(Use, $AD883, 4)</f>
        <v>7</v>
      </c>
      <c r="AZ883" s="236">
        <f t="shared" si="752"/>
        <v>32</v>
      </c>
      <c r="BA883" s="236">
        <f t="shared" si="777"/>
        <v>13</v>
      </c>
      <c r="BB883" s="236">
        <f t="shared" si="778"/>
        <v>0</v>
      </c>
      <c r="BC883" s="252" cm="1">
        <f t="array" ref="BC883">K883/IF($L883&gt;0, INDEX($AO$23:$AU$77, $L883+20, $AD883), 1)</f>
        <v>0</v>
      </c>
      <c r="BD883" s="237">
        <f t="shared" si="753"/>
        <v>0</v>
      </c>
      <c r="BE883" s="236">
        <v>35</v>
      </c>
      <c r="BF883" s="237">
        <f t="shared" si="754"/>
        <v>52.55</v>
      </c>
      <c r="BG883" s="253">
        <f t="shared" si="755"/>
        <v>2.7676728869374316</v>
      </c>
      <c r="BH883" s="253" cm="1">
        <f t="array" ref="BH883">$BC883 * SUMPRODUCT(INDEX($AL$77:$AN$82,,$AE883),INDEX($AO$77:$AU$82,,$AD883), N($AK$77:$AK$82&gt;$AI883)) / BG883 / 1000</f>
        <v>0</v>
      </c>
      <c r="BI883" s="250">
        <f t="shared" si="779"/>
        <v>30</v>
      </c>
      <c r="BJ883" s="237">
        <f t="shared" si="756"/>
        <v>46.033333333333331</v>
      </c>
      <c r="BK883" s="253">
        <f t="shared" si="757"/>
        <v>3.2297395388556791</v>
      </c>
      <c r="BL883" s="253" cm="1">
        <f t="array" ref="BL883">$BC883 * IF($AD883&lt;=2,
SUMPRODUCT(INDEX($AL$72:$AN$76,,$AE883), INDEX($AO$72:$AU$76,,$AD883), 1 / ($AV$72:$AV$76*BK883 + (1-$AV$72:$AV$76)*BG883), N($AK$72:$AK$76&gt;$AI883)),
SUMPRODUCT(INDEX($AL$67:$AN$76,,$AE883), INDEX($AO$67:$AU$76,,$AD883), 1 / ($AW$67:$AW$76*BK883 + (1-$AW$67:$AW$76)*BG883), N($AK$67:$AK$76&gt;$AI883))
) / 1000</f>
        <v>0</v>
      </c>
      <c r="BM883" s="250">
        <f t="shared" si="780"/>
        <v>25</v>
      </c>
      <c r="BN883" s="237">
        <f t="shared" si="758"/>
        <v>39.516666666666666</v>
      </c>
      <c r="BO883" s="253">
        <f t="shared" si="759"/>
        <v>3.877011788826243</v>
      </c>
      <c r="BP883" s="253" cm="1">
        <f t="array" ref="BP883">$BC883 * IF($AD883&lt;=2,
SUMPRODUCT(INDEX($AL$67:$AN$71,,$AE883), INDEX($AO$67:$AU$71,,$AD883), 1 / ($AV$67:$AV$71*BO883 + (1-$AV$67:$AV$71)*BK883), N($AK$67:$AK$71&gt;$AI883)),
SUMPRODUCT(INDEX($AL$57:$AN$66,,$AE883), INDEX($AO$57:$AU$66,,$AD883), 1 / ($AW$57:$AW$66*BO883 + (1-$AW$57:$AW$66)*BK883), N($AK$57:$AK$66&gt;$AI883))
) / 1000</f>
        <v>0</v>
      </c>
      <c r="BQ883" s="250">
        <f t="shared" si="781"/>
        <v>20</v>
      </c>
      <c r="BR883" s="237">
        <f t="shared" si="760"/>
        <v>33</v>
      </c>
      <c r="BS883" s="253">
        <f t="shared" si="761"/>
        <v>4.8487499999999999</v>
      </c>
      <c r="BT883" s="253" cm="1">
        <f t="array" ref="BT883">$BC883 * IF($AD883&lt;=2,
SUMPRODUCT(INDEX($AL$62:$AN$66,,$AE883), INDEX($AO$62:$AU$66,,$AD883), 1 / ($AV$62:$AV$66*BS883 + (1-$AV$62:$AV$66)*BO883), N($AK$62:$AK$66&gt;$AI883)),
SUMPRODUCT(INDEX($AL$47:$AN$56,,$AE883), INDEX($AO$47:$AU$56,,$AD883), 1 / ($AW$47:$AW$56*BS883 + (1-$AW$47:$AW$56)*BO883), N($AK$47:$AK$56&gt;$AI883))
) / 1000</f>
        <v>0</v>
      </c>
      <c r="BU883" s="253" cm="1">
        <f t="array" ref="BU883">$BC883 * IF($AD883&lt;=2,
SUMPRODUCT(INDEX($AL$23:$AN$61,,$AE883), INDEX($AO$23:$AU$61,,$AD883), 1 / ($AV$23:$AV$61*BS883), N($AK$23:$AK$61&gt;$AI883)),
SUMPRODUCT(INDEX($AL$23:$AN$46,,$AE883), INDEX($AO$23:$AU$46,,$AD883), 1 / ($AW$23:$AW$46*BS883), N($AK$23:$AK$46&gt;$AI883))
) / 1000</f>
        <v>0</v>
      </c>
      <c r="BV883" s="237">
        <f t="shared" si="762"/>
        <v>0</v>
      </c>
      <c r="BW883" s="210"/>
      <c r="BX883" s="237">
        <f t="shared" si="763"/>
        <v>0</v>
      </c>
      <c r="BY883" s="236">
        <v>35</v>
      </c>
      <c r="BZ883" s="237">
        <f t="shared" si="764"/>
        <v>48</v>
      </c>
      <c r="CA883" s="253">
        <f t="shared" si="765"/>
        <v>3.0748170731707316</v>
      </c>
      <c r="CB883" s="253" cm="1">
        <f t="array" ref="CB883">$BC883 * SUMPRODUCT(INDEX($AL$77:$AN$82,,$AE883),INDEX($AO$77:$AU$82,,$AD883), N($AK$77:$AK$82&gt;$AI883)) / CA883 / 1000</f>
        <v>0</v>
      </c>
      <c r="CC883" s="250">
        <f t="shared" si="782"/>
        <v>30</v>
      </c>
      <c r="CD883" s="237">
        <f t="shared" si="766"/>
        <v>43</v>
      </c>
      <c r="CE883" s="253">
        <f t="shared" si="767"/>
        <v>3.5018750000000001</v>
      </c>
      <c r="CF883" s="253" cm="1">
        <f t="array" ref="CF883">$BC883 * IF($AD883&lt;=2,
SUMPRODUCT(INDEX($AL$72:$AN$76,,$AE883), INDEX($AO$72:$AU$76,,$AD883), 1 / ($AV$72:$AV$76*CE883 + (1-$AV$72:$AV$76)*CA883), N($AK$72:$AK$76&gt;$AI883)),
SUMPRODUCT(INDEX($AL$67:$AN$76,,$AE883), INDEX($AO$67:$AU$76,,$AD883), 1 / ($AW$67:$AW$76*CE883 + (1-$AW$67:$AW$76)*CA883), N($AK$67:$AK$76&gt;$AI883))
) / 1000</f>
        <v>0</v>
      </c>
      <c r="CG883" s="250">
        <f t="shared" si="783"/>
        <v>25</v>
      </c>
      <c r="CH883" s="237">
        <f t="shared" si="768"/>
        <v>38</v>
      </c>
      <c r="CI883" s="253">
        <f t="shared" si="769"/>
        <v>4.0666935483870965</v>
      </c>
      <c r="CJ883" s="253" cm="1">
        <f t="array" ref="CJ883">$BC883 * IF($AD883&lt;=2,
SUMPRODUCT(INDEX($AL$67:$AN$71,,$AE883), INDEX($AO$67:$AU$71,,$AD883), 1 / ($AV$67:$AV$71*CI883 + (1-$AV$67:$AV$71)*CE883), N($AK$67:$AK$71&gt;$AI883)),
SUMPRODUCT(INDEX($AL$57:$AN$66,,$AE883), INDEX($AO$57:$AU$66,,$AD883), 1 / ($AW$57:$AW$66*CI883 + (1-$AW$57:$AW$66)*CE883), N($AK$57:$AK$66&gt;$AI883))
) / 1000</f>
        <v>0</v>
      </c>
      <c r="CK883" s="250">
        <f t="shared" si="784"/>
        <v>20</v>
      </c>
      <c r="CL883" s="237">
        <f t="shared" si="770"/>
        <v>33</v>
      </c>
      <c r="CM883" s="253">
        <f t="shared" si="771"/>
        <v>4.8487499999999999</v>
      </c>
      <c r="CN883" s="253" cm="1">
        <f t="array" ref="CN883">$BC883 * IF($AD883&lt;=2,
SUMPRODUCT(INDEX($AL$62:$AN$66,,$AE883), INDEX($AO$62:$AU$66,,$AD883), 1 / ($AV$62:$AV$66*CM883 + (1-$AV$62:$AV$66)*CI883), N($AK$62:$AK$66&gt;$AI883)),
SUMPRODUCT(INDEX($AL$47:$AN$56,,$AE883), INDEX($AO$47:$AU$56,,$AD883), 1 / ($AW$47:$AW$56*CM883 + (1-$AW$47:$AW$56)*CI883), N($AK$47:$AK$56&gt;$AI883))
) / 1000</f>
        <v>0</v>
      </c>
      <c r="CO883" s="253" cm="1">
        <f t="array" ref="CO883">$BC883 * IF($AD883&lt;=2,
SUMPRODUCT(INDEX($AL$23:$AN$61,,$AE883), INDEX($AO$23:$AU$61,,$AD883), 1 / ($AV$23:$AV$61*CM883), N($AK$23:$AK$61&gt;$AI883)),
SUMPRODUCT(INDEX($AL$23:$AN$46,,$AE883), INDEX($AO$23:$AU$46,,$AD883), 1 / ($AW$23:$AW$46*CM883), N($AK$23:$AK$46&gt;$AI883))
) / 1000</f>
        <v>0</v>
      </c>
      <c r="CP883" s="237">
        <f t="shared" si="772"/>
        <v>0</v>
      </c>
      <c r="CQ883" s="210"/>
    </row>
    <row r="884" spans="1:95" s="76" customFormat="1" ht="14.25" customHeight="1" x14ac:dyDescent="0.2">
      <c r="A884" s="238" t="b">
        <f t="shared" si="776"/>
        <v>0</v>
      </c>
      <c r="B884" s="239">
        <v>862</v>
      </c>
      <c r="C884" s="258"/>
      <c r="D884" s="258"/>
      <c r="E884" s="240"/>
      <c r="F884" s="241" t="str">
        <f>IF(ISBLANK(E884), "", VLOOKUP(E884, Z!$A$2:$C$4127, 3, FALSE))</f>
        <v/>
      </c>
      <c r="G884" s="242"/>
      <c r="H884" s="242"/>
      <c r="I884" s="243"/>
      <c r="J884" s="244"/>
      <c r="K884" s="259"/>
      <c r="L884" s="260"/>
      <c r="M884" s="247" t="str" cm="1">
        <f t="array" ref="M884">IF($K884&gt;0, INDEX(Clean,1+AG884,$C$1), "")</f>
        <v/>
      </c>
      <c r="N884" s="245"/>
      <c r="O884" s="245"/>
      <c r="P884" s="246"/>
      <c r="Q884" s="248">
        <f t="shared" si="749"/>
        <v>0</v>
      </c>
      <c r="R884" s="247" t="str" cm="1">
        <f t="array" ref="R884">IF($K884&gt;0, INDEX(Clean,1+AH884,$C$1), "")</f>
        <v/>
      </c>
      <c r="S884" s="245"/>
      <c r="T884" s="245"/>
      <c r="U884" s="246"/>
      <c r="V884" s="248">
        <f t="shared" si="750"/>
        <v>0</v>
      </c>
      <c r="W884" s="261"/>
      <c r="X884" s="258"/>
      <c r="Y884" s="240"/>
      <c r="Z884" s="241" t="str">
        <f>IF(ISBLANK(Y884), "", VLOOKUP(Y884, Z!$A$2:$C$4127, 3, FALSE))</f>
        <v/>
      </c>
      <c r="AA884" s="262"/>
      <c r="AB884" s="249">
        <f t="shared" si="785"/>
        <v>0</v>
      </c>
      <c r="AC884" s="210"/>
      <c r="AD884" s="236">
        <f t="shared" si="773"/>
        <v>1</v>
      </c>
      <c r="AE884" s="236">
        <f t="shared" si="774"/>
        <v>1</v>
      </c>
      <c r="AF884" s="236">
        <f t="shared" si="775"/>
        <v>0</v>
      </c>
      <c r="AG884" s="236">
        <v>1</v>
      </c>
      <c r="AH884" s="236">
        <v>0</v>
      </c>
      <c r="AI884" s="236">
        <f t="shared" si="751"/>
        <v>-100</v>
      </c>
      <c r="AJ884" s="210"/>
      <c r="AK884" s="254"/>
      <c r="AL884" s="254"/>
      <c r="AM884" s="255"/>
      <c r="AN884" s="255"/>
      <c r="AO884" s="255"/>
      <c r="AP884" s="255"/>
      <c r="AQ884" s="255"/>
      <c r="AR884" s="255"/>
      <c r="AS884" s="255"/>
      <c r="AT884" s="255"/>
      <c r="AU884" s="255"/>
      <c r="AV884" s="255"/>
      <c r="AW884" s="255"/>
      <c r="AX884" s="210"/>
      <c r="AY884" s="236" cm="1">
        <f t="array" ref="AY884">INDEX(Use, $AD884, 4)</f>
        <v>7</v>
      </c>
      <c r="AZ884" s="236">
        <f t="shared" si="752"/>
        <v>32</v>
      </c>
      <c r="BA884" s="236">
        <f t="shared" si="777"/>
        <v>13</v>
      </c>
      <c r="BB884" s="236">
        <f t="shared" si="778"/>
        <v>0</v>
      </c>
      <c r="BC884" s="252" cm="1">
        <f t="array" ref="BC884">K884/IF($L884&gt;0, INDEX($AO$23:$AU$77, $L884+20, $AD884), 1)</f>
        <v>0</v>
      </c>
      <c r="BD884" s="237">
        <f t="shared" si="753"/>
        <v>0</v>
      </c>
      <c r="BE884" s="236">
        <v>35</v>
      </c>
      <c r="BF884" s="237">
        <f t="shared" si="754"/>
        <v>52.55</v>
      </c>
      <c r="BG884" s="253">
        <f t="shared" si="755"/>
        <v>2.7676728869374316</v>
      </c>
      <c r="BH884" s="253" cm="1">
        <f t="array" ref="BH884">$BC884 * SUMPRODUCT(INDEX($AL$77:$AN$82,,$AE884),INDEX($AO$77:$AU$82,,$AD884), N($AK$77:$AK$82&gt;$AI884)) / BG884 / 1000</f>
        <v>0</v>
      </c>
      <c r="BI884" s="250">
        <f t="shared" si="779"/>
        <v>30</v>
      </c>
      <c r="BJ884" s="237">
        <f t="shared" si="756"/>
        <v>46.033333333333331</v>
      </c>
      <c r="BK884" s="253">
        <f t="shared" si="757"/>
        <v>3.2297395388556791</v>
      </c>
      <c r="BL884" s="253" cm="1">
        <f t="array" ref="BL884">$BC884 * IF($AD884&lt;=2,
SUMPRODUCT(INDEX($AL$72:$AN$76,,$AE884), INDEX($AO$72:$AU$76,,$AD884), 1 / ($AV$72:$AV$76*BK884 + (1-$AV$72:$AV$76)*BG884), N($AK$72:$AK$76&gt;$AI884)),
SUMPRODUCT(INDEX($AL$67:$AN$76,,$AE884), INDEX($AO$67:$AU$76,,$AD884), 1 / ($AW$67:$AW$76*BK884 + (1-$AW$67:$AW$76)*BG884), N($AK$67:$AK$76&gt;$AI884))
) / 1000</f>
        <v>0</v>
      </c>
      <c r="BM884" s="250">
        <f t="shared" si="780"/>
        <v>25</v>
      </c>
      <c r="BN884" s="237">
        <f t="shared" si="758"/>
        <v>39.516666666666666</v>
      </c>
      <c r="BO884" s="253">
        <f t="shared" si="759"/>
        <v>3.877011788826243</v>
      </c>
      <c r="BP884" s="253" cm="1">
        <f t="array" ref="BP884">$BC884 * IF($AD884&lt;=2,
SUMPRODUCT(INDEX($AL$67:$AN$71,,$AE884), INDEX($AO$67:$AU$71,,$AD884), 1 / ($AV$67:$AV$71*BO884 + (1-$AV$67:$AV$71)*BK884), N($AK$67:$AK$71&gt;$AI884)),
SUMPRODUCT(INDEX($AL$57:$AN$66,,$AE884), INDEX($AO$57:$AU$66,,$AD884), 1 / ($AW$57:$AW$66*BO884 + (1-$AW$57:$AW$66)*BK884), N($AK$57:$AK$66&gt;$AI884))
) / 1000</f>
        <v>0</v>
      </c>
      <c r="BQ884" s="250">
        <f t="shared" si="781"/>
        <v>20</v>
      </c>
      <c r="BR884" s="237">
        <f t="shared" si="760"/>
        <v>33</v>
      </c>
      <c r="BS884" s="253">
        <f t="shared" si="761"/>
        <v>4.8487499999999999</v>
      </c>
      <c r="BT884" s="253" cm="1">
        <f t="array" ref="BT884">$BC884 * IF($AD884&lt;=2,
SUMPRODUCT(INDEX($AL$62:$AN$66,,$AE884), INDEX($AO$62:$AU$66,,$AD884), 1 / ($AV$62:$AV$66*BS884 + (1-$AV$62:$AV$66)*BO884), N($AK$62:$AK$66&gt;$AI884)),
SUMPRODUCT(INDEX($AL$47:$AN$56,,$AE884), INDEX($AO$47:$AU$56,,$AD884), 1 / ($AW$47:$AW$56*BS884 + (1-$AW$47:$AW$56)*BO884), N($AK$47:$AK$56&gt;$AI884))
) / 1000</f>
        <v>0</v>
      </c>
      <c r="BU884" s="253" cm="1">
        <f t="array" ref="BU884">$BC884 * IF($AD884&lt;=2,
SUMPRODUCT(INDEX($AL$23:$AN$61,,$AE884), INDEX($AO$23:$AU$61,,$AD884), 1 / ($AV$23:$AV$61*BS884), N($AK$23:$AK$61&gt;$AI884)),
SUMPRODUCT(INDEX($AL$23:$AN$46,,$AE884), INDEX($AO$23:$AU$46,,$AD884), 1 / ($AW$23:$AW$46*BS884), N($AK$23:$AK$46&gt;$AI884))
) / 1000</f>
        <v>0</v>
      </c>
      <c r="BV884" s="237">
        <f t="shared" si="762"/>
        <v>0</v>
      </c>
      <c r="BW884" s="210"/>
      <c r="BX884" s="237">
        <f t="shared" si="763"/>
        <v>0</v>
      </c>
      <c r="BY884" s="236">
        <v>35</v>
      </c>
      <c r="BZ884" s="237">
        <f t="shared" si="764"/>
        <v>48</v>
      </c>
      <c r="CA884" s="253">
        <f t="shared" si="765"/>
        <v>3.0748170731707316</v>
      </c>
      <c r="CB884" s="253" cm="1">
        <f t="array" ref="CB884">$BC884 * SUMPRODUCT(INDEX($AL$77:$AN$82,,$AE884),INDEX($AO$77:$AU$82,,$AD884), N($AK$77:$AK$82&gt;$AI884)) / CA884 / 1000</f>
        <v>0</v>
      </c>
      <c r="CC884" s="250">
        <f t="shared" si="782"/>
        <v>30</v>
      </c>
      <c r="CD884" s="237">
        <f t="shared" si="766"/>
        <v>43</v>
      </c>
      <c r="CE884" s="253">
        <f t="shared" si="767"/>
        <v>3.5018750000000001</v>
      </c>
      <c r="CF884" s="253" cm="1">
        <f t="array" ref="CF884">$BC884 * IF($AD884&lt;=2,
SUMPRODUCT(INDEX($AL$72:$AN$76,,$AE884), INDEX($AO$72:$AU$76,,$AD884), 1 / ($AV$72:$AV$76*CE884 + (1-$AV$72:$AV$76)*CA884), N($AK$72:$AK$76&gt;$AI884)),
SUMPRODUCT(INDEX($AL$67:$AN$76,,$AE884), INDEX($AO$67:$AU$76,,$AD884), 1 / ($AW$67:$AW$76*CE884 + (1-$AW$67:$AW$76)*CA884), N($AK$67:$AK$76&gt;$AI884))
) / 1000</f>
        <v>0</v>
      </c>
      <c r="CG884" s="250">
        <f t="shared" si="783"/>
        <v>25</v>
      </c>
      <c r="CH884" s="237">
        <f t="shared" si="768"/>
        <v>38</v>
      </c>
      <c r="CI884" s="253">
        <f t="shared" si="769"/>
        <v>4.0666935483870965</v>
      </c>
      <c r="CJ884" s="253" cm="1">
        <f t="array" ref="CJ884">$BC884 * IF($AD884&lt;=2,
SUMPRODUCT(INDEX($AL$67:$AN$71,,$AE884), INDEX($AO$67:$AU$71,,$AD884), 1 / ($AV$67:$AV$71*CI884 + (1-$AV$67:$AV$71)*CE884), N($AK$67:$AK$71&gt;$AI884)),
SUMPRODUCT(INDEX($AL$57:$AN$66,,$AE884), INDEX($AO$57:$AU$66,,$AD884), 1 / ($AW$57:$AW$66*CI884 + (1-$AW$57:$AW$66)*CE884), N($AK$57:$AK$66&gt;$AI884))
) / 1000</f>
        <v>0</v>
      </c>
      <c r="CK884" s="250">
        <f t="shared" si="784"/>
        <v>20</v>
      </c>
      <c r="CL884" s="237">
        <f t="shared" si="770"/>
        <v>33</v>
      </c>
      <c r="CM884" s="253">
        <f t="shared" si="771"/>
        <v>4.8487499999999999</v>
      </c>
      <c r="CN884" s="253" cm="1">
        <f t="array" ref="CN884">$BC884 * IF($AD884&lt;=2,
SUMPRODUCT(INDEX($AL$62:$AN$66,,$AE884), INDEX($AO$62:$AU$66,,$AD884), 1 / ($AV$62:$AV$66*CM884 + (1-$AV$62:$AV$66)*CI884), N($AK$62:$AK$66&gt;$AI884)),
SUMPRODUCT(INDEX($AL$47:$AN$56,,$AE884), INDEX($AO$47:$AU$56,,$AD884), 1 / ($AW$47:$AW$56*CM884 + (1-$AW$47:$AW$56)*CI884), N($AK$47:$AK$56&gt;$AI884))
) / 1000</f>
        <v>0</v>
      </c>
      <c r="CO884" s="253" cm="1">
        <f t="array" ref="CO884">$BC884 * IF($AD884&lt;=2,
SUMPRODUCT(INDEX($AL$23:$AN$61,,$AE884), INDEX($AO$23:$AU$61,,$AD884), 1 / ($AV$23:$AV$61*CM884), N($AK$23:$AK$61&gt;$AI884)),
SUMPRODUCT(INDEX($AL$23:$AN$46,,$AE884), INDEX($AO$23:$AU$46,,$AD884), 1 / ($AW$23:$AW$46*CM884), N($AK$23:$AK$46&gt;$AI884))
) / 1000</f>
        <v>0</v>
      </c>
      <c r="CP884" s="237">
        <f t="shared" si="772"/>
        <v>0</v>
      </c>
      <c r="CQ884" s="210"/>
    </row>
    <row r="885" spans="1:95" s="76" customFormat="1" ht="14.25" customHeight="1" x14ac:dyDescent="0.2">
      <c r="A885" s="238" t="b">
        <f t="shared" si="776"/>
        <v>0</v>
      </c>
      <c r="B885" s="239">
        <v>863</v>
      </c>
      <c r="C885" s="258"/>
      <c r="D885" s="258"/>
      <c r="E885" s="240"/>
      <c r="F885" s="241" t="str">
        <f>IF(ISBLANK(E885), "", VLOOKUP(E885, Z!$A$2:$C$4127, 3, FALSE))</f>
        <v/>
      </c>
      <c r="G885" s="242"/>
      <c r="H885" s="242"/>
      <c r="I885" s="243"/>
      <c r="J885" s="244"/>
      <c r="K885" s="259"/>
      <c r="L885" s="260"/>
      <c r="M885" s="247" t="str" cm="1">
        <f t="array" ref="M885">IF($K885&gt;0, INDEX(Clean,1+AG885,$C$1), "")</f>
        <v/>
      </c>
      <c r="N885" s="245"/>
      <c r="O885" s="245"/>
      <c r="P885" s="246"/>
      <c r="Q885" s="248">
        <f t="shared" si="749"/>
        <v>0</v>
      </c>
      <c r="R885" s="247" t="str" cm="1">
        <f t="array" ref="R885">IF($K885&gt;0, INDEX(Clean,1+AH885,$C$1), "")</f>
        <v/>
      </c>
      <c r="S885" s="245"/>
      <c r="T885" s="245"/>
      <c r="U885" s="246"/>
      <c r="V885" s="248">
        <f t="shared" si="750"/>
        <v>0</v>
      </c>
      <c r="W885" s="261"/>
      <c r="X885" s="258"/>
      <c r="Y885" s="240"/>
      <c r="Z885" s="241" t="str">
        <f>IF(ISBLANK(Y885), "", VLOOKUP(Y885, Z!$A$2:$C$4127, 3, FALSE))</f>
        <v/>
      </c>
      <c r="AA885" s="262"/>
      <c r="AB885" s="249">
        <f t="shared" si="785"/>
        <v>0</v>
      </c>
      <c r="AC885" s="210"/>
      <c r="AD885" s="236">
        <f t="shared" si="773"/>
        <v>1</v>
      </c>
      <c r="AE885" s="236">
        <f t="shared" si="774"/>
        <v>1</v>
      </c>
      <c r="AF885" s="236">
        <f t="shared" si="775"/>
        <v>0</v>
      </c>
      <c r="AG885" s="236">
        <v>1</v>
      </c>
      <c r="AH885" s="236">
        <v>0</v>
      </c>
      <c r="AI885" s="236">
        <f t="shared" si="751"/>
        <v>-100</v>
      </c>
      <c r="AJ885" s="210"/>
      <c r="AK885" s="254"/>
      <c r="AL885" s="254"/>
      <c r="AM885" s="255"/>
      <c r="AN885" s="255"/>
      <c r="AO885" s="255"/>
      <c r="AP885" s="255"/>
      <c r="AQ885" s="255"/>
      <c r="AR885" s="255"/>
      <c r="AS885" s="255"/>
      <c r="AT885" s="255"/>
      <c r="AU885" s="255"/>
      <c r="AV885" s="255"/>
      <c r="AW885" s="255"/>
      <c r="AX885" s="210"/>
      <c r="AY885" s="236" cm="1">
        <f t="array" ref="AY885">INDEX(Use, $AD885, 4)</f>
        <v>7</v>
      </c>
      <c r="AZ885" s="236">
        <f t="shared" si="752"/>
        <v>32</v>
      </c>
      <c r="BA885" s="236">
        <f t="shared" si="777"/>
        <v>13</v>
      </c>
      <c r="BB885" s="236">
        <f t="shared" si="778"/>
        <v>0</v>
      </c>
      <c r="BC885" s="252" cm="1">
        <f t="array" ref="BC885">K885/IF($L885&gt;0, INDEX($AO$23:$AU$77, $L885+20, $AD885), 1)</f>
        <v>0</v>
      </c>
      <c r="BD885" s="237">
        <f t="shared" si="753"/>
        <v>0</v>
      </c>
      <c r="BE885" s="236">
        <v>35</v>
      </c>
      <c r="BF885" s="237">
        <f t="shared" si="754"/>
        <v>52.55</v>
      </c>
      <c r="BG885" s="253">
        <f t="shared" si="755"/>
        <v>2.7676728869374316</v>
      </c>
      <c r="BH885" s="253" cm="1">
        <f t="array" ref="BH885">$BC885 * SUMPRODUCT(INDEX($AL$77:$AN$82,,$AE885),INDEX($AO$77:$AU$82,,$AD885), N($AK$77:$AK$82&gt;$AI885)) / BG885 / 1000</f>
        <v>0</v>
      </c>
      <c r="BI885" s="250">
        <f t="shared" si="779"/>
        <v>30</v>
      </c>
      <c r="BJ885" s="237">
        <f t="shared" si="756"/>
        <v>46.033333333333331</v>
      </c>
      <c r="BK885" s="253">
        <f t="shared" si="757"/>
        <v>3.2297395388556791</v>
      </c>
      <c r="BL885" s="253" cm="1">
        <f t="array" ref="BL885">$BC885 * IF($AD885&lt;=2,
SUMPRODUCT(INDEX($AL$72:$AN$76,,$AE885), INDEX($AO$72:$AU$76,,$AD885), 1 / ($AV$72:$AV$76*BK885 + (1-$AV$72:$AV$76)*BG885), N($AK$72:$AK$76&gt;$AI885)),
SUMPRODUCT(INDEX($AL$67:$AN$76,,$AE885), INDEX($AO$67:$AU$76,,$AD885), 1 / ($AW$67:$AW$76*BK885 + (1-$AW$67:$AW$76)*BG885), N($AK$67:$AK$76&gt;$AI885))
) / 1000</f>
        <v>0</v>
      </c>
      <c r="BM885" s="250">
        <f t="shared" si="780"/>
        <v>25</v>
      </c>
      <c r="BN885" s="237">
        <f t="shared" si="758"/>
        <v>39.516666666666666</v>
      </c>
      <c r="BO885" s="253">
        <f t="shared" si="759"/>
        <v>3.877011788826243</v>
      </c>
      <c r="BP885" s="253" cm="1">
        <f t="array" ref="BP885">$BC885 * IF($AD885&lt;=2,
SUMPRODUCT(INDEX($AL$67:$AN$71,,$AE885), INDEX($AO$67:$AU$71,,$AD885), 1 / ($AV$67:$AV$71*BO885 + (1-$AV$67:$AV$71)*BK885), N($AK$67:$AK$71&gt;$AI885)),
SUMPRODUCT(INDEX($AL$57:$AN$66,,$AE885), INDEX($AO$57:$AU$66,,$AD885), 1 / ($AW$57:$AW$66*BO885 + (1-$AW$57:$AW$66)*BK885), N($AK$57:$AK$66&gt;$AI885))
) / 1000</f>
        <v>0</v>
      </c>
      <c r="BQ885" s="250">
        <f t="shared" si="781"/>
        <v>20</v>
      </c>
      <c r="BR885" s="237">
        <f t="shared" si="760"/>
        <v>33</v>
      </c>
      <c r="BS885" s="253">
        <f t="shared" si="761"/>
        <v>4.8487499999999999</v>
      </c>
      <c r="BT885" s="253" cm="1">
        <f t="array" ref="BT885">$BC885 * IF($AD885&lt;=2,
SUMPRODUCT(INDEX($AL$62:$AN$66,,$AE885), INDEX($AO$62:$AU$66,,$AD885), 1 / ($AV$62:$AV$66*BS885 + (1-$AV$62:$AV$66)*BO885), N($AK$62:$AK$66&gt;$AI885)),
SUMPRODUCT(INDEX($AL$47:$AN$56,,$AE885), INDEX($AO$47:$AU$56,,$AD885), 1 / ($AW$47:$AW$56*BS885 + (1-$AW$47:$AW$56)*BO885), N($AK$47:$AK$56&gt;$AI885))
) / 1000</f>
        <v>0</v>
      </c>
      <c r="BU885" s="253" cm="1">
        <f t="array" ref="BU885">$BC885 * IF($AD885&lt;=2,
SUMPRODUCT(INDEX($AL$23:$AN$61,,$AE885), INDEX($AO$23:$AU$61,,$AD885), 1 / ($AV$23:$AV$61*BS885), N($AK$23:$AK$61&gt;$AI885)),
SUMPRODUCT(INDEX($AL$23:$AN$46,,$AE885), INDEX($AO$23:$AU$46,,$AD885), 1 / ($AW$23:$AW$46*BS885), N($AK$23:$AK$46&gt;$AI885))
) / 1000</f>
        <v>0</v>
      </c>
      <c r="BV885" s="237">
        <f t="shared" si="762"/>
        <v>0</v>
      </c>
      <c r="BW885" s="210"/>
      <c r="BX885" s="237">
        <f t="shared" si="763"/>
        <v>0</v>
      </c>
      <c r="BY885" s="236">
        <v>35</v>
      </c>
      <c r="BZ885" s="237">
        <f t="shared" si="764"/>
        <v>48</v>
      </c>
      <c r="CA885" s="253">
        <f t="shared" si="765"/>
        <v>3.0748170731707316</v>
      </c>
      <c r="CB885" s="253" cm="1">
        <f t="array" ref="CB885">$BC885 * SUMPRODUCT(INDEX($AL$77:$AN$82,,$AE885),INDEX($AO$77:$AU$82,,$AD885), N($AK$77:$AK$82&gt;$AI885)) / CA885 / 1000</f>
        <v>0</v>
      </c>
      <c r="CC885" s="250">
        <f t="shared" si="782"/>
        <v>30</v>
      </c>
      <c r="CD885" s="237">
        <f t="shared" si="766"/>
        <v>43</v>
      </c>
      <c r="CE885" s="253">
        <f t="shared" si="767"/>
        <v>3.5018750000000001</v>
      </c>
      <c r="CF885" s="253" cm="1">
        <f t="array" ref="CF885">$BC885 * IF($AD885&lt;=2,
SUMPRODUCT(INDEX($AL$72:$AN$76,,$AE885), INDEX($AO$72:$AU$76,,$AD885), 1 / ($AV$72:$AV$76*CE885 + (1-$AV$72:$AV$76)*CA885), N($AK$72:$AK$76&gt;$AI885)),
SUMPRODUCT(INDEX($AL$67:$AN$76,,$AE885), INDEX($AO$67:$AU$76,,$AD885), 1 / ($AW$67:$AW$76*CE885 + (1-$AW$67:$AW$76)*CA885), N($AK$67:$AK$76&gt;$AI885))
) / 1000</f>
        <v>0</v>
      </c>
      <c r="CG885" s="250">
        <f t="shared" si="783"/>
        <v>25</v>
      </c>
      <c r="CH885" s="237">
        <f t="shared" si="768"/>
        <v>38</v>
      </c>
      <c r="CI885" s="253">
        <f t="shared" si="769"/>
        <v>4.0666935483870965</v>
      </c>
      <c r="CJ885" s="253" cm="1">
        <f t="array" ref="CJ885">$BC885 * IF($AD885&lt;=2,
SUMPRODUCT(INDEX($AL$67:$AN$71,,$AE885), INDEX($AO$67:$AU$71,,$AD885), 1 / ($AV$67:$AV$71*CI885 + (1-$AV$67:$AV$71)*CE885), N($AK$67:$AK$71&gt;$AI885)),
SUMPRODUCT(INDEX($AL$57:$AN$66,,$AE885), INDEX($AO$57:$AU$66,,$AD885), 1 / ($AW$57:$AW$66*CI885 + (1-$AW$57:$AW$66)*CE885), N($AK$57:$AK$66&gt;$AI885))
) / 1000</f>
        <v>0</v>
      </c>
      <c r="CK885" s="250">
        <f t="shared" si="784"/>
        <v>20</v>
      </c>
      <c r="CL885" s="237">
        <f t="shared" si="770"/>
        <v>33</v>
      </c>
      <c r="CM885" s="253">
        <f t="shared" si="771"/>
        <v>4.8487499999999999</v>
      </c>
      <c r="CN885" s="253" cm="1">
        <f t="array" ref="CN885">$BC885 * IF($AD885&lt;=2,
SUMPRODUCT(INDEX($AL$62:$AN$66,,$AE885), INDEX($AO$62:$AU$66,,$AD885), 1 / ($AV$62:$AV$66*CM885 + (1-$AV$62:$AV$66)*CI885), N($AK$62:$AK$66&gt;$AI885)),
SUMPRODUCT(INDEX($AL$47:$AN$56,,$AE885), INDEX($AO$47:$AU$56,,$AD885), 1 / ($AW$47:$AW$56*CM885 + (1-$AW$47:$AW$56)*CI885), N($AK$47:$AK$56&gt;$AI885))
) / 1000</f>
        <v>0</v>
      </c>
      <c r="CO885" s="253" cm="1">
        <f t="array" ref="CO885">$BC885 * IF($AD885&lt;=2,
SUMPRODUCT(INDEX($AL$23:$AN$61,,$AE885), INDEX($AO$23:$AU$61,,$AD885), 1 / ($AV$23:$AV$61*CM885), N($AK$23:$AK$61&gt;$AI885)),
SUMPRODUCT(INDEX($AL$23:$AN$46,,$AE885), INDEX($AO$23:$AU$46,,$AD885), 1 / ($AW$23:$AW$46*CM885), N($AK$23:$AK$46&gt;$AI885))
) / 1000</f>
        <v>0</v>
      </c>
      <c r="CP885" s="237">
        <f t="shared" si="772"/>
        <v>0</v>
      </c>
      <c r="CQ885" s="210"/>
    </row>
    <row r="886" spans="1:95" s="76" customFormat="1" ht="14.25" customHeight="1" x14ac:dyDescent="0.2">
      <c r="A886" s="238" t="b">
        <f t="shared" si="776"/>
        <v>0</v>
      </c>
      <c r="B886" s="239">
        <v>864</v>
      </c>
      <c r="C886" s="258"/>
      <c r="D886" s="258"/>
      <c r="E886" s="240"/>
      <c r="F886" s="241" t="str">
        <f>IF(ISBLANK(E886), "", VLOOKUP(E886, Z!$A$2:$C$4127, 3, FALSE))</f>
        <v/>
      </c>
      <c r="G886" s="242"/>
      <c r="H886" s="242"/>
      <c r="I886" s="243"/>
      <c r="J886" s="244"/>
      <c r="K886" s="259"/>
      <c r="L886" s="260"/>
      <c r="M886" s="247" t="str" cm="1">
        <f t="array" ref="M886">IF($K886&gt;0, INDEX(Clean,1+AG886,$C$1), "")</f>
        <v/>
      </c>
      <c r="N886" s="245"/>
      <c r="O886" s="245"/>
      <c r="P886" s="246"/>
      <c r="Q886" s="248">
        <f t="shared" si="749"/>
        <v>0</v>
      </c>
      <c r="R886" s="247" t="str" cm="1">
        <f t="array" ref="R886">IF($K886&gt;0, INDEX(Clean,1+AH886,$C$1), "")</f>
        <v/>
      </c>
      <c r="S886" s="245"/>
      <c r="T886" s="245"/>
      <c r="U886" s="246"/>
      <c r="V886" s="248">
        <f t="shared" si="750"/>
        <v>0</v>
      </c>
      <c r="W886" s="261"/>
      <c r="X886" s="258"/>
      <c r="Y886" s="240"/>
      <c r="Z886" s="241" t="str">
        <f>IF(ISBLANK(Y886), "", VLOOKUP(Y886, Z!$A$2:$C$4127, 3, FALSE))</f>
        <v/>
      </c>
      <c r="AA886" s="262"/>
      <c r="AB886" s="249">
        <f t="shared" si="785"/>
        <v>0</v>
      </c>
      <c r="AC886" s="210"/>
      <c r="AD886" s="236">
        <f t="shared" si="773"/>
        <v>1</v>
      </c>
      <c r="AE886" s="236">
        <f t="shared" si="774"/>
        <v>1</v>
      </c>
      <c r="AF886" s="236">
        <f t="shared" si="775"/>
        <v>0</v>
      </c>
      <c r="AG886" s="236">
        <v>1</v>
      </c>
      <c r="AH886" s="236">
        <v>0</v>
      </c>
      <c r="AI886" s="236">
        <f t="shared" si="751"/>
        <v>-100</v>
      </c>
      <c r="AJ886" s="210"/>
      <c r="AK886" s="254"/>
      <c r="AL886" s="254"/>
      <c r="AM886" s="255"/>
      <c r="AN886" s="255"/>
      <c r="AO886" s="255"/>
      <c r="AP886" s="255"/>
      <c r="AQ886" s="255"/>
      <c r="AR886" s="255"/>
      <c r="AS886" s="255"/>
      <c r="AT886" s="255"/>
      <c r="AU886" s="255"/>
      <c r="AV886" s="255"/>
      <c r="AW886" s="255"/>
      <c r="AX886" s="210"/>
      <c r="AY886" s="236" cm="1">
        <f t="array" ref="AY886">INDEX(Use, $AD886, 4)</f>
        <v>7</v>
      </c>
      <c r="AZ886" s="236">
        <f t="shared" si="752"/>
        <v>32</v>
      </c>
      <c r="BA886" s="236">
        <f t="shared" si="777"/>
        <v>13</v>
      </c>
      <c r="BB886" s="236">
        <f t="shared" si="778"/>
        <v>0</v>
      </c>
      <c r="BC886" s="252" cm="1">
        <f t="array" ref="BC886">K886/IF($L886&gt;0, INDEX($AO$23:$AU$77, $L886+20, $AD886), 1)</f>
        <v>0</v>
      </c>
      <c r="BD886" s="237">
        <f t="shared" si="753"/>
        <v>0</v>
      </c>
      <c r="BE886" s="236">
        <v>35</v>
      </c>
      <c r="BF886" s="237">
        <f t="shared" si="754"/>
        <v>52.55</v>
      </c>
      <c r="BG886" s="253">
        <f t="shared" si="755"/>
        <v>2.7676728869374316</v>
      </c>
      <c r="BH886" s="253" cm="1">
        <f t="array" ref="BH886">$BC886 * SUMPRODUCT(INDEX($AL$77:$AN$82,,$AE886),INDEX($AO$77:$AU$82,,$AD886), N($AK$77:$AK$82&gt;$AI886)) / BG886 / 1000</f>
        <v>0</v>
      </c>
      <c r="BI886" s="250">
        <f t="shared" si="779"/>
        <v>30</v>
      </c>
      <c r="BJ886" s="237">
        <f t="shared" si="756"/>
        <v>46.033333333333331</v>
      </c>
      <c r="BK886" s="253">
        <f t="shared" si="757"/>
        <v>3.2297395388556791</v>
      </c>
      <c r="BL886" s="253" cm="1">
        <f t="array" ref="BL886">$BC886 * IF($AD886&lt;=2,
SUMPRODUCT(INDEX($AL$72:$AN$76,,$AE886), INDEX($AO$72:$AU$76,,$AD886), 1 / ($AV$72:$AV$76*BK886 + (1-$AV$72:$AV$76)*BG886), N($AK$72:$AK$76&gt;$AI886)),
SUMPRODUCT(INDEX($AL$67:$AN$76,,$AE886), INDEX($AO$67:$AU$76,,$AD886), 1 / ($AW$67:$AW$76*BK886 + (1-$AW$67:$AW$76)*BG886), N($AK$67:$AK$76&gt;$AI886))
) / 1000</f>
        <v>0</v>
      </c>
      <c r="BM886" s="250">
        <f t="shared" si="780"/>
        <v>25</v>
      </c>
      <c r="BN886" s="237">
        <f t="shared" si="758"/>
        <v>39.516666666666666</v>
      </c>
      <c r="BO886" s="253">
        <f t="shared" si="759"/>
        <v>3.877011788826243</v>
      </c>
      <c r="BP886" s="253" cm="1">
        <f t="array" ref="BP886">$BC886 * IF($AD886&lt;=2,
SUMPRODUCT(INDEX($AL$67:$AN$71,,$AE886), INDEX($AO$67:$AU$71,,$AD886), 1 / ($AV$67:$AV$71*BO886 + (1-$AV$67:$AV$71)*BK886), N($AK$67:$AK$71&gt;$AI886)),
SUMPRODUCT(INDEX($AL$57:$AN$66,,$AE886), INDEX($AO$57:$AU$66,,$AD886), 1 / ($AW$57:$AW$66*BO886 + (1-$AW$57:$AW$66)*BK886), N($AK$57:$AK$66&gt;$AI886))
) / 1000</f>
        <v>0</v>
      </c>
      <c r="BQ886" s="250">
        <f t="shared" si="781"/>
        <v>20</v>
      </c>
      <c r="BR886" s="237">
        <f t="shared" si="760"/>
        <v>33</v>
      </c>
      <c r="BS886" s="253">
        <f t="shared" si="761"/>
        <v>4.8487499999999999</v>
      </c>
      <c r="BT886" s="253" cm="1">
        <f t="array" ref="BT886">$BC886 * IF($AD886&lt;=2,
SUMPRODUCT(INDEX($AL$62:$AN$66,,$AE886), INDEX($AO$62:$AU$66,,$AD886), 1 / ($AV$62:$AV$66*BS886 + (1-$AV$62:$AV$66)*BO886), N($AK$62:$AK$66&gt;$AI886)),
SUMPRODUCT(INDEX($AL$47:$AN$56,,$AE886), INDEX($AO$47:$AU$56,,$AD886), 1 / ($AW$47:$AW$56*BS886 + (1-$AW$47:$AW$56)*BO886), N($AK$47:$AK$56&gt;$AI886))
) / 1000</f>
        <v>0</v>
      </c>
      <c r="BU886" s="253" cm="1">
        <f t="array" ref="BU886">$BC886 * IF($AD886&lt;=2,
SUMPRODUCT(INDEX($AL$23:$AN$61,,$AE886), INDEX($AO$23:$AU$61,,$AD886), 1 / ($AV$23:$AV$61*BS886), N($AK$23:$AK$61&gt;$AI886)),
SUMPRODUCT(INDEX($AL$23:$AN$46,,$AE886), INDEX($AO$23:$AU$46,,$AD886), 1 / ($AW$23:$AW$46*BS886), N($AK$23:$AK$46&gt;$AI886))
) / 1000</f>
        <v>0</v>
      </c>
      <c r="BV886" s="237">
        <f t="shared" si="762"/>
        <v>0</v>
      </c>
      <c r="BW886" s="210"/>
      <c r="BX886" s="237">
        <f t="shared" si="763"/>
        <v>0</v>
      </c>
      <c r="BY886" s="236">
        <v>35</v>
      </c>
      <c r="BZ886" s="237">
        <f t="shared" si="764"/>
        <v>48</v>
      </c>
      <c r="CA886" s="253">
        <f t="shared" si="765"/>
        <v>3.0748170731707316</v>
      </c>
      <c r="CB886" s="253" cm="1">
        <f t="array" ref="CB886">$BC886 * SUMPRODUCT(INDEX($AL$77:$AN$82,,$AE886),INDEX($AO$77:$AU$82,,$AD886), N($AK$77:$AK$82&gt;$AI886)) / CA886 / 1000</f>
        <v>0</v>
      </c>
      <c r="CC886" s="250">
        <f t="shared" si="782"/>
        <v>30</v>
      </c>
      <c r="CD886" s="237">
        <f t="shared" si="766"/>
        <v>43</v>
      </c>
      <c r="CE886" s="253">
        <f t="shared" si="767"/>
        <v>3.5018750000000001</v>
      </c>
      <c r="CF886" s="253" cm="1">
        <f t="array" ref="CF886">$BC886 * IF($AD886&lt;=2,
SUMPRODUCT(INDEX($AL$72:$AN$76,,$AE886), INDEX($AO$72:$AU$76,,$AD886), 1 / ($AV$72:$AV$76*CE886 + (1-$AV$72:$AV$76)*CA886), N($AK$72:$AK$76&gt;$AI886)),
SUMPRODUCT(INDEX($AL$67:$AN$76,,$AE886), INDEX($AO$67:$AU$76,,$AD886), 1 / ($AW$67:$AW$76*CE886 + (1-$AW$67:$AW$76)*CA886), N($AK$67:$AK$76&gt;$AI886))
) / 1000</f>
        <v>0</v>
      </c>
      <c r="CG886" s="250">
        <f t="shared" si="783"/>
        <v>25</v>
      </c>
      <c r="CH886" s="237">
        <f t="shared" si="768"/>
        <v>38</v>
      </c>
      <c r="CI886" s="253">
        <f t="shared" si="769"/>
        <v>4.0666935483870965</v>
      </c>
      <c r="CJ886" s="253" cm="1">
        <f t="array" ref="CJ886">$BC886 * IF($AD886&lt;=2,
SUMPRODUCT(INDEX($AL$67:$AN$71,,$AE886), INDEX($AO$67:$AU$71,,$AD886), 1 / ($AV$67:$AV$71*CI886 + (1-$AV$67:$AV$71)*CE886), N($AK$67:$AK$71&gt;$AI886)),
SUMPRODUCT(INDEX($AL$57:$AN$66,,$AE886), INDEX($AO$57:$AU$66,,$AD886), 1 / ($AW$57:$AW$66*CI886 + (1-$AW$57:$AW$66)*CE886), N($AK$57:$AK$66&gt;$AI886))
) / 1000</f>
        <v>0</v>
      </c>
      <c r="CK886" s="250">
        <f t="shared" si="784"/>
        <v>20</v>
      </c>
      <c r="CL886" s="237">
        <f t="shared" si="770"/>
        <v>33</v>
      </c>
      <c r="CM886" s="253">
        <f t="shared" si="771"/>
        <v>4.8487499999999999</v>
      </c>
      <c r="CN886" s="253" cm="1">
        <f t="array" ref="CN886">$BC886 * IF($AD886&lt;=2,
SUMPRODUCT(INDEX($AL$62:$AN$66,,$AE886), INDEX($AO$62:$AU$66,,$AD886), 1 / ($AV$62:$AV$66*CM886 + (1-$AV$62:$AV$66)*CI886), N($AK$62:$AK$66&gt;$AI886)),
SUMPRODUCT(INDEX($AL$47:$AN$56,,$AE886), INDEX($AO$47:$AU$56,,$AD886), 1 / ($AW$47:$AW$56*CM886 + (1-$AW$47:$AW$56)*CI886), N($AK$47:$AK$56&gt;$AI886))
) / 1000</f>
        <v>0</v>
      </c>
      <c r="CO886" s="253" cm="1">
        <f t="array" ref="CO886">$BC886 * IF($AD886&lt;=2,
SUMPRODUCT(INDEX($AL$23:$AN$61,,$AE886), INDEX($AO$23:$AU$61,,$AD886), 1 / ($AV$23:$AV$61*CM886), N($AK$23:$AK$61&gt;$AI886)),
SUMPRODUCT(INDEX($AL$23:$AN$46,,$AE886), INDEX($AO$23:$AU$46,,$AD886), 1 / ($AW$23:$AW$46*CM886), N($AK$23:$AK$46&gt;$AI886))
) / 1000</f>
        <v>0</v>
      </c>
      <c r="CP886" s="237">
        <f t="shared" si="772"/>
        <v>0</v>
      </c>
      <c r="CQ886" s="210"/>
    </row>
    <row r="887" spans="1:95" s="76" customFormat="1" ht="14.25" customHeight="1" x14ac:dyDescent="0.2">
      <c r="A887" s="238" t="b">
        <f t="shared" si="776"/>
        <v>0</v>
      </c>
      <c r="B887" s="239">
        <v>865</v>
      </c>
      <c r="C887" s="258"/>
      <c r="D887" s="258"/>
      <c r="E887" s="240"/>
      <c r="F887" s="241" t="str">
        <f>IF(ISBLANK(E887), "", VLOOKUP(E887, Z!$A$2:$C$4127, 3, FALSE))</f>
        <v/>
      </c>
      <c r="G887" s="242"/>
      <c r="H887" s="242"/>
      <c r="I887" s="243"/>
      <c r="J887" s="244"/>
      <c r="K887" s="259"/>
      <c r="L887" s="260"/>
      <c r="M887" s="247" t="str" cm="1">
        <f t="array" ref="M887">IF($K887&gt;0, INDEX(Clean,1+AG887,$C$1), "")</f>
        <v/>
      </c>
      <c r="N887" s="245"/>
      <c r="O887" s="245"/>
      <c r="P887" s="246"/>
      <c r="Q887" s="248">
        <f t="shared" si="749"/>
        <v>0</v>
      </c>
      <c r="R887" s="247" t="str" cm="1">
        <f t="array" ref="R887">IF($K887&gt;0, INDEX(Clean,1+AH887,$C$1), "")</f>
        <v/>
      </c>
      <c r="S887" s="245"/>
      <c r="T887" s="245"/>
      <c r="U887" s="246"/>
      <c r="V887" s="248">
        <f t="shared" si="750"/>
        <v>0</v>
      </c>
      <c r="W887" s="261"/>
      <c r="X887" s="258"/>
      <c r="Y887" s="240"/>
      <c r="Z887" s="241" t="str">
        <f>IF(ISBLANK(Y887), "", VLOOKUP(Y887, Z!$A$2:$C$4127, 3, FALSE))</f>
        <v/>
      </c>
      <c r="AA887" s="262"/>
      <c r="AB887" s="249">
        <f t="shared" si="785"/>
        <v>0</v>
      </c>
      <c r="AC887" s="210"/>
      <c r="AD887" s="236">
        <f t="shared" si="773"/>
        <v>1</v>
      </c>
      <c r="AE887" s="236">
        <f t="shared" si="774"/>
        <v>1</v>
      </c>
      <c r="AF887" s="236">
        <f t="shared" si="775"/>
        <v>0</v>
      </c>
      <c r="AG887" s="236">
        <v>1</v>
      </c>
      <c r="AH887" s="236">
        <v>0</v>
      </c>
      <c r="AI887" s="236">
        <f t="shared" si="751"/>
        <v>-100</v>
      </c>
      <c r="AJ887" s="210"/>
      <c r="AK887" s="254"/>
      <c r="AL887" s="254"/>
      <c r="AM887" s="255"/>
      <c r="AN887" s="255"/>
      <c r="AO887" s="255"/>
      <c r="AP887" s="255"/>
      <c r="AQ887" s="255"/>
      <c r="AR887" s="255"/>
      <c r="AS887" s="255"/>
      <c r="AT887" s="255"/>
      <c r="AU887" s="255"/>
      <c r="AV887" s="255"/>
      <c r="AW887" s="255"/>
      <c r="AX887" s="210"/>
      <c r="AY887" s="236" cm="1">
        <f t="array" ref="AY887">INDEX(Use, $AD887, 4)</f>
        <v>7</v>
      </c>
      <c r="AZ887" s="236">
        <f t="shared" si="752"/>
        <v>32</v>
      </c>
      <c r="BA887" s="236">
        <f t="shared" si="777"/>
        <v>13</v>
      </c>
      <c r="BB887" s="236">
        <f t="shared" si="778"/>
        <v>0</v>
      </c>
      <c r="BC887" s="252" cm="1">
        <f t="array" ref="BC887">K887/IF($L887&gt;0, INDEX($AO$23:$AU$77, $L887+20, $AD887), 1)</f>
        <v>0</v>
      </c>
      <c r="BD887" s="237">
        <f t="shared" si="753"/>
        <v>0</v>
      </c>
      <c r="BE887" s="236">
        <v>35</v>
      </c>
      <c r="BF887" s="237">
        <f t="shared" si="754"/>
        <v>52.55</v>
      </c>
      <c r="BG887" s="253">
        <f t="shared" si="755"/>
        <v>2.7676728869374316</v>
      </c>
      <c r="BH887" s="253" cm="1">
        <f t="array" ref="BH887">$BC887 * SUMPRODUCT(INDEX($AL$77:$AN$82,,$AE887),INDEX($AO$77:$AU$82,,$AD887), N($AK$77:$AK$82&gt;$AI887)) / BG887 / 1000</f>
        <v>0</v>
      </c>
      <c r="BI887" s="250">
        <f t="shared" si="779"/>
        <v>30</v>
      </c>
      <c r="BJ887" s="237">
        <f t="shared" si="756"/>
        <v>46.033333333333331</v>
      </c>
      <c r="BK887" s="253">
        <f t="shared" si="757"/>
        <v>3.2297395388556791</v>
      </c>
      <c r="BL887" s="253" cm="1">
        <f t="array" ref="BL887">$BC887 * IF($AD887&lt;=2,
SUMPRODUCT(INDEX($AL$72:$AN$76,,$AE887), INDEX($AO$72:$AU$76,,$AD887), 1 / ($AV$72:$AV$76*BK887 + (1-$AV$72:$AV$76)*BG887), N($AK$72:$AK$76&gt;$AI887)),
SUMPRODUCT(INDEX($AL$67:$AN$76,,$AE887), INDEX($AO$67:$AU$76,,$AD887), 1 / ($AW$67:$AW$76*BK887 + (1-$AW$67:$AW$76)*BG887), N($AK$67:$AK$76&gt;$AI887))
) / 1000</f>
        <v>0</v>
      </c>
      <c r="BM887" s="250">
        <f t="shared" si="780"/>
        <v>25</v>
      </c>
      <c r="BN887" s="237">
        <f t="shared" si="758"/>
        <v>39.516666666666666</v>
      </c>
      <c r="BO887" s="253">
        <f t="shared" si="759"/>
        <v>3.877011788826243</v>
      </c>
      <c r="BP887" s="253" cm="1">
        <f t="array" ref="BP887">$BC887 * IF($AD887&lt;=2,
SUMPRODUCT(INDEX($AL$67:$AN$71,,$AE887), INDEX($AO$67:$AU$71,,$AD887), 1 / ($AV$67:$AV$71*BO887 + (1-$AV$67:$AV$71)*BK887), N($AK$67:$AK$71&gt;$AI887)),
SUMPRODUCT(INDEX($AL$57:$AN$66,,$AE887), INDEX($AO$57:$AU$66,,$AD887), 1 / ($AW$57:$AW$66*BO887 + (1-$AW$57:$AW$66)*BK887), N($AK$57:$AK$66&gt;$AI887))
) / 1000</f>
        <v>0</v>
      </c>
      <c r="BQ887" s="250">
        <f t="shared" si="781"/>
        <v>20</v>
      </c>
      <c r="BR887" s="237">
        <f t="shared" si="760"/>
        <v>33</v>
      </c>
      <c r="BS887" s="253">
        <f t="shared" si="761"/>
        <v>4.8487499999999999</v>
      </c>
      <c r="BT887" s="253" cm="1">
        <f t="array" ref="BT887">$BC887 * IF($AD887&lt;=2,
SUMPRODUCT(INDEX($AL$62:$AN$66,,$AE887), INDEX($AO$62:$AU$66,,$AD887), 1 / ($AV$62:$AV$66*BS887 + (1-$AV$62:$AV$66)*BO887), N($AK$62:$AK$66&gt;$AI887)),
SUMPRODUCT(INDEX($AL$47:$AN$56,,$AE887), INDEX($AO$47:$AU$56,,$AD887), 1 / ($AW$47:$AW$56*BS887 + (1-$AW$47:$AW$56)*BO887), N($AK$47:$AK$56&gt;$AI887))
) / 1000</f>
        <v>0</v>
      </c>
      <c r="BU887" s="253" cm="1">
        <f t="array" ref="BU887">$BC887 * IF($AD887&lt;=2,
SUMPRODUCT(INDEX($AL$23:$AN$61,,$AE887), INDEX($AO$23:$AU$61,,$AD887), 1 / ($AV$23:$AV$61*BS887), N($AK$23:$AK$61&gt;$AI887)),
SUMPRODUCT(INDEX($AL$23:$AN$46,,$AE887), INDEX($AO$23:$AU$46,,$AD887), 1 / ($AW$23:$AW$46*BS887), N($AK$23:$AK$46&gt;$AI887))
) / 1000</f>
        <v>0</v>
      </c>
      <c r="BV887" s="237">
        <f t="shared" si="762"/>
        <v>0</v>
      </c>
      <c r="BW887" s="210"/>
      <c r="BX887" s="237">
        <f t="shared" si="763"/>
        <v>0</v>
      </c>
      <c r="BY887" s="236">
        <v>35</v>
      </c>
      <c r="BZ887" s="237">
        <f t="shared" si="764"/>
        <v>48</v>
      </c>
      <c r="CA887" s="253">
        <f t="shared" si="765"/>
        <v>3.0748170731707316</v>
      </c>
      <c r="CB887" s="253" cm="1">
        <f t="array" ref="CB887">$BC887 * SUMPRODUCT(INDEX($AL$77:$AN$82,,$AE887),INDEX($AO$77:$AU$82,,$AD887), N($AK$77:$AK$82&gt;$AI887)) / CA887 / 1000</f>
        <v>0</v>
      </c>
      <c r="CC887" s="250">
        <f t="shared" si="782"/>
        <v>30</v>
      </c>
      <c r="CD887" s="237">
        <f t="shared" si="766"/>
        <v>43</v>
      </c>
      <c r="CE887" s="253">
        <f t="shared" si="767"/>
        <v>3.5018750000000001</v>
      </c>
      <c r="CF887" s="253" cm="1">
        <f t="array" ref="CF887">$BC887 * IF($AD887&lt;=2,
SUMPRODUCT(INDEX($AL$72:$AN$76,,$AE887), INDEX($AO$72:$AU$76,,$AD887), 1 / ($AV$72:$AV$76*CE887 + (1-$AV$72:$AV$76)*CA887), N($AK$72:$AK$76&gt;$AI887)),
SUMPRODUCT(INDEX($AL$67:$AN$76,,$AE887), INDEX($AO$67:$AU$76,,$AD887), 1 / ($AW$67:$AW$76*CE887 + (1-$AW$67:$AW$76)*CA887), N($AK$67:$AK$76&gt;$AI887))
) / 1000</f>
        <v>0</v>
      </c>
      <c r="CG887" s="250">
        <f t="shared" si="783"/>
        <v>25</v>
      </c>
      <c r="CH887" s="237">
        <f t="shared" si="768"/>
        <v>38</v>
      </c>
      <c r="CI887" s="253">
        <f t="shared" si="769"/>
        <v>4.0666935483870965</v>
      </c>
      <c r="CJ887" s="253" cm="1">
        <f t="array" ref="CJ887">$BC887 * IF($AD887&lt;=2,
SUMPRODUCT(INDEX($AL$67:$AN$71,,$AE887), INDEX($AO$67:$AU$71,,$AD887), 1 / ($AV$67:$AV$71*CI887 + (1-$AV$67:$AV$71)*CE887), N($AK$67:$AK$71&gt;$AI887)),
SUMPRODUCT(INDEX($AL$57:$AN$66,,$AE887), INDEX($AO$57:$AU$66,,$AD887), 1 / ($AW$57:$AW$66*CI887 + (1-$AW$57:$AW$66)*CE887), N($AK$57:$AK$66&gt;$AI887))
) / 1000</f>
        <v>0</v>
      </c>
      <c r="CK887" s="250">
        <f t="shared" si="784"/>
        <v>20</v>
      </c>
      <c r="CL887" s="237">
        <f t="shared" si="770"/>
        <v>33</v>
      </c>
      <c r="CM887" s="253">
        <f t="shared" si="771"/>
        <v>4.8487499999999999</v>
      </c>
      <c r="CN887" s="253" cm="1">
        <f t="array" ref="CN887">$BC887 * IF($AD887&lt;=2,
SUMPRODUCT(INDEX($AL$62:$AN$66,,$AE887), INDEX($AO$62:$AU$66,,$AD887), 1 / ($AV$62:$AV$66*CM887 + (1-$AV$62:$AV$66)*CI887), N($AK$62:$AK$66&gt;$AI887)),
SUMPRODUCT(INDEX($AL$47:$AN$56,,$AE887), INDEX($AO$47:$AU$56,,$AD887), 1 / ($AW$47:$AW$56*CM887 + (1-$AW$47:$AW$56)*CI887), N($AK$47:$AK$56&gt;$AI887))
) / 1000</f>
        <v>0</v>
      </c>
      <c r="CO887" s="253" cm="1">
        <f t="array" ref="CO887">$BC887 * IF($AD887&lt;=2,
SUMPRODUCT(INDEX($AL$23:$AN$61,,$AE887), INDEX($AO$23:$AU$61,,$AD887), 1 / ($AV$23:$AV$61*CM887), N($AK$23:$AK$61&gt;$AI887)),
SUMPRODUCT(INDEX($AL$23:$AN$46,,$AE887), INDEX($AO$23:$AU$46,,$AD887), 1 / ($AW$23:$AW$46*CM887), N($AK$23:$AK$46&gt;$AI887))
) / 1000</f>
        <v>0</v>
      </c>
      <c r="CP887" s="237">
        <f t="shared" si="772"/>
        <v>0</v>
      </c>
      <c r="CQ887" s="210"/>
    </row>
    <row r="888" spans="1:95" s="76" customFormat="1" ht="14.25" customHeight="1" x14ac:dyDescent="0.2">
      <c r="A888" s="238" t="b">
        <f t="shared" si="776"/>
        <v>0</v>
      </c>
      <c r="B888" s="239">
        <v>866</v>
      </c>
      <c r="C888" s="258"/>
      <c r="D888" s="258"/>
      <c r="E888" s="240"/>
      <c r="F888" s="241" t="str">
        <f>IF(ISBLANK(E888), "", VLOOKUP(E888, Z!$A$2:$C$4127, 3, FALSE))</f>
        <v/>
      </c>
      <c r="G888" s="242"/>
      <c r="H888" s="242"/>
      <c r="I888" s="243"/>
      <c r="J888" s="244"/>
      <c r="K888" s="259"/>
      <c r="L888" s="260"/>
      <c r="M888" s="247" t="str" cm="1">
        <f t="array" ref="M888">IF($K888&gt;0, INDEX(Clean,1+AG888,$C$1), "")</f>
        <v/>
      </c>
      <c r="N888" s="245"/>
      <c r="O888" s="245"/>
      <c r="P888" s="246"/>
      <c r="Q888" s="248">
        <f t="shared" si="749"/>
        <v>0</v>
      </c>
      <c r="R888" s="247" t="str" cm="1">
        <f t="array" ref="R888">IF($K888&gt;0, INDEX(Clean,1+AH888,$C$1), "")</f>
        <v/>
      </c>
      <c r="S888" s="245"/>
      <c r="T888" s="245"/>
      <c r="U888" s="246"/>
      <c r="V888" s="248">
        <f t="shared" si="750"/>
        <v>0</v>
      </c>
      <c r="W888" s="261"/>
      <c r="X888" s="258"/>
      <c r="Y888" s="240"/>
      <c r="Z888" s="241" t="str">
        <f>IF(ISBLANK(Y888), "", VLOOKUP(Y888, Z!$A$2:$C$4127, 3, FALSE))</f>
        <v/>
      </c>
      <c r="AA888" s="262"/>
      <c r="AB888" s="249">
        <f t="shared" si="785"/>
        <v>0</v>
      </c>
      <c r="AC888" s="210"/>
      <c r="AD888" s="236">
        <f t="shared" si="773"/>
        <v>1</v>
      </c>
      <c r="AE888" s="236">
        <f t="shared" si="774"/>
        <v>1</v>
      </c>
      <c r="AF888" s="236">
        <f t="shared" si="775"/>
        <v>0</v>
      </c>
      <c r="AG888" s="236">
        <v>1</v>
      </c>
      <c r="AH888" s="236">
        <v>0</v>
      </c>
      <c r="AI888" s="236">
        <f t="shared" si="751"/>
        <v>-100</v>
      </c>
      <c r="AJ888" s="210"/>
      <c r="AK888" s="254"/>
      <c r="AL888" s="254"/>
      <c r="AM888" s="255"/>
      <c r="AN888" s="255"/>
      <c r="AO888" s="255"/>
      <c r="AP888" s="255"/>
      <c r="AQ888" s="255"/>
      <c r="AR888" s="255"/>
      <c r="AS888" s="255"/>
      <c r="AT888" s="255"/>
      <c r="AU888" s="255"/>
      <c r="AV888" s="255"/>
      <c r="AW888" s="255"/>
      <c r="AX888" s="210"/>
      <c r="AY888" s="236" cm="1">
        <f t="array" ref="AY888">INDEX(Use, $AD888, 4)</f>
        <v>7</v>
      </c>
      <c r="AZ888" s="236">
        <f t="shared" si="752"/>
        <v>32</v>
      </c>
      <c r="BA888" s="236">
        <f t="shared" si="777"/>
        <v>13</v>
      </c>
      <c r="BB888" s="236">
        <f t="shared" si="778"/>
        <v>0</v>
      </c>
      <c r="BC888" s="252" cm="1">
        <f t="array" ref="BC888">K888/IF($L888&gt;0, INDEX($AO$23:$AU$77, $L888+20, $AD888), 1)</f>
        <v>0</v>
      </c>
      <c r="BD888" s="237">
        <f t="shared" si="753"/>
        <v>0</v>
      </c>
      <c r="BE888" s="236">
        <v>35</v>
      </c>
      <c r="BF888" s="237">
        <f t="shared" si="754"/>
        <v>52.55</v>
      </c>
      <c r="BG888" s="253">
        <f t="shared" si="755"/>
        <v>2.7676728869374316</v>
      </c>
      <c r="BH888" s="253" cm="1">
        <f t="array" ref="BH888">$BC888 * SUMPRODUCT(INDEX($AL$77:$AN$82,,$AE888),INDEX($AO$77:$AU$82,,$AD888), N($AK$77:$AK$82&gt;$AI888)) / BG888 / 1000</f>
        <v>0</v>
      </c>
      <c r="BI888" s="250">
        <f t="shared" si="779"/>
        <v>30</v>
      </c>
      <c r="BJ888" s="237">
        <f t="shared" si="756"/>
        <v>46.033333333333331</v>
      </c>
      <c r="BK888" s="253">
        <f t="shared" si="757"/>
        <v>3.2297395388556791</v>
      </c>
      <c r="BL888" s="253" cm="1">
        <f t="array" ref="BL888">$BC888 * IF($AD888&lt;=2,
SUMPRODUCT(INDEX($AL$72:$AN$76,,$AE888), INDEX($AO$72:$AU$76,,$AD888), 1 / ($AV$72:$AV$76*BK888 + (1-$AV$72:$AV$76)*BG888), N($AK$72:$AK$76&gt;$AI888)),
SUMPRODUCT(INDEX($AL$67:$AN$76,,$AE888), INDEX($AO$67:$AU$76,,$AD888), 1 / ($AW$67:$AW$76*BK888 + (1-$AW$67:$AW$76)*BG888), N($AK$67:$AK$76&gt;$AI888))
) / 1000</f>
        <v>0</v>
      </c>
      <c r="BM888" s="250">
        <f t="shared" si="780"/>
        <v>25</v>
      </c>
      <c r="BN888" s="237">
        <f t="shared" si="758"/>
        <v>39.516666666666666</v>
      </c>
      <c r="BO888" s="253">
        <f t="shared" si="759"/>
        <v>3.877011788826243</v>
      </c>
      <c r="BP888" s="253" cm="1">
        <f t="array" ref="BP888">$BC888 * IF($AD888&lt;=2,
SUMPRODUCT(INDEX($AL$67:$AN$71,,$AE888), INDEX($AO$67:$AU$71,,$AD888), 1 / ($AV$67:$AV$71*BO888 + (1-$AV$67:$AV$71)*BK888), N($AK$67:$AK$71&gt;$AI888)),
SUMPRODUCT(INDEX($AL$57:$AN$66,,$AE888), INDEX($AO$57:$AU$66,,$AD888), 1 / ($AW$57:$AW$66*BO888 + (1-$AW$57:$AW$66)*BK888), N($AK$57:$AK$66&gt;$AI888))
) / 1000</f>
        <v>0</v>
      </c>
      <c r="BQ888" s="250">
        <f t="shared" si="781"/>
        <v>20</v>
      </c>
      <c r="BR888" s="237">
        <f t="shared" si="760"/>
        <v>33</v>
      </c>
      <c r="BS888" s="253">
        <f t="shared" si="761"/>
        <v>4.8487499999999999</v>
      </c>
      <c r="BT888" s="253" cm="1">
        <f t="array" ref="BT888">$BC888 * IF($AD888&lt;=2,
SUMPRODUCT(INDEX($AL$62:$AN$66,,$AE888), INDEX($AO$62:$AU$66,,$AD888), 1 / ($AV$62:$AV$66*BS888 + (1-$AV$62:$AV$66)*BO888), N($AK$62:$AK$66&gt;$AI888)),
SUMPRODUCT(INDEX($AL$47:$AN$56,,$AE888), INDEX($AO$47:$AU$56,,$AD888), 1 / ($AW$47:$AW$56*BS888 + (1-$AW$47:$AW$56)*BO888), N($AK$47:$AK$56&gt;$AI888))
) / 1000</f>
        <v>0</v>
      </c>
      <c r="BU888" s="253" cm="1">
        <f t="array" ref="BU888">$BC888 * IF($AD888&lt;=2,
SUMPRODUCT(INDEX($AL$23:$AN$61,,$AE888), INDEX($AO$23:$AU$61,,$AD888), 1 / ($AV$23:$AV$61*BS888), N($AK$23:$AK$61&gt;$AI888)),
SUMPRODUCT(INDEX($AL$23:$AN$46,,$AE888), INDEX($AO$23:$AU$46,,$AD888), 1 / ($AW$23:$AW$46*BS888), N($AK$23:$AK$46&gt;$AI888))
) / 1000</f>
        <v>0</v>
      </c>
      <c r="BV888" s="237">
        <f t="shared" si="762"/>
        <v>0</v>
      </c>
      <c r="BW888" s="210"/>
      <c r="BX888" s="237">
        <f t="shared" si="763"/>
        <v>0</v>
      </c>
      <c r="BY888" s="236">
        <v>35</v>
      </c>
      <c r="BZ888" s="237">
        <f t="shared" si="764"/>
        <v>48</v>
      </c>
      <c r="CA888" s="253">
        <f t="shared" si="765"/>
        <v>3.0748170731707316</v>
      </c>
      <c r="CB888" s="253" cm="1">
        <f t="array" ref="CB888">$BC888 * SUMPRODUCT(INDEX($AL$77:$AN$82,,$AE888),INDEX($AO$77:$AU$82,,$AD888), N($AK$77:$AK$82&gt;$AI888)) / CA888 / 1000</f>
        <v>0</v>
      </c>
      <c r="CC888" s="250">
        <f t="shared" si="782"/>
        <v>30</v>
      </c>
      <c r="CD888" s="237">
        <f t="shared" si="766"/>
        <v>43</v>
      </c>
      <c r="CE888" s="253">
        <f t="shared" si="767"/>
        <v>3.5018750000000001</v>
      </c>
      <c r="CF888" s="253" cm="1">
        <f t="array" ref="CF888">$BC888 * IF($AD888&lt;=2,
SUMPRODUCT(INDEX($AL$72:$AN$76,,$AE888), INDEX($AO$72:$AU$76,,$AD888), 1 / ($AV$72:$AV$76*CE888 + (1-$AV$72:$AV$76)*CA888), N($AK$72:$AK$76&gt;$AI888)),
SUMPRODUCT(INDEX($AL$67:$AN$76,,$AE888), INDEX($AO$67:$AU$76,,$AD888), 1 / ($AW$67:$AW$76*CE888 + (1-$AW$67:$AW$76)*CA888), N($AK$67:$AK$76&gt;$AI888))
) / 1000</f>
        <v>0</v>
      </c>
      <c r="CG888" s="250">
        <f t="shared" si="783"/>
        <v>25</v>
      </c>
      <c r="CH888" s="237">
        <f t="shared" si="768"/>
        <v>38</v>
      </c>
      <c r="CI888" s="253">
        <f t="shared" si="769"/>
        <v>4.0666935483870965</v>
      </c>
      <c r="CJ888" s="253" cm="1">
        <f t="array" ref="CJ888">$BC888 * IF($AD888&lt;=2,
SUMPRODUCT(INDEX($AL$67:$AN$71,,$AE888), INDEX($AO$67:$AU$71,,$AD888), 1 / ($AV$67:$AV$71*CI888 + (1-$AV$67:$AV$71)*CE888), N($AK$67:$AK$71&gt;$AI888)),
SUMPRODUCT(INDEX($AL$57:$AN$66,,$AE888), INDEX($AO$57:$AU$66,,$AD888), 1 / ($AW$57:$AW$66*CI888 + (1-$AW$57:$AW$66)*CE888), N($AK$57:$AK$66&gt;$AI888))
) / 1000</f>
        <v>0</v>
      </c>
      <c r="CK888" s="250">
        <f t="shared" si="784"/>
        <v>20</v>
      </c>
      <c r="CL888" s="237">
        <f t="shared" si="770"/>
        <v>33</v>
      </c>
      <c r="CM888" s="253">
        <f t="shared" si="771"/>
        <v>4.8487499999999999</v>
      </c>
      <c r="CN888" s="253" cm="1">
        <f t="array" ref="CN888">$BC888 * IF($AD888&lt;=2,
SUMPRODUCT(INDEX($AL$62:$AN$66,,$AE888), INDEX($AO$62:$AU$66,,$AD888), 1 / ($AV$62:$AV$66*CM888 + (1-$AV$62:$AV$66)*CI888), N($AK$62:$AK$66&gt;$AI888)),
SUMPRODUCT(INDEX($AL$47:$AN$56,,$AE888), INDEX($AO$47:$AU$56,,$AD888), 1 / ($AW$47:$AW$56*CM888 + (1-$AW$47:$AW$56)*CI888), N($AK$47:$AK$56&gt;$AI888))
) / 1000</f>
        <v>0</v>
      </c>
      <c r="CO888" s="253" cm="1">
        <f t="array" ref="CO888">$BC888 * IF($AD888&lt;=2,
SUMPRODUCT(INDEX($AL$23:$AN$61,,$AE888), INDEX($AO$23:$AU$61,,$AD888), 1 / ($AV$23:$AV$61*CM888), N($AK$23:$AK$61&gt;$AI888)),
SUMPRODUCT(INDEX($AL$23:$AN$46,,$AE888), INDEX($AO$23:$AU$46,,$AD888), 1 / ($AW$23:$AW$46*CM888), N($AK$23:$AK$46&gt;$AI888))
) / 1000</f>
        <v>0</v>
      </c>
      <c r="CP888" s="237">
        <f t="shared" si="772"/>
        <v>0</v>
      </c>
      <c r="CQ888" s="210"/>
    </row>
    <row r="889" spans="1:95" s="76" customFormat="1" ht="14.25" customHeight="1" x14ac:dyDescent="0.2">
      <c r="A889" s="238" t="b">
        <f t="shared" si="776"/>
        <v>0</v>
      </c>
      <c r="B889" s="239">
        <v>867</v>
      </c>
      <c r="C889" s="258"/>
      <c r="D889" s="258"/>
      <c r="E889" s="240"/>
      <c r="F889" s="241" t="str">
        <f>IF(ISBLANK(E889), "", VLOOKUP(E889, Z!$A$2:$C$4127, 3, FALSE))</f>
        <v/>
      </c>
      <c r="G889" s="242"/>
      <c r="H889" s="242"/>
      <c r="I889" s="243"/>
      <c r="J889" s="244"/>
      <c r="K889" s="259"/>
      <c r="L889" s="260"/>
      <c r="M889" s="247" t="str" cm="1">
        <f t="array" ref="M889">IF($K889&gt;0, INDEX(Clean,1+AG889,$C$1), "")</f>
        <v/>
      </c>
      <c r="N889" s="245"/>
      <c r="O889" s="245"/>
      <c r="P889" s="246"/>
      <c r="Q889" s="248">
        <f t="shared" si="749"/>
        <v>0</v>
      </c>
      <c r="R889" s="247" t="str" cm="1">
        <f t="array" ref="R889">IF($K889&gt;0, INDEX(Clean,1+AH889,$C$1), "")</f>
        <v/>
      </c>
      <c r="S889" s="245"/>
      <c r="T889" s="245"/>
      <c r="U889" s="246"/>
      <c r="V889" s="248">
        <f t="shared" si="750"/>
        <v>0</v>
      </c>
      <c r="W889" s="261"/>
      <c r="X889" s="258"/>
      <c r="Y889" s="240"/>
      <c r="Z889" s="241" t="str">
        <f>IF(ISBLANK(Y889), "", VLOOKUP(Y889, Z!$A$2:$C$4127, 3, FALSE))</f>
        <v/>
      </c>
      <c r="AA889" s="262"/>
      <c r="AB889" s="249">
        <f t="shared" si="785"/>
        <v>0</v>
      </c>
      <c r="AC889" s="210"/>
      <c r="AD889" s="236">
        <f t="shared" si="773"/>
        <v>1</v>
      </c>
      <c r="AE889" s="236">
        <f t="shared" si="774"/>
        <v>1</v>
      </c>
      <c r="AF889" s="236">
        <f t="shared" si="775"/>
        <v>0</v>
      </c>
      <c r="AG889" s="236">
        <v>1</v>
      </c>
      <c r="AH889" s="236">
        <v>0</v>
      </c>
      <c r="AI889" s="236">
        <f t="shared" si="751"/>
        <v>-100</v>
      </c>
      <c r="AJ889" s="210"/>
      <c r="AK889" s="254"/>
      <c r="AL889" s="254"/>
      <c r="AM889" s="255"/>
      <c r="AN889" s="255"/>
      <c r="AO889" s="255"/>
      <c r="AP889" s="255"/>
      <c r="AQ889" s="255"/>
      <c r="AR889" s="255"/>
      <c r="AS889" s="255"/>
      <c r="AT889" s="255"/>
      <c r="AU889" s="255"/>
      <c r="AV889" s="255"/>
      <c r="AW889" s="255"/>
      <c r="AX889" s="210"/>
      <c r="AY889" s="236" cm="1">
        <f t="array" ref="AY889">INDEX(Use, $AD889, 4)</f>
        <v>7</v>
      </c>
      <c r="AZ889" s="236">
        <f t="shared" si="752"/>
        <v>32</v>
      </c>
      <c r="BA889" s="236">
        <f t="shared" si="777"/>
        <v>13</v>
      </c>
      <c r="BB889" s="236">
        <f t="shared" si="778"/>
        <v>0</v>
      </c>
      <c r="BC889" s="252" cm="1">
        <f t="array" ref="BC889">K889/IF($L889&gt;0, INDEX($AO$23:$AU$77, $L889+20, $AD889), 1)</f>
        <v>0</v>
      </c>
      <c r="BD889" s="237">
        <f t="shared" si="753"/>
        <v>0</v>
      </c>
      <c r="BE889" s="236">
        <v>35</v>
      </c>
      <c r="BF889" s="237">
        <f t="shared" si="754"/>
        <v>52.55</v>
      </c>
      <c r="BG889" s="253">
        <f t="shared" si="755"/>
        <v>2.7676728869374316</v>
      </c>
      <c r="BH889" s="253" cm="1">
        <f t="array" ref="BH889">$BC889 * SUMPRODUCT(INDEX($AL$77:$AN$82,,$AE889),INDEX($AO$77:$AU$82,,$AD889), N($AK$77:$AK$82&gt;$AI889)) / BG889 / 1000</f>
        <v>0</v>
      </c>
      <c r="BI889" s="250">
        <f t="shared" si="779"/>
        <v>30</v>
      </c>
      <c r="BJ889" s="237">
        <f t="shared" si="756"/>
        <v>46.033333333333331</v>
      </c>
      <c r="BK889" s="253">
        <f t="shared" si="757"/>
        <v>3.2297395388556791</v>
      </c>
      <c r="BL889" s="253" cm="1">
        <f t="array" ref="BL889">$BC889 * IF($AD889&lt;=2,
SUMPRODUCT(INDEX($AL$72:$AN$76,,$AE889), INDEX($AO$72:$AU$76,,$AD889), 1 / ($AV$72:$AV$76*BK889 + (1-$AV$72:$AV$76)*BG889), N($AK$72:$AK$76&gt;$AI889)),
SUMPRODUCT(INDEX($AL$67:$AN$76,,$AE889), INDEX($AO$67:$AU$76,,$AD889), 1 / ($AW$67:$AW$76*BK889 + (1-$AW$67:$AW$76)*BG889), N($AK$67:$AK$76&gt;$AI889))
) / 1000</f>
        <v>0</v>
      </c>
      <c r="BM889" s="250">
        <f t="shared" si="780"/>
        <v>25</v>
      </c>
      <c r="BN889" s="237">
        <f t="shared" si="758"/>
        <v>39.516666666666666</v>
      </c>
      <c r="BO889" s="253">
        <f t="shared" si="759"/>
        <v>3.877011788826243</v>
      </c>
      <c r="BP889" s="253" cm="1">
        <f t="array" ref="BP889">$BC889 * IF($AD889&lt;=2,
SUMPRODUCT(INDEX($AL$67:$AN$71,,$AE889), INDEX($AO$67:$AU$71,,$AD889), 1 / ($AV$67:$AV$71*BO889 + (1-$AV$67:$AV$71)*BK889), N($AK$67:$AK$71&gt;$AI889)),
SUMPRODUCT(INDEX($AL$57:$AN$66,,$AE889), INDEX($AO$57:$AU$66,,$AD889), 1 / ($AW$57:$AW$66*BO889 + (1-$AW$57:$AW$66)*BK889), N($AK$57:$AK$66&gt;$AI889))
) / 1000</f>
        <v>0</v>
      </c>
      <c r="BQ889" s="250">
        <f t="shared" si="781"/>
        <v>20</v>
      </c>
      <c r="BR889" s="237">
        <f t="shared" si="760"/>
        <v>33</v>
      </c>
      <c r="BS889" s="253">
        <f t="shared" si="761"/>
        <v>4.8487499999999999</v>
      </c>
      <c r="BT889" s="253" cm="1">
        <f t="array" ref="BT889">$BC889 * IF($AD889&lt;=2,
SUMPRODUCT(INDEX($AL$62:$AN$66,,$AE889), INDEX($AO$62:$AU$66,,$AD889), 1 / ($AV$62:$AV$66*BS889 + (1-$AV$62:$AV$66)*BO889), N($AK$62:$AK$66&gt;$AI889)),
SUMPRODUCT(INDEX($AL$47:$AN$56,,$AE889), INDEX($AO$47:$AU$56,,$AD889), 1 / ($AW$47:$AW$56*BS889 + (1-$AW$47:$AW$56)*BO889), N($AK$47:$AK$56&gt;$AI889))
) / 1000</f>
        <v>0</v>
      </c>
      <c r="BU889" s="253" cm="1">
        <f t="array" ref="BU889">$BC889 * IF($AD889&lt;=2,
SUMPRODUCT(INDEX($AL$23:$AN$61,,$AE889), INDEX($AO$23:$AU$61,,$AD889), 1 / ($AV$23:$AV$61*BS889), N($AK$23:$AK$61&gt;$AI889)),
SUMPRODUCT(INDEX($AL$23:$AN$46,,$AE889), INDEX($AO$23:$AU$46,,$AD889), 1 / ($AW$23:$AW$46*BS889), N($AK$23:$AK$46&gt;$AI889))
) / 1000</f>
        <v>0</v>
      </c>
      <c r="BV889" s="237">
        <f t="shared" si="762"/>
        <v>0</v>
      </c>
      <c r="BW889" s="210"/>
      <c r="BX889" s="237">
        <f t="shared" si="763"/>
        <v>0</v>
      </c>
      <c r="BY889" s="236">
        <v>35</v>
      </c>
      <c r="BZ889" s="237">
        <f t="shared" si="764"/>
        <v>48</v>
      </c>
      <c r="CA889" s="253">
        <f t="shared" si="765"/>
        <v>3.0748170731707316</v>
      </c>
      <c r="CB889" s="253" cm="1">
        <f t="array" ref="CB889">$BC889 * SUMPRODUCT(INDEX($AL$77:$AN$82,,$AE889),INDEX($AO$77:$AU$82,,$AD889), N($AK$77:$AK$82&gt;$AI889)) / CA889 / 1000</f>
        <v>0</v>
      </c>
      <c r="CC889" s="250">
        <f t="shared" si="782"/>
        <v>30</v>
      </c>
      <c r="CD889" s="237">
        <f t="shared" si="766"/>
        <v>43</v>
      </c>
      <c r="CE889" s="253">
        <f t="shared" si="767"/>
        <v>3.5018750000000001</v>
      </c>
      <c r="CF889" s="253" cm="1">
        <f t="array" ref="CF889">$BC889 * IF($AD889&lt;=2,
SUMPRODUCT(INDEX($AL$72:$AN$76,,$AE889), INDEX($AO$72:$AU$76,,$AD889), 1 / ($AV$72:$AV$76*CE889 + (1-$AV$72:$AV$76)*CA889), N($AK$72:$AK$76&gt;$AI889)),
SUMPRODUCT(INDEX($AL$67:$AN$76,,$AE889), INDEX($AO$67:$AU$76,,$AD889), 1 / ($AW$67:$AW$76*CE889 + (1-$AW$67:$AW$76)*CA889), N($AK$67:$AK$76&gt;$AI889))
) / 1000</f>
        <v>0</v>
      </c>
      <c r="CG889" s="250">
        <f t="shared" si="783"/>
        <v>25</v>
      </c>
      <c r="CH889" s="237">
        <f t="shared" si="768"/>
        <v>38</v>
      </c>
      <c r="CI889" s="253">
        <f t="shared" si="769"/>
        <v>4.0666935483870965</v>
      </c>
      <c r="CJ889" s="253" cm="1">
        <f t="array" ref="CJ889">$BC889 * IF($AD889&lt;=2,
SUMPRODUCT(INDEX($AL$67:$AN$71,,$AE889), INDEX($AO$67:$AU$71,,$AD889), 1 / ($AV$67:$AV$71*CI889 + (1-$AV$67:$AV$71)*CE889), N($AK$67:$AK$71&gt;$AI889)),
SUMPRODUCT(INDEX($AL$57:$AN$66,,$AE889), INDEX($AO$57:$AU$66,,$AD889), 1 / ($AW$57:$AW$66*CI889 + (1-$AW$57:$AW$66)*CE889), N($AK$57:$AK$66&gt;$AI889))
) / 1000</f>
        <v>0</v>
      </c>
      <c r="CK889" s="250">
        <f t="shared" si="784"/>
        <v>20</v>
      </c>
      <c r="CL889" s="237">
        <f t="shared" si="770"/>
        <v>33</v>
      </c>
      <c r="CM889" s="253">
        <f t="shared" si="771"/>
        <v>4.8487499999999999</v>
      </c>
      <c r="CN889" s="253" cm="1">
        <f t="array" ref="CN889">$BC889 * IF($AD889&lt;=2,
SUMPRODUCT(INDEX($AL$62:$AN$66,,$AE889), INDEX($AO$62:$AU$66,,$AD889), 1 / ($AV$62:$AV$66*CM889 + (1-$AV$62:$AV$66)*CI889), N($AK$62:$AK$66&gt;$AI889)),
SUMPRODUCT(INDEX($AL$47:$AN$56,,$AE889), INDEX($AO$47:$AU$56,,$AD889), 1 / ($AW$47:$AW$56*CM889 + (1-$AW$47:$AW$56)*CI889), N($AK$47:$AK$56&gt;$AI889))
) / 1000</f>
        <v>0</v>
      </c>
      <c r="CO889" s="253" cm="1">
        <f t="array" ref="CO889">$BC889 * IF($AD889&lt;=2,
SUMPRODUCT(INDEX($AL$23:$AN$61,,$AE889), INDEX($AO$23:$AU$61,,$AD889), 1 / ($AV$23:$AV$61*CM889), N($AK$23:$AK$61&gt;$AI889)),
SUMPRODUCT(INDEX($AL$23:$AN$46,,$AE889), INDEX($AO$23:$AU$46,,$AD889), 1 / ($AW$23:$AW$46*CM889), N($AK$23:$AK$46&gt;$AI889))
) / 1000</f>
        <v>0</v>
      </c>
      <c r="CP889" s="237">
        <f t="shared" si="772"/>
        <v>0</v>
      </c>
      <c r="CQ889" s="210"/>
    </row>
    <row r="890" spans="1:95" s="76" customFormat="1" ht="14.25" customHeight="1" x14ac:dyDescent="0.2">
      <c r="A890" s="238" t="b">
        <f t="shared" si="776"/>
        <v>0</v>
      </c>
      <c r="B890" s="239">
        <v>868</v>
      </c>
      <c r="C890" s="258"/>
      <c r="D890" s="258"/>
      <c r="E890" s="240"/>
      <c r="F890" s="241" t="str">
        <f>IF(ISBLANK(E890), "", VLOOKUP(E890, Z!$A$2:$C$4127, 3, FALSE))</f>
        <v/>
      </c>
      <c r="G890" s="242"/>
      <c r="H890" s="242"/>
      <c r="I890" s="243"/>
      <c r="J890" s="244"/>
      <c r="K890" s="259"/>
      <c r="L890" s="260"/>
      <c r="M890" s="247" t="str" cm="1">
        <f t="array" ref="M890">IF($K890&gt;0, INDEX(Clean,1+AG890,$C$1), "")</f>
        <v/>
      </c>
      <c r="N890" s="245"/>
      <c r="O890" s="245"/>
      <c r="P890" s="246"/>
      <c r="Q890" s="248">
        <f t="shared" si="749"/>
        <v>0</v>
      </c>
      <c r="R890" s="247" t="str" cm="1">
        <f t="array" ref="R890">IF($K890&gt;0, INDEX(Clean,1+AH890,$C$1), "")</f>
        <v/>
      </c>
      <c r="S890" s="245"/>
      <c r="T890" s="245"/>
      <c r="U890" s="246"/>
      <c r="V890" s="248">
        <f t="shared" si="750"/>
        <v>0</v>
      </c>
      <c r="W890" s="261"/>
      <c r="X890" s="258"/>
      <c r="Y890" s="240"/>
      <c r="Z890" s="241" t="str">
        <f>IF(ISBLANK(Y890), "", VLOOKUP(Y890, Z!$A$2:$C$4127, 3, FALSE))</f>
        <v/>
      </c>
      <c r="AA890" s="262"/>
      <c r="AB890" s="249">
        <f t="shared" si="785"/>
        <v>0</v>
      </c>
      <c r="AC890" s="210"/>
      <c r="AD890" s="236">
        <f t="shared" si="773"/>
        <v>1</v>
      </c>
      <c r="AE890" s="236">
        <f t="shared" si="774"/>
        <v>1</v>
      </c>
      <c r="AF890" s="236">
        <f t="shared" si="775"/>
        <v>0</v>
      </c>
      <c r="AG890" s="236">
        <v>1</v>
      </c>
      <c r="AH890" s="236">
        <v>0</v>
      </c>
      <c r="AI890" s="236">
        <f t="shared" si="751"/>
        <v>-100</v>
      </c>
      <c r="AJ890" s="210"/>
      <c r="AK890" s="254"/>
      <c r="AL890" s="254"/>
      <c r="AM890" s="255"/>
      <c r="AN890" s="255"/>
      <c r="AO890" s="255"/>
      <c r="AP890" s="255"/>
      <c r="AQ890" s="255"/>
      <c r="AR890" s="255"/>
      <c r="AS890" s="255"/>
      <c r="AT890" s="255"/>
      <c r="AU890" s="255"/>
      <c r="AV890" s="255"/>
      <c r="AW890" s="255"/>
      <c r="AX890" s="210"/>
      <c r="AY890" s="236" cm="1">
        <f t="array" ref="AY890">INDEX(Use, $AD890, 4)</f>
        <v>7</v>
      </c>
      <c r="AZ890" s="236">
        <f t="shared" si="752"/>
        <v>32</v>
      </c>
      <c r="BA890" s="236">
        <f t="shared" si="777"/>
        <v>13</v>
      </c>
      <c r="BB890" s="236">
        <f t="shared" si="778"/>
        <v>0</v>
      </c>
      <c r="BC890" s="252" cm="1">
        <f t="array" ref="BC890">K890/IF($L890&gt;0, INDEX($AO$23:$AU$77, $L890+20, $AD890), 1)</f>
        <v>0</v>
      </c>
      <c r="BD890" s="237">
        <f t="shared" si="753"/>
        <v>0</v>
      </c>
      <c r="BE890" s="236">
        <v>35</v>
      </c>
      <c r="BF890" s="237">
        <f t="shared" si="754"/>
        <v>52.55</v>
      </c>
      <c r="BG890" s="253">
        <f t="shared" si="755"/>
        <v>2.7676728869374316</v>
      </c>
      <c r="BH890" s="253" cm="1">
        <f t="array" ref="BH890">$BC890 * SUMPRODUCT(INDEX($AL$77:$AN$82,,$AE890),INDEX($AO$77:$AU$82,,$AD890), N($AK$77:$AK$82&gt;$AI890)) / BG890 / 1000</f>
        <v>0</v>
      </c>
      <c r="BI890" s="250">
        <f t="shared" si="779"/>
        <v>30</v>
      </c>
      <c r="BJ890" s="237">
        <f t="shared" si="756"/>
        <v>46.033333333333331</v>
      </c>
      <c r="BK890" s="253">
        <f t="shared" si="757"/>
        <v>3.2297395388556791</v>
      </c>
      <c r="BL890" s="253" cm="1">
        <f t="array" ref="BL890">$BC890 * IF($AD890&lt;=2,
SUMPRODUCT(INDEX($AL$72:$AN$76,,$AE890), INDEX($AO$72:$AU$76,,$AD890), 1 / ($AV$72:$AV$76*BK890 + (1-$AV$72:$AV$76)*BG890), N($AK$72:$AK$76&gt;$AI890)),
SUMPRODUCT(INDEX($AL$67:$AN$76,,$AE890), INDEX($AO$67:$AU$76,,$AD890), 1 / ($AW$67:$AW$76*BK890 + (1-$AW$67:$AW$76)*BG890), N($AK$67:$AK$76&gt;$AI890))
) / 1000</f>
        <v>0</v>
      </c>
      <c r="BM890" s="250">
        <f t="shared" si="780"/>
        <v>25</v>
      </c>
      <c r="BN890" s="237">
        <f t="shared" si="758"/>
        <v>39.516666666666666</v>
      </c>
      <c r="BO890" s="253">
        <f t="shared" si="759"/>
        <v>3.877011788826243</v>
      </c>
      <c r="BP890" s="253" cm="1">
        <f t="array" ref="BP890">$BC890 * IF($AD890&lt;=2,
SUMPRODUCT(INDEX($AL$67:$AN$71,,$AE890), INDEX($AO$67:$AU$71,,$AD890), 1 / ($AV$67:$AV$71*BO890 + (1-$AV$67:$AV$71)*BK890), N($AK$67:$AK$71&gt;$AI890)),
SUMPRODUCT(INDEX($AL$57:$AN$66,,$AE890), INDEX($AO$57:$AU$66,,$AD890), 1 / ($AW$57:$AW$66*BO890 + (1-$AW$57:$AW$66)*BK890), N($AK$57:$AK$66&gt;$AI890))
) / 1000</f>
        <v>0</v>
      </c>
      <c r="BQ890" s="250">
        <f t="shared" si="781"/>
        <v>20</v>
      </c>
      <c r="BR890" s="237">
        <f t="shared" si="760"/>
        <v>33</v>
      </c>
      <c r="BS890" s="253">
        <f t="shared" si="761"/>
        <v>4.8487499999999999</v>
      </c>
      <c r="BT890" s="253" cm="1">
        <f t="array" ref="BT890">$BC890 * IF($AD890&lt;=2,
SUMPRODUCT(INDEX($AL$62:$AN$66,,$AE890), INDEX($AO$62:$AU$66,,$AD890), 1 / ($AV$62:$AV$66*BS890 + (1-$AV$62:$AV$66)*BO890), N($AK$62:$AK$66&gt;$AI890)),
SUMPRODUCT(INDEX($AL$47:$AN$56,,$AE890), INDEX($AO$47:$AU$56,,$AD890), 1 / ($AW$47:$AW$56*BS890 + (1-$AW$47:$AW$56)*BO890), N($AK$47:$AK$56&gt;$AI890))
) / 1000</f>
        <v>0</v>
      </c>
      <c r="BU890" s="253" cm="1">
        <f t="array" ref="BU890">$BC890 * IF($AD890&lt;=2,
SUMPRODUCT(INDEX($AL$23:$AN$61,,$AE890), INDEX($AO$23:$AU$61,,$AD890), 1 / ($AV$23:$AV$61*BS890), N($AK$23:$AK$61&gt;$AI890)),
SUMPRODUCT(INDEX($AL$23:$AN$46,,$AE890), INDEX($AO$23:$AU$46,,$AD890), 1 / ($AW$23:$AW$46*BS890), N($AK$23:$AK$46&gt;$AI890))
) / 1000</f>
        <v>0</v>
      </c>
      <c r="BV890" s="237">
        <f t="shared" si="762"/>
        <v>0</v>
      </c>
      <c r="BW890" s="210"/>
      <c r="BX890" s="237">
        <f t="shared" si="763"/>
        <v>0</v>
      </c>
      <c r="BY890" s="236">
        <v>35</v>
      </c>
      <c r="BZ890" s="237">
        <f t="shared" si="764"/>
        <v>48</v>
      </c>
      <c r="CA890" s="253">
        <f t="shared" si="765"/>
        <v>3.0748170731707316</v>
      </c>
      <c r="CB890" s="253" cm="1">
        <f t="array" ref="CB890">$BC890 * SUMPRODUCT(INDEX($AL$77:$AN$82,,$AE890),INDEX($AO$77:$AU$82,,$AD890), N($AK$77:$AK$82&gt;$AI890)) / CA890 / 1000</f>
        <v>0</v>
      </c>
      <c r="CC890" s="250">
        <f t="shared" si="782"/>
        <v>30</v>
      </c>
      <c r="CD890" s="237">
        <f t="shared" si="766"/>
        <v>43</v>
      </c>
      <c r="CE890" s="253">
        <f t="shared" si="767"/>
        <v>3.5018750000000001</v>
      </c>
      <c r="CF890" s="253" cm="1">
        <f t="array" ref="CF890">$BC890 * IF($AD890&lt;=2,
SUMPRODUCT(INDEX($AL$72:$AN$76,,$AE890), INDEX($AO$72:$AU$76,,$AD890), 1 / ($AV$72:$AV$76*CE890 + (1-$AV$72:$AV$76)*CA890), N($AK$72:$AK$76&gt;$AI890)),
SUMPRODUCT(INDEX($AL$67:$AN$76,,$AE890), INDEX($AO$67:$AU$76,,$AD890), 1 / ($AW$67:$AW$76*CE890 + (1-$AW$67:$AW$76)*CA890), N($AK$67:$AK$76&gt;$AI890))
) / 1000</f>
        <v>0</v>
      </c>
      <c r="CG890" s="250">
        <f t="shared" si="783"/>
        <v>25</v>
      </c>
      <c r="CH890" s="237">
        <f t="shared" si="768"/>
        <v>38</v>
      </c>
      <c r="CI890" s="253">
        <f t="shared" si="769"/>
        <v>4.0666935483870965</v>
      </c>
      <c r="CJ890" s="253" cm="1">
        <f t="array" ref="CJ890">$BC890 * IF($AD890&lt;=2,
SUMPRODUCT(INDEX($AL$67:$AN$71,,$AE890), INDEX($AO$67:$AU$71,,$AD890), 1 / ($AV$67:$AV$71*CI890 + (1-$AV$67:$AV$71)*CE890), N($AK$67:$AK$71&gt;$AI890)),
SUMPRODUCT(INDEX($AL$57:$AN$66,,$AE890), INDEX($AO$57:$AU$66,,$AD890), 1 / ($AW$57:$AW$66*CI890 + (1-$AW$57:$AW$66)*CE890), N($AK$57:$AK$66&gt;$AI890))
) / 1000</f>
        <v>0</v>
      </c>
      <c r="CK890" s="250">
        <f t="shared" si="784"/>
        <v>20</v>
      </c>
      <c r="CL890" s="237">
        <f t="shared" si="770"/>
        <v>33</v>
      </c>
      <c r="CM890" s="253">
        <f t="shared" si="771"/>
        <v>4.8487499999999999</v>
      </c>
      <c r="CN890" s="253" cm="1">
        <f t="array" ref="CN890">$BC890 * IF($AD890&lt;=2,
SUMPRODUCT(INDEX($AL$62:$AN$66,,$AE890), INDEX($AO$62:$AU$66,,$AD890), 1 / ($AV$62:$AV$66*CM890 + (1-$AV$62:$AV$66)*CI890), N($AK$62:$AK$66&gt;$AI890)),
SUMPRODUCT(INDEX($AL$47:$AN$56,,$AE890), INDEX($AO$47:$AU$56,,$AD890), 1 / ($AW$47:$AW$56*CM890 + (1-$AW$47:$AW$56)*CI890), N($AK$47:$AK$56&gt;$AI890))
) / 1000</f>
        <v>0</v>
      </c>
      <c r="CO890" s="253" cm="1">
        <f t="array" ref="CO890">$BC890 * IF($AD890&lt;=2,
SUMPRODUCT(INDEX($AL$23:$AN$61,,$AE890), INDEX($AO$23:$AU$61,,$AD890), 1 / ($AV$23:$AV$61*CM890), N($AK$23:$AK$61&gt;$AI890)),
SUMPRODUCT(INDEX($AL$23:$AN$46,,$AE890), INDEX($AO$23:$AU$46,,$AD890), 1 / ($AW$23:$AW$46*CM890), N($AK$23:$AK$46&gt;$AI890))
) / 1000</f>
        <v>0</v>
      </c>
      <c r="CP890" s="237">
        <f t="shared" si="772"/>
        <v>0</v>
      </c>
      <c r="CQ890" s="210"/>
    </row>
    <row r="891" spans="1:95" s="76" customFormat="1" ht="14.25" customHeight="1" x14ac:dyDescent="0.2">
      <c r="A891" s="238" t="b">
        <f t="shared" si="776"/>
        <v>0</v>
      </c>
      <c r="B891" s="239">
        <v>869</v>
      </c>
      <c r="C891" s="258"/>
      <c r="D891" s="258"/>
      <c r="E891" s="240"/>
      <c r="F891" s="241" t="str">
        <f>IF(ISBLANK(E891), "", VLOOKUP(E891, Z!$A$2:$C$4127, 3, FALSE))</f>
        <v/>
      </c>
      <c r="G891" s="242"/>
      <c r="H891" s="242"/>
      <c r="I891" s="243"/>
      <c r="J891" s="244"/>
      <c r="K891" s="259"/>
      <c r="L891" s="260"/>
      <c r="M891" s="247" t="str" cm="1">
        <f t="array" ref="M891">IF($K891&gt;0, INDEX(Clean,1+AG891,$C$1), "")</f>
        <v/>
      </c>
      <c r="N891" s="245"/>
      <c r="O891" s="245"/>
      <c r="P891" s="246"/>
      <c r="Q891" s="248">
        <f t="shared" ref="Q891:Q954" si="786">BV891*1000</f>
        <v>0</v>
      </c>
      <c r="R891" s="247" t="str" cm="1">
        <f t="array" ref="R891">IF($K891&gt;0, INDEX(Clean,1+AH891,$C$1), "")</f>
        <v/>
      </c>
      <c r="S891" s="245"/>
      <c r="T891" s="245"/>
      <c r="U891" s="246"/>
      <c r="V891" s="248">
        <f t="shared" ref="V891:V954" si="787">CP891*1000</f>
        <v>0</v>
      </c>
      <c r="W891" s="261"/>
      <c r="X891" s="258"/>
      <c r="Y891" s="240"/>
      <c r="Z891" s="241" t="str">
        <f>IF(ISBLANK(Y891), "", VLOOKUP(Y891, Z!$A$2:$C$4127, 3, FALSE))</f>
        <v/>
      </c>
      <c r="AA891" s="262"/>
      <c r="AB891" s="249">
        <f t="shared" si="785"/>
        <v>0</v>
      </c>
      <c r="AC891" s="210"/>
      <c r="AD891" s="236">
        <f t="shared" si="773"/>
        <v>1</v>
      </c>
      <c r="AE891" s="236">
        <f t="shared" si="774"/>
        <v>1</v>
      </c>
      <c r="AF891" s="236">
        <f t="shared" si="775"/>
        <v>0</v>
      </c>
      <c r="AG891" s="236">
        <v>1</v>
      </c>
      <c r="AH891" s="236">
        <v>0</v>
      </c>
      <c r="AI891" s="236">
        <f t="shared" ref="AI891:AI954" si="788">IF(AND(J891="x", AD891=5), 11, IF(AND(J891="x", AD891=6), 19, -100))</f>
        <v>-100</v>
      </c>
      <c r="AJ891" s="210"/>
      <c r="AK891" s="254"/>
      <c r="AL891" s="254"/>
      <c r="AM891" s="255"/>
      <c r="AN891" s="255"/>
      <c r="AO891" s="255"/>
      <c r="AP891" s="255"/>
      <c r="AQ891" s="255"/>
      <c r="AR891" s="255"/>
      <c r="AS891" s="255"/>
      <c r="AT891" s="255"/>
      <c r="AU891" s="255"/>
      <c r="AV891" s="255"/>
      <c r="AW891" s="255"/>
      <c r="AX891" s="210"/>
      <c r="AY891" s="236" cm="1">
        <f t="array" ref="AY891">INDEX(Use, $AD891, 4)</f>
        <v>7</v>
      </c>
      <c r="AZ891" s="236">
        <f t="shared" ref="AZ891:AZ954" si="789">MAX(25, AY891+25)</f>
        <v>32</v>
      </c>
      <c r="BA891" s="236">
        <f t="shared" si="777"/>
        <v>13</v>
      </c>
      <c r="BB891" s="236">
        <f t="shared" si="778"/>
        <v>0</v>
      </c>
      <c r="BC891" s="252" cm="1">
        <f t="array" ref="BC891">K891/IF($L891&gt;0, INDEX($AO$23:$AU$77, $L891+20, $AD891), 1)</f>
        <v>0</v>
      </c>
      <c r="BD891" s="237">
        <f t="shared" ref="BD891:BD954" si="790">P891 /  IF(AD891&lt;=2, 0.7 + 0.3 * (O891-20)/(35-20), 0.4 + 0.6 * (O891-5)/(35-5))</f>
        <v>0</v>
      </c>
      <c r="BE891" s="236">
        <v>35</v>
      </c>
      <c r="BF891" s="237">
        <f t="shared" ref="BF891:BF954" si="791">MAX($N891, MAX($AZ891, $BE891 + $BA891 + $BB891 + 0.35*$AG891*$BA891 + BD891))</f>
        <v>52.55</v>
      </c>
      <c r="BG891" s="253">
        <f t="shared" ref="BG891:BG954" si="792">0.45*($AY891+273.15)/(BF891-$AY891)</f>
        <v>2.7676728869374316</v>
      </c>
      <c r="BH891" s="253" cm="1">
        <f t="array" ref="BH891">$BC891 * SUMPRODUCT(INDEX($AL$77:$AN$82,,$AE891),INDEX($AO$77:$AU$82,,$AD891), N($AK$77:$AK$82&gt;$AI891)) / BG891 / 1000</f>
        <v>0</v>
      </c>
      <c r="BI891" s="250">
        <f t="shared" si="779"/>
        <v>30</v>
      </c>
      <c r="BJ891" s="237">
        <f t="shared" ref="BJ891:BJ954" si="793">MAX($N891, MAX($AZ891, BI891 + $BA891 + $BB891 + IF($AD891&lt;=2, (BI891-20)/(35-20), 0.6+0.4*(BI891-5)/(35-5))*0.35*$AG891*$BA891) + IF($AD891&lt;=2,0.9,0.8)*$BD891)</f>
        <v>46.033333333333331</v>
      </c>
      <c r="BK891" s="253">
        <f t="shared" ref="BK891:BK954" si="794">0.45*($AY891+273.15)/(BJ891-$AY891)</f>
        <v>3.2297395388556791</v>
      </c>
      <c r="BL891" s="253" cm="1">
        <f t="array" ref="BL891">$BC891 * IF($AD891&lt;=2,
SUMPRODUCT(INDEX($AL$72:$AN$76,,$AE891), INDEX($AO$72:$AU$76,,$AD891), 1 / ($AV$72:$AV$76*BK891 + (1-$AV$72:$AV$76)*BG891), N($AK$72:$AK$76&gt;$AI891)),
SUMPRODUCT(INDEX($AL$67:$AN$76,,$AE891), INDEX($AO$67:$AU$76,,$AD891), 1 / ($AW$67:$AW$76*BK891 + (1-$AW$67:$AW$76)*BG891), N($AK$67:$AK$76&gt;$AI891))
) / 1000</f>
        <v>0</v>
      </c>
      <c r="BM891" s="250">
        <f t="shared" si="780"/>
        <v>25</v>
      </c>
      <c r="BN891" s="237">
        <f t="shared" ref="BN891:BN954" si="795">MAX($N891, MAX($AZ891, BM891 + $BA891 + $BB891 + IF($AD891&lt;=2, (BM891-20)/(35-20), 0.6+0.4*(BM891-5)/(35-5))*0.35*$AG891*$BA891) + IF($AD891&lt;=2,0.8,0.6)*$BD891)</f>
        <v>39.516666666666666</v>
      </c>
      <c r="BO891" s="253">
        <f t="shared" ref="BO891:BO954" si="796">0.45*($AY891+273.15)/(BN891-$AY891)</f>
        <v>3.877011788826243</v>
      </c>
      <c r="BP891" s="253" cm="1">
        <f t="array" ref="BP891">$BC891 * IF($AD891&lt;=2,
SUMPRODUCT(INDEX($AL$67:$AN$71,,$AE891), INDEX($AO$67:$AU$71,,$AD891), 1 / ($AV$67:$AV$71*BO891 + (1-$AV$67:$AV$71)*BK891), N($AK$67:$AK$71&gt;$AI891)),
SUMPRODUCT(INDEX($AL$57:$AN$66,,$AE891), INDEX($AO$57:$AU$66,,$AD891), 1 / ($AW$57:$AW$66*BO891 + (1-$AW$57:$AW$66)*BK891), N($AK$57:$AK$66&gt;$AI891))
) / 1000</f>
        <v>0</v>
      </c>
      <c r="BQ891" s="250">
        <f t="shared" si="781"/>
        <v>20</v>
      </c>
      <c r="BR891" s="237">
        <f t="shared" ref="BR891:BR954" si="797">MAX($N891, MAX($AZ891, BQ891 + $BA891 + $BB891 + IF($AD891&lt;=2, (BQ891-20)/(35-20), 0.6+0.4*(BQ891-5)/(35-5))*0.35*$AG891*$BA891) + IF($AD891&lt;=2,0.7,0.4)*$BD891)</f>
        <v>33</v>
      </c>
      <c r="BS891" s="253">
        <f t="shared" ref="BS891:BS954" si="798">0.45*($AY891+273.15)/(BR891-$AY891)</f>
        <v>4.8487499999999999</v>
      </c>
      <c r="BT891" s="253" cm="1">
        <f t="array" ref="BT891">$BC891 * IF($AD891&lt;=2,
SUMPRODUCT(INDEX($AL$62:$AN$66,,$AE891), INDEX($AO$62:$AU$66,,$AD891), 1 / ($AV$62:$AV$66*BS891 + (1-$AV$62:$AV$66)*BO891), N($AK$62:$AK$66&gt;$AI891)),
SUMPRODUCT(INDEX($AL$47:$AN$56,,$AE891), INDEX($AO$47:$AU$56,,$AD891), 1 / ($AW$47:$AW$56*BS891 + (1-$AW$47:$AW$56)*BO891), N($AK$47:$AK$56&gt;$AI891))
) / 1000</f>
        <v>0</v>
      </c>
      <c r="BU891" s="253" cm="1">
        <f t="array" ref="BU891">$BC891 * IF($AD891&lt;=2,
SUMPRODUCT(INDEX($AL$23:$AN$61,,$AE891), INDEX($AO$23:$AU$61,,$AD891), 1 / ($AV$23:$AV$61*BS891), N($AK$23:$AK$61&gt;$AI891)),
SUMPRODUCT(INDEX($AL$23:$AN$46,,$AE891), INDEX($AO$23:$AU$46,,$AD891), 1 / ($AW$23:$AW$46*BS891), N($AK$23:$AK$46&gt;$AI891))
) / 1000</f>
        <v>0</v>
      </c>
      <c r="BV891" s="237">
        <f t="shared" ref="BV891:BV954" si="799">BH891+BL891+BP891+BT891+BU891</f>
        <v>0</v>
      </c>
      <c r="BW891" s="210"/>
      <c r="BX891" s="237">
        <f t="shared" ref="BX891:BX954" si="800">U891 /  IF(AD891&lt;=2, 0.7 + 0.3 * (T891-20)/(35-20), 0.4 + 0.6 * (T891-5)/(35-5))</f>
        <v>0</v>
      </c>
      <c r="BY891" s="236">
        <v>35</v>
      </c>
      <c r="BZ891" s="237">
        <f t="shared" ref="BZ891:BZ954" si="801">MAX($S891, MAX($AZ891, $BE891 + $BA891 + $BB891 + 0.35*$AH891*$BA891 + BX891))</f>
        <v>48</v>
      </c>
      <c r="CA891" s="253">
        <f t="shared" ref="CA891:CA954" si="802">0.45*($AY891+273.15)/(BZ891-$AY891)</f>
        <v>3.0748170731707316</v>
      </c>
      <c r="CB891" s="253" cm="1">
        <f t="array" ref="CB891">$BC891 * SUMPRODUCT(INDEX($AL$77:$AN$82,,$AE891),INDEX($AO$77:$AU$82,,$AD891), N($AK$77:$AK$82&gt;$AI891)) / CA891 / 1000</f>
        <v>0</v>
      </c>
      <c r="CC891" s="250">
        <f t="shared" si="782"/>
        <v>30</v>
      </c>
      <c r="CD891" s="237">
        <f t="shared" ref="CD891:CD954" si="803">MAX($S891, MAX($AZ891, CC891 + $BA891 + $BB891 + IF($AD891&lt;=2, (CC891-20)/(35-20), 0.6+0.4*(CC891-5)/(35-5))*0.35*$AH891*$BA891) + IF($AD891&lt;=2,0.9,0.8)*$BX891)</f>
        <v>43</v>
      </c>
      <c r="CE891" s="253">
        <f t="shared" ref="CE891:CE954" si="804">0.45*($AY891+273.15)/(CD891-$AY891)</f>
        <v>3.5018750000000001</v>
      </c>
      <c r="CF891" s="253" cm="1">
        <f t="array" ref="CF891">$BC891 * IF($AD891&lt;=2,
SUMPRODUCT(INDEX($AL$72:$AN$76,,$AE891), INDEX($AO$72:$AU$76,,$AD891), 1 / ($AV$72:$AV$76*CE891 + (1-$AV$72:$AV$76)*CA891), N($AK$72:$AK$76&gt;$AI891)),
SUMPRODUCT(INDEX($AL$67:$AN$76,,$AE891), INDEX($AO$67:$AU$76,,$AD891), 1 / ($AW$67:$AW$76*CE891 + (1-$AW$67:$AW$76)*CA891), N($AK$67:$AK$76&gt;$AI891))
) / 1000</f>
        <v>0</v>
      </c>
      <c r="CG891" s="250">
        <f t="shared" si="783"/>
        <v>25</v>
      </c>
      <c r="CH891" s="237">
        <f t="shared" ref="CH891:CH954" si="805">MAX($S891, MAX($AZ891, CG891 + $BA891 + $BB891 + IF($AD891&lt;=2, (CG891-20)/(35-20), 0.6+0.4*(CG891-5)/(35-5))*0.35*$AH891*$BA891) + IF($AD891&lt;=2,0.8,0.6)*$BX891)</f>
        <v>38</v>
      </c>
      <c r="CI891" s="253">
        <f t="shared" ref="CI891:CI954" si="806">0.45*($AY891+273.15)/(CH891-$AY891)</f>
        <v>4.0666935483870965</v>
      </c>
      <c r="CJ891" s="253" cm="1">
        <f t="array" ref="CJ891">$BC891 * IF($AD891&lt;=2,
SUMPRODUCT(INDEX($AL$67:$AN$71,,$AE891), INDEX($AO$67:$AU$71,,$AD891), 1 / ($AV$67:$AV$71*CI891 + (1-$AV$67:$AV$71)*CE891), N($AK$67:$AK$71&gt;$AI891)),
SUMPRODUCT(INDEX($AL$57:$AN$66,,$AE891), INDEX($AO$57:$AU$66,,$AD891), 1 / ($AW$57:$AW$66*CI891 + (1-$AW$57:$AW$66)*CE891), N($AK$57:$AK$66&gt;$AI891))
) / 1000</f>
        <v>0</v>
      </c>
      <c r="CK891" s="250">
        <f t="shared" si="784"/>
        <v>20</v>
      </c>
      <c r="CL891" s="237">
        <f t="shared" ref="CL891:CL954" si="807">MAX($S891, MAX($AZ891, CK891 + $BA891 + $BB891 + IF($AD891&lt;=2, (CK891-20)/(35-20), 0.6+0.4*(CK891-5)/(35-5))*0.35*$AH891*$BA891) + IF($AD891&lt;=2,0.7,0.4)*$BX891)</f>
        <v>33</v>
      </c>
      <c r="CM891" s="253">
        <f t="shared" ref="CM891:CM954" si="808">0.45*($AY891+273.15)/(CL891-$AY891)</f>
        <v>4.8487499999999999</v>
      </c>
      <c r="CN891" s="253" cm="1">
        <f t="array" ref="CN891">$BC891 * IF($AD891&lt;=2,
SUMPRODUCT(INDEX($AL$62:$AN$66,,$AE891), INDEX($AO$62:$AU$66,,$AD891), 1 / ($AV$62:$AV$66*CM891 + (1-$AV$62:$AV$66)*CI891), N($AK$62:$AK$66&gt;$AI891)),
SUMPRODUCT(INDEX($AL$47:$AN$56,,$AE891), INDEX($AO$47:$AU$56,,$AD891), 1 / ($AW$47:$AW$56*CM891 + (1-$AW$47:$AW$56)*CI891), N($AK$47:$AK$56&gt;$AI891))
) / 1000</f>
        <v>0</v>
      </c>
      <c r="CO891" s="253" cm="1">
        <f t="array" ref="CO891">$BC891 * IF($AD891&lt;=2,
SUMPRODUCT(INDEX($AL$23:$AN$61,,$AE891), INDEX($AO$23:$AU$61,,$AD891), 1 / ($AV$23:$AV$61*CM891), N($AK$23:$AK$61&gt;$AI891)),
SUMPRODUCT(INDEX($AL$23:$AN$46,,$AE891), INDEX($AO$23:$AU$46,,$AD891), 1 / ($AW$23:$AW$46*CM891), N($AK$23:$AK$46&gt;$AI891))
) / 1000</f>
        <v>0</v>
      </c>
      <c r="CP891" s="237">
        <f t="shared" ref="CP891:CP954" si="809">CB891+CF891+CJ891+CN891+CO891</f>
        <v>0</v>
      </c>
      <c r="CQ891" s="210"/>
    </row>
    <row r="892" spans="1:95" s="76" customFormat="1" ht="14.25" customHeight="1" x14ac:dyDescent="0.2">
      <c r="A892" s="238" t="b">
        <f t="shared" si="776"/>
        <v>0</v>
      </c>
      <c r="B892" s="239">
        <v>870</v>
      </c>
      <c r="C892" s="258"/>
      <c r="D892" s="258"/>
      <c r="E892" s="240"/>
      <c r="F892" s="241" t="str">
        <f>IF(ISBLANK(E892), "", VLOOKUP(E892, Z!$A$2:$C$4127, 3, FALSE))</f>
        <v/>
      </c>
      <c r="G892" s="242"/>
      <c r="H892" s="242"/>
      <c r="I892" s="243"/>
      <c r="J892" s="244"/>
      <c r="K892" s="259"/>
      <c r="L892" s="260"/>
      <c r="M892" s="247" t="str" cm="1">
        <f t="array" ref="M892">IF($K892&gt;0, INDEX(Clean,1+AG892,$C$1), "")</f>
        <v/>
      </c>
      <c r="N892" s="245"/>
      <c r="O892" s="245"/>
      <c r="P892" s="246"/>
      <c r="Q892" s="248">
        <f t="shared" si="786"/>
        <v>0</v>
      </c>
      <c r="R892" s="247" t="str" cm="1">
        <f t="array" ref="R892">IF($K892&gt;0, INDEX(Clean,1+AH892,$C$1), "")</f>
        <v/>
      </c>
      <c r="S892" s="245"/>
      <c r="T892" s="245"/>
      <c r="U892" s="246"/>
      <c r="V892" s="248">
        <f t="shared" si="787"/>
        <v>0</v>
      </c>
      <c r="W892" s="261"/>
      <c r="X892" s="258"/>
      <c r="Y892" s="240"/>
      <c r="Z892" s="241" t="str">
        <f>IF(ISBLANK(Y892), "", VLOOKUP(Y892, Z!$A$2:$C$4127, 3, FALSE))</f>
        <v/>
      </c>
      <c r="AA892" s="262"/>
      <c r="AB892" s="249">
        <f t="shared" si="785"/>
        <v>0</v>
      </c>
      <c r="AC892" s="210"/>
      <c r="AD892" s="236">
        <f t="shared" ref="AD892:AD955" si="810">IF(ISBLANK(H892), 1, IFERROR(MATCH(H892, INDEX(Use,,1), 0), IFERROR(MATCH(H892, INDEX(Use,,2), 0), MATCH(H892, INDEX(Use,,3), 0))))</f>
        <v>1</v>
      </c>
      <c r="AE892" s="236">
        <f t="shared" ref="AE892:AE955" si="811">IF(ISBLANK(G892), 1, IFERROR(MATCH(G892, INDEX(Loc,,1), 0), IFERROR(MATCH(G892, INDEX(Loc,,2), 0), MATCH(G892, INDEX(Loc,,3), 0))))</f>
        <v>1</v>
      </c>
      <c r="AF892" s="236">
        <f t="shared" ref="AF892:AF955" si="812">_xlfn.IFNA(IF(IFERROR(MATCH(I892, INDEX(Medium,,1), 0), IFERROR(MATCH(I892, INDEX(Medium,,2), 0), MATCH(I892, INDEX(Medium,,3), 0))) = 2, 1, 0), 0)</f>
        <v>0</v>
      </c>
      <c r="AG892" s="236">
        <v>1</v>
      </c>
      <c r="AH892" s="236">
        <v>0</v>
      </c>
      <c r="AI892" s="236">
        <f t="shared" si="788"/>
        <v>-100</v>
      </c>
      <c r="AJ892" s="210"/>
      <c r="AK892" s="254"/>
      <c r="AL892" s="254"/>
      <c r="AM892" s="255"/>
      <c r="AN892" s="255"/>
      <c r="AO892" s="255"/>
      <c r="AP892" s="255"/>
      <c r="AQ892" s="255"/>
      <c r="AR892" s="255"/>
      <c r="AS892" s="255"/>
      <c r="AT892" s="255"/>
      <c r="AU892" s="255"/>
      <c r="AV892" s="255"/>
      <c r="AW892" s="255"/>
      <c r="AX892" s="210"/>
      <c r="AY892" s="236" cm="1">
        <f t="array" ref="AY892">INDEX(Use, $AD892, 4)</f>
        <v>7</v>
      </c>
      <c r="AZ892" s="236">
        <f t="shared" si="789"/>
        <v>32</v>
      </c>
      <c r="BA892" s="236">
        <f t="shared" si="777"/>
        <v>13</v>
      </c>
      <c r="BB892" s="236">
        <f t="shared" si="778"/>
        <v>0</v>
      </c>
      <c r="BC892" s="252" cm="1">
        <f t="array" ref="BC892">K892/IF($L892&gt;0, INDEX($AO$23:$AU$77, $L892+20, $AD892), 1)</f>
        <v>0</v>
      </c>
      <c r="BD892" s="237">
        <f t="shared" si="790"/>
        <v>0</v>
      </c>
      <c r="BE892" s="236">
        <v>35</v>
      </c>
      <c r="BF892" s="237">
        <f t="shared" si="791"/>
        <v>52.55</v>
      </c>
      <c r="BG892" s="253">
        <f t="shared" si="792"/>
        <v>2.7676728869374316</v>
      </c>
      <c r="BH892" s="253" cm="1">
        <f t="array" ref="BH892">$BC892 * SUMPRODUCT(INDEX($AL$77:$AN$82,,$AE892),INDEX($AO$77:$AU$82,,$AD892), N($AK$77:$AK$82&gt;$AI892)) / BG892 / 1000</f>
        <v>0</v>
      </c>
      <c r="BI892" s="250">
        <f t="shared" si="779"/>
        <v>30</v>
      </c>
      <c r="BJ892" s="237">
        <f t="shared" si="793"/>
        <v>46.033333333333331</v>
      </c>
      <c r="BK892" s="253">
        <f t="shared" si="794"/>
        <v>3.2297395388556791</v>
      </c>
      <c r="BL892" s="253" cm="1">
        <f t="array" ref="BL892">$BC892 * IF($AD892&lt;=2,
SUMPRODUCT(INDEX($AL$72:$AN$76,,$AE892), INDEX($AO$72:$AU$76,,$AD892), 1 / ($AV$72:$AV$76*BK892 + (1-$AV$72:$AV$76)*BG892), N($AK$72:$AK$76&gt;$AI892)),
SUMPRODUCT(INDEX($AL$67:$AN$76,,$AE892), INDEX($AO$67:$AU$76,,$AD892), 1 / ($AW$67:$AW$76*BK892 + (1-$AW$67:$AW$76)*BG892), N($AK$67:$AK$76&gt;$AI892))
) / 1000</f>
        <v>0</v>
      </c>
      <c r="BM892" s="250">
        <f t="shared" si="780"/>
        <v>25</v>
      </c>
      <c r="BN892" s="237">
        <f t="shared" si="795"/>
        <v>39.516666666666666</v>
      </c>
      <c r="BO892" s="253">
        <f t="shared" si="796"/>
        <v>3.877011788826243</v>
      </c>
      <c r="BP892" s="253" cm="1">
        <f t="array" ref="BP892">$BC892 * IF($AD892&lt;=2,
SUMPRODUCT(INDEX($AL$67:$AN$71,,$AE892), INDEX($AO$67:$AU$71,,$AD892), 1 / ($AV$67:$AV$71*BO892 + (1-$AV$67:$AV$71)*BK892), N($AK$67:$AK$71&gt;$AI892)),
SUMPRODUCT(INDEX($AL$57:$AN$66,,$AE892), INDEX($AO$57:$AU$66,,$AD892), 1 / ($AW$57:$AW$66*BO892 + (1-$AW$57:$AW$66)*BK892), N($AK$57:$AK$66&gt;$AI892))
) / 1000</f>
        <v>0</v>
      </c>
      <c r="BQ892" s="250">
        <f t="shared" si="781"/>
        <v>20</v>
      </c>
      <c r="BR892" s="237">
        <f t="shared" si="797"/>
        <v>33</v>
      </c>
      <c r="BS892" s="253">
        <f t="shared" si="798"/>
        <v>4.8487499999999999</v>
      </c>
      <c r="BT892" s="253" cm="1">
        <f t="array" ref="BT892">$BC892 * IF($AD892&lt;=2,
SUMPRODUCT(INDEX($AL$62:$AN$66,,$AE892), INDEX($AO$62:$AU$66,,$AD892), 1 / ($AV$62:$AV$66*BS892 + (1-$AV$62:$AV$66)*BO892), N($AK$62:$AK$66&gt;$AI892)),
SUMPRODUCT(INDEX($AL$47:$AN$56,,$AE892), INDEX($AO$47:$AU$56,,$AD892), 1 / ($AW$47:$AW$56*BS892 + (1-$AW$47:$AW$56)*BO892), N($AK$47:$AK$56&gt;$AI892))
) / 1000</f>
        <v>0</v>
      </c>
      <c r="BU892" s="253" cm="1">
        <f t="array" ref="BU892">$BC892 * IF($AD892&lt;=2,
SUMPRODUCT(INDEX($AL$23:$AN$61,,$AE892), INDEX($AO$23:$AU$61,,$AD892), 1 / ($AV$23:$AV$61*BS892), N($AK$23:$AK$61&gt;$AI892)),
SUMPRODUCT(INDEX($AL$23:$AN$46,,$AE892), INDEX($AO$23:$AU$46,,$AD892), 1 / ($AW$23:$AW$46*BS892), N($AK$23:$AK$46&gt;$AI892))
) / 1000</f>
        <v>0</v>
      </c>
      <c r="BV892" s="237">
        <f t="shared" si="799"/>
        <v>0</v>
      </c>
      <c r="BW892" s="210"/>
      <c r="BX892" s="237">
        <f t="shared" si="800"/>
        <v>0</v>
      </c>
      <c r="BY892" s="236">
        <v>35</v>
      </c>
      <c r="BZ892" s="237">
        <f t="shared" si="801"/>
        <v>48</v>
      </c>
      <c r="CA892" s="253">
        <f t="shared" si="802"/>
        <v>3.0748170731707316</v>
      </c>
      <c r="CB892" s="253" cm="1">
        <f t="array" ref="CB892">$BC892 * SUMPRODUCT(INDEX($AL$77:$AN$82,,$AE892),INDEX($AO$77:$AU$82,,$AD892), N($AK$77:$AK$82&gt;$AI892)) / CA892 / 1000</f>
        <v>0</v>
      </c>
      <c r="CC892" s="250">
        <f t="shared" si="782"/>
        <v>30</v>
      </c>
      <c r="CD892" s="237">
        <f t="shared" si="803"/>
        <v>43</v>
      </c>
      <c r="CE892" s="253">
        <f t="shared" si="804"/>
        <v>3.5018750000000001</v>
      </c>
      <c r="CF892" s="253" cm="1">
        <f t="array" ref="CF892">$BC892 * IF($AD892&lt;=2,
SUMPRODUCT(INDEX($AL$72:$AN$76,,$AE892), INDEX($AO$72:$AU$76,,$AD892), 1 / ($AV$72:$AV$76*CE892 + (1-$AV$72:$AV$76)*CA892), N($AK$72:$AK$76&gt;$AI892)),
SUMPRODUCT(INDEX($AL$67:$AN$76,,$AE892), INDEX($AO$67:$AU$76,,$AD892), 1 / ($AW$67:$AW$76*CE892 + (1-$AW$67:$AW$76)*CA892), N($AK$67:$AK$76&gt;$AI892))
) / 1000</f>
        <v>0</v>
      </c>
      <c r="CG892" s="250">
        <f t="shared" si="783"/>
        <v>25</v>
      </c>
      <c r="CH892" s="237">
        <f t="shared" si="805"/>
        <v>38</v>
      </c>
      <c r="CI892" s="253">
        <f t="shared" si="806"/>
        <v>4.0666935483870965</v>
      </c>
      <c r="CJ892" s="253" cm="1">
        <f t="array" ref="CJ892">$BC892 * IF($AD892&lt;=2,
SUMPRODUCT(INDEX($AL$67:$AN$71,,$AE892), INDEX($AO$67:$AU$71,,$AD892), 1 / ($AV$67:$AV$71*CI892 + (1-$AV$67:$AV$71)*CE892), N($AK$67:$AK$71&gt;$AI892)),
SUMPRODUCT(INDEX($AL$57:$AN$66,,$AE892), INDEX($AO$57:$AU$66,,$AD892), 1 / ($AW$57:$AW$66*CI892 + (1-$AW$57:$AW$66)*CE892), N($AK$57:$AK$66&gt;$AI892))
) / 1000</f>
        <v>0</v>
      </c>
      <c r="CK892" s="250">
        <f t="shared" si="784"/>
        <v>20</v>
      </c>
      <c r="CL892" s="237">
        <f t="shared" si="807"/>
        <v>33</v>
      </c>
      <c r="CM892" s="253">
        <f t="shared" si="808"/>
        <v>4.8487499999999999</v>
      </c>
      <c r="CN892" s="253" cm="1">
        <f t="array" ref="CN892">$BC892 * IF($AD892&lt;=2,
SUMPRODUCT(INDEX($AL$62:$AN$66,,$AE892), INDEX($AO$62:$AU$66,,$AD892), 1 / ($AV$62:$AV$66*CM892 + (1-$AV$62:$AV$66)*CI892), N($AK$62:$AK$66&gt;$AI892)),
SUMPRODUCT(INDEX($AL$47:$AN$56,,$AE892), INDEX($AO$47:$AU$56,,$AD892), 1 / ($AW$47:$AW$56*CM892 + (1-$AW$47:$AW$56)*CI892), N($AK$47:$AK$56&gt;$AI892))
) / 1000</f>
        <v>0</v>
      </c>
      <c r="CO892" s="253" cm="1">
        <f t="array" ref="CO892">$BC892 * IF($AD892&lt;=2,
SUMPRODUCT(INDEX($AL$23:$AN$61,,$AE892), INDEX($AO$23:$AU$61,,$AD892), 1 / ($AV$23:$AV$61*CM892), N($AK$23:$AK$61&gt;$AI892)),
SUMPRODUCT(INDEX($AL$23:$AN$46,,$AE892), INDEX($AO$23:$AU$46,,$AD892), 1 / ($AW$23:$AW$46*CM892), N($AK$23:$AK$46&gt;$AI892))
) / 1000</f>
        <v>0</v>
      </c>
      <c r="CP892" s="237">
        <f t="shared" si="809"/>
        <v>0</v>
      </c>
      <c r="CQ892" s="210"/>
    </row>
    <row r="893" spans="1:95" s="76" customFormat="1" ht="14.25" customHeight="1" x14ac:dyDescent="0.2">
      <c r="A893" s="238" t="b">
        <f t="shared" si="776"/>
        <v>0</v>
      </c>
      <c r="B893" s="239">
        <v>871</v>
      </c>
      <c r="C893" s="258"/>
      <c r="D893" s="258"/>
      <c r="E893" s="240"/>
      <c r="F893" s="241" t="str">
        <f>IF(ISBLANK(E893), "", VLOOKUP(E893, Z!$A$2:$C$4127, 3, FALSE))</f>
        <v/>
      </c>
      <c r="G893" s="242"/>
      <c r="H893" s="242"/>
      <c r="I893" s="243"/>
      <c r="J893" s="244"/>
      <c r="K893" s="259"/>
      <c r="L893" s="260"/>
      <c r="M893" s="247" t="str" cm="1">
        <f t="array" ref="M893">IF($K893&gt;0, INDEX(Clean,1+AG893,$C$1), "")</f>
        <v/>
      </c>
      <c r="N893" s="245"/>
      <c r="O893" s="245"/>
      <c r="P893" s="246"/>
      <c r="Q893" s="248">
        <f t="shared" si="786"/>
        <v>0</v>
      </c>
      <c r="R893" s="247" t="str" cm="1">
        <f t="array" ref="R893">IF($K893&gt;0, INDEX(Clean,1+AH893,$C$1), "")</f>
        <v/>
      </c>
      <c r="S893" s="245"/>
      <c r="T893" s="245"/>
      <c r="U893" s="246"/>
      <c r="V893" s="248">
        <f t="shared" si="787"/>
        <v>0</v>
      </c>
      <c r="W893" s="261"/>
      <c r="X893" s="258"/>
      <c r="Y893" s="240"/>
      <c r="Z893" s="241" t="str">
        <f>IF(ISBLANK(Y893), "", VLOOKUP(Y893, Z!$A$2:$C$4127, 3, FALSE))</f>
        <v/>
      </c>
      <c r="AA893" s="262"/>
      <c r="AB893" s="249">
        <f t="shared" si="785"/>
        <v>0</v>
      </c>
      <c r="AC893" s="210"/>
      <c r="AD893" s="236">
        <f t="shared" si="810"/>
        <v>1</v>
      </c>
      <c r="AE893" s="236">
        <f t="shared" si="811"/>
        <v>1</v>
      </c>
      <c r="AF893" s="236">
        <f t="shared" si="812"/>
        <v>0</v>
      </c>
      <c r="AG893" s="236">
        <v>1</v>
      </c>
      <c r="AH893" s="236">
        <v>0</v>
      </c>
      <c r="AI893" s="236">
        <f t="shared" si="788"/>
        <v>-100</v>
      </c>
      <c r="AJ893" s="210"/>
      <c r="AK893" s="254"/>
      <c r="AL893" s="254"/>
      <c r="AM893" s="255"/>
      <c r="AN893" s="255"/>
      <c r="AO893" s="255"/>
      <c r="AP893" s="255"/>
      <c r="AQ893" s="255"/>
      <c r="AR893" s="255"/>
      <c r="AS893" s="255"/>
      <c r="AT893" s="255"/>
      <c r="AU893" s="255"/>
      <c r="AV893" s="255"/>
      <c r="AW893" s="255"/>
      <c r="AX893" s="210"/>
      <c r="AY893" s="236" cm="1">
        <f t="array" ref="AY893">INDEX(Use, $AD893, 4)</f>
        <v>7</v>
      </c>
      <c r="AZ893" s="236">
        <f t="shared" si="789"/>
        <v>32</v>
      </c>
      <c r="BA893" s="236">
        <f t="shared" si="777"/>
        <v>13</v>
      </c>
      <c r="BB893" s="236">
        <f t="shared" si="778"/>
        <v>0</v>
      </c>
      <c r="BC893" s="252" cm="1">
        <f t="array" ref="BC893">K893/IF($L893&gt;0, INDEX($AO$23:$AU$77, $L893+20, $AD893), 1)</f>
        <v>0</v>
      </c>
      <c r="BD893" s="237">
        <f t="shared" si="790"/>
        <v>0</v>
      </c>
      <c r="BE893" s="236">
        <v>35</v>
      </c>
      <c r="BF893" s="237">
        <f t="shared" si="791"/>
        <v>52.55</v>
      </c>
      <c r="BG893" s="253">
        <f t="shared" si="792"/>
        <v>2.7676728869374316</v>
      </c>
      <c r="BH893" s="253" cm="1">
        <f t="array" ref="BH893">$BC893 * SUMPRODUCT(INDEX($AL$77:$AN$82,,$AE893),INDEX($AO$77:$AU$82,,$AD893), N($AK$77:$AK$82&gt;$AI893)) / BG893 / 1000</f>
        <v>0</v>
      </c>
      <c r="BI893" s="250">
        <f t="shared" si="779"/>
        <v>30</v>
      </c>
      <c r="BJ893" s="237">
        <f t="shared" si="793"/>
        <v>46.033333333333331</v>
      </c>
      <c r="BK893" s="253">
        <f t="shared" si="794"/>
        <v>3.2297395388556791</v>
      </c>
      <c r="BL893" s="253" cm="1">
        <f t="array" ref="BL893">$BC893 * IF($AD893&lt;=2,
SUMPRODUCT(INDEX($AL$72:$AN$76,,$AE893), INDEX($AO$72:$AU$76,,$AD893), 1 / ($AV$72:$AV$76*BK893 + (1-$AV$72:$AV$76)*BG893), N($AK$72:$AK$76&gt;$AI893)),
SUMPRODUCT(INDEX($AL$67:$AN$76,,$AE893), INDEX($AO$67:$AU$76,,$AD893), 1 / ($AW$67:$AW$76*BK893 + (1-$AW$67:$AW$76)*BG893), N($AK$67:$AK$76&gt;$AI893))
) / 1000</f>
        <v>0</v>
      </c>
      <c r="BM893" s="250">
        <f t="shared" si="780"/>
        <v>25</v>
      </c>
      <c r="BN893" s="237">
        <f t="shared" si="795"/>
        <v>39.516666666666666</v>
      </c>
      <c r="BO893" s="253">
        <f t="shared" si="796"/>
        <v>3.877011788826243</v>
      </c>
      <c r="BP893" s="253" cm="1">
        <f t="array" ref="BP893">$BC893 * IF($AD893&lt;=2,
SUMPRODUCT(INDEX($AL$67:$AN$71,,$AE893), INDEX($AO$67:$AU$71,,$AD893), 1 / ($AV$67:$AV$71*BO893 + (1-$AV$67:$AV$71)*BK893), N($AK$67:$AK$71&gt;$AI893)),
SUMPRODUCT(INDEX($AL$57:$AN$66,,$AE893), INDEX($AO$57:$AU$66,,$AD893), 1 / ($AW$57:$AW$66*BO893 + (1-$AW$57:$AW$66)*BK893), N($AK$57:$AK$66&gt;$AI893))
) / 1000</f>
        <v>0</v>
      </c>
      <c r="BQ893" s="250">
        <f t="shared" si="781"/>
        <v>20</v>
      </c>
      <c r="BR893" s="237">
        <f t="shared" si="797"/>
        <v>33</v>
      </c>
      <c r="BS893" s="253">
        <f t="shared" si="798"/>
        <v>4.8487499999999999</v>
      </c>
      <c r="BT893" s="253" cm="1">
        <f t="array" ref="BT893">$BC893 * IF($AD893&lt;=2,
SUMPRODUCT(INDEX($AL$62:$AN$66,,$AE893), INDEX($AO$62:$AU$66,,$AD893), 1 / ($AV$62:$AV$66*BS893 + (1-$AV$62:$AV$66)*BO893), N($AK$62:$AK$66&gt;$AI893)),
SUMPRODUCT(INDEX($AL$47:$AN$56,,$AE893), INDEX($AO$47:$AU$56,,$AD893), 1 / ($AW$47:$AW$56*BS893 + (1-$AW$47:$AW$56)*BO893), N($AK$47:$AK$56&gt;$AI893))
) / 1000</f>
        <v>0</v>
      </c>
      <c r="BU893" s="253" cm="1">
        <f t="array" ref="BU893">$BC893 * IF($AD893&lt;=2,
SUMPRODUCT(INDEX($AL$23:$AN$61,,$AE893), INDEX($AO$23:$AU$61,,$AD893), 1 / ($AV$23:$AV$61*BS893), N($AK$23:$AK$61&gt;$AI893)),
SUMPRODUCT(INDEX($AL$23:$AN$46,,$AE893), INDEX($AO$23:$AU$46,,$AD893), 1 / ($AW$23:$AW$46*BS893), N($AK$23:$AK$46&gt;$AI893))
) / 1000</f>
        <v>0</v>
      </c>
      <c r="BV893" s="237">
        <f t="shared" si="799"/>
        <v>0</v>
      </c>
      <c r="BW893" s="210"/>
      <c r="BX893" s="237">
        <f t="shared" si="800"/>
        <v>0</v>
      </c>
      <c r="BY893" s="236">
        <v>35</v>
      </c>
      <c r="BZ893" s="237">
        <f t="shared" si="801"/>
        <v>48</v>
      </c>
      <c r="CA893" s="253">
        <f t="shared" si="802"/>
        <v>3.0748170731707316</v>
      </c>
      <c r="CB893" s="253" cm="1">
        <f t="array" ref="CB893">$BC893 * SUMPRODUCT(INDEX($AL$77:$AN$82,,$AE893),INDEX($AO$77:$AU$82,,$AD893), N($AK$77:$AK$82&gt;$AI893)) / CA893 / 1000</f>
        <v>0</v>
      </c>
      <c r="CC893" s="250">
        <f t="shared" si="782"/>
        <v>30</v>
      </c>
      <c r="CD893" s="237">
        <f t="shared" si="803"/>
        <v>43</v>
      </c>
      <c r="CE893" s="253">
        <f t="shared" si="804"/>
        <v>3.5018750000000001</v>
      </c>
      <c r="CF893" s="253" cm="1">
        <f t="array" ref="CF893">$BC893 * IF($AD893&lt;=2,
SUMPRODUCT(INDEX($AL$72:$AN$76,,$AE893), INDEX($AO$72:$AU$76,,$AD893), 1 / ($AV$72:$AV$76*CE893 + (1-$AV$72:$AV$76)*CA893), N($AK$72:$AK$76&gt;$AI893)),
SUMPRODUCT(INDEX($AL$67:$AN$76,,$AE893), INDEX($AO$67:$AU$76,,$AD893), 1 / ($AW$67:$AW$76*CE893 + (1-$AW$67:$AW$76)*CA893), N($AK$67:$AK$76&gt;$AI893))
) / 1000</f>
        <v>0</v>
      </c>
      <c r="CG893" s="250">
        <f t="shared" si="783"/>
        <v>25</v>
      </c>
      <c r="CH893" s="237">
        <f t="shared" si="805"/>
        <v>38</v>
      </c>
      <c r="CI893" s="253">
        <f t="shared" si="806"/>
        <v>4.0666935483870965</v>
      </c>
      <c r="CJ893" s="253" cm="1">
        <f t="array" ref="CJ893">$BC893 * IF($AD893&lt;=2,
SUMPRODUCT(INDEX($AL$67:$AN$71,,$AE893), INDEX($AO$67:$AU$71,,$AD893), 1 / ($AV$67:$AV$71*CI893 + (1-$AV$67:$AV$71)*CE893), N($AK$67:$AK$71&gt;$AI893)),
SUMPRODUCT(INDEX($AL$57:$AN$66,,$AE893), INDEX($AO$57:$AU$66,,$AD893), 1 / ($AW$57:$AW$66*CI893 + (1-$AW$57:$AW$66)*CE893), N($AK$57:$AK$66&gt;$AI893))
) / 1000</f>
        <v>0</v>
      </c>
      <c r="CK893" s="250">
        <f t="shared" si="784"/>
        <v>20</v>
      </c>
      <c r="CL893" s="237">
        <f t="shared" si="807"/>
        <v>33</v>
      </c>
      <c r="CM893" s="253">
        <f t="shared" si="808"/>
        <v>4.8487499999999999</v>
      </c>
      <c r="CN893" s="253" cm="1">
        <f t="array" ref="CN893">$BC893 * IF($AD893&lt;=2,
SUMPRODUCT(INDEX($AL$62:$AN$66,,$AE893), INDEX($AO$62:$AU$66,,$AD893), 1 / ($AV$62:$AV$66*CM893 + (1-$AV$62:$AV$66)*CI893), N($AK$62:$AK$66&gt;$AI893)),
SUMPRODUCT(INDEX($AL$47:$AN$56,,$AE893), INDEX($AO$47:$AU$56,,$AD893), 1 / ($AW$47:$AW$56*CM893 + (1-$AW$47:$AW$56)*CI893), N($AK$47:$AK$56&gt;$AI893))
) / 1000</f>
        <v>0</v>
      </c>
      <c r="CO893" s="253" cm="1">
        <f t="array" ref="CO893">$BC893 * IF($AD893&lt;=2,
SUMPRODUCT(INDEX($AL$23:$AN$61,,$AE893), INDEX($AO$23:$AU$61,,$AD893), 1 / ($AV$23:$AV$61*CM893), N($AK$23:$AK$61&gt;$AI893)),
SUMPRODUCT(INDEX($AL$23:$AN$46,,$AE893), INDEX($AO$23:$AU$46,,$AD893), 1 / ($AW$23:$AW$46*CM893), N($AK$23:$AK$46&gt;$AI893))
) / 1000</f>
        <v>0</v>
      </c>
      <c r="CP893" s="237">
        <f t="shared" si="809"/>
        <v>0</v>
      </c>
      <c r="CQ893" s="210"/>
    </row>
    <row r="894" spans="1:95" s="76" customFormat="1" ht="14.25" customHeight="1" x14ac:dyDescent="0.2">
      <c r="A894" s="238" t="b">
        <f t="shared" si="776"/>
        <v>0</v>
      </c>
      <c r="B894" s="239">
        <v>872</v>
      </c>
      <c r="C894" s="258"/>
      <c r="D894" s="258"/>
      <c r="E894" s="240"/>
      <c r="F894" s="241" t="str">
        <f>IF(ISBLANK(E894), "", VLOOKUP(E894, Z!$A$2:$C$4127, 3, FALSE))</f>
        <v/>
      </c>
      <c r="G894" s="242"/>
      <c r="H894" s="242"/>
      <c r="I894" s="243"/>
      <c r="J894" s="244"/>
      <c r="K894" s="259"/>
      <c r="L894" s="260"/>
      <c r="M894" s="247" t="str" cm="1">
        <f t="array" ref="M894">IF($K894&gt;0, INDEX(Clean,1+AG894,$C$1), "")</f>
        <v/>
      </c>
      <c r="N894" s="245"/>
      <c r="O894" s="245"/>
      <c r="P894" s="246"/>
      <c r="Q894" s="248">
        <f t="shared" si="786"/>
        <v>0</v>
      </c>
      <c r="R894" s="247" t="str" cm="1">
        <f t="array" ref="R894">IF($K894&gt;0, INDEX(Clean,1+AH894,$C$1), "")</f>
        <v/>
      </c>
      <c r="S894" s="245"/>
      <c r="T894" s="245"/>
      <c r="U894" s="246"/>
      <c r="V894" s="248">
        <f t="shared" si="787"/>
        <v>0</v>
      </c>
      <c r="W894" s="261"/>
      <c r="X894" s="258"/>
      <c r="Y894" s="240"/>
      <c r="Z894" s="241" t="str">
        <f>IF(ISBLANK(Y894), "", VLOOKUP(Y894, Z!$A$2:$C$4127, 3, FALSE))</f>
        <v/>
      </c>
      <c r="AA894" s="262"/>
      <c r="AB894" s="249">
        <f t="shared" si="785"/>
        <v>0</v>
      </c>
      <c r="AC894" s="210"/>
      <c r="AD894" s="236">
        <f t="shared" si="810"/>
        <v>1</v>
      </c>
      <c r="AE894" s="236">
        <f t="shared" si="811"/>
        <v>1</v>
      </c>
      <c r="AF894" s="236">
        <f t="shared" si="812"/>
        <v>0</v>
      </c>
      <c r="AG894" s="236">
        <v>1</v>
      </c>
      <c r="AH894" s="236">
        <v>0</v>
      </c>
      <c r="AI894" s="236">
        <f t="shared" si="788"/>
        <v>-100</v>
      </c>
      <c r="AJ894" s="210"/>
      <c r="AK894" s="254"/>
      <c r="AL894" s="254"/>
      <c r="AM894" s="255"/>
      <c r="AN894" s="255"/>
      <c r="AO894" s="255"/>
      <c r="AP894" s="255"/>
      <c r="AQ894" s="255"/>
      <c r="AR894" s="255"/>
      <c r="AS894" s="255"/>
      <c r="AT894" s="255"/>
      <c r="AU894" s="255"/>
      <c r="AV894" s="255"/>
      <c r="AW894" s="255"/>
      <c r="AX894" s="210"/>
      <c r="AY894" s="236" cm="1">
        <f t="array" ref="AY894">INDEX(Use, $AD894, 4)</f>
        <v>7</v>
      </c>
      <c r="AZ894" s="236">
        <f t="shared" si="789"/>
        <v>32</v>
      </c>
      <c r="BA894" s="236">
        <f t="shared" si="777"/>
        <v>13</v>
      </c>
      <c r="BB894" s="236">
        <f t="shared" si="778"/>
        <v>0</v>
      </c>
      <c r="BC894" s="252" cm="1">
        <f t="array" ref="BC894">K894/IF($L894&gt;0, INDEX($AO$23:$AU$77, $L894+20, $AD894), 1)</f>
        <v>0</v>
      </c>
      <c r="BD894" s="237">
        <f t="shared" si="790"/>
        <v>0</v>
      </c>
      <c r="BE894" s="236">
        <v>35</v>
      </c>
      <c r="BF894" s="237">
        <f t="shared" si="791"/>
        <v>52.55</v>
      </c>
      <c r="BG894" s="253">
        <f t="shared" si="792"/>
        <v>2.7676728869374316</v>
      </c>
      <c r="BH894" s="253" cm="1">
        <f t="array" ref="BH894">$BC894 * SUMPRODUCT(INDEX($AL$77:$AN$82,,$AE894),INDEX($AO$77:$AU$82,,$AD894), N($AK$77:$AK$82&gt;$AI894)) / BG894 / 1000</f>
        <v>0</v>
      </c>
      <c r="BI894" s="250">
        <f t="shared" si="779"/>
        <v>30</v>
      </c>
      <c r="BJ894" s="237">
        <f t="shared" si="793"/>
        <v>46.033333333333331</v>
      </c>
      <c r="BK894" s="253">
        <f t="shared" si="794"/>
        <v>3.2297395388556791</v>
      </c>
      <c r="BL894" s="253" cm="1">
        <f t="array" ref="BL894">$BC894 * IF($AD894&lt;=2,
SUMPRODUCT(INDEX($AL$72:$AN$76,,$AE894), INDEX($AO$72:$AU$76,,$AD894), 1 / ($AV$72:$AV$76*BK894 + (1-$AV$72:$AV$76)*BG894), N($AK$72:$AK$76&gt;$AI894)),
SUMPRODUCT(INDEX($AL$67:$AN$76,,$AE894), INDEX($AO$67:$AU$76,,$AD894), 1 / ($AW$67:$AW$76*BK894 + (1-$AW$67:$AW$76)*BG894), N($AK$67:$AK$76&gt;$AI894))
) / 1000</f>
        <v>0</v>
      </c>
      <c r="BM894" s="250">
        <f t="shared" si="780"/>
        <v>25</v>
      </c>
      <c r="BN894" s="237">
        <f t="shared" si="795"/>
        <v>39.516666666666666</v>
      </c>
      <c r="BO894" s="253">
        <f t="shared" si="796"/>
        <v>3.877011788826243</v>
      </c>
      <c r="BP894" s="253" cm="1">
        <f t="array" ref="BP894">$BC894 * IF($AD894&lt;=2,
SUMPRODUCT(INDEX($AL$67:$AN$71,,$AE894), INDEX($AO$67:$AU$71,,$AD894), 1 / ($AV$67:$AV$71*BO894 + (1-$AV$67:$AV$71)*BK894), N($AK$67:$AK$71&gt;$AI894)),
SUMPRODUCT(INDEX($AL$57:$AN$66,,$AE894), INDEX($AO$57:$AU$66,,$AD894), 1 / ($AW$57:$AW$66*BO894 + (1-$AW$57:$AW$66)*BK894), N($AK$57:$AK$66&gt;$AI894))
) / 1000</f>
        <v>0</v>
      </c>
      <c r="BQ894" s="250">
        <f t="shared" si="781"/>
        <v>20</v>
      </c>
      <c r="BR894" s="237">
        <f t="shared" si="797"/>
        <v>33</v>
      </c>
      <c r="BS894" s="253">
        <f t="shared" si="798"/>
        <v>4.8487499999999999</v>
      </c>
      <c r="BT894" s="253" cm="1">
        <f t="array" ref="BT894">$BC894 * IF($AD894&lt;=2,
SUMPRODUCT(INDEX($AL$62:$AN$66,,$AE894), INDEX($AO$62:$AU$66,,$AD894), 1 / ($AV$62:$AV$66*BS894 + (1-$AV$62:$AV$66)*BO894), N($AK$62:$AK$66&gt;$AI894)),
SUMPRODUCT(INDEX($AL$47:$AN$56,,$AE894), INDEX($AO$47:$AU$56,,$AD894), 1 / ($AW$47:$AW$56*BS894 + (1-$AW$47:$AW$56)*BO894), N($AK$47:$AK$56&gt;$AI894))
) / 1000</f>
        <v>0</v>
      </c>
      <c r="BU894" s="253" cm="1">
        <f t="array" ref="BU894">$BC894 * IF($AD894&lt;=2,
SUMPRODUCT(INDEX($AL$23:$AN$61,,$AE894), INDEX($AO$23:$AU$61,,$AD894), 1 / ($AV$23:$AV$61*BS894), N($AK$23:$AK$61&gt;$AI894)),
SUMPRODUCT(INDEX($AL$23:$AN$46,,$AE894), INDEX($AO$23:$AU$46,,$AD894), 1 / ($AW$23:$AW$46*BS894), N($AK$23:$AK$46&gt;$AI894))
) / 1000</f>
        <v>0</v>
      </c>
      <c r="BV894" s="237">
        <f t="shared" si="799"/>
        <v>0</v>
      </c>
      <c r="BW894" s="210"/>
      <c r="BX894" s="237">
        <f t="shared" si="800"/>
        <v>0</v>
      </c>
      <c r="BY894" s="236">
        <v>35</v>
      </c>
      <c r="BZ894" s="237">
        <f t="shared" si="801"/>
        <v>48</v>
      </c>
      <c r="CA894" s="253">
        <f t="shared" si="802"/>
        <v>3.0748170731707316</v>
      </c>
      <c r="CB894" s="253" cm="1">
        <f t="array" ref="CB894">$BC894 * SUMPRODUCT(INDEX($AL$77:$AN$82,,$AE894),INDEX($AO$77:$AU$82,,$AD894), N($AK$77:$AK$82&gt;$AI894)) / CA894 / 1000</f>
        <v>0</v>
      </c>
      <c r="CC894" s="250">
        <f t="shared" si="782"/>
        <v>30</v>
      </c>
      <c r="CD894" s="237">
        <f t="shared" si="803"/>
        <v>43</v>
      </c>
      <c r="CE894" s="253">
        <f t="shared" si="804"/>
        <v>3.5018750000000001</v>
      </c>
      <c r="CF894" s="253" cm="1">
        <f t="array" ref="CF894">$BC894 * IF($AD894&lt;=2,
SUMPRODUCT(INDEX($AL$72:$AN$76,,$AE894), INDEX($AO$72:$AU$76,,$AD894), 1 / ($AV$72:$AV$76*CE894 + (1-$AV$72:$AV$76)*CA894), N($AK$72:$AK$76&gt;$AI894)),
SUMPRODUCT(INDEX($AL$67:$AN$76,,$AE894), INDEX($AO$67:$AU$76,,$AD894), 1 / ($AW$67:$AW$76*CE894 + (1-$AW$67:$AW$76)*CA894), N($AK$67:$AK$76&gt;$AI894))
) / 1000</f>
        <v>0</v>
      </c>
      <c r="CG894" s="250">
        <f t="shared" si="783"/>
        <v>25</v>
      </c>
      <c r="CH894" s="237">
        <f t="shared" si="805"/>
        <v>38</v>
      </c>
      <c r="CI894" s="253">
        <f t="shared" si="806"/>
        <v>4.0666935483870965</v>
      </c>
      <c r="CJ894" s="253" cm="1">
        <f t="array" ref="CJ894">$BC894 * IF($AD894&lt;=2,
SUMPRODUCT(INDEX($AL$67:$AN$71,,$AE894), INDEX($AO$67:$AU$71,,$AD894), 1 / ($AV$67:$AV$71*CI894 + (1-$AV$67:$AV$71)*CE894), N($AK$67:$AK$71&gt;$AI894)),
SUMPRODUCT(INDEX($AL$57:$AN$66,,$AE894), INDEX($AO$57:$AU$66,,$AD894), 1 / ($AW$57:$AW$66*CI894 + (1-$AW$57:$AW$66)*CE894), N($AK$57:$AK$66&gt;$AI894))
) / 1000</f>
        <v>0</v>
      </c>
      <c r="CK894" s="250">
        <f t="shared" si="784"/>
        <v>20</v>
      </c>
      <c r="CL894" s="237">
        <f t="shared" si="807"/>
        <v>33</v>
      </c>
      <c r="CM894" s="253">
        <f t="shared" si="808"/>
        <v>4.8487499999999999</v>
      </c>
      <c r="CN894" s="253" cm="1">
        <f t="array" ref="CN894">$BC894 * IF($AD894&lt;=2,
SUMPRODUCT(INDEX($AL$62:$AN$66,,$AE894), INDEX($AO$62:$AU$66,,$AD894), 1 / ($AV$62:$AV$66*CM894 + (1-$AV$62:$AV$66)*CI894), N($AK$62:$AK$66&gt;$AI894)),
SUMPRODUCT(INDEX($AL$47:$AN$56,,$AE894), INDEX($AO$47:$AU$56,,$AD894), 1 / ($AW$47:$AW$56*CM894 + (1-$AW$47:$AW$56)*CI894), N($AK$47:$AK$56&gt;$AI894))
) / 1000</f>
        <v>0</v>
      </c>
      <c r="CO894" s="253" cm="1">
        <f t="array" ref="CO894">$BC894 * IF($AD894&lt;=2,
SUMPRODUCT(INDEX($AL$23:$AN$61,,$AE894), INDEX($AO$23:$AU$61,,$AD894), 1 / ($AV$23:$AV$61*CM894), N($AK$23:$AK$61&gt;$AI894)),
SUMPRODUCT(INDEX($AL$23:$AN$46,,$AE894), INDEX($AO$23:$AU$46,,$AD894), 1 / ($AW$23:$AW$46*CM894), N($AK$23:$AK$46&gt;$AI894))
) / 1000</f>
        <v>0</v>
      </c>
      <c r="CP894" s="237">
        <f t="shared" si="809"/>
        <v>0</v>
      </c>
      <c r="CQ894" s="210"/>
    </row>
    <row r="895" spans="1:95" s="76" customFormat="1" ht="14.25" customHeight="1" x14ac:dyDescent="0.2">
      <c r="A895" s="238" t="b">
        <f t="shared" si="776"/>
        <v>0</v>
      </c>
      <c r="B895" s="239">
        <v>873</v>
      </c>
      <c r="C895" s="258"/>
      <c r="D895" s="258"/>
      <c r="E895" s="240"/>
      <c r="F895" s="241" t="str">
        <f>IF(ISBLANK(E895), "", VLOOKUP(E895, Z!$A$2:$C$4127, 3, FALSE))</f>
        <v/>
      </c>
      <c r="G895" s="242"/>
      <c r="H895" s="242"/>
      <c r="I895" s="243"/>
      <c r="J895" s="244"/>
      <c r="K895" s="259"/>
      <c r="L895" s="260"/>
      <c r="M895" s="247" t="str" cm="1">
        <f t="array" ref="M895">IF($K895&gt;0, INDEX(Clean,1+AG895,$C$1), "")</f>
        <v/>
      </c>
      <c r="N895" s="245"/>
      <c r="O895" s="245"/>
      <c r="P895" s="246"/>
      <c r="Q895" s="248">
        <f t="shared" si="786"/>
        <v>0</v>
      </c>
      <c r="R895" s="247" t="str" cm="1">
        <f t="array" ref="R895">IF($K895&gt;0, INDEX(Clean,1+AH895,$C$1), "")</f>
        <v/>
      </c>
      <c r="S895" s="245"/>
      <c r="T895" s="245"/>
      <c r="U895" s="246"/>
      <c r="V895" s="248">
        <f t="shared" si="787"/>
        <v>0</v>
      </c>
      <c r="W895" s="261"/>
      <c r="X895" s="258"/>
      <c r="Y895" s="240"/>
      <c r="Z895" s="241" t="str">
        <f>IF(ISBLANK(Y895), "", VLOOKUP(Y895, Z!$A$2:$C$4127, 3, FALSE))</f>
        <v/>
      </c>
      <c r="AA895" s="262"/>
      <c r="AB895" s="249">
        <f t="shared" si="785"/>
        <v>0</v>
      </c>
      <c r="AC895" s="210"/>
      <c r="AD895" s="236">
        <f t="shared" si="810"/>
        <v>1</v>
      </c>
      <c r="AE895" s="236">
        <f t="shared" si="811"/>
        <v>1</v>
      </c>
      <c r="AF895" s="236">
        <f t="shared" si="812"/>
        <v>0</v>
      </c>
      <c r="AG895" s="236">
        <v>1</v>
      </c>
      <c r="AH895" s="236">
        <v>0</v>
      </c>
      <c r="AI895" s="236">
        <f t="shared" si="788"/>
        <v>-100</v>
      </c>
      <c r="AJ895" s="210"/>
      <c r="AK895" s="254"/>
      <c r="AL895" s="254"/>
      <c r="AM895" s="255"/>
      <c r="AN895" s="255"/>
      <c r="AO895" s="255"/>
      <c r="AP895" s="255"/>
      <c r="AQ895" s="255"/>
      <c r="AR895" s="255"/>
      <c r="AS895" s="255"/>
      <c r="AT895" s="255"/>
      <c r="AU895" s="255"/>
      <c r="AV895" s="255"/>
      <c r="AW895" s="255"/>
      <c r="AX895" s="210"/>
      <c r="AY895" s="236" cm="1">
        <f t="array" ref="AY895">INDEX(Use, $AD895, 4)</f>
        <v>7</v>
      </c>
      <c r="AZ895" s="236">
        <f t="shared" si="789"/>
        <v>32</v>
      </c>
      <c r="BA895" s="236">
        <f t="shared" si="777"/>
        <v>13</v>
      </c>
      <c r="BB895" s="236">
        <f t="shared" si="778"/>
        <v>0</v>
      </c>
      <c r="BC895" s="252" cm="1">
        <f t="array" ref="BC895">K895/IF($L895&gt;0, INDEX($AO$23:$AU$77, $L895+20, $AD895), 1)</f>
        <v>0</v>
      </c>
      <c r="BD895" s="237">
        <f t="shared" si="790"/>
        <v>0</v>
      </c>
      <c r="BE895" s="236">
        <v>35</v>
      </c>
      <c r="BF895" s="237">
        <f t="shared" si="791"/>
        <v>52.55</v>
      </c>
      <c r="BG895" s="253">
        <f t="shared" si="792"/>
        <v>2.7676728869374316</v>
      </c>
      <c r="BH895" s="253" cm="1">
        <f t="array" ref="BH895">$BC895 * SUMPRODUCT(INDEX($AL$77:$AN$82,,$AE895),INDEX($AO$77:$AU$82,,$AD895), N($AK$77:$AK$82&gt;$AI895)) / BG895 / 1000</f>
        <v>0</v>
      </c>
      <c r="BI895" s="250">
        <f t="shared" si="779"/>
        <v>30</v>
      </c>
      <c r="BJ895" s="237">
        <f t="shared" si="793"/>
        <v>46.033333333333331</v>
      </c>
      <c r="BK895" s="253">
        <f t="shared" si="794"/>
        <v>3.2297395388556791</v>
      </c>
      <c r="BL895" s="253" cm="1">
        <f t="array" ref="BL895">$BC895 * IF($AD895&lt;=2,
SUMPRODUCT(INDEX($AL$72:$AN$76,,$AE895), INDEX($AO$72:$AU$76,,$AD895), 1 / ($AV$72:$AV$76*BK895 + (1-$AV$72:$AV$76)*BG895), N($AK$72:$AK$76&gt;$AI895)),
SUMPRODUCT(INDEX($AL$67:$AN$76,,$AE895), INDEX($AO$67:$AU$76,,$AD895), 1 / ($AW$67:$AW$76*BK895 + (1-$AW$67:$AW$76)*BG895), N($AK$67:$AK$76&gt;$AI895))
) / 1000</f>
        <v>0</v>
      </c>
      <c r="BM895" s="250">
        <f t="shared" si="780"/>
        <v>25</v>
      </c>
      <c r="BN895" s="237">
        <f t="shared" si="795"/>
        <v>39.516666666666666</v>
      </c>
      <c r="BO895" s="253">
        <f t="shared" si="796"/>
        <v>3.877011788826243</v>
      </c>
      <c r="BP895" s="253" cm="1">
        <f t="array" ref="BP895">$BC895 * IF($AD895&lt;=2,
SUMPRODUCT(INDEX($AL$67:$AN$71,,$AE895), INDEX($AO$67:$AU$71,,$AD895), 1 / ($AV$67:$AV$71*BO895 + (1-$AV$67:$AV$71)*BK895), N($AK$67:$AK$71&gt;$AI895)),
SUMPRODUCT(INDEX($AL$57:$AN$66,,$AE895), INDEX($AO$57:$AU$66,,$AD895), 1 / ($AW$57:$AW$66*BO895 + (1-$AW$57:$AW$66)*BK895), N($AK$57:$AK$66&gt;$AI895))
) / 1000</f>
        <v>0</v>
      </c>
      <c r="BQ895" s="250">
        <f t="shared" si="781"/>
        <v>20</v>
      </c>
      <c r="BR895" s="237">
        <f t="shared" si="797"/>
        <v>33</v>
      </c>
      <c r="BS895" s="253">
        <f t="shared" si="798"/>
        <v>4.8487499999999999</v>
      </c>
      <c r="BT895" s="253" cm="1">
        <f t="array" ref="BT895">$BC895 * IF($AD895&lt;=2,
SUMPRODUCT(INDEX($AL$62:$AN$66,,$AE895), INDEX($AO$62:$AU$66,,$AD895), 1 / ($AV$62:$AV$66*BS895 + (1-$AV$62:$AV$66)*BO895), N($AK$62:$AK$66&gt;$AI895)),
SUMPRODUCT(INDEX($AL$47:$AN$56,,$AE895), INDEX($AO$47:$AU$56,,$AD895), 1 / ($AW$47:$AW$56*BS895 + (1-$AW$47:$AW$56)*BO895), N($AK$47:$AK$56&gt;$AI895))
) / 1000</f>
        <v>0</v>
      </c>
      <c r="BU895" s="253" cm="1">
        <f t="array" ref="BU895">$BC895 * IF($AD895&lt;=2,
SUMPRODUCT(INDEX($AL$23:$AN$61,,$AE895), INDEX($AO$23:$AU$61,,$AD895), 1 / ($AV$23:$AV$61*BS895), N($AK$23:$AK$61&gt;$AI895)),
SUMPRODUCT(INDEX($AL$23:$AN$46,,$AE895), INDEX($AO$23:$AU$46,,$AD895), 1 / ($AW$23:$AW$46*BS895), N($AK$23:$AK$46&gt;$AI895))
) / 1000</f>
        <v>0</v>
      </c>
      <c r="BV895" s="237">
        <f t="shared" si="799"/>
        <v>0</v>
      </c>
      <c r="BW895" s="210"/>
      <c r="BX895" s="237">
        <f t="shared" si="800"/>
        <v>0</v>
      </c>
      <c r="BY895" s="236">
        <v>35</v>
      </c>
      <c r="BZ895" s="237">
        <f t="shared" si="801"/>
        <v>48</v>
      </c>
      <c r="CA895" s="253">
        <f t="shared" si="802"/>
        <v>3.0748170731707316</v>
      </c>
      <c r="CB895" s="253" cm="1">
        <f t="array" ref="CB895">$BC895 * SUMPRODUCT(INDEX($AL$77:$AN$82,,$AE895),INDEX($AO$77:$AU$82,,$AD895), N($AK$77:$AK$82&gt;$AI895)) / CA895 / 1000</f>
        <v>0</v>
      </c>
      <c r="CC895" s="250">
        <f t="shared" si="782"/>
        <v>30</v>
      </c>
      <c r="CD895" s="237">
        <f t="shared" si="803"/>
        <v>43</v>
      </c>
      <c r="CE895" s="253">
        <f t="shared" si="804"/>
        <v>3.5018750000000001</v>
      </c>
      <c r="CF895" s="253" cm="1">
        <f t="array" ref="CF895">$BC895 * IF($AD895&lt;=2,
SUMPRODUCT(INDEX($AL$72:$AN$76,,$AE895), INDEX($AO$72:$AU$76,,$AD895), 1 / ($AV$72:$AV$76*CE895 + (1-$AV$72:$AV$76)*CA895), N($AK$72:$AK$76&gt;$AI895)),
SUMPRODUCT(INDEX($AL$67:$AN$76,,$AE895), INDEX($AO$67:$AU$76,,$AD895), 1 / ($AW$67:$AW$76*CE895 + (1-$AW$67:$AW$76)*CA895), N($AK$67:$AK$76&gt;$AI895))
) / 1000</f>
        <v>0</v>
      </c>
      <c r="CG895" s="250">
        <f t="shared" si="783"/>
        <v>25</v>
      </c>
      <c r="CH895" s="237">
        <f t="shared" si="805"/>
        <v>38</v>
      </c>
      <c r="CI895" s="253">
        <f t="shared" si="806"/>
        <v>4.0666935483870965</v>
      </c>
      <c r="CJ895" s="253" cm="1">
        <f t="array" ref="CJ895">$BC895 * IF($AD895&lt;=2,
SUMPRODUCT(INDEX($AL$67:$AN$71,,$AE895), INDEX($AO$67:$AU$71,,$AD895), 1 / ($AV$67:$AV$71*CI895 + (1-$AV$67:$AV$71)*CE895), N($AK$67:$AK$71&gt;$AI895)),
SUMPRODUCT(INDEX($AL$57:$AN$66,,$AE895), INDEX($AO$57:$AU$66,,$AD895), 1 / ($AW$57:$AW$66*CI895 + (1-$AW$57:$AW$66)*CE895), N($AK$57:$AK$66&gt;$AI895))
) / 1000</f>
        <v>0</v>
      </c>
      <c r="CK895" s="250">
        <f t="shared" si="784"/>
        <v>20</v>
      </c>
      <c r="CL895" s="237">
        <f t="shared" si="807"/>
        <v>33</v>
      </c>
      <c r="CM895" s="253">
        <f t="shared" si="808"/>
        <v>4.8487499999999999</v>
      </c>
      <c r="CN895" s="253" cm="1">
        <f t="array" ref="CN895">$BC895 * IF($AD895&lt;=2,
SUMPRODUCT(INDEX($AL$62:$AN$66,,$AE895), INDEX($AO$62:$AU$66,,$AD895), 1 / ($AV$62:$AV$66*CM895 + (1-$AV$62:$AV$66)*CI895), N($AK$62:$AK$66&gt;$AI895)),
SUMPRODUCT(INDEX($AL$47:$AN$56,,$AE895), INDEX($AO$47:$AU$56,,$AD895), 1 / ($AW$47:$AW$56*CM895 + (1-$AW$47:$AW$56)*CI895), N($AK$47:$AK$56&gt;$AI895))
) / 1000</f>
        <v>0</v>
      </c>
      <c r="CO895" s="253" cm="1">
        <f t="array" ref="CO895">$BC895 * IF($AD895&lt;=2,
SUMPRODUCT(INDEX($AL$23:$AN$61,,$AE895), INDEX($AO$23:$AU$61,,$AD895), 1 / ($AV$23:$AV$61*CM895), N($AK$23:$AK$61&gt;$AI895)),
SUMPRODUCT(INDEX($AL$23:$AN$46,,$AE895), INDEX($AO$23:$AU$46,,$AD895), 1 / ($AW$23:$AW$46*CM895), N($AK$23:$AK$46&gt;$AI895))
) / 1000</f>
        <v>0</v>
      </c>
      <c r="CP895" s="237">
        <f t="shared" si="809"/>
        <v>0</v>
      </c>
      <c r="CQ895" s="210"/>
    </row>
    <row r="896" spans="1:95" s="76" customFormat="1" ht="14.25" customHeight="1" x14ac:dyDescent="0.2">
      <c r="A896" s="238" t="b">
        <f t="shared" si="776"/>
        <v>0</v>
      </c>
      <c r="B896" s="239">
        <v>874</v>
      </c>
      <c r="C896" s="258"/>
      <c r="D896" s="258"/>
      <c r="E896" s="240"/>
      <c r="F896" s="241" t="str">
        <f>IF(ISBLANK(E896), "", VLOOKUP(E896, Z!$A$2:$C$4127, 3, FALSE))</f>
        <v/>
      </c>
      <c r="G896" s="242"/>
      <c r="H896" s="242"/>
      <c r="I896" s="243"/>
      <c r="J896" s="244"/>
      <c r="K896" s="259"/>
      <c r="L896" s="260"/>
      <c r="M896" s="247" t="str" cm="1">
        <f t="array" ref="M896">IF($K896&gt;0, INDEX(Clean,1+AG896,$C$1), "")</f>
        <v/>
      </c>
      <c r="N896" s="245"/>
      <c r="O896" s="245"/>
      <c r="P896" s="246"/>
      <c r="Q896" s="248">
        <f t="shared" si="786"/>
        <v>0</v>
      </c>
      <c r="R896" s="247" t="str" cm="1">
        <f t="array" ref="R896">IF($K896&gt;0, INDEX(Clean,1+AH896,$C$1), "")</f>
        <v/>
      </c>
      <c r="S896" s="245"/>
      <c r="T896" s="245"/>
      <c r="U896" s="246"/>
      <c r="V896" s="248">
        <f t="shared" si="787"/>
        <v>0</v>
      </c>
      <c r="W896" s="261"/>
      <c r="X896" s="258"/>
      <c r="Y896" s="240"/>
      <c r="Z896" s="241" t="str">
        <f>IF(ISBLANK(Y896), "", VLOOKUP(Y896, Z!$A$2:$C$4127, 3, FALSE))</f>
        <v/>
      </c>
      <c r="AA896" s="262"/>
      <c r="AB896" s="249">
        <f t="shared" si="785"/>
        <v>0</v>
      </c>
      <c r="AC896" s="210"/>
      <c r="AD896" s="236">
        <f t="shared" si="810"/>
        <v>1</v>
      </c>
      <c r="AE896" s="236">
        <f t="shared" si="811"/>
        <v>1</v>
      </c>
      <c r="AF896" s="236">
        <f t="shared" si="812"/>
        <v>0</v>
      </c>
      <c r="AG896" s="236">
        <v>1</v>
      </c>
      <c r="AH896" s="236">
        <v>0</v>
      </c>
      <c r="AI896" s="236">
        <f t="shared" si="788"/>
        <v>-100</v>
      </c>
      <c r="AJ896" s="210"/>
      <c r="AK896" s="254"/>
      <c r="AL896" s="254"/>
      <c r="AM896" s="255"/>
      <c r="AN896" s="255"/>
      <c r="AO896" s="255"/>
      <c r="AP896" s="255"/>
      <c r="AQ896" s="255"/>
      <c r="AR896" s="255"/>
      <c r="AS896" s="255"/>
      <c r="AT896" s="255"/>
      <c r="AU896" s="255"/>
      <c r="AV896" s="255"/>
      <c r="AW896" s="255"/>
      <c r="AX896" s="210"/>
      <c r="AY896" s="236" cm="1">
        <f t="array" ref="AY896">INDEX(Use, $AD896, 4)</f>
        <v>7</v>
      </c>
      <c r="AZ896" s="236">
        <f t="shared" si="789"/>
        <v>32</v>
      </c>
      <c r="BA896" s="236">
        <f t="shared" si="777"/>
        <v>13</v>
      </c>
      <c r="BB896" s="236">
        <f t="shared" si="778"/>
        <v>0</v>
      </c>
      <c r="BC896" s="252" cm="1">
        <f t="array" ref="BC896">K896/IF($L896&gt;0, INDEX($AO$23:$AU$77, $L896+20, $AD896), 1)</f>
        <v>0</v>
      </c>
      <c r="BD896" s="237">
        <f t="shared" si="790"/>
        <v>0</v>
      </c>
      <c r="BE896" s="236">
        <v>35</v>
      </c>
      <c r="BF896" s="237">
        <f t="shared" si="791"/>
        <v>52.55</v>
      </c>
      <c r="BG896" s="253">
        <f t="shared" si="792"/>
        <v>2.7676728869374316</v>
      </c>
      <c r="BH896" s="253" cm="1">
        <f t="array" ref="BH896">$BC896 * SUMPRODUCT(INDEX($AL$77:$AN$82,,$AE896),INDEX($AO$77:$AU$82,,$AD896), N($AK$77:$AK$82&gt;$AI896)) / BG896 / 1000</f>
        <v>0</v>
      </c>
      <c r="BI896" s="250">
        <f t="shared" si="779"/>
        <v>30</v>
      </c>
      <c r="BJ896" s="237">
        <f t="shared" si="793"/>
        <v>46.033333333333331</v>
      </c>
      <c r="BK896" s="253">
        <f t="shared" si="794"/>
        <v>3.2297395388556791</v>
      </c>
      <c r="BL896" s="253" cm="1">
        <f t="array" ref="BL896">$BC896 * IF($AD896&lt;=2,
SUMPRODUCT(INDEX($AL$72:$AN$76,,$AE896), INDEX($AO$72:$AU$76,,$AD896), 1 / ($AV$72:$AV$76*BK896 + (1-$AV$72:$AV$76)*BG896), N($AK$72:$AK$76&gt;$AI896)),
SUMPRODUCT(INDEX($AL$67:$AN$76,,$AE896), INDEX($AO$67:$AU$76,,$AD896), 1 / ($AW$67:$AW$76*BK896 + (1-$AW$67:$AW$76)*BG896), N($AK$67:$AK$76&gt;$AI896))
) / 1000</f>
        <v>0</v>
      </c>
      <c r="BM896" s="250">
        <f t="shared" si="780"/>
        <v>25</v>
      </c>
      <c r="BN896" s="237">
        <f t="shared" si="795"/>
        <v>39.516666666666666</v>
      </c>
      <c r="BO896" s="253">
        <f t="shared" si="796"/>
        <v>3.877011788826243</v>
      </c>
      <c r="BP896" s="253" cm="1">
        <f t="array" ref="BP896">$BC896 * IF($AD896&lt;=2,
SUMPRODUCT(INDEX($AL$67:$AN$71,,$AE896), INDEX($AO$67:$AU$71,,$AD896), 1 / ($AV$67:$AV$71*BO896 + (1-$AV$67:$AV$71)*BK896), N($AK$67:$AK$71&gt;$AI896)),
SUMPRODUCT(INDEX($AL$57:$AN$66,,$AE896), INDEX($AO$57:$AU$66,,$AD896), 1 / ($AW$57:$AW$66*BO896 + (1-$AW$57:$AW$66)*BK896), N($AK$57:$AK$66&gt;$AI896))
) / 1000</f>
        <v>0</v>
      </c>
      <c r="BQ896" s="250">
        <f t="shared" si="781"/>
        <v>20</v>
      </c>
      <c r="BR896" s="237">
        <f t="shared" si="797"/>
        <v>33</v>
      </c>
      <c r="BS896" s="253">
        <f t="shared" si="798"/>
        <v>4.8487499999999999</v>
      </c>
      <c r="BT896" s="253" cm="1">
        <f t="array" ref="BT896">$BC896 * IF($AD896&lt;=2,
SUMPRODUCT(INDEX($AL$62:$AN$66,,$AE896), INDEX($AO$62:$AU$66,,$AD896), 1 / ($AV$62:$AV$66*BS896 + (1-$AV$62:$AV$66)*BO896), N($AK$62:$AK$66&gt;$AI896)),
SUMPRODUCT(INDEX($AL$47:$AN$56,,$AE896), INDEX($AO$47:$AU$56,,$AD896), 1 / ($AW$47:$AW$56*BS896 + (1-$AW$47:$AW$56)*BO896), N($AK$47:$AK$56&gt;$AI896))
) / 1000</f>
        <v>0</v>
      </c>
      <c r="BU896" s="253" cm="1">
        <f t="array" ref="BU896">$BC896 * IF($AD896&lt;=2,
SUMPRODUCT(INDEX($AL$23:$AN$61,,$AE896), INDEX($AO$23:$AU$61,,$AD896), 1 / ($AV$23:$AV$61*BS896), N($AK$23:$AK$61&gt;$AI896)),
SUMPRODUCT(INDEX($AL$23:$AN$46,,$AE896), INDEX($AO$23:$AU$46,,$AD896), 1 / ($AW$23:$AW$46*BS896), N($AK$23:$AK$46&gt;$AI896))
) / 1000</f>
        <v>0</v>
      </c>
      <c r="BV896" s="237">
        <f t="shared" si="799"/>
        <v>0</v>
      </c>
      <c r="BW896" s="210"/>
      <c r="BX896" s="237">
        <f t="shared" si="800"/>
        <v>0</v>
      </c>
      <c r="BY896" s="236">
        <v>35</v>
      </c>
      <c r="BZ896" s="237">
        <f t="shared" si="801"/>
        <v>48</v>
      </c>
      <c r="CA896" s="253">
        <f t="shared" si="802"/>
        <v>3.0748170731707316</v>
      </c>
      <c r="CB896" s="253" cm="1">
        <f t="array" ref="CB896">$BC896 * SUMPRODUCT(INDEX($AL$77:$AN$82,,$AE896),INDEX($AO$77:$AU$82,,$AD896), N($AK$77:$AK$82&gt;$AI896)) / CA896 / 1000</f>
        <v>0</v>
      </c>
      <c r="CC896" s="250">
        <f t="shared" si="782"/>
        <v>30</v>
      </c>
      <c r="CD896" s="237">
        <f t="shared" si="803"/>
        <v>43</v>
      </c>
      <c r="CE896" s="253">
        <f t="shared" si="804"/>
        <v>3.5018750000000001</v>
      </c>
      <c r="CF896" s="253" cm="1">
        <f t="array" ref="CF896">$BC896 * IF($AD896&lt;=2,
SUMPRODUCT(INDEX($AL$72:$AN$76,,$AE896), INDEX($AO$72:$AU$76,,$AD896), 1 / ($AV$72:$AV$76*CE896 + (1-$AV$72:$AV$76)*CA896), N($AK$72:$AK$76&gt;$AI896)),
SUMPRODUCT(INDEX($AL$67:$AN$76,,$AE896), INDEX($AO$67:$AU$76,,$AD896), 1 / ($AW$67:$AW$76*CE896 + (1-$AW$67:$AW$76)*CA896), N($AK$67:$AK$76&gt;$AI896))
) / 1000</f>
        <v>0</v>
      </c>
      <c r="CG896" s="250">
        <f t="shared" si="783"/>
        <v>25</v>
      </c>
      <c r="CH896" s="237">
        <f t="shared" si="805"/>
        <v>38</v>
      </c>
      <c r="CI896" s="253">
        <f t="shared" si="806"/>
        <v>4.0666935483870965</v>
      </c>
      <c r="CJ896" s="253" cm="1">
        <f t="array" ref="CJ896">$BC896 * IF($AD896&lt;=2,
SUMPRODUCT(INDEX($AL$67:$AN$71,,$AE896), INDEX($AO$67:$AU$71,,$AD896), 1 / ($AV$67:$AV$71*CI896 + (1-$AV$67:$AV$71)*CE896), N($AK$67:$AK$71&gt;$AI896)),
SUMPRODUCT(INDEX($AL$57:$AN$66,,$AE896), INDEX($AO$57:$AU$66,,$AD896), 1 / ($AW$57:$AW$66*CI896 + (1-$AW$57:$AW$66)*CE896), N($AK$57:$AK$66&gt;$AI896))
) / 1000</f>
        <v>0</v>
      </c>
      <c r="CK896" s="250">
        <f t="shared" si="784"/>
        <v>20</v>
      </c>
      <c r="CL896" s="237">
        <f t="shared" si="807"/>
        <v>33</v>
      </c>
      <c r="CM896" s="253">
        <f t="shared" si="808"/>
        <v>4.8487499999999999</v>
      </c>
      <c r="CN896" s="253" cm="1">
        <f t="array" ref="CN896">$BC896 * IF($AD896&lt;=2,
SUMPRODUCT(INDEX($AL$62:$AN$66,,$AE896), INDEX($AO$62:$AU$66,,$AD896), 1 / ($AV$62:$AV$66*CM896 + (1-$AV$62:$AV$66)*CI896), N($AK$62:$AK$66&gt;$AI896)),
SUMPRODUCT(INDEX($AL$47:$AN$56,,$AE896), INDEX($AO$47:$AU$56,,$AD896), 1 / ($AW$47:$AW$56*CM896 + (1-$AW$47:$AW$56)*CI896), N($AK$47:$AK$56&gt;$AI896))
) / 1000</f>
        <v>0</v>
      </c>
      <c r="CO896" s="253" cm="1">
        <f t="array" ref="CO896">$BC896 * IF($AD896&lt;=2,
SUMPRODUCT(INDEX($AL$23:$AN$61,,$AE896), INDEX($AO$23:$AU$61,,$AD896), 1 / ($AV$23:$AV$61*CM896), N($AK$23:$AK$61&gt;$AI896)),
SUMPRODUCT(INDEX($AL$23:$AN$46,,$AE896), INDEX($AO$23:$AU$46,,$AD896), 1 / ($AW$23:$AW$46*CM896), N($AK$23:$AK$46&gt;$AI896))
) / 1000</f>
        <v>0</v>
      </c>
      <c r="CP896" s="237">
        <f t="shared" si="809"/>
        <v>0</v>
      </c>
      <c r="CQ896" s="210"/>
    </row>
    <row r="897" spans="1:95" s="76" customFormat="1" ht="14.25" customHeight="1" x14ac:dyDescent="0.2">
      <c r="A897" s="238" t="b">
        <f t="shared" si="776"/>
        <v>0</v>
      </c>
      <c r="B897" s="239">
        <v>875</v>
      </c>
      <c r="C897" s="258"/>
      <c r="D897" s="258"/>
      <c r="E897" s="240"/>
      <c r="F897" s="241" t="str">
        <f>IF(ISBLANK(E897), "", VLOOKUP(E897, Z!$A$2:$C$4127, 3, FALSE))</f>
        <v/>
      </c>
      <c r="G897" s="242"/>
      <c r="H897" s="242"/>
      <c r="I897" s="243"/>
      <c r="J897" s="244"/>
      <c r="K897" s="259"/>
      <c r="L897" s="260"/>
      <c r="M897" s="247" t="str" cm="1">
        <f t="array" ref="M897">IF($K897&gt;0, INDEX(Clean,1+AG897,$C$1), "")</f>
        <v/>
      </c>
      <c r="N897" s="245"/>
      <c r="O897" s="245"/>
      <c r="P897" s="246"/>
      <c r="Q897" s="248">
        <f t="shared" si="786"/>
        <v>0</v>
      </c>
      <c r="R897" s="247" t="str" cm="1">
        <f t="array" ref="R897">IF($K897&gt;0, INDEX(Clean,1+AH897,$C$1), "")</f>
        <v/>
      </c>
      <c r="S897" s="245"/>
      <c r="T897" s="245"/>
      <c r="U897" s="246"/>
      <c r="V897" s="248">
        <f t="shared" si="787"/>
        <v>0</v>
      </c>
      <c r="W897" s="261"/>
      <c r="X897" s="258"/>
      <c r="Y897" s="240"/>
      <c r="Z897" s="241" t="str">
        <f>IF(ISBLANK(Y897), "", VLOOKUP(Y897, Z!$A$2:$C$4127, 3, FALSE))</f>
        <v/>
      </c>
      <c r="AA897" s="262"/>
      <c r="AB897" s="249">
        <f t="shared" si="785"/>
        <v>0</v>
      </c>
      <c r="AC897" s="210"/>
      <c r="AD897" s="236">
        <f t="shared" si="810"/>
        <v>1</v>
      </c>
      <c r="AE897" s="236">
        <f t="shared" si="811"/>
        <v>1</v>
      </c>
      <c r="AF897" s="236">
        <f t="shared" si="812"/>
        <v>0</v>
      </c>
      <c r="AG897" s="236">
        <v>1</v>
      </c>
      <c r="AH897" s="236">
        <v>0</v>
      </c>
      <c r="AI897" s="236">
        <f t="shared" si="788"/>
        <v>-100</v>
      </c>
      <c r="AJ897" s="210"/>
      <c r="AK897" s="254"/>
      <c r="AL897" s="254"/>
      <c r="AM897" s="255"/>
      <c r="AN897" s="255"/>
      <c r="AO897" s="255"/>
      <c r="AP897" s="255"/>
      <c r="AQ897" s="255"/>
      <c r="AR897" s="255"/>
      <c r="AS897" s="255"/>
      <c r="AT897" s="255"/>
      <c r="AU897" s="255"/>
      <c r="AV897" s="255"/>
      <c r="AW897" s="255"/>
      <c r="AX897" s="210"/>
      <c r="AY897" s="236" cm="1">
        <f t="array" ref="AY897">INDEX(Use, $AD897, 4)</f>
        <v>7</v>
      </c>
      <c r="AZ897" s="236">
        <f t="shared" si="789"/>
        <v>32</v>
      </c>
      <c r="BA897" s="236">
        <f t="shared" si="777"/>
        <v>13</v>
      </c>
      <c r="BB897" s="236">
        <f t="shared" si="778"/>
        <v>0</v>
      </c>
      <c r="BC897" s="252" cm="1">
        <f t="array" ref="BC897">K897/IF($L897&gt;0, INDEX($AO$23:$AU$77, $L897+20, $AD897), 1)</f>
        <v>0</v>
      </c>
      <c r="BD897" s="237">
        <f t="shared" si="790"/>
        <v>0</v>
      </c>
      <c r="BE897" s="236">
        <v>35</v>
      </c>
      <c r="BF897" s="237">
        <f t="shared" si="791"/>
        <v>52.55</v>
      </c>
      <c r="BG897" s="253">
        <f t="shared" si="792"/>
        <v>2.7676728869374316</v>
      </c>
      <c r="BH897" s="253" cm="1">
        <f t="array" ref="BH897">$BC897 * SUMPRODUCT(INDEX($AL$77:$AN$82,,$AE897),INDEX($AO$77:$AU$82,,$AD897), N($AK$77:$AK$82&gt;$AI897)) / BG897 / 1000</f>
        <v>0</v>
      </c>
      <c r="BI897" s="250">
        <f t="shared" si="779"/>
        <v>30</v>
      </c>
      <c r="BJ897" s="237">
        <f t="shared" si="793"/>
        <v>46.033333333333331</v>
      </c>
      <c r="BK897" s="253">
        <f t="shared" si="794"/>
        <v>3.2297395388556791</v>
      </c>
      <c r="BL897" s="253" cm="1">
        <f t="array" ref="BL897">$BC897 * IF($AD897&lt;=2,
SUMPRODUCT(INDEX($AL$72:$AN$76,,$AE897), INDEX($AO$72:$AU$76,,$AD897), 1 / ($AV$72:$AV$76*BK897 + (1-$AV$72:$AV$76)*BG897), N($AK$72:$AK$76&gt;$AI897)),
SUMPRODUCT(INDEX($AL$67:$AN$76,,$AE897), INDEX($AO$67:$AU$76,,$AD897), 1 / ($AW$67:$AW$76*BK897 + (1-$AW$67:$AW$76)*BG897), N($AK$67:$AK$76&gt;$AI897))
) / 1000</f>
        <v>0</v>
      </c>
      <c r="BM897" s="250">
        <f t="shared" si="780"/>
        <v>25</v>
      </c>
      <c r="BN897" s="237">
        <f t="shared" si="795"/>
        <v>39.516666666666666</v>
      </c>
      <c r="BO897" s="253">
        <f t="shared" si="796"/>
        <v>3.877011788826243</v>
      </c>
      <c r="BP897" s="253" cm="1">
        <f t="array" ref="BP897">$BC897 * IF($AD897&lt;=2,
SUMPRODUCT(INDEX($AL$67:$AN$71,,$AE897), INDEX($AO$67:$AU$71,,$AD897), 1 / ($AV$67:$AV$71*BO897 + (1-$AV$67:$AV$71)*BK897), N($AK$67:$AK$71&gt;$AI897)),
SUMPRODUCT(INDEX($AL$57:$AN$66,,$AE897), INDEX($AO$57:$AU$66,,$AD897), 1 / ($AW$57:$AW$66*BO897 + (1-$AW$57:$AW$66)*BK897), N($AK$57:$AK$66&gt;$AI897))
) / 1000</f>
        <v>0</v>
      </c>
      <c r="BQ897" s="250">
        <f t="shared" si="781"/>
        <v>20</v>
      </c>
      <c r="BR897" s="237">
        <f t="shared" si="797"/>
        <v>33</v>
      </c>
      <c r="BS897" s="253">
        <f t="shared" si="798"/>
        <v>4.8487499999999999</v>
      </c>
      <c r="BT897" s="253" cm="1">
        <f t="array" ref="BT897">$BC897 * IF($AD897&lt;=2,
SUMPRODUCT(INDEX($AL$62:$AN$66,,$AE897), INDEX($AO$62:$AU$66,,$AD897), 1 / ($AV$62:$AV$66*BS897 + (1-$AV$62:$AV$66)*BO897), N($AK$62:$AK$66&gt;$AI897)),
SUMPRODUCT(INDEX($AL$47:$AN$56,,$AE897), INDEX($AO$47:$AU$56,,$AD897), 1 / ($AW$47:$AW$56*BS897 + (1-$AW$47:$AW$56)*BO897), N($AK$47:$AK$56&gt;$AI897))
) / 1000</f>
        <v>0</v>
      </c>
      <c r="BU897" s="253" cm="1">
        <f t="array" ref="BU897">$BC897 * IF($AD897&lt;=2,
SUMPRODUCT(INDEX($AL$23:$AN$61,,$AE897), INDEX($AO$23:$AU$61,,$AD897), 1 / ($AV$23:$AV$61*BS897), N($AK$23:$AK$61&gt;$AI897)),
SUMPRODUCT(INDEX($AL$23:$AN$46,,$AE897), INDEX($AO$23:$AU$46,,$AD897), 1 / ($AW$23:$AW$46*BS897), N($AK$23:$AK$46&gt;$AI897))
) / 1000</f>
        <v>0</v>
      </c>
      <c r="BV897" s="237">
        <f t="shared" si="799"/>
        <v>0</v>
      </c>
      <c r="BW897" s="210"/>
      <c r="BX897" s="237">
        <f t="shared" si="800"/>
        <v>0</v>
      </c>
      <c r="BY897" s="236">
        <v>35</v>
      </c>
      <c r="BZ897" s="237">
        <f t="shared" si="801"/>
        <v>48</v>
      </c>
      <c r="CA897" s="253">
        <f t="shared" si="802"/>
        <v>3.0748170731707316</v>
      </c>
      <c r="CB897" s="253" cm="1">
        <f t="array" ref="CB897">$BC897 * SUMPRODUCT(INDEX($AL$77:$AN$82,,$AE897),INDEX($AO$77:$AU$82,,$AD897), N($AK$77:$AK$82&gt;$AI897)) / CA897 / 1000</f>
        <v>0</v>
      </c>
      <c r="CC897" s="250">
        <f t="shared" si="782"/>
        <v>30</v>
      </c>
      <c r="CD897" s="237">
        <f t="shared" si="803"/>
        <v>43</v>
      </c>
      <c r="CE897" s="253">
        <f t="shared" si="804"/>
        <v>3.5018750000000001</v>
      </c>
      <c r="CF897" s="253" cm="1">
        <f t="array" ref="CF897">$BC897 * IF($AD897&lt;=2,
SUMPRODUCT(INDEX($AL$72:$AN$76,,$AE897), INDEX($AO$72:$AU$76,,$AD897), 1 / ($AV$72:$AV$76*CE897 + (1-$AV$72:$AV$76)*CA897), N($AK$72:$AK$76&gt;$AI897)),
SUMPRODUCT(INDEX($AL$67:$AN$76,,$AE897), INDEX($AO$67:$AU$76,,$AD897), 1 / ($AW$67:$AW$76*CE897 + (1-$AW$67:$AW$76)*CA897), N($AK$67:$AK$76&gt;$AI897))
) / 1000</f>
        <v>0</v>
      </c>
      <c r="CG897" s="250">
        <f t="shared" si="783"/>
        <v>25</v>
      </c>
      <c r="CH897" s="237">
        <f t="shared" si="805"/>
        <v>38</v>
      </c>
      <c r="CI897" s="253">
        <f t="shared" si="806"/>
        <v>4.0666935483870965</v>
      </c>
      <c r="CJ897" s="253" cm="1">
        <f t="array" ref="CJ897">$BC897 * IF($AD897&lt;=2,
SUMPRODUCT(INDEX($AL$67:$AN$71,,$AE897), INDEX($AO$67:$AU$71,,$AD897), 1 / ($AV$67:$AV$71*CI897 + (1-$AV$67:$AV$71)*CE897), N($AK$67:$AK$71&gt;$AI897)),
SUMPRODUCT(INDEX($AL$57:$AN$66,,$AE897), INDEX($AO$57:$AU$66,,$AD897), 1 / ($AW$57:$AW$66*CI897 + (1-$AW$57:$AW$66)*CE897), N($AK$57:$AK$66&gt;$AI897))
) / 1000</f>
        <v>0</v>
      </c>
      <c r="CK897" s="250">
        <f t="shared" si="784"/>
        <v>20</v>
      </c>
      <c r="CL897" s="237">
        <f t="shared" si="807"/>
        <v>33</v>
      </c>
      <c r="CM897" s="253">
        <f t="shared" si="808"/>
        <v>4.8487499999999999</v>
      </c>
      <c r="CN897" s="253" cm="1">
        <f t="array" ref="CN897">$BC897 * IF($AD897&lt;=2,
SUMPRODUCT(INDEX($AL$62:$AN$66,,$AE897), INDEX($AO$62:$AU$66,,$AD897), 1 / ($AV$62:$AV$66*CM897 + (1-$AV$62:$AV$66)*CI897), N($AK$62:$AK$66&gt;$AI897)),
SUMPRODUCT(INDEX($AL$47:$AN$56,,$AE897), INDEX($AO$47:$AU$56,,$AD897), 1 / ($AW$47:$AW$56*CM897 + (1-$AW$47:$AW$56)*CI897), N($AK$47:$AK$56&gt;$AI897))
) / 1000</f>
        <v>0</v>
      </c>
      <c r="CO897" s="253" cm="1">
        <f t="array" ref="CO897">$BC897 * IF($AD897&lt;=2,
SUMPRODUCT(INDEX($AL$23:$AN$61,,$AE897), INDEX($AO$23:$AU$61,,$AD897), 1 / ($AV$23:$AV$61*CM897), N($AK$23:$AK$61&gt;$AI897)),
SUMPRODUCT(INDEX($AL$23:$AN$46,,$AE897), INDEX($AO$23:$AU$46,,$AD897), 1 / ($AW$23:$AW$46*CM897), N($AK$23:$AK$46&gt;$AI897))
) / 1000</f>
        <v>0</v>
      </c>
      <c r="CP897" s="237">
        <f t="shared" si="809"/>
        <v>0</v>
      </c>
      <c r="CQ897" s="210"/>
    </row>
    <row r="898" spans="1:95" s="76" customFormat="1" ht="14.25" customHeight="1" x14ac:dyDescent="0.2">
      <c r="A898" s="238" t="b">
        <f t="shared" si="776"/>
        <v>0</v>
      </c>
      <c r="B898" s="239">
        <v>876</v>
      </c>
      <c r="C898" s="258"/>
      <c r="D898" s="258"/>
      <c r="E898" s="240"/>
      <c r="F898" s="241" t="str">
        <f>IF(ISBLANK(E898), "", VLOOKUP(E898, Z!$A$2:$C$4127, 3, FALSE))</f>
        <v/>
      </c>
      <c r="G898" s="242"/>
      <c r="H898" s="242"/>
      <c r="I898" s="243"/>
      <c r="J898" s="244"/>
      <c r="K898" s="259"/>
      <c r="L898" s="260"/>
      <c r="M898" s="247" t="str" cm="1">
        <f t="array" ref="M898">IF($K898&gt;0, INDEX(Clean,1+AG898,$C$1), "")</f>
        <v/>
      </c>
      <c r="N898" s="245"/>
      <c r="O898" s="245"/>
      <c r="P898" s="246"/>
      <c r="Q898" s="248">
        <f t="shared" si="786"/>
        <v>0</v>
      </c>
      <c r="R898" s="247" t="str" cm="1">
        <f t="array" ref="R898">IF($K898&gt;0, INDEX(Clean,1+AH898,$C$1), "")</f>
        <v/>
      </c>
      <c r="S898" s="245"/>
      <c r="T898" s="245"/>
      <c r="U898" s="246"/>
      <c r="V898" s="248">
        <f t="shared" si="787"/>
        <v>0</v>
      </c>
      <c r="W898" s="261"/>
      <c r="X898" s="258"/>
      <c r="Y898" s="240"/>
      <c r="Z898" s="241" t="str">
        <f>IF(ISBLANK(Y898), "", VLOOKUP(Y898, Z!$A$2:$C$4127, 3, FALSE))</f>
        <v/>
      </c>
      <c r="AA898" s="262"/>
      <c r="AB898" s="249">
        <f t="shared" si="785"/>
        <v>0</v>
      </c>
      <c r="AC898" s="210"/>
      <c r="AD898" s="236">
        <f t="shared" si="810"/>
        <v>1</v>
      </c>
      <c r="AE898" s="236">
        <f t="shared" si="811"/>
        <v>1</v>
      </c>
      <c r="AF898" s="236">
        <f t="shared" si="812"/>
        <v>0</v>
      </c>
      <c r="AG898" s="236">
        <v>1</v>
      </c>
      <c r="AH898" s="236">
        <v>0</v>
      </c>
      <c r="AI898" s="236">
        <f t="shared" si="788"/>
        <v>-100</v>
      </c>
      <c r="AJ898" s="210"/>
      <c r="AK898" s="254"/>
      <c r="AL898" s="254"/>
      <c r="AM898" s="255"/>
      <c r="AN898" s="255"/>
      <c r="AO898" s="255"/>
      <c r="AP898" s="255"/>
      <c r="AQ898" s="255"/>
      <c r="AR898" s="255"/>
      <c r="AS898" s="255"/>
      <c r="AT898" s="255"/>
      <c r="AU898" s="255"/>
      <c r="AV898" s="255"/>
      <c r="AW898" s="255"/>
      <c r="AX898" s="210"/>
      <c r="AY898" s="236" cm="1">
        <f t="array" ref="AY898">INDEX(Use, $AD898, 4)</f>
        <v>7</v>
      </c>
      <c r="AZ898" s="236">
        <f t="shared" si="789"/>
        <v>32</v>
      </c>
      <c r="BA898" s="236">
        <f t="shared" si="777"/>
        <v>13</v>
      </c>
      <c r="BB898" s="236">
        <f t="shared" si="778"/>
        <v>0</v>
      </c>
      <c r="BC898" s="252" cm="1">
        <f t="array" ref="BC898">K898/IF($L898&gt;0, INDEX($AO$23:$AU$77, $L898+20, $AD898), 1)</f>
        <v>0</v>
      </c>
      <c r="BD898" s="237">
        <f t="shared" si="790"/>
        <v>0</v>
      </c>
      <c r="BE898" s="236">
        <v>35</v>
      </c>
      <c r="BF898" s="237">
        <f t="shared" si="791"/>
        <v>52.55</v>
      </c>
      <c r="BG898" s="253">
        <f t="shared" si="792"/>
        <v>2.7676728869374316</v>
      </c>
      <c r="BH898" s="253" cm="1">
        <f t="array" ref="BH898">$BC898 * SUMPRODUCT(INDEX($AL$77:$AN$82,,$AE898),INDEX($AO$77:$AU$82,,$AD898), N($AK$77:$AK$82&gt;$AI898)) / BG898 / 1000</f>
        <v>0</v>
      </c>
      <c r="BI898" s="250">
        <f t="shared" si="779"/>
        <v>30</v>
      </c>
      <c r="BJ898" s="237">
        <f t="shared" si="793"/>
        <v>46.033333333333331</v>
      </c>
      <c r="BK898" s="253">
        <f t="shared" si="794"/>
        <v>3.2297395388556791</v>
      </c>
      <c r="BL898" s="253" cm="1">
        <f t="array" ref="BL898">$BC898 * IF($AD898&lt;=2,
SUMPRODUCT(INDEX($AL$72:$AN$76,,$AE898), INDEX($AO$72:$AU$76,,$AD898), 1 / ($AV$72:$AV$76*BK898 + (1-$AV$72:$AV$76)*BG898), N($AK$72:$AK$76&gt;$AI898)),
SUMPRODUCT(INDEX($AL$67:$AN$76,,$AE898), INDEX($AO$67:$AU$76,,$AD898), 1 / ($AW$67:$AW$76*BK898 + (1-$AW$67:$AW$76)*BG898), N($AK$67:$AK$76&gt;$AI898))
) / 1000</f>
        <v>0</v>
      </c>
      <c r="BM898" s="250">
        <f t="shared" si="780"/>
        <v>25</v>
      </c>
      <c r="BN898" s="237">
        <f t="shared" si="795"/>
        <v>39.516666666666666</v>
      </c>
      <c r="BO898" s="253">
        <f t="shared" si="796"/>
        <v>3.877011788826243</v>
      </c>
      <c r="BP898" s="253" cm="1">
        <f t="array" ref="BP898">$BC898 * IF($AD898&lt;=2,
SUMPRODUCT(INDEX($AL$67:$AN$71,,$AE898), INDEX($AO$67:$AU$71,,$AD898), 1 / ($AV$67:$AV$71*BO898 + (1-$AV$67:$AV$71)*BK898), N($AK$67:$AK$71&gt;$AI898)),
SUMPRODUCT(INDEX($AL$57:$AN$66,,$AE898), INDEX($AO$57:$AU$66,,$AD898), 1 / ($AW$57:$AW$66*BO898 + (1-$AW$57:$AW$66)*BK898), N($AK$57:$AK$66&gt;$AI898))
) / 1000</f>
        <v>0</v>
      </c>
      <c r="BQ898" s="250">
        <f t="shared" si="781"/>
        <v>20</v>
      </c>
      <c r="BR898" s="237">
        <f t="shared" si="797"/>
        <v>33</v>
      </c>
      <c r="BS898" s="253">
        <f t="shared" si="798"/>
        <v>4.8487499999999999</v>
      </c>
      <c r="BT898" s="253" cm="1">
        <f t="array" ref="BT898">$BC898 * IF($AD898&lt;=2,
SUMPRODUCT(INDEX($AL$62:$AN$66,,$AE898), INDEX($AO$62:$AU$66,,$AD898), 1 / ($AV$62:$AV$66*BS898 + (1-$AV$62:$AV$66)*BO898), N($AK$62:$AK$66&gt;$AI898)),
SUMPRODUCT(INDEX($AL$47:$AN$56,,$AE898), INDEX($AO$47:$AU$56,,$AD898), 1 / ($AW$47:$AW$56*BS898 + (1-$AW$47:$AW$56)*BO898), N($AK$47:$AK$56&gt;$AI898))
) / 1000</f>
        <v>0</v>
      </c>
      <c r="BU898" s="253" cm="1">
        <f t="array" ref="BU898">$BC898 * IF($AD898&lt;=2,
SUMPRODUCT(INDEX($AL$23:$AN$61,,$AE898), INDEX($AO$23:$AU$61,,$AD898), 1 / ($AV$23:$AV$61*BS898), N($AK$23:$AK$61&gt;$AI898)),
SUMPRODUCT(INDEX($AL$23:$AN$46,,$AE898), INDEX($AO$23:$AU$46,,$AD898), 1 / ($AW$23:$AW$46*BS898), N($AK$23:$AK$46&gt;$AI898))
) / 1000</f>
        <v>0</v>
      </c>
      <c r="BV898" s="237">
        <f t="shared" si="799"/>
        <v>0</v>
      </c>
      <c r="BW898" s="210"/>
      <c r="BX898" s="237">
        <f t="shared" si="800"/>
        <v>0</v>
      </c>
      <c r="BY898" s="236">
        <v>35</v>
      </c>
      <c r="BZ898" s="237">
        <f t="shared" si="801"/>
        <v>48</v>
      </c>
      <c r="CA898" s="253">
        <f t="shared" si="802"/>
        <v>3.0748170731707316</v>
      </c>
      <c r="CB898" s="253" cm="1">
        <f t="array" ref="CB898">$BC898 * SUMPRODUCT(INDEX($AL$77:$AN$82,,$AE898),INDEX($AO$77:$AU$82,,$AD898), N($AK$77:$AK$82&gt;$AI898)) / CA898 / 1000</f>
        <v>0</v>
      </c>
      <c r="CC898" s="250">
        <f t="shared" si="782"/>
        <v>30</v>
      </c>
      <c r="CD898" s="237">
        <f t="shared" si="803"/>
        <v>43</v>
      </c>
      <c r="CE898" s="253">
        <f t="shared" si="804"/>
        <v>3.5018750000000001</v>
      </c>
      <c r="CF898" s="253" cm="1">
        <f t="array" ref="CF898">$BC898 * IF($AD898&lt;=2,
SUMPRODUCT(INDEX($AL$72:$AN$76,,$AE898), INDEX($AO$72:$AU$76,,$AD898), 1 / ($AV$72:$AV$76*CE898 + (1-$AV$72:$AV$76)*CA898), N($AK$72:$AK$76&gt;$AI898)),
SUMPRODUCT(INDEX($AL$67:$AN$76,,$AE898), INDEX($AO$67:$AU$76,,$AD898), 1 / ($AW$67:$AW$76*CE898 + (1-$AW$67:$AW$76)*CA898), N($AK$67:$AK$76&gt;$AI898))
) / 1000</f>
        <v>0</v>
      </c>
      <c r="CG898" s="250">
        <f t="shared" si="783"/>
        <v>25</v>
      </c>
      <c r="CH898" s="237">
        <f t="shared" si="805"/>
        <v>38</v>
      </c>
      <c r="CI898" s="253">
        <f t="shared" si="806"/>
        <v>4.0666935483870965</v>
      </c>
      <c r="CJ898" s="253" cm="1">
        <f t="array" ref="CJ898">$BC898 * IF($AD898&lt;=2,
SUMPRODUCT(INDEX($AL$67:$AN$71,,$AE898), INDEX($AO$67:$AU$71,,$AD898), 1 / ($AV$67:$AV$71*CI898 + (1-$AV$67:$AV$71)*CE898), N($AK$67:$AK$71&gt;$AI898)),
SUMPRODUCT(INDEX($AL$57:$AN$66,,$AE898), INDEX($AO$57:$AU$66,,$AD898), 1 / ($AW$57:$AW$66*CI898 + (1-$AW$57:$AW$66)*CE898), N($AK$57:$AK$66&gt;$AI898))
) / 1000</f>
        <v>0</v>
      </c>
      <c r="CK898" s="250">
        <f t="shared" si="784"/>
        <v>20</v>
      </c>
      <c r="CL898" s="237">
        <f t="shared" si="807"/>
        <v>33</v>
      </c>
      <c r="CM898" s="253">
        <f t="shared" si="808"/>
        <v>4.8487499999999999</v>
      </c>
      <c r="CN898" s="253" cm="1">
        <f t="array" ref="CN898">$BC898 * IF($AD898&lt;=2,
SUMPRODUCT(INDEX($AL$62:$AN$66,,$AE898), INDEX($AO$62:$AU$66,,$AD898), 1 / ($AV$62:$AV$66*CM898 + (1-$AV$62:$AV$66)*CI898), N($AK$62:$AK$66&gt;$AI898)),
SUMPRODUCT(INDEX($AL$47:$AN$56,,$AE898), INDEX($AO$47:$AU$56,,$AD898), 1 / ($AW$47:$AW$56*CM898 + (1-$AW$47:$AW$56)*CI898), N($AK$47:$AK$56&gt;$AI898))
) / 1000</f>
        <v>0</v>
      </c>
      <c r="CO898" s="253" cm="1">
        <f t="array" ref="CO898">$BC898 * IF($AD898&lt;=2,
SUMPRODUCT(INDEX($AL$23:$AN$61,,$AE898), INDEX($AO$23:$AU$61,,$AD898), 1 / ($AV$23:$AV$61*CM898), N($AK$23:$AK$61&gt;$AI898)),
SUMPRODUCT(INDEX($AL$23:$AN$46,,$AE898), INDEX($AO$23:$AU$46,,$AD898), 1 / ($AW$23:$AW$46*CM898), N($AK$23:$AK$46&gt;$AI898))
) / 1000</f>
        <v>0</v>
      </c>
      <c r="CP898" s="237">
        <f t="shared" si="809"/>
        <v>0</v>
      </c>
      <c r="CQ898" s="210"/>
    </row>
    <row r="899" spans="1:95" s="76" customFormat="1" ht="14.25" customHeight="1" x14ac:dyDescent="0.2">
      <c r="A899" s="238" t="b">
        <f t="shared" si="776"/>
        <v>0</v>
      </c>
      <c r="B899" s="239">
        <v>877</v>
      </c>
      <c r="C899" s="258"/>
      <c r="D899" s="258"/>
      <c r="E899" s="240"/>
      <c r="F899" s="241" t="str">
        <f>IF(ISBLANK(E899), "", VLOOKUP(E899, Z!$A$2:$C$4127, 3, FALSE))</f>
        <v/>
      </c>
      <c r="G899" s="242"/>
      <c r="H899" s="242"/>
      <c r="I899" s="243"/>
      <c r="J899" s="244"/>
      <c r="K899" s="259"/>
      <c r="L899" s="260"/>
      <c r="M899" s="247" t="str" cm="1">
        <f t="array" ref="M899">IF($K899&gt;0, INDEX(Clean,1+AG899,$C$1), "")</f>
        <v/>
      </c>
      <c r="N899" s="245"/>
      <c r="O899" s="245"/>
      <c r="P899" s="246"/>
      <c r="Q899" s="248">
        <f t="shared" si="786"/>
        <v>0</v>
      </c>
      <c r="R899" s="247" t="str" cm="1">
        <f t="array" ref="R899">IF($K899&gt;0, INDEX(Clean,1+AH899,$C$1), "")</f>
        <v/>
      </c>
      <c r="S899" s="245"/>
      <c r="T899" s="245"/>
      <c r="U899" s="246"/>
      <c r="V899" s="248">
        <f t="shared" si="787"/>
        <v>0</v>
      </c>
      <c r="W899" s="261"/>
      <c r="X899" s="258"/>
      <c r="Y899" s="240"/>
      <c r="Z899" s="241" t="str">
        <f>IF(ISBLANK(Y899), "", VLOOKUP(Y899, Z!$A$2:$C$4127, 3, FALSE))</f>
        <v/>
      </c>
      <c r="AA899" s="262"/>
      <c r="AB899" s="249">
        <f t="shared" si="785"/>
        <v>0</v>
      </c>
      <c r="AC899" s="210"/>
      <c r="AD899" s="236">
        <f t="shared" si="810"/>
        <v>1</v>
      </c>
      <c r="AE899" s="236">
        <f t="shared" si="811"/>
        <v>1</v>
      </c>
      <c r="AF899" s="236">
        <f t="shared" si="812"/>
        <v>0</v>
      </c>
      <c r="AG899" s="236">
        <v>1</v>
      </c>
      <c r="AH899" s="236">
        <v>0</v>
      </c>
      <c r="AI899" s="236">
        <f t="shared" si="788"/>
        <v>-100</v>
      </c>
      <c r="AJ899" s="210"/>
      <c r="AK899" s="254"/>
      <c r="AL899" s="254"/>
      <c r="AM899" s="255"/>
      <c r="AN899" s="255"/>
      <c r="AO899" s="255"/>
      <c r="AP899" s="255"/>
      <c r="AQ899" s="255"/>
      <c r="AR899" s="255"/>
      <c r="AS899" s="255"/>
      <c r="AT899" s="255"/>
      <c r="AU899" s="255"/>
      <c r="AV899" s="255"/>
      <c r="AW899" s="255"/>
      <c r="AX899" s="210"/>
      <c r="AY899" s="236" cm="1">
        <f t="array" ref="AY899">INDEX(Use, $AD899, 4)</f>
        <v>7</v>
      </c>
      <c r="AZ899" s="236">
        <f t="shared" si="789"/>
        <v>32</v>
      </c>
      <c r="BA899" s="236">
        <f t="shared" si="777"/>
        <v>13</v>
      </c>
      <c r="BB899" s="236">
        <f t="shared" si="778"/>
        <v>0</v>
      </c>
      <c r="BC899" s="252" cm="1">
        <f t="array" ref="BC899">K899/IF($L899&gt;0, INDEX($AO$23:$AU$77, $L899+20, $AD899), 1)</f>
        <v>0</v>
      </c>
      <c r="BD899" s="237">
        <f t="shared" si="790"/>
        <v>0</v>
      </c>
      <c r="BE899" s="236">
        <v>35</v>
      </c>
      <c r="BF899" s="237">
        <f t="shared" si="791"/>
        <v>52.55</v>
      </c>
      <c r="BG899" s="253">
        <f t="shared" si="792"/>
        <v>2.7676728869374316</v>
      </c>
      <c r="BH899" s="253" cm="1">
        <f t="array" ref="BH899">$BC899 * SUMPRODUCT(INDEX($AL$77:$AN$82,,$AE899),INDEX($AO$77:$AU$82,,$AD899), N($AK$77:$AK$82&gt;$AI899)) / BG899 / 1000</f>
        <v>0</v>
      </c>
      <c r="BI899" s="250">
        <f t="shared" si="779"/>
        <v>30</v>
      </c>
      <c r="BJ899" s="237">
        <f t="shared" si="793"/>
        <v>46.033333333333331</v>
      </c>
      <c r="BK899" s="253">
        <f t="shared" si="794"/>
        <v>3.2297395388556791</v>
      </c>
      <c r="BL899" s="253" cm="1">
        <f t="array" ref="BL899">$BC899 * IF($AD899&lt;=2,
SUMPRODUCT(INDEX($AL$72:$AN$76,,$AE899), INDEX($AO$72:$AU$76,,$AD899), 1 / ($AV$72:$AV$76*BK899 + (1-$AV$72:$AV$76)*BG899), N($AK$72:$AK$76&gt;$AI899)),
SUMPRODUCT(INDEX($AL$67:$AN$76,,$AE899), INDEX($AO$67:$AU$76,,$AD899), 1 / ($AW$67:$AW$76*BK899 + (1-$AW$67:$AW$76)*BG899), N($AK$67:$AK$76&gt;$AI899))
) / 1000</f>
        <v>0</v>
      </c>
      <c r="BM899" s="250">
        <f t="shared" si="780"/>
        <v>25</v>
      </c>
      <c r="BN899" s="237">
        <f t="shared" si="795"/>
        <v>39.516666666666666</v>
      </c>
      <c r="BO899" s="253">
        <f t="shared" si="796"/>
        <v>3.877011788826243</v>
      </c>
      <c r="BP899" s="253" cm="1">
        <f t="array" ref="BP899">$BC899 * IF($AD899&lt;=2,
SUMPRODUCT(INDEX($AL$67:$AN$71,,$AE899), INDEX($AO$67:$AU$71,,$AD899), 1 / ($AV$67:$AV$71*BO899 + (1-$AV$67:$AV$71)*BK899), N($AK$67:$AK$71&gt;$AI899)),
SUMPRODUCT(INDEX($AL$57:$AN$66,,$AE899), INDEX($AO$57:$AU$66,,$AD899), 1 / ($AW$57:$AW$66*BO899 + (1-$AW$57:$AW$66)*BK899), N($AK$57:$AK$66&gt;$AI899))
) / 1000</f>
        <v>0</v>
      </c>
      <c r="BQ899" s="250">
        <f t="shared" si="781"/>
        <v>20</v>
      </c>
      <c r="BR899" s="237">
        <f t="shared" si="797"/>
        <v>33</v>
      </c>
      <c r="BS899" s="253">
        <f t="shared" si="798"/>
        <v>4.8487499999999999</v>
      </c>
      <c r="BT899" s="253" cm="1">
        <f t="array" ref="BT899">$BC899 * IF($AD899&lt;=2,
SUMPRODUCT(INDEX($AL$62:$AN$66,,$AE899), INDEX($AO$62:$AU$66,,$AD899), 1 / ($AV$62:$AV$66*BS899 + (1-$AV$62:$AV$66)*BO899), N($AK$62:$AK$66&gt;$AI899)),
SUMPRODUCT(INDEX($AL$47:$AN$56,,$AE899), INDEX($AO$47:$AU$56,,$AD899), 1 / ($AW$47:$AW$56*BS899 + (1-$AW$47:$AW$56)*BO899), N($AK$47:$AK$56&gt;$AI899))
) / 1000</f>
        <v>0</v>
      </c>
      <c r="BU899" s="253" cm="1">
        <f t="array" ref="BU899">$BC899 * IF($AD899&lt;=2,
SUMPRODUCT(INDEX($AL$23:$AN$61,,$AE899), INDEX($AO$23:$AU$61,,$AD899), 1 / ($AV$23:$AV$61*BS899), N($AK$23:$AK$61&gt;$AI899)),
SUMPRODUCT(INDEX($AL$23:$AN$46,,$AE899), INDEX($AO$23:$AU$46,,$AD899), 1 / ($AW$23:$AW$46*BS899), N($AK$23:$AK$46&gt;$AI899))
) / 1000</f>
        <v>0</v>
      </c>
      <c r="BV899" s="237">
        <f t="shared" si="799"/>
        <v>0</v>
      </c>
      <c r="BW899" s="210"/>
      <c r="BX899" s="237">
        <f t="shared" si="800"/>
        <v>0</v>
      </c>
      <c r="BY899" s="236">
        <v>35</v>
      </c>
      <c r="BZ899" s="237">
        <f t="shared" si="801"/>
        <v>48</v>
      </c>
      <c r="CA899" s="253">
        <f t="shared" si="802"/>
        <v>3.0748170731707316</v>
      </c>
      <c r="CB899" s="253" cm="1">
        <f t="array" ref="CB899">$BC899 * SUMPRODUCT(INDEX($AL$77:$AN$82,,$AE899),INDEX($AO$77:$AU$82,,$AD899), N($AK$77:$AK$82&gt;$AI899)) / CA899 / 1000</f>
        <v>0</v>
      </c>
      <c r="CC899" s="250">
        <f t="shared" si="782"/>
        <v>30</v>
      </c>
      <c r="CD899" s="237">
        <f t="shared" si="803"/>
        <v>43</v>
      </c>
      <c r="CE899" s="253">
        <f t="shared" si="804"/>
        <v>3.5018750000000001</v>
      </c>
      <c r="CF899" s="253" cm="1">
        <f t="array" ref="CF899">$BC899 * IF($AD899&lt;=2,
SUMPRODUCT(INDEX($AL$72:$AN$76,,$AE899), INDEX($AO$72:$AU$76,,$AD899), 1 / ($AV$72:$AV$76*CE899 + (1-$AV$72:$AV$76)*CA899), N($AK$72:$AK$76&gt;$AI899)),
SUMPRODUCT(INDEX($AL$67:$AN$76,,$AE899), INDEX($AO$67:$AU$76,,$AD899), 1 / ($AW$67:$AW$76*CE899 + (1-$AW$67:$AW$76)*CA899), N($AK$67:$AK$76&gt;$AI899))
) / 1000</f>
        <v>0</v>
      </c>
      <c r="CG899" s="250">
        <f t="shared" si="783"/>
        <v>25</v>
      </c>
      <c r="CH899" s="237">
        <f t="shared" si="805"/>
        <v>38</v>
      </c>
      <c r="CI899" s="253">
        <f t="shared" si="806"/>
        <v>4.0666935483870965</v>
      </c>
      <c r="CJ899" s="253" cm="1">
        <f t="array" ref="CJ899">$BC899 * IF($AD899&lt;=2,
SUMPRODUCT(INDEX($AL$67:$AN$71,,$AE899), INDEX($AO$67:$AU$71,,$AD899), 1 / ($AV$67:$AV$71*CI899 + (1-$AV$67:$AV$71)*CE899), N($AK$67:$AK$71&gt;$AI899)),
SUMPRODUCT(INDEX($AL$57:$AN$66,,$AE899), INDEX($AO$57:$AU$66,,$AD899), 1 / ($AW$57:$AW$66*CI899 + (1-$AW$57:$AW$66)*CE899), N($AK$57:$AK$66&gt;$AI899))
) / 1000</f>
        <v>0</v>
      </c>
      <c r="CK899" s="250">
        <f t="shared" si="784"/>
        <v>20</v>
      </c>
      <c r="CL899" s="237">
        <f t="shared" si="807"/>
        <v>33</v>
      </c>
      <c r="CM899" s="253">
        <f t="shared" si="808"/>
        <v>4.8487499999999999</v>
      </c>
      <c r="CN899" s="253" cm="1">
        <f t="array" ref="CN899">$BC899 * IF($AD899&lt;=2,
SUMPRODUCT(INDEX($AL$62:$AN$66,,$AE899), INDEX($AO$62:$AU$66,,$AD899), 1 / ($AV$62:$AV$66*CM899 + (1-$AV$62:$AV$66)*CI899), N($AK$62:$AK$66&gt;$AI899)),
SUMPRODUCT(INDEX($AL$47:$AN$56,,$AE899), INDEX($AO$47:$AU$56,,$AD899), 1 / ($AW$47:$AW$56*CM899 + (1-$AW$47:$AW$56)*CI899), N($AK$47:$AK$56&gt;$AI899))
) / 1000</f>
        <v>0</v>
      </c>
      <c r="CO899" s="253" cm="1">
        <f t="array" ref="CO899">$BC899 * IF($AD899&lt;=2,
SUMPRODUCT(INDEX($AL$23:$AN$61,,$AE899), INDEX($AO$23:$AU$61,,$AD899), 1 / ($AV$23:$AV$61*CM899), N($AK$23:$AK$61&gt;$AI899)),
SUMPRODUCT(INDEX($AL$23:$AN$46,,$AE899), INDEX($AO$23:$AU$46,,$AD899), 1 / ($AW$23:$AW$46*CM899), N($AK$23:$AK$46&gt;$AI899))
) / 1000</f>
        <v>0</v>
      </c>
      <c r="CP899" s="237">
        <f t="shared" si="809"/>
        <v>0</v>
      </c>
      <c r="CQ899" s="210"/>
    </row>
    <row r="900" spans="1:95" s="76" customFormat="1" ht="14.25" customHeight="1" x14ac:dyDescent="0.2">
      <c r="A900" s="238" t="b">
        <f t="shared" si="776"/>
        <v>0</v>
      </c>
      <c r="B900" s="239">
        <v>878</v>
      </c>
      <c r="C900" s="258"/>
      <c r="D900" s="258"/>
      <c r="E900" s="240"/>
      <c r="F900" s="241" t="str">
        <f>IF(ISBLANK(E900), "", VLOOKUP(E900, Z!$A$2:$C$4127, 3, FALSE))</f>
        <v/>
      </c>
      <c r="G900" s="242"/>
      <c r="H900" s="242"/>
      <c r="I900" s="243"/>
      <c r="J900" s="244"/>
      <c r="K900" s="259"/>
      <c r="L900" s="260"/>
      <c r="M900" s="247" t="str" cm="1">
        <f t="array" ref="M900">IF($K900&gt;0, INDEX(Clean,1+AG900,$C$1), "")</f>
        <v/>
      </c>
      <c r="N900" s="245"/>
      <c r="O900" s="245"/>
      <c r="P900" s="246"/>
      <c r="Q900" s="248">
        <f t="shared" si="786"/>
        <v>0</v>
      </c>
      <c r="R900" s="247" t="str" cm="1">
        <f t="array" ref="R900">IF($K900&gt;0, INDEX(Clean,1+AH900,$C$1), "")</f>
        <v/>
      </c>
      <c r="S900" s="245"/>
      <c r="T900" s="245"/>
      <c r="U900" s="246"/>
      <c r="V900" s="248">
        <f t="shared" si="787"/>
        <v>0</v>
      </c>
      <c r="W900" s="261"/>
      <c r="X900" s="258"/>
      <c r="Y900" s="240"/>
      <c r="Z900" s="241" t="str">
        <f>IF(ISBLANK(Y900), "", VLOOKUP(Y900, Z!$A$2:$C$4127, 3, FALSE))</f>
        <v/>
      </c>
      <c r="AA900" s="262"/>
      <c r="AB900" s="249">
        <f t="shared" si="785"/>
        <v>0</v>
      </c>
      <c r="AC900" s="210"/>
      <c r="AD900" s="236">
        <f t="shared" si="810"/>
        <v>1</v>
      </c>
      <c r="AE900" s="236">
        <f t="shared" si="811"/>
        <v>1</v>
      </c>
      <c r="AF900" s="236">
        <f t="shared" si="812"/>
        <v>0</v>
      </c>
      <c r="AG900" s="236">
        <v>1</v>
      </c>
      <c r="AH900" s="236">
        <v>0</v>
      </c>
      <c r="AI900" s="236">
        <f t="shared" si="788"/>
        <v>-100</v>
      </c>
      <c r="AJ900" s="210"/>
      <c r="AK900" s="254"/>
      <c r="AL900" s="254"/>
      <c r="AM900" s="255"/>
      <c r="AN900" s="255"/>
      <c r="AO900" s="255"/>
      <c r="AP900" s="255"/>
      <c r="AQ900" s="255"/>
      <c r="AR900" s="255"/>
      <c r="AS900" s="255"/>
      <c r="AT900" s="255"/>
      <c r="AU900" s="255"/>
      <c r="AV900" s="255"/>
      <c r="AW900" s="255"/>
      <c r="AX900" s="210"/>
      <c r="AY900" s="236" cm="1">
        <f t="array" ref="AY900">INDEX(Use, $AD900, 4)</f>
        <v>7</v>
      </c>
      <c r="AZ900" s="236">
        <f t="shared" si="789"/>
        <v>32</v>
      </c>
      <c r="BA900" s="236">
        <f t="shared" si="777"/>
        <v>13</v>
      </c>
      <c r="BB900" s="236">
        <f t="shared" si="778"/>
        <v>0</v>
      </c>
      <c r="BC900" s="252" cm="1">
        <f t="array" ref="BC900">K900/IF($L900&gt;0, INDEX($AO$23:$AU$77, $L900+20, $AD900), 1)</f>
        <v>0</v>
      </c>
      <c r="BD900" s="237">
        <f t="shared" si="790"/>
        <v>0</v>
      </c>
      <c r="BE900" s="236">
        <v>35</v>
      </c>
      <c r="BF900" s="237">
        <f t="shared" si="791"/>
        <v>52.55</v>
      </c>
      <c r="BG900" s="253">
        <f t="shared" si="792"/>
        <v>2.7676728869374316</v>
      </c>
      <c r="BH900" s="253" cm="1">
        <f t="array" ref="BH900">$BC900 * SUMPRODUCT(INDEX($AL$77:$AN$82,,$AE900),INDEX($AO$77:$AU$82,,$AD900), N($AK$77:$AK$82&gt;$AI900)) / BG900 / 1000</f>
        <v>0</v>
      </c>
      <c r="BI900" s="250">
        <f t="shared" si="779"/>
        <v>30</v>
      </c>
      <c r="BJ900" s="237">
        <f t="shared" si="793"/>
        <v>46.033333333333331</v>
      </c>
      <c r="BK900" s="253">
        <f t="shared" si="794"/>
        <v>3.2297395388556791</v>
      </c>
      <c r="BL900" s="253" cm="1">
        <f t="array" ref="BL900">$BC900 * IF($AD900&lt;=2,
SUMPRODUCT(INDEX($AL$72:$AN$76,,$AE900), INDEX($AO$72:$AU$76,,$AD900), 1 / ($AV$72:$AV$76*BK900 + (1-$AV$72:$AV$76)*BG900), N($AK$72:$AK$76&gt;$AI900)),
SUMPRODUCT(INDEX($AL$67:$AN$76,,$AE900), INDEX($AO$67:$AU$76,,$AD900), 1 / ($AW$67:$AW$76*BK900 + (1-$AW$67:$AW$76)*BG900), N($AK$67:$AK$76&gt;$AI900))
) / 1000</f>
        <v>0</v>
      </c>
      <c r="BM900" s="250">
        <f t="shared" si="780"/>
        <v>25</v>
      </c>
      <c r="BN900" s="237">
        <f t="shared" si="795"/>
        <v>39.516666666666666</v>
      </c>
      <c r="BO900" s="253">
        <f t="shared" si="796"/>
        <v>3.877011788826243</v>
      </c>
      <c r="BP900" s="253" cm="1">
        <f t="array" ref="BP900">$BC900 * IF($AD900&lt;=2,
SUMPRODUCT(INDEX($AL$67:$AN$71,,$AE900), INDEX($AO$67:$AU$71,,$AD900), 1 / ($AV$67:$AV$71*BO900 + (1-$AV$67:$AV$71)*BK900), N($AK$67:$AK$71&gt;$AI900)),
SUMPRODUCT(INDEX($AL$57:$AN$66,,$AE900), INDEX($AO$57:$AU$66,,$AD900), 1 / ($AW$57:$AW$66*BO900 + (1-$AW$57:$AW$66)*BK900), N($AK$57:$AK$66&gt;$AI900))
) / 1000</f>
        <v>0</v>
      </c>
      <c r="BQ900" s="250">
        <f t="shared" si="781"/>
        <v>20</v>
      </c>
      <c r="BR900" s="237">
        <f t="shared" si="797"/>
        <v>33</v>
      </c>
      <c r="BS900" s="253">
        <f t="shared" si="798"/>
        <v>4.8487499999999999</v>
      </c>
      <c r="BT900" s="253" cm="1">
        <f t="array" ref="BT900">$BC900 * IF($AD900&lt;=2,
SUMPRODUCT(INDEX($AL$62:$AN$66,,$AE900), INDEX($AO$62:$AU$66,,$AD900), 1 / ($AV$62:$AV$66*BS900 + (1-$AV$62:$AV$66)*BO900), N($AK$62:$AK$66&gt;$AI900)),
SUMPRODUCT(INDEX($AL$47:$AN$56,,$AE900), INDEX($AO$47:$AU$56,,$AD900), 1 / ($AW$47:$AW$56*BS900 + (1-$AW$47:$AW$56)*BO900), N($AK$47:$AK$56&gt;$AI900))
) / 1000</f>
        <v>0</v>
      </c>
      <c r="BU900" s="253" cm="1">
        <f t="array" ref="BU900">$BC900 * IF($AD900&lt;=2,
SUMPRODUCT(INDEX($AL$23:$AN$61,,$AE900), INDEX($AO$23:$AU$61,,$AD900), 1 / ($AV$23:$AV$61*BS900), N($AK$23:$AK$61&gt;$AI900)),
SUMPRODUCT(INDEX($AL$23:$AN$46,,$AE900), INDEX($AO$23:$AU$46,,$AD900), 1 / ($AW$23:$AW$46*BS900), N($AK$23:$AK$46&gt;$AI900))
) / 1000</f>
        <v>0</v>
      </c>
      <c r="BV900" s="237">
        <f t="shared" si="799"/>
        <v>0</v>
      </c>
      <c r="BW900" s="210"/>
      <c r="BX900" s="237">
        <f t="shared" si="800"/>
        <v>0</v>
      </c>
      <c r="BY900" s="236">
        <v>35</v>
      </c>
      <c r="BZ900" s="237">
        <f t="shared" si="801"/>
        <v>48</v>
      </c>
      <c r="CA900" s="253">
        <f t="shared" si="802"/>
        <v>3.0748170731707316</v>
      </c>
      <c r="CB900" s="253" cm="1">
        <f t="array" ref="CB900">$BC900 * SUMPRODUCT(INDEX($AL$77:$AN$82,,$AE900),INDEX($AO$77:$AU$82,,$AD900), N($AK$77:$AK$82&gt;$AI900)) / CA900 / 1000</f>
        <v>0</v>
      </c>
      <c r="CC900" s="250">
        <f t="shared" si="782"/>
        <v>30</v>
      </c>
      <c r="CD900" s="237">
        <f t="shared" si="803"/>
        <v>43</v>
      </c>
      <c r="CE900" s="253">
        <f t="shared" si="804"/>
        <v>3.5018750000000001</v>
      </c>
      <c r="CF900" s="253" cm="1">
        <f t="array" ref="CF900">$BC900 * IF($AD900&lt;=2,
SUMPRODUCT(INDEX($AL$72:$AN$76,,$AE900), INDEX($AO$72:$AU$76,,$AD900), 1 / ($AV$72:$AV$76*CE900 + (1-$AV$72:$AV$76)*CA900), N($AK$72:$AK$76&gt;$AI900)),
SUMPRODUCT(INDEX($AL$67:$AN$76,,$AE900), INDEX($AO$67:$AU$76,,$AD900), 1 / ($AW$67:$AW$76*CE900 + (1-$AW$67:$AW$76)*CA900), N($AK$67:$AK$76&gt;$AI900))
) / 1000</f>
        <v>0</v>
      </c>
      <c r="CG900" s="250">
        <f t="shared" si="783"/>
        <v>25</v>
      </c>
      <c r="CH900" s="237">
        <f t="shared" si="805"/>
        <v>38</v>
      </c>
      <c r="CI900" s="253">
        <f t="shared" si="806"/>
        <v>4.0666935483870965</v>
      </c>
      <c r="CJ900" s="253" cm="1">
        <f t="array" ref="CJ900">$BC900 * IF($AD900&lt;=2,
SUMPRODUCT(INDEX($AL$67:$AN$71,,$AE900), INDEX($AO$67:$AU$71,,$AD900), 1 / ($AV$67:$AV$71*CI900 + (1-$AV$67:$AV$71)*CE900), N($AK$67:$AK$71&gt;$AI900)),
SUMPRODUCT(INDEX($AL$57:$AN$66,,$AE900), INDEX($AO$57:$AU$66,,$AD900), 1 / ($AW$57:$AW$66*CI900 + (1-$AW$57:$AW$66)*CE900), N($AK$57:$AK$66&gt;$AI900))
) / 1000</f>
        <v>0</v>
      </c>
      <c r="CK900" s="250">
        <f t="shared" si="784"/>
        <v>20</v>
      </c>
      <c r="CL900" s="237">
        <f t="shared" si="807"/>
        <v>33</v>
      </c>
      <c r="CM900" s="253">
        <f t="shared" si="808"/>
        <v>4.8487499999999999</v>
      </c>
      <c r="CN900" s="253" cm="1">
        <f t="array" ref="CN900">$BC900 * IF($AD900&lt;=2,
SUMPRODUCT(INDEX($AL$62:$AN$66,,$AE900), INDEX($AO$62:$AU$66,,$AD900), 1 / ($AV$62:$AV$66*CM900 + (1-$AV$62:$AV$66)*CI900), N($AK$62:$AK$66&gt;$AI900)),
SUMPRODUCT(INDEX($AL$47:$AN$56,,$AE900), INDEX($AO$47:$AU$56,,$AD900), 1 / ($AW$47:$AW$56*CM900 + (1-$AW$47:$AW$56)*CI900), N($AK$47:$AK$56&gt;$AI900))
) / 1000</f>
        <v>0</v>
      </c>
      <c r="CO900" s="253" cm="1">
        <f t="array" ref="CO900">$BC900 * IF($AD900&lt;=2,
SUMPRODUCT(INDEX($AL$23:$AN$61,,$AE900), INDEX($AO$23:$AU$61,,$AD900), 1 / ($AV$23:$AV$61*CM900), N($AK$23:$AK$61&gt;$AI900)),
SUMPRODUCT(INDEX($AL$23:$AN$46,,$AE900), INDEX($AO$23:$AU$46,,$AD900), 1 / ($AW$23:$AW$46*CM900), N($AK$23:$AK$46&gt;$AI900))
) / 1000</f>
        <v>0</v>
      </c>
      <c r="CP900" s="237">
        <f t="shared" si="809"/>
        <v>0</v>
      </c>
      <c r="CQ900" s="210"/>
    </row>
    <row r="901" spans="1:95" s="76" customFormat="1" ht="14.25" customHeight="1" x14ac:dyDescent="0.2">
      <c r="A901" s="238" t="b">
        <f t="shared" si="776"/>
        <v>0</v>
      </c>
      <c r="B901" s="239">
        <v>879</v>
      </c>
      <c r="C901" s="258"/>
      <c r="D901" s="258"/>
      <c r="E901" s="240"/>
      <c r="F901" s="241" t="str">
        <f>IF(ISBLANK(E901), "", VLOOKUP(E901, Z!$A$2:$C$4127, 3, FALSE))</f>
        <v/>
      </c>
      <c r="G901" s="242"/>
      <c r="H901" s="242"/>
      <c r="I901" s="243"/>
      <c r="J901" s="244"/>
      <c r="K901" s="259"/>
      <c r="L901" s="260"/>
      <c r="M901" s="247" t="str" cm="1">
        <f t="array" ref="M901">IF($K901&gt;0, INDEX(Clean,1+AG901,$C$1), "")</f>
        <v/>
      </c>
      <c r="N901" s="245"/>
      <c r="O901" s="245"/>
      <c r="P901" s="246"/>
      <c r="Q901" s="248">
        <f t="shared" si="786"/>
        <v>0</v>
      </c>
      <c r="R901" s="247" t="str" cm="1">
        <f t="array" ref="R901">IF($K901&gt;0, INDEX(Clean,1+AH901,$C$1), "")</f>
        <v/>
      </c>
      <c r="S901" s="245"/>
      <c r="T901" s="245"/>
      <c r="U901" s="246"/>
      <c r="V901" s="248">
        <f t="shared" si="787"/>
        <v>0</v>
      </c>
      <c r="W901" s="261"/>
      <c r="X901" s="258"/>
      <c r="Y901" s="240"/>
      <c r="Z901" s="241" t="str">
        <f>IF(ISBLANK(Y901), "", VLOOKUP(Y901, Z!$A$2:$C$4127, 3, FALSE))</f>
        <v/>
      </c>
      <c r="AA901" s="262"/>
      <c r="AB901" s="249">
        <f t="shared" si="785"/>
        <v>0</v>
      </c>
      <c r="AC901" s="210"/>
      <c r="AD901" s="236">
        <f t="shared" si="810"/>
        <v>1</v>
      </c>
      <c r="AE901" s="236">
        <f t="shared" si="811"/>
        <v>1</v>
      </c>
      <c r="AF901" s="236">
        <f t="shared" si="812"/>
        <v>0</v>
      </c>
      <c r="AG901" s="236">
        <v>1</v>
      </c>
      <c r="AH901" s="236">
        <v>0</v>
      </c>
      <c r="AI901" s="236">
        <f t="shared" si="788"/>
        <v>-100</v>
      </c>
      <c r="AJ901" s="210"/>
      <c r="AK901" s="254"/>
      <c r="AL901" s="254"/>
      <c r="AM901" s="255"/>
      <c r="AN901" s="255"/>
      <c r="AO901" s="255"/>
      <c r="AP901" s="255"/>
      <c r="AQ901" s="255"/>
      <c r="AR901" s="255"/>
      <c r="AS901" s="255"/>
      <c r="AT901" s="255"/>
      <c r="AU901" s="255"/>
      <c r="AV901" s="255"/>
      <c r="AW901" s="255"/>
      <c r="AX901" s="210"/>
      <c r="AY901" s="236" cm="1">
        <f t="array" ref="AY901">INDEX(Use, $AD901, 4)</f>
        <v>7</v>
      </c>
      <c r="AZ901" s="236">
        <f t="shared" si="789"/>
        <v>32</v>
      </c>
      <c r="BA901" s="236">
        <f t="shared" si="777"/>
        <v>13</v>
      </c>
      <c r="BB901" s="236">
        <f t="shared" si="778"/>
        <v>0</v>
      </c>
      <c r="BC901" s="252" cm="1">
        <f t="array" ref="BC901">K901/IF($L901&gt;0, INDEX($AO$23:$AU$77, $L901+20, $AD901), 1)</f>
        <v>0</v>
      </c>
      <c r="BD901" s="237">
        <f t="shared" si="790"/>
        <v>0</v>
      </c>
      <c r="BE901" s="236">
        <v>35</v>
      </c>
      <c r="BF901" s="237">
        <f t="shared" si="791"/>
        <v>52.55</v>
      </c>
      <c r="BG901" s="253">
        <f t="shared" si="792"/>
        <v>2.7676728869374316</v>
      </c>
      <c r="BH901" s="253" cm="1">
        <f t="array" ref="BH901">$BC901 * SUMPRODUCT(INDEX($AL$77:$AN$82,,$AE901),INDEX($AO$77:$AU$82,,$AD901), N($AK$77:$AK$82&gt;$AI901)) / BG901 / 1000</f>
        <v>0</v>
      </c>
      <c r="BI901" s="250">
        <f t="shared" si="779"/>
        <v>30</v>
      </c>
      <c r="BJ901" s="237">
        <f t="shared" si="793"/>
        <v>46.033333333333331</v>
      </c>
      <c r="BK901" s="253">
        <f t="shared" si="794"/>
        <v>3.2297395388556791</v>
      </c>
      <c r="BL901" s="253" cm="1">
        <f t="array" ref="BL901">$BC901 * IF($AD901&lt;=2,
SUMPRODUCT(INDEX($AL$72:$AN$76,,$AE901), INDEX($AO$72:$AU$76,,$AD901), 1 / ($AV$72:$AV$76*BK901 + (1-$AV$72:$AV$76)*BG901), N($AK$72:$AK$76&gt;$AI901)),
SUMPRODUCT(INDEX($AL$67:$AN$76,,$AE901), INDEX($AO$67:$AU$76,,$AD901), 1 / ($AW$67:$AW$76*BK901 + (1-$AW$67:$AW$76)*BG901), N($AK$67:$AK$76&gt;$AI901))
) / 1000</f>
        <v>0</v>
      </c>
      <c r="BM901" s="250">
        <f t="shared" si="780"/>
        <v>25</v>
      </c>
      <c r="BN901" s="237">
        <f t="shared" si="795"/>
        <v>39.516666666666666</v>
      </c>
      <c r="BO901" s="253">
        <f t="shared" si="796"/>
        <v>3.877011788826243</v>
      </c>
      <c r="BP901" s="253" cm="1">
        <f t="array" ref="BP901">$BC901 * IF($AD901&lt;=2,
SUMPRODUCT(INDEX($AL$67:$AN$71,,$AE901), INDEX($AO$67:$AU$71,,$AD901), 1 / ($AV$67:$AV$71*BO901 + (1-$AV$67:$AV$71)*BK901), N($AK$67:$AK$71&gt;$AI901)),
SUMPRODUCT(INDEX($AL$57:$AN$66,,$AE901), INDEX($AO$57:$AU$66,,$AD901), 1 / ($AW$57:$AW$66*BO901 + (1-$AW$57:$AW$66)*BK901), N($AK$57:$AK$66&gt;$AI901))
) / 1000</f>
        <v>0</v>
      </c>
      <c r="BQ901" s="250">
        <f t="shared" si="781"/>
        <v>20</v>
      </c>
      <c r="BR901" s="237">
        <f t="shared" si="797"/>
        <v>33</v>
      </c>
      <c r="BS901" s="253">
        <f t="shared" si="798"/>
        <v>4.8487499999999999</v>
      </c>
      <c r="BT901" s="253" cm="1">
        <f t="array" ref="BT901">$BC901 * IF($AD901&lt;=2,
SUMPRODUCT(INDEX($AL$62:$AN$66,,$AE901), INDEX($AO$62:$AU$66,,$AD901), 1 / ($AV$62:$AV$66*BS901 + (1-$AV$62:$AV$66)*BO901), N($AK$62:$AK$66&gt;$AI901)),
SUMPRODUCT(INDEX($AL$47:$AN$56,,$AE901), INDEX($AO$47:$AU$56,,$AD901), 1 / ($AW$47:$AW$56*BS901 + (1-$AW$47:$AW$56)*BO901), N($AK$47:$AK$56&gt;$AI901))
) / 1000</f>
        <v>0</v>
      </c>
      <c r="BU901" s="253" cm="1">
        <f t="array" ref="BU901">$BC901 * IF($AD901&lt;=2,
SUMPRODUCT(INDEX($AL$23:$AN$61,,$AE901), INDEX($AO$23:$AU$61,,$AD901), 1 / ($AV$23:$AV$61*BS901), N($AK$23:$AK$61&gt;$AI901)),
SUMPRODUCT(INDEX($AL$23:$AN$46,,$AE901), INDEX($AO$23:$AU$46,,$AD901), 1 / ($AW$23:$AW$46*BS901), N($AK$23:$AK$46&gt;$AI901))
) / 1000</f>
        <v>0</v>
      </c>
      <c r="BV901" s="237">
        <f t="shared" si="799"/>
        <v>0</v>
      </c>
      <c r="BW901" s="210"/>
      <c r="BX901" s="237">
        <f t="shared" si="800"/>
        <v>0</v>
      </c>
      <c r="BY901" s="236">
        <v>35</v>
      </c>
      <c r="BZ901" s="237">
        <f t="shared" si="801"/>
        <v>48</v>
      </c>
      <c r="CA901" s="253">
        <f t="shared" si="802"/>
        <v>3.0748170731707316</v>
      </c>
      <c r="CB901" s="253" cm="1">
        <f t="array" ref="CB901">$BC901 * SUMPRODUCT(INDEX($AL$77:$AN$82,,$AE901),INDEX($AO$77:$AU$82,,$AD901), N($AK$77:$AK$82&gt;$AI901)) / CA901 / 1000</f>
        <v>0</v>
      </c>
      <c r="CC901" s="250">
        <f t="shared" si="782"/>
        <v>30</v>
      </c>
      <c r="CD901" s="237">
        <f t="shared" si="803"/>
        <v>43</v>
      </c>
      <c r="CE901" s="253">
        <f t="shared" si="804"/>
        <v>3.5018750000000001</v>
      </c>
      <c r="CF901" s="253" cm="1">
        <f t="array" ref="CF901">$BC901 * IF($AD901&lt;=2,
SUMPRODUCT(INDEX($AL$72:$AN$76,,$AE901), INDEX($AO$72:$AU$76,,$AD901), 1 / ($AV$72:$AV$76*CE901 + (1-$AV$72:$AV$76)*CA901), N($AK$72:$AK$76&gt;$AI901)),
SUMPRODUCT(INDEX($AL$67:$AN$76,,$AE901), INDEX($AO$67:$AU$76,,$AD901), 1 / ($AW$67:$AW$76*CE901 + (1-$AW$67:$AW$76)*CA901), N($AK$67:$AK$76&gt;$AI901))
) / 1000</f>
        <v>0</v>
      </c>
      <c r="CG901" s="250">
        <f t="shared" si="783"/>
        <v>25</v>
      </c>
      <c r="CH901" s="237">
        <f t="shared" si="805"/>
        <v>38</v>
      </c>
      <c r="CI901" s="253">
        <f t="shared" si="806"/>
        <v>4.0666935483870965</v>
      </c>
      <c r="CJ901" s="253" cm="1">
        <f t="array" ref="CJ901">$BC901 * IF($AD901&lt;=2,
SUMPRODUCT(INDEX($AL$67:$AN$71,,$AE901), INDEX($AO$67:$AU$71,,$AD901), 1 / ($AV$67:$AV$71*CI901 + (1-$AV$67:$AV$71)*CE901), N($AK$67:$AK$71&gt;$AI901)),
SUMPRODUCT(INDEX($AL$57:$AN$66,,$AE901), INDEX($AO$57:$AU$66,,$AD901), 1 / ($AW$57:$AW$66*CI901 + (1-$AW$57:$AW$66)*CE901), N($AK$57:$AK$66&gt;$AI901))
) / 1000</f>
        <v>0</v>
      </c>
      <c r="CK901" s="250">
        <f t="shared" si="784"/>
        <v>20</v>
      </c>
      <c r="CL901" s="237">
        <f t="shared" si="807"/>
        <v>33</v>
      </c>
      <c r="CM901" s="253">
        <f t="shared" si="808"/>
        <v>4.8487499999999999</v>
      </c>
      <c r="CN901" s="253" cm="1">
        <f t="array" ref="CN901">$BC901 * IF($AD901&lt;=2,
SUMPRODUCT(INDEX($AL$62:$AN$66,,$AE901), INDEX($AO$62:$AU$66,,$AD901), 1 / ($AV$62:$AV$66*CM901 + (1-$AV$62:$AV$66)*CI901), N($AK$62:$AK$66&gt;$AI901)),
SUMPRODUCT(INDEX($AL$47:$AN$56,,$AE901), INDEX($AO$47:$AU$56,,$AD901), 1 / ($AW$47:$AW$56*CM901 + (1-$AW$47:$AW$56)*CI901), N($AK$47:$AK$56&gt;$AI901))
) / 1000</f>
        <v>0</v>
      </c>
      <c r="CO901" s="253" cm="1">
        <f t="array" ref="CO901">$BC901 * IF($AD901&lt;=2,
SUMPRODUCT(INDEX($AL$23:$AN$61,,$AE901), INDEX($AO$23:$AU$61,,$AD901), 1 / ($AV$23:$AV$61*CM901), N($AK$23:$AK$61&gt;$AI901)),
SUMPRODUCT(INDEX($AL$23:$AN$46,,$AE901), INDEX($AO$23:$AU$46,,$AD901), 1 / ($AW$23:$AW$46*CM901), N($AK$23:$AK$46&gt;$AI901))
) / 1000</f>
        <v>0</v>
      </c>
      <c r="CP901" s="237">
        <f t="shared" si="809"/>
        <v>0</v>
      </c>
      <c r="CQ901" s="210"/>
    </row>
    <row r="902" spans="1:95" s="76" customFormat="1" ht="14.25" customHeight="1" x14ac:dyDescent="0.2">
      <c r="A902" s="238" t="b">
        <f t="shared" si="776"/>
        <v>0</v>
      </c>
      <c r="B902" s="239">
        <v>880</v>
      </c>
      <c r="C902" s="258"/>
      <c r="D902" s="258"/>
      <c r="E902" s="240"/>
      <c r="F902" s="241" t="str">
        <f>IF(ISBLANK(E902), "", VLOOKUP(E902, Z!$A$2:$C$4127, 3, FALSE))</f>
        <v/>
      </c>
      <c r="G902" s="242"/>
      <c r="H902" s="242"/>
      <c r="I902" s="243"/>
      <c r="J902" s="244"/>
      <c r="K902" s="259"/>
      <c r="L902" s="260"/>
      <c r="M902" s="247" t="str" cm="1">
        <f t="array" ref="M902">IF($K902&gt;0, INDEX(Clean,1+AG902,$C$1), "")</f>
        <v/>
      </c>
      <c r="N902" s="245"/>
      <c r="O902" s="245"/>
      <c r="P902" s="246"/>
      <c r="Q902" s="248">
        <f t="shared" si="786"/>
        <v>0</v>
      </c>
      <c r="R902" s="247" t="str" cm="1">
        <f t="array" ref="R902">IF($K902&gt;0, INDEX(Clean,1+AH902,$C$1), "")</f>
        <v/>
      </c>
      <c r="S902" s="245"/>
      <c r="T902" s="245"/>
      <c r="U902" s="246"/>
      <c r="V902" s="248">
        <f t="shared" si="787"/>
        <v>0</v>
      </c>
      <c r="W902" s="261"/>
      <c r="X902" s="258"/>
      <c r="Y902" s="240"/>
      <c r="Z902" s="241" t="str">
        <f>IF(ISBLANK(Y902), "", VLOOKUP(Y902, Z!$A$2:$C$4127, 3, FALSE))</f>
        <v/>
      </c>
      <c r="AA902" s="262"/>
      <c r="AB902" s="249">
        <f t="shared" si="785"/>
        <v>0</v>
      </c>
      <c r="AC902" s="210"/>
      <c r="AD902" s="236">
        <f t="shared" si="810"/>
        <v>1</v>
      </c>
      <c r="AE902" s="236">
        <f t="shared" si="811"/>
        <v>1</v>
      </c>
      <c r="AF902" s="236">
        <f t="shared" si="812"/>
        <v>0</v>
      </c>
      <c r="AG902" s="236">
        <v>1</v>
      </c>
      <c r="AH902" s="236">
        <v>0</v>
      </c>
      <c r="AI902" s="236">
        <f t="shared" si="788"/>
        <v>-100</v>
      </c>
      <c r="AJ902" s="210"/>
      <c r="AK902" s="254"/>
      <c r="AL902" s="254"/>
      <c r="AM902" s="255"/>
      <c r="AN902" s="255"/>
      <c r="AO902" s="255"/>
      <c r="AP902" s="255"/>
      <c r="AQ902" s="255"/>
      <c r="AR902" s="255"/>
      <c r="AS902" s="255"/>
      <c r="AT902" s="255"/>
      <c r="AU902" s="255"/>
      <c r="AV902" s="255"/>
      <c r="AW902" s="255"/>
      <c r="AX902" s="210"/>
      <c r="AY902" s="236" cm="1">
        <f t="array" ref="AY902">INDEX(Use, $AD902, 4)</f>
        <v>7</v>
      </c>
      <c r="AZ902" s="236">
        <f t="shared" si="789"/>
        <v>32</v>
      </c>
      <c r="BA902" s="236">
        <f t="shared" si="777"/>
        <v>13</v>
      </c>
      <c r="BB902" s="236">
        <f t="shared" si="778"/>
        <v>0</v>
      </c>
      <c r="BC902" s="252" cm="1">
        <f t="array" ref="BC902">K902/IF($L902&gt;0, INDEX($AO$23:$AU$77, $L902+20, $AD902), 1)</f>
        <v>0</v>
      </c>
      <c r="BD902" s="237">
        <f t="shared" si="790"/>
        <v>0</v>
      </c>
      <c r="BE902" s="236">
        <v>35</v>
      </c>
      <c r="BF902" s="237">
        <f t="shared" si="791"/>
        <v>52.55</v>
      </c>
      <c r="BG902" s="253">
        <f t="shared" si="792"/>
        <v>2.7676728869374316</v>
      </c>
      <c r="BH902" s="253" cm="1">
        <f t="array" ref="BH902">$BC902 * SUMPRODUCT(INDEX($AL$77:$AN$82,,$AE902),INDEX($AO$77:$AU$82,,$AD902), N($AK$77:$AK$82&gt;$AI902)) / BG902 / 1000</f>
        <v>0</v>
      </c>
      <c r="BI902" s="250">
        <f t="shared" si="779"/>
        <v>30</v>
      </c>
      <c r="BJ902" s="237">
        <f t="shared" si="793"/>
        <v>46.033333333333331</v>
      </c>
      <c r="BK902" s="253">
        <f t="shared" si="794"/>
        <v>3.2297395388556791</v>
      </c>
      <c r="BL902" s="253" cm="1">
        <f t="array" ref="BL902">$BC902 * IF($AD902&lt;=2,
SUMPRODUCT(INDEX($AL$72:$AN$76,,$AE902), INDEX($AO$72:$AU$76,,$AD902), 1 / ($AV$72:$AV$76*BK902 + (1-$AV$72:$AV$76)*BG902), N($AK$72:$AK$76&gt;$AI902)),
SUMPRODUCT(INDEX($AL$67:$AN$76,,$AE902), INDEX($AO$67:$AU$76,,$AD902), 1 / ($AW$67:$AW$76*BK902 + (1-$AW$67:$AW$76)*BG902), N($AK$67:$AK$76&gt;$AI902))
) / 1000</f>
        <v>0</v>
      </c>
      <c r="BM902" s="250">
        <f t="shared" si="780"/>
        <v>25</v>
      </c>
      <c r="BN902" s="237">
        <f t="shared" si="795"/>
        <v>39.516666666666666</v>
      </c>
      <c r="BO902" s="253">
        <f t="shared" si="796"/>
        <v>3.877011788826243</v>
      </c>
      <c r="BP902" s="253" cm="1">
        <f t="array" ref="BP902">$BC902 * IF($AD902&lt;=2,
SUMPRODUCT(INDEX($AL$67:$AN$71,,$AE902), INDEX($AO$67:$AU$71,,$AD902), 1 / ($AV$67:$AV$71*BO902 + (1-$AV$67:$AV$71)*BK902), N($AK$67:$AK$71&gt;$AI902)),
SUMPRODUCT(INDEX($AL$57:$AN$66,,$AE902), INDEX($AO$57:$AU$66,,$AD902), 1 / ($AW$57:$AW$66*BO902 + (1-$AW$57:$AW$66)*BK902), N($AK$57:$AK$66&gt;$AI902))
) / 1000</f>
        <v>0</v>
      </c>
      <c r="BQ902" s="250">
        <f t="shared" si="781"/>
        <v>20</v>
      </c>
      <c r="BR902" s="237">
        <f t="shared" si="797"/>
        <v>33</v>
      </c>
      <c r="BS902" s="253">
        <f t="shared" si="798"/>
        <v>4.8487499999999999</v>
      </c>
      <c r="BT902" s="253" cm="1">
        <f t="array" ref="BT902">$BC902 * IF($AD902&lt;=2,
SUMPRODUCT(INDEX($AL$62:$AN$66,,$AE902), INDEX($AO$62:$AU$66,,$AD902), 1 / ($AV$62:$AV$66*BS902 + (1-$AV$62:$AV$66)*BO902), N($AK$62:$AK$66&gt;$AI902)),
SUMPRODUCT(INDEX($AL$47:$AN$56,,$AE902), INDEX($AO$47:$AU$56,,$AD902), 1 / ($AW$47:$AW$56*BS902 + (1-$AW$47:$AW$56)*BO902), N($AK$47:$AK$56&gt;$AI902))
) / 1000</f>
        <v>0</v>
      </c>
      <c r="BU902" s="253" cm="1">
        <f t="array" ref="BU902">$BC902 * IF($AD902&lt;=2,
SUMPRODUCT(INDEX($AL$23:$AN$61,,$AE902), INDEX($AO$23:$AU$61,,$AD902), 1 / ($AV$23:$AV$61*BS902), N($AK$23:$AK$61&gt;$AI902)),
SUMPRODUCT(INDEX($AL$23:$AN$46,,$AE902), INDEX($AO$23:$AU$46,,$AD902), 1 / ($AW$23:$AW$46*BS902), N($AK$23:$AK$46&gt;$AI902))
) / 1000</f>
        <v>0</v>
      </c>
      <c r="BV902" s="237">
        <f t="shared" si="799"/>
        <v>0</v>
      </c>
      <c r="BW902" s="210"/>
      <c r="BX902" s="237">
        <f t="shared" si="800"/>
        <v>0</v>
      </c>
      <c r="BY902" s="236">
        <v>35</v>
      </c>
      <c r="BZ902" s="237">
        <f t="shared" si="801"/>
        <v>48</v>
      </c>
      <c r="CA902" s="253">
        <f t="shared" si="802"/>
        <v>3.0748170731707316</v>
      </c>
      <c r="CB902" s="253" cm="1">
        <f t="array" ref="CB902">$BC902 * SUMPRODUCT(INDEX($AL$77:$AN$82,,$AE902),INDEX($AO$77:$AU$82,,$AD902), N($AK$77:$AK$82&gt;$AI902)) / CA902 / 1000</f>
        <v>0</v>
      </c>
      <c r="CC902" s="250">
        <f t="shared" si="782"/>
        <v>30</v>
      </c>
      <c r="CD902" s="237">
        <f t="shared" si="803"/>
        <v>43</v>
      </c>
      <c r="CE902" s="253">
        <f t="shared" si="804"/>
        <v>3.5018750000000001</v>
      </c>
      <c r="CF902" s="253" cm="1">
        <f t="array" ref="CF902">$BC902 * IF($AD902&lt;=2,
SUMPRODUCT(INDEX($AL$72:$AN$76,,$AE902), INDEX($AO$72:$AU$76,,$AD902), 1 / ($AV$72:$AV$76*CE902 + (1-$AV$72:$AV$76)*CA902), N($AK$72:$AK$76&gt;$AI902)),
SUMPRODUCT(INDEX($AL$67:$AN$76,,$AE902), INDEX($AO$67:$AU$76,,$AD902), 1 / ($AW$67:$AW$76*CE902 + (1-$AW$67:$AW$76)*CA902), N($AK$67:$AK$76&gt;$AI902))
) / 1000</f>
        <v>0</v>
      </c>
      <c r="CG902" s="250">
        <f t="shared" si="783"/>
        <v>25</v>
      </c>
      <c r="CH902" s="237">
        <f t="shared" si="805"/>
        <v>38</v>
      </c>
      <c r="CI902" s="253">
        <f t="shared" si="806"/>
        <v>4.0666935483870965</v>
      </c>
      <c r="CJ902" s="253" cm="1">
        <f t="array" ref="CJ902">$BC902 * IF($AD902&lt;=2,
SUMPRODUCT(INDEX($AL$67:$AN$71,,$AE902), INDEX($AO$67:$AU$71,,$AD902), 1 / ($AV$67:$AV$71*CI902 + (1-$AV$67:$AV$71)*CE902), N($AK$67:$AK$71&gt;$AI902)),
SUMPRODUCT(INDEX($AL$57:$AN$66,,$AE902), INDEX($AO$57:$AU$66,,$AD902), 1 / ($AW$57:$AW$66*CI902 + (1-$AW$57:$AW$66)*CE902), N($AK$57:$AK$66&gt;$AI902))
) / 1000</f>
        <v>0</v>
      </c>
      <c r="CK902" s="250">
        <f t="shared" si="784"/>
        <v>20</v>
      </c>
      <c r="CL902" s="237">
        <f t="shared" si="807"/>
        <v>33</v>
      </c>
      <c r="CM902" s="253">
        <f t="shared" si="808"/>
        <v>4.8487499999999999</v>
      </c>
      <c r="CN902" s="253" cm="1">
        <f t="array" ref="CN902">$BC902 * IF($AD902&lt;=2,
SUMPRODUCT(INDEX($AL$62:$AN$66,,$AE902), INDEX($AO$62:$AU$66,,$AD902), 1 / ($AV$62:$AV$66*CM902 + (1-$AV$62:$AV$66)*CI902), N($AK$62:$AK$66&gt;$AI902)),
SUMPRODUCT(INDEX($AL$47:$AN$56,,$AE902), INDEX($AO$47:$AU$56,,$AD902), 1 / ($AW$47:$AW$56*CM902 + (1-$AW$47:$AW$56)*CI902), N($AK$47:$AK$56&gt;$AI902))
) / 1000</f>
        <v>0</v>
      </c>
      <c r="CO902" s="253" cm="1">
        <f t="array" ref="CO902">$BC902 * IF($AD902&lt;=2,
SUMPRODUCT(INDEX($AL$23:$AN$61,,$AE902), INDEX($AO$23:$AU$61,,$AD902), 1 / ($AV$23:$AV$61*CM902), N($AK$23:$AK$61&gt;$AI902)),
SUMPRODUCT(INDEX($AL$23:$AN$46,,$AE902), INDEX($AO$23:$AU$46,,$AD902), 1 / ($AW$23:$AW$46*CM902), N($AK$23:$AK$46&gt;$AI902))
) / 1000</f>
        <v>0</v>
      </c>
      <c r="CP902" s="237">
        <f t="shared" si="809"/>
        <v>0</v>
      </c>
      <c r="CQ902" s="210"/>
    </row>
    <row r="903" spans="1:95" s="76" customFormat="1" ht="14.25" customHeight="1" x14ac:dyDescent="0.2">
      <c r="A903" s="238" t="b">
        <f t="shared" si="776"/>
        <v>0</v>
      </c>
      <c r="B903" s="239">
        <v>881</v>
      </c>
      <c r="C903" s="258"/>
      <c r="D903" s="258"/>
      <c r="E903" s="240"/>
      <c r="F903" s="241" t="str">
        <f>IF(ISBLANK(E903), "", VLOOKUP(E903, Z!$A$2:$C$4127, 3, FALSE))</f>
        <v/>
      </c>
      <c r="G903" s="242"/>
      <c r="H903" s="242"/>
      <c r="I903" s="243"/>
      <c r="J903" s="244"/>
      <c r="K903" s="259"/>
      <c r="L903" s="260"/>
      <c r="M903" s="247" t="str" cm="1">
        <f t="array" ref="M903">IF($K903&gt;0, INDEX(Clean,1+AG903,$C$1), "")</f>
        <v/>
      </c>
      <c r="N903" s="245"/>
      <c r="O903" s="245"/>
      <c r="P903" s="246"/>
      <c r="Q903" s="248">
        <f t="shared" si="786"/>
        <v>0</v>
      </c>
      <c r="R903" s="247" t="str" cm="1">
        <f t="array" ref="R903">IF($K903&gt;0, INDEX(Clean,1+AH903,$C$1), "")</f>
        <v/>
      </c>
      <c r="S903" s="245"/>
      <c r="T903" s="245"/>
      <c r="U903" s="246"/>
      <c r="V903" s="248">
        <f t="shared" si="787"/>
        <v>0</v>
      </c>
      <c r="W903" s="261"/>
      <c r="X903" s="258"/>
      <c r="Y903" s="240"/>
      <c r="Z903" s="241" t="str">
        <f>IF(ISBLANK(Y903), "", VLOOKUP(Y903, Z!$A$2:$C$4127, 3, FALSE))</f>
        <v/>
      </c>
      <c r="AA903" s="262"/>
      <c r="AB903" s="249">
        <f t="shared" si="785"/>
        <v>0</v>
      </c>
      <c r="AC903" s="210"/>
      <c r="AD903" s="236">
        <f t="shared" si="810"/>
        <v>1</v>
      </c>
      <c r="AE903" s="236">
        <f t="shared" si="811"/>
        <v>1</v>
      </c>
      <c r="AF903" s="236">
        <f t="shared" si="812"/>
        <v>0</v>
      </c>
      <c r="AG903" s="236">
        <v>1</v>
      </c>
      <c r="AH903" s="236">
        <v>0</v>
      </c>
      <c r="AI903" s="236">
        <f t="shared" si="788"/>
        <v>-100</v>
      </c>
      <c r="AJ903" s="210"/>
      <c r="AK903" s="254"/>
      <c r="AL903" s="254"/>
      <c r="AM903" s="255"/>
      <c r="AN903" s="255"/>
      <c r="AO903" s="255"/>
      <c r="AP903" s="255"/>
      <c r="AQ903" s="255"/>
      <c r="AR903" s="255"/>
      <c r="AS903" s="255"/>
      <c r="AT903" s="255"/>
      <c r="AU903" s="255"/>
      <c r="AV903" s="255"/>
      <c r="AW903" s="255"/>
      <c r="AX903" s="210"/>
      <c r="AY903" s="236" cm="1">
        <f t="array" ref="AY903">INDEX(Use, $AD903, 4)</f>
        <v>7</v>
      </c>
      <c r="AZ903" s="236">
        <f t="shared" si="789"/>
        <v>32</v>
      </c>
      <c r="BA903" s="236">
        <f t="shared" si="777"/>
        <v>13</v>
      </c>
      <c r="BB903" s="236">
        <f t="shared" si="778"/>
        <v>0</v>
      </c>
      <c r="BC903" s="252" cm="1">
        <f t="array" ref="BC903">K903/IF($L903&gt;0, INDEX($AO$23:$AU$77, $L903+20, $AD903), 1)</f>
        <v>0</v>
      </c>
      <c r="BD903" s="237">
        <f t="shared" si="790"/>
        <v>0</v>
      </c>
      <c r="BE903" s="236">
        <v>35</v>
      </c>
      <c r="BF903" s="237">
        <f t="shared" si="791"/>
        <v>52.55</v>
      </c>
      <c r="BG903" s="253">
        <f t="shared" si="792"/>
        <v>2.7676728869374316</v>
      </c>
      <c r="BH903" s="253" cm="1">
        <f t="array" ref="BH903">$BC903 * SUMPRODUCT(INDEX($AL$77:$AN$82,,$AE903),INDEX($AO$77:$AU$82,,$AD903), N($AK$77:$AK$82&gt;$AI903)) / BG903 / 1000</f>
        <v>0</v>
      </c>
      <c r="BI903" s="250">
        <f t="shared" si="779"/>
        <v>30</v>
      </c>
      <c r="BJ903" s="237">
        <f t="shared" si="793"/>
        <v>46.033333333333331</v>
      </c>
      <c r="BK903" s="253">
        <f t="shared" si="794"/>
        <v>3.2297395388556791</v>
      </c>
      <c r="BL903" s="253" cm="1">
        <f t="array" ref="BL903">$BC903 * IF($AD903&lt;=2,
SUMPRODUCT(INDEX($AL$72:$AN$76,,$AE903), INDEX($AO$72:$AU$76,,$AD903), 1 / ($AV$72:$AV$76*BK903 + (1-$AV$72:$AV$76)*BG903), N($AK$72:$AK$76&gt;$AI903)),
SUMPRODUCT(INDEX($AL$67:$AN$76,,$AE903), INDEX($AO$67:$AU$76,,$AD903), 1 / ($AW$67:$AW$76*BK903 + (1-$AW$67:$AW$76)*BG903), N($AK$67:$AK$76&gt;$AI903))
) / 1000</f>
        <v>0</v>
      </c>
      <c r="BM903" s="250">
        <f t="shared" si="780"/>
        <v>25</v>
      </c>
      <c r="BN903" s="237">
        <f t="shared" si="795"/>
        <v>39.516666666666666</v>
      </c>
      <c r="BO903" s="253">
        <f t="shared" si="796"/>
        <v>3.877011788826243</v>
      </c>
      <c r="BP903" s="253" cm="1">
        <f t="array" ref="BP903">$BC903 * IF($AD903&lt;=2,
SUMPRODUCT(INDEX($AL$67:$AN$71,,$AE903), INDEX($AO$67:$AU$71,,$AD903), 1 / ($AV$67:$AV$71*BO903 + (1-$AV$67:$AV$71)*BK903), N($AK$67:$AK$71&gt;$AI903)),
SUMPRODUCT(INDEX($AL$57:$AN$66,,$AE903), INDEX($AO$57:$AU$66,,$AD903), 1 / ($AW$57:$AW$66*BO903 + (1-$AW$57:$AW$66)*BK903), N($AK$57:$AK$66&gt;$AI903))
) / 1000</f>
        <v>0</v>
      </c>
      <c r="BQ903" s="250">
        <f t="shared" si="781"/>
        <v>20</v>
      </c>
      <c r="BR903" s="237">
        <f t="shared" si="797"/>
        <v>33</v>
      </c>
      <c r="BS903" s="253">
        <f t="shared" si="798"/>
        <v>4.8487499999999999</v>
      </c>
      <c r="BT903" s="253" cm="1">
        <f t="array" ref="BT903">$BC903 * IF($AD903&lt;=2,
SUMPRODUCT(INDEX($AL$62:$AN$66,,$AE903), INDEX($AO$62:$AU$66,,$AD903), 1 / ($AV$62:$AV$66*BS903 + (1-$AV$62:$AV$66)*BO903), N($AK$62:$AK$66&gt;$AI903)),
SUMPRODUCT(INDEX($AL$47:$AN$56,,$AE903), INDEX($AO$47:$AU$56,,$AD903), 1 / ($AW$47:$AW$56*BS903 + (1-$AW$47:$AW$56)*BO903), N($AK$47:$AK$56&gt;$AI903))
) / 1000</f>
        <v>0</v>
      </c>
      <c r="BU903" s="253" cm="1">
        <f t="array" ref="BU903">$BC903 * IF($AD903&lt;=2,
SUMPRODUCT(INDEX($AL$23:$AN$61,,$AE903), INDEX($AO$23:$AU$61,,$AD903), 1 / ($AV$23:$AV$61*BS903), N($AK$23:$AK$61&gt;$AI903)),
SUMPRODUCT(INDEX($AL$23:$AN$46,,$AE903), INDEX($AO$23:$AU$46,,$AD903), 1 / ($AW$23:$AW$46*BS903), N($AK$23:$AK$46&gt;$AI903))
) / 1000</f>
        <v>0</v>
      </c>
      <c r="BV903" s="237">
        <f t="shared" si="799"/>
        <v>0</v>
      </c>
      <c r="BW903" s="210"/>
      <c r="BX903" s="237">
        <f t="shared" si="800"/>
        <v>0</v>
      </c>
      <c r="BY903" s="236">
        <v>35</v>
      </c>
      <c r="BZ903" s="237">
        <f t="shared" si="801"/>
        <v>48</v>
      </c>
      <c r="CA903" s="253">
        <f t="shared" si="802"/>
        <v>3.0748170731707316</v>
      </c>
      <c r="CB903" s="253" cm="1">
        <f t="array" ref="CB903">$BC903 * SUMPRODUCT(INDEX($AL$77:$AN$82,,$AE903),INDEX($AO$77:$AU$82,,$AD903), N($AK$77:$AK$82&gt;$AI903)) / CA903 / 1000</f>
        <v>0</v>
      </c>
      <c r="CC903" s="250">
        <f t="shared" si="782"/>
        <v>30</v>
      </c>
      <c r="CD903" s="237">
        <f t="shared" si="803"/>
        <v>43</v>
      </c>
      <c r="CE903" s="253">
        <f t="shared" si="804"/>
        <v>3.5018750000000001</v>
      </c>
      <c r="CF903" s="253" cm="1">
        <f t="array" ref="CF903">$BC903 * IF($AD903&lt;=2,
SUMPRODUCT(INDEX($AL$72:$AN$76,,$AE903), INDEX($AO$72:$AU$76,,$AD903), 1 / ($AV$72:$AV$76*CE903 + (1-$AV$72:$AV$76)*CA903), N($AK$72:$AK$76&gt;$AI903)),
SUMPRODUCT(INDEX($AL$67:$AN$76,,$AE903), INDEX($AO$67:$AU$76,,$AD903), 1 / ($AW$67:$AW$76*CE903 + (1-$AW$67:$AW$76)*CA903), N($AK$67:$AK$76&gt;$AI903))
) / 1000</f>
        <v>0</v>
      </c>
      <c r="CG903" s="250">
        <f t="shared" si="783"/>
        <v>25</v>
      </c>
      <c r="CH903" s="237">
        <f t="shared" si="805"/>
        <v>38</v>
      </c>
      <c r="CI903" s="253">
        <f t="shared" si="806"/>
        <v>4.0666935483870965</v>
      </c>
      <c r="CJ903" s="253" cm="1">
        <f t="array" ref="CJ903">$BC903 * IF($AD903&lt;=2,
SUMPRODUCT(INDEX($AL$67:$AN$71,,$AE903), INDEX($AO$67:$AU$71,,$AD903), 1 / ($AV$67:$AV$71*CI903 + (1-$AV$67:$AV$71)*CE903), N($AK$67:$AK$71&gt;$AI903)),
SUMPRODUCT(INDEX($AL$57:$AN$66,,$AE903), INDEX($AO$57:$AU$66,,$AD903), 1 / ($AW$57:$AW$66*CI903 + (1-$AW$57:$AW$66)*CE903), N($AK$57:$AK$66&gt;$AI903))
) / 1000</f>
        <v>0</v>
      </c>
      <c r="CK903" s="250">
        <f t="shared" si="784"/>
        <v>20</v>
      </c>
      <c r="CL903" s="237">
        <f t="shared" si="807"/>
        <v>33</v>
      </c>
      <c r="CM903" s="253">
        <f t="shared" si="808"/>
        <v>4.8487499999999999</v>
      </c>
      <c r="CN903" s="253" cm="1">
        <f t="array" ref="CN903">$BC903 * IF($AD903&lt;=2,
SUMPRODUCT(INDEX($AL$62:$AN$66,,$AE903), INDEX($AO$62:$AU$66,,$AD903), 1 / ($AV$62:$AV$66*CM903 + (1-$AV$62:$AV$66)*CI903), N($AK$62:$AK$66&gt;$AI903)),
SUMPRODUCT(INDEX($AL$47:$AN$56,,$AE903), INDEX($AO$47:$AU$56,,$AD903), 1 / ($AW$47:$AW$56*CM903 + (1-$AW$47:$AW$56)*CI903), N($AK$47:$AK$56&gt;$AI903))
) / 1000</f>
        <v>0</v>
      </c>
      <c r="CO903" s="253" cm="1">
        <f t="array" ref="CO903">$BC903 * IF($AD903&lt;=2,
SUMPRODUCT(INDEX($AL$23:$AN$61,,$AE903), INDEX($AO$23:$AU$61,,$AD903), 1 / ($AV$23:$AV$61*CM903), N($AK$23:$AK$61&gt;$AI903)),
SUMPRODUCT(INDEX($AL$23:$AN$46,,$AE903), INDEX($AO$23:$AU$46,,$AD903), 1 / ($AW$23:$AW$46*CM903), N($AK$23:$AK$46&gt;$AI903))
) / 1000</f>
        <v>0</v>
      </c>
      <c r="CP903" s="237">
        <f t="shared" si="809"/>
        <v>0</v>
      </c>
      <c r="CQ903" s="210"/>
    </row>
    <row r="904" spans="1:95" s="76" customFormat="1" ht="14.25" customHeight="1" x14ac:dyDescent="0.2">
      <c r="A904" s="238" t="b">
        <f t="shared" si="776"/>
        <v>0</v>
      </c>
      <c r="B904" s="239">
        <v>882</v>
      </c>
      <c r="C904" s="258"/>
      <c r="D904" s="258"/>
      <c r="E904" s="240"/>
      <c r="F904" s="241" t="str">
        <f>IF(ISBLANK(E904), "", VLOOKUP(E904, Z!$A$2:$C$4127, 3, FALSE))</f>
        <v/>
      </c>
      <c r="G904" s="242"/>
      <c r="H904" s="242"/>
      <c r="I904" s="243"/>
      <c r="J904" s="244"/>
      <c r="K904" s="259"/>
      <c r="L904" s="260"/>
      <c r="M904" s="247" t="str" cm="1">
        <f t="array" ref="M904">IF($K904&gt;0, INDEX(Clean,1+AG904,$C$1), "")</f>
        <v/>
      </c>
      <c r="N904" s="245"/>
      <c r="O904" s="245"/>
      <c r="P904" s="246"/>
      <c r="Q904" s="248">
        <f t="shared" si="786"/>
        <v>0</v>
      </c>
      <c r="R904" s="247" t="str" cm="1">
        <f t="array" ref="R904">IF($K904&gt;0, INDEX(Clean,1+AH904,$C$1), "")</f>
        <v/>
      </c>
      <c r="S904" s="245"/>
      <c r="T904" s="245"/>
      <c r="U904" s="246"/>
      <c r="V904" s="248">
        <f t="shared" si="787"/>
        <v>0</v>
      </c>
      <c r="W904" s="261"/>
      <c r="X904" s="258"/>
      <c r="Y904" s="240"/>
      <c r="Z904" s="241" t="str">
        <f>IF(ISBLANK(Y904), "", VLOOKUP(Y904, Z!$A$2:$C$4127, 3, FALSE))</f>
        <v/>
      </c>
      <c r="AA904" s="262"/>
      <c r="AB904" s="249">
        <f t="shared" si="785"/>
        <v>0</v>
      </c>
      <c r="AC904" s="210"/>
      <c r="AD904" s="236">
        <f t="shared" si="810"/>
        <v>1</v>
      </c>
      <c r="AE904" s="236">
        <f t="shared" si="811"/>
        <v>1</v>
      </c>
      <c r="AF904" s="236">
        <f t="shared" si="812"/>
        <v>0</v>
      </c>
      <c r="AG904" s="236">
        <v>1</v>
      </c>
      <c r="AH904" s="236">
        <v>0</v>
      </c>
      <c r="AI904" s="236">
        <f t="shared" si="788"/>
        <v>-100</v>
      </c>
      <c r="AJ904" s="210"/>
      <c r="AK904" s="254"/>
      <c r="AL904" s="254"/>
      <c r="AM904" s="255"/>
      <c r="AN904" s="255"/>
      <c r="AO904" s="255"/>
      <c r="AP904" s="255"/>
      <c r="AQ904" s="255"/>
      <c r="AR904" s="255"/>
      <c r="AS904" s="255"/>
      <c r="AT904" s="255"/>
      <c r="AU904" s="255"/>
      <c r="AV904" s="255"/>
      <c r="AW904" s="255"/>
      <c r="AX904" s="210"/>
      <c r="AY904" s="236" cm="1">
        <f t="array" ref="AY904">INDEX(Use, $AD904, 4)</f>
        <v>7</v>
      </c>
      <c r="AZ904" s="236">
        <f t="shared" si="789"/>
        <v>32</v>
      </c>
      <c r="BA904" s="236">
        <f t="shared" si="777"/>
        <v>13</v>
      </c>
      <c r="BB904" s="236">
        <f t="shared" si="778"/>
        <v>0</v>
      </c>
      <c r="BC904" s="252" cm="1">
        <f t="array" ref="BC904">K904/IF($L904&gt;0, INDEX($AO$23:$AU$77, $L904+20, $AD904), 1)</f>
        <v>0</v>
      </c>
      <c r="BD904" s="237">
        <f t="shared" si="790"/>
        <v>0</v>
      </c>
      <c r="BE904" s="236">
        <v>35</v>
      </c>
      <c r="BF904" s="237">
        <f t="shared" si="791"/>
        <v>52.55</v>
      </c>
      <c r="BG904" s="253">
        <f t="shared" si="792"/>
        <v>2.7676728869374316</v>
      </c>
      <c r="BH904" s="253" cm="1">
        <f t="array" ref="BH904">$BC904 * SUMPRODUCT(INDEX($AL$77:$AN$82,,$AE904),INDEX($AO$77:$AU$82,,$AD904), N($AK$77:$AK$82&gt;$AI904)) / BG904 / 1000</f>
        <v>0</v>
      </c>
      <c r="BI904" s="250">
        <f t="shared" si="779"/>
        <v>30</v>
      </c>
      <c r="BJ904" s="237">
        <f t="shared" si="793"/>
        <v>46.033333333333331</v>
      </c>
      <c r="BK904" s="253">
        <f t="shared" si="794"/>
        <v>3.2297395388556791</v>
      </c>
      <c r="BL904" s="253" cm="1">
        <f t="array" ref="BL904">$BC904 * IF($AD904&lt;=2,
SUMPRODUCT(INDEX($AL$72:$AN$76,,$AE904), INDEX($AO$72:$AU$76,,$AD904), 1 / ($AV$72:$AV$76*BK904 + (1-$AV$72:$AV$76)*BG904), N($AK$72:$AK$76&gt;$AI904)),
SUMPRODUCT(INDEX($AL$67:$AN$76,,$AE904), INDEX($AO$67:$AU$76,,$AD904), 1 / ($AW$67:$AW$76*BK904 + (1-$AW$67:$AW$76)*BG904), N($AK$67:$AK$76&gt;$AI904))
) / 1000</f>
        <v>0</v>
      </c>
      <c r="BM904" s="250">
        <f t="shared" si="780"/>
        <v>25</v>
      </c>
      <c r="BN904" s="237">
        <f t="shared" si="795"/>
        <v>39.516666666666666</v>
      </c>
      <c r="BO904" s="253">
        <f t="shared" si="796"/>
        <v>3.877011788826243</v>
      </c>
      <c r="BP904" s="253" cm="1">
        <f t="array" ref="BP904">$BC904 * IF($AD904&lt;=2,
SUMPRODUCT(INDEX($AL$67:$AN$71,,$AE904), INDEX($AO$67:$AU$71,,$AD904), 1 / ($AV$67:$AV$71*BO904 + (1-$AV$67:$AV$71)*BK904), N($AK$67:$AK$71&gt;$AI904)),
SUMPRODUCT(INDEX($AL$57:$AN$66,,$AE904), INDEX($AO$57:$AU$66,,$AD904), 1 / ($AW$57:$AW$66*BO904 + (1-$AW$57:$AW$66)*BK904), N($AK$57:$AK$66&gt;$AI904))
) / 1000</f>
        <v>0</v>
      </c>
      <c r="BQ904" s="250">
        <f t="shared" si="781"/>
        <v>20</v>
      </c>
      <c r="BR904" s="237">
        <f t="shared" si="797"/>
        <v>33</v>
      </c>
      <c r="BS904" s="253">
        <f t="shared" si="798"/>
        <v>4.8487499999999999</v>
      </c>
      <c r="BT904" s="253" cm="1">
        <f t="array" ref="BT904">$BC904 * IF($AD904&lt;=2,
SUMPRODUCT(INDEX($AL$62:$AN$66,,$AE904), INDEX($AO$62:$AU$66,,$AD904), 1 / ($AV$62:$AV$66*BS904 + (1-$AV$62:$AV$66)*BO904), N($AK$62:$AK$66&gt;$AI904)),
SUMPRODUCT(INDEX($AL$47:$AN$56,,$AE904), INDEX($AO$47:$AU$56,,$AD904), 1 / ($AW$47:$AW$56*BS904 + (1-$AW$47:$AW$56)*BO904), N($AK$47:$AK$56&gt;$AI904))
) / 1000</f>
        <v>0</v>
      </c>
      <c r="BU904" s="253" cm="1">
        <f t="array" ref="BU904">$BC904 * IF($AD904&lt;=2,
SUMPRODUCT(INDEX($AL$23:$AN$61,,$AE904), INDEX($AO$23:$AU$61,,$AD904), 1 / ($AV$23:$AV$61*BS904), N($AK$23:$AK$61&gt;$AI904)),
SUMPRODUCT(INDEX($AL$23:$AN$46,,$AE904), INDEX($AO$23:$AU$46,,$AD904), 1 / ($AW$23:$AW$46*BS904), N($AK$23:$AK$46&gt;$AI904))
) / 1000</f>
        <v>0</v>
      </c>
      <c r="BV904" s="237">
        <f t="shared" si="799"/>
        <v>0</v>
      </c>
      <c r="BW904" s="210"/>
      <c r="BX904" s="237">
        <f t="shared" si="800"/>
        <v>0</v>
      </c>
      <c r="BY904" s="236">
        <v>35</v>
      </c>
      <c r="BZ904" s="237">
        <f t="shared" si="801"/>
        <v>48</v>
      </c>
      <c r="CA904" s="253">
        <f t="shared" si="802"/>
        <v>3.0748170731707316</v>
      </c>
      <c r="CB904" s="253" cm="1">
        <f t="array" ref="CB904">$BC904 * SUMPRODUCT(INDEX($AL$77:$AN$82,,$AE904),INDEX($AO$77:$AU$82,,$AD904), N($AK$77:$AK$82&gt;$AI904)) / CA904 / 1000</f>
        <v>0</v>
      </c>
      <c r="CC904" s="250">
        <f t="shared" si="782"/>
        <v>30</v>
      </c>
      <c r="CD904" s="237">
        <f t="shared" si="803"/>
        <v>43</v>
      </c>
      <c r="CE904" s="253">
        <f t="shared" si="804"/>
        <v>3.5018750000000001</v>
      </c>
      <c r="CF904" s="253" cm="1">
        <f t="array" ref="CF904">$BC904 * IF($AD904&lt;=2,
SUMPRODUCT(INDEX($AL$72:$AN$76,,$AE904), INDEX($AO$72:$AU$76,,$AD904), 1 / ($AV$72:$AV$76*CE904 + (1-$AV$72:$AV$76)*CA904), N($AK$72:$AK$76&gt;$AI904)),
SUMPRODUCT(INDEX($AL$67:$AN$76,,$AE904), INDEX($AO$67:$AU$76,,$AD904), 1 / ($AW$67:$AW$76*CE904 + (1-$AW$67:$AW$76)*CA904), N($AK$67:$AK$76&gt;$AI904))
) / 1000</f>
        <v>0</v>
      </c>
      <c r="CG904" s="250">
        <f t="shared" si="783"/>
        <v>25</v>
      </c>
      <c r="CH904" s="237">
        <f t="shared" si="805"/>
        <v>38</v>
      </c>
      <c r="CI904" s="253">
        <f t="shared" si="806"/>
        <v>4.0666935483870965</v>
      </c>
      <c r="CJ904" s="253" cm="1">
        <f t="array" ref="CJ904">$BC904 * IF($AD904&lt;=2,
SUMPRODUCT(INDEX($AL$67:$AN$71,,$AE904), INDEX($AO$67:$AU$71,,$AD904), 1 / ($AV$67:$AV$71*CI904 + (1-$AV$67:$AV$71)*CE904), N($AK$67:$AK$71&gt;$AI904)),
SUMPRODUCT(INDEX($AL$57:$AN$66,,$AE904), INDEX($AO$57:$AU$66,,$AD904), 1 / ($AW$57:$AW$66*CI904 + (1-$AW$57:$AW$66)*CE904), N($AK$57:$AK$66&gt;$AI904))
) / 1000</f>
        <v>0</v>
      </c>
      <c r="CK904" s="250">
        <f t="shared" si="784"/>
        <v>20</v>
      </c>
      <c r="CL904" s="237">
        <f t="shared" si="807"/>
        <v>33</v>
      </c>
      <c r="CM904" s="253">
        <f t="shared" si="808"/>
        <v>4.8487499999999999</v>
      </c>
      <c r="CN904" s="253" cm="1">
        <f t="array" ref="CN904">$BC904 * IF($AD904&lt;=2,
SUMPRODUCT(INDEX($AL$62:$AN$66,,$AE904), INDEX($AO$62:$AU$66,,$AD904), 1 / ($AV$62:$AV$66*CM904 + (1-$AV$62:$AV$66)*CI904), N($AK$62:$AK$66&gt;$AI904)),
SUMPRODUCT(INDEX($AL$47:$AN$56,,$AE904), INDEX($AO$47:$AU$56,,$AD904), 1 / ($AW$47:$AW$56*CM904 + (1-$AW$47:$AW$56)*CI904), N($AK$47:$AK$56&gt;$AI904))
) / 1000</f>
        <v>0</v>
      </c>
      <c r="CO904" s="253" cm="1">
        <f t="array" ref="CO904">$BC904 * IF($AD904&lt;=2,
SUMPRODUCT(INDEX($AL$23:$AN$61,,$AE904), INDEX($AO$23:$AU$61,,$AD904), 1 / ($AV$23:$AV$61*CM904), N($AK$23:$AK$61&gt;$AI904)),
SUMPRODUCT(INDEX($AL$23:$AN$46,,$AE904), INDEX($AO$23:$AU$46,,$AD904), 1 / ($AW$23:$AW$46*CM904), N($AK$23:$AK$46&gt;$AI904))
) / 1000</f>
        <v>0</v>
      </c>
      <c r="CP904" s="237">
        <f t="shared" si="809"/>
        <v>0</v>
      </c>
      <c r="CQ904" s="210"/>
    </row>
    <row r="905" spans="1:95" s="76" customFormat="1" ht="14.25" customHeight="1" x14ac:dyDescent="0.2">
      <c r="A905" s="238" t="b">
        <f t="shared" si="776"/>
        <v>0</v>
      </c>
      <c r="B905" s="239">
        <v>883</v>
      </c>
      <c r="C905" s="258"/>
      <c r="D905" s="258"/>
      <c r="E905" s="240"/>
      <c r="F905" s="241" t="str">
        <f>IF(ISBLANK(E905), "", VLOOKUP(E905, Z!$A$2:$C$4127, 3, FALSE))</f>
        <v/>
      </c>
      <c r="G905" s="242"/>
      <c r="H905" s="242"/>
      <c r="I905" s="243"/>
      <c r="J905" s="244"/>
      <c r="K905" s="259"/>
      <c r="L905" s="260"/>
      <c r="M905" s="247" t="str" cm="1">
        <f t="array" ref="M905">IF($K905&gt;0, INDEX(Clean,1+AG905,$C$1), "")</f>
        <v/>
      </c>
      <c r="N905" s="245"/>
      <c r="O905" s="245"/>
      <c r="P905" s="246"/>
      <c r="Q905" s="248">
        <f t="shared" si="786"/>
        <v>0</v>
      </c>
      <c r="R905" s="247" t="str" cm="1">
        <f t="array" ref="R905">IF($K905&gt;0, INDEX(Clean,1+AH905,$C$1), "")</f>
        <v/>
      </c>
      <c r="S905" s="245"/>
      <c r="T905" s="245"/>
      <c r="U905" s="246"/>
      <c r="V905" s="248">
        <f t="shared" si="787"/>
        <v>0</v>
      </c>
      <c r="W905" s="261"/>
      <c r="X905" s="258"/>
      <c r="Y905" s="240"/>
      <c r="Z905" s="241" t="str">
        <f>IF(ISBLANK(Y905), "", VLOOKUP(Y905, Z!$A$2:$C$4127, 3, FALSE))</f>
        <v/>
      </c>
      <c r="AA905" s="262"/>
      <c r="AB905" s="249">
        <f t="shared" si="785"/>
        <v>0</v>
      </c>
      <c r="AC905" s="210"/>
      <c r="AD905" s="236">
        <f t="shared" si="810"/>
        <v>1</v>
      </c>
      <c r="AE905" s="236">
        <f t="shared" si="811"/>
        <v>1</v>
      </c>
      <c r="AF905" s="236">
        <f t="shared" si="812"/>
        <v>0</v>
      </c>
      <c r="AG905" s="236">
        <v>1</v>
      </c>
      <c r="AH905" s="236">
        <v>0</v>
      </c>
      <c r="AI905" s="236">
        <f t="shared" si="788"/>
        <v>-100</v>
      </c>
      <c r="AJ905" s="210"/>
      <c r="AK905" s="254"/>
      <c r="AL905" s="254"/>
      <c r="AM905" s="255"/>
      <c r="AN905" s="255"/>
      <c r="AO905" s="255"/>
      <c r="AP905" s="255"/>
      <c r="AQ905" s="255"/>
      <c r="AR905" s="255"/>
      <c r="AS905" s="255"/>
      <c r="AT905" s="255"/>
      <c r="AU905" s="255"/>
      <c r="AV905" s="255"/>
      <c r="AW905" s="255"/>
      <c r="AX905" s="210"/>
      <c r="AY905" s="236" cm="1">
        <f t="array" ref="AY905">INDEX(Use, $AD905, 4)</f>
        <v>7</v>
      </c>
      <c r="AZ905" s="236">
        <f t="shared" si="789"/>
        <v>32</v>
      </c>
      <c r="BA905" s="236">
        <f t="shared" si="777"/>
        <v>13</v>
      </c>
      <c r="BB905" s="236">
        <f t="shared" si="778"/>
        <v>0</v>
      </c>
      <c r="BC905" s="252" cm="1">
        <f t="array" ref="BC905">K905/IF($L905&gt;0, INDEX($AO$23:$AU$77, $L905+20, $AD905), 1)</f>
        <v>0</v>
      </c>
      <c r="BD905" s="237">
        <f t="shared" si="790"/>
        <v>0</v>
      </c>
      <c r="BE905" s="236">
        <v>35</v>
      </c>
      <c r="BF905" s="237">
        <f t="shared" si="791"/>
        <v>52.55</v>
      </c>
      <c r="BG905" s="253">
        <f t="shared" si="792"/>
        <v>2.7676728869374316</v>
      </c>
      <c r="BH905" s="253" cm="1">
        <f t="array" ref="BH905">$BC905 * SUMPRODUCT(INDEX($AL$77:$AN$82,,$AE905),INDEX($AO$77:$AU$82,,$AD905), N($AK$77:$AK$82&gt;$AI905)) / BG905 / 1000</f>
        <v>0</v>
      </c>
      <c r="BI905" s="250">
        <f t="shared" si="779"/>
        <v>30</v>
      </c>
      <c r="BJ905" s="237">
        <f t="shared" si="793"/>
        <v>46.033333333333331</v>
      </c>
      <c r="BK905" s="253">
        <f t="shared" si="794"/>
        <v>3.2297395388556791</v>
      </c>
      <c r="BL905" s="253" cm="1">
        <f t="array" ref="BL905">$BC905 * IF($AD905&lt;=2,
SUMPRODUCT(INDEX($AL$72:$AN$76,,$AE905), INDEX($AO$72:$AU$76,,$AD905), 1 / ($AV$72:$AV$76*BK905 + (1-$AV$72:$AV$76)*BG905), N($AK$72:$AK$76&gt;$AI905)),
SUMPRODUCT(INDEX($AL$67:$AN$76,,$AE905), INDEX($AO$67:$AU$76,,$AD905), 1 / ($AW$67:$AW$76*BK905 + (1-$AW$67:$AW$76)*BG905), N($AK$67:$AK$76&gt;$AI905))
) / 1000</f>
        <v>0</v>
      </c>
      <c r="BM905" s="250">
        <f t="shared" si="780"/>
        <v>25</v>
      </c>
      <c r="BN905" s="237">
        <f t="shared" si="795"/>
        <v>39.516666666666666</v>
      </c>
      <c r="BO905" s="253">
        <f t="shared" si="796"/>
        <v>3.877011788826243</v>
      </c>
      <c r="BP905" s="253" cm="1">
        <f t="array" ref="BP905">$BC905 * IF($AD905&lt;=2,
SUMPRODUCT(INDEX($AL$67:$AN$71,,$AE905), INDEX($AO$67:$AU$71,,$AD905), 1 / ($AV$67:$AV$71*BO905 + (1-$AV$67:$AV$71)*BK905), N($AK$67:$AK$71&gt;$AI905)),
SUMPRODUCT(INDEX($AL$57:$AN$66,,$AE905), INDEX($AO$57:$AU$66,,$AD905), 1 / ($AW$57:$AW$66*BO905 + (1-$AW$57:$AW$66)*BK905), N($AK$57:$AK$66&gt;$AI905))
) / 1000</f>
        <v>0</v>
      </c>
      <c r="BQ905" s="250">
        <f t="shared" si="781"/>
        <v>20</v>
      </c>
      <c r="BR905" s="237">
        <f t="shared" si="797"/>
        <v>33</v>
      </c>
      <c r="BS905" s="253">
        <f t="shared" si="798"/>
        <v>4.8487499999999999</v>
      </c>
      <c r="BT905" s="253" cm="1">
        <f t="array" ref="BT905">$BC905 * IF($AD905&lt;=2,
SUMPRODUCT(INDEX($AL$62:$AN$66,,$AE905), INDEX($AO$62:$AU$66,,$AD905), 1 / ($AV$62:$AV$66*BS905 + (1-$AV$62:$AV$66)*BO905), N($AK$62:$AK$66&gt;$AI905)),
SUMPRODUCT(INDEX($AL$47:$AN$56,,$AE905), INDEX($AO$47:$AU$56,,$AD905), 1 / ($AW$47:$AW$56*BS905 + (1-$AW$47:$AW$56)*BO905), N($AK$47:$AK$56&gt;$AI905))
) / 1000</f>
        <v>0</v>
      </c>
      <c r="BU905" s="253" cm="1">
        <f t="array" ref="BU905">$BC905 * IF($AD905&lt;=2,
SUMPRODUCT(INDEX($AL$23:$AN$61,,$AE905), INDEX($AO$23:$AU$61,,$AD905), 1 / ($AV$23:$AV$61*BS905), N($AK$23:$AK$61&gt;$AI905)),
SUMPRODUCT(INDEX($AL$23:$AN$46,,$AE905), INDEX($AO$23:$AU$46,,$AD905), 1 / ($AW$23:$AW$46*BS905), N($AK$23:$AK$46&gt;$AI905))
) / 1000</f>
        <v>0</v>
      </c>
      <c r="BV905" s="237">
        <f t="shared" si="799"/>
        <v>0</v>
      </c>
      <c r="BW905" s="210"/>
      <c r="BX905" s="237">
        <f t="shared" si="800"/>
        <v>0</v>
      </c>
      <c r="BY905" s="236">
        <v>35</v>
      </c>
      <c r="BZ905" s="237">
        <f t="shared" si="801"/>
        <v>48</v>
      </c>
      <c r="CA905" s="253">
        <f t="shared" si="802"/>
        <v>3.0748170731707316</v>
      </c>
      <c r="CB905" s="253" cm="1">
        <f t="array" ref="CB905">$BC905 * SUMPRODUCT(INDEX($AL$77:$AN$82,,$AE905),INDEX($AO$77:$AU$82,,$AD905), N($AK$77:$AK$82&gt;$AI905)) / CA905 / 1000</f>
        <v>0</v>
      </c>
      <c r="CC905" s="250">
        <f t="shared" si="782"/>
        <v>30</v>
      </c>
      <c r="CD905" s="237">
        <f t="shared" si="803"/>
        <v>43</v>
      </c>
      <c r="CE905" s="253">
        <f t="shared" si="804"/>
        <v>3.5018750000000001</v>
      </c>
      <c r="CF905" s="253" cm="1">
        <f t="array" ref="CF905">$BC905 * IF($AD905&lt;=2,
SUMPRODUCT(INDEX($AL$72:$AN$76,,$AE905), INDEX($AO$72:$AU$76,,$AD905), 1 / ($AV$72:$AV$76*CE905 + (1-$AV$72:$AV$76)*CA905), N($AK$72:$AK$76&gt;$AI905)),
SUMPRODUCT(INDEX($AL$67:$AN$76,,$AE905), INDEX($AO$67:$AU$76,,$AD905), 1 / ($AW$67:$AW$76*CE905 + (1-$AW$67:$AW$76)*CA905), N($AK$67:$AK$76&gt;$AI905))
) / 1000</f>
        <v>0</v>
      </c>
      <c r="CG905" s="250">
        <f t="shared" si="783"/>
        <v>25</v>
      </c>
      <c r="CH905" s="237">
        <f t="shared" si="805"/>
        <v>38</v>
      </c>
      <c r="CI905" s="253">
        <f t="shared" si="806"/>
        <v>4.0666935483870965</v>
      </c>
      <c r="CJ905" s="253" cm="1">
        <f t="array" ref="CJ905">$BC905 * IF($AD905&lt;=2,
SUMPRODUCT(INDEX($AL$67:$AN$71,,$AE905), INDEX($AO$67:$AU$71,,$AD905), 1 / ($AV$67:$AV$71*CI905 + (1-$AV$67:$AV$71)*CE905), N($AK$67:$AK$71&gt;$AI905)),
SUMPRODUCT(INDEX($AL$57:$AN$66,,$AE905), INDEX($AO$57:$AU$66,,$AD905), 1 / ($AW$57:$AW$66*CI905 + (1-$AW$57:$AW$66)*CE905), N($AK$57:$AK$66&gt;$AI905))
) / 1000</f>
        <v>0</v>
      </c>
      <c r="CK905" s="250">
        <f t="shared" si="784"/>
        <v>20</v>
      </c>
      <c r="CL905" s="237">
        <f t="shared" si="807"/>
        <v>33</v>
      </c>
      <c r="CM905" s="253">
        <f t="shared" si="808"/>
        <v>4.8487499999999999</v>
      </c>
      <c r="CN905" s="253" cm="1">
        <f t="array" ref="CN905">$BC905 * IF($AD905&lt;=2,
SUMPRODUCT(INDEX($AL$62:$AN$66,,$AE905), INDEX($AO$62:$AU$66,,$AD905), 1 / ($AV$62:$AV$66*CM905 + (1-$AV$62:$AV$66)*CI905), N($AK$62:$AK$66&gt;$AI905)),
SUMPRODUCT(INDEX($AL$47:$AN$56,,$AE905), INDEX($AO$47:$AU$56,,$AD905), 1 / ($AW$47:$AW$56*CM905 + (1-$AW$47:$AW$56)*CI905), N($AK$47:$AK$56&gt;$AI905))
) / 1000</f>
        <v>0</v>
      </c>
      <c r="CO905" s="253" cm="1">
        <f t="array" ref="CO905">$BC905 * IF($AD905&lt;=2,
SUMPRODUCT(INDEX($AL$23:$AN$61,,$AE905), INDEX($AO$23:$AU$61,,$AD905), 1 / ($AV$23:$AV$61*CM905), N($AK$23:$AK$61&gt;$AI905)),
SUMPRODUCT(INDEX($AL$23:$AN$46,,$AE905), INDEX($AO$23:$AU$46,,$AD905), 1 / ($AW$23:$AW$46*CM905), N($AK$23:$AK$46&gt;$AI905))
) / 1000</f>
        <v>0</v>
      </c>
      <c r="CP905" s="237">
        <f t="shared" si="809"/>
        <v>0</v>
      </c>
      <c r="CQ905" s="210"/>
    </row>
    <row r="906" spans="1:95" s="76" customFormat="1" ht="14.25" customHeight="1" x14ac:dyDescent="0.2">
      <c r="A906" s="238" t="b">
        <f t="shared" si="776"/>
        <v>0</v>
      </c>
      <c r="B906" s="239">
        <v>884</v>
      </c>
      <c r="C906" s="258"/>
      <c r="D906" s="258"/>
      <c r="E906" s="240"/>
      <c r="F906" s="241" t="str">
        <f>IF(ISBLANK(E906), "", VLOOKUP(E906, Z!$A$2:$C$4127, 3, FALSE))</f>
        <v/>
      </c>
      <c r="G906" s="242"/>
      <c r="H906" s="242"/>
      <c r="I906" s="243"/>
      <c r="J906" s="244"/>
      <c r="K906" s="259"/>
      <c r="L906" s="260"/>
      <c r="M906" s="247" t="str" cm="1">
        <f t="array" ref="M906">IF($K906&gt;0, INDEX(Clean,1+AG906,$C$1), "")</f>
        <v/>
      </c>
      <c r="N906" s="245"/>
      <c r="O906" s="245"/>
      <c r="P906" s="246"/>
      <c r="Q906" s="248">
        <f t="shared" si="786"/>
        <v>0</v>
      </c>
      <c r="R906" s="247" t="str" cm="1">
        <f t="array" ref="R906">IF($K906&gt;0, INDEX(Clean,1+AH906,$C$1), "")</f>
        <v/>
      </c>
      <c r="S906" s="245"/>
      <c r="T906" s="245"/>
      <c r="U906" s="246"/>
      <c r="V906" s="248">
        <f t="shared" si="787"/>
        <v>0</v>
      </c>
      <c r="W906" s="261"/>
      <c r="X906" s="258"/>
      <c r="Y906" s="240"/>
      <c r="Z906" s="241" t="str">
        <f>IF(ISBLANK(Y906), "", VLOOKUP(Y906, Z!$A$2:$C$4127, 3, FALSE))</f>
        <v/>
      </c>
      <c r="AA906" s="262"/>
      <c r="AB906" s="249">
        <f t="shared" si="785"/>
        <v>0</v>
      </c>
      <c r="AC906" s="210"/>
      <c r="AD906" s="236">
        <f t="shared" si="810"/>
        <v>1</v>
      </c>
      <c r="AE906" s="236">
        <f t="shared" si="811"/>
        <v>1</v>
      </c>
      <c r="AF906" s="236">
        <f t="shared" si="812"/>
        <v>0</v>
      </c>
      <c r="AG906" s="236">
        <v>1</v>
      </c>
      <c r="AH906" s="236">
        <v>0</v>
      </c>
      <c r="AI906" s="236">
        <f t="shared" si="788"/>
        <v>-100</v>
      </c>
      <c r="AJ906" s="210"/>
      <c r="AK906" s="254"/>
      <c r="AL906" s="254"/>
      <c r="AM906" s="255"/>
      <c r="AN906" s="255"/>
      <c r="AO906" s="255"/>
      <c r="AP906" s="255"/>
      <c r="AQ906" s="255"/>
      <c r="AR906" s="255"/>
      <c r="AS906" s="255"/>
      <c r="AT906" s="255"/>
      <c r="AU906" s="255"/>
      <c r="AV906" s="255"/>
      <c r="AW906" s="255"/>
      <c r="AX906" s="210"/>
      <c r="AY906" s="236" cm="1">
        <f t="array" ref="AY906">INDEX(Use, $AD906, 4)</f>
        <v>7</v>
      </c>
      <c r="AZ906" s="236">
        <f t="shared" si="789"/>
        <v>32</v>
      </c>
      <c r="BA906" s="236">
        <f t="shared" si="777"/>
        <v>13</v>
      </c>
      <c r="BB906" s="236">
        <f t="shared" si="778"/>
        <v>0</v>
      </c>
      <c r="BC906" s="252" cm="1">
        <f t="array" ref="BC906">K906/IF($L906&gt;0, INDEX($AO$23:$AU$77, $L906+20, $AD906), 1)</f>
        <v>0</v>
      </c>
      <c r="BD906" s="237">
        <f t="shared" si="790"/>
        <v>0</v>
      </c>
      <c r="BE906" s="236">
        <v>35</v>
      </c>
      <c r="BF906" s="237">
        <f t="shared" si="791"/>
        <v>52.55</v>
      </c>
      <c r="BG906" s="253">
        <f t="shared" si="792"/>
        <v>2.7676728869374316</v>
      </c>
      <c r="BH906" s="253" cm="1">
        <f t="array" ref="BH906">$BC906 * SUMPRODUCT(INDEX($AL$77:$AN$82,,$AE906),INDEX($AO$77:$AU$82,,$AD906), N($AK$77:$AK$82&gt;$AI906)) / BG906 / 1000</f>
        <v>0</v>
      </c>
      <c r="BI906" s="250">
        <f t="shared" si="779"/>
        <v>30</v>
      </c>
      <c r="BJ906" s="237">
        <f t="shared" si="793"/>
        <v>46.033333333333331</v>
      </c>
      <c r="BK906" s="253">
        <f t="shared" si="794"/>
        <v>3.2297395388556791</v>
      </c>
      <c r="BL906" s="253" cm="1">
        <f t="array" ref="BL906">$BC906 * IF($AD906&lt;=2,
SUMPRODUCT(INDEX($AL$72:$AN$76,,$AE906), INDEX($AO$72:$AU$76,,$AD906), 1 / ($AV$72:$AV$76*BK906 + (1-$AV$72:$AV$76)*BG906), N($AK$72:$AK$76&gt;$AI906)),
SUMPRODUCT(INDEX($AL$67:$AN$76,,$AE906), INDEX($AO$67:$AU$76,,$AD906), 1 / ($AW$67:$AW$76*BK906 + (1-$AW$67:$AW$76)*BG906), N($AK$67:$AK$76&gt;$AI906))
) / 1000</f>
        <v>0</v>
      </c>
      <c r="BM906" s="250">
        <f t="shared" si="780"/>
        <v>25</v>
      </c>
      <c r="BN906" s="237">
        <f t="shared" si="795"/>
        <v>39.516666666666666</v>
      </c>
      <c r="BO906" s="253">
        <f t="shared" si="796"/>
        <v>3.877011788826243</v>
      </c>
      <c r="BP906" s="253" cm="1">
        <f t="array" ref="BP906">$BC906 * IF($AD906&lt;=2,
SUMPRODUCT(INDEX($AL$67:$AN$71,,$AE906), INDEX($AO$67:$AU$71,,$AD906), 1 / ($AV$67:$AV$71*BO906 + (1-$AV$67:$AV$71)*BK906), N($AK$67:$AK$71&gt;$AI906)),
SUMPRODUCT(INDEX($AL$57:$AN$66,,$AE906), INDEX($AO$57:$AU$66,,$AD906), 1 / ($AW$57:$AW$66*BO906 + (1-$AW$57:$AW$66)*BK906), N($AK$57:$AK$66&gt;$AI906))
) / 1000</f>
        <v>0</v>
      </c>
      <c r="BQ906" s="250">
        <f t="shared" si="781"/>
        <v>20</v>
      </c>
      <c r="BR906" s="237">
        <f t="shared" si="797"/>
        <v>33</v>
      </c>
      <c r="BS906" s="253">
        <f t="shared" si="798"/>
        <v>4.8487499999999999</v>
      </c>
      <c r="BT906" s="253" cm="1">
        <f t="array" ref="BT906">$BC906 * IF($AD906&lt;=2,
SUMPRODUCT(INDEX($AL$62:$AN$66,,$AE906), INDEX($AO$62:$AU$66,,$AD906), 1 / ($AV$62:$AV$66*BS906 + (1-$AV$62:$AV$66)*BO906), N($AK$62:$AK$66&gt;$AI906)),
SUMPRODUCT(INDEX($AL$47:$AN$56,,$AE906), INDEX($AO$47:$AU$56,,$AD906), 1 / ($AW$47:$AW$56*BS906 + (1-$AW$47:$AW$56)*BO906), N($AK$47:$AK$56&gt;$AI906))
) / 1000</f>
        <v>0</v>
      </c>
      <c r="BU906" s="253" cm="1">
        <f t="array" ref="BU906">$BC906 * IF($AD906&lt;=2,
SUMPRODUCT(INDEX($AL$23:$AN$61,,$AE906), INDEX($AO$23:$AU$61,,$AD906), 1 / ($AV$23:$AV$61*BS906), N($AK$23:$AK$61&gt;$AI906)),
SUMPRODUCT(INDEX($AL$23:$AN$46,,$AE906), INDEX($AO$23:$AU$46,,$AD906), 1 / ($AW$23:$AW$46*BS906), N($AK$23:$AK$46&gt;$AI906))
) / 1000</f>
        <v>0</v>
      </c>
      <c r="BV906" s="237">
        <f t="shared" si="799"/>
        <v>0</v>
      </c>
      <c r="BW906" s="210"/>
      <c r="BX906" s="237">
        <f t="shared" si="800"/>
        <v>0</v>
      </c>
      <c r="BY906" s="236">
        <v>35</v>
      </c>
      <c r="BZ906" s="237">
        <f t="shared" si="801"/>
        <v>48</v>
      </c>
      <c r="CA906" s="253">
        <f t="shared" si="802"/>
        <v>3.0748170731707316</v>
      </c>
      <c r="CB906" s="253" cm="1">
        <f t="array" ref="CB906">$BC906 * SUMPRODUCT(INDEX($AL$77:$AN$82,,$AE906),INDEX($AO$77:$AU$82,,$AD906), N($AK$77:$AK$82&gt;$AI906)) / CA906 / 1000</f>
        <v>0</v>
      </c>
      <c r="CC906" s="250">
        <f t="shared" si="782"/>
        <v>30</v>
      </c>
      <c r="CD906" s="237">
        <f t="shared" si="803"/>
        <v>43</v>
      </c>
      <c r="CE906" s="253">
        <f t="shared" si="804"/>
        <v>3.5018750000000001</v>
      </c>
      <c r="CF906" s="253" cm="1">
        <f t="array" ref="CF906">$BC906 * IF($AD906&lt;=2,
SUMPRODUCT(INDEX($AL$72:$AN$76,,$AE906), INDEX($AO$72:$AU$76,,$AD906), 1 / ($AV$72:$AV$76*CE906 + (1-$AV$72:$AV$76)*CA906), N($AK$72:$AK$76&gt;$AI906)),
SUMPRODUCT(INDEX($AL$67:$AN$76,,$AE906), INDEX($AO$67:$AU$76,,$AD906), 1 / ($AW$67:$AW$76*CE906 + (1-$AW$67:$AW$76)*CA906), N($AK$67:$AK$76&gt;$AI906))
) / 1000</f>
        <v>0</v>
      </c>
      <c r="CG906" s="250">
        <f t="shared" si="783"/>
        <v>25</v>
      </c>
      <c r="CH906" s="237">
        <f t="shared" si="805"/>
        <v>38</v>
      </c>
      <c r="CI906" s="253">
        <f t="shared" si="806"/>
        <v>4.0666935483870965</v>
      </c>
      <c r="CJ906" s="253" cm="1">
        <f t="array" ref="CJ906">$BC906 * IF($AD906&lt;=2,
SUMPRODUCT(INDEX($AL$67:$AN$71,,$AE906), INDEX($AO$67:$AU$71,,$AD906), 1 / ($AV$67:$AV$71*CI906 + (1-$AV$67:$AV$71)*CE906), N($AK$67:$AK$71&gt;$AI906)),
SUMPRODUCT(INDEX($AL$57:$AN$66,,$AE906), INDEX($AO$57:$AU$66,,$AD906), 1 / ($AW$57:$AW$66*CI906 + (1-$AW$57:$AW$66)*CE906), N($AK$57:$AK$66&gt;$AI906))
) / 1000</f>
        <v>0</v>
      </c>
      <c r="CK906" s="250">
        <f t="shared" si="784"/>
        <v>20</v>
      </c>
      <c r="CL906" s="237">
        <f t="shared" si="807"/>
        <v>33</v>
      </c>
      <c r="CM906" s="253">
        <f t="shared" si="808"/>
        <v>4.8487499999999999</v>
      </c>
      <c r="CN906" s="253" cm="1">
        <f t="array" ref="CN906">$BC906 * IF($AD906&lt;=2,
SUMPRODUCT(INDEX($AL$62:$AN$66,,$AE906), INDEX($AO$62:$AU$66,,$AD906), 1 / ($AV$62:$AV$66*CM906 + (1-$AV$62:$AV$66)*CI906), N($AK$62:$AK$66&gt;$AI906)),
SUMPRODUCT(INDEX($AL$47:$AN$56,,$AE906), INDEX($AO$47:$AU$56,,$AD906), 1 / ($AW$47:$AW$56*CM906 + (1-$AW$47:$AW$56)*CI906), N($AK$47:$AK$56&gt;$AI906))
) / 1000</f>
        <v>0</v>
      </c>
      <c r="CO906" s="253" cm="1">
        <f t="array" ref="CO906">$BC906 * IF($AD906&lt;=2,
SUMPRODUCT(INDEX($AL$23:$AN$61,,$AE906), INDEX($AO$23:$AU$61,,$AD906), 1 / ($AV$23:$AV$61*CM906), N($AK$23:$AK$61&gt;$AI906)),
SUMPRODUCT(INDEX($AL$23:$AN$46,,$AE906), INDEX($AO$23:$AU$46,,$AD906), 1 / ($AW$23:$AW$46*CM906), N($AK$23:$AK$46&gt;$AI906))
) / 1000</f>
        <v>0</v>
      </c>
      <c r="CP906" s="237">
        <f t="shared" si="809"/>
        <v>0</v>
      </c>
      <c r="CQ906" s="210"/>
    </row>
    <row r="907" spans="1:95" s="76" customFormat="1" ht="14.25" customHeight="1" x14ac:dyDescent="0.2">
      <c r="A907" s="238" t="b">
        <f t="shared" si="776"/>
        <v>0</v>
      </c>
      <c r="B907" s="239">
        <v>885</v>
      </c>
      <c r="C907" s="258"/>
      <c r="D907" s="258"/>
      <c r="E907" s="240"/>
      <c r="F907" s="241" t="str">
        <f>IF(ISBLANK(E907), "", VLOOKUP(E907, Z!$A$2:$C$4127, 3, FALSE))</f>
        <v/>
      </c>
      <c r="G907" s="242"/>
      <c r="H907" s="242"/>
      <c r="I907" s="243"/>
      <c r="J907" s="244"/>
      <c r="K907" s="259"/>
      <c r="L907" s="260"/>
      <c r="M907" s="247" t="str" cm="1">
        <f t="array" ref="M907">IF($K907&gt;0, INDEX(Clean,1+AG907,$C$1), "")</f>
        <v/>
      </c>
      <c r="N907" s="245"/>
      <c r="O907" s="245"/>
      <c r="P907" s="246"/>
      <c r="Q907" s="248">
        <f t="shared" si="786"/>
        <v>0</v>
      </c>
      <c r="R907" s="247" t="str" cm="1">
        <f t="array" ref="R907">IF($K907&gt;0, INDEX(Clean,1+AH907,$C$1), "")</f>
        <v/>
      </c>
      <c r="S907" s="245"/>
      <c r="T907" s="245"/>
      <c r="U907" s="246"/>
      <c r="V907" s="248">
        <f t="shared" si="787"/>
        <v>0</v>
      </c>
      <c r="W907" s="261"/>
      <c r="X907" s="258"/>
      <c r="Y907" s="240"/>
      <c r="Z907" s="241" t="str">
        <f>IF(ISBLANK(Y907), "", VLOOKUP(Y907, Z!$A$2:$C$4127, 3, FALSE))</f>
        <v/>
      </c>
      <c r="AA907" s="262"/>
      <c r="AB907" s="249">
        <f t="shared" si="785"/>
        <v>0</v>
      </c>
      <c r="AC907" s="210"/>
      <c r="AD907" s="236">
        <f t="shared" si="810"/>
        <v>1</v>
      </c>
      <c r="AE907" s="236">
        <f t="shared" si="811"/>
        <v>1</v>
      </c>
      <c r="AF907" s="236">
        <f t="shared" si="812"/>
        <v>0</v>
      </c>
      <c r="AG907" s="236">
        <v>1</v>
      </c>
      <c r="AH907" s="236">
        <v>0</v>
      </c>
      <c r="AI907" s="236">
        <f t="shared" si="788"/>
        <v>-100</v>
      </c>
      <c r="AJ907" s="210"/>
      <c r="AK907" s="254"/>
      <c r="AL907" s="254"/>
      <c r="AM907" s="255"/>
      <c r="AN907" s="255"/>
      <c r="AO907" s="255"/>
      <c r="AP907" s="255"/>
      <c r="AQ907" s="255"/>
      <c r="AR907" s="255"/>
      <c r="AS907" s="255"/>
      <c r="AT907" s="255"/>
      <c r="AU907" s="255"/>
      <c r="AV907" s="255"/>
      <c r="AW907" s="255"/>
      <c r="AX907" s="210"/>
      <c r="AY907" s="236" cm="1">
        <f t="array" ref="AY907">INDEX(Use, $AD907, 4)</f>
        <v>7</v>
      </c>
      <c r="AZ907" s="236">
        <f t="shared" si="789"/>
        <v>32</v>
      </c>
      <c r="BA907" s="236">
        <f t="shared" si="777"/>
        <v>13</v>
      </c>
      <c r="BB907" s="236">
        <f t="shared" si="778"/>
        <v>0</v>
      </c>
      <c r="BC907" s="252" cm="1">
        <f t="array" ref="BC907">K907/IF($L907&gt;0, INDEX($AO$23:$AU$77, $L907+20, $AD907), 1)</f>
        <v>0</v>
      </c>
      <c r="BD907" s="237">
        <f t="shared" si="790"/>
        <v>0</v>
      </c>
      <c r="BE907" s="236">
        <v>35</v>
      </c>
      <c r="BF907" s="237">
        <f t="shared" si="791"/>
        <v>52.55</v>
      </c>
      <c r="BG907" s="253">
        <f t="shared" si="792"/>
        <v>2.7676728869374316</v>
      </c>
      <c r="BH907" s="253" cm="1">
        <f t="array" ref="BH907">$BC907 * SUMPRODUCT(INDEX($AL$77:$AN$82,,$AE907),INDEX($AO$77:$AU$82,,$AD907), N($AK$77:$AK$82&gt;$AI907)) / BG907 / 1000</f>
        <v>0</v>
      </c>
      <c r="BI907" s="250">
        <f t="shared" si="779"/>
        <v>30</v>
      </c>
      <c r="BJ907" s="237">
        <f t="shared" si="793"/>
        <v>46.033333333333331</v>
      </c>
      <c r="BK907" s="253">
        <f t="shared" si="794"/>
        <v>3.2297395388556791</v>
      </c>
      <c r="BL907" s="253" cm="1">
        <f t="array" ref="BL907">$BC907 * IF($AD907&lt;=2,
SUMPRODUCT(INDEX($AL$72:$AN$76,,$AE907), INDEX($AO$72:$AU$76,,$AD907), 1 / ($AV$72:$AV$76*BK907 + (1-$AV$72:$AV$76)*BG907), N($AK$72:$AK$76&gt;$AI907)),
SUMPRODUCT(INDEX($AL$67:$AN$76,,$AE907), INDEX($AO$67:$AU$76,,$AD907), 1 / ($AW$67:$AW$76*BK907 + (1-$AW$67:$AW$76)*BG907), N($AK$67:$AK$76&gt;$AI907))
) / 1000</f>
        <v>0</v>
      </c>
      <c r="BM907" s="250">
        <f t="shared" si="780"/>
        <v>25</v>
      </c>
      <c r="BN907" s="237">
        <f t="shared" si="795"/>
        <v>39.516666666666666</v>
      </c>
      <c r="BO907" s="253">
        <f t="shared" si="796"/>
        <v>3.877011788826243</v>
      </c>
      <c r="BP907" s="253" cm="1">
        <f t="array" ref="BP907">$BC907 * IF($AD907&lt;=2,
SUMPRODUCT(INDEX($AL$67:$AN$71,,$AE907), INDEX($AO$67:$AU$71,,$AD907), 1 / ($AV$67:$AV$71*BO907 + (1-$AV$67:$AV$71)*BK907), N($AK$67:$AK$71&gt;$AI907)),
SUMPRODUCT(INDEX($AL$57:$AN$66,,$AE907), INDEX($AO$57:$AU$66,,$AD907), 1 / ($AW$57:$AW$66*BO907 + (1-$AW$57:$AW$66)*BK907), N($AK$57:$AK$66&gt;$AI907))
) / 1000</f>
        <v>0</v>
      </c>
      <c r="BQ907" s="250">
        <f t="shared" si="781"/>
        <v>20</v>
      </c>
      <c r="BR907" s="237">
        <f t="shared" si="797"/>
        <v>33</v>
      </c>
      <c r="BS907" s="253">
        <f t="shared" si="798"/>
        <v>4.8487499999999999</v>
      </c>
      <c r="BT907" s="253" cm="1">
        <f t="array" ref="BT907">$BC907 * IF($AD907&lt;=2,
SUMPRODUCT(INDEX($AL$62:$AN$66,,$AE907), INDEX($AO$62:$AU$66,,$AD907), 1 / ($AV$62:$AV$66*BS907 + (1-$AV$62:$AV$66)*BO907), N($AK$62:$AK$66&gt;$AI907)),
SUMPRODUCT(INDEX($AL$47:$AN$56,,$AE907), INDEX($AO$47:$AU$56,,$AD907), 1 / ($AW$47:$AW$56*BS907 + (1-$AW$47:$AW$56)*BO907), N($AK$47:$AK$56&gt;$AI907))
) / 1000</f>
        <v>0</v>
      </c>
      <c r="BU907" s="253" cm="1">
        <f t="array" ref="BU907">$BC907 * IF($AD907&lt;=2,
SUMPRODUCT(INDEX($AL$23:$AN$61,,$AE907), INDEX($AO$23:$AU$61,,$AD907), 1 / ($AV$23:$AV$61*BS907), N($AK$23:$AK$61&gt;$AI907)),
SUMPRODUCT(INDEX($AL$23:$AN$46,,$AE907), INDEX($AO$23:$AU$46,,$AD907), 1 / ($AW$23:$AW$46*BS907), N($AK$23:$AK$46&gt;$AI907))
) / 1000</f>
        <v>0</v>
      </c>
      <c r="BV907" s="237">
        <f t="shared" si="799"/>
        <v>0</v>
      </c>
      <c r="BW907" s="210"/>
      <c r="BX907" s="237">
        <f t="shared" si="800"/>
        <v>0</v>
      </c>
      <c r="BY907" s="236">
        <v>35</v>
      </c>
      <c r="BZ907" s="237">
        <f t="shared" si="801"/>
        <v>48</v>
      </c>
      <c r="CA907" s="253">
        <f t="shared" si="802"/>
        <v>3.0748170731707316</v>
      </c>
      <c r="CB907" s="253" cm="1">
        <f t="array" ref="CB907">$BC907 * SUMPRODUCT(INDEX($AL$77:$AN$82,,$AE907),INDEX($AO$77:$AU$82,,$AD907), N($AK$77:$AK$82&gt;$AI907)) / CA907 / 1000</f>
        <v>0</v>
      </c>
      <c r="CC907" s="250">
        <f t="shared" si="782"/>
        <v>30</v>
      </c>
      <c r="CD907" s="237">
        <f t="shared" si="803"/>
        <v>43</v>
      </c>
      <c r="CE907" s="253">
        <f t="shared" si="804"/>
        <v>3.5018750000000001</v>
      </c>
      <c r="CF907" s="253" cm="1">
        <f t="array" ref="CF907">$BC907 * IF($AD907&lt;=2,
SUMPRODUCT(INDEX($AL$72:$AN$76,,$AE907), INDEX($AO$72:$AU$76,,$AD907), 1 / ($AV$72:$AV$76*CE907 + (1-$AV$72:$AV$76)*CA907), N($AK$72:$AK$76&gt;$AI907)),
SUMPRODUCT(INDEX($AL$67:$AN$76,,$AE907), INDEX($AO$67:$AU$76,,$AD907), 1 / ($AW$67:$AW$76*CE907 + (1-$AW$67:$AW$76)*CA907), N($AK$67:$AK$76&gt;$AI907))
) / 1000</f>
        <v>0</v>
      </c>
      <c r="CG907" s="250">
        <f t="shared" si="783"/>
        <v>25</v>
      </c>
      <c r="CH907" s="237">
        <f t="shared" si="805"/>
        <v>38</v>
      </c>
      <c r="CI907" s="253">
        <f t="shared" si="806"/>
        <v>4.0666935483870965</v>
      </c>
      <c r="CJ907" s="253" cm="1">
        <f t="array" ref="CJ907">$BC907 * IF($AD907&lt;=2,
SUMPRODUCT(INDEX($AL$67:$AN$71,,$AE907), INDEX($AO$67:$AU$71,,$AD907), 1 / ($AV$67:$AV$71*CI907 + (1-$AV$67:$AV$71)*CE907), N($AK$67:$AK$71&gt;$AI907)),
SUMPRODUCT(INDEX($AL$57:$AN$66,,$AE907), INDEX($AO$57:$AU$66,,$AD907), 1 / ($AW$57:$AW$66*CI907 + (1-$AW$57:$AW$66)*CE907), N($AK$57:$AK$66&gt;$AI907))
) / 1000</f>
        <v>0</v>
      </c>
      <c r="CK907" s="250">
        <f t="shared" si="784"/>
        <v>20</v>
      </c>
      <c r="CL907" s="237">
        <f t="shared" si="807"/>
        <v>33</v>
      </c>
      <c r="CM907" s="253">
        <f t="shared" si="808"/>
        <v>4.8487499999999999</v>
      </c>
      <c r="CN907" s="253" cm="1">
        <f t="array" ref="CN907">$BC907 * IF($AD907&lt;=2,
SUMPRODUCT(INDEX($AL$62:$AN$66,,$AE907), INDEX($AO$62:$AU$66,,$AD907), 1 / ($AV$62:$AV$66*CM907 + (1-$AV$62:$AV$66)*CI907), N($AK$62:$AK$66&gt;$AI907)),
SUMPRODUCT(INDEX($AL$47:$AN$56,,$AE907), INDEX($AO$47:$AU$56,,$AD907), 1 / ($AW$47:$AW$56*CM907 + (1-$AW$47:$AW$56)*CI907), N($AK$47:$AK$56&gt;$AI907))
) / 1000</f>
        <v>0</v>
      </c>
      <c r="CO907" s="253" cm="1">
        <f t="array" ref="CO907">$BC907 * IF($AD907&lt;=2,
SUMPRODUCT(INDEX($AL$23:$AN$61,,$AE907), INDEX($AO$23:$AU$61,,$AD907), 1 / ($AV$23:$AV$61*CM907), N($AK$23:$AK$61&gt;$AI907)),
SUMPRODUCT(INDEX($AL$23:$AN$46,,$AE907), INDEX($AO$23:$AU$46,,$AD907), 1 / ($AW$23:$AW$46*CM907), N($AK$23:$AK$46&gt;$AI907))
) / 1000</f>
        <v>0</v>
      </c>
      <c r="CP907" s="237">
        <f t="shared" si="809"/>
        <v>0</v>
      </c>
      <c r="CQ907" s="210"/>
    </row>
    <row r="908" spans="1:95" s="76" customFormat="1" ht="14.25" customHeight="1" x14ac:dyDescent="0.2">
      <c r="A908" s="238" t="b">
        <f t="shared" si="776"/>
        <v>0</v>
      </c>
      <c r="B908" s="239">
        <v>886</v>
      </c>
      <c r="C908" s="258"/>
      <c r="D908" s="258"/>
      <c r="E908" s="240"/>
      <c r="F908" s="241" t="str">
        <f>IF(ISBLANK(E908), "", VLOOKUP(E908, Z!$A$2:$C$4127, 3, FALSE))</f>
        <v/>
      </c>
      <c r="G908" s="242"/>
      <c r="H908" s="242"/>
      <c r="I908" s="243"/>
      <c r="J908" s="244"/>
      <c r="K908" s="259"/>
      <c r="L908" s="260"/>
      <c r="M908" s="247" t="str" cm="1">
        <f t="array" ref="M908">IF($K908&gt;0, INDEX(Clean,1+AG908,$C$1), "")</f>
        <v/>
      </c>
      <c r="N908" s="245"/>
      <c r="O908" s="245"/>
      <c r="P908" s="246"/>
      <c r="Q908" s="248">
        <f t="shared" si="786"/>
        <v>0</v>
      </c>
      <c r="R908" s="247" t="str" cm="1">
        <f t="array" ref="R908">IF($K908&gt;0, INDEX(Clean,1+AH908,$C$1), "")</f>
        <v/>
      </c>
      <c r="S908" s="245"/>
      <c r="T908" s="245"/>
      <c r="U908" s="246"/>
      <c r="V908" s="248">
        <f t="shared" si="787"/>
        <v>0</v>
      </c>
      <c r="W908" s="261"/>
      <c r="X908" s="258"/>
      <c r="Y908" s="240"/>
      <c r="Z908" s="241" t="str">
        <f>IF(ISBLANK(Y908), "", VLOOKUP(Y908, Z!$A$2:$C$4127, 3, FALSE))</f>
        <v/>
      </c>
      <c r="AA908" s="262"/>
      <c r="AB908" s="249">
        <f t="shared" si="785"/>
        <v>0</v>
      </c>
      <c r="AC908" s="210"/>
      <c r="AD908" s="236">
        <f t="shared" si="810"/>
        <v>1</v>
      </c>
      <c r="AE908" s="236">
        <f t="shared" si="811"/>
        <v>1</v>
      </c>
      <c r="AF908" s="236">
        <f t="shared" si="812"/>
        <v>0</v>
      </c>
      <c r="AG908" s="236">
        <v>1</v>
      </c>
      <c r="AH908" s="236">
        <v>0</v>
      </c>
      <c r="AI908" s="236">
        <f t="shared" si="788"/>
        <v>-100</v>
      </c>
      <c r="AJ908" s="210"/>
      <c r="AK908" s="254"/>
      <c r="AL908" s="254"/>
      <c r="AM908" s="255"/>
      <c r="AN908" s="255"/>
      <c r="AO908" s="255"/>
      <c r="AP908" s="255"/>
      <c r="AQ908" s="255"/>
      <c r="AR908" s="255"/>
      <c r="AS908" s="255"/>
      <c r="AT908" s="255"/>
      <c r="AU908" s="255"/>
      <c r="AV908" s="255"/>
      <c r="AW908" s="255"/>
      <c r="AX908" s="210"/>
      <c r="AY908" s="236" cm="1">
        <f t="array" ref="AY908">INDEX(Use, $AD908, 4)</f>
        <v>7</v>
      </c>
      <c r="AZ908" s="236">
        <f t="shared" si="789"/>
        <v>32</v>
      </c>
      <c r="BA908" s="236">
        <f t="shared" si="777"/>
        <v>13</v>
      </c>
      <c r="BB908" s="236">
        <f t="shared" si="778"/>
        <v>0</v>
      </c>
      <c r="BC908" s="252" cm="1">
        <f t="array" ref="BC908">K908/IF($L908&gt;0, INDEX($AO$23:$AU$77, $L908+20, $AD908), 1)</f>
        <v>0</v>
      </c>
      <c r="BD908" s="237">
        <f t="shared" si="790"/>
        <v>0</v>
      </c>
      <c r="BE908" s="236">
        <v>35</v>
      </c>
      <c r="BF908" s="237">
        <f t="shared" si="791"/>
        <v>52.55</v>
      </c>
      <c r="BG908" s="253">
        <f t="shared" si="792"/>
        <v>2.7676728869374316</v>
      </c>
      <c r="BH908" s="253" cm="1">
        <f t="array" ref="BH908">$BC908 * SUMPRODUCT(INDEX($AL$77:$AN$82,,$AE908),INDEX($AO$77:$AU$82,,$AD908), N($AK$77:$AK$82&gt;$AI908)) / BG908 / 1000</f>
        <v>0</v>
      </c>
      <c r="BI908" s="250">
        <f t="shared" si="779"/>
        <v>30</v>
      </c>
      <c r="BJ908" s="237">
        <f t="shared" si="793"/>
        <v>46.033333333333331</v>
      </c>
      <c r="BK908" s="253">
        <f t="shared" si="794"/>
        <v>3.2297395388556791</v>
      </c>
      <c r="BL908" s="253" cm="1">
        <f t="array" ref="BL908">$BC908 * IF($AD908&lt;=2,
SUMPRODUCT(INDEX($AL$72:$AN$76,,$AE908), INDEX($AO$72:$AU$76,,$AD908), 1 / ($AV$72:$AV$76*BK908 + (1-$AV$72:$AV$76)*BG908), N($AK$72:$AK$76&gt;$AI908)),
SUMPRODUCT(INDEX($AL$67:$AN$76,,$AE908), INDEX($AO$67:$AU$76,,$AD908), 1 / ($AW$67:$AW$76*BK908 + (1-$AW$67:$AW$76)*BG908), N($AK$67:$AK$76&gt;$AI908))
) / 1000</f>
        <v>0</v>
      </c>
      <c r="BM908" s="250">
        <f t="shared" si="780"/>
        <v>25</v>
      </c>
      <c r="BN908" s="237">
        <f t="shared" si="795"/>
        <v>39.516666666666666</v>
      </c>
      <c r="BO908" s="253">
        <f t="shared" si="796"/>
        <v>3.877011788826243</v>
      </c>
      <c r="BP908" s="253" cm="1">
        <f t="array" ref="BP908">$BC908 * IF($AD908&lt;=2,
SUMPRODUCT(INDEX($AL$67:$AN$71,,$AE908), INDEX($AO$67:$AU$71,,$AD908), 1 / ($AV$67:$AV$71*BO908 + (1-$AV$67:$AV$71)*BK908), N($AK$67:$AK$71&gt;$AI908)),
SUMPRODUCT(INDEX($AL$57:$AN$66,,$AE908), INDEX($AO$57:$AU$66,,$AD908), 1 / ($AW$57:$AW$66*BO908 + (1-$AW$57:$AW$66)*BK908), N($AK$57:$AK$66&gt;$AI908))
) / 1000</f>
        <v>0</v>
      </c>
      <c r="BQ908" s="250">
        <f t="shared" si="781"/>
        <v>20</v>
      </c>
      <c r="BR908" s="237">
        <f t="shared" si="797"/>
        <v>33</v>
      </c>
      <c r="BS908" s="253">
        <f t="shared" si="798"/>
        <v>4.8487499999999999</v>
      </c>
      <c r="BT908" s="253" cm="1">
        <f t="array" ref="BT908">$BC908 * IF($AD908&lt;=2,
SUMPRODUCT(INDEX($AL$62:$AN$66,,$AE908), INDEX($AO$62:$AU$66,,$AD908), 1 / ($AV$62:$AV$66*BS908 + (1-$AV$62:$AV$66)*BO908), N($AK$62:$AK$66&gt;$AI908)),
SUMPRODUCT(INDEX($AL$47:$AN$56,,$AE908), INDEX($AO$47:$AU$56,,$AD908), 1 / ($AW$47:$AW$56*BS908 + (1-$AW$47:$AW$56)*BO908), N($AK$47:$AK$56&gt;$AI908))
) / 1000</f>
        <v>0</v>
      </c>
      <c r="BU908" s="253" cm="1">
        <f t="array" ref="BU908">$BC908 * IF($AD908&lt;=2,
SUMPRODUCT(INDEX($AL$23:$AN$61,,$AE908), INDEX($AO$23:$AU$61,,$AD908), 1 / ($AV$23:$AV$61*BS908), N($AK$23:$AK$61&gt;$AI908)),
SUMPRODUCT(INDEX($AL$23:$AN$46,,$AE908), INDEX($AO$23:$AU$46,,$AD908), 1 / ($AW$23:$AW$46*BS908), N($AK$23:$AK$46&gt;$AI908))
) / 1000</f>
        <v>0</v>
      </c>
      <c r="BV908" s="237">
        <f t="shared" si="799"/>
        <v>0</v>
      </c>
      <c r="BW908" s="210"/>
      <c r="BX908" s="237">
        <f t="shared" si="800"/>
        <v>0</v>
      </c>
      <c r="BY908" s="236">
        <v>35</v>
      </c>
      <c r="BZ908" s="237">
        <f t="shared" si="801"/>
        <v>48</v>
      </c>
      <c r="CA908" s="253">
        <f t="shared" si="802"/>
        <v>3.0748170731707316</v>
      </c>
      <c r="CB908" s="253" cm="1">
        <f t="array" ref="CB908">$BC908 * SUMPRODUCT(INDEX($AL$77:$AN$82,,$AE908),INDEX($AO$77:$AU$82,,$AD908), N($AK$77:$AK$82&gt;$AI908)) / CA908 / 1000</f>
        <v>0</v>
      </c>
      <c r="CC908" s="250">
        <f t="shared" si="782"/>
        <v>30</v>
      </c>
      <c r="CD908" s="237">
        <f t="shared" si="803"/>
        <v>43</v>
      </c>
      <c r="CE908" s="253">
        <f t="shared" si="804"/>
        <v>3.5018750000000001</v>
      </c>
      <c r="CF908" s="253" cm="1">
        <f t="array" ref="CF908">$BC908 * IF($AD908&lt;=2,
SUMPRODUCT(INDEX($AL$72:$AN$76,,$AE908), INDEX($AO$72:$AU$76,,$AD908), 1 / ($AV$72:$AV$76*CE908 + (1-$AV$72:$AV$76)*CA908), N($AK$72:$AK$76&gt;$AI908)),
SUMPRODUCT(INDEX($AL$67:$AN$76,,$AE908), INDEX($AO$67:$AU$76,,$AD908), 1 / ($AW$67:$AW$76*CE908 + (1-$AW$67:$AW$76)*CA908), N($AK$67:$AK$76&gt;$AI908))
) / 1000</f>
        <v>0</v>
      </c>
      <c r="CG908" s="250">
        <f t="shared" si="783"/>
        <v>25</v>
      </c>
      <c r="CH908" s="237">
        <f t="shared" si="805"/>
        <v>38</v>
      </c>
      <c r="CI908" s="253">
        <f t="shared" si="806"/>
        <v>4.0666935483870965</v>
      </c>
      <c r="CJ908" s="253" cm="1">
        <f t="array" ref="CJ908">$BC908 * IF($AD908&lt;=2,
SUMPRODUCT(INDEX($AL$67:$AN$71,,$AE908), INDEX($AO$67:$AU$71,,$AD908), 1 / ($AV$67:$AV$71*CI908 + (1-$AV$67:$AV$71)*CE908), N($AK$67:$AK$71&gt;$AI908)),
SUMPRODUCT(INDEX($AL$57:$AN$66,,$AE908), INDEX($AO$57:$AU$66,,$AD908), 1 / ($AW$57:$AW$66*CI908 + (1-$AW$57:$AW$66)*CE908), N($AK$57:$AK$66&gt;$AI908))
) / 1000</f>
        <v>0</v>
      </c>
      <c r="CK908" s="250">
        <f t="shared" si="784"/>
        <v>20</v>
      </c>
      <c r="CL908" s="237">
        <f t="shared" si="807"/>
        <v>33</v>
      </c>
      <c r="CM908" s="253">
        <f t="shared" si="808"/>
        <v>4.8487499999999999</v>
      </c>
      <c r="CN908" s="253" cm="1">
        <f t="array" ref="CN908">$BC908 * IF($AD908&lt;=2,
SUMPRODUCT(INDEX($AL$62:$AN$66,,$AE908), INDEX($AO$62:$AU$66,,$AD908), 1 / ($AV$62:$AV$66*CM908 + (1-$AV$62:$AV$66)*CI908), N($AK$62:$AK$66&gt;$AI908)),
SUMPRODUCT(INDEX($AL$47:$AN$56,,$AE908), INDEX($AO$47:$AU$56,,$AD908), 1 / ($AW$47:$AW$56*CM908 + (1-$AW$47:$AW$56)*CI908), N($AK$47:$AK$56&gt;$AI908))
) / 1000</f>
        <v>0</v>
      </c>
      <c r="CO908" s="253" cm="1">
        <f t="array" ref="CO908">$BC908 * IF($AD908&lt;=2,
SUMPRODUCT(INDEX($AL$23:$AN$61,,$AE908), INDEX($AO$23:$AU$61,,$AD908), 1 / ($AV$23:$AV$61*CM908), N($AK$23:$AK$61&gt;$AI908)),
SUMPRODUCT(INDEX($AL$23:$AN$46,,$AE908), INDEX($AO$23:$AU$46,,$AD908), 1 / ($AW$23:$AW$46*CM908), N($AK$23:$AK$46&gt;$AI908))
) / 1000</f>
        <v>0</v>
      </c>
      <c r="CP908" s="237">
        <f t="shared" si="809"/>
        <v>0</v>
      </c>
      <c r="CQ908" s="210"/>
    </row>
    <row r="909" spans="1:95" s="76" customFormat="1" ht="14.25" customHeight="1" x14ac:dyDescent="0.2">
      <c r="A909" s="238" t="b">
        <f t="shared" si="776"/>
        <v>0</v>
      </c>
      <c r="B909" s="239">
        <v>887</v>
      </c>
      <c r="C909" s="258"/>
      <c r="D909" s="258"/>
      <c r="E909" s="240"/>
      <c r="F909" s="241" t="str">
        <f>IF(ISBLANK(E909), "", VLOOKUP(E909, Z!$A$2:$C$4127, 3, FALSE))</f>
        <v/>
      </c>
      <c r="G909" s="242"/>
      <c r="H909" s="242"/>
      <c r="I909" s="243"/>
      <c r="J909" s="244"/>
      <c r="K909" s="259"/>
      <c r="L909" s="260"/>
      <c r="M909" s="247" t="str" cm="1">
        <f t="array" ref="M909">IF($K909&gt;0, INDEX(Clean,1+AG909,$C$1), "")</f>
        <v/>
      </c>
      <c r="N909" s="245"/>
      <c r="O909" s="245"/>
      <c r="P909" s="246"/>
      <c r="Q909" s="248">
        <f t="shared" si="786"/>
        <v>0</v>
      </c>
      <c r="R909" s="247" t="str" cm="1">
        <f t="array" ref="R909">IF($K909&gt;0, INDEX(Clean,1+AH909,$C$1), "")</f>
        <v/>
      </c>
      <c r="S909" s="245"/>
      <c r="T909" s="245"/>
      <c r="U909" s="246"/>
      <c r="V909" s="248">
        <f t="shared" si="787"/>
        <v>0</v>
      </c>
      <c r="W909" s="261"/>
      <c r="X909" s="258"/>
      <c r="Y909" s="240"/>
      <c r="Z909" s="241" t="str">
        <f>IF(ISBLANK(Y909), "", VLOOKUP(Y909, Z!$A$2:$C$4127, 3, FALSE))</f>
        <v/>
      </c>
      <c r="AA909" s="262"/>
      <c r="AB909" s="249">
        <f t="shared" si="785"/>
        <v>0</v>
      </c>
      <c r="AC909" s="210"/>
      <c r="AD909" s="236">
        <f t="shared" si="810"/>
        <v>1</v>
      </c>
      <c r="AE909" s="236">
        <f t="shared" si="811"/>
        <v>1</v>
      </c>
      <c r="AF909" s="236">
        <f t="shared" si="812"/>
        <v>0</v>
      </c>
      <c r="AG909" s="236">
        <v>1</v>
      </c>
      <c r="AH909" s="236">
        <v>0</v>
      </c>
      <c r="AI909" s="236">
        <f t="shared" si="788"/>
        <v>-100</v>
      </c>
      <c r="AJ909" s="210"/>
      <c r="AK909" s="254"/>
      <c r="AL909" s="254"/>
      <c r="AM909" s="255"/>
      <c r="AN909" s="255"/>
      <c r="AO909" s="255"/>
      <c r="AP909" s="255"/>
      <c r="AQ909" s="255"/>
      <c r="AR909" s="255"/>
      <c r="AS909" s="255"/>
      <c r="AT909" s="255"/>
      <c r="AU909" s="255"/>
      <c r="AV909" s="255"/>
      <c r="AW909" s="255"/>
      <c r="AX909" s="210"/>
      <c r="AY909" s="236" cm="1">
        <f t="array" ref="AY909">INDEX(Use, $AD909, 4)</f>
        <v>7</v>
      </c>
      <c r="AZ909" s="236">
        <f t="shared" si="789"/>
        <v>32</v>
      </c>
      <c r="BA909" s="236">
        <f t="shared" si="777"/>
        <v>13</v>
      </c>
      <c r="BB909" s="236">
        <f t="shared" si="778"/>
        <v>0</v>
      </c>
      <c r="BC909" s="252" cm="1">
        <f t="array" ref="BC909">K909/IF($L909&gt;0, INDEX($AO$23:$AU$77, $L909+20, $AD909), 1)</f>
        <v>0</v>
      </c>
      <c r="BD909" s="237">
        <f t="shared" si="790"/>
        <v>0</v>
      </c>
      <c r="BE909" s="236">
        <v>35</v>
      </c>
      <c r="BF909" s="237">
        <f t="shared" si="791"/>
        <v>52.55</v>
      </c>
      <c r="BG909" s="253">
        <f t="shared" si="792"/>
        <v>2.7676728869374316</v>
      </c>
      <c r="BH909" s="253" cm="1">
        <f t="array" ref="BH909">$BC909 * SUMPRODUCT(INDEX($AL$77:$AN$82,,$AE909),INDEX($AO$77:$AU$82,,$AD909), N($AK$77:$AK$82&gt;$AI909)) / BG909 / 1000</f>
        <v>0</v>
      </c>
      <c r="BI909" s="250">
        <f t="shared" si="779"/>
        <v>30</v>
      </c>
      <c r="BJ909" s="237">
        <f t="shared" si="793"/>
        <v>46.033333333333331</v>
      </c>
      <c r="BK909" s="253">
        <f t="shared" si="794"/>
        <v>3.2297395388556791</v>
      </c>
      <c r="BL909" s="253" cm="1">
        <f t="array" ref="BL909">$BC909 * IF($AD909&lt;=2,
SUMPRODUCT(INDEX($AL$72:$AN$76,,$AE909), INDEX($AO$72:$AU$76,,$AD909), 1 / ($AV$72:$AV$76*BK909 + (1-$AV$72:$AV$76)*BG909), N($AK$72:$AK$76&gt;$AI909)),
SUMPRODUCT(INDEX($AL$67:$AN$76,,$AE909), INDEX($AO$67:$AU$76,,$AD909), 1 / ($AW$67:$AW$76*BK909 + (1-$AW$67:$AW$76)*BG909), N($AK$67:$AK$76&gt;$AI909))
) / 1000</f>
        <v>0</v>
      </c>
      <c r="BM909" s="250">
        <f t="shared" si="780"/>
        <v>25</v>
      </c>
      <c r="BN909" s="237">
        <f t="shared" si="795"/>
        <v>39.516666666666666</v>
      </c>
      <c r="BO909" s="253">
        <f t="shared" si="796"/>
        <v>3.877011788826243</v>
      </c>
      <c r="BP909" s="253" cm="1">
        <f t="array" ref="BP909">$BC909 * IF($AD909&lt;=2,
SUMPRODUCT(INDEX($AL$67:$AN$71,,$AE909), INDEX($AO$67:$AU$71,,$AD909), 1 / ($AV$67:$AV$71*BO909 + (1-$AV$67:$AV$71)*BK909), N($AK$67:$AK$71&gt;$AI909)),
SUMPRODUCT(INDEX($AL$57:$AN$66,,$AE909), INDEX($AO$57:$AU$66,,$AD909), 1 / ($AW$57:$AW$66*BO909 + (1-$AW$57:$AW$66)*BK909), N($AK$57:$AK$66&gt;$AI909))
) / 1000</f>
        <v>0</v>
      </c>
      <c r="BQ909" s="250">
        <f t="shared" si="781"/>
        <v>20</v>
      </c>
      <c r="BR909" s="237">
        <f t="shared" si="797"/>
        <v>33</v>
      </c>
      <c r="BS909" s="253">
        <f t="shared" si="798"/>
        <v>4.8487499999999999</v>
      </c>
      <c r="BT909" s="253" cm="1">
        <f t="array" ref="BT909">$BC909 * IF($AD909&lt;=2,
SUMPRODUCT(INDEX($AL$62:$AN$66,,$AE909), INDEX($AO$62:$AU$66,,$AD909), 1 / ($AV$62:$AV$66*BS909 + (1-$AV$62:$AV$66)*BO909), N($AK$62:$AK$66&gt;$AI909)),
SUMPRODUCT(INDEX($AL$47:$AN$56,,$AE909), INDEX($AO$47:$AU$56,,$AD909), 1 / ($AW$47:$AW$56*BS909 + (1-$AW$47:$AW$56)*BO909), N($AK$47:$AK$56&gt;$AI909))
) / 1000</f>
        <v>0</v>
      </c>
      <c r="BU909" s="253" cm="1">
        <f t="array" ref="BU909">$BC909 * IF($AD909&lt;=2,
SUMPRODUCT(INDEX($AL$23:$AN$61,,$AE909), INDEX($AO$23:$AU$61,,$AD909), 1 / ($AV$23:$AV$61*BS909), N($AK$23:$AK$61&gt;$AI909)),
SUMPRODUCT(INDEX($AL$23:$AN$46,,$AE909), INDEX($AO$23:$AU$46,,$AD909), 1 / ($AW$23:$AW$46*BS909), N($AK$23:$AK$46&gt;$AI909))
) / 1000</f>
        <v>0</v>
      </c>
      <c r="BV909" s="237">
        <f t="shared" si="799"/>
        <v>0</v>
      </c>
      <c r="BW909" s="210"/>
      <c r="BX909" s="237">
        <f t="shared" si="800"/>
        <v>0</v>
      </c>
      <c r="BY909" s="236">
        <v>35</v>
      </c>
      <c r="BZ909" s="237">
        <f t="shared" si="801"/>
        <v>48</v>
      </c>
      <c r="CA909" s="253">
        <f t="shared" si="802"/>
        <v>3.0748170731707316</v>
      </c>
      <c r="CB909" s="253" cm="1">
        <f t="array" ref="CB909">$BC909 * SUMPRODUCT(INDEX($AL$77:$AN$82,,$AE909),INDEX($AO$77:$AU$82,,$AD909), N($AK$77:$AK$82&gt;$AI909)) / CA909 / 1000</f>
        <v>0</v>
      </c>
      <c r="CC909" s="250">
        <f t="shared" si="782"/>
        <v>30</v>
      </c>
      <c r="CD909" s="237">
        <f t="shared" si="803"/>
        <v>43</v>
      </c>
      <c r="CE909" s="253">
        <f t="shared" si="804"/>
        <v>3.5018750000000001</v>
      </c>
      <c r="CF909" s="253" cm="1">
        <f t="array" ref="CF909">$BC909 * IF($AD909&lt;=2,
SUMPRODUCT(INDEX($AL$72:$AN$76,,$AE909), INDEX($AO$72:$AU$76,,$AD909), 1 / ($AV$72:$AV$76*CE909 + (1-$AV$72:$AV$76)*CA909), N($AK$72:$AK$76&gt;$AI909)),
SUMPRODUCT(INDEX($AL$67:$AN$76,,$AE909), INDEX($AO$67:$AU$76,,$AD909), 1 / ($AW$67:$AW$76*CE909 + (1-$AW$67:$AW$76)*CA909), N($AK$67:$AK$76&gt;$AI909))
) / 1000</f>
        <v>0</v>
      </c>
      <c r="CG909" s="250">
        <f t="shared" si="783"/>
        <v>25</v>
      </c>
      <c r="CH909" s="237">
        <f t="shared" si="805"/>
        <v>38</v>
      </c>
      <c r="CI909" s="253">
        <f t="shared" si="806"/>
        <v>4.0666935483870965</v>
      </c>
      <c r="CJ909" s="253" cm="1">
        <f t="array" ref="CJ909">$BC909 * IF($AD909&lt;=2,
SUMPRODUCT(INDEX($AL$67:$AN$71,,$AE909), INDEX($AO$67:$AU$71,,$AD909), 1 / ($AV$67:$AV$71*CI909 + (1-$AV$67:$AV$71)*CE909), N($AK$67:$AK$71&gt;$AI909)),
SUMPRODUCT(INDEX($AL$57:$AN$66,,$AE909), INDEX($AO$57:$AU$66,,$AD909), 1 / ($AW$57:$AW$66*CI909 + (1-$AW$57:$AW$66)*CE909), N($AK$57:$AK$66&gt;$AI909))
) / 1000</f>
        <v>0</v>
      </c>
      <c r="CK909" s="250">
        <f t="shared" si="784"/>
        <v>20</v>
      </c>
      <c r="CL909" s="237">
        <f t="shared" si="807"/>
        <v>33</v>
      </c>
      <c r="CM909" s="253">
        <f t="shared" si="808"/>
        <v>4.8487499999999999</v>
      </c>
      <c r="CN909" s="253" cm="1">
        <f t="array" ref="CN909">$BC909 * IF($AD909&lt;=2,
SUMPRODUCT(INDEX($AL$62:$AN$66,,$AE909), INDEX($AO$62:$AU$66,,$AD909), 1 / ($AV$62:$AV$66*CM909 + (1-$AV$62:$AV$66)*CI909), N($AK$62:$AK$66&gt;$AI909)),
SUMPRODUCT(INDEX($AL$47:$AN$56,,$AE909), INDEX($AO$47:$AU$56,,$AD909), 1 / ($AW$47:$AW$56*CM909 + (1-$AW$47:$AW$56)*CI909), N($AK$47:$AK$56&gt;$AI909))
) / 1000</f>
        <v>0</v>
      </c>
      <c r="CO909" s="253" cm="1">
        <f t="array" ref="CO909">$BC909 * IF($AD909&lt;=2,
SUMPRODUCT(INDEX($AL$23:$AN$61,,$AE909), INDEX($AO$23:$AU$61,,$AD909), 1 / ($AV$23:$AV$61*CM909), N($AK$23:$AK$61&gt;$AI909)),
SUMPRODUCT(INDEX($AL$23:$AN$46,,$AE909), INDEX($AO$23:$AU$46,,$AD909), 1 / ($AW$23:$AW$46*CM909), N($AK$23:$AK$46&gt;$AI909))
) / 1000</f>
        <v>0</v>
      </c>
      <c r="CP909" s="237">
        <f t="shared" si="809"/>
        <v>0</v>
      </c>
      <c r="CQ909" s="210"/>
    </row>
    <row r="910" spans="1:95" s="76" customFormat="1" ht="14.25" customHeight="1" x14ac:dyDescent="0.2">
      <c r="A910" s="238" t="b">
        <f t="shared" si="776"/>
        <v>0</v>
      </c>
      <c r="B910" s="239">
        <v>888</v>
      </c>
      <c r="C910" s="258"/>
      <c r="D910" s="258"/>
      <c r="E910" s="240"/>
      <c r="F910" s="241" t="str">
        <f>IF(ISBLANK(E910), "", VLOOKUP(E910, Z!$A$2:$C$4127, 3, FALSE))</f>
        <v/>
      </c>
      <c r="G910" s="242"/>
      <c r="H910" s="242"/>
      <c r="I910" s="243"/>
      <c r="J910" s="244"/>
      <c r="K910" s="259"/>
      <c r="L910" s="260"/>
      <c r="M910" s="247" t="str" cm="1">
        <f t="array" ref="M910">IF($K910&gt;0, INDEX(Clean,1+AG910,$C$1), "")</f>
        <v/>
      </c>
      <c r="N910" s="245"/>
      <c r="O910" s="245"/>
      <c r="P910" s="246"/>
      <c r="Q910" s="248">
        <f t="shared" si="786"/>
        <v>0</v>
      </c>
      <c r="R910" s="247" t="str" cm="1">
        <f t="array" ref="R910">IF($K910&gt;0, INDEX(Clean,1+AH910,$C$1), "")</f>
        <v/>
      </c>
      <c r="S910" s="245"/>
      <c r="T910" s="245"/>
      <c r="U910" s="246"/>
      <c r="V910" s="248">
        <f t="shared" si="787"/>
        <v>0</v>
      </c>
      <c r="W910" s="261"/>
      <c r="X910" s="258"/>
      <c r="Y910" s="240"/>
      <c r="Z910" s="241" t="str">
        <f>IF(ISBLANK(Y910), "", VLOOKUP(Y910, Z!$A$2:$C$4127, 3, FALSE))</f>
        <v/>
      </c>
      <c r="AA910" s="262"/>
      <c r="AB910" s="249">
        <f t="shared" si="785"/>
        <v>0</v>
      </c>
      <c r="AC910" s="210"/>
      <c r="AD910" s="236">
        <f t="shared" si="810"/>
        <v>1</v>
      </c>
      <c r="AE910" s="236">
        <f t="shared" si="811"/>
        <v>1</v>
      </c>
      <c r="AF910" s="236">
        <f t="shared" si="812"/>
        <v>0</v>
      </c>
      <c r="AG910" s="236">
        <v>1</v>
      </c>
      <c r="AH910" s="236">
        <v>0</v>
      </c>
      <c r="AI910" s="236">
        <f t="shared" si="788"/>
        <v>-100</v>
      </c>
      <c r="AJ910" s="210"/>
      <c r="AK910" s="254"/>
      <c r="AL910" s="254"/>
      <c r="AM910" s="255"/>
      <c r="AN910" s="255"/>
      <c r="AO910" s="255"/>
      <c r="AP910" s="255"/>
      <c r="AQ910" s="255"/>
      <c r="AR910" s="255"/>
      <c r="AS910" s="255"/>
      <c r="AT910" s="255"/>
      <c r="AU910" s="255"/>
      <c r="AV910" s="255"/>
      <c r="AW910" s="255"/>
      <c r="AX910" s="210"/>
      <c r="AY910" s="236" cm="1">
        <f t="array" ref="AY910">INDEX(Use, $AD910, 4)</f>
        <v>7</v>
      </c>
      <c r="AZ910" s="236">
        <f t="shared" si="789"/>
        <v>32</v>
      </c>
      <c r="BA910" s="236">
        <f t="shared" si="777"/>
        <v>13</v>
      </c>
      <c r="BB910" s="236">
        <f t="shared" si="778"/>
        <v>0</v>
      </c>
      <c r="BC910" s="252" cm="1">
        <f t="array" ref="BC910">K910/IF($L910&gt;0, INDEX($AO$23:$AU$77, $L910+20, $AD910), 1)</f>
        <v>0</v>
      </c>
      <c r="BD910" s="237">
        <f t="shared" si="790"/>
        <v>0</v>
      </c>
      <c r="BE910" s="236">
        <v>35</v>
      </c>
      <c r="BF910" s="237">
        <f t="shared" si="791"/>
        <v>52.55</v>
      </c>
      <c r="BG910" s="253">
        <f t="shared" si="792"/>
        <v>2.7676728869374316</v>
      </c>
      <c r="BH910" s="253" cm="1">
        <f t="array" ref="BH910">$BC910 * SUMPRODUCT(INDEX($AL$77:$AN$82,,$AE910),INDEX($AO$77:$AU$82,,$AD910), N($AK$77:$AK$82&gt;$AI910)) / BG910 / 1000</f>
        <v>0</v>
      </c>
      <c r="BI910" s="250">
        <f t="shared" si="779"/>
        <v>30</v>
      </c>
      <c r="BJ910" s="237">
        <f t="shared" si="793"/>
        <v>46.033333333333331</v>
      </c>
      <c r="BK910" s="253">
        <f t="shared" si="794"/>
        <v>3.2297395388556791</v>
      </c>
      <c r="BL910" s="253" cm="1">
        <f t="array" ref="BL910">$BC910 * IF($AD910&lt;=2,
SUMPRODUCT(INDEX($AL$72:$AN$76,,$AE910), INDEX($AO$72:$AU$76,,$AD910), 1 / ($AV$72:$AV$76*BK910 + (1-$AV$72:$AV$76)*BG910), N($AK$72:$AK$76&gt;$AI910)),
SUMPRODUCT(INDEX($AL$67:$AN$76,,$AE910), INDEX($AO$67:$AU$76,,$AD910), 1 / ($AW$67:$AW$76*BK910 + (1-$AW$67:$AW$76)*BG910), N($AK$67:$AK$76&gt;$AI910))
) / 1000</f>
        <v>0</v>
      </c>
      <c r="BM910" s="250">
        <f t="shared" si="780"/>
        <v>25</v>
      </c>
      <c r="BN910" s="237">
        <f t="shared" si="795"/>
        <v>39.516666666666666</v>
      </c>
      <c r="BO910" s="253">
        <f t="shared" si="796"/>
        <v>3.877011788826243</v>
      </c>
      <c r="BP910" s="253" cm="1">
        <f t="array" ref="BP910">$BC910 * IF($AD910&lt;=2,
SUMPRODUCT(INDEX($AL$67:$AN$71,,$AE910), INDEX($AO$67:$AU$71,,$AD910), 1 / ($AV$67:$AV$71*BO910 + (1-$AV$67:$AV$71)*BK910), N($AK$67:$AK$71&gt;$AI910)),
SUMPRODUCT(INDEX($AL$57:$AN$66,,$AE910), INDEX($AO$57:$AU$66,,$AD910), 1 / ($AW$57:$AW$66*BO910 + (1-$AW$57:$AW$66)*BK910), N($AK$57:$AK$66&gt;$AI910))
) / 1000</f>
        <v>0</v>
      </c>
      <c r="BQ910" s="250">
        <f t="shared" si="781"/>
        <v>20</v>
      </c>
      <c r="BR910" s="237">
        <f t="shared" si="797"/>
        <v>33</v>
      </c>
      <c r="BS910" s="253">
        <f t="shared" si="798"/>
        <v>4.8487499999999999</v>
      </c>
      <c r="BT910" s="253" cm="1">
        <f t="array" ref="BT910">$BC910 * IF($AD910&lt;=2,
SUMPRODUCT(INDEX($AL$62:$AN$66,,$AE910), INDEX($AO$62:$AU$66,,$AD910), 1 / ($AV$62:$AV$66*BS910 + (1-$AV$62:$AV$66)*BO910), N($AK$62:$AK$66&gt;$AI910)),
SUMPRODUCT(INDEX($AL$47:$AN$56,,$AE910), INDEX($AO$47:$AU$56,,$AD910), 1 / ($AW$47:$AW$56*BS910 + (1-$AW$47:$AW$56)*BO910), N($AK$47:$AK$56&gt;$AI910))
) / 1000</f>
        <v>0</v>
      </c>
      <c r="BU910" s="253" cm="1">
        <f t="array" ref="BU910">$BC910 * IF($AD910&lt;=2,
SUMPRODUCT(INDEX($AL$23:$AN$61,,$AE910), INDEX($AO$23:$AU$61,,$AD910), 1 / ($AV$23:$AV$61*BS910), N($AK$23:$AK$61&gt;$AI910)),
SUMPRODUCT(INDEX($AL$23:$AN$46,,$AE910), INDEX($AO$23:$AU$46,,$AD910), 1 / ($AW$23:$AW$46*BS910), N($AK$23:$AK$46&gt;$AI910))
) / 1000</f>
        <v>0</v>
      </c>
      <c r="BV910" s="237">
        <f t="shared" si="799"/>
        <v>0</v>
      </c>
      <c r="BW910" s="210"/>
      <c r="BX910" s="237">
        <f t="shared" si="800"/>
        <v>0</v>
      </c>
      <c r="BY910" s="236">
        <v>35</v>
      </c>
      <c r="BZ910" s="237">
        <f t="shared" si="801"/>
        <v>48</v>
      </c>
      <c r="CA910" s="253">
        <f t="shared" si="802"/>
        <v>3.0748170731707316</v>
      </c>
      <c r="CB910" s="253" cm="1">
        <f t="array" ref="CB910">$BC910 * SUMPRODUCT(INDEX($AL$77:$AN$82,,$AE910),INDEX($AO$77:$AU$82,,$AD910), N($AK$77:$AK$82&gt;$AI910)) / CA910 / 1000</f>
        <v>0</v>
      </c>
      <c r="CC910" s="250">
        <f t="shared" si="782"/>
        <v>30</v>
      </c>
      <c r="CD910" s="237">
        <f t="shared" si="803"/>
        <v>43</v>
      </c>
      <c r="CE910" s="253">
        <f t="shared" si="804"/>
        <v>3.5018750000000001</v>
      </c>
      <c r="CF910" s="253" cm="1">
        <f t="array" ref="CF910">$BC910 * IF($AD910&lt;=2,
SUMPRODUCT(INDEX($AL$72:$AN$76,,$AE910), INDEX($AO$72:$AU$76,,$AD910), 1 / ($AV$72:$AV$76*CE910 + (1-$AV$72:$AV$76)*CA910), N($AK$72:$AK$76&gt;$AI910)),
SUMPRODUCT(INDEX($AL$67:$AN$76,,$AE910), INDEX($AO$67:$AU$76,,$AD910), 1 / ($AW$67:$AW$76*CE910 + (1-$AW$67:$AW$76)*CA910), N($AK$67:$AK$76&gt;$AI910))
) / 1000</f>
        <v>0</v>
      </c>
      <c r="CG910" s="250">
        <f t="shared" si="783"/>
        <v>25</v>
      </c>
      <c r="CH910" s="237">
        <f t="shared" si="805"/>
        <v>38</v>
      </c>
      <c r="CI910" s="253">
        <f t="shared" si="806"/>
        <v>4.0666935483870965</v>
      </c>
      <c r="CJ910" s="253" cm="1">
        <f t="array" ref="CJ910">$BC910 * IF($AD910&lt;=2,
SUMPRODUCT(INDEX($AL$67:$AN$71,,$AE910), INDEX($AO$67:$AU$71,,$AD910), 1 / ($AV$67:$AV$71*CI910 + (1-$AV$67:$AV$71)*CE910), N($AK$67:$AK$71&gt;$AI910)),
SUMPRODUCT(INDEX($AL$57:$AN$66,,$AE910), INDEX($AO$57:$AU$66,,$AD910), 1 / ($AW$57:$AW$66*CI910 + (1-$AW$57:$AW$66)*CE910), N($AK$57:$AK$66&gt;$AI910))
) / 1000</f>
        <v>0</v>
      </c>
      <c r="CK910" s="250">
        <f t="shared" si="784"/>
        <v>20</v>
      </c>
      <c r="CL910" s="237">
        <f t="shared" si="807"/>
        <v>33</v>
      </c>
      <c r="CM910" s="253">
        <f t="shared" si="808"/>
        <v>4.8487499999999999</v>
      </c>
      <c r="CN910" s="253" cm="1">
        <f t="array" ref="CN910">$BC910 * IF($AD910&lt;=2,
SUMPRODUCT(INDEX($AL$62:$AN$66,,$AE910), INDEX($AO$62:$AU$66,,$AD910), 1 / ($AV$62:$AV$66*CM910 + (1-$AV$62:$AV$66)*CI910), N($AK$62:$AK$66&gt;$AI910)),
SUMPRODUCT(INDEX($AL$47:$AN$56,,$AE910), INDEX($AO$47:$AU$56,,$AD910), 1 / ($AW$47:$AW$56*CM910 + (1-$AW$47:$AW$56)*CI910), N($AK$47:$AK$56&gt;$AI910))
) / 1000</f>
        <v>0</v>
      </c>
      <c r="CO910" s="253" cm="1">
        <f t="array" ref="CO910">$BC910 * IF($AD910&lt;=2,
SUMPRODUCT(INDEX($AL$23:$AN$61,,$AE910), INDEX($AO$23:$AU$61,,$AD910), 1 / ($AV$23:$AV$61*CM910), N($AK$23:$AK$61&gt;$AI910)),
SUMPRODUCT(INDEX($AL$23:$AN$46,,$AE910), INDEX($AO$23:$AU$46,,$AD910), 1 / ($AW$23:$AW$46*CM910), N($AK$23:$AK$46&gt;$AI910))
) / 1000</f>
        <v>0</v>
      </c>
      <c r="CP910" s="237">
        <f t="shared" si="809"/>
        <v>0</v>
      </c>
      <c r="CQ910" s="210"/>
    </row>
    <row r="911" spans="1:95" s="76" customFormat="1" ht="14.25" customHeight="1" x14ac:dyDescent="0.2">
      <c r="A911" s="238" t="b">
        <f t="shared" si="776"/>
        <v>0</v>
      </c>
      <c r="B911" s="239">
        <v>889</v>
      </c>
      <c r="C911" s="258"/>
      <c r="D911" s="258"/>
      <c r="E911" s="240"/>
      <c r="F911" s="241" t="str">
        <f>IF(ISBLANK(E911), "", VLOOKUP(E911, Z!$A$2:$C$4127, 3, FALSE))</f>
        <v/>
      </c>
      <c r="G911" s="242"/>
      <c r="H911" s="242"/>
      <c r="I911" s="243"/>
      <c r="J911" s="244"/>
      <c r="K911" s="259"/>
      <c r="L911" s="260"/>
      <c r="M911" s="247" t="str" cm="1">
        <f t="array" ref="M911">IF($K911&gt;0, INDEX(Clean,1+AG911,$C$1), "")</f>
        <v/>
      </c>
      <c r="N911" s="245"/>
      <c r="O911" s="245"/>
      <c r="P911" s="246"/>
      <c r="Q911" s="248">
        <f t="shared" si="786"/>
        <v>0</v>
      </c>
      <c r="R911" s="247" t="str" cm="1">
        <f t="array" ref="R911">IF($K911&gt;0, INDEX(Clean,1+AH911,$C$1), "")</f>
        <v/>
      </c>
      <c r="S911" s="245"/>
      <c r="T911" s="245"/>
      <c r="U911" s="246"/>
      <c r="V911" s="248">
        <f t="shared" si="787"/>
        <v>0</v>
      </c>
      <c r="W911" s="261"/>
      <c r="X911" s="258"/>
      <c r="Y911" s="240"/>
      <c r="Z911" s="241" t="str">
        <f>IF(ISBLANK(Y911), "", VLOOKUP(Y911, Z!$A$2:$C$4127, 3, FALSE))</f>
        <v/>
      </c>
      <c r="AA911" s="262"/>
      <c r="AB911" s="249">
        <f t="shared" si="785"/>
        <v>0</v>
      </c>
      <c r="AC911" s="210"/>
      <c r="AD911" s="236">
        <f t="shared" si="810"/>
        <v>1</v>
      </c>
      <c r="AE911" s="236">
        <f t="shared" si="811"/>
        <v>1</v>
      </c>
      <c r="AF911" s="236">
        <f t="shared" si="812"/>
        <v>0</v>
      </c>
      <c r="AG911" s="236">
        <v>1</v>
      </c>
      <c r="AH911" s="236">
        <v>0</v>
      </c>
      <c r="AI911" s="236">
        <f t="shared" si="788"/>
        <v>-100</v>
      </c>
      <c r="AJ911" s="210"/>
      <c r="AK911" s="254"/>
      <c r="AL911" s="254"/>
      <c r="AM911" s="255"/>
      <c r="AN911" s="255"/>
      <c r="AO911" s="255"/>
      <c r="AP911" s="255"/>
      <c r="AQ911" s="255"/>
      <c r="AR911" s="255"/>
      <c r="AS911" s="255"/>
      <c r="AT911" s="255"/>
      <c r="AU911" s="255"/>
      <c r="AV911" s="255"/>
      <c r="AW911" s="255"/>
      <c r="AX911" s="210"/>
      <c r="AY911" s="236" cm="1">
        <f t="array" ref="AY911">INDEX(Use, $AD911, 4)</f>
        <v>7</v>
      </c>
      <c r="AZ911" s="236">
        <f t="shared" si="789"/>
        <v>32</v>
      </c>
      <c r="BA911" s="236">
        <f t="shared" si="777"/>
        <v>13</v>
      </c>
      <c r="BB911" s="236">
        <f t="shared" si="778"/>
        <v>0</v>
      </c>
      <c r="BC911" s="252" cm="1">
        <f t="array" ref="BC911">K911/IF($L911&gt;0, INDEX($AO$23:$AU$77, $L911+20, $AD911), 1)</f>
        <v>0</v>
      </c>
      <c r="BD911" s="237">
        <f t="shared" si="790"/>
        <v>0</v>
      </c>
      <c r="BE911" s="236">
        <v>35</v>
      </c>
      <c r="BF911" s="237">
        <f t="shared" si="791"/>
        <v>52.55</v>
      </c>
      <c r="BG911" s="253">
        <f t="shared" si="792"/>
        <v>2.7676728869374316</v>
      </c>
      <c r="BH911" s="253" cm="1">
        <f t="array" ref="BH911">$BC911 * SUMPRODUCT(INDEX($AL$77:$AN$82,,$AE911),INDEX($AO$77:$AU$82,,$AD911), N($AK$77:$AK$82&gt;$AI911)) / BG911 / 1000</f>
        <v>0</v>
      </c>
      <c r="BI911" s="250">
        <f t="shared" si="779"/>
        <v>30</v>
      </c>
      <c r="BJ911" s="237">
        <f t="shared" si="793"/>
        <v>46.033333333333331</v>
      </c>
      <c r="BK911" s="253">
        <f t="shared" si="794"/>
        <v>3.2297395388556791</v>
      </c>
      <c r="BL911" s="253" cm="1">
        <f t="array" ref="BL911">$BC911 * IF($AD911&lt;=2,
SUMPRODUCT(INDEX($AL$72:$AN$76,,$AE911), INDEX($AO$72:$AU$76,,$AD911), 1 / ($AV$72:$AV$76*BK911 + (1-$AV$72:$AV$76)*BG911), N($AK$72:$AK$76&gt;$AI911)),
SUMPRODUCT(INDEX($AL$67:$AN$76,,$AE911), INDEX($AO$67:$AU$76,,$AD911), 1 / ($AW$67:$AW$76*BK911 + (1-$AW$67:$AW$76)*BG911), N($AK$67:$AK$76&gt;$AI911))
) / 1000</f>
        <v>0</v>
      </c>
      <c r="BM911" s="250">
        <f t="shared" si="780"/>
        <v>25</v>
      </c>
      <c r="BN911" s="237">
        <f t="shared" si="795"/>
        <v>39.516666666666666</v>
      </c>
      <c r="BO911" s="253">
        <f t="shared" si="796"/>
        <v>3.877011788826243</v>
      </c>
      <c r="BP911" s="253" cm="1">
        <f t="array" ref="BP911">$BC911 * IF($AD911&lt;=2,
SUMPRODUCT(INDEX($AL$67:$AN$71,,$AE911), INDEX($AO$67:$AU$71,,$AD911), 1 / ($AV$67:$AV$71*BO911 + (1-$AV$67:$AV$71)*BK911), N($AK$67:$AK$71&gt;$AI911)),
SUMPRODUCT(INDEX($AL$57:$AN$66,,$AE911), INDEX($AO$57:$AU$66,,$AD911), 1 / ($AW$57:$AW$66*BO911 + (1-$AW$57:$AW$66)*BK911), N($AK$57:$AK$66&gt;$AI911))
) / 1000</f>
        <v>0</v>
      </c>
      <c r="BQ911" s="250">
        <f t="shared" si="781"/>
        <v>20</v>
      </c>
      <c r="BR911" s="237">
        <f t="shared" si="797"/>
        <v>33</v>
      </c>
      <c r="BS911" s="253">
        <f t="shared" si="798"/>
        <v>4.8487499999999999</v>
      </c>
      <c r="BT911" s="253" cm="1">
        <f t="array" ref="BT911">$BC911 * IF($AD911&lt;=2,
SUMPRODUCT(INDEX($AL$62:$AN$66,,$AE911), INDEX($AO$62:$AU$66,,$AD911), 1 / ($AV$62:$AV$66*BS911 + (1-$AV$62:$AV$66)*BO911), N($AK$62:$AK$66&gt;$AI911)),
SUMPRODUCT(INDEX($AL$47:$AN$56,,$AE911), INDEX($AO$47:$AU$56,,$AD911), 1 / ($AW$47:$AW$56*BS911 + (1-$AW$47:$AW$56)*BO911), N($AK$47:$AK$56&gt;$AI911))
) / 1000</f>
        <v>0</v>
      </c>
      <c r="BU911" s="253" cm="1">
        <f t="array" ref="BU911">$BC911 * IF($AD911&lt;=2,
SUMPRODUCT(INDEX($AL$23:$AN$61,,$AE911), INDEX($AO$23:$AU$61,,$AD911), 1 / ($AV$23:$AV$61*BS911), N($AK$23:$AK$61&gt;$AI911)),
SUMPRODUCT(INDEX($AL$23:$AN$46,,$AE911), INDEX($AO$23:$AU$46,,$AD911), 1 / ($AW$23:$AW$46*BS911), N($AK$23:$AK$46&gt;$AI911))
) / 1000</f>
        <v>0</v>
      </c>
      <c r="BV911" s="237">
        <f t="shared" si="799"/>
        <v>0</v>
      </c>
      <c r="BW911" s="210"/>
      <c r="BX911" s="237">
        <f t="shared" si="800"/>
        <v>0</v>
      </c>
      <c r="BY911" s="236">
        <v>35</v>
      </c>
      <c r="BZ911" s="237">
        <f t="shared" si="801"/>
        <v>48</v>
      </c>
      <c r="CA911" s="253">
        <f t="shared" si="802"/>
        <v>3.0748170731707316</v>
      </c>
      <c r="CB911" s="253" cm="1">
        <f t="array" ref="CB911">$BC911 * SUMPRODUCT(INDEX($AL$77:$AN$82,,$AE911),INDEX($AO$77:$AU$82,,$AD911), N($AK$77:$AK$82&gt;$AI911)) / CA911 / 1000</f>
        <v>0</v>
      </c>
      <c r="CC911" s="250">
        <f t="shared" si="782"/>
        <v>30</v>
      </c>
      <c r="CD911" s="237">
        <f t="shared" si="803"/>
        <v>43</v>
      </c>
      <c r="CE911" s="253">
        <f t="shared" si="804"/>
        <v>3.5018750000000001</v>
      </c>
      <c r="CF911" s="253" cm="1">
        <f t="array" ref="CF911">$BC911 * IF($AD911&lt;=2,
SUMPRODUCT(INDEX($AL$72:$AN$76,,$AE911), INDEX($AO$72:$AU$76,,$AD911), 1 / ($AV$72:$AV$76*CE911 + (1-$AV$72:$AV$76)*CA911), N($AK$72:$AK$76&gt;$AI911)),
SUMPRODUCT(INDEX($AL$67:$AN$76,,$AE911), INDEX($AO$67:$AU$76,,$AD911), 1 / ($AW$67:$AW$76*CE911 + (1-$AW$67:$AW$76)*CA911), N($AK$67:$AK$76&gt;$AI911))
) / 1000</f>
        <v>0</v>
      </c>
      <c r="CG911" s="250">
        <f t="shared" si="783"/>
        <v>25</v>
      </c>
      <c r="CH911" s="237">
        <f t="shared" si="805"/>
        <v>38</v>
      </c>
      <c r="CI911" s="253">
        <f t="shared" si="806"/>
        <v>4.0666935483870965</v>
      </c>
      <c r="CJ911" s="253" cm="1">
        <f t="array" ref="CJ911">$BC911 * IF($AD911&lt;=2,
SUMPRODUCT(INDEX($AL$67:$AN$71,,$AE911), INDEX($AO$67:$AU$71,,$AD911), 1 / ($AV$67:$AV$71*CI911 + (1-$AV$67:$AV$71)*CE911), N($AK$67:$AK$71&gt;$AI911)),
SUMPRODUCT(INDEX($AL$57:$AN$66,,$AE911), INDEX($AO$57:$AU$66,,$AD911), 1 / ($AW$57:$AW$66*CI911 + (1-$AW$57:$AW$66)*CE911), N($AK$57:$AK$66&gt;$AI911))
) / 1000</f>
        <v>0</v>
      </c>
      <c r="CK911" s="250">
        <f t="shared" si="784"/>
        <v>20</v>
      </c>
      <c r="CL911" s="237">
        <f t="shared" si="807"/>
        <v>33</v>
      </c>
      <c r="CM911" s="253">
        <f t="shared" si="808"/>
        <v>4.8487499999999999</v>
      </c>
      <c r="CN911" s="253" cm="1">
        <f t="array" ref="CN911">$BC911 * IF($AD911&lt;=2,
SUMPRODUCT(INDEX($AL$62:$AN$66,,$AE911), INDEX($AO$62:$AU$66,,$AD911), 1 / ($AV$62:$AV$66*CM911 + (1-$AV$62:$AV$66)*CI911), N($AK$62:$AK$66&gt;$AI911)),
SUMPRODUCT(INDEX($AL$47:$AN$56,,$AE911), INDEX($AO$47:$AU$56,,$AD911), 1 / ($AW$47:$AW$56*CM911 + (1-$AW$47:$AW$56)*CI911), N($AK$47:$AK$56&gt;$AI911))
) / 1000</f>
        <v>0</v>
      </c>
      <c r="CO911" s="253" cm="1">
        <f t="array" ref="CO911">$BC911 * IF($AD911&lt;=2,
SUMPRODUCT(INDEX($AL$23:$AN$61,,$AE911), INDEX($AO$23:$AU$61,,$AD911), 1 / ($AV$23:$AV$61*CM911), N($AK$23:$AK$61&gt;$AI911)),
SUMPRODUCT(INDEX($AL$23:$AN$46,,$AE911), INDEX($AO$23:$AU$46,,$AD911), 1 / ($AW$23:$AW$46*CM911), N($AK$23:$AK$46&gt;$AI911))
) / 1000</f>
        <v>0</v>
      </c>
      <c r="CP911" s="237">
        <f t="shared" si="809"/>
        <v>0</v>
      </c>
      <c r="CQ911" s="210"/>
    </row>
    <row r="912" spans="1:95" s="76" customFormat="1" ht="14.25" customHeight="1" x14ac:dyDescent="0.2">
      <c r="A912" s="238" t="b">
        <f t="shared" si="776"/>
        <v>0</v>
      </c>
      <c r="B912" s="239">
        <v>890</v>
      </c>
      <c r="C912" s="258"/>
      <c r="D912" s="258"/>
      <c r="E912" s="240"/>
      <c r="F912" s="241" t="str">
        <f>IF(ISBLANK(E912), "", VLOOKUP(E912, Z!$A$2:$C$4127, 3, FALSE))</f>
        <v/>
      </c>
      <c r="G912" s="242"/>
      <c r="H912" s="242"/>
      <c r="I912" s="243"/>
      <c r="J912" s="244"/>
      <c r="K912" s="259"/>
      <c r="L912" s="260"/>
      <c r="M912" s="247" t="str" cm="1">
        <f t="array" ref="M912">IF($K912&gt;0, INDEX(Clean,1+AG912,$C$1), "")</f>
        <v/>
      </c>
      <c r="N912" s="245"/>
      <c r="O912" s="245"/>
      <c r="P912" s="246"/>
      <c r="Q912" s="248">
        <f t="shared" si="786"/>
        <v>0</v>
      </c>
      <c r="R912" s="247" t="str" cm="1">
        <f t="array" ref="R912">IF($K912&gt;0, INDEX(Clean,1+AH912,$C$1), "")</f>
        <v/>
      </c>
      <c r="S912" s="245"/>
      <c r="T912" s="245"/>
      <c r="U912" s="246"/>
      <c r="V912" s="248">
        <f t="shared" si="787"/>
        <v>0</v>
      </c>
      <c r="W912" s="261"/>
      <c r="X912" s="258"/>
      <c r="Y912" s="240"/>
      <c r="Z912" s="241" t="str">
        <f>IF(ISBLANK(Y912), "", VLOOKUP(Y912, Z!$A$2:$C$4127, 3, FALSE))</f>
        <v/>
      </c>
      <c r="AA912" s="262"/>
      <c r="AB912" s="249">
        <f t="shared" si="785"/>
        <v>0</v>
      </c>
      <c r="AC912" s="210"/>
      <c r="AD912" s="236">
        <f t="shared" si="810"/>
        <v>1</v>
      </c>
      <c r="AE912" s="236">
        <f t="shared" si="811"/>
        <v>1</v>
      </c>
      <c r="AF912" s="236">
        <f t="shared" si="812"/>
        <v>0</v>
      </c>
      <c r="AG912" s="236">
        <v>1</v>
      </c>
      <c r="AH912" s="236">
        <v>0</v>
      </c>
      <c r="AI912" s="236">
        <f t="shared" si="788"/>
        <v>-100</v>
      </c>
      <c r="AJ912" s="210"/>
      <c r="AK912" s="254"/>
      <c r="AL912" s="254"/>
      <c r="AM912" s="255"/>
      <c r="AN912" s="255"/>
      <c r="AO912" s="255"/>
      <c r="AP912" s="255"/>
      <c r="AQ912" s="255"/>
      <c r="AR912" s="255"/>
      <c r="AS912" s="255"/>
      <c r="AT912" s="255"/>
      <c r="AU912" s="255"/>
      <c r="AV912" s="255"/>
      <c r="AW912" s="255"/>
      <c r="AX912" s="210"/>
      <c r="AY912" s="236" cm="1">
        <f t="array" ref="AY912">INDEX(Use, $AD912, 4)</f>
        <v>7</v>
      </c>
      <c r="AZ912" s="236">
        <f t="shared" si="789"/>
        <v>32</v>
      </c>
      <c r="BA912" s="236">
        <f t="shared" si="777"/>
        <v>13</v>
      </c>
      <c r="BB912" s="236">
        <f t="shared" si="778"/>
        <v>0</v>
      </c>
      <c r="BC912" s="252" cm="1">
        <f t="array" ref="BC912">K912/IF($L912&gt;0, INDEX($AO$23:$AU$77, $L912+20, $AD912), 1)</f>
        <v>0</v>
      </c>
      <c r="BD912" s="237">
        <f t="shared" si="790"/>
        <v>0</v>
      </c>
      <c r="BE912" s="236">
        <v>35</v>
      </c>
      <c r="BF912" s="237">
        <f t="shared" si="791"/>
        <v>52.55</v>
      </c>
      <c r="BG912" s="253">
        <f t="shared" si="792"/>
        <v>2.7676728869374316</v>
      </c>
      <c r="BH912" s="253" cm="1">
        <f t="array" ref="BH912">$BC912 * SUMPRODUCT(INDEX($AL$77:$AN$82,,$AE912),INDEX($AO$77:$AU$82,,$AD912), N($AK$77:$AK$82&gt;$AI912)) / BG912 / 1000</f>
        <v>0</v>
      </c>
      <c r="BI912" s="250">
        <f t="shared" si="779"/>
        <v>30</v>
      </c>
      <c r="BJ912" s="237">
        <f t="shared" si="793"/>
        <v>46.033333333333331</v>
      </c>
      <c r="BK912" s="253">
        <f t="shared" si="794"/>
        <v>3.2297395388556791</v>
      </c>
      <c r="BL912" s="253" cm="1">
        <f t="array" ref="BL912">$BC912 * IF($AD912&lt;=2,
SUMPRODUCT(INDEX($AL$72:$AN$76,,$AE912), INDEX($AO$72:$AU$76,,$AD912), 1 / ($AV$72:$AV$76*BK912 + (1-$AV$72:$AV$76)*BG912), N($AK$72:$AK$76&gt;$AI912)),
SUMPRODUCT(INDEX($AL$67:$AN$76,,$AE912), INDEX($AO$67:$AU$76,,$AD912), 1 / ($AW$67:$AW$76*BK912 + (1-$AW$67:$AW$76)*BG912), N($AK$67:$AK$76&gt;$AI912))
) / 1000</f>
        <v>0</v>
      </c>
      <c r="BM912" s="250">
        <f t="shared" si="780"/>
        <v>25</v>
      </c>
      <c r="BN912" s="237">
        <f t="shared" si="795"/>
        <v>39.516666666666666</v>
      </c>
      <c r="BO912" s="253">
        <f t="shared" si="796"/>
        <v>3.877011788826243</v>
      </c>
      <c r="BP912" s="253" cm="1">
        <f t="array" ref="BP912">$BC912 * IF($AD912&lt;=2,
SUMPRODUCT(INDEX($AL$67:$AN$71,,$AE912), INDEX($AO$67:$AU$71,,$AD912), 1 / ($AV$67:$AV$71*BO912 + (1-$AV$67:$AV$71)*BK912), N($AK$67:$AK$71&gt;$AI912)),
SUMPRODUCT(INDEX($AL$57:$AN$66,,$AE912), INDEX($AO$57:$AU$66,,$AD912), 1 / ($AW$57:$AW$66*BO912 + (1-$AW$57:$AW$66)*BK912), N($AK$57:$AK$66&gt;$AI912))
) / 1000</f>
        <v>0</v>
      </c>
      <c r="BQ912" s="250">
        <f t="shared" si="781"/>
        <v>20</v>
      </c>
      <c r="BR912" s="237">
        <f t="shared" si="797"/>
        <v>33</v>
      </c>
      <c r="BS912" s="253">
        <f t="shared" si="798"/>
        <v>4.8487499999999999</v>
      </c>
      <c r="BT912" s="253" cm="1">
        <f t="array" ref="BT912">$BC912 * IF($AD912&lt;=2,
SUMPRODUCT(INDEX($AL$62:$AN$66,,$AE912), INDEX($AO$62:$AU$66,,$AD912), 1 / ($AV$62:$AV$66*BS912 + (1-$AV$62:$AV$66)*BO912), N($AK$62:$AK$66&gt;$AI912)),
SUMPRODUCT(INDEX($AL$47:$AN$56,,$AE912), INDEX($AO$47:$AU$56,,$AD912), 1 / ($AW$47:$AW$56*BS912 + (1-$AW$47:$AW$56)*BO912), N($AK$47:$AK$56&gt;$AI912))
) / 1000</f>
        <v>0</v>
      </c>
      <c r="BU912" s="253" cm="1">
        <f t="array" ref="BU912">$BC912 * IF($AD912&lt;=2,
SUMPRODUCT(INDEX($AL$23:$AN$61,,$AE912), INDEX($AO$23:$AU$61,,$AD912), 1 / ($AV$23:$AV$61*BS912), N($AK$23:$AK$61&gt;$AI912)),
SUMPRODUCT(INDEX($AL$23:$AN$46,,$AE912), INDEX($AO$23:$AU$46,,$AD912), 1 / ($AW$23:$AW$46*BS912), N($AK$23:$AK$46&gt;$AI912))
) / 1000</f>
        <v>0</v>
      </c>
      <c r="BV912" s="237">
        <f t="shared" si="799"/>
        <v>0</v>
      </c>
      <c r="BW912" s="210"/>
      <c r="BX912" s="237">
        <f t="shared" si="800"/>
        <v>0</v>
      </c>
      <c r="BY912" s="236">
        <v>35</v>
      </c>
      <c r="BZ912" s="237">
        <f t="shared" si="801"/>
        <v>48</v>
      </c>
      <c r="CA912" s="253">
        <f t="shared" si="802"/>
        <v>3.0748170731707316</v>
      </c>
      <c r="CB912" s="253" cm="1">
        <f t="array" ref="CB912">$BC912 * SUMPRODUCT(INDEX($AL$77:$AN$82,,$AE912),INDEX($AO$77:$AU$82,,$AD912), N($AK$77:$AK$82&gt;$AI912)) / CA912 / 1000</f>
        <v>0</v>
      </c>
      <c r="CC912" s="250">
        <f t="shared" si="782"/>
        <v>30</v>
      </c>
      <c r="CD912" s="237">
        <f t="shared" si="803"/>
        <v>43</v>
      </c>
      <c r="CE912" s="253">
        <f t="shared" si="804"/>
        <v>3.5018750000000001</v>
      </c>
      <c r="CF912" s="253" cm="1">
        <f t="array" ref="CF912">$BC912 * IF($AD912&lt;=2,
SUMPRODUCT(INDEX($AL$72:$AN$76,,$AE912), INDEX($AO$72:$AU$76,,$AD912), 1 / ($AV$72:$AV$76*CE912 + (1-$AV$72:$AV$76)*CA912), N($AK$72:$AK$76&gt;$AI912)),
SUMPRODUCT(INDEX($AL$67:$AN$76,,$AE912), INDEX($AO$67:$AU$76,,$AD912), 1 / ($AW$67:$AW$76*CE912 + (1-$AW$67:$AW$76)*CA912), N($AK$67:$AK$76&gt;$AI912))
) / 1000</f>
        <v>0</v>
      </c>
      <c r="CG912" s="250">
        <f t="shared" si="783"/>
        <v>25</v>
      </c>
      <c r="CH912" s="237">
        <f t="shared" si="805"/>
        <v>38</v>
      </c>
      <c r="CI912" s="253">
        <f t="shared" si="806"/>
        <v>4.0666935483870965</v>
      </c>
      <c r="CJ912" s="253" cm="1">
        <f t="array" ref="CJ912">$BC912 * IF($AD912&lt;=2,
SUMPRODUCT(INDEX($AL$67:$AN$71,,$AE912), INDEX($AO$67:$AU$71,,$AD912), 1 / ($AV$67:$AV$71*CI912 + (1-$AV$67:$AV$71)*CE912), N($AK$67:$AK$71&gt;$AI912)),
SUMPRODUCT(INDEX($AL$57:$AN$66,,$AE912), INDEX($AO$57:$AU$66,,$AD912), 1 / ($AW$57:$AW$66*CI912 + (1-$AW$57:$AW$66)*CE912), N($AK$57:$AK$66&gt;$AI912))
) / 1000</f>
        <v>0</v>
      </c>
      <c r="CK912" s="250">
        <f t="shared" si="784"/>
        <v>20</v>
      </c>
      <c r="CL912" s="237">
        <f t="shared" si="807"/>
        <v>33</v>
      </c>
      <c r="CM912" s="253">
        <f t="shared" si="808"/>
        <v>4.8487499999999999</v>
      </c>
      <c r="CN912" s="253" cm="1">
        <f t="array" ref="CN912">$BC912 * IF($AD912&lt;=2,
SUMPRODUCT(INDEX($AL$62:$AN$66,,$AE912), INDEX($AO$62:$AU$66,,$AD912), 1 / ($AV$62:$AV$66*CM912 + (1-$AV$62:$AV$66)*CI912), N($AK$62:$AK$66&gt;$AI912)),
SUMPRODUCT(INDEX($AL$47:$AN$56,,$AE912), INDEX($AO$47:$AU$56,,$AD912), 1 / ($AW$47:$AW$56*CM912 + (1-$AW$47:$AW$56)*CI912), N($AK$47:$AK$56&gt;$AI912))
) / 1000</f>
        <v>0</v>
      </c>
      <c r="CO912" s="253" cm="1">
        <f t="array" ref="CO912">$BC912 * IF($AD912&lt;=2,
SUMPRODUCT(INDEX($AL$23:$AN$61,,$AE912), INDEX($AO$23:$AU$61,,$AD912), 1 / ($AV$23:$AV$61*CM912), N($AK$23:$AK$61&gt;$AI912)),
SUMPRODUCT(INDEX($AL$23:$AN$46,,$AE912), INDEX($AO$23:$AU$46,,$AD912), 1 / ($AW$23:$AW$46*CM912), N($AK$23:$AK$46&gt;$AI912))
) / 1000</f>
        <v>0</v>
      </c>
      <c r="CP912" s="237">
        <f t="shared" si="809"/>
        <v>0</v>
      </c>
      <c r="CQ912" s="210"/>
    </row>
    <row r="913" spans="1:95" s="76" customFormat="1" ht="14.25" customHeight="1" x14ac:dyDescent="0.2">
      <c r="A913" s="238" t="b">
        <f t="shared" si="776"/>
        <v>0</v>
      </c>
      <c r="B913" s="239">
        <v>891</v>
      </c>
      <c r="C913" s="258"/>
      <c r="D913" s="258"/>
      <c r="E913" s="240"/>
      <c r="F913" s="241" t="str">
        <f>IF(ISBLANK(E913), "", VLOOKUP(E913, Z!$A$2:$C$4127, 3, FALSE))</f>
        <v/>
      </c>
      <c r="G913" s="242"/>
      <c r="H913" s="242"/>
      <c r="I913" s="243"/>
      <c r="J913" s="244"/>
      <c r="K913" s="259"/>
      <c r="L913" s="260"/>
      <c r="M913" s="247" t="str" cm="1">
        <f t="array" ref="M913">IF($K913&gt;0, INDEX(Clean,1+AG913,$C$1), "")</f>
        <v/>
      </c>
      <c r="N913" s="245"/>
      <c r="O913" s="245"/>
      <c r="P913" s="246"/>
      <c r="Q913" s="248">
        <f t="shared" si="786"/>
        <v>0</v>
      </c>
      <c r="R913" s="247" t="str" cm="1">
        <f t="array" ref="R913">IF($K913&gt;0, INDEX(Clean,1+AH913,$C$1), "")</f>
        <v/>
      </c>
      <c r="S913" s="245"/>
      <c r="T913" s="245"/>
      <c r="U913" s="246"/>
      <c r="V913" s="248">
        <f t="shared" si="787"/>
        <v>0</v>
      </c>
      <c r="W913" s="261"/>
      <c r="X913" s="258"/>
      <c r="Y913" s="240"/>
      <c r="Z913" s="241" t="str">
        <f>IF(ISBLANK(Y913), "", VLOOKUP(Y913, Z!$A$2:$C$4127, 3, FALSE))</f>
        <v/>
      </c>
      <c r="AA913" s="262"/>
      <c r="AB913" s="249">
        <f t="shared" si="785"/>
        <v>0</v>
      </c>
      <c r="AC913" s="210"/>
      <c r="AD913" s="236">
        <f t="shared" si="810"/>
        <v>1</v>
      </c>
      <c r="AE913" s="236">
        <f t="shared" si="811"/>
        <v>1</v>
      </c>
      <c r="AF913" s="236">
        <f t="shared" si="812"/>
        <v>0</v>
      </c>
      <c r="AG913" s="236">
        <v>1</v>
      </c>
      <c r="AH913" s="236">
        <v>0</v>
      </c>
      <c r="AI913" s="236">
        <f t="shared" si="788"/>
        <v>-100</v>
      </c>
      <c r="AJ913" s="210"/>
      <c r="AK913" s="254"/>
      <c r="AL913" s="254"/>
      <c r="AM913" s="255"/>
      <c r="AN913" s="255"/>
      <c r="AO913" s="255"/>
      <c r="AP913" s="255"/>
      <c r="AQ913" s="255"/>
      <c r="AR913" s="255"/>
      <c r="AS913" s="255"/>
      <c r="AT913" s="255"/>
      <c r="AU913" s="255"/>
      <c r="AV913" s="255"/>
      <c r="AW913" s="255"/>
      <c r="AX913" s="210"/>
      <c r="AY913" s="236" cm="1">
        <f t="array" ref="AY913">INDEX(Use, $AD913, 4)</f>
        <v>7</v>
      </c>
      <c r="AZ913" s="236">
        <f t="shared" si="789"/>
        <v>32</v>
      </c>
      <c r="BA913" s="236">
        <f t="shared" si="777"/>
        <v>13</v>
      </c>
      <c r="BB913" s="236">
        <f t="shared" si="778"/>
        <v>0</v>
      </c>
      <c r="BC913" s="252" cm="1">
        <f t="array" ref="BC913">K913/IF($L913&gt;0, INDEX($AO$23:$AU$77, $L913+20, $AD913), 1)</f>
        <v>0</v>
      </c>
      <c r="BD913" s="237">
        <f t="shared" si="790"/>
        <v>0</v>
      </c>
      <c r="BE913" s="236">
        <v>35</v>
      </c>
      <c r="BF913" s="237">
        <f t="shared" si="791"/>
        <v>52.55</v>
      </c>
      <c r="BG913" s="253">
        <f t="shared" si="792"/>
        <v>2.7676728869374316</v>
      </c>
      <c r="BH913" s="253" cm="1">
        <f t="array" ref="BH913">$BC913 * SUMPRODUCT(INDEX($AL$77:$AN$82,,$AE913),INDEX($AO$77:$AU$82,,$AD913), N($AK$77:$AK$82&gt;$AI913)) / BG913 / 1000</f>
        <v>0</v>
      </c>
      <c r="BI913" s="250">
        <f t="shared" si="779"/>
        <v>30</v>
      </c>
      <c r="BJ913" s="237">
        <f t="shared" si="793"/>
        <v>46.033333333333331</v>
      </c>
      <c r="BK913" s="253">
        <f t="shared" si="794"/>
        <v>3.2297395388556791</v>
      </c>
      <c r="BL913" s="253" cm="1">
        <f t="array" ref="BL913">$BC913 * IF($AD913&lt;=2,
SUMPRODUCT(INDEX($AL$72:$AN$76,,$AE913), INDEX($AO$72:$AU$76,,$AD913), 1 / ($AV$72:$AV$76*BK913 + (1-$AV$72:$AV$76)*BG913), N($AK$72:$AK$76&gt;$AI913)),
SUMPRODUCT(INDEX($AL$67:$AN$76,,$AE913), INDEX($AO$67:$AU$76,,$AD913), 1 / ($AW$67:$AW$76*BK913 + (1-$AW$67:$AW$76)*BG913), N($AK$67:$AK$76&gt;$AI913))
) / 1000</f>
        <v>0</v>
      </c>
      <c r="BM913" s="250">
        <f t="shared" si="780"/>
        <v>25</v>
      </c>
      <c r="BN913" s="237">
        <f t="shared" si="795"/>
        <v>39.516666666666666</v>
      </c>
      <c r="BO913" s="253">
        <f t="shared" si="796"/>
        <v>3.877011788826243</v>
      </c>
      <c r="BP913" s="253" cm="1">
        <f t="array" ref="BP913">$BC913 * IF($AD913&lt;=2,
SUMPRODUCT(INDEX($AL$67:$AN$71,,$AE913), INDEX($AO$67:$AU$71,,$AD913), 1 / ($AV$67:$AV$71*BO913 + (1-$AV$67:$AV$71)*BK913), N($AK$67:$AK$71&gt;$AI913)),
SUMPRODUCT(INDEX($AL$57:$AN$66,,$AE913), INDEX($AO$57:$AU$66,,$AD913), 1 / ($AW$57:$AW$66*BO913 + (1-$AW$57:$AW$66)*BK913), N($AK$57:$AK$66&gt;$AI913))
) / 1000</f>
        <v>0</v>
      </c>
      <c r="BQ913" s="250">
        <f t="shared" si="781"/>
        <v>20</v>
      </c>
      <c r="BR913" s="237">
        <f t="shared" si="797"/>
        <v>33</v>
      </c>
      <c r="BS913" s="253">
        <f t="shared" si="798"/>
        <v>4.8487499999999999</v>
      </c>
      <c r="BT913" s="253" cm="1">
        <f t="array" ref="BT913">$BC913 * IF($AD913&lt;=2,
SUMPRODUCT(INDEX($AL$62:$AN$66,,$AE913), INDEX($AO$62:$AU$66,,$AD913), 1 / ($AV$62:$AV$66*BS913 + (1-$AV$62:$AV$66)*BO913), N($AK$62:$AK$66&gt;$AI913)),
SUMPRODUCT(INDEX($AL$47:$AN$56,,$AE913), INDEX($AO$47:$AU$56,,$AD913), 1 / ($AW$47:$AW$56*BS913 + (1-$AW$47:$AW$56)*BO913), N($AK$47:$AK$56&gt;$AI913))
) / 1000</f>
        <v>0</v>
      </c>
      <c r="BU913" s="253" cm="1">
        <f t="array" ref="BU913">$BC913 * IF($AD913&lt;=2,
SUMPRODUCT(INDEX($AL$23:$AN$61,,$AE913), INDEX($AO$23:$AU$61,,$AD913), 1 / ($AV$23:$AV$61*BS913), N($AK$23:$AK$61&gt;$AI913)),
SUMPRODUCT(INDEX($AL$23:$AN$46,,$AE913), INDEX($AO$23:$AU$46,,$AD913), 1 / ($AW$23:$AW$46*BS913), N($AK$23:$AK$46&gt;$AI913))
) / 1000</f>
        <v>0</v>
      </c>
      <c r="BV913" s="237">
        <f t="shared" si="799"/>
        <v>0</v>
      </c>
      <c r="BW913" s="210"/>
      <c r="BX913" s="237">
        <f t="shared" si="800"/>
        <v>0</v>
      </c>
      <c r="BY913" s="236">
        <v>35</v>
      </c>
      <c r="BZ913" s="237">
        <f t="shared" si="801"/>
        <v>48</v>
      </c>
      <c r="CA913" s="253">
        <f t="shared" si="802"/>
        <v>3.0748170731707316</v>
      </c>
      <c r="CB913" s="253" cm="1">
        <f t="array" ref="CB913">$BC913 * SUMPRODUCT(INDEX($AL$77:$AN$82,,$AE913),INDEX($AO$77:$AU$82,,$AD913), N($AK$77:$AK$82&gt;$AI913)) / CA913 / 1000</f>
        <v>0</v>
      </c>
      <c r="CC913" s="250">
        <f t="shared" si="782"/>
        <v>30</v>
      </c>
      <c r="CD913" s="237">
        <f t="shared" si="803"/>
        <v>43</v>
      </c>
      <c r="CE913" s="253">
        <f t="shared" si="804"/>
        <v>3.5018750000000001</v>
      </c>
      <c r="CF913" s="253" cm="1">
        <f t="array" ref="CF913">$BC913 * IF($AD913&lt;=2,
SUMPRODUCT(INDEX($AL$72:$AN$76,,$AE913), INDEX($AO$72:$AU$76,,$AD913), 1 / ($AV$72:$AV$76*CE913 + (1-$AV$72:$AV$76)*CA913), N($AK$72:$AK$76&gt;$AI913)),
SUMPRODUCT(INDEX($AL$67:$AN$76,,$AE913), INDEX($AO$67:$AU$76,,$AD913), 1 / ($AW$67:$AW$76*CE913 + (1-$AW$67:$AW$76)*CA913), N($AK$67:$AK$76&gt;$AI913))
) / 1000</f>
        <v>0</v>
      </c>
      <c r="CG913" s="250">
        <f t="shared" si="783"/>
        <v>25</v>
      </c>
      <c r="CH913" s="237">
        <f t="shared" si="805"/>
        <v>38</v>
      </c>
      <c r="CI913" s="253">
        <f t="shared" si="806"/>
        <v>4.0666935483870965</v>
      </c>
      <c r="CJ913" s="253" cm="1">
        <f t="array" ref="CJ913">$BC913 * IF($AD913&lt;=2,
SUMPRODUCT(INDEX($AL$67:$AN$71,,$AE913), INDEX($AO$67:$AU$71,,$AD913), 1 / ($AV$67:$AV$71*CI913 + (1-$AV$67:$AV$71)*CE913), N($AK$67:$AK$71&gt;$AI913)),
SUMPRODUCT(INDEX($AL$57:$AN$66,,$AE913), INDEX($AO$57:$AU$66,,$AD913), 1 / ($AW$57:$AW$66*CI913 + (1-$AW$57:$AW$66)*CE913), N($AK$57:$AK$66&gt;$AI913))
) / 1000</f>
        <v>0</v>
      </c>
      <c r="CK913" s="250">
        <f t="shared" si="784"/>
        <v>20</v>
      </c>
      <c r="CL913" s="237">
        <f t="shared" si="807"/>
        <v>33</v>
      </c>
      <c r="CM913" s="253">
        <f t="shared" si="808"/>
        <v>4.8487499999999999</v>
      </c>
      <c r="CN913" s="253" cm="1">
        <f t="array" ref="CN913">$BC913 * IF($AD913&lt;=2,
SUMPRODUCT(INDEX($AL$62:$AN$66,,$AE913), INDEX($AO$62:$AU$66,,$AD913), 1 / ($AV$62:$AV$66*CM913 + (1-$AV$62:$AV$66)*CI913), N($AK$62:$AK$66&gt;$AI913)),
SUMPRODUCT(INDEX($AL$47:$AN$56,,$AE913), INDEX($AO$47:$AU$56,,$AD913), 1 / ($AW$47:$AW$56*CM913 + (1-$AW$47:$AW$56)*CI913), N($AK$47:$AK$56&gt;$AI913))
) / 1000</f>
        <v>0</v>
      </c>
      <c r="CO913" s="253" cm="1">
        <f t="array" ref="CO913">$BC913 * IF($AD913&lt;=2,
SUMPRODUCT(INDEX($AL$23:$AN$61,,$AE913), INDEX($AO$23:$AU$61,,$AD913), 1 / ($AV$23:$AV$61*CM913), N($AK$23:$AK$61&gt;$AI913)),
SUMPRODUCT(INDEX($AL$23:$AN$46,,$AE913), INDEX($AO$23:$AU$46,,$AD913), 1 / ($AW$23:$AW$46*CM913), N($AK$23:$AK$46&gt;$AI913))
) / 1000</f>
        <v>0</v>
      </c>
      <c r="CP913" s="237">
        <f t="shared" si="809"/>
        <v>0</v>
      </c>
      <c r="CQ913" s="210"/>
    </row>
    <row r="914" spans="1:95" s="76" customFormat="1" ht="14.25" customHeight="1" x14ac:dyDescent="0.2">
      <c r="A914" s="238" t="b">
        <f t="shared" si="776"/>
        <v>0</v>
      </c>
      <c r="B914" s="239">
        <v>892</v>
      </c>
      <c r="C914" s="258"/>
      <c r="D914" s="258"/>
      <c r="E914" s="240"/>
      <c r="F914" s="241" t="str">
        <f>IF(ISBLANK(E914), "", VLOOKUP(E914, Z!$A$2:$C$4127, 3, FALSE))</f>
        <v/>
      </c>
      <c r="G914" s="242"/>
      <c r="H914" s="242"/>
      <c r="I914" s="243"/>
      <c r="J914" s="244"/>
      <c r="K914" s="259"/>
      <c r="L914" s="260"/>
      <c r="M914" s="247" t="str" cm="1">
        <f t="array" ref="M914">IF($K914&gt;0, INDEX(Clean,1+AG914,$C$1), "")</f>
        <v/>
      </c>
      <c r="N914" s="245"/>
      <c r="O914" s="245"/>
      <c r="P914" s="246"/>
      <c r="Q914" s="248">
        <f t="shared" si="786"/>
        <v>0</v>
      </c>
      <c r="R914" s="247" t="str" cm="1">
        <f t="array" ref="R914">IF($K914&gt;0, INDEX(Clean,1+AH914,$C$1), "")</f>
        <v/>
      </c>
      <c r="S914" s="245"/>
      <c r="T914" s="245"/>
      <c r="U914" s="246"/>
      <c r="V914" s="248">
        <f t="shared" si="787"/>
        <v>0</v>
      </c>
      <c r="W914" s="261"/>
      <c r="X914" s="258"/>
      <c r="Y914" s="240"/>
      <c r="Z914" s="241" t="str">
        <f>IF(ISBLANK(Y914), "", VLOOKUP(Y914, Z!$A$2:$C$4127, 3, FALSE))</f>
        <v/>
      </c>
      <c r="AA914" s="262"/>
      <c r="AB914" s="249">
        <f t="shared" si="785"/>
        <v>0</v>
      </c>
      <c r="AC914" s="210"/>
      <c r="AD914" s="236">
        <f t="shared" si="810"/>
        <v>1</v>
      </c>
      <c r="AE914" s="236">
        <f t="shared" si="811"/>
        <v>1</v>
      </c>
      <c r="AF914" s="236">
        <f t="shared" si="812"/>
        <v>0</v>
      </c>
      <c r="AG914" s="236">
        <v>1</v>
      </c>
      <c r="AH914" s="236">
        <v>0</v>
      </c>
      <c r="AI914" s="236">
        <f t="shared" si="788"/>
        <v>-100</v>
      </c>
      <c r="AJ914" s="210"/>
      <c r="AK914" s="254"/>
      <c r="AL914" s="254"/>
      <c r="AM914" s="255"/>
      <c r="AN914" s="255"/>
      <c r="AO914" s="255"/>
      <c r="AP914" s="255"/>
      <c r="AQ914" s="255"/>
      <c r="AR914" s="255"/>
      <c r="AS914" s="255"/>
      <c r="AT914" s="255"/>
      <c r="AU914" s="255"/>
      <c r="AV914" s="255"/>
      <c r="AW914" s="255"/>
      <c r="AX914" s="210"/>
      <c r="AY914" s="236" cm="1">
        <f t="array" ref="AY914">INDEX(Use, $AD914, 4)</f>
        <v>7</v>
      </c>
      <c r="AZ914" s="236">
        <f t="shared" si="789"/>
        <v>32</v>
      </c>
      <c r="BA914" s="236">
        <f t="shared" si="777"/>
        <v>13</v>
      </c>
      <c r="BB914" s="236">
        <f t="shared" si="778"/>
        <v>0</v>
      </c>
      <c r="BC914" s="252" cm="1">
        <f t="array" ref="BC914">K914/IF($L914&gt;0, INDEX($AO$23:$AU$77, $L914+20, $AD914), 1)</f>
        <v>0</v>
      </c>
      <c r="BD914" s="237">
        <f t="shared" si="790"/>
        <v>0</v>
      </c>
      <c r="BE914" s="236">
        <v>35</v>
      </c>
      <c r="BF914" s="237">
        <f t="shared" si="791"/>
        <v>52.55</v>
      </c>
      <c r="BG914" s="253">
        <f t="shared" si="792"/>
        <v>2.7676728869374316</v>
      </c>
      <c r="BH914" s="253" cm="1">
        <f t="array" ref="BH914">$BC914 * SUMPRODUCT(INDEX($AL$77:$AN$82,,$AE914),INDEX($AO$77:$AU$82,,$AD914), N($AK$77:$AK$82&gt;$AI914)) / BG914 / 1000</f>
        <v>0</v>
      </c>
      <c r="BI914" s="250">
        <f t="shared" si="779"/>
        <v>30</v>
      </c>
      <c r="BJ914" s="237">
        <f t="shared" si="793"/>
        <v>46.033333333333331</v>
      </c>
      <c r="BK914" s="253">
        <f t="shared" si="794"/>
        <v>3.2297395388556791</v>
      </c>
      <c r="BL914" s="253" cm="1">
        <f t="array" ref="BL914">$BC914 * IF($AD914&lt;=2,
SUMPRODUCT(INDEX($AL$72:$AN$76,,$AE914), INDEX($AO$72:$AU$76,,$AD914), 1 / ($AV$72:$AV$76*BK914 + (1-$AV$72:$AV$76)*BG914), N($AK$72:$AK$76&gt;$AI914)),
SUMPRODUCT(INDEX($AL$67:$AN$76,,$AE914), INDEX($AO$67:$AU$76,,$AD914), 1 / ($AW$67:$AW$76*BK914 + (1-$AW$67:$AW$76)*BG914), N($AK$67:$AK$76&gt;$AI914))
) / 1000</f>
        <v>0</v>
      </c>
      <c r="BM914" s="250">
        <f t="shared" si="780"/>
        <v>25</v>
      </c>
      <c r="BN914" s="237">
        <f t="shared" si="795"/>
        <v>39.516666666666666</v>
      </c>
      <c r="BO914" s="253">
        <f t="shared" si="796"/>
        <v>3.877011788826243</v>
      </c>
      <c r="BP914" s="253" cm="1">
        <f t="array" ref="BP914">$BC914 * IF($AD914&lt;=2,
SUMPRODUCT(INDEX($AL$67:$AN$71,,$AE914), INDEX($AO$67:$AU$71,,$AD914), 1 / ($AV$67:$AV$71*BO914 + (1-$AV$67:$AV$71)*BK914), N($AK$67:$AK$71&gt;$AI914)),
SUMPRODUCT(INDEX($AL$57:$AN$66,,$AE914), INDEX($AO$57:$AU$66,,$AD914), 1 / ($AW$57:$AW$66*BO914 + (1-$AW$57:$AW$66)*BK914), N($AK$57:$AK$66&gt;$AI914))
) / 1000</f>
        <v>0</v>
      </c>
      <c r="BQ914" s="250">
        <f t="shared" si="781"/>
        <v>20</v>
      </c>
      <c r="BR914" s="237">
        <f t="shared" si="797"/>
        <v>33</v>
      </c>
      <c r="BS914" s="253">
        <f t="shared" si="798"/>
        <v>4.8487499999999999</v>
      </c>
      <c r="BT914" s="253" cm="1">
        <f t="array" ref="BT914">$BC914 * IF($AD914&lt;=2,
SUMPRODUCT(INDEX($AL$62:$AN$66,,$AE914), INDEX($AO$62:$AU$66,,$AD914), 1 / ($AV$62:$AV$66*BS914 + (1-$AV$62:$AV$66)*BO914), N($AK$62:$AK$66&gt;$AI914)),
SUMPRODUCT(INDEX($AL$47:$AN$56,,$AE914), INDEX($AO$47:$AU$56,,$AD914), 1 / ($AW$47:$AW$56*BS914 + (1-$AW$47:$AW$56)*BO914), N($AK$47:$AK$56&gt;$AI914))
) / 1000</f>
        <v>0</v>
      </c>
      <c r="BU914" s="253" cm="1">
        <f t="array" ref="BU914">$BC914 * IF($AD914&lt;=2,
SUMPRODUCT(INDEX($AL$23:$AN$61,,$AE914), INDEX($AO$23:$AU$61,,$AD914), 1 / ($AV$23:$AV$61*BS914), N($AK$23:$AK$61&gt;$AI914)),
SUMPRODUCT(INDEX($AL$23:$AN$46,,$AE914), INDEX($AO$23:$AU$46,,$AD914), 1 / ($AW$23:$AW$46*BS914), N($AK$23:$AK$46&gt;$AI914))
) / 1000</f>
        <v>0</v>
      </c>
      <c r="BV914" s="237">
        <f t="shared" si="799"/>
        <v>0</v>
      </c>
      <c r="BW914" s="210"/>
      <c r="BX914" s="237">
        <f t="shared" si="800"/>
        <v>0</v>
      </c>
      <c r="BY914" s="236">
        <v>35</v>
      </c>
      <c r="BZ914" s="237">
        <f t="shared" si="801"/>
        <v>48</v>
      </c>
      <c r="CA914" s="253">
        <f t="shared" si="802"/>
        <v>3.0748170731707316</v>
      </c>
      <c r="CB914" s="253" cm="1">
        <f t="array" ref="CB914">$BC914 * SUMPRODUCT(INDEX($AL$77:$AN$82,,$AE914),INDEX($AO$77:$AU$82,,$AD914), N($AK$77:$AK$82&gt;$AI914)) / CA914 / 1000</f>
        <v>0</v>
      </c>
      <c r="CC914" s="250">
        <f t="shared" si="782"/>
        <v>30</v>
      </c>
      <c r="CD914" s="237">
        <f t="shared" si="803"/>
        <v>43</v>
      </c>
      <c r="CE914" s="253">
        <f t="shared" si="804"/>
        <v>3.5018750000000001</v>
      </c>
      <c r="CF914" s="253" cm="1">
        <f t="array" ref="CF914">$BC914 * IF($AD914&lt;=2,
SUMPRODUCT(INDEX($AL$72:$AN$76,,$AE914), INDEX($AO$72:$AU$76,,$AD914), 1 / ($AV$72:$AV$76*CE914 + (1-$AV$72:$AV$76)*CA914), N($AK$72:$AK$76&gt;$AI914)),
SUMPRODUCT(INDEX($AL$67:$AN$76,,$AE914), INDEX($AO$67:$AU$76,,$AD914), 1 / ($AW$67:$AW$76*CE914 + (1-$AW$67:$AW$76)*CA914), N($AK$67:$AK$76&gt;$AI914))
) / 1000</f>
        <v>0</v>
      </c>
      <c r="CG914" s="250">
        <f t="shared" si="783"/>
        <v>25</v>
      </c>
      <c r="CH914" s="237">
        <f t="shared" si="805"/>
        <v>38</v>
      </c>
      <c r="CI914" s="253">
        <f t="shared" si="806"/>
        <v>4.0666935483870965</v>
      </c>
      <c r="CJ914" s="253" cm="1">
        <f t="array" ref="CJ914">$BC914 * IF($AD914&lt;=2,
SUMPRODUCT(INDEX($AL$67:$AN$71,,$AE914), INDEX($AO$67:$AU$71,,$AD914), 1 / ($AV$67:$AV$71*CI914 + (1-$AV$67:$AV$71)*CE914), N($AK$67:$AK$71&gt;$AI914)),
SUMPRODUCT(INDEX($AL$57:$AN$66,,$AE914), INDEX($AO$57:$AU$66,,$AD914), 1 / ($AW$57:$AW$66*CI914 + (1-$AW$57:$AW$66)*CE914), N($AK$57:$AK$66&gt;$AI914))
) / 1000</f>
        <v>0</v>
      </c>
      <c r="CK914" s="250">
        <f t="shared" si="784"/>
        <v>20</v>
      </c>
      <c r="CL914" s="237">
        <f t="shared" si="807"/>
        <v>33</v>
      </c>
      <c r="CM914" s="253">
        <f t="shared" si="808"/>
        <v>4.8487499999999999</v>
      </c>
      <c r="CN914" s="253" cm="1">
        <f t="array" ref="CN914">$BC914 * IF($AD914&lt;=2,
SUMPRODUCT(INDEX($AL$62:$AN$66,,$AE914), INDEX($AO$62:$AU$66,,$AD914), 1 / ($AV$62:$AV$66*CM914 + (1-$AV$62:$AV$66)*CI914), N($AK$62:$AK$66&gt;$AI914)),
SUMPRODUCT(INDEX($AL$47:$AN$56,,$AE914), INDEX($AO$47:$AU$56,,$AD914), 1 / ($AW$47:$AW$56*CM914 + (1-$AW$47:$AW$56)*CI914), N($AK$47:$AK$56&gt;$AI914))
) / 1000</f>
        <v>0</v>
      </c>
      <c r="CO914" s="253" cm="1">
        <f t="array" ref="CO914">$BC914 * IF($AD914&lt;=2,
SUMPRODUCT(INDEX($AL$23:$AN$61,,$AE914), INDEX($AO$23:$AU$61,,$AD914), 1 / ($AV$23:$AV$61*CM914), N($AK$23:$AK$61&gt;$AI914)),
SUMPRODUCT(INDEX($AL$23:$AN$46,,$AE914), INDEX($AO$23:$AU$46,,$AD914), 1 / ($AW$23:$AW$46*CM914), N($AK$23:$AK$46&gt;$AI914))
) / 1000</f>
        <v>0</v>
      </c>
      <c r="CP914" s="237">
        <f t="shared" si="809"/>
        <v>0</v>
      </c>
      <c r="CQ914" s="210"/>
    </row>
    <row r="915" spans="1:95" s="76" customFormat="1" ht="14.25" customHeight="1" x14ac:dyDescent="0.2">
      <c r="A915" s="238" t="b">
        <f t="shared" si="776"/>
        <v>0</v>
      </c>
      <c r="B915" s="239">
        <v>893</v>
      </c>
      <c r="C915" s="258"/>
      <c r="D915" s="258"/>
      <c r="E915" s="240"/>
      <c r="F915" s="241" t="str">
        <f>IF(ISBLANK(E915), "", VLOOKUP(E915, Z!$A$2:$C$4127, 3, FALSE))</f>
        <v/>
      </c>
      <c r="G915" s="242"/>
      <c r="H915" s="242"/>
      <c r="I915" s="243"/>
      <c r="J915" s="244"/>
      <c r="K915" s="259"/>
      <c r="L915" s="260"/>
      <c r="M915" s="247" t="str" cm="1">
        <f t="array" ref="M915">IF($K915&gt;0, INDEX(Clean,1+AG915,$C$1), "")</f>
        <v/>
      </c>
      <c r="N915" s="245"/>
      <c r="O915" s="245"/>
      <c r="P915" s="246"/>
      <c r="Q915" s="248">
        <f t="shared" si="786"/>
        <v>0</v>
      </c>
      <c r="R915" s="247" t="str" cm="1">
        <f t="array" ref="R915">IF($K915&gt;0, INDEX(Clean,1+AH915,$C$1), "")</f>
        <v/>
      </c>
      <c r="S915" s="245"/>
      <c r="T915" s="245"/>
      <c r="U915" s="246"/>
      <c r="V915" s="248">
        <f t="shared" si="787"/>
        <v>0</v>
      </c>
      <c r="W915" s="261"/>
      <c r="X915" s="258"/>
      <c r="Y915" s="240"/>
      <c r="Z915" s="241" t="str">
        <f>IF(ISBLANK(Y915), "", VLOOKUP(Y915, Z!$A$2:$C$4127, 3, FALSE))</f>
        <v/>
      </c>
      <c r="AA915" s="262"/>
      <c r="AB915" s="249">
        <f t="shared" si="785"/>
        <v>0</v>
      </c>
      <c r="AC915" s="210"/>
      <c r="AD915" s="236">
        <f t="shared" si="810"/>
        <v>1</v>
      </c>
      <c r="AE915" s="236">
        <f t="shared" si="811"/>
        <v>1</v>
      </c>
      <c r="AF915" s="236">
        <f t="shared" si="812"/>
        <v>0</v>
      </c>
      <c r="AG915" s="236">
        <v>1</v>
      </c>
      <c r="AH915" s="236">
        <v>0</v>
      </c>
      <c r="AI915" s="236">
        <f t="shared" si="788"/>
        <v>-100</v>
      </c>
      <c r="AJ915" s="210"/>
      <c r="AK915" s="254"/>
      <c r="AL915" s="254"/>
      <c r="AM915" s="255"/>
      <c r="AN915" s="255"/>
      <c r="AO915" s="255"/>
      <c r="AP915" s="255"/>
      <c r="AQ915" s="255"/>
      <c r="AR915" s="255"/>
      <c r="AS915" s="255"/>
      <c r="AT915" s="255"/>
      <c r="AU915" s="255"/>
      <c r="AV915" s="255"/>
      <c r="AW915" s="255"/>
      <c r="AX915" s="210"/>
      <c r="AY915" s="236" cm="1">
        <f t="array" ref="AY915">INDEX(Use, $AD915, 4)</f>
        <v>7</v>
      </c>
      <c r="AZ915" s="236">
        <f t="shared" si="789"/>
        <v>32</v>
      </c>
      <c r="BA915" s="236">
        <f t="shared" si="777"/>
        <v>13</v>
      </c>
      <c r="BB915" s="236">
        <f t="shared" si="778"/>
        <v>0</v>
      </c>
      <c r="BC915" s="252" cm="1">
        <f t="array" ref="BC915">K915/IF($L915&gt;0, INDEX($AO$23:$AU$77, $L915+20, $AD915), 1)</f>
        <v>0</v>
      </c>
      <c r="BD915" s="237">
        <f t="shared" si="790"/>
        <v>0</v>
      </c>
      <c r="BE915" s="236">
        <v>35</v>
      </c>
      <c r="BF915" s="237">
        <f t="shared" si="791"/>
        <v>52.55</v>
      </c>
      <c r="BG915" s="253">
        <f t="shared" si="792"/>
        <v>2.7676728869374316</v>
      </c>
      <c r="BH915" s="253" cm="1">
        <f t="array" ref="BH915">$BC915 * SUMPRODUCT(INDEX($AL$77:$AN$82,,$AE915),INDEX($AO$77:$AU$82,,$AD915), N($AK$77:$AK$82&gt;$AI915)) / BG915 / 1000</f>
        <v>0</v>
      </c>
      <c r="BI915" s="250">
        <f t="shared" si="779"/>
        <v>30</v>
      </c>
      <c r="BJ915" s="237">
        <f t="shared" si="793"/>
        <v>46.033333333333331</v>
      </c>
      <c r="BK915" s="253">
        <f t="shared" si="794"/>
        <v>3.2297395388556791</v>
      </c>
      <c r="BL915" s="253" cm="1">
        <f t="array" ref="BL915">$BC915 * IF($AD915&lt;=2,
SUMPRODUCT(INDEX($AL$72:$AN$76,,$AE915), INDEX($AO$72:$AU$76,,$AD915), 1 / ($AV$72:$AV$76*BK915 + (1-$AV$72:$AV$76)*BG915), N($AK$72:$AK$76&gt;$AI915)),
SUMPRODUCT(INDEX($AL$67:$AN$76,,$AE915), INDEX($AO$67:$AU$76,,$AD915), 1 / ($AW$67:$AW$76*BK915 + (1-$AW$67:$AW$76)*BG915), N($AK$67:$AK$76&gt;$AI915))
) / 1000</f>
        <v>0</v>
      </c>
      <c r="BM915" s="250">
        <f t="shared" si="780"/>
        <v>25</v>
      </c>
      <c r="BN915" s="237">
        <f t="shared" si="795"/>
        <v>39.516666666666666</v>
      </c>
      <c r="BO915" s="253">
        <f t="shared" si="796"/>
        <v>3.877011788826243</v>
      </c>
      <c r="BP915" s="253" cm="1">
        <f t="array" ref="BP915">$BC915 * IF($AD915&lt;=2,
SUMPRODUCT(INDEX($AL$67:$AN$71,,$AE915), INDEX($AO$67:$AU$71,,$AD915), 1 / ($AV$67:$AV$71*BO915 + (1-$AV$67:$AV$71)*BK915), N($AK$67:$AK$71&gt;$AI915)),
SUMPRODUCT(INDEX($AL$57:$AN$66,,$AE915), INDEX($AO$57:$AU$66,,$AD915), 1 / ($AW$57:$AW$66*BO915 + (1-$AW$57:$AW$66)*BK915), N($AK$57:$AK$66&gt;$AI915))
) / 1000</f>
        <v>0</v>
      </c>
      <c r="BQ915" s="250">
        <f t="shared" si="781"/>
        <v>20</v>
      </c>
      <c r="BR915" s="237">
        <f t="shared" si="797"/>
        <v>33</v>
      </c>
      <c r="BS915" s="253">
        <f t="shared" si="798"/>
        <v>4.8487499999999999</v>
      </c>
      <c r="BT915" s="253" cm="1">
        <f t="array" ref="BT915">$BC915 * IF($AD915&lt;=2,
SUMPRODUCT(INDEX($AL$62:$AN$66,,$AE915), INDEX($AO$62:$AU$66,,$AD915), 1 / ($AV$62:$AV$66*BS915 + (1-$AV$62:$AV$66)*BO915), N($AK$62:$AK$66&gt;$AI915)),
SUMPRODUCT(INDEX($AL$47:$AN$56,,$AE915), INDEX($AO$47:$AU$56,,$AD915), 1 / ($AW$47:$AW$56*BS915 + (1-$AW$47:$AW$56)*BO915), N($AK$47:$AK$56&gt;$AI915))
) / 1000</f>
        <v>0</v>
      </c>
      <c r="BU915" s="253" cm="1">
        <f t="array" ref="BU915">$BC915 * IF($AD915&lt;=2,
SUMPRODUCT(INDEX($AL$23:$AN$61,,$AE915), INDEX($AO$23:$AU$61,,$AD915), 1 / ($AV$23:$AV$61*BS915), N($AK$23:$AK$61&gt;$AI915)),
SUMPRODUCT(INDEX($AL$23:$AN$46,,$AE915), INDEX($AO$23:$AU$46,,$AD915), 1 / ($AW$23:$AW$46*BS915), N($AK$23:$AK$46&gt;$AI915))
) / 1000</f>
        <v>0</v>
      </c>
      <c r="BV915" s="237">
        <f t="shared" si="799"/>
        <v>0</v>
      </c>
      <c r="BW915" s="210"/>
      <c r="BX915" s="237">
        <f t="shared" si="800"/>
        <v>0</v>
      </c>
      <c r="BY915" s="236">
        <v>35</v>
      </c>
      <c r="BZ915" s="237">
        <f t="shared" si="801"/>
        <v>48</v>
      </c>
      <c r="CA915" s="253">
        <f t="shared" si="802"/>
        <v>3.0748170731707316</v>
      </c>
      <c r="CB915" s="253" cm="1">
        <f t="array" ref="CB915">$BC915 * SUMPRODUCT(INDEX($AL$77:$AN$82,,$AE915),INDEX($AO$77:$AU$82,,$AD915), N($AK$77:$AK$82&gt;$AI915)) / CA915 / 1000</f>
        <v>0</v>
      </c>
      <c r="CC915" s="250">
        <f t="shared" si="782"/>
        <v>30</v>
      </c>
      <c r="CD915" s="237">
        <f t="shared" si="803"/>
        <v>43</v>
      </c>
      <c r="CE915" s="253">
        <f t="shared" si="804"/>
        <v>3.5018750000000001</v>
      </c>
      <c r="CF915" s="253" cm="1">
        <f t="array" ref="CF915">$BC915 * IF($AD915&lt;=2,
SUMPRODUCT(INDEX($AL$72:$AN$76,,$AE915), INDEX($AO$72:$AU$76,,$AD915), 1 / ($AV$72:$AV$76*CE915 + (1-$AV$72:$AV$76)*CA915), N($AK$72:$AK$76&gt;$AI915)),
SUMPRODUCT(INDEX($AL$67:$AN$76,,$AE915), INDEX($AO$67:$AU$76,,$AD915), 1 / ($AW$67:$AW$76*CE915 + (1-$AW$67:$AW$76)*CA915), N($AK$67:$AK$76&gt;$AI915))
) / 1000</f>
        <v>0</v>
      </c>
      <c r="CG915" s="250">
        <f t="shared" si="783"/>
        <v>25</v>
      </c>
      <c r="CH915" s="237">
        <f t="shared" si="805"/>
        <v>38</v>
      </c>
      <c r="CI915" s="253">
        <f t="shared" si="806"/>
        <v>4.0666935483870965</v>
      </c>
      <c r="CJ915" s="253" cm="1">
        <f t="array" ref="CJ915">$BC915 * IF($AD915&lt;=2,
SUMPRODUCT(INDEX($AL$67:$AN$71,,$AE915), INDEX($AO$67:$AU$71,,$AD915), 1 / ($AV$67:$AV$71*CI915 + (1-$AV$67:$AV$71)*CE915), N($AK$67:$AK$71&gt;$AI915)),
SUMPRODUCT(INDEX($AL$57:$AN$66,,$AE915), INDEX($AO$57:$AU$66,,$AD915), 1 / ($AW$57:$AW$66*CI915 + (1-$AW$57:$AW$66)*CE915), N($AK$57:$AK$66&gt;$AI915))
) / 1000</f>
        <v>0</v>
      </c>
      <c r="CK915" s="250">
        <f t="shared" si="784"/>
        <v>20</v>
      </c>
      <c r="CL915" s="237">
        <f t="shared" si="807"/>
        <v>33</v>
      </c>
      <c r="CM915" s="253">
        <f t="shared" si="808"/>
        <v>4.8487499999999999</v>
      </c>
      <c r="CN915" s="253" cm="1">
        <f t="array" ref="CN915">$BC915 * IF($AD915&lt;=2,
SUMPRODUCT(INDEX($AL$62:$AN$66,,$AE915), INDEX($AO$62:$AU$66,,$AD915), 1 / ($AV$62:$AV$66*CM915 + (1-$AV$62:$AV$66)*CI915), N($AK$62:$AK$66&gt;$AI915)),
SUMPRODUCT(INDEX($AL$47:$AN$56,,$AE915), INDEX($AO$47:$AU$56,,$AD915), 1 / ($AW$47:$AW$56*CM915 + (1-$AW$47:$AW$56)*CI915), N($AK$47:$AK$56&gt;$AI915))
) / 1000</f>
        <v>0</v>
      </c>
      <c r="CO915" s="253" cm="1">
        <f t="array" ref="CO915">$BC915 * IF($AD915&lt;=2,
SUMPRODUCT(INDEX($AL$23:$AN$61,,$AE915), INDEX($AO$23:$AU$61,,$AD915), 1 / ($AV$23:$AV$61*CM915), N($AK$23:$AK$61&gt;$AI915)),
SUMPRODUCT(INDEX($AL$23:$AN$46,,$AE915), INDEX($AO$23:$AU$46,,$AD915), 1 / ($AW$23:$AW$46*CM915), N($AK$23:$AK$46&gt;$AI915))
) / 1000</f>
        <v>0</v>
      </c>
      <c r="CP915" s="237">
        <f t="shared" si="809"/>
        <v>0</v>
      </c>
      <c r="CQ915" s="210"/>
    </row>
    <row r="916" spans="1:95" s="76" customFormat="1" ht="14.25" customHeight="1" x14ac:dyDescent="0.2">
      <c r="A916" s="238" t="b">
        <f t="shared" si="776"/>
        <v>0</v>
      </c>
      <c r="B916" s="239">
        <v>894</v>
      </c>
      <c r="C916" s="258"/>
      <c r="D916" s="258"/>
      <c r="E916" s="240"/>
      <c r="F916" s="241" t="str">
        <f>IF(ISBLANK(E916), "", VLOOKUP(E916, Z!$A$2:$C$4127, 3, FALSE))</f>
        <v/>
      </c>
      <c r="G916" s="242"/>
      <c r="H916" s="242"/>
      <c r="I916" s="243"/>
      <c r="J916" s="244"/>
      <c r="K916" s="259"/>
      <c r="L916" s="260"/>
      <c r="M916" s="247" t="str" cm="1">
        <f t="array" ref="M916">IF($K916&gt;0, INDEX(Clean,1+AG916,$C$1), "")</f>
        <v/>
      </c>
      <c r="N916" s="245"/>
      <c r="O916" s="245"/>
      <c r="P916" s="246"/>
      <c r="Q916" s="248">
        <f t="shared" si="786"/>
        <v>0</v>
      </c>
      <c r="R916" s="247" t="str" cm="1">
        <f t="array" ref="R916">IF($K916&gt;0, INDEX(Clean,1+AH916,$C$1), "")</f>
        <v/>
      </c>
      <c r="S916" s="245"/>
      <c r="T916" s="245"/>
      <c r="U916" s="246"/>
      <c r="V916" s="248">
        <f t="shared" si="787"/>
        <v>0</v>
      </c>
      <c r="W916" s="261"/>
      <c r="X916" s="258"/>
      <c r="Y916" s="240"/>
      <c r="Z916" s="241" t="str">
        <f>IF(ISBLANK(Y916), "", VLOOKUP(Y916, Z!$A$2:$C$4127, 3, FALSE))</f>
        <v/>
      </c>
      <c r="AA916" s="262"/>
      <c r="AB916" s="249">
        <f t="shared" si="785"/>
        <v>0</v>
      </c>
      <c r="AC916" s="210"/>
      <c r="AD916" s="236">
        <f t="shared" si="810"/>
        <v>1</v>
      </c>
      <c r="AE916" s="236">
        <f t="shared" si="811"/>
        <v>1</v>
      </c>
      <c r="AF916" s="236">
        <f t="shared" si="812"/>
        <v>0</v>
      </c>
      <c r="AG916" s="236">
        <v>1</v>
      </c>
      <c r="AH916" s="236">
        <v>0</v>
      </c>
      <c r="AI916" s="236">
        <f t="shared" si="788"/>
        <v>-100</v>
      </c>
      <c r="AJ916" s="210"/>
      <c r="AK916" s="254"/>
      <c r="AL916" s="254"/>
      <c r="AM916" s="255"/>
      <c r="AN916" s="255"/>
      <c r="AO916" s="255"/>
      <c r="AP916" s="255"/>
      <c r="AQ916" s="255"/>
      <c r="AR916" s="255"/>
      <c r="AS916" s="255"/>
      <c r="AT916" s="255"/>
      <c r="AU916" s="255"/>
      <c r="AV916" s="255"/>
      <c r="AW916" s="255"/>
      <c r="AX916" s="210"/>
      <c r="AY916" s="236" cm="1">
        <f t="array" ref="AY916">INDEX(Use, $AD916, 4)</f>
        <v>7</v>
      </c>
      <c r="AZ916" s="236">
        <f t="shared" si="789"/>
        <v>32</v>
      </c>
      <c r="BA916" s="236">
        <f t="shared" si="777"/>
        <v>13</v>
      </c>
      <c r="BB916" s="236">
        <f t="shared" si="778"/>
        <v>0</v>
      </c>
      <c r="BC916" s="252" cm="1">
        <f t="array" ref="BC916">K916/IF($L916&gt;0, INDEX($AO$23:$AU$77, $L916+20, $AD916), 1)</f>
        <v>0</v>
      </c>
      <c r="BD916" s="237">
        <f t="shared" si="790"/>
        <v>0</v>
      </c>
      <c r="BE916" s="236">
        <v>35</v>
      </c>
      <c r="BF916" s="237">
        <f t="shared" si="791"/>
        <v>52.55</v>
      </c>
      <c r="BG916" s="253">
        <f t="shared" si="792"/>
        <v>2.7676728869374316</v>
      </c>
      <c r="BH916" s="253" cm="1">
        <f t="array" ref="BH916">$BC916 * SUMPRODUCT(INDEX($AL$77:$AN$82,,$AE916),INDEX($AO$77:$AU$82,,$AD916), N($AK$77:$AK$82&gt;$AI916)) / BG916 / 1000</f>
        <v>0</v>
      </c>
      <c r="BI916" s="250">
        <f t="shared" si="779"/>
        <v>30</v>
      </c>
      <c r="BJ916" s="237">
        <f t="shared" si="793"/>
        <v>46.033333333333331</v>
      </c>
      <c r="BK916" s="253">
        <f t="shared" si="794"/>
        <v>3.2297395388556791</v>
      </c>
      <c r="BL916" s="253" cm="1">
        <f t="array" ref="BL916">$BC916 * IF($AD916&lt;=2,
SUMPRODUCT(INDEX($AL$72:$AN$76,,$AE916), INDEX($AO$72:$AU$76,,$AD916), 1 / ($AV$72:$AV$76*BK916 + (1-$AV$72:$AV$76)*BG916), N($AK$72:$AK$76&gt;$AI916)),
SUMPRODUCT(INDEX($AL$67:$AN$76,,$AE916), INDEX($AO$67:$AU$76,,$AD916), 1 / ($AW$67:$AW$76*BK916 + (1-$AW$67:$AW$76)*BG916), N($AK$67:$AK$76&gt;$AI916))
) / 1000</f>
        <v>0</v>
      </c>
      <c r="BM916" s="250">
        <f t="shared" si="780"/>
        <v>25</v>
      </c>
      <c r="BN916" s="237">
        <f t="shared" si="795"/>
        <v>39.516666666666666</v>
      </c>
      <c r="BO916" s="253">
        <f t="shared" si="796"/>
        <v>3.877011788826243</v>
      </c>
      <c r="BP916" s="253" cm="1">
        <f t="array" ref="BP916">$BC916 * IF($AD916&lt;=2,
SUMPRODUCT(INDEX($AL$67:$AN$71,,$AE916), INDEX($AO$67:$AU$71,,$AD916), 1 / ($AV$67:$AV$71*BO916 + (1-$AV$67:$AV$71)*BK916), N($AK$67:$AK$71&gt;$AI916)),
SUMPRODUCT(INDEX($AL$57:$AN$66,,$AE916), INDEX($AO$57:$AU$66,,$AD916), 1 / ($AW$57:$AW$66*BO916 + (1-$AW$57:$AW$66)*BK916), N($AK$57:$AK$66&gt;$AI916))
) / 1000</f>
        <v>0</v>
      </c>
      <c r="BQ916" s="250">
        <f t="shared" si="781"/>
        <v>20</v>
      </c>
      <c r="BR916" s="237">
        <f t="shared" si="797"/>
        <v>33</v>
      </c>
      <c r="BS916" s="253">
        <f t="shared" si="798"/>
        <v>4.8487499999999999</v>
      </c>
      <c r="BT916" s="253" cm="1">
        <f t="array" ref="BT916">$BC916 * IF($AD916&lt;=2,
SUMPRODUCT(INDEX($AL$62:$AN$66,,$AE916), INDEX($AO$62:$AU$66,,$AD916), 1 / ($AV$62:$AV$66*BS916 + (1-$AV$62:$AV$66)*BO916), N($AK$62:$AK$66&gt;$AI916)),
SUMPRODUCT(INDEX($AL$47:$AN$56,,$AE916), INDEX($AO$47:$AU$56,,$AD916), 1 / ($AW$47:$AW$56*BS916 + (1-$AW$47:$AW$56)*BO916), N($AK$47:$AK$56&gt;$AI916))
) / 1000</f>
        <v>0</v>
      </c>
      <c r="BU916" s="253" cm="1">
        <f t="array" ref="BU916">$BC916 * IF($AD916&lt;=2,
SUMPRODUCT(INDEX($AL$23:$AN$61,,$AE916), INDEX($AO$23:$AU$61,,$AD916), 1 / ($AV$23:$AV$61*BS916), N($AK$23:$AK$61&gt;$AI916)),
SUMPRODUCT(INDEX($AL$23:$AN$46,,$AE916), INDEX($AO$23:$AU$46,,$AD916), 1 / ($AW$23:$AW$46*BS916), N($AK$23:$AK$46&gt;$AI916))
) / 1000</f>
        <v>0</v>
      </c>
      <c r="BV916" s="237">
        <f t="shared" si="799"/>
        <v>0</v>
      </c>
      <c r="BW916" s="210"/>
      <c r="BX916" s="237">
        <f t="shared" si="800"/>
        <v>0</v>
      </c>
      <c r="BY916" s="236">
        <v>35</v>
      </c>
      <c r="BZ916" s="237">
        <f t="shared" si="801"/>
        <v>48</v>
      </c>
      <c r="CA916" s="253">
        <f t="shared" si="802"/>
        <v>3.0748170731707316</v>
      </c>
      <c r="CB916" s="253" cm="1">
        <f t="array" ref="CB916">$BC916 * SUMPRODUCT(INDEX($AL$77:$AN$82,,$AE916),INDEX($AO$77:$AU$82,,$AD916), N($AK$77:$AK$82&gt;$AI916)) / CA916 / 1000</f>
        <v>0</v>
      </c>
      <c r="CC916" s="250">
        <f t="shared" si="782"/>
        <v>30</v>
      </c>
      <c r="CD916" s="237">
        <f t="shared" si="803"/>
        <v>43</v>
      </c>
      <c r="CE916" s="253">
        <f t="shared" si="804"/>
        <v>3.5018750000000001</v>
      </c>
      <c r="CF916" s="253" cm="1">
        <f t="array" ref="CF916">$BC916 * IF($AD916&lt;=2,
SUMPRODUCT(INDEX($AL$72:$AN$76,,$AE916), INDEX($AO$72:$AU$76,,$AD916), 1 / ($AV$72:$AV$76*CE916 + (1-$AV$72:$AV$76)*CA916), N($AK$72:$AK$76&gt;$AI916)),
SUMPRODUCT(INDEX($AL$67:$AN$76,,$AE916), INDEX($AO$67:$AU$76,,$AD916), 1 / ($AW$67:$AW$76*CE916 + (1-$AW$67:$AW$76)*CA916), N($AK$67:$AK$76&gt;$AI916))
) / 1000</f>
        <v>0</v>
      </c>
      <c r="CG916" s="250">
        <f t="shared" si="783"/>
        <v>25</v>
      </c>
      <c r="CH916" s="237">
        <f t="shared" si="805"/>
        <v>38</v>
      </c>
      <c r="CI916" s="253">
        <f t="shared" si="806"/>
        <v>4.0666935483870965</v>
      </c>
      <c r="CJ916" s="253" cm="1">
        <f t="array" ref="CJ916">$BC916 * IF($AD916&lt;=2,
SUMPRODUCT(INDEX($AL$67:$AN$71,,$AE916), INDEX($AO$67:$AU$71,,$AD916), 1 / ($AV$67:$AV$71*CI916 + (1-$AV$67:$AV$71)*CE916), N($AK$67:$AK$71&gt;$AI916)),
SUMPRODUCT(INDEX($AL$57:$AN$66,,$AE916), INDEX($AO$57:$AU$66,,$AD916), 1 / ($AW$57:$AW$66*CI916 + (1-$AW$57:$AW$66)*CE916), N($AK$57:$AK$66&gt;$AI916))
) / 1000</f>
        <v>0</v>
      </c>
      <c r="CK916" s="250">
        <f t="shared" si="784"/>
        <v>20</v>
      </c>
      <c r="CL916" s="237">
        <f t="shared" si="807"/>
        <v>33</v>
      </c>
      <c r="CM916" s="253">
        <f t="shared" si="808"/>
        <v>4.8487499999999999</v>
      </c>
      <c r="CN916" s="253" cm="1">
        <f t="array" ref="CN916">$BC916 * IF($AD916&lt;=2,
SUMPRODUCT(INDEX($AL$62:$AN$66,,$AE916), INDEX($AO$62:$AU$66,,$AD916), 1 / ($AV$62:$AV$66*CM916 + (1-$AV$62:$AV$66)*CI916), N($AK$62:$AK$66&gt;$AI916)),
SUMPRODUCT(INDEX($AL$47:$AN$56,,$AE916), INDEX($AO$47:$AU$56,,$AD916), 1 / ($AW$47:$AW$56*CM916 + (1-$AW$47:$AW$56)*CI916), N($AK$47:$AK$56&gt;$AI916))
) / 1000</f>
        <v>0</v>
      </c>
      <c r="CO916" s="253" cm="1">
        <f t="array" ref="CO916">$BC916 * IF($AD916&lt;=2,
SUMPRODUCT(INDEX($AL$23:$AN$61,,$AE916), INDEX($AO$23:$AU$61,,$AD916), 1 / ($AV$23:$AV$61*CM916), N($AK$23:$AK$61&gt;$AI916)),
SUMPRODUCT(INDEX($AL$23:$AN$46,,$AE916), INDEX($AO$23:$AU$46,,$AD916), 1 / ($AW$23:$AW$46*CM916), N($AK$23:$AK$46&gt;$AI916))
) / 1000</f>
        <v>0</v>
      </c>
      <c r="CP916" s="237">
        <f t="shared" si="809"/>
        <v>0</v>
      </c>
      <c r="CQ916" s="210"/>
    </row>
    <row r="917" spans="1:95" s="76" customFormat="1" ht="14.25" customHeight="1" x14ac:dyDescent="0.2">
      <c r="A917" s="238" t="b">
        <f t="shared" si="776"/>
        <v>0</v>
      </c>
      <c r="B917" s="239">
        <v>895</v>
      </c>
      <c r="C917" s="258"/>
      <c r="D917" s="258"/>
      <c r="E917" s="240"/>
      <c r="F917" s="241" t="str">
        <f>IF(ISBLANK(E917), "", VLOOKUP(E917, Z!$A$2:$C$4127, 3, FALSE))</f>
        <v/>
      </c>
      <c r="G917" s="242"/>
      <c r="H917" s="242"/>
      <c r="I917" s="243"/>
      <c r="J917" s="244"/>
      <c r="K917" s="259"/>
      <c r="L917" s="260"/>
      <c r="M917" s="247" t="str" cm="1">
        <f t="array" ref="M917">IF($K917&gt;0, INDEX(Clean,1+AG917,$C$1), "")</f>
        <v/>
      </c>
      <c r="N917" s="245"/>
      <c r="O917" s="245"/>
      <c r="P917" s="246"/>
      <c r="Q917" s="248">
        <f t="shared" si="786"/>
        <v>0</v>
      </c>
      <c r="R917" s="247" t="str" cm="1">
        <f t="array" ref="R917">IF($K917&gt;0, INDEX(Clean,1+AH917,$C$1), "")</f>
        <v/>
      </c>
      <c r="S917" s="245"/>
      <c r="T917" s="245"/>
      <c r="U917" s="246"/>
      <c r="V917" s="248">
        <f t="shared" si="787"/>
        <v>0</v>
      </c>
      <c r="W917" s="261"/>
      <c r="X917" s="258"/>
      <c r="Y917" s="240"/>
      <c r="Z917" s="241" t="str">
        <f>IF(ISBLANK(Y917), "", VLOOKUP(Y917, Z!$A$2:$C$4127, 3, FALSE))</f>
        <v/>
      </c>
      <c r="AA917" s="262"/>
      <c r="AB917" s="249">
        <f t="shared" si="785"/>
        <v>0</v>
      </c>
      <c r="AC917" s="210"/>
      <c r="AD917" s="236">
        <f t="shared" si="810"/>
        <v>1</v>
      </c>
      <c r="AE917" s="236">
        <f t="shared" si="811"/>
        <v>1</v>
      </c>
      <c r="AF917" s="236">
        <f t="shared" si="812"/>
        <v>0</v>
      </c>
      <c r="AG917" s="236">
        <v>1</v>
      </c>
      <c r="AH917" s="236">
        <v>0</v>
      </c>
      <c r="AI917" s="236">
        <f t="shared" si="788"/>
        <v>-100</v>
      </c>
      <c r="AJ917" s="210"/>
      <c r="AK917" s="254"/>
      <c r="AL917" s="254"/>
      <c r="AM917" s="255"/>
      <c r="AN917" s="255"/>
      <c r="AO917" s="255"/>
      <c r="AP917" s="255"/>
      <c r="AQ917" s="255"/>
      <c r="AR917" s="255"/>
      <c r="AS917" s="255"/>
      <c r="AT917" s="255"/>
      <c r="AU917" s="255"/>
      <c r="AV917" s="255"/>
      <c r="AW917" s="255"/>
      <c r="AX917" s="210"/>
      <c r="AY917" s="236" cm="1">
        <f t="array" ref="AY917">INDEX(Use, $AD917, 4)</f>
        <v>7</v>
      </c>
      <c r="AZ917" s="236">
        <f t="shared" si="789"/>
        <v>32</v>
      </c>
      <c r="BA917" s="236">
        <f t="shared" si="777"/>
        <v>13</v>
      </c>
      <c r="BB917" s="236">
        <f t="shared" si="778"/>
        <v>0</v>
      </c>
      <c r="BC917" s="252" cm="1">
        <f t="array" ref="BC917">K917/IF($L917&gt;0, INDEX($AO$23:$AU$77, $L917+20, $AD917), 1)</f>
        <v>0</v>
      </c>
      <c r="BD917" s="237">
        <f t="shared" si="790"/>
        <v>0</v>
      </c>
      <c r="BE917" s="236">
        <v>35</v>
      </c>
      <c r="BF917" s="237">
        <f t="shared" si="791"/>
        <v>52.55</v>
      </c>
      <c r="BG917" s="253">
        <f t="shared" si="792"/>
        <v>2.7676728869374316</v>
      </c>
      <c r="BH917" s="253" cm="1">
        <f t="array" ref="BH917">$BC917 * SUMPRODUCT(INDEX($AL$77:$AN$82,,$AE917),INDEX($AO$77:$AU$82,,$AD917), N($AK$77:$AK$82&gt;$AI917)) / BG917 / 1000</f>
        <v>0</v>
      </c>
      <c r="BI917" s="250">
        <f t="shared" si="779"/>
        <v>30</v>
      </c>
      <c r="BJ917" s="237">
        <f t="shared" si="793"/>
        <v>46.033333333333331</v>
      </c>
      <c r="BK917" s="253">
        <f t="shared" si="794"/>
        <v>3.2297395388556791</v>
      </c>
      <c r="BL917" s="253" cm="1">
        <f t="array" ref="BL917">$BC917 * IF($AD917&lt;=2,
SUMPRODUCT(INDEX($AL$72:$AN$76,,$AE917), INDEX($AO$72:$AU$76,,$AD917), 1 / ($AV$72:$AV$76*BK917 + (1-$AV$72:$AV$76)*BG917), N($AK$72:$AK$76&gt;$AI917)),
SUMPRODUCT(INDEX($AL$67:$AN$76,,$AE917), INDEX($AO$67:$AU$76,,$AD917), 1 / ($AW$67:$AW$76*BK917 + (1-$AW$67:$AW$76)*BG917), N($AK$67:$AK$76&gt;$AI917))
) / 1000</f>
        <v>0</v>
      </c>
      <c r="BM917" s="250">
        <f t="shared" si="780"/>
        <v>25</v>
      </c>
      <c r="BN917" s="237">
        <f t="shared" si="795"/>
        <v>39.516666666666666</v>
      </c>
      <c r="BO917" s="253">
        <f t="shared" si="796"/>
        <v>3.877011788826243</v>
      </c>
      <c r="BP917" s="253" cm="1">
        <f t="array" ref="BP917">$BC917 * IF($AD917&lt;=2,
SUMPRODUCT(INDEX($AL$67:$AN$71,,$AE917), INDEX($AO$67:$AU$71,,$AD917), 1 / ($AV$67:$AV$71*BO917 + (1-$AV$67:$AV$71)*BK917), N($AK$67:$AK$71&gt;$AI917)),
SUMPRODUCT(INDEX($AL$57:$AN$66,,$AE917), INDEX($AO$57:$AU$66,,$AD917), 1 / ($AW$57:$AW$66*BO917 + (1-$AW$57:$AW$66)*BK917), N($AK$57:$AK$66&gt;$AI917))
) / 1000</f>
        <v>0</v>
      </c>
      <c r="BQ917" s="250">
        <f t="shared" si="781"/>
        <v>20</v>
      </c>
      <c r="BR917" s="237">
        <f t="shared" si="797"/>
        <v>33</v>
      </c>
      <c r="BS917" s="253">
        <f t="shared" si="798"/>
        <v>4.8487499999999999</v>
      </c>
      <c r="BT917" s="253" cm="1">
        <f t="array" ref="BT917">$BC917 * IF($AD917&lt;=2,
SUMPRODUCT(INDEX($AL$62:$AN$66,,$AE917), INDEX($AO$62:$AU$66,,$AD917), 1 / ($AV$62:$AV$66*BS917 + (1-$AV$62:$AV$66)*BO917), N($AK$62:$AK$66&gt;$AI917)),
SUMPRODUCT(INDEX($AL$47:$AN$56,,$AE917), INDEX($AO$47:$AU$56,,$AD917), 1 / ($AW$47:$AW$56*BS917 + (1-$AW$47:$AW$56)*BO917), N($AK$47:$AK$56&gt;$AI917))
) / 1000</f>
        <v>0</v>
      </c>
      <c r="BU917" s="253" cm="1">
        <f t="array" ref="BU917">$BC917 * IF($AD917&lt;=2,
SUMPRODUCT(INDEX($AL$23:$AN$61,,$AE917), INDEX($AO$23:$AU$61,,$AD917), 1 / ($AV$23:$AV$61*BS917), N($AK$23:$AK$61&gt;$AI917)),
SUMPRODUCT(INDEX($AL$23:$AN$46,,$AE917), INDEX($AO$23:$AU$46,,$AD917), 1 / ($AW$23:$AW$46*BS917), N($AK$23:$AK$46&gt;$AI917))
) / 1000</f>
        <v>0</v>
      </c>
      <c r="BV917" s="237">
        <f t="shared" si="799"/>
        <v>0</v>
      </c>
      <c r="BW917" s="210"/>
      <c r="BX917" s="237">
        <f t="shared" si="800"/>
        <v>0</v>
      </c>
      <c r="BY917" s="236">
        <v>35</v>
      </c>
      <c r="BZ917" s="237">
        <f t="shared" si="801"/>
        <v>48</v>
      </c>
      <c r="CA917" s="253">
        <f t="shared" si="802"/>
        <v>3.0748170731707316</v>
      </c>
      <c r="CB917" s="253" cm="1">
        <f t="array" ref="CB917">$BC917 * SUMPRODUCT(INDEX($AL$77:$AN$82,,$AE917),INDEX($AO$77:$AU$82,,$AD917), N($AK$77:$AK$82&gt;$AI917)) / CA917 / 1000</f>
        <v>0</v>
      </c>
      <c r="CC917" s="250">
        <f t="shared" si="782"/>
        <v>30</v>
      </c>
      <c r="CD917" s="237">
        <f t="shared" si="803"/>
        <v>43</v>
      </c>
      <c r="CE917" s="253">
        <f t="shared" si="804"/>
        <v>3.5018750000000001</v>
      </c>
      <c r="CF917" s="253" cm="1">
        <f t="array" ref="CF917">$BC917 * IF($AD917&lt;=2,
SUMPRODUCT(INDEX($AL$72:$AN$76,,$AE917), INDEX($AO$72:$AU$76,,$AD917), 1 / ($AV$72:$AV$76*CE917 + (1-$AV$72:$AV$76)*CA917), N($AK$72:$AK$76&gt;$AI917)),
SUMPRODUCT(INDEX($AL$67:$AN$76,,$AE917), INDEX($AO$67:$AU$76,,$AD917), 1 / ($AW$67:$AW$76*CE917 + (1-$AW$67:$AW$76)*CA917), N($AK$67:$AK$76&gt;$AI917))
) / 1000</f>
        <v>0</v>
      </c>
      <c r="CG917" s="250">
        <f t="shared" si="783"/>
        <v>25</v>
      </c>
      <c r="CH917" s="237">
        <f t="shared" si="805"/>
        <v>38</v>
      </c>
      <c r="CI917" s="253">
        <f t="shared" si="806"/>
        <v>4.0666935483870965</v>
      </c>
      <c r="CJ917" s="253" cm="1">
        <f t="array" ref="CJ917">$BC917 * IF($AD917&lt;=2,
SUMPRODUCT(INDEX($AL$67:$AN$71,,$AE917), INDEX($AO$67:$AU$71,,$AD917), 1 / ($AV$67:$AV$71*CI917 + (1-$AV$67:$AV$71)*CE917), N($AK$67:$AK$71&gt;$AI917)),
SUMPRODUCT(INDEX($AL$57:$AN$66,,$AE917), INDEX($AO$57:$AU$66,,$AD917), 1 / ($AW$57:$AW$66*CI917 + (1-$AW$57:$AW$66)*CE917), N($AK$57:$AK$66&gt;$AI917))
) / 1000</f>
        <v>0</v>
      </c>
      <c r="CK917" s="250">
        <f t="shared" si="784"/>
        <v>20</v>
      </c>
      <c r="CL917" s="237">
        <f t="shared" si="807"/>
        <v>33</v>
      </c>
      <c r="CM917" s="253">
        <f t="shared" si="808"/>
        <v>4.8487499999999999</v>
      </c>
      <c r="CN917" s="253" cm="1">
        <f t="array" ref="CN917">$BC917 * IF($AD917&lt;=2,
SUMPRODUCT(INDEX($AL$62:$AN$66,,$AE917), INDEX($AO$62:$AU$66,,$AD917), 1 / ($AV$62:$AV$66*CM917 + (1-$AV$62:$AV$66)*CI917), N($AK$62:$AK$66&gt;$AI917)),
SUMPRODUCT(INDEX($AL$47:$AN$56,,$AE917), INDEX($AO$47:$AU$56,,$AD917), 1 / ($AW$47:$AW$56*CM917 + (1-$AW$47:$AW$56)*CI917), N($AK$47:$AK$56&gt;$AI917))
) / 1000</f>
        <v>0</v>
      </c>
      <c r="CO917" s="253" cm="1">
        <f t="array" ref="CO917">$BC917 * IF($AD917&lt;=2,
SUMPRODUCT(INDEX($AL$23:$AN$61,,$AE917), INDEX($AO$23:$AU$61,,$AD917), 1 / ($AV$23:$AV$61*CM917), N($AK$23:$AK$61&gt;$AI917)),
SUMPRODUCT(INDEX($AL$23:$AN$46,,$AE917), INDEX($AO$23:$AU$46,,$AD917), 1 / ($AW$23:$AW$46*CM917), N($AK$23:$AK$46&gt;$AI917))
) / 1000</f>
        <v>0</v>
      </c>
      <c r="CP917" s="237">
        <f t="shared" si="809"/>
        <v>0</v>
      </c>
      <c r="CQ917" s="210"/>
    </row>
    <row r="918" spans="1:95" s="76" customFormat="1" ht="14.25" customHeight="1" x14ac:dyDescent="0.2">
      <c r="A918" s="238" t="b">
        <f t="shared" ref="A918:A981" si="813">IF(OR(AND($K918&gt;80, $AD918=1), AND($K918&gt;40, $AD918=3), AND($K918&gt;30, $AD918=4),), TRUE, FALSE)</f>
        <v>0</v>
      </c>
      <c r="B918" s="239">
        <v>896</v>
      </c>
      <c r="C918" s="258"/>
      <c r="D918" s="258"/>
      <c r="E918" s="240"/>
      <c r="F918" s="241" t="str">
        <f>IF(ISBLANK(E918), "", VLOOKUP(E918, Z!$A$2:$C$4127, 3, FALSE))</f>
        <v/>
      </c>
      <c r="G918" s="242"/>
      <c r="H918" s="242"/>
      <c r="I918" s="243"/>
      <c r="J918" s="244"/>
      <c r="K918" s="259"/>
      <c r="L918" s="260"/>
      <c r="M918" s="247" t="str" cm="1">
        <f t="array" ref="M918">IF($K918&gt;0, INDEX(Clean,1+AG918,$C$1), "")</f>
        <v/>
      </c>
      <c r="N918" s="245"/>
      <c r="O918" s="245"/>
      <c r="P918" s="246"/>
      <c r="Q918" s="248">
        <f t="shared" si="786"/>
        <v>0</v>
      </c>
      <c r="R918" s="247" t="str" cm="1">
        <f t="array" ref="R918">IF($K918&gt;0, INDEX(Clean,1+AH918,$C$1), "")</f>
        <v/>
      </c>
      <c r="S918" s="245"/>
      <c r="T918" s="245"/>
      <c r="U918" s="246"/>
      <c r="V918" s="248">
        <f t="shared" si="787"/>
        <v>0</v>
      </c>
      <c r="W918" s="261"/>
      <c r="X918" s="258"/>
      <c r="Y918" s="240"/>
      <c r="Z918" s="241" t="str">
        <f>IF(ISBLANK(Y918), "", VLOOKUP(Y918, Z!$A$2:$C$4127, 3, FALSE))</f>
        <v/>
      </c>
      <c r="AA918" s="262"/>
      <c r="AB918" s="249">
        <f t="shared" si="785"/>
        <v>0</v>
      </c>
      <c r="AC918" s="210"/>
      <c r="AD918" s="236">
        <f t="shared" si="810"/>
        <v>1</v>
      </c>
      <c r="AE918" s="236">
        <f t="shared" si="811"/>
        <v>1</v>
      </c>
      <c r="AF918" s="236">
        <f t="shared" si="812"/>
        <v>0</v>
      </c>
      <c r="AG918" s="236">
        <v>1</v>
      </c>
      <c r="AH918" s="236">
        <v>0</v>
      </c>
      <c r="AI918" s="236">
        <f t="shared" si="788"/>
        <v>-100</v>
      </c>
      <c r="AJ918" s="210"/>
      <c r="AK918" s="254"/>
      <c r="AL918" s="254"/>
      <c r="AM918" s="255"/>
      <c r="AN918" s="255"/>
      <c r="AO918" s="255"/>
      <c r="AP918" s="255"/>
      <c r="AQ918" s="255"/>
      <c r="AR918" s="255"/>
      <c r="AS918" s="255"/>
      <c r="AT918" s="255"/>
      <c r="AU918" s="255"/>
      <c r="AV918" s="255"/>
      <c r="AW918" s="255"/>
      <c r="AX918" s="210"/>
      <c r="AY918" s="236" cm="1">
        <f t="array" ref="AY918">INDEX(Use, $AD918, 4)</f>
        <v>7</v>
      </c>
      <c r="AZ918" s="236">
        <f t="shared" si="789"/>
        <v>32</v>
      </c>
      <c r="BA918" s="236">
        <f t="shared" si="777"/>
        <v>13</v>
      </c>
      <c r="BB918" s="236">
        <f t="shared" si="778"/>
        <v>0</v>
      </c>
      <c r="BC918" s="252" cm="1">
        <f t="array" ref="BC918">K918/IF($L918&gt;0, INDEX($AO$23:$AU$77, $L918+20, $AD918), 1)</f>
        <v>0</v>
      </c>
      <c r="BD918" s="237">
        <f t="shared" si="790"/>
        <v>0</v>
      </c>
      <c r="BE918" s="236">
        <v>35</v>
      </c>
      <c r="BF918" s="237">
        <f t="shared" si="791"/>
        <v>52.55</v>
      </c>
      <c r="BG918" s="253">
        <f t="shared" si="792"/>
        <v>2.7676728869374316</v>
      </c>
      <c r="BH918" s="253" cm="1">
        <f t="array" ref="BH918">$BC918 * SUMPRODUCT(INDEX($AL$77:$AN$82,,$AE918),INDEX($AO$77:$AU$82,,$AD918), N($AK$77:$AK$82&gt;$AI918)) / BG918 / 1000</f>
        <v>0</v>
      </c>
      <c r="BI918" s="250">
        <f t="shared" si="779"/>
        <v>30</v>
      </c>
      <c r="BJ918" s="237">
        <f t="shared" si="793"/>
        <v>46.033333333333331</v>
      </c>
      <c r="BK918" s="253">
        <f t="shared" si="794"/>
        <v>3.2297395388556791</v>
      </c>
      <c r="BL918" s="253" cm="1">
        <f t="array" ref="BL918">$BC918 * IF($AD918&lt;=2,
SUMPRODUCT(INDEX($AL$72:$AN$76,,$AE918), INDEX($AO$72:$AU$76,,$AD918), 1 / ($AV$72:$AV$76*BK918 + (1-$AV$72:$AV$76)*BG918), N($AK$72:$AK$76&gt;$AI918)),
SUMPRODUCT(INDEX($AL$67:$AN$76,,$AE918), INDEX($AO$67:$AU$76,,$AD918), 1 / ($AW$67:$AW$76*BK918 + (1-$AW$67:$AW$76)*BG918), N($AK$67:$AK$76&gt;$AI918))
) / 1000</f>
        <v>0</v>
      </c>
      <c r="BM918" s="250">
        <f t="shared" si="780"/>
        <v>25</v>
      </c>
      <c r="BN918" s="237">
        <f t="shared" si="795"/>
        <v>39.516666666666666</v>
      </c>
      <c r="BO918" s="253">
        <f t="shared" si="796"/>
        <v>3.877011788826243</v>
      </c>
      <c r="BP918" s="253" cm="1">
        <f t="array" ref="BP918">$BC918 * IF($AD918&lt;=2,
SUMPRODUCT(INDEX($AL$67:$AN$71,,$AE918), INDEX($AO$67:$AU$71,,$AD918), 1 / ($AV$67:$AV$71*BO918 + (1-$AV$67:$AV$71)*BK918), N($AK$67:$AK$71&gt;$AI918)),
SUMPRODUCT(INDEX($AL$57:$AN$66,,$AE918), INDEX($AO$57:$AU$66,,$AD918), 1 / ($AW$57:$AW$66*BO918 + (1-$AW$57:$AW$66)*BK918), N($AK$57:$AK$66&gt;$AI918))
) / 1000</f>
        <v>0</v>
      </c>
      <c r="BQ918" s="250">
        <f t="shared" si="781"/>
        <v>20</v>
      </c>
      <c r="BR918" s="237">
        <f t="shared" si="797"/>
        <v>33</v>
      </c>
      <c r="BS918" s="253">
        <f t="shared" si="798"/>
        <v>4.8487499999999999</v>
      </c>
      <c r="BT918" s="253" cm="1">
        <f t="array" ref="BT918">$BC918 * IF($AD918&lt;=2,
SUMPRODUCT(INDEX($AL$62:$AN$66,,$AE918), INDEX($AO$62:$AU$66,,$AD918), 1 / ($AV$62:$AV$66*BS918 + (1-$AV$62:$AV$66)*BO918), N($AK$62:$AK$66&gt;$AI918)),
SUMPRODUCT(INDEX($AL$47:$AN$56,,$AE918), INDEX($AO$47:$AU$56,,$AD918), 1 / ($AW$47:$AW$56*BS918 + (1-$AW$47:$AW$56)*BO918), N($AK$47:$AK$56&gt;$AI918))
) / 1000</f>
        <v>0</v>
      </c>
      <c r="BU918" s="253" cm="1">
        <f t="array" ref="BU918">$BC918 * IF($AD918&lt;=2,
SUMPRODUCT(INDEX($AL$23:$AN$61,,$AE918), INDEX($AO$23:$AU$61,,$AD918), 1 / ($AV$23:$AV$61*BS918), N($AK$23:$AK$61&gt;$AI918)),
SUMPRODUCT(INDEX($AL$23:$AN$46,,$AE918), INDEX($AO$23:$AU$46,,$AD918), 1 / ($AW$23:$AW$46*BS918), N($AK$23:$AK$46&gt;$AI918))
) / 1000</f>
        <v>0</v>
      </c>
      <c r="BV918" s="237">
        <f t="shared" si="799"/>
        <v>0</v>
      </c>
      <c r="BW918" s="210"/>
      <c r="BX918" s="237">
        <f t="shared" si="800"/>
        <v>0</v>
      </c>
      <c r="BY918" s="236">
        <v>35</v>
      </c>
      <c r="BZ918" s="237">
        <f t="shared" si="801"/>
        <v>48</v>
      </c>
      <c r="CA918" s="253">
        <f t="shared" si="802"/>
        <v>3.0748170731707316</v>
      </c>
      <c r="CB918" s="253" cm="1">
        <f t="array" ref="CB918">$BC918 * SUMPRODUCT(INDEX($AL$77:$AN$82,,$AE918),INDEX($AO$77:$AU$82,,$AD918), N($AK$77:$AK$82&gt;$AI918)) / CA918 / 1000</f>
        <v>0</v>
      </c>
      <c r="CC918" s="250">
        <f t="shared" si="782"/>
        <v>30</v>
      </c>
      <c r="CD918" s="237">
        <f t="shared" si="803"/>
        <v>43</v>
      </c>
      <c r="CE918" s="253">
        <f t="shared" si="804"/>
        <v>3.5018750000000001</v>
      </c>
      <c r="CF918" s="253" cm="1">
        <f t="array" ref="CF918">$BC918 * IF($AD918&lt;=2,
SUMPRODUCT(INDEX($AL$72:$AN$76,,$AE918), INDEX($AO$72:$AU$76,,$AD918), 1 / ($AV$72:$AV$76*CE918 + (1-$AV$72:$AV$76)*CA918), N($AK$72:$AK$76&gt;$AI918)),
SUMPRODUCT(INDEX($AL$67:$AN$76,,$AE918), INDEX($AO$67:$AU$76,,$AD918), 1 / ($AW$67:$AW$76*CE918 + (1-$AW$67:$AW$76)*CA918), N($AK$67:$AK$76&gt;$AI918))
) / 1000</f>
        <v>0</v>
      </c>
      <c r="CG918" s="250">
        <f t="shared" si="783"/>
        <v>25</v>
      </c>
      <c r="CH918" s="237">
        <f t="shared" si="805"/>
        <v>38</v>
      </c>
      <c r="CI918" s="253">
        <f t="shared" si="806"/>
        <v>4.0666935483870965</v>
      </c>
      <c r="CJ918" s="253" cm="1">
        <f t="array" ref="CJ918">$BC918 * IF($AD918&lt;=2,
SUMPRODUCT(INDEX($AL$67:$AN$71,,$AE918), INDEX($AO$67:$AU$71,,$AD918), 1 / ($AV$67:$AV$71*CI918 + (1-$AV$67:$AV$71)*CE918), N($AK$67:$AK$71&gt;$AI918)),
SUMPRODUCT(INDEX($AL$57:$AN$66,,$AE918), INDEX($AO$57:$AU$66,,$AD918), 1 / ($AW$57:$AW$66*CI918 + (1-$AW$57:$AW$66)*CE918), N($AK$57:$AK$66&gt;$AI918))
) / 1000</f>
        <v>0</v>
      </c>
      <c r="CK918" s="250">
        <f t="shared" si="784"/>
        <v>20</v>
      </c>
      <c r="CL918" s="237">
        <f t="shared" si="807"/>
        <v>33</v>
      </c>
      <c r="CM918" s="253">
        <f t="shared" si="808"/>
        <v>4.8487499999999999</v>
      </c>
      <c r="CN918" s="253" cm="1">
        <f t="array" ref="CN918">$BC918 * IF($AD918&lt;=2,
SUMPRODUCT(INDEX($AL$62:$AN$66,,$AE918), INDEX($AO$62:$AU$66,,$AD918), 1 / ($AV$62:$AV$66*CM918 + (1-$AV$62:$AV$66)*CI918), N($AK$62:$AK$66&gt;$AI918)),
SUMPRODUCT(INDEX($AL$47:$AN$56,,$AE918), INDEX($AO$47:$AU$56,,$AD918), 1 / ($AW$47:$AW$56*CM918 + (1-$AW$47:$AW$56)*CI918), N($AK$47:$AK$56&gt;$AI918))
) / 1000</f>
        <v>0</v>
      </c>
      <c r="CO918" s="253" cm="1">
        <f t="array" ref="CO918">$BC918 * IF($AD918&lt;=2,
SUMPRODUCT(INDEX($AL$23:$AN$61,,$AE918), INDEX($AO$23:$AU$61,,$AD918), 1 / ($AV$23:$AV$61*CM918), N($AK$23:$AK$61&gt;$AI918)),
SUMPRODUCT(INDEX($AL$23:$AN$46,,$AE918), INDEX($AO$23:$AU$46,,$AD918), 1 / ($AW$23:$AW$46*CM918), N($AK$23:$AK$46&gt;$AI918))
) / 1000</f>
        <v>0</v>
      </c>
      <c r="CP918" s="237">
        <f t="shared" si="809"/>
        <v>0</v>
      </c>
      <c r="CQ918" s="210"/>
    </row>
    <row r="919" spans="1:95" s="76" customFormat="1" ht="14.25" customHeight="1" x14ac:dyDescent="0.2">
      <c r="A919" s="238" t="b">
        <f t="shared" si="813"/>
        <v>0</v>
      </c>
      <c r="B919" s="239">
        <v>897</v>
      </c>
      <c r="C919" s="258"/>
      <c r="D919" s="258"/>
      <c r="E919" s="240"/>
      <c r="F919" s="241" t="str">
        <f>IF(ISBLANK(E919), "", VLOOKUP(E919, Z!$A$2:$C$4127, 3, FALSE))</f>
        <v/>
      </c>
      <c r="G919" s="242"/>
      <c r="H919" s="242"/>
      <c r="I919" s="243"/>
      <c r="J919" s="244"/>
      <c r="K919" s="259"/>
      <c r="L919" s="260"/>
      <c r="M919" s="247" t="str" cm="1">
        <f t="array" ref="M919">IF($K919&gt;0, INDEX(Clean,1+AG919,$C$1), "")</f>
        <v/>
      </c>
      <c r="N919" s="245"/>
      <c r="O919" s="245"/>
      <c r="P919" s="246"/>
      <c r="Q919" s="248">
        <f t="shared" si="786"/>
        <v>0</v>
      </c>
      <c r="R919" s="247" t="str" cm="1">
        <f t="array" ref="R919">IF($K919&gt;0, INDEX(Clean,1+AH919,$C$1), "")</f>
        <v/>
      </c>
      <c r="S919" s="245"/>
      <c r="T919" s="245"/>
      <c r="U919" s="246"/>
      <c r="V919" s="248">
        <f t="shared" si="787"/>
        <v>0</v>
      </c>
      <c r="W919" s="261"/>
      <c r="X919" s="258"/>
      <c r="Y919" s="240"/>
      <c r="Z919" s="241" t="str">
        <f>IF(ISBLANK(Y919), "", VLOOKUP(Y919, Z!$A$2:$C$4127, 3, FALSE))</f>
        <v/>
      </c>
      <c r="AA919" s="262"/>
      <c r="AB919" s="249">
        <f t="shared" si="785"/>
        <v>0</v>
      </c>
      <c r="AC919" s="210"/>
      <c r="AD919" s="236">
        <f t="shared" si="810"/>
        <v>1</v>
      </c>
      <c r="AE919" s="236">
        <f t="shared" si="811"/>
        <v>1</v>
      </c>
      <c r="AF919" s="236">
        <f t="shared" si="812"/>
        <v>0</v>
      </c>
      <c r="AG919" s="236">
        <v>1</v>
      </c>
      <c r="AH919" s="236">
        <v>0</v>
      </c>
      <c r="AI919" s="236">
        <f t="shared" si="788"/>
        <v>-100</v>
      </c>
      <c r="AJ919" s="210"/>
      <c r="AK919" s="254"/>
      <c r="AL919" s="254"/>
      <c r="AM919" s="255"/>
      <c r="AN919" s="255"/>
      <c r="AO919" s="255"/>
      <c r="AP919" s="255"/>
      <c r="AQ919" s="255"/>
      <c r="AR919" s="255"/>
      <c r="AS919" s="255"/>
      <c r="AT919" s="255"/>
      <c r="AU919" s="255"/>
      <c r="AV919" s="255"/>
      <c r="AW919" s="255"/>
      <c r="AX919" s="210"/>
      <c r="AY919" s="236" cm="1">
        <f t="array" ref="AY919">INDEX(Use, $AD919, 4)</f>
        <v>7</v>
      </c>
      <c r="AZ919" s="236">
        <f t="shared" si="789"/>
        <v>32</v>
      </c>
      <c r="BA919" s="236">
        <f t="shared" ref="BA919:BA982" si="814">IF($AF919=1, 6, IF($AD919=4, 10, 13))</f>
        <v>13</v>
      </c>
      <c r="BB919" s="236">
        <f t="shared" ref="BB919:BB982" si="815">IF($AF919=1, 9, 0)</f>
        <v>0</v>
      </c>
      <c r="BC919" s="252" cm="1">
        <f t="array" ref="BC919">K919/IF($L919&gt;0, INDEX($AO$23:$AU$77, $L919+20, $AD919), 1)</f>
        <v>0</v>
      </c>
      <c r="BD919" s="237">
        <f t="shared" si="790"/>
        <v>0</v>
      </c>
      <c r="BE919" s="236">
        <v>35</v>
      </c>
      <c r="BF919" s="237">
        <f t="shared" si="791"/>
        <v>52.55</v>
      </c>
      <c r="BG919" s="253">
        <f t="shared" si="792"/>
        <v>2.7676728869374316</v>
      </c>
      <c r="BH919" s="253" cm="1">
        <f t="array" ref="BH919">$BC919 * SUMPRODUCT(INDEX($AL$77:$AN$82,,$AE919),INDEX($AO$77:$AU$82,,$AD919), N($AK$77:$AK$82&gt;$AI919)) / BG919 / 1000</f>
        <v>0</v>
      </c>
      <c r="BI919" s="250">
        <f t="shared" ref="BI919:BI982" si="816">IF($AD919&lt;=2, 30, 25)</f>
        <v>30</v>
      </c>
      <c r="BJ919" s="237">
        <f t="shared" si="793"/>
        <v>46.033333333333331</v>
      </c>
      <c r="BK919" s="253">
        <f t="shared" si="794"/>
        <v>3.2297395388556791</v>
      </c>
      <c r="BL919" s="253" cm="1">
        <f t="array" ref="BL919">$BC919 * IF($AD919&lt;=2,
SUMPRODUCT(INDEX($AL$72:$AN$76,,$AE919), INDEX($AO$72:$AU$76,,$AD919), 1 / ($AV$72:$AV$76*BK919 + (1-$AV$72:$AV$76)*BG919), N($AK$72:$AK$76&gt;$AI919)),
SUMPRODUCT(INDEX($AL$67:$AN$76,,$AE919), INDEX($AO$67:$AU$76,,$AD919), 1 / ($AW$67:$AW$76*BK919 + (1-$AW$67:$AW$76)*BG919), N($AK$67:$AK$76&gt;$AI919))
) / 1000</f>
        <v>0</v>
      </c>
      <c r="BM919" s="250">
        <f t="shared" ref="BM919:BM982" si="817">IF($AD919&lt;=2, 25, 15)</f>
        <v>25</v>
      </c>
      <c r="BN919" s="237">
        <f t="shared" si="795"/>
        <v>39.516666666666666</v>
      </c>
      <c r="BO919" s="253">
        <f t="shared" si="796"/>
        <v>3.877011788826243</v>
      </c>
      <c r="BP919" s="253" cm="1">
        <f t="array" ref="BP919">$BC919 * IF($AD919&lt;=2,
SUMPRODUCT(INDEX($AL$67:$AN$71,,$AE919), INDEX($AO$67:$AU$71,,$AD919), 1 / ($AV$67:$AV$71*BO919 + (1-$AV$67:$AV$71)*BK919), N($AK$67:$AK$71&gt;$AI919)),
SUMPRODUCT(INDEX($AL$57:$AN$66,,$AE919), INDEX($AO$57:$AU$66,,$AD919), 1 / ($AW$57:$AW$66*BO919 + (1-$AW$57:$AW$66)*BK919), N($AK$57:$AK$66&gt;$AI919))
) / 1000</f>
        <v>0</v>
      </c>
      <c r="BQ919" s="250">
        <f t="shared" ref="BQ919:BQ982" si="818">IF($AD919&lt;=2, 20, 5)</f>
        <v>20</v>
      </c>
      <c r="BR919" s="237">
        <f t="shared" si="797"/>
        <v>33</v>
      </c>
      <c r="BS919" s="253">
        <f t="shared" si="798"/>
        <v>4.8487499999999999</v>
      </c>
      <c r="BT919" s="253" cm="1">
        <f t="array" ref="BT919">$BC919 * IF($AD919&lt;=2,
SUMPRODUCT(INDEX($AL$62:$AN$66,,$AE919), INDEX($AO$62:$AU$66,,$AD919), 1 / ($AV$62:$AV$66*BS919 + (1-$AV$62:$AV$66)*BO919), N($AK$62:$AK$66&gt;$AI919)),
SUMPRODUCT(INDEX($AL$47:$AN$56,,$AE919), INDEX($AO$47:$AU$56,,$AD919), 1 / ($AW$47:$AW$56*BS919 + (1-$AW$47:$AW$56)*BO919), N($AK$47:$AK$56&gt;$AI919))
) / 1000</f>
        <v>0</v>
      </c>
      <c r="BU919" s="253" cm="1">
        <f t="array" ref="BU919">$BC919 * IF($AD919&lt;=2,
SUMPRODUCT(INDEX($AL$23:$AN$61,,$AE919), INDEX($AO$23:$AU$61,,$AD919), 1 / ($AV$23:$AV$61*BS919), N($AK$23:$AK$61&gt;$AI919)),
SUMPRODUCT(INDEX($AL$23:$AN$46,,$AE919), INDEX($AO$23:$AU$46,,$AD919), 1 / ($AW$23:$AW$46*BS919), N($AK$23:$AK$46&gt;$AI919))
) / 1000</f>
        <v>0</v>
      </c>
      <c r="BV919" s="237">
        <f t="shared" si="799"/>
        <v>0</v>
      </c>
      <c r="BW919" s="210"/>
      <c r="BX919" s="237">
        <f t="shared" si="800"/>
        <v>0</v>
      </c>
      <c r="BY919" s="236">
        <v>35</v>
      </c>
      <c r="BZ919" s="237">
        <f t="shared" si="801"/>
        <v>48</v>
      </c>
      <c r="CA919" s="253">
        <f t="shared" si="802"/>
        <v>3.0748170731707316</v>
      </c>
      <c r="CB919" s="253" cm="1">
        <f t="array" ref="CB919">$BC919 * SUMPRODUCT(INDEX($AL$77:$AN$82,,$AE919),INDEX($AO$77:$AU$82,,$AD919), N($AK$77:$AK$82&gt;$AI919)) / CA919 / 1000</f>
        <v>0</v>
      </c>
      <c r="CC919" s="250">
        <f t="shared" ref="CC919:CC982" si="819">IF($AD919&lt;=2, 30, 25)</f>
        <v>30</v>
      </c>
      <c r="CD919" s="237">
        <f t="shared" si="803"/>
        <v>43</v>
      </c>
      <c r="CE919" s="253">
        <f t="shared" si="804"/>
        <v>3.5018750000000001</v>
      </c>
      <c r="CF919" s="253" cm="1">
        <f t="array" ref="CF919">$BC919 * IF($AD919&lt;=2,
SUMPRODUCT(INDEX($AL$72:$AN$76,,$AE919), INDEX($AO$72:$AU$76,,$AD919), 1 / ($AV$72:$AV$76*CE919 + (1-$AV$72:$AV$76)*CA919), N($AK$72:$AK$76&gt;$AI919)),
SUMPRODUCT(INDEX($AL$67:$AN$76,,$AE919), INDEX($AO$67:$AU$76,,$AD919), 1 / ($AW$67:$AW$76*CE919 + (1-$AW$67:$AW$76)*CA919), N($AK$67:$AK$76&gt;$AI919))
) / 1000</f>
        <v>0</v>
      </c>
      <c r="CG919" s="250">
        <f t="shared" ref="CG919:CG982" si="820">IF($AD919&lt;=2, 25, 15)</f>
        <v>25</v>
      </c>
      <c r="CH919" s="237">
        <f t="shared" si="805"/>
        <v>38</v>
      </c>
      <c r="CI919" s="253">
        <f t="shared" si="806"/>
        <v>4.0666935483870965</v>
      </c>
      <c r="CJ919" s="253" cm="1">
        <f t="array" ref="CJ919">$BC919 * IF($AD919&lt;=2,
SUMPRODUCT(INDEX($AL$67:$AN$71,,$AE919), INDEX($AO$67:$AU$71,,$AD919), 1 / ($AV$67:$AV$71*CI919 + (1-$AV$67:$AV$71)*CE919), N($AK$67:$AK$71&gt;$AI919)),
SUMPRODUCT(INDEX($AL$57:$AN$66,,$AE919), INDEX($AO$57:$AU$66,,$AD919), 1 / ($AW$57:$AW$66*CI919 + (1-$AW$57:$AW$66)*CE919), N($AK$57:$AK$66&gt;$AI919))
) / 1000</f>
        <v>0</v>
      </c>
      <c r="CK919" s="250">
        <f t="shared" ref="CK919:CK982" si="821">IF($AD919&lt;=2, 20, 5)</f>
        <v>20</v>
      </c>
      <c r="CL919" s="237">
        <f t="shared" si="807"/>
        <v>33</v>
      </c>
      <c r="CM919" s="253">
        <f t="shared" si="808"/>
        <v>4.8487499999999999</v>
      </c>
      <c r="CN919" s="253" cm="1">
        <f t="array" ref="CN919">$BC919 * IF($AD919&lt;=2,
SUMPRODUCT(INDEX($AL$62:$AN$66,,$AE919), INDEX($AO$62:$AU$66,,$AD919), 1 / ($AV$62:$AV$66*CM919 + (1-$AV$62:$AV$66)*CI919), N($AK$62:$AK$66&gt;$AI919)),
SUMPRODUCT(INDEX($AL$47:$AN$56,,$AE919), INDEX($AO$47:$AU$56,,$AD919), 1 / ($AW$47:$AW$56*CM919 + (1-$AW$47:$AW$56)*CI919), N($AK$47:$AK$56&gt;$AI919))
) / 1000</f>
        <v>0</v>
      </c>
      <c r="CO919" s="253" cm="1">
        <f t="array" ref="CO919">$BC919 * IF($AD919&lt;=2,
SUMPRODUCT(INDEX($AL$23:$AN$61,,$AE919), INDEX($AO$23:$AU$61,,$AD919), 1 / ($AV$23:$AV$61*CM919), N($AK$23:$AK$61&gt;$AI919)),
SUMPRODUCT(INDEX($AL$23:$AN$46,,$AE919), INDEX($AO$23:$AU$46,,$AD919), 1 / ($AW$23:$AW$46*CM919), N($AK$23:$AK$46&gt;$AI919))
) / 1000</f>
        <v>0</v>
      </c>
      <c r="CP919" s="237">
        <f t="shared" si="809"/>
        <v>0</v>
      </c>
      <c r="CQ919" s="210"/>
    </row>
    <row r="920" spans="1:95" s="76" customFormat="1" ht="14.25" customHeight="1" x14ac:dyDescent="0.2">
      <c r="A920" s="238" t="b">
        <f t="shared" si="813"/>
        <v>0</v>
      </c>
      <c r="B920" s="239">
        <v>898</v>
      </c>
      <c r="C920" s="258"/>
      <c r="D920" s="258"/>
      <c r="E920" s="240"/>
      <c r="F920" s="241" t="str">
        <f>IF(ISBLANK(E920), "", VLOOKUP(E920, Z!$A$2:$C$4127, 3, FALSE))</f>
        <v/>
      </c>
      <c r="G920" s="242"/>
      <c r="H920" s="242"/>
      <c r="I920" s="243"/>
      <c r="J920" s="244"/>
      <c r="K920" s="259"/>
      <c r="L920" s="260"/>
      <c r="M920" s="247" t="str" cm="1">
        <f t="array" ref="M920">IF($K920&gt;0, INDEX(Clean,1+AG920,$C$1), "")</f>
        <v/>
      </c>
      <c r="N920" s="245"/>
      <c r="O920" s="245"/>
      <c r="P920" s="246"/>
      <c r="Q920" s="248">
        <f t="shared" si="786"/>
        <v>0</v>
      </c>
      <c r="R920" s="247" t="str" cm="1">
        <f t="array" ref="R920">IF($K920&gt;0, INDEX(Clean,1+AH920,$C$1), "")</f>
        <v/>
      </c>
      <c r="S920" s="245"/>
      <c r="T920" s="245"/>
      <c r="U920" s="246"/>
      <c r="V920" s="248">
        <f t="shared" si="787"/>
        <v>0</v>
      </c>
      <c r="W920" s="261"/>
      <c r="X920" s="258"/>
      <c r="Y920" s="240"/>
      <c r="Z920" s="241" t="str">
        <f>IF(ISBLANK(Y920), "", VLOOKUP(Y920, Z!$A$2:$C$4127, 3, FALSE))</f>
        <v/>
      </c>
      <c r="AA920" s="262"/>
      <c r="AB920" s="249">
        <f t="shared" ref="AB920:AB983" si="822">0.75*$AJ$22*(Q920-V920)</f>
        <v>0</v>
      </c>
      <c r="AC920" s="210"/>
      <c r="AD920" s="236">
        <f t="shared" si="810"/>
        <v>1</v>
      </c>
      <c r="AE920" s="236">
        <f t="shared" si="811"/>
        <v>1</v>
      </c>
      <c r="AF920" s="236">
        <f t="shared" si="812"/>
        <v>0</v>
      </c>
      <c r="AG920" s="236">
        <v>1</v>
      </c>
      <c r="AH920" s="236">
        <v>0</v>
      </c>
      <c r="AI920" s="236">
        <f t="shared" si="788"/>
        <v>-100</v>
      </c>
      <c r="AJ920" s="210"/>
      <c r="AK920" s="254"/>
      <c r="AL920" s="254"/>
      <c r="AM920" s="255"/>
      <c r="AN920" s="255"/>
      <c r="AO920" s="255"/>
      <c r="AP920" s="255"/>
      <c r="AQ920" s="255"/>
      <c r="AR920" s="255"/>
      <c r="AS920" s="255"/>
      <c r="AT920" s="255"/>
      <c r="AU920" s="255"/>
      <c r="AV920" s="255"/>
      <c r="AW920" s="255"/>
      <c r="AX920" s="210"/>
      <c r="AY920" s="236" cm="1">
        <f t="array" ref="AY920">INDEX(Use, $AD920, 4)</f>
        <v>7</v>
      </c>
      <c r="AZ920" s="236">
        <f t="shared" si="789"/>
        <v>32</v>
      </c>
      <c r="BA920" s="236">
        <f t="shared" si="814"/>
        <v>13</v>
      </c>
      <c r="BB920" s="236">
        <f t="shared" si="815"/>
        <v>0</v>
      </c>
      <c r="BC920" s="252" cm="1">
        <f t="array" ref="BC920">K920/IF($L920&gt;0, INDEX($AO$23:$AU$77, $L920+20, $AD920), 1)</f>
        <v>0</v>
      </c>
      <c r="BD920" s="237">
        <f t="shared" si="790"/>
        <v>0</v>
      </c>
      <c r="BE920" s="236">
        <v>35</v>
      </c>
      <c r="BF920" s="237">
        <f t="shared" si="791"/>
        <v>52.55</v>
      </c>
      <c r="BG920" s="253">
        <f t="shared" si="792"/>
        <v>2.7676728869374316</v>
      </c>
      <c r="BH920" s="253" cm="1">
        <f t="array" ref="BH920">$BC920 * SUMPRODUCT(INDEX($AL$77:$AN$82,,$AE920),INDEX($AO$77:$AU$82,,$AD920), N($AK$77:$AK$82&gt;$AI920)) / BG920 / 1000</f>
        <v>0</v>
      </c>
      <c r="BI920" s="250">
        <f t="shared" si="816"/>
        <v>30</v>
      </c>
      <c r="BJ920" s="237">
        <f t="shared" si="793"/>
        <v>46.033333333333331</v>
      </c>
      <c r="BK920" s="253">
        <f t="shared" si="794"/>
        <v>3.2297395388556791</v>
      </c>
      <c r="BL920" s="253" cm="1">
        <f t="array" ref="BL920">$BC920 * IF($AD920&lt;=2,
SUMPRODUCT(INDEX($AL$72:$AN$76,,$AE920), INDEX($AO$72:$AU$76,,$AD920), 1 / ($AV$72:$AV$76*BK920 + (1-$AV$72:$AV$76)*BG920), N($AK$72:$AK$76&gt;$AI920)),
SUMPRODUCT(INDEX($AL$67:$AN$76,,$AE920), INDEX($AO$67:$AU$76,,$AD920), 1 / ($AW$67:$AW$76*BK920 + (1-$AW$67:$AW$76)*BG920), N($AK$67:$AK$76&gt;$AI920))
) / 1000</f>
        <v>0</v>
      </c>
      <c r="BM920" s="250">
        <f t="shared" si="817"/>
        <v>25</v>
      </c>
      <c r="BN920" s="237">
        <f t="shared" si="795"/>
        <v>39.516666666666666</v>
      </c>
      <c r="BO920" s="253">
        <f t="shared" si="796"/>
        <v>3.877011788826243</v>
      </c>
      <c r="BP920" s="253" cm="1">
        <f t="array" ref="BP920">$BC920 * IF($AD920&lt;=2,
SUMPRODUCT(INDEX($AL$67:$AN$71,,$AE920), INDEX($AO$67:$AU$71,,$AD920), 1 / ($AV$67:$AV$71*BO920 + (1-$AV$67:$AV$71)*BK920), N($AK$67:$AK$71&gt;$AI920)),
SUMPRODUCT(INDEX($AL$57:$AN$66,,$AE920), INDEX($AO$57:$AU$66,,$AD920), 1 / ($AW$57:$AW$66*BO920 + (1-$AW$57:$AW$66)*BK920), N($AK$57:$AK$66&gt;$AI920))
) / 1000</f>
        <v>0</v>
      </c>
      <c r="BQ920" s="250">
        <f t="shared" si="818"/>
        <v>20</v>
      </c>
      <c r="BR920" s="237">
        <f t="shared" si="797"/>
        <v>33</v>
      </c>
      <c r="BS920" s="253">
        <f t="shared" si="798"/>
        <v>4.8487499999999999</v>
      </c>
      <c r="BT920" s="253" cm="1">
        <f t="array" ref="BT920">$BC920 * IF($AD920&lt;=2,
SUMPRODUCT(INDEX($AL$62:$AN$66,,$AE920), INDEX($AO$62:$AU$66,,$AD920), 1 / ($AV$62:$AV$66*BS920 + (1-$AV$62:$AV$66)*BO920), N($AK$62:$AK$66&gt;$AI920)),
SUMPRODUCT(INDEX($AL$47:$AN$56,,$AE920), INDEX($AO$47:$AU$56,,$AD920), 1 / ($AW$47:$AW$56*BS920 + (1-$AW$47:$AW$56)*BO920), N($AK$47:$AK$56&gt;$AI920))
) / 1000</f>
        <v>0</v>
      </c>
      <c r="BU920" s="253" cm="1">
        <f t="array" ref="BU920">$BC920 * IF($AD920&lt;=2,
SUMPRODUCT(INDEX($AL$23:$AN$61,,$AE920), INDEX($AO$23:$AU$61,,$AD920), 1 / ($AV$23:$AV$61*BS920), N($AK$23:$AK$61&gt;$AI920)),
SUMPRODUCT(INDEX($AL$23:$AN$46,,$AE920), INDEX($AO$23:$AU$46,,$AD920), 1 / ($AW$23:$AW$46*BS920), N($AK$23:$AK$46&gt;$AI920))
) / 1000</f>
        <v>0</v>
      </c>
      <c r="BV920" s="237">
        <f t="shared" si="799"/>
        <v>0</v>
      </c>
      <c r="BW920" s="210"/>
      <c r="BX920" s="237">
        <f t="shared" si="800"/>
        <v>0</v>
      </c>
      <c r="BY920" s="236">
        <v>35</v>
      </c>
      <c r="BZ920" s="237">
        <f t="shared" si="801"/>
        <v>48</v>
      </c>
      <c r="CA920" s="253">
        <f t="shared" si="802"/>
        <v>3.0748170731707316</v>
      </c>
      <c r="CB920" s="253" cm="1">
        <f t="array" ref="CB920">$BC920 * SUMPRODUCT(INDEX($AL$77:$AN$82,,$AE920),INDEX($AO$77:$AU$82,,$AD920), N($AK$77:$AK$82&gt;$AI920)) / CA920 / 1000</f>
        <v>0</v>
      </c>
      <c r="CC920" s="250">
        <f t="shared" si="819"/>
        <v>30</v>
      </c>
      <c r="CD920" s="237">
        <f t="shared" si="803"/>
        <v>43</v>
      </c>
      <c r="CE920" s="253">
        <f t="shared" si="804"/>
        <v>3.5018750000000001</v>
      </c>
      <c r="CF920" s="253" cm="1">
        <f t="array" ref="CF920">$BC920 * IF($AD920&lt;=2,
SUMPRODUCT(INDEX($AL$72:$AN$76,,$AE920), INDEX($AO$72:$AU$76,,$AD920), 1 / ($AV$72:$AV$76*CE920 + (1-$AV$72:$AV$76)*CA920), N($AK$72:$AK$76&gt;$AI920)),
SUMPRODUCT(INDEX($AL$67:$AN$76,,$AE920), INDEX($AO$67:$AU$76,,$AD920), 1 / ($AW$67:$AW$76*CE920 + (1-$AW$67:$AW$76)*CA920), N($AK$67:$AK$76&gt;$AI920))
) / 1000</f>
        <v>0</v>
      </c>
      <c r="CG920" s="250">
        <f t="shared" si="820"/>
        <v>25</v>
      </c>
      <c r="CH920" s="237">
        <f t="shared" si="805"/>
        <v>38</v>
      </c>
      <c r="CI920" s="253">
        <f t="shared" si="806"/>
        <v>4.0666935483870965</v>
      </c>
      <c r="CJ920" s="253" cm="1">
        <f t="array" ref="CJ920">$BC920 * IF($AD920&lt;=2,
SUMPRODUCT(INDEX($AL$67:$AN$71,,$AE920), INDEX($AO$67:$AU$71,,$AD920), 1 / ($AV$67:$AV$71*CI920 + (1-$AV$67:$AV$71)*CE920), N($AK$67:$AK$71&gt;$AI920)),
SUMPRODUCT(INDEX($AL$57:$AN$66,,$AE920), INDEX($AO$57:$AU$66,,$AD920), 1 / ($AW$57:$AW$66*CI920 + (1-$AW$57:$AW$66)*CE920), N($AK$57:$AK$66&gt;$AI920))
) / 1000</f>
        <v>0</v>
      </c>
      <c r="CK920" s="250">
        <f t="shared" si="821"/>
        <v>20</v>
      </c>
      <c r="CL920" s="237">
        <f t="shared" si="807"/>
        <v>33</v>
      </c>
      <c r="CM920" s="253">
        <f t="shared" si="808"/>
        <v>4.8487499999999999</v>
      </c>
      <c r="CN920" s="253" cm="1">
        <f t="array" ref="CN920">$BC920 * IF($AD920&lt;=2,
SUMPRODUCT(INDEX($AL$62:$AN$66,,$AE920), INDEX($AO$62:$AU$66,,$AD920), 1 / ($AV$62:$AV$66*CM920 + (1-$AV$62:$AV$66)*CI920), N($AK$62:$AK$66&gt;$AI920)),
SUMPRODUCT(INDEX($AL$47:$AN$56,,$AE920), INDEX($AO$47:$AU$56,,$AD920), 1 / ($AW$47:$AW$56*CM920 + (1-$AW$47:$AW$56)*CI920), N($AK$47:$AK$56&gt;$AI920))
) / 1000</f>
        <v>0</v>
      </c>
      <c r="CO920" s="253" cm="1">
        <f t="array" ref="CO920">$BC920 * IF($AD920&lt;=2,
SUMPRODUCT(INDEX($AL$23:$AN$61,,$AE920), INDEX($AO$23:$AU$61,,$AD920), 1 / ($AV$23:$AV$61*CM920), N($AK$23:$AK$61&gt;$AI920)),
SUMPRODUCT(INDEX($AL$23:$AN$46,,$AE920), INDEX($AO$23:$AU$46,,$AD920), 1 / ($AW$23:$AW$46*CM920), N($AK$23:$AK$46&gt;$AI920))
) / 1000</f>
        <v>0</v>
      </c>
      <c r="CP920" s="237">
        <f t="shared" si="809"/>
        <v>0</v>
      </c>
      <c r="CQ920" s="210"/>
    </row>
    <row r="921" spans="1:95" s="76" customFormat="1" ht="14.25" customHeight="1" x14ac:dyDescent="0.2">
      <c r="A921" s="238" t="b">
        <f t="shared" si="813"/>
        <v>0</v>
      </c>
      <c r="B921" s="239">
        <v>899</v>
      </c>
      <c r="C921" s="258"/>
      <c r="D921" s="258"/>
      <c r="E921" s="240"/>
      <c r="F921" s="241" t="str">
        <f>IF(ISBLANK(E921), "", VLOOKUP(E921, Z!$A$2:$C$4127, 3, FALSE))</f>
        <v/>
      </c>
      <c r="G921" s="242"/>
      <c r="H921" s="242"/>
      <c r="I921" s="243"/>
      <c r="J921" s="244"/>
      <c r="K921" s="259"/>
      <c r="L921" s="260"/>
      <c r="M921" s="247" t="str" cm="1">
        <f t="array" ref="M921">IF($K921&gt;0, INDEX(Clean,1+AG921,$C$1), "")</f>
        <v/>
      </c>
      <c r="N921" s="245"/>
      <c r="O921" s="245"/>
      <c r="P921" s="246"/>
      <c r="Q921" s="248">
        <f t="shared" si="786"/>
        <v>0</v>
      </c>
      <c r="R921" s="247" t="str" cm="1">
        <f t="array" ref="R921">IF($K921&gt;0, INDEX(Clean,1+AH921,$C$1), "")</f>
        <v/>
      </c>
      <c r="S921" s="245"/>
      <c r="T921" s="245"/>
      <c r="U921" s="246"/>
      <c r="V921" s="248">
        <f t="shared" si="787"/>
        <v>0</v>
      </c>
      <c r="W921" s="261"/>
      <c r="X921" s="258"/>
      <c r="Y921" s="240"/>
      <c r="Z921" s="241" t="str">
        <f>IF(ISBLANK(Y921), "", VLOOKUP(Y921, Z!$A$2:$C$4127, 3, FALSE))</f>
        <v/>
      </c>
      <c r="AA921" s="262"/>
      <c r="AB921" s="249">
        <f t="shared" si="822"/>
        <v>0</v>
      </c>
      <c r="AC921" s="210"/>
      <c r="AD921" s="236">
        <f t="shared" si="810"/>
        <v>1</v>
      </c>
      <c r="AE921" s="236">
        <f t="shared" si="811"/>
        <v>1</v>
      </c>
      <c r="AF921" s="236">
        <f t="shared" si="812"/>
        <v>0</v>
      </c>
      <c r="AG921" s="236">
        <v>1</v>
      </c>
      <c r="AH921" s="236">
        <v>0</v>
      </c>
      <c r="AI921" s="236">
        <f t="shared" si="788"/>
        <v>-100</v>
      </c>
      <c r="AJ921" s="210"/>
      <c r="AK921" s="254"/>
      <c r="AL921" s="254"/>
      <c r="AM921" s="255"/>
      <c r="AN921" s="255"/>
      <c r="AO921" s="255"/>
      <c r="AP921" s="255"/>
      <c r="AQ921" s="255"/>
      <c r="AR921" s="255"/>
      <c r="AS921" s="255"/>
      <c r="AT921" s="255"/>
      <c r="AU921" s="255"/>
      <c r="AV921" s="255"/>
      <c r="AW921" s="255"/>
      <c r="AX921" s="210"/>
      <c r="AY921" s="236" cm="1">
        <f t="array" ref="AY921">INDEX(Use, $AD921, 4)</f>
        <v>7</v>
      </c>
      <c r="AZ921" s="236">
        <f t="shared" si="789"/>
        <v>32</v>
      </c>
      <c r="BA921" s="236">
        <f t="shared" si="814"/>
        <v>13</v>
      </c>
      <c r="BB921" s="236">
        <f t="shared" si="815"/>
        <v>0</v>
      </c>
      <c r="BC921" s="252" cm="1">
        <f t="array" ref="BC921">K921/IF($L921&gt;0, INDEX($AO$23:$AU$77, $L921+20, $AD921), 1)</f>
        <v>0</v>
      </c>
      <c r="BD921" s="237">
        <f t="shared" si="790"/>
        <v>0</v>
      </c>
      <c r="BE921" s="236">
        <v>35</v>
      </c>
      <c r="BF921" s="237">
        <f t="shared" si="791"/>
        <v>52.55</v>
      </c>
      <c r="BG921" s="253">
        <f t="shared" si="792"/>
        <v>2.7676728869374316</v>
      </c>
      <c r="BH921" s="253" cm="1">
        <f t="array" ref="BH921">$BC921 * SUMPRODUCT(INDEX($AL$77:$AN$82,,$AE921),INDEX($AO$77:$AU$82,,$AD921), N($AK$77:$AK$82&gt;$AI921)) / BG921 / 1000</f>
        <v>0</v>
      </c>
      <c r="BI921" s="250">
        <f t="shared" si="816"/>
        <v>30</v>
      </c>
      <c r="BJ921" s="237">
        <f t="shared" si="793"/>
        <v>46.033333333333331</v>
      </c>
      <c r="BK921" s="253">
        <f t="shared" si="794"/>
        <v>3.2297395388556791</v>
      </c>
      <c r="BL921" s="253" cm="1">
        <f t="array" ref="BL921">$BC921 * IF($AD921&lt;=2,
SUMPRODUCT(INDEX($AL$72:$AN$76,,$AE921), INDEX($AO$72:$AU$76,,$AD921), 1 / ($AV$72:$AV$76*BK921 + (1-$AV$72:$AV$76)*BG921), N($AK$72:$AK$76&gt;$AI921)),
SUMPRODUCT(INDEX($AL$67:$AN$76,,$AE921), INDEX($AO$67:$AU$76,,$AD921), 1 / ($AW$67:$AW$76*BK921 + (1-$AW$67:$AW$76)*BG921), N($AK$67:$AK$76&gt;$AI921))
) / 1000</f>
        <v>0</v>
      </c>
      <c r="BM921" s="250">
        <f t="shared" si="817"/>
        <v>25</v>
      </c>
      <c r="BN921" s="237">
        <f t="shared" si="795"/>
        <v>39.516666666666666</v>
      </c>
      <c r="BO921" s="253">
        <f t="shared" si="796"/>
        <v>3.877011788826243</v>
      </c>
      <c r="BP921" s="253" cm="1">
        <f t="array" ref="BP921">$BC921 * IF($AD921&lt;=2,
SUMPRODUCT(INDEX($AL$67:$AN$71,,$AE921), INDEX($AO$67:$AU$71,,$AD921), 1 / ($AV$67:$AV$71*BO921 + (1-$AV$67:$AV$71)*BK921), N($AK$67:$AK$71&gt;$AI921)),
SUMPRODUCT(INDEX($AL$57:$AN$66,,$AE921), INDEX($AO$57:$AU$66,,$AD921), 1 / ($AW$57:$AW$66*BO921 + (1-$AW$57:$AW$66)*BK921), N($AK$57:$AK$66&gt;$AI921))
) / 1000</f>
        <v>0</v>
      </c>
      <c r="BQ921" s="250">
        <f t="shared" si="818"/>
        <v>20</v>
      </c>
      <c r="BR921" s="237">
        <f t="shared" si="797"/>
        <v>33</v>
      </c>
      <c r="BS921" s="253">
        <f t="shared" si="798"/>
        <v>4.8487499999999999</v>
      </c>
      <c r="BT921" s="253" cm="1">
        <f t="array" ref="BT921">$BC921 * IF($AD921&lt;=2,
SUMPRODUCT(INDEX($AL$62:$AN$66,,$AE921), INDEX($AO$62:$AU$66,,$AD921), 1 / ($AV$62:$AV$66*BS921 + (1-$AV$62:$AV$66)*BO921), N($AK$62:$AK$66&gt;$AI921)),
SUMPRODUCT(INDEX($AL$47:$AN$56,,$AE921), INDEX($AO$47:$AU$56,,$AD921), 1 / ($AW$47:$AW$56*BS921 + (1-$AW$47:$AW$56)*BO921), N($AK$47:$AK$56&gt;$AI921))
) / 1000</f>
        <v>0</v>
      </c>
      <c r="BU921" s="253" cm="1">
        <f t="array" ref="BU921">$BC921 * IF($AD921&lt;=2,
SUMPRODUCT(INDEX($AL$23:$AN$61,,$AE921), INDEX($AO$23:$AU$61,,$AD921), 1 / ($AV$23:$AV$61*BS921), N($AK$23:$AK$61&gt;$AI921)),
SUMPRODUCT(INDEX($AL$23:$AN$46,,$AE921), INDEX($AO$23:$AU$46,,$AD921), 1 / ($AW$23:$AW$46*BS921), N($AK$23:$AK$46&gt;$AI921))
) / 1000</f>
        <v>0</v>
      </c>
      <c r="BV921" s="237">
        <f t="shared" si="799"/>
        <v>0</v>
      </c>
      <c r="BW921" s="210"/>
      <c r="BX921" s="237">
        <f t="shared" si="800"/>
        <v>0</v>
      </c>
      <c r="BY921" s="236">
        <v>35</v>
      </c>
      <c r="BZ921" s="237">
        <f t="shared" si="801"/>
        <v>48</v>
      </c>
      <c r="CA921" s="253">
        <f t="shared" si="802"/>
        <v>3.0748170731707316</v>
      </c>
      <c r="CB921" s="253" cm="1">
        <f t="array" ref="CB921">$BC921 * SUMPRODUCT(INDEX($AL$77:$AN$82,,$AE921),INDEX($AO$77:$AU$82,,$AD921), N($AK$77:$AK$82&gt;$AI921)) / CA921 / 1000</f>
        <v>0</v>
      </c>
      <c r="CC921" s="250">
        <f t="shared" si="819"/>
        <v>30</v>
      </c>
      <c r="CD921" s="237">
        <f t="shared" si="803"/>
        <v>43</v>
      </c>
      <c r="CE921" s="253">
        <f t="shared" si="804"/>
        <v>3.5018750000000001</v>
      </c>
      <c r="CF921" s="253" cm="1">
        <f t="array" ref="CF921">$BC921 * IF($AD921&lt;=2,
SUMPRODUCT(INDEX($AL$72:$AN$76,,$AE921), INDEX($AO$72:$AU$76,,$AD921), 1 / ($AV$72:$AV$76*CE921 + (1-$AV$72:$AV$76)*CA921), N($AK$72:$AK$76&gt;$AI921)),
SUMPRODUCT(INDEX($AL$67:$AN$76,,$AE921), INDEX($AO$67:$AU$76,,$AD921), 1 / ($AW$67:$AW$76*CE921 + (1-$AW$67:$AW$76)*CA921), N($AK$67:$AK$76&gt;$AI921))
) / 1000</f>
        <v>0</v>
      </c>
      <c r="CG921" s="250">
        <f t="shared" si="820"/>
        <v>25</v>
      </c>
      <c r="CH921" s="237">
        <f t="shared" si="805"/>
        <v>38</v>
      </c>
      <c r="CI921" s="253">
        <f t="shared" si="806"/>
        <v>4.0666935483870965</v>
      </c>
      <c r="CJ921" s="253" cm="1">
        <f t="array" ref="CJ921">$BC921 * IF($AD921&lt;=2,
SUMPRODUCT(INDEX($AL$67:$AN$71,,$AE921), INDEX($AO$67:$AU$71,,$AD921), 1 / ($AV$67:$AV$71*CI921 + (1-$AV$67:$AV$71)*CE921), N($AK$67:$AK$71&gt;$AI921)),
SUMPRODUCT(INDEX($AL$57:$AN$66,,$AE921), INDEX($AO$57:$AU$66,,$AD921), 1 / ($AW$57:$AW$66*CI921 + (1-$AW$57:$AW$66)*CE921), N($AK$57:$AK$66&gt;$AI921))
) / 1000</f>
        <v>0</v>
      </c>
      <c r="CK921" s="250">
        <f t="shared" si="821"/>
        <v>20</v>
      </c>
      <c r="CL921" s="237">
        <f t="shared" si="807"/>
        <v>33</v>
      </c>
      <c r="CM921" s="253">
        <f t="shared" si="808"/>
        <v>4.8487499999999999</v>
      </c>
      <c r="CN921" s="253" cm="1">
        <f t="array" ref="CN921">$BC921 * IF($AD921&lt;=2,
SUMPRODUCT(INDEX($AL$62:$AN$66,,$AE921), INDEX($AO$62:$AU$66,,$AD921), 1 / ($AV$62:$AV$66*CM921 + (1-$AV$62:$AV$66)*CI921), N($AK$62:$AK$66&gt;$AI921)),
SUMPRODUCT(INDEX($AL$47:$AN$56,,$AE921), INDEX($AO$47:$AU$56,,$AD921), 1 / ($AW$47:$AW$56*CM921 + (1-$AW$47:$AW$56)*CI921), N($AK$47:$AK$56&gt;$AI921))
) / 1000</f>
        <v>0</v>
      </c>
      <c r="CO921" s="253" cm="1">
        <f t="array" ref="CO921">$BC921 * IF($AD921&lt;=2,
SUMPRODUCT(INDEX($AL$23:$AN$61,,$AE921), INDEX($AO$23:$AU$61,,$AD921), 1 / ($AV$23:$AV$61*CM921), N($AK$23:$AK$61&gt;$AI921)),
SUMPRODUCT(INDEX($AL$23:$AN$46,,$AE921), INDEX($AO$23:$AU$46,,$AD921), 1 / ($AW$23:$AW$46*CM921), N($AK$23:$AK$46&gt;$AI921))
) / 1000</f>
        <v>0</v>
      </c>
      <c r="CP921" s="237">
        <f t="shared" si="809"/>
        <v>0</v>
      </c>
      <c r="CQ921" s="210"/>
    </row>
    <row r="922" spans="1:95" s="76" customFormat="1" ht="14.25" customHeight="1" x14ac:dyDescent="0.2">
      <c r="A922" s="238" t="b">
        <f t="shared" si="813"/>
        <v>0</v>
      </c>
      <c r="B922" s="239">
        <v>900</v>
      </c>
      <c r="C922" s="258"/>
      <c r="D922" s="258"/>
      <c r="E922" s="240"/>
      <c r="F922" s="241" t="str">
        <f>IF(ISBLANK(E922), "", VLOOKUP(E922, Z!$A$2:$C$4127, 3, FALSE))</f>
        <v/>
      </c>
      <c r="G922" s="242"/>
      <c r="H922" s="242"/>
      <c r="I922" s="243"/>
      <c r="J922" s="244"/>
      <c r="K922" s="259"/>
      <c r="L922" s="260"/>
      <c r="M922" s="247" t="str" cm="1">
        <f t="array" ref="M922">IF($K922&gt;0, INDEX(Clean,1+AG922,$C$1), "")</f>
        <v/>
      </c>
      <c r="N922" s="245"/>
      <c r="O922" s="245"/>
      <c r="P922" s="246"/>
      <c r="Q922" s="248">
        <f t="shared" si="786"/>
        <v>0</v>
      </c>
      <c r="R922" s="247" t="str" cm="1">
        <f t="array" ref="R922">IF($K922&gt;0, INDEX(Clean,1+AH922,$C$1), "")</f>
        <v/>
      </c>
      <c r="S922" s="245"/>
      <c r="T922" s="245"/>
      <c r="U922" s="246"/>
      <c r="V922" s="248">
        <f t="shared" si="787"/>
        <v>0</v>
      </c>
      <c r="W922" s="261"/>
      <c r="X922" s="258"/>
      <c r="Y922" s="240"/>
      <c r="Z922" s="241" t="str">
        <f>IF(ISBLANK(Y922), "", VLOOKUP(Y922, Z!$A$2:$C$4127, 3, FALSE))</f>
        <v/>
      </c>
      <c r="AA922" s="262"/>
      <c r="AB922" s="249">
        <f t="shared" si="822"/>
        <v>0</v>
      </c>
      <c r="AC922" s="210"/>
      <c r="AD922" s="236">
        <f t="shared" si="810"/>
        <v>1</v>
      </c>
      <c r="AE922" s="236">
        <f t="shared" si="811"/>
        <v>1</v>
      </c>
      <c r="AF922" s="236">
        <f t="shared" si="812"/>
        <v>0</v>
      </c>
      <c r="AG922" s="236">
        <v>1</v>
      </c>
      <c r="AH922" s="236">
        <v>0</v>
      </c>
      <c r="AI922" s="236">
        <f t="shared" si="788"/>
        <v>-100</v>
      </c>
      <c r="AJ922" s="210"/>
      <c r="AK922" s="254"/>
      <c r="AL922" s="254"/>
      <c r="AM922" s="255"/>
      <c r="AN922" s="255"/>
      <c r="AO922" s="255"/>
      <c r="AP922" s="255"/>
      <c r="AQ922" s="255"/>
      <c r="AR922" s="255"/>
      <c r="AS922" s="255"/>
      <c r="AT922" s="255"/>
      <c r="AU922" s="255"/>
      <c r="AV922" s="255"/>
      <c r="AW922" s="255"/>
      <c r="AX922" s="210"/>
      <c r="AY922" s="236" cm="1">
        <f t="array" ref="AY922">INDEX(Use, $AD922, 4)</f>
        <v>7</v>
      </c>
      <c r="AZ922" s="236">
        <f t="shared" si="789"/>
        <v>32</v>
      </c>
      <c r="BA922" s="236">
        <f t="shared" si="814"/>
        <v>13</v>
      </c>
      <c r="BB922" s="236">
        <f t="shared" si="815"/>
        <v>0</v>
      </c>
      <c r="BC922" s="252" cm="1">
        <f t="array" ref="BC922">K922/IF($L922&gt;0, INDEX($AO$23:$AU$77, $L922+20, $AD922), 1)</f>
        <v>0</v>
      </c>
      <c r="BD922" s="237">
        <f t="shared" si="790"/>
        <v>0</v>
      </c>
      <c r="BE922" s="236">
        <v>35</v>
      </c>
      <c r="BF922" s="237">
        <f t="shared" si="791"/>
        <v>52.55</v>
      </c>
      <c r="BG922" s="253">
        <f t="shared" si="792"/>
        <v>2.7676728869374316</v>
      </c>
      <c r="BH922" s="253" cm="1">
        <f t="array" ref="BH922">$BC922 * SUMPRODUCT(INDEX($AL$77:$AN$82,,$AE922),INDEX($AO$77:$AU$82,,$AD922), N($AK$77:$AK$82&gt;$AI922)) / BG922 / 1000</f>
        <v>0</v>
      </c>
      <c r="BI922" s="250">
        <f t="shared" si="816"/>
        <v>30</v>
      </c>
      <c r="BJ922" s="237">
        <f t="shared" si="793"/>
        <v>46.033333333333331</v>
      </c>
      <c r="BK922" s="253">
        <f t="shared" si="794"/>
        <v>3.2297395388556791</v>
      </c>
      <c r="BL922" s="253" cm="1">
        <f t="array" ref="BL922">$BC922 * IF($AD922&lt;=2,
SUMPRODUCT(INDEX($AL$72:$AN$76,,$AE922), INDEX($AO$72:$AU$76,,$AD922), 1 / ($AV$72:$AV$76*BK922 + (1-$AV$72:$AV$76)*BG922), N($AK$72:$AK$76&gt;$AI922)),
SUMPRODUCT(INDEX($AL$67:$AN$76,,$AE922), INDEX($AO$67:$AU$76,,$AD922), 1 / ($AW$67:$AW$76*BK922 + (1-$AW$67:$AW$76)*BG922), N($AK$67:$AK$76&gt;$AI922))
) / 1000</f>
        <v>0</v>
      </c>
      <c r="BM922" s="250">
        <f t="shared" si="817"/>
        <v>25</v>
      </c>
      <c r="BN922" s="237">
        <f t="shared" si="795"/>
        <v>39.516666666666666</v>
      </c>
      <c r="BO922" s="253">
        <f t="shared" si="796"/>
        <v>3.877011788826243</v>
      </c>
      <c r="BP922" s="253" cm="1">
        <f t="array" ref="BP922">$BC922 * IF($AD922&lt;=2,
SUMPRODUCT(INDEX($AL$67:$AN$71,,$AE922), INDEX($AO$67:$AU$71,,$AD922), 1 / ($AV$67:$AV$71*BO922 + (1-$AV$67:$AV$71)*BK922), N($AK$67:$AK$71&gt;$AI922)),
SUMPRODUCT(INDEX($AL$57:$AN$66,,$AE922), INDEX($AO$57:$AU$66,,$AD922), 1 / ($AW$57:$AW$66*BO922 + (1-$AW$57:$AW$66)*BK922), N($AK$57:$AK$66&gt;$AI922))
) / 1000</f>
        <v>0</v>
      </c>
      <c r="BQ922" s="250">
        <f t="shared" si="818"/>
        <v>20</v>
      </c>
      <c r="BR922" s="237">
        <f t="shared" si="797"/>
        <v>33</v>
      </c>
      <c r="BS922" s="253">
        <f t="shared" si="798"/>
        <v>4.8487499999999999</v>
      </c>
      <c r="BT922" s="253" cm="1">
        <f t="array" ref="BT922">$BC922 * IF($AD922&lt;=2,
SUMPRODUCT(INDEX($AL$62:$AN$66,,$AE922), INDEX($AO$62:$AU$66,,$AD922), 1 / ($AV$62:$AV$66*BS922 + (1-$AV$62:$AV$66)*BO922), N($AK$62:$AK$66&gt;$AI922)),
SUMPRODUCT(INDEX($AL$47:$AN$56,,$AE922), INDEX($AO$47:$AU$56,,$AD922), 1 / ($AW$47:$AW$56*BS922 + (1-$AW$47:$AW$56)*BO922), N($AK$47:$AK$56&gt;$AI922))
) / 1000</f>
        <v>0</v>
      </c>
      <c r="BU922" s="253" cm="1">
        <f t="array" ref="BU922">$BC922 * IF($AD922&lt;=2,
SUMPRODUCT(INDEX($AL$23:$AN$61,,$AE922), INDEX($AO$23:$AU$61,,$AD922), 1 / ($AV$23:$AV$61*BS922), N($AK$23:$AK$61&gt;$AI922)),
SUMPRODUCT(INDEX($AL$23:$AN$46,,$AE922), INDEX($AO$23:$AU$46,,$AD922), 1 / ($AW$23:$AW$46*BS922), N($AK$23:$AK$46&gt;$AI922))
) / 1000</f>
        <v>0</v>
      </c>
      <c r="BV922" s="237">
        <f t="shared" si="799"/>
        <v>0</v>
      </c>
      <c r="BW922" s="210"/>
      <c r="BX922" s="237">
        <f t="shared" si="800"/>
        <v>0</v>
      </c>
      <c r="BY922" s="236">
        <v>35</v>
      </c>
      <c r="BZ922" s="237">
        <f t="shared" si="801"/>
        <v>48</v>
      </c>
      <c r="CA922" s="253">
        <f t="shared" si="802"/>
        <v>3.0748170731707316</v>
      </c>
      <c r="CB922" s="253" cm="1">
        <f t="array" ref="CB922">$BC922 * SUMPRODUCT(INDEX($AL$77:$AN$82,,$AE922),INDEX($AO$77:$AU$82,,$AD922), N($AK$77:$AK$82&gt;$AI922)) / CA922 / 1000</f>
        <v>0</v>
      </c>
      <c r="CC922" s="250">
        <f t="shared" si="819"/>
        <v>30</v>
      </c>
      <c r="CD922" s="237">
        <f t="shared" si="803"/>
        <v>43</v>
      </c>
      <c r="CE922" s="253">
        <f t="shared" si="804"/>
        <v>3.5018750000000001</v>
      </c>
      <c r="CF922" s="253" cm="1">
        <f t="array" ref="CF922">$BC922 * IF($AD922&lt;=2,
SUMPRODUCT(INDEX($AL$72:$AN$76,,$AE922), INDEX($AO$72:$AU$76,,$AD922), 1 / ($AV$72:$AV$76*CE922 + (1-$AV$72:$AV$76)*CA922), N($AK$72:$AK$76&gt;$AI922)),
SUMPRODUCT(INDEX($AL$67:$AN$76,,$AE922), INDEX($AO$67:$AU$76,,$AD922), 1 / ($AW$67:$AW$76*CE922 + (1-$AW$67:$AW$76)*CA922), N($AK$67:$AK$76&gt;$AI922))
) / 1000</f>
        <v>0</v>
      </c>
      <c r="CG922" s="250">
        <f t="shared" si="820"/>
        <v>25</v>
      </c>
      <c r="CH922" s="237">
        <f t="shared" si="805"/>
        <v>38</v>
      </c>
      <c r="CI922" s="253">
        <f t="shared" si="806"/>
        <v>4.0666935483870965</v>
      </c>
      <c r="CJ922" s="253" cm="1">
        <f t="array" ref="CJ922">$BC922 * IF($AD922&lt;=2,
SUMPRODUCT(INDEX($AL$67:$AN$71,,$AE922), INDEX($AO$67:$AU$71,,$AD922), 1 / ($AV$67:$AV$71*CI922 + (1-$AV$67:$AV$71)*CE922), N($AK$67:$AK$71&gt;$AI922)),
SUMPRODUCT(INDEX($AL$57:$AN$66,,$AE922), INDEX($AO$57:$AU$66,,$AD922), 1 / ($AW$57:$AW$66*CI922 + (1-$AW$57:$AW$66)*CE922), N($AK$57:$AK$66&gt;$AI922))
) / 1000</f>
        <v>0</v>
      </c>
      <c r="CK922" s="250">
        <f t="shared" si="821"/>
        <v>20</v>
      </c>
      <c r="CL922" s="237">
        <f t="shared" si="807"/>
        <v>33</v>
      </c>
      <c r="CM922" s="253">
        <f t="shared" si="808"/>
        <v>4.8487499999999999</v>
      </c>
      <c r="CN922" s="253" cm="1">
        <f t="array" ref="CN922">$BC922 * IF($AD922&lt;=2,
SUMPRODUCT(INDEX($AL$62:$AN$66,,$AE922), INDEX($AO$62:$AU$66,,$AD922), 1 / ($AV$62:$AV$66*CM922 + (1-$AV$62:$AV$66)*CI922), N($AK$62:$AK$66&gt;$AI922)),
SUMPRODUCT(INDEX($AL$47:$AN$56,,$AE922), INDEX($AO$47:$AU$56,,$AD922), 1 / ($AW$47:$AW$56*CM922 + (1-$AW$47:$AW$56)*CI922), N($AK$47:$AK$56&gt;$AI922))
) / 1000</f>
        <v>0</v>
      </c>
      <c r="CO922" s="253" cm="1">
        <f t="array" ref="CO922">$BC922 * IF($AD922&lt;=2,
SUMPRODUCT(INDEX($AL$23:$AN$61,,$AE922), INDEX($AO$23:$AU$61,,$AD922), 1 / ($AV$23:$AV$61*CM922), N($AK$23:$AK$61&gt;$AI922)),
SUMPRODUCT(INDEX($AL$23:$AN$46,,$AE922), INDEX($AO$23:$AU$46,,$AD922), 1 / ($AW$23:$AW$46*CM922), N($AK$23:$AK$46&gt;$AI922))
) / 1000</f>
        <v>0</v>
      </c>
      <c r="CP922" s="237">
        <f t="shared" si="809"/>
        <v>0</v>
      </c>
      <c r="CQ922" s="210"/>
    </row>
    <row r="923" spans="1:95" s="76" customFormat="1" ht="14.25" customHeight="1" x14ac:dyDescent="0.2">
      <c r="A923" s="238" t="b">
        <f t="shared" si="813"/>
        <v>0</v>
      </c>
      <c r="B923" s="239">
        <v>901</v>
      </c>
      <c r="C923" s="258"/>
      <c r="D923" s="258"/>
      <c r="E923" s="240"/>
      <c r="F923" s="241" t="str">
        <f>IF(ISBLANK(E923), "", VLOOKUP(E923, Z!$A$2:$C$4127, 3, FALSE))</f>
        <v/>
      </c>
      <c r="G923" s="242"/>
      <c r="H923" s="242"/>
      <c r="I923" s="243"/>
      <c r="J923" s="244"/>
      <c r="K923" s="259"/>
      <c r="L923" s="260"/>
      <c r="M923" s="247" t="str" cm="1">
        <f t="array" ref="M923">IF($K923&gt;0, INDEX(Clean,1+AG923,$C$1), "")</f>
        <v/>
      </c>
      <c r="N923" s="245"/>
      <c r="O923" s="245"/>
      <c r="P923" s="246"/>
      <c r="Q923" s="248">
        <f t="shared" si="786"/>
        <v>0</v>
      </c>
      <c r="R923" s="247" t="str" cm="1">
        <f t="array" ref="R923">IF($K923&gt;0, INDEX(Clean,1+AH923,$C$1), "")</f>
        <v/>
      </c>
      <c r="S923" s="245"/>
      <c r="T923" s="245"/>
      <c r="U923" s="246"/>
      <c r="V923" s="248">
        <f t="shared" si="787"/>
        <v>0</v>
      </c>
      <c r="W923" s="261"/>
      <c r="X923" s="258"/>
      <c r="Y923" s="240"/>
      <c r="Z923" s="241" t="str">
        <f>IF(ISBLANK(Y923), "", VLOOKUP(Y923, Z!$A$2:$C$4127, 3, FALSE))</f>
        <v/>
      </c>
      <c r="AA923" s="262"/>
      <c r="AB923" s="249">
        <f t="shared" si="822"/>
        <v>0</v>
      </c>
      <c r="AC923" s="210"/>
      <c r="AD923" s="236">
        <f t="shared" si="810"/>
        <v>1</v>
      </c>
      <c r="AE923" s="236">
        <f t="shared" si="811"/>
        <v>1</v>
      </c>
      <c r="AF923" s="236">
        <f t="shared" si="812"/>
        <v>0</v>
      </c>
      <c r="AG923" s="236">
        <v>1</v>
      </c>
      <c r="AH923" s="236">
        <v>0</v>
      </c>
      <c r="AI923" s="236">
        <f t="shared" si="788"/>
        <v>-100</v>
      </c>
      <c r="AJ923" s="210"/>
      <c r="AK923" s="254"/>
      <c r="AL923" s="254"/>
      <c r="AM923" s="255"/>
      <c r="AN923" s="255"/>
      <c r="AO923" s="255"/>
      <c r="AP923" s="255"/>
      <c r="AQ923" s="255"/>
      <c r="AR923" s="255"/>
      <c r="AS923" s="255"/>
      <c r="AT923" s="255"/>
      <c r="AU923" s="255"/>
      <c r="AV923" s="255"/>
      <c r="AW923" s="255"/>
      <c r="AX923" s="210"/>
      <c r="AY923" s="236" cm="1">
        <f t="array" ref="AY923">INDEX(Use, $AD923, 4)</f>
        <v>7</v>
      </c>
      <c r="AZ923" s="236">
        <f t="shared" si="789"/>
        <v>32</v>
      </c>
      <c r="BA923" s="236">
        <f t="shared" si="814"/>
        <v>13</v>
      </c>
      <c r="BB923" s="236">
        <f t="shared" si="815"/>
        <v>0</v>
      </c>
      <c r="BC923" s="252" cm="1">
        <f t="array" ref="BC923">K923/IF($L923&gt;0, INDEX($AO$23:$AU$77, $L923+20, $AD923), 1)</f>
        <v>0</v>
      </c>
      <c r="BD923" s="237">
        <f t="shared" si="790"/>
        <v>0</v>
      </c>
      <c r="BE923" s="236">
        <v>35</v>
      </c>
      <c r="BF923" s="237">
        <f t="shared" si="791"/>
        <v>52.55</v>
      </c>
      <c r="BG923" s="253">
        <f t="shared" si="792"/>
        <v>2.7676728869374316</v>
      </c>
      <c r="BH923" s="253" cm="1">
        <f t="array" ref="BH923">$BC923 * SUMPRODUCT(INDEX($AL$77:$AN$82,,$AE923),INDEX($AO$77:$AU$82,,$AD923), N($AK$77:$AK$82&gt;$AI923)) / BG923 / 1000</f>
        <v>0</v>
      </c>
      <c r="BI923" s="250">
        <f t="shared" si="816"/>
        <v>30</v>
      </c>
      <c r="BJ923" s="237">
        <f t="shared" si="793"/>
        <v>46.033333333333331</v>
      </c>
      <c r="BK923" s="253">
        <f t="shared" si="794"/>
        <v>3.2297395388556791</v>
      </c>
      <c r="BL923" s="253" cm="1">
        <f t="array" ref="BL923">$BC923 * IF($AD923&lt;=2,
SUMPRODUCT(INDEX($AL$72:$AN$76,,$AE923), INDEX($AO$72:$AU$76,,$AD923), 1 / ($AV$72:$AV$76*BK923 + (1-$AV$72:$AV$76)*BG923), N($AK$72:$AK$76&gt;$AI923)),
SUMPRODUCT(INDEX($AL$67:$AN$76,,$AE923), INDEX($AO$67:$AU$76,,$AD923), 1 / ($AW$67:$AW$76*BK923 + (1-$AW$67:$AW$76)*BG923), N($AK$67:$AK$76&gt;$AI923))
) / 1000</f>
        <v>0</v>
      </c>
      <c r="BM923" s="250">
        <f t="shared" si="817"/>
        <v>25</v>
      </c>
      <c r="BN923" s="237">
        <f t="shared" si="795"/>
        <v>39.516666666666666</v>
      </c>
      <c r="BO923" s="253">
        <f t="shared" si="796"/>
        <v>3.877011788826243</v>
      </c>
      <c r="BP923" s="253" cm="1">
        <f t="array" ref="BP923">$BC923 * IF($AD923&lt;=2,
SUMPRODUCT(INDEX($AL$67:$AN$71,,$AE923), INDEX($AO$67:$AU$71,,$AD923), 1 / ($AV$67:$AV$71*BO923 + (1-$AV$67:$AV$71)*BK923), N($AK$67:$AK$71&gt;$AI923)),
SUMPRODUCT(INDEX($AL$57:$AN$66,,$AE923), INDEX($AO$57:$AU$66,,$AD923), 1 / ($AW$57:$AW$66*BO923 + (1-$AW$57:$AW$66)*BK923), N($AK$57:$AK$66&gt;$AI923))
) / 1000</f>
        <v>0</v>
      </c>
      <c r="BQ923" s="250">
        <f t="shared" si="818"/>
        <v>20</v>
      </c>
      <c r="BR923" s="237">
        <f t="shared" si="797"/>
        <v>33</v>
      </c>
      <c r="BS923" s="253">
        <f t="shared" si="798"/>
        <v>4.8487499999999999</v>
      </c>
      <c r="BT923" s="253" cm="1">
        <f t="array" ref="BT923">$BC923 * IF($AD923&lt;=2,
SUMPRODUCT(INDEX($AL$62:$AN$66,,$AE923), INDEX($AO$62:$AU$66,,$AD923), 1 / ($AV$62:$AV$66*BS923 + (1-$AV$62:$AV$66)*BO923), N($AK$62:$AK$66&gt;$AI923)),
SUMPRODUCT(INDEX($AL$47:$AN$56,,$AE923), INDEX($AO$47:$AU$56,,$AD923), 1 / ($AW$47:$AW$56*BS923 + (1-$AW$47:$AW$56)*BO923), N($AK$47:$AK$56&gt;$AI923))
) / 1000</f>
        <v>0</v>
      </c>
      <c r="BU923" s="253" cm="1">
        <f t="array" ref="BU923">$BC923 * IF($AD923&lt;=2,
SUMPRODUCT(INDEX($AL$23:$AN$61,,$AE923), INDEX($AO$23:$AU$61,,$AD923), 1 / ($AV$23:$AV$61*BS923), N($AK$23:$AK$61&gt;$AI923)),
SUMPRODUCT(INDEX($AL$23:$AN$46,,$AE923), INDEX($AO$23:$AU$46,,$AD923), 1 / ($AW$23:$AW$46*BS923), N($AK$23:$AK$46&gt;$AI923))
) / 1000</f>
        <v>0</v>
      </c>
      <c r="BV923" s="237">
        <f t="shared" si="799"/>
        <v>0</v>
      </c>
      <c r="BW923" s="210"/>
      <c r="BX923" s="237">
        <f t="shared" si="800"/>
        <v>0</v>
      </c>
      <c r="BY923" s="236">
        <v>35</v>
      </c>
      <c r="BZ923" s="237">
        <f t="shared" si="801"/>
        <v>48</v>
      </c>
      <c r="CA923" s="253">
        <f t="shared" si="802"/>
        <v>3.0748170731707316</v>
      </c>
      <c r="CB923" s="253" cm="1">
        <f t="array" ref="CB923">$BC923 * SUMPRODUCT(INDEX($AL$77:$AN$82,,$AE923),INDEX($AO$77:$AU$82,,$AD923), N($AK$77:$AK$82&gt;$AI923)) / CA923 / 1000</f>
        <v>0</v>
      </c>
      <c r="CC923" s="250">
        <f t="shared" si="819"/>
        <v>30</v>
      </c>
      <c r="CD923" s="237">
        <f t="shared" si="803"/>
        <v>43</v>
      </c>
      <c r="CE923" s="253">
        <f t="shared" si="804"/>
        <v>3.5018750000000001</v>
      </c>
      <c r="CF923" s="253" cm="1">
        <f t="array" ref="CF923">$BC923 * IF($AD923&lt;=2,
SUMPRODUCT(INDEX($AL$72:$AN$76,,$AE923), INDEX($AO$72:$AU$76,,$AD923), 1 / ($AV$72:$AV$76*CE923 + (1-$AV$72:$AV$76)*CA923), N($AK$72:$AK$76&gt;$AI923)),
SUMPRODUCT(INDEX($AL$67:$AN$76,,$AE923), INDEX($AO$67:$AU$76,,$AD923), 1 / ($AW$67:$AW$76*CE923 + (1-$AW$67:$AW$76)*CA923), N($AK$67:$AK$76&gt;$AI923))
) / 1000</f>
        <v>0</v>
      </c>
      <c r="CG923" s="250">
        <f t="shared" si="820"/>
        <v>25</v>
      </c>
      <c r="CH923" s="237">
        <f t="shared" si="805"/>
        <v>38</v>
      </c>
      <c r="CI923" s="253">
        <f t="shared" si="806"/>
        <v>4.0666935483870965</v>
      </c>
      <c r="CJ923" s="253" cm="1">
        <f t="array" ref="CJ923">$BC923 * IF($AD923&lt;=2,
SUMPRODUCT(INDEX($AL$67:$AN$71,,$AE923), INDEX($AO$67:$AU$71,,$AD923), 1 / ($AV$67:$AV$71*CI923 + (1-$AV$67:$AV$71)*CE923), N($AK$67:$AK$71&gt;$AI923)),
SUMPRODUCT(INDEX($AL$57:$AN$66,,$AE923), INDEX($AO$57:$AU$66,,$AD923), 1 / ($AW$57:$AW$66*CI923 + (1-$AW$57:$AW$66)*CE923), N($AK$57:$AK$66&gt;$AI923))
) / 1000</f>
        <v>0</v>
      </c>
      <c r="CK923" s="250">
        <f t="shared" si="821"/>
        <v>20</v>
      </c>
      <c r="CL923" s="237">
        <f t="shared" si="807"/>
        <v>33</v>
      </c>
      <c r="CM923" s="253">
        <f t="shared" si="808"/>
        <v>4.8487499999999999</v>
      </c>
      <c r="CN923" s="253" cm="1">
        <f t="array" ref="CN923">$BC923 * IF($AD923&lt;=2,
SUMPRODUCT(INDEX($AL$62:$AN$66,,$AE923), INDEX($AO$62:$AU$66,,$AD923), 1 / ($AV$62:$AV$66*CM923 + (1-$AV$62:$AV$66)*CI923), N($AK$62:$AK$66&gt;$AI923)),
SUMPRODUCT(INDEX($AL$47:$AN$56,,$AE923), INDEX($AO$47:$AU$56,,$AD923), 1 / ($AW$47:$AW$56*CM923 + (1-$AW$47:$AW$56)*CI923), N($AK$47:$AK$56&gt;$AI923))
) / 1000</f>
        <v>0</v>
      </c>
      <c r="CO923" s="253" cm="1">
        <f t="array" ref="CO923">$BC923 * IF($AD923&lt;=2,
SUMPRODUCT(INDEX($AL$23:$AN$61,,$AE923), INDEX($AO$23:$AU$61,,$AD923), 1 / ($AV$23:$AV$61*CM923), N($AK$23:$AK$61&gt;$AI923)),
SUMPRODUCT(INDEX($AL$23:$AN$46,,$AE923), INDEX($AO$23:$AU$46,,$AD923), 1 / ($AW$23:$AW$46*CM923), N($AK$23:$AK$46&gt;$AI923))
) / 1000</f>
        <v>0</v>
      </c>
      <c r="CP923" s="237">
        <f t="shared" si="809"/>
        <v>0</v>
      </c>
      <c r="CQ923" s="210"/>
    </row>
    <row r="924" spans="1:95" s="76" customFormat="1" ht="14.25" customHeight="1" x14ac:dyDescent="0.2">
      <c r="A924" s="238" t="b">
        <f t="shared" si="813"/>
        <v>0</v>
      </c>
      <c r="B924" s="239">
        <v>902</v>
      </c>
      <c r="C924" s="258"/>
      <c r="D924" s="258"/>
      <c r="E924" s="240"/>
      <c r="F924" s="241" t="str">
        <f>IF(ISBLANK(E924), "", VLOOKUP(E924, Z!$A$2:$C$4127, 3, FALSE))</f>
        <v/>
      </c>
      <c r="G924" s="242"/>
      <c r="H924" s="242"/>
      <c r="I924" s="243"/>
      <c r="J924" s="244"/>
      <c r="K924" s="259"/>
      <c r="L924" s="260"/>
      <c r="M924" s="247" t="str" cm="1">
        <f t="array" ref="M924">IF($K924&gt;0, INDEX(Clean,1+AG924,$C$1), "")</f>
        <v/>
      </c>
      <c r="N924" s="245"/>
      <c r="O924" s="245"/>
      <c r="P924" s="246"/>
      <c r="Q924" s="248">
        <f t="shared" si="786"/>
        <v>0</v>
      </c>
      <c r="R924" s="247" t="str" cm="1">
        <f t="array" ref="R924">IF($K924&gt;0, INDEX(Clean,1+AH924,$C$1), "")</f>
        <v/>
      </c>
      <c r="S924" s="245"/>
      <c r="T924" s="245"/>
      <c r="U924" s="246"/>
      <c r="V924" s="248">
        <f t="shared" si="787"/>
        <v>0</v>
      </c>
      <c r="W924" s="261"/>
      <c r="X924" s="258"/>
      <c r="Y924" s="240"/>
      <c r="Z924" s="241" t="str">
        <f>IF(ISBLANK(Y924), "", VLOOKUP(Y924, Z!$A$2:$C$4127, 3, FALSE))</f>
        <v/>
      </c>
      <c r="AA924" s="262"/>
      <c r="AB924" s="249">
        <f t="shared" si="822"/>
        <v>0</v>
      </c>
      <c r="AC924" s="210"/>
      <c r="AD924" s="236">
        <f t="shared" si="810"/>
        <v>1</v>
      </c>
      <c r="AE924" s="236">
        <f t="shared" si="811"/>
        <v>1</v>
      </c>
      <c r="AF924" s="236">
        <f t="shared" si="812"/>
        <v>0</v>
      </c>
      <c r="AG924" s="236">
        <v>1</v>
      </c>
      <c r="AH924" s="236">
        <v>0</v>
      </c>
      <c r="AI924" s="236">
        <f t="shared" si="788"/>
        <v>-100</v>
      </c>
      <c r="AJ924" s="210"/>
      <c r="AK924" s="254"/>
      <c r="AL924" s="254"/>
      <c r="AM924" s="255"/>
      <c r="AN924" s="255"/>
      <c r="AO924" s="255"/>
      <c r="AP924" s="255"/>
      <c r="AQ924" s="255"/>
      <c r="AR924" s="255"/>
      <c r="AS924" s="255"/>
      <c r="AT924" s="255"/>
      <c r="AU924" s="255"/>
      <c r="AV924" s="255"/>
      <c r="AW924" s="255"/>
      <c r="AX924" s="210"/>
      <c r="AY924" s="236" cm="1">
        <f t="array" ref="AY924">INDEX(Use, $AD924, 4)</f>
        <v>7</v>
      </c>
      <c r="AZ924" s="236">
        <f t="shared" si="789"/>
        <v>32</v>
      </c>
      <c r="BA924" s="236">
        <f t="shared" si="814"/>
        <v>13</v>
      </c>
      <c r="BB924" s="236">
        <f t="shared" si="815"/>
        <v>0</v>
      </c>
      <c r="BC924" s="252" cm="1">
        <f t="array" ref="BC924">K924/IF($L924&gt;0, INDEX($AO$23:$AU$77, $L924+20, $AD924), 1)</f>
        <v>0</v>
      </c>
      <c r="BD924" s="237">
        <f t="shared" si="790"/>
        <v>0</v>
      </c>
      <c r="BE924" s="236">
        <v>35</v>
      </c>
      <c r="BF924" s="237">
        <f t="shared" si="791"/>
        <v>52.55</v>
      </c>
      <c r="BG924" s="253">
        <f t="shared" si="792"/>
        <v>2.7676728869374316</v>
      </c>
      <c r="BH924" s="253" cm="1">
        <f t="array" ref="BH924">$BC924 * SUMPRODUCT(INDEX($AL$77:$AN$82,,$AE924),INDEX($AO$77:$AU$82,,$AD924), N($AK$77:$AK$82&gt;$AI924)) / BG924 / 1000</f>
        <v>0</v>
      </c>
      <c r="BI924" s="250">
        <f t="shared" si="816"/>
        <v>30</v>
      </c>
      <c r="BJ924" s="237">
        <f t="shared" si="793"/>
        <v>46.033333333333331</v>
      </c>
      <c r="BK924" s="253">
        <f t="shared" si="794"/>
        <v>3.2297395388556791</v>
      </c>
      <c r="BL924" s="253" cm="1">
        <f t="array" ref="BL924">$BC924 * IF($AD924&lt;=2,
SUMPRODUCT(INDEX($AL$72:$AN$76,,$AE924), INDEX($AO$72:$AU$76,,$AD924), 1 / ($AV$72:$AV$76*BK924 + (1-$AV$72:$AV$76)*BG924), N($AK$72:$AK$76&gt;$AI924)),
SUMPRODUCT(INDEX($AL$67:$AN$76,,$AE924), INDEX($AO$67:$AU$76,,$AD924), 1 / ($AW$67:$AW$76*BK924 + (1-$AW$67:$AW$76)*BG924), N($AK$67:$AK$76&gt;$AI924))
) / 1000</f>
        <v>0</v>
      </c>
      <c r="BM924" s="250">
        <f t="shared" si="817"/>
        <v>25</v>
      </c>
      <c r="BN924" s="237">
        <f t="shared" si="795"/>
        <v>39.516666666666666</v>
      </c>
      <c r="BO924" s="253">
        <f t="shared" si="796"/>
        <v>3.877011788826243</v>
      </c>
      <c r="BP924" s="253" cm="1">
        <f t="array" ref="BP924">$BC924 * IF($AD924&lt;=2,
SUMPRODUCT(INDEX($AL$67:$AN$71,,$AE924), INDEX($AO$67:$AU$71,,$AD924), 1 / ($AV$67:$AV$71*BO924 + (1-$AV$67:$AV$71)*BK924), N($AK$67:$AK$71&gt;$AI924)),
SUMPRODUCT(INDEX($AL$57:$AN$66,,$AE924), INDEX($AO$57:$AU$66,,$AD924), 1 / ($AW$57:$AW$66*BO924 + (1-$AW$57:$AW$66)*BK924), N($AK$57:$AK$66&gt;$AI924))
) / 1000</f>
        <v>0</v>
      </c>
      <c r="BQ924" s="250">
        <f t="shared" si="818"/>
        <v>20</v>
      </c>
      <c r="BR924" s="237">
        <f t="shared" si="797"/>
        <v>33</v>
      </c>
      <c r="BS924" s="253">
        <f t="shared" si="798"/>
        <v>4.8487499999999999</v>
      </c>
      <c r="BT924" s="253" cm="1">
        <f t="array" ref="BT924">$BC924 * IF($AD924&lt;=2,
SUMPRODUCT(INDEX($AL$62:$AN$66,,$AE924), INDEX($AO$62:$AU$66,,$AD924), 1 / ($AV$62:$AV$66*BS924 + (1-$AV$62:$AV$66)*BO924), N($AK$62:$AK$66&gt;$AI924)),
SUMPRODUCT(INDEX($AL$47:$AN$56,,$AE924), INDEX($AO$47:$AU$56,,$AD924), 1 / ($AW$47:$AW$56*BS924 + (1-$AW$47:$AW$56)*BO924), N($AK$47:$AK$56&gt;$AI924))
) / 1000</f>
        <v>0</v>
      </c>
      <c r="BU924" s="253" cm="1">
        <f t="array" ref="BU924">$BC924 * IF($AD924&lt;=2,
SUMPRODUCT(INDEX($AL$23:$AN$61,,$AE924), INDEX($AO$23:$AU$61,,$AD924), 1 / ($AV$23:$AV$61*BS924), N($AK$23:$AK$61&gt;$AI924)),
SUMPRODUCT(INDEX($AL$23:$AN$46,,$AE924), INDEX($AO$23:$AU$46,,$AD924), 1 / ($AW$23:$AW$46*BS924), N($AK$23:$AK$46&gt;$AI924))
) / 1000</f>
        <v>0</v>
      </c>
      <c r="BV924" s="237">
        <f t="shared" si="799"/>
        <v>0</v>
      </c>
      <c r="BW924" s="210"/>
      <c r="BX924" s="237">
        <f t="shared" si="800"/>
        <v>0</v>
      </c>
      <c r="BY924" s="236">
        <v>35</v>
      </c>
      <c r="BZ924" s="237">
        <f t="shared" si="801"/>
        <v>48</v>
      </c>
      <c r="CA924" s="253">
        <f t="shared" si="802"/>
        <v>3.0748170731707316</v>
      </c>
      <c r="CB924" s="253" cm="1">
        <f t="array" ref="CB924">$BC924 * SUMPRODUCT(INDEX($AL$77:$AN$82,,$AE924),INDEX($AO$77:$AU$82,,$AD924), N($AK$77:$AK$82&gt;$AI924)) / CA924 / 1000</f>
        <v>0</v>
      </c>
      <c r="CC924" s="250">
        <f t="shared" si="819"/>
        <v>30</v>
      </c>
      <c r="CD924" s="237">
        <f t="shared" si="803"/>
        <v>43</v>
      </c>
      <c r="CE924" s="253">
        <f t="shared" si="804"/>
        <v>3.5018750000000001</v>
      </c>
      <c r="CF924" s="253" cm="1">
        <f t="array" ref="CF924">$BC924 * IF($AD924&lt;=2,
SUMPRODUCT(INDEX($AL$72:$AN$76,,$AE924), INDEX($AO$72:$AU$76,,$AD924), 1 / ($AV$72:$AV$76*CE924 + (1-$AV$72:$AV$76)*CA924), N($AK$72:$AK$76&gt;$AI924)),
SUMPRODUCT(INDEX($AL$67:$AN$76,,$AE924), INDEX($AO$67:$AU$76,,$AD924), 1 / ($AW$67:$AW$76*CE924 + (1-$AW$67:$AW$76)*CA924), N($AK$67:$AK$76&gt;$AI924))
) / 1000</f>
        <v>0</v>
      </c>
      <c r="CG924" s="250">
        <f t="shared" si="820"/>
        <v>25</v>
      </c>
      <c r="CH924" s="237">
        <f t="shared" si="805"/>
        <v>38</v>
      </c>
      <c r="CI924" s="253">
        <f t="shared" si="806"/>
        <v>4.0666935483870965</v>
      </c>
      <c r="CJ924" s="253" cm="1">
        <f t="array" ref="CJ924">$BC924 * IF($AD924&lt;=2,
SUMPRODUCT(INDEX($AL$67:$AN$71,,$AE924), INDEX($AO$67:$AU$71,,$AD924), 1 / ($AV$67:$AV$71*CI924 + (1-$AV$67:$AV$71)*CE924), N($AK$67:$AK$71&gt;$AI924)),
SUMPRODUCT(INDEX($AL$57:$AN$66,,$AE924), INDEX($AO$57:$AU$66,,$AD924), 1 / ($AW$57:$AW$66*CI924 + (1-$AW$57:$AW$66)*CE924), N($AK$57:$AK$66&gt;$AI924))
) / 1000</f>
        <v>0</v>
      </c>
      <c r="CK924" s="250">
        <f t="shared" si="821"/>
        <v>20</v>
      </c>
      <c r="CL924" s="237">
        <f t="shared" si="807"/>
        <v>33</v>
      </c>
      <c r="CM924" s="253">
        <f t="shared" si="808"/>
        <v>4.8487499999999999</v>
      </c>
      <c r="CN924" s="253" cm="1">
        <f t="array" ref="CN924">$BC924 * IF($AD924&lt;=2,
SUMPRODUCT(INDEX($AL$62:$AN$66,,$AE924), INDEX($AO$62:$AU$66,,$AD924), 1 / ($AV$62:$AV$66*CM924 + (1-$AV$62:$AV$66)*CI924), N($AK$62:$AK$66&gt;$AI924)),
SUMPRODUCT(INDEX($AL$47:$AN$56,,$AE924), INDEX($AO$47:$AU$56,,$AD924), 1 / ($AW$47:$AW$56*CM924 + (1-$AW$47:$AW$56)*CI924), N($AK$47:$AK$56&gt;$AI924))
) / 1000</f>
        <v>0</v>
      </c>
      <c r="CO924" s="253" cm="1">
        <f t="array" ref="CO924">$BC924 * IF($AD924&lt;=2,
SUMPRODUCT(INDEX($AL$23:$AN$61,,$AE924), INDEX($AO$23:$AU$61,,$AD924), 1 / ($AV$23:$AV$61*CM924), N($AK$23:$AK$61&gt;$AI924)),
SUMPRODUCT(INDEX($AL$23:$AN$46,,$AE924), INDEX($AO$23:$AU$46,,$AD924), 1 / ($AW$23:$AW$46*CM924), N($AK$23:$AK$46&gt;$AI924))
) / 1000</f>
        <v>0</v>
      </c>
      <c r="CP924" s="237">
        <f t="shared" si="809"/>
        <v>0</v>
      </c>
      <c r="CQ924" s="210"/>
    </row>
    <row r="925" spans="1:95" s="76" customFormat="1" ht="14.25" customHeight="1" x14ac:dyDescent="0.2">
      <c r="A925" s="238" t="b">
        <f t="shared" si="813"/>
        <v>0</v>
      </c>
      <c r="B925" s="239">
        <v>903</v>
      </c>
      <c r="C925" s="258"/>
      <c r="D925" s="258"/>
      <c r="E925" s="240"/>
      <c r="F925" s="241" t="str">
        <f>IF(ISBLANK(E925), "", VLOOKUP(E925, Z!$A$2:$C$4127, 3, FALSE))</f>
        <v/>
      </c>
      <c r="G925" s="242"/>
      <c r="H925" s="242"/>
      <c r="I925" s="243"/>
      <c r="J925" s="244"/>
      <c r="K925" s="259"/>
      <c r="L925" s="260"/>
      <c r="M925" s="247" t="str" cm="1">
        <f t="array" ref="M925">IF($K925&gt;0, INDEX(Clean,1+AG925,$C$1), "")</f>
        <v/>
      </c>
      <c r="N925" s="245"/>
      <c r="O925" s="245"/>
      <c r="P925" s="246"/>
      <c r="Q925" s="248">
        <f t="shared" si="786"/>
        <v>0</v>
      </c>
      <c r="R925" s="247" t="str" cm="1">
        <f t="array" ref="R925">IF($K925&gt;0, INDEX(Clean,1+AH925,$C$1), "")</f>
        <v/>
      </c>
      <c r="S925" s="245"/>
      <c r="T925" s="245"/>
      <c r="U925" s="246"/>
      <c r="V925" s="248">
        <f t="shared" si="787"/>
        <v>0</v>
      </c>
      <c r="W925" s="261"/>
      <c r="X925" s="258"/>
      <c r="Y925" s="240"/>
      <c r="Z925" s="241" t="str">
        <f>IF(ISBLANK(Y925), "", VLOOKUP(Y925, Z!$A$2:$C$4127, 3, FALSE))</f>
        <v/>
      </c>
      <c r="AA925" s="262"/>
      <c r="AB925" s="249">
        <f t="shared" si="822"/>
        <v>0</v>
      </c>
      <c r="AC925" s="210"/>
      <c r="AD925" s="236">
        <f t="shared" si="810"/>
        <v>1</v>
      </c>
      <c r="AE925" s="236">
        <f t="shared" si="811"/>
        <v>1</v>
      </c>
      <c r="AF925" s="236">
        <f t="shared" si="812"/>
        <v>0</v>
      </c>
      <c r="AG925" s="236">
        <v>1</v>
      </c>
      <c r="AH925" s="236">
        <v>0</v>
      </c>
      <c r="AI925" s="236">
        <f t="shared" si="788"/>
        <v>-100</v>
      </c>
      <c r="AJ925" s="210"/>
      <c r="AK925" s="254"/>
      <c r="AL925" s="254"/>
      <c r="AM925" s="255"/>
      <c r="AN925" s="255"/>
      <c r="AO925" s="255"/>
      <c r="AP925" s="255"/>
      <c r="AQ925" s="255"/>
      <c r="AR925" s="255"/>
      <c r="AS925" s="255"/>
      <c r="AT925" s="255"/>
      <c r="AU925" s="255"/>
      <c r="AV925" s="255"/>
      <c r="AW925" s="255"/>
      <c r="AX925" s="210"/>
      <c r="AY925" s="236" cm="1">
        <f t="array" ref="AY925">INDEX(Use, $AD925, 4)</f>
        <v>7</v>
      </c>
      <c r="AZ925" s="236">
        <f t="shared" si="789"/>
        <v>32</v>
      </c>
      <c r="BA925" s="236">
        <f t="shared" si="814"/>
        <v>13</v>
      </c>
      <c r="BB925" s="236">
        <f t="shared" si="815"/>
        <v>0</v>
      </c>
      <c r="BC925" s="252" cm="1">
        <f t="array" ref="BC925">K925/IF($L925&gt;0, INDEX($AO$23:$AU$77, $L925+20, $AD925), 1)</f>
        <v>0</v>
      </c>
      <c r="BD925" s="237">
        <f t="shared" si="790"/>
        <v>0</v>
      </c>
      <c r="BE925" s="236">
        <v>35</v>
      </c>
      <c r="BF925" s="237">
        <f t="shared" si="791"/>
        <v>52.55</v>
      </c>
      <c r="BG925" s="253">
        <f t="shared" si="792"/>
        <v>2.7676728869374316</v>
      </c>
      <c r="BH925" s="253" cm="1">
        <f t="array" ref="BH925">$BC925 * SUMPRODUCT(INDEX($AL$77:$AN$82,,$AE925),INDEX($AO$77:$AU$82,,$AD925), N($AK$77:$AK$82&gt;$AI925)) / BG925 / 1000</f>
        <v>0</v>
      </c>
      <c r="BI925" s="250">
        <f t="shared" si="816"/>
        <v>30</v>
      </c>
      <c r="BJ925" s="237">
        <f t="shared" si="793"/>
        <v>46.033333333333331</v>
      </c>
      <c r="BK925" s="253">
        <f t="shared" si="794"/>
        <v>3.2297395388556791</v>
      </c>
      <c r="BL925" s="253" cm="1">
        <f t="array" ref="BL925">$BC925 * IF($AD925&lt;=2,
SUMPRODUCT(INDEX($AL$72:$AN$76,,$AE925), INDEX($AO$72:$AU$76,,$AD925), 1 / ($AV$72:$AV$76*BK925 + (1-$AV$72:$AV$76)*BG925), N($AK$72:$AK$76&gt;$AI925)),
SUMPRODUCT(INDEX($AL$67:$AN$76,,$AE925), INDEX($AO$67:$AU$76,,$AD925), 1 / ($AW$67:$AW$76*BK925 + (1-$AW$67:$AW$76)*BG925), N($AK$67:$AK$76&gt;$AI925))
) / 1000</f>
        <v>0</v>
      </c>
      <c r="BM925" s="250">
        <f t="shared" si="817"/>
        <v>25</v>
      </c>
      <c r="BN925" s="237">
        <f t="shared" si="795"/>
        <v>39.516666666666666</v>
      </c>
      <c r="BO925" s="253">
        <f t="shared" si="796"/>
        <v>3.877011788826243</v>
      </c>
      <c r="BP925" s="253" cm="1">
        <f t="array" ref="BP925">$BC925 * IF($AD925&lt;=2,
SUMPRODUCT(INDEX($AL$67:$AN$71,,$AE925), INDEX($AO$67:$AU$71,,$AD925), 1 / ($AV$67:$AV$71*BO925 + (1-$AV$67:$AV$71)*BK925), N($AK$67:$AK$71&gt;$AI925)),
SUMPRODUCT(INDEX($AL$57:$AN$66,,$AE925), INDEX($AO$57:$AU$66,,$AD925), 1 / ($AW$57:$AW$66*BO925 + (1-$AW$57:$AW$66)*BK925), N($AK$57:$AK$66&gt;$AI925))
) / 1000</f>
        <v>0</v>
      </c>
      <c r="BQ925" s="250">
        <f t="shared" si="818"/>
        <v>20</v>
      </c>
      <c r="BR925" s="237">
        <f t="shared" si="797"/>
        <v>33</v>
      </c>
      <c r="BS925" s="253">
        <f t="shared" si="798"/>
        <v>4.8487499999999999</v>
      </c>
      <c r="BT925" s="253" cm="1">
        <f t="array" ref="BT925">$BC925 * IF($AD925&lt;=2,
SUMPRODUCT(INDEX($AL$62:$AN$66,,$AE925), INDEX($AO$62:$AU$66,,$AD925), 1 / ($AV$62:$AV$66*BS925 + (1-$AV$62:$AV$66)*BO925), N($AK$62:$AK$66&gt;$AI925)),
SUMPRODUCT(INDEX($AL$47:$AN$56,,$AE925), INDEX($AO$47:$AU$56,,$AD925), 1 / ($AW$47:$AW$56*BS925 + (1-$AW$47:$AW$56)*BO925), N($AK$47:$AK$56&gt;$AI925))
) / 1000</f>
        <v>0</v>
      </c>
      <c r="BU925" s="253" cm="1">
        <f t="array" ref="BU925">$BC925 * IF($AD925&lt;=2,
SUMPRODUCT(INDEX($AL$23:$AN$61,,$AE925), INDEX($AO$23:$AU$61,,$AD925), 1 / ($AV$23:$AV$61*BS925), N($AK$23:$AK$61&gt;$AI925)),
SUMPRODUCT(INDEX($AL$23:$AN$46,,$AE925), INDEX($AO$23:$AU$46,,$AD925), 1 / ($AW$23:$AW$46*BS925), N($AK$23:$AK$46&gt;$AI925))
) / 1000</f>
        <v>0</v>
      </c>
      <c r="BV925" s="237">
        <f t="shared" si="799"/>
        <v>0</v>
      </c>
      <c r="BW925" s="210"/>
      <c r="BX925" s="237">
        <f t="shared" si="800"/>
        <v>0</v>
      </c>
      <c r="BY925" s="236">
        <v>35</v>
      </c>
      <c r="BZ925" s="237">
        <f t="shared" si="801"/>
        <v>48</v>
      </c>
      <c r="CA925" s="253">
        <f t="shared" si="802"/>
        <v>3.0748170731707316</v>
      </c>
      <c r="CB925" s="253" cm="1">
        <f t="array" ref="CB925">$BC925 * SUMPRODUCT(INDEX($AL$77:$AN$82,,$AE925),INDEX($AO$77:$AU$82,,$AD925), N($AK$77:$AK$82&gt;$AI925)) / CA925 / 1000</f>
        <v>0</v>
      </c>
      <c r="CC925" s="250">
        <f t="shared" si="819"/>
        <v>30</v>
      </c>
      <c r="CD925" s="237">
        <f t="shared" si="803"/>
        <v>43</v>
      </c>
      <c r="CE925" s="253">
        <f t="shared" si="804"/>
        <v>3.5018750000000001</v>
      </c>
      <c r="CF925" s="253" cm="1">
        <f t="array" ref="CF925">$BC925 * IF($AD925&lt;=2,
SUMPRODUCT(INDEX($AL$72:$AN$76,,$AE925), INDEX($AO$72:$AU$76,,$AD925), 1 / ($AV$72:$AV$76*CE925 + (1-$AV$72:$AV$76)*CA925), N($AK$72:$AK$76&gt;$AI925)),
SUMPRODUCT(INDEX($AL$67:$AN$76,,$AE925), INDEX($AO$67:$AU$76,,$AD925), 1 / ($AW$67:$AW$76*CE925 + (1-$AW$67:$AW$76)*CA925), N($AK$67:$AK$76&gt;$AI925))
) / 1000</f>
        <v>0</v>
      </c>
      <c r="CG925" s="250">
        <f t="shared" si="820"/>
        <v>25</v>
      </c>
      <c r="CH925" s="237">
        <f t="shared" si="805"/>
        <v>38</v>
      </c>
      <c r="CI925" s="253">
        <f t="shared" si="806"/>
        <v>4.0666935483870965</v>
      </c>
      <c r="CJ925" s="253" cm="1">
        <f t="array" ref="CJ925">$BC925 * IF($AD925&lt;=2,
SUMPRODUCT(INDEX($AL$67:$AN$71,,$AE925), INDEX($AO$67:$AU$71,,$AD925), 1 / ($AV$67:$AV$71*CI925 + (1-$AV$67:$AV$71)*CE925), N($AK$67:$AK$71&gt;$AI925)),
SUMPRODUCT(INDEX($AL$57:$AN$66,,$AE925), INDEX($AO$57:$AU$66,,$AD925), 1 / ($AW$57:$AW$66*CI925 + (1-$AW$57:$AW$66)*CE925), N($AK$57:$AK$66&gt;$AI925))
) / 1000</f>
        <v>0</v>
      </c>
      <c r="CK925" s="250">
        <f t="shared" si="821"/>
        <v>20</v>
      </c>
      <c r="CL925" s="237">
        <f t="shared" si="807"/>
        <v>33</v>
      </c>
      <c r="CM925" s="253">
        <f t="shared" si="808"/>
        <v>4.8487499999999999</v>
      </c>
      <c r="CN925" s="253" cm="1">
        <f t="array" ref="CN925">$BC925 * IF($AD925&lt;=2,
SUMPRODUCT(INDEX($AL$62:$AN$66,,$AE925), INDEX($AO$62:$AU$66,,$AD925), 1 / ($AV$62:$AV$66*CM925 + (1-$AV$62:$AV$66)*CI925), N($AK$62:$AK$66&gt;$AI925)),
SUMPRODUCT(INDEX($AL$47:$AN$56,,$AE925), INDEX($AO$47:$AU$56,,$AD925), 1 / ($AW$47:$AW$56*CM925 + (1-$AW$47:$AW$56)*CI925), N($AK$47:$AK$56&gt;$AI925))
) / 1000</f>
        <v>0</v>
      </c>
      <c r="CO925" s="253" cm="1">
        <f t="array" ref="CO925">$BC925 * IF($AD925&lt;=2,
SUMPRODUCT(INDEX($AL$23:$AN$61,,$AE925), INDEX($AO$23:$AU$61,,$AD925), 1 / ($AV$23:$AV$61*CM925), N($AK$23:$AK$61&gt;$AI925)),
SUMPRODUCT(INDEX($AL$23:$AN$46,,$AE925), INDEX($AO$23:$AU$46,,$AD925), 1 / ($AW$23:$AW$46*CM925), N($AK$23:$AK$46&gt;$AI925))
) / 1000</f>
        <v>0</v>
      </c>
      <c r="CP925" s="237">
        <f t="shared" si="809"/>
        <v>0</v>
      </c>
      <c r="CQ925" s="210"/>
    </row>
    <row r="926" spans="1:95" s="76" customFormat="1" ht="14.25" customHeight="1" x14ac:dyDescent="0.2">
      <c r="A926" s="238" t="b">
        <f t="shared" si="813"/>
        <v>0</v>
      </c>
      <c r="B926" s="239">
        <v>904</v>
      </c>
      <c r="C926" s="258"/>
      <c r="D926" s="258"/>
      <c r="E926" s="240"/>
      <c r="F926" s="241" t="str">
        <f>IF(ISBLANK(E926), "", VLOOKUP(E926, Z!$A$2:$C$4127, 3, FALSE))</f>
        <v/>
      </c>
      <c r="G926" s="242"/>
      <c r="H926" s="242"/>
      <c r="I926" s="243"/>
      <c r="J926" s="244"/>
      <c r="K926" s="259"/>
      <c r="L926" s="260"/>
      <c r="M926" s="247" t="str" cm="1">
        <f t="array" ref="M926">IF($K926&gt;0, INDEX(Clean,1+AG926,$C$1), "")</f>
        <v/>
      </c>
      <c r="N926" s="245"/>
      <c r="O926" s="245"/>
      <c r="P926" s="246"/>
      <c r="Q926" s="248">
        <f t="shared" si="786"/>
        <v>0</v>
      </c>
      <c r="R926" s="247" t="str" cm="1">
        <f t="array" ref="R926">IF($K926&gt;0, INDEX(Clean,1+AH926,$C$1), "")</f>
        <v/>
      </c>
      <c r="S926" s="245"/>
      <c r="T926" s="245"/>
      <c r="U926" s="246"/>
      <c r="V926" s="248">
        <f t="shared" si="787"/>
        <v>0</v>
      </c>
      <c r="W926" s="261"/>
      <c r="X926" s="258"/>
      <c r="Y926" s="240"/>
      <c r="Z926" s="241" t="str">
        <f>IF(ISBLANK(Y926), "", VLOOKUP(Y926, Z!$A$2:$C$4127, 3, FALSE))</f>
        <v/>
      </c>
      <c r="AA926" s="262"/>
      <c r="AB926" s="249">
        <f t="shared" si="822"/>
        <v>0</v>
      </c>
      <c r="AC926" s="210"/>
      <c r="AD926" s="236">
        <f t="shared" si="810"/>
        <v>1</v>
      </c>
      <c r="AE926" s="236">
        <f t="shared" si="811"/>
        <v>1</v>
      </c>
      <c r="AF926" s="236">
        <f t="shared" si="812"/>
        <v>0</v>
      </c>
      <c r="AG926" s="236">
        <v>1</v>
      </c>
      <c r="AH926" s="236">
        <v>0</v>
      </c>
      <c r="AI926" s="236">
        <f t="shared" si="788"/>
        <v>-100</v>
      </c>
      <c r="AJ926" s="210"/>
      <c r="AK926" s="254"/>
      <c r="AL926" s="254"/>
      <c r="AM926" s="255"/>
      <c r="AN926" s="255"/>
      <c r="AO926" s="255"/>
      <c r="AP926" s="255"/>
      <c r="AQ926" s="255"/>
      <c r="AR926" s="255"/>
      <c r="AS926" s="255"/>
      <c r="AT926" s="255"/>
      <c r="AU926" s="255"/>
      <c r="AV926" s="255"/>
      <c r="AW926" s="255"/>
      <c r="AX926" s="210"/>
      <c r="AY926" s="236" cm="1">
        <f t="array" ref="AY926">INDEX(Use, $AD926, 4)</f>
        <v>7</v>
      </c>
      <c r="AZ926" s="236">
        <f t="shared" si="789"/>
        <v>32</v>
      </c>
      <c r="BA926" s="236">
        <f t="shared" si="814"/>
        <v>13</v>
      </c>
      <c r="BB926" s="236">
        <f t="shared" si="815"/>
        <v>0</v>
      </c>
      <c r="BC926" s="252" cm="1">
        <f t="array" ref="BC926">K926/IF($L926&gt;0, INDEX($AO$23:$AU$77, $L926+20, $AD926), 1)</f>
        <v>0</v>
      </c>
      <c r="BD926" s="237">
        <f t="shared" si="790"/>
        <v>0</v>
      </c>
      <c r="BE926" s="236">
        <v>35</v>
      </c>
      <c r="BF926" s="237">
        <f t="shared" si="791"/>
        <v>52.55</v>
      </c>
      <c r="BG926" s="253">
        <f t="shared" si="792"/>
        <v>2.7676728869374316</v>
      </c>
      <c r="BH926" s="253" cm="1">
        <f t="array" ref="BH926">$BC926 * SUMPRODUCT(INDEX($AL$77:$AN$82,,$AE926),INDEX($AO$77:$AU$82,,$AD926), N($AK$77:$AK$82&gt;$AI926)) / BG926 / 1000</f>
        <v>0</v>
      </c>
      <c r="BI926" s="250">
        <f t="shared" si="816"/>
        <v>30</v>
      </c>
      <c r="BJ926" s="237">
        <f t="shared" si="793"/>
        <v>46.033333333333331</v>
      </c>
      <c r="BK926" s="253">
        <f t="shared" si="794"/>
        <v>3.2297395388556791</v>
      </c>
      <c r="BL926" s="253" cm="1">
        <f t="array" ref="BL926">$BC926 * IF($AD926&lt;=2,
SUMPRODUCT(INDEX($AL$72:$AN$76,,$AE926), INDEX($AO$72:$AU$76,,$AD926), 1 / ($AV$72:$AV$76*BK926 + (1-$AV$72:$AV$76)*BG926), N($AK$72:$AK$76&gt;$AI926)),
SUMPRODUCT(INDEX($AL$67:$AN$76,,$AE926), INDEX($AO$67:$AU$76,,$AD926), 1 / ($AW$67:$AW$76*BK926 + (1-$AW$67:$AW$76)*BG926), N($AK$67:$AK$76&gt;$AI926))
) / 1000</f>
        <v>0</v>
      </c>
      <c r="BM926" s="250">
        <f t="shared" si="817"/>
        <v>25</v>
      </c>
      <c r="BN926" s="237">
        <f t="shared" si="795"/>
        <v>39.516666666666666</v>
      </c>
      <c r="BO926" s="253">
        <f t="shared" si="796"/>
        <v>3.877011788826243</v>
      </c>
      <c r="BP926" s="253" cm="1">
        <f t="array" ref="BP926">$BC926 * IF($AD926&lt;=2,
SUMPRODUCT(INDEX($AL$67:$AN$71,,$AE926), INDEX($AO$67:$AU$71,,$AD926), 1 / ($AV$67:$AV$71*BO926 + (1-$AV$67:$AV$71)*BK926), N($AK$67:$AK$71&gt;$AI926)),
SUMPRODUCT(INDEX($AL$57:$AN$66,,$AE926), INDEX($AO$57:$AU$66,,$AD926), 1 / ($AW$57:$AW$66*BO926 + (1-$AW$57:$AW$66)*BK926), N($AK$57:$AK$66&gt;$AI926))
) / 1000</f>
        <v>0</v>
      </c>
      <c r="BQ926" s="250">
        <f t="shared" si="818"/>
        <v>20</v>
      </c>
      <c r="BR926" s="237">
        <f t="shared" si="797"/>
        <v>33</v>
      </c>
      <c r="BS926" s="253">
        <f t="shared" si="798"/>
        <v>4.8487499999999999</v>
      </c>
      <c r="BT926" s="253" cm="1">
        <f t="array" ref="BT926">$BC926 * IF($AD926&lt;=2,
SUMPRODUCT(INDEX($AL$62:$AN$66,,$AE926), INDEX($AO$62:$AU$66,,$AD926), 1 / ($AV$62:$AV$66*BS926 + (1-$AV$62:$AV$66)*BO926), N($AK$62:$AK$66&gt;$AI926)),
SUMPRODUCT(INDEX($AL$47:$AN$56,,$AE926), INDEX($AO$47:$AU$56,,$AD926), 1 / ($AW$47:$AW$56*BS926 + (1-$AW$47:$AW$56)*BO926), N($AK$47:$AK$56&gt;$AI926))
) / 1000</f>
        <v>0</v>
      </c>
      <c r="BU926" s="253" cm="1">
        <f t="array" ref="BU926">$BC926 * IF($AD926&lt;=2,
SUMPRODUCT(INDEX($AL$23:$AN$61,,$AE926), INDEX($AO$23:$AU$61,,$AD926), 1 / ($AV$23:$AV$61*BS926), N($AK$23:$AK$61&gt;$AI926)),
SUMPRODUCT(INDEX($AL$23:$AN$46,,$AE926), INDEX($AO$23:$AU$46,,$AD926), 1 / ($AW$23:$AW$46*BS926), N($AK$23:$AK$46&gt;$AI926))
) / 1000</f>
        <v>0</v>
      </c>
      <c r="BV926" s="237">
        <f t="shared" si="799"/>
        <v>0</v>
      </c>
      <c r="BW926" s="210"/>
      <c r="BX926" s="237">
        <f t="shared" si="800"/>
        <v>0</v>
      </c>
      <c r="BY926" s="236">
        <v>35</v>
      </c>
      <c r="BZ926" s="237">
        <f t="shared" si="801"/>
        <v>48</v>
      </c>
      <c r="CA926" s="253">
        <f t="shared" si="802"/>
        <v>3.0748170731707316</v>
      </c>
      <c r="CB926" s="253" cm="1">
        <f t="array" ref="CB926">$BC926 * SUMPRODUCT(INDEX($AL$77:$AN$82,,$AE926),INDEX($AO$77:$AU$82,,$AD926), N($AK$77:$AK$82&gt;$AI926)) / CA926 / 1000</f>
        <v>0</v>
      </c>
      <c r="CC926" s="250">
        <f t="shared" si="819"/>
        <v>30</v>
      </c>
      <c r="CD926" s="237">
        <f t="shared" si="803"/>
        <v>43</v>
      </c>
      <c r="CE926" s="253">
        <f t="shared" si="804"/>
        <v>3.5018750000000001</v>
      </c>
      <c r="CF926" s="253" cm="1">
        <f t="array" ref="CF926">$BC926 * IF($AD926&lt;=2,
SUMPRODUCT(INDEX($AL$72:$AN$76,,$AE926), INDEX($AO$72:$AU$76,,$AD926), 1 / ($AV$72:$AV$76*CE926 + (1-$AV$72:$AV$76)*CA926), N($AK$72:$AK$76&gt;$AI926)),
SUMPRODUCT(INDEX($AL$67:$AN$76,,$AE926), INDEX($AO$67:$AU$76,,$AD926), 1 / ($AW$67:$AW$76*CE926 + (1-$AW$67:$AW$76)*CA926), N($AK$67:$AK$76&gt;$AI926))
) / 1000</f>
        <v>0</v>
      </c>
      <c r="CG926" s="250">
        <f t="shared" si="820"/>
        <v>25</v>
      </c>
      <c r="CH926" s="237">
        <f t="shared" si="805"/>
        <v>38</v>
      </c>
      <c r="CI926" s="253">
        <f t="shared" si="806"/>
        <v>4.0666935483870965</v>
      </c>
      <c r="CJ926" s="253" cm="1">
        <f t="array" ref="CJ926">$BC926 * IF($AD926&lt;=2,
SUMPRODUCT(INDEX($AL$67:$AN$71,,$AE926), INDEX($AO$67:$AU$71,,$AD926), 1 / ($AV$67:$AV$71*CI926 + (1-$AV$67:$AV$71)*CE926), N($AK$67:$AK$71&gt;$AI926)),
SUMPRODUCT(INDEX($AL$57:$AN$66,,$AE926), INDEX($AO$57:$AU$66,,$AD926), 1 / ($AW$57:$AW$66*CI926 + (1-$AW$57:$AW$66)*CE926), N($AK$57:$AK$66&gt;$AI926))
) / 1000</f>
        <v>0</v>
      </c>
      <c r="CK926" s="250">
        <f t="shared" si="821"/>
        <v>20</v>
      </c>
      <c r="CL926" s="237">
        <f t="shared" si="807"/>
        <v>33</v>
      </c>
      <c r="CM926" s="253">
        <f t="shared" si="808"/>
        <v>4.8487499999999999</v>
      </c>
      <c r="CN926" s="253" cm="1">
        <f t="array" ref="CN926">$BC926 * IF($AD926&lt;=2,
SUMPRODUCT(INDEX($AL$62:$AN$66,,$AE926), INDEX($AO$62:$AU$66,,$AD926), 1 / ($AV$62:$AV$66*CM926 + (1-$AV$62:$AV$66)*CI926), N($AK$62:$AK$66&gt;$AI926)),
SUMPRODUCT(INDEX($AL$47:$AN$56,,$AE926), INDEX($AO$47:$AU$56,,$AD926), 1 / ($AW$47:$AW$56*CM926 + (1-$AW$47:$AW$56)*CI926), N($AK$47:$AK$56&gt;$AI926))
) / 1000</f>
        <v>0</v>
      </c>
      <c r="CO926" s="253" cm="1">
        <f t="array" ref="CO926">$BC926 * IF($AD926&lt;=2,
SUMPRODUCT(INDEX($AL$23:$AN$61,,$AE926), INDEX($AO$23:$AU$61,,$AD926), 1 / ($AV$23:$AV$61*CM926), N($AK$23:$AK$61&gt;$AI926)),
SUMPRODUCT(INDEX($AL$23:$AN$46,,$AE926), INDEX($AO$23:$AU$46,,$AD926), 1 / ($AW$23:$AW$46*CM926), N($AK$23:$AK$46&gt;$AI926))
) / 1000</f>
        <v>0</v>
      </c>
      <c r="CP926" s="237">
        <f t="shared" si="809"/>
        <v>0</v>
      </c>
      <c r="CQ926" s="210"/>
    </row>
    <row r="927" spans="1:95" s="76" customFormat="1" ht="14.25" customHeight="1" x14ac:dyDescent="0.2">
      <c r="A927" s="238" t="b">
        <f t="shared" si="813"/>
        <v>0</v>
      </c>
      <c r="B927" s="239">
        <v>905</v>
      </c>
      <c r="C927" s="258"/>
      <c r="D927" s="258"/>
      <c r="E927" s="240"/>
      <c r="F927" s="241" t="str">
        <f>IF(ISBLANK(E927), "", VLOOKUP(E927, Z!$A$2:$C$4127, 3, FALSE))</f>
        <v/>
      </c>
      <c r="G927" s="242"/>
      <c r="H927" s="242"/>
      <c r="I927" s="243"/>
      <c r="J927" s="244"/>
      <c r="K927" s="259"/>
      <c r="L927" s="260"/>
      <c r="M927" s="247" t="str" cm="1">
        <f t="array" ref="M927">IF($K927&gt;0, INDEX(Clean,1+AG927,$C$1), "")</f>
        <v/>
      </c>
      <c r="N927" s="245"/>
      <c r="O927" s="245"/>
      <c r="P927" s="246"/>
      <c r="Q927" s="248">
        <f t="shared" si="786"/>
        <v>0</v>
      </c>
      <c r="R927" s="247" t="str" cm="1">
        <f t="array" ref="R927">IF($K927&gt;0, INDEX(Clean,1+AH927,$C$1), "")</f>
        <v/>
      </c>
      <c r="S927" s="245"/>
      <c r="T927" s="245"/>
      <c r="U927" s="246"/>
      <c r="V927" s="248">
        <f t="shared" si="787"/>
        <v>0</v>
      </c>
      <c r="W927" s="261"/>
      <c r="X927" s="258"/>
      <c r="Y927" s="240"/>
      <c r="Z927" s="241" t="str">
        <f>IF(ISBLANK(Y927), "", VLOOKUP(Y927, Z!$A$2:$C$4127, 3, FALSE))</f>
        <v/>
      </c>
      <c r="AA927" s="262"/>
      <c r="AB927" s="249">
        <f t="shared" si="822"/>
        <v>0</v>
      </c>
      <c r="AC927" s="210"/>
      <c r="AD927" s="236">
        <f t="shared" si="810"/>
        <v>1</v>
      </c>
      <c r="AE927" s="236">
        <f t="shared" si="811"/>
        <v>1</v>
      </c>
      <c r="AF927" s="236">
        <f t="shared" si="812"/>
        <v>0</v>
      </c>
      <c r="AG927" s="236">
        <v>1</v>
      </c>
      <c r="AH927" s="236">
        <v>0</v>
      </c>
      <c r="AI927" s="236">
        <f t="shared" si="788"/>
        <v>-100</v>
      </c>
      <c r="AJ927" s="210"/>
      <c r="AK927" s="254"/>
      <c r="AL927" s="254"/>
      <c r="AM927" s="255"/>
      <c r="AN927" s="255"/>
      <c r="AO927" s="255"/>
      <c r="AP927" s="255"/>
      <c r="AQ927" s="255"/>
      <c r="AR927" s="255"/>
      <c r="AS927" s="255"/>
      <c r="AT927" s="255"/>
      <c r="AU927" s="255"/>
      <c r="AV927" s="255"/>
      <c r="AW927" s="255"/>
      <c r="AX927" s="210"/>
      <c r="AY927" s="236" cm="1">
        <f t="array" ref="AY927">INDEX(Use, $AD927, 4)</f>
        <v>7</v>
      </c>
      <c r="AZ927" s="236">
        <f t="shared" si="789"/>
        <v>32</v>
      </c>
      <c r="BA927" s="236">
        <f t="shared" si="814"/>
        <v>13</v>
      </c>
      <c r="BB927" s="236">
        <f t="shared" si="815"/>
        <v>0</v>
      </c>
      <c r="BC927" s="252" cm="1">
        <f t="array" ref="BC927">K927/IF($L927&gt;0, INDEX($AO$23:$AU$77, $L927+20, $AD927), 1)</f>
        <v>0</v>
      </c>
      <c r="BD927" s="237">
        <f t="shared" si="790"/>
        <v>0</v>
      </c>
      <c r="BE927" s="236">
        <v>35</v>
      </c>
      <c r="BF927" s="237">
        <f t="shared" si="791"/>
        <v>52.55</v>
      </c>
      <c r="BG927" s="253">
        <f t="shared" si="792"/>
        <v>2.7676728869374316</v>
      </c>
      <c r="BH927" s="253" cm="1">
        <f t="array" ref="BH927">$BC927 * SUMPRODUCT(INDEX($AL$77:$AN$82,,$AE927),INDEX($AO$77:$AU$82,,$AD927), N($AK$77:$AK$82&gt;$AI927)) / BG927 / 1000</f>
        <v>0</v>
      </c>
      <c r="BI927" s="250">
        <f t="shared" si="816"/>
        <v>30</v>
      </c>
      <c r="BJ927" s="237">
        <f t="shared" si="793"/>
        <v>46.033333333333331</v>
      </c>
      <c r="BK927" s="253">
        <f t="shared" si="794"/>
        <v>3.2297395388556791</v>
      </c>
      <c r="BL927" s="253" cm="1">
        <f t="array" ref="BL927">$BC927 * IF($AD927&lt;=2,
SUMPRODUCT(INDEX($AL$72:$AN$76,,$AE927), INDEX($AO$72:$AU$76,,$AD927), 1 / ($AV$72:$AV$76*BK927 + (1-$AV$72:$AV$76)*BG927), N($AK$72:$AK$76&gt;$AI927)),
SUMPRODUCT(INDEX($AL$67:$AN$76,,$AE927), INDEX($AO$67:$AU$76,,$AD927), 1 / ($AW$67:$AW$76*BK927 + (1-$AW$67:$AW$76)*BG927), N($AK$67:$AK$76&gt;$AI927))
) / 1000</f>
        <v>0</v>
      </c>
      <c r="BM927" s="250">
        <f t="shared" si="817"/>
        <v>25</v>
      </c>
      <c r="BN927" s="237">
        <f t="shared" si="795"/>
        <v>39.516666666666666</v>
      </c>
      <c r="BO927" s="253">
        <f t="shared" si="796"/>
        <v>3.877011788826243</v>
      </c>
      <c r="BP927" s="253" cm="1">
        <f t="array" ref="BP927">$BC927 * IF($AD927&lt;=2,
SUMPRODUCT(INDEX($AL$67:$AN$71,,$AE927), INDEX($AO$67:$AU$71,,$AD927), 1 / ($AV$67:$AV$71*BO927 + (1-$AV$67:$AV$71)*BK927), N($AK$67:$AK$71&gt;$AI927)),
SUMPRODUCT(INDEX($AL$57:$AN$66,,$AE927), INDEX($AO$57:$AU$66,,$AD927), 1 / ($AW$57:$AW$66*BO927 + (1-$AW$57:$AW$66)*BK927), N($AK$57:$AK$66&gt;$AI927))
) / 1000</f>
        <v>0</v>
      </c>
      <c r="BQ927" s="250">
        <f t="shared" si="818"/>
        <v>20</v>
      </c>
      <c r="BR927" s="237">
        <f t="shared" si="797"/>
        <v>33</v>
      </c>
      <c r="BS927" s="253">
        <f t="shared" si="798"/>
        <v>4.8487499999999999</v>
      </c>
      <c r="BT927" s="253" cm="1">
        <f t="array" ref="BT927">$BC927 * IF($AD927&lt;=2,
SUMPRODUCT(INDEX($AL$62:$AN$66,,$AE927), INDEX($AO$62:$AU$66,,$AD927), 1 / ($AV$62:$AV$66*BS927 + (1-$AV$62:$AV$66)*BO927), N($AK$62:$AK$66&gt;$AI927)),
SUMPRODUCT(INDEX($AL$47:$AN$56,,$AE927), INDEX($AO$47:$AU$56,,$AD927), 1 / ($AW$47:$AW$56*BS927 + (1-$AW$47:$AW$56)*BO927), N($AK$47:$AK$56&gt;$AI927))
) / 1000</f>
        <v>0</v>
      </c>
      <c r="BU927" s="253" cm="1">
        <f t="array" ref="BU927">$BC927 * IF($AD927&lt;=2,
SUMPRODUCT(INDEX($AL$23:$AN$61,,$AE927), INDEX($AO$23:$AU$61,,$AD927), 1 / ($AV$23:$AV$61*BS927), N($AK$23:$AK$61&gt;$AI927)),
SUMPRODUCT(INDEX($AL$23:$AN$46,,$AE927), INDEX($AO$23:$AU$46,,$AD927), 1 / ($AW$23:$AW$46*BS927), N($AK$23:$AK$46&gt;$AI927))
) / 1000</f>
        <v>0</v>
      </c>
      <c r="BV927" s="237">
        <f t="shared" si="799"/>
        <v>0</v>
      </c>
      <c r="BW927" s="210"/>
      <c r="BX927" s="237">
        <f t="shared" si="800"/>
        <v>0</v>
      </c>
      <c r="BY927" s="236">
        <v>35</v>
      </c>
      <c r="BZ927" s="237">
        <f t="shared" si="801"/>
        <v>48</v>
      </c>
      <c r="CA927" s="253">
        <f t="shared" si="802"/>
        <v>3.0748170731707316</v>
      </c>
      <c r="CB927" s="253" cm="1">
        <f t="array" ref="CB927">$BC927 * SUMPRODUCT(INDEX($AL$77:$AN$82,,$AE927),INDEX($AO$77:$AU$82,,$AD927), N($AK$77:$AK$82&gt;$AI927)) / CA927 / 1000</f>
        <v>0</v>
      </c>
      <c r="CC927" s="250">
        <f t="shared" si="819"/>
        <v>30</v>
      </c>
      <c r="CD927" s="237">
        <f t="shared" si="803"/>
        <v>43</v>
      </c>
      <c r="CE927" s="253">
        <f t="shared" si="804"/>
        <v>3.5018750000000001</v>
      </c>
      <c r="CF927" s="253" cm="1">
        <f t="array" ref="CF927">$BC927 * IF($AD927&lt;=2,
SUMPRODUCT(INDEX($AL$72:$AN$76,,$AE927), INDEX($AO$72:$AU$76,,$AD927), 1 / ($AV$72:$AV$76*CE927 + (1-$AV$72:$AV$76)*CA927), N($AK$72:$AK$76&gt;$AI927)),
SUMPRODUCT(INDEX($AL$67:$AN$76,,$AE927), INDEX($AO$67:$AU$76,,$AD927), 1 / ($AW$67:$AW$76*CE927 + (1-$AW$67:$AW$76)*CA927), N($AK$67:$AK$76&gt;$AI927))
) / 1000</f>
        <v>0</v>
      </c>
      <c r="CG927" s="250">
        <f t="shared" si="820"/>
        <v>25</v>
      </c>
      <c r="CH927" s="237">
        <f t="shared" si="805"/>
        <v>38</v>
      </c>
      <c r="CI927" s="253">
        <f t="shared" si="806"/>
        <v>4.0666935483870965</v>
      </c>
      <c r="CJ927" s="253" cm="1">
        <f t="array" ref="CJ927">$BC927 * IF($AD927&lt;=2,
SUMPRODUCT(INDEX($AL$67:$AN$71,,$AE927), INDEX($AO$67:$AU$71,,$AD927), 1 / ($AV$67:$AV$71*CI927 + (1-$AV$67:$AV$71)*CE927), N($AK$67:$AK$71&gt;$AI927)),
SUMPRODUCT(INDEX($AL$57:$AN$66,,$AE927), INDEX($AO$57:$AU$66,,$AD927), 1 / ($AW$57:$AW$66*CI927 + (1-$AW$57:$AW$66)*CE927), N($AK$57:$AK$66&gt;$AI927))
) / 1000</f>
        <v>0</v>
      </c>
      <c r="CK927" s="250">
        <f t="shared" si="821"/>
        <v>20</v>
      </c>
      <c r="CL927" s="237">
        <f t="shared" si="807"/>
        <v>33</v>
      </c>
      <c r="CM927" s="253">
        <f t="shared" si="808"/>
        <v>4.8487499999999999</v>
      </c>
      <c r="CN927" s="253" cm="1">
        <f t="array" ref="CN927">$BC927 * IF($AD927&lt;=2,
SUMPRODUCT(INDEX($AL$62:$AN$66,,$AE927), INDEX($AO$62:$AU$66,,$AD927), 1 / ($AV$62:$AV$66*CM927 + (1-$AV$62:$AV$66)*CI927), N($AK$62:$AK$66&gt;$AI927)),
SUMPRODUCT(INDEX($AL$47:$AN$56,,$AE927), INDEX($AO$47:$AU$56,,$AD927), 1 / ($AW$47:$AW$56*CM927 + (1-$AW$47:$AW$56)*CI927), N($AK$47:$AK$56&gt;$AI927))
) / 1000</f>
        <v>0</v>
      </c>
      <c r="CO927" s="253" cm="1">
        <f t="array" ref="CO927">$BC927 * IF($AD927&lt;=2,
SUMPRODUCT(INDEX($AL$23:$AN$61,,$AE927), INDEX($AO$23:$AU$61,,$AD927), 1 / ($AV$23:$AV$61*CM927), N($AK$23:$AK$61&gt;$AI927)),
SUMPRODUCT(INDEX($AL$23:$AN$46,,$AE927), INDEX($AO$23:$AU$46,,$AD927), 1 / ($AW$23:$AW$46*CM927), N($AK$23:$AK$46&gt;$AI927))
) / 1000</f>
        <v>0</v>
      </c>
      <c r="CP927" s="237">
        <f t="shared" si="809"/>
        <v>0</v>
      </c>
      <c r="CQ927" s="210"/>
    </row>
    <row r="928" spans="1:95" s="76" customFormat="1" ht="14.25" customHeight="1" x14ac:dyDescent="0.2">
      <c r="A928" s="238" t="b">
        <f t="shared" si="813"/>
        <v>0</v>
      </c>
      <c r="B928" s="239">
        <v>906</v>
      </c>
      <c r="C928" s="258"/>
      <c r="D928" s="258"/>
      <c r="E928" s="240"/>
      <c r="F928" s="241" t="str">
        <f>IF(ISBLANK(E928), "", VLOOKUP(E928, Z!$A$2:$C$4127, 3, FALSE))</f>
        <v/>
      </c>
      <c r="G928" s="242"/>
      <c r="H928" s="242"/>
      <c r="I928" s="243"/>
      <c r="J928" s="244"/>
      <c r="K928" s="259"/>
      <c r="L928" s="260"/>
      <c r="M928" s="247" t="str" cm="1">
        <f t="array" ref="M928">IF($K928&gt;0, INDEX(Clean,1+AG928,$C$1), "")</f>
        <v/>
      </c>
      <c r="N928" s="245"/>
      <c r="O928" s="245"/>
      <c r="P928" s="246"/>
      <c r="Q928" s="248">
        <f t="shared" si="786"/>
        <v>0</v>
      </c>
      <c r="R928" s="247" t="str" cm="1">
        <f t="array" ref="R928">IF($K928&gt;0, INDEX(Clean,1+AH928,$C$1), "")</f>
        <v/>
      </c>
      <c r="S928" s="245"/>
      <c r="T928" s="245"/>
      <c r="U928" s="246"/>
      <c r="V928" s="248">
        <f t="shared" si="787"/>
        <v>0</v>
      </c>
      <c r="W928" s="261"/>
      <c r="X928" s="258"/>
      <c r="Y928" s="240"/>
      <c r="Z928" s="241" t="str">
        <f>IF(ISBLANK(Y928), "", VLOOKUP(Y928, Z!$A$2:$C$4127, 3, FALSE))</f>
        <v/>
      </c>
      <c r="AA928" s="262"/>
      <c r="AB928" s="249">
        <f t="shared" si="822"/>
        <v>0</v>
      </c>
      <c r="AC928" s="210"/>
      <c r="AD928" s="236">
        <f t="shared" si="810"/>
        <v>1</v>
      </c>
      <c r="AE928" s="236">
        <f t="shared" si="811"/>
        <v>1</v>
      </c>
      <c r="AF928" s="236">
        <f t="shared" si="812"/>
        <v>0</v>
      </c>
      <c r="AG928" s="236">
        <v>1</v>
      </c>
      <c r="AH928" s="236">
        <v>0</v>
      </c>
      <c r="AI928" s="236">
        <f t="shared" si="788"/>
        <v>-100</v>
      </c>
      <c r="AJ928" s="210"/>
      <c r="AK928" s="254"/>
      <c r="AL928" s="254"/>
      <c r="AM928" s="255"/>
      <c r="AN928" s="255"/>
      <c r="AO928" s="255"/>
      <c r="AP928" s="255"/>
      <c r="AQ928" s="255"/>
      <c r="AR928" s="255"/>
      <c r="AS928" s="255"/>
      <c r="AT928" s="255"/>
      <c r="AU928" s="255"/>
      <c r="AV928" s="255"/>
      <c r="AW928" s="255"/>
      <c r="AX928" s="210"/>
      <c r="AY928" s="236" cm="1">
        <f t="array" ref="AY928">INDEX(Use, $AD928, 4)</f>
        <v>7</v>
      </c>
      <c r="AZ928" s="236">
        <f t="shared" si="789"/>
        <v>32</v>
      </c>
      <c r="BA928" s="236">
        <f t="shared" si="814"/>
        <v>13</v>
      </c>
      <c r="BB928" s="236">
        <f t="shared" si="815"/>
        <v>0</v>
      </c>
      <c r="BC928" s="252" cm="1">
        <f t="array" ref="BC928">K928/IF($L928&gt;0, INDEX($AO$23:$AU$77, $L928+20, $AD928), 1)</f>
        <v>0</v>
      </c>
      <c r="BD928" s="237">
        <f t="shared" si="790"/>
        <v>0</v>
      </c>
      <c r="BE928" s="236">
        <v>35</v>
      </c>
      <c r="BF928" s="237">
        <f t="shared" si="791"/>
        <v>52.55</v>
      </c>
      <c r="BG928" s="253">
        <f t="shared" si="792"/>
        <v>2.7676728869374316</v>
      </c>
      <c r="BH928" s="253" cm="1">
        <f t="array" ref="BH928">$BC928 * SUMPRODUCT(INDEX($AL$77:$AN$82,,$AE928),INDEX($AO$77:$AU$82,,$AD928), N($AK$77:$AK$82&gt;$AI928)) / BG928 / 1000</f>
        <v>0</v>
      </c>
      <c r="BI928" s="250">
        <f t="shared" si="816"/>
        <v>30</v>
      </c>
      <c r="BJ928" s="237">
        <f t="shared" si="793"/>
        <v>46.033333333333331</v>
      </c>
      <c r="BK928" s="253">
        <f t="shared" si="794"/>
        <v>3.2297395388556791</v>
      </c>
      <c r="BL928" s="253" cm="1">
        <f t="array" ref="BL928">$BC928 * IF($AD928&lt;=2,
SUMPRODUCT(INDEX($AL$72:$AN$76,,$AE928), INDEX($AO$72:$AU$76,,$AD928), 1 / ($AV$72:$AV$76*BK928 + (1-$AV$72:$AV$76)*BG928), N($AK$72:$AK$76&gt;$AI928)),
SUMPRODUCT(INDEX($AL$67:$AN$76,,$AE928), INDEX($AO$67:$AU$76,,$AD928), 1 / ($AW$67:$AW$76*BK928 + (1-$AW$67:$AW$76)*BG928), N($AK$67:$AK$76&gt;$AI928))
) / 1000</f>
        <v>0</v>
      </c>
      <c r="BM928" s="250">
        <f t="shared" si="817"/>
        <v>25</v>
      </c>
      <c r="BN928" s="237">
        <f t="shared" si="795"/>
        <v>39.516666666666666</v>
      </c>
      <c r="BO928" s="253">
        <f t="shared" si="796"/>
        <v>3.877011788826243</v>
      </c>
      <c r="BP928" s="253" cm="1">
        <f t="array" ref="BP928">$BC928 * IF($AD928&lt;=2,
SUMPRODUCT(INDEX($AL$67:$AN$71,,$AE928), INDEX($AO$67:$AU$71,,$AD928), 1 / ($AV$67:$AV$71*BO928 + (1-$AV$67:$AV$71)*BK928), N($AK$67:$AK$71&gt;$AI928)),
SUMPRODUCT(INDEX($AL$57:$AN$66,,$AE928), INDEX($AO$57:$AU$66,,$AD928), 1 / ($AW$57:$AW$66*BO928 + (1-$AW$57:$AW$66)*BK928), N($AK$57:$AK$66&gt;$AI928))
) / 1000</f>
        <v>0</v>
      </c>
      <c r="BQ928" s="250">
        <f t="shared" si="818"/>
        <v>20</v>
      </c>
      <c r="BR928" s="237">
        <f t="shared" si="797"/>
        <v>33</v>
      </c>
      <c r="BS928" s="253">
        <f t="shared" si="798"/>
        <v>4.8487499999999999</v>
      </c>
      <c r="BT928" s="253" cm="1">
        <f t="array" ref="BT928">$BC928 * IF($AD928&lt;=2,
SUMPRODUCT(INDEX($AL$62:$AN$66,,$AE928), INDEX($AO$62:$AU$66,,$AD928), 1 / ($AV$62:$AV$66*BS928 + (1-$AV$62:$AV$66)*BO928), N($AK$62:$AK$66&gt;$AI928)),
SUMPRODUCT(INDEX($AL$47:$AN$56,,$AE928), INDEX($AO$47:$AU$56,,$AD928), 1 / ($AW$47:$AW$56*BS928 + (1-$AW$47:$AW$56)*BO928), N($AK$47:$AK$56&gt;$AI928))
) / 1000</f>
        <v>0</v>
      </c>
      <c r="BU928" s="253" cm="1">
        <f t="array" ref="BU928">$BC928 * IF($AD928&lt;=2,
SUMPRODUCT(INDEX($AL$23:$AN$61,,$AE928), INDEX($AO$23:$AU$61,,$AD928), 1 / ($AV$23:$AV$61*BS928), N($AK$23:$AK$61&gt;$AI928)),
SUMPRODUCT(INDEX($AL$23:$AN$46,,$AE928), INDEX($AO$23:$AU$46,,$AD928), 1 / ($AW$23:$AW$46*BS928), N($AK$23:$AK$46&gt;$AI928))
) / 1000</f>
        <v>0</v>
      </c>
      <c r="BV928" s="237">
        <f t="shared" si="799"/>
        <v>0</v>
      </c>
      <c r="BW928" s="210"/>
      <c r="BX928" s="237">
        <f t="shared" si="800"/>
        <v>0</v>
      </c>
      <c r="BY928" s="236">
        <v>35</v>
      </c>
      <c r="BZ928" s="237">
        <f t="shared" si="801"/>
        <v>48</v>
      </c>
      <c r="CA928" s="253">
        <f t="shared" si="802"/>
        <v>3.0748170731707316</v>
      </c>
      <c r="CB928" s="253" cm="1">
        <f t="array" ref="CB928">$BC928 * SUMPRODUCT(INDEX($AL$77:$AN$82,,$AE928),INDEX($AO$77:$AU$82,,$AD928), N($AK$77:$AK$82&gt;$AI928)) / CA928 / 1000</f>
        <v>0</v>
      </c>
      <c r="CC928" s="250">
        <f t="shared" si="819"/>
        <v>30</v>
      </c>
      <c r="CD928" s="237">
        <f t="shared" si="803"/>
        <v>43</v>
      </c>
      <c r="CE928" s="253">
        <f t="shared" si="804"/>
        <v>3.5018750000000001</v>
      </c>
      <c r="CF928" s="253" cm="1">
        <f t="array" ref="CF928">$BC928 * IF($AD928&lt;=2,
SUMPRODUCT(INDEX($AL$72:$AN$76,,$AE928), INDEX($AO$72:$AU$76,,$AD928), 1 / ($AV$72:$AV$76*CE928 + (1-$AV$72:$AV$76)*CA928), N($AK$72:$AK$76&gt;$AI928)),
SUMPRODUCT(INDEX($AL$67:$AN$76,,$AE928), INDEX($AO$67:$AU$76,,$AD928), 1 / ($AW$67:$AW$76*CE928 + (1-$AW$67:$AW$76)*CA928), N($AK$67:$AK$76&gt;$AI928))
) / 1000</f>
        <v>0</v>
      </c>
      <c r="CG928" s="250">
        <f t="shared" si="820"/>
        <v>25</v>
      </c>
      <c r="CH928" s="237">
        <f t="shared" si="805"/>
        <v>38</v>
      </c>
      <c r="CI928" s="253">
        <f t="shared" si="806"/>
        <v>4.0666935483870965</v>
      </c>
      <c r="CJ928" s="253" cm="1">
        <f t="array" ref="CJ928">$BC928 * IF($AD928&lt;=2,
SUMPRODUCT(INDEX($AL$67:$AN$71,,$AE928), INDEX($AO$67:$AU$71,,$AD928), 1 / ($AV$67:$AV$71*CI928 + (1-$AV$67:$AV$71)*CE928), N($AK$67:$AK$71&gt;$AI928)),
SUMPRODUCT(INDEX($AL$57:$AN$66,,$AE928), INDEX($AO$57:$AU$66,,$AD928), 1 / ($AW$57:$AW$66*CI928 + (1-$AW$57:$AW$66)*CE928), N($AK$57:$AK$66&gt;$AI928))
) / 1000</f>
        <v>0</v>
      </c>
      <c r="CK928" s="250">
        <f t="shared" si="821"/>
        <v>20</v>
      </c>
      <c r="CL928" s="237">
        <f t="shared" si="807"/>
        <v>33</v>
      </c>
      <c r="CM928" s="253">
        <f t="shared" si="808"/>
        <v>4.8487499999999999</v>
      </c>
      <c r="CN928" s="253" cm="1">
        <f t="array" ref="CN928">$BC928 * IF($AD928&lt;=2,
SUMPRODUCT(INDEX($AL$62:$AN$66,,$AE928), INDEX($AO$62:$AU$66,,$AD928), 1 / ($AV$62:$AV$66*CM928 + (1-$AV$62:$AV$66)*CI928), N($AK$62:$AK$66&gt;$AI928)),
SUMPRODUCT(INDEX($AL$47:$AN$56,,$AE928), INDEX($AO$47:$AU$56,,$AD928), 1 / ($AW$47:$AW$56*CM928 + (1-$AW$47:$AW$56)*CI928), N($AK$47:$AK$56&gt;$AI928))
) / 1000</f>
        <v>0</v>
      </c>
      <c r="CO928" s="253" cm="1">
        <f t="array" ref="CO928">$BC928 * IF($AD928&lt;=2,
SUMPRODUCT(INDEX($AL$23:$AN$61,,$AE928), INDEX($AO$23:$AU$61,,$AD928), 1 / ($AV$23:$AV$61*CM928), N($AK$23:$AK$61&gt;$AI928)),
SUMPRODUCT(INDEX($AL$23:$AN$46,,$AE928), INDEX($AO$23:$AU$46,,$AD928), 1 / ($AW$23:$AW$46*CM928), N($AK$23:$AK$46&gt;$AI928))
) / 1000</f>
        <v>0</v>
      </c>
      <c r="CP928" s="237">
        <f t="shared" si="809"/>
        <v>0</v>
      </c>
      <c r="CQ928" s="210"/>
    </row>
    <row r="929" spans="1:95" s="76" customFormat="1" ht="14.25" customHeight="1" x14ac:dyDescent="0.2">
      <c r="A929" s="238" t="b">
        <f t="shared" si="813"/>
        <v>0</v>
      </c>
      <c r="B929" s="239">
        <v>907</v>
      </c>
      <c r="C929" s="258"/>
      <c r="D929" s="258"/>
      <c r="E929" s="240"/>
      <c r="F929" s="241" t="str">
        <f>IF(ISBLANK(E929), "", VLOOKUP(E929, Z!$A$2:$C$4127, 3, FALSE))</f>
        <v/>
      </c>
      <c r="G929" s="242"/>
      <c r="H929" s="242"/>
      <c r="I929" s="243"/>
      <c r="J929" s="244"/>
      <c r="K929" s="259"/>
      <c r="L929" s="260"/>
      <c r="M929" s="247" t="str" cm="1">
        <f t="array" ref="M929">IF($K929&gt;0, INDEX(Clean,1+AG929,$C$1), "")</f>
        <v/>
      </c>
      <c r="N929" s="245"/>
      <c r="O929" s="245"/>
      <c r="P929" s="246"/>
      <c r="Q929" s="248">
        <f t="shared" si="786"/>
        <v>0</v>
      </c>
      <c r="R929" s="247" t="str" cm="1">
        <f t="array" ref="R929">IF($K929&gt;0, INDEX(Clean,1+AH929,$C$1), "")</f>
        <v/>
      </c>
      <c r="S929" s="245"/>
      <c r="T929" s="245"/>
      <c r="U929" s="246"/>
      <c r="V929" s="248">
        <f t="shared" si="787"/>
        <v>0</v>
      </c>
      <c r="W929" s="261"/>
      <c r="X929" s="258"/>
      <c r="Y929" s="240"/>
      <c r="Z929" s="241" t="str">
        <f>IF(ISBLANK(Y929), "", VLOOKUP(Y929, Z!$A$2:$C$4127, 3, FALSE))</f>
        <v/>
      </c>
      <c r="AA929" s="262"/>
      <c r="AB929" s="249">
        <f t="shared" si="822"/>
        <v>0</v>
      </c>
      <c r="AC929" s="210"/>
      <c r="AD929" s="236">
        <f t="shared" si="810"/>
        <v>1</v>
      </c>
      <c r="AE929" s="236">
        <f t="shared" si="811"/>
        <v>1</v>
      </c>
      <c r="AF929" s="236">
        <f t="shared" si="812"/>
        <v>0</v>
      </c>
      <c r="AG929" s="236">
        <v>1</v>
      </c>
      <c r="AH929" s="236">
        <v>0</v>
      </c>
      <c r="AI929" s="236">
        <f t="shared" si="788"/>
        <v>-100</v>
      </c>
      <c r="AJ929" s="210"/>
      <c r="AK929" s="254"/>
      <c r="AL929" s="254"/>
      <c r="AM929" s="255"/>
      <c r="AN929" s="255"/>
      <c r="AO929" s="255"/>
      <c r="AP929" s="255"/>
      <c r="AQ929" s="255"/>
      <c r="AR929" s="255"/>
      <c r="AS929" s="255"/>
      <c r="AT929" s="255"/>
      <c r="AU929" s="255"/>
      <c r="AV929" s="255"/>
      <c r="AW929" s="255"/>
      <c r="AX929" s="210"/>
      <c r="AY929" s="236" cm="1">
        <f t="array" ref="AY929">INDEX(Use, $AD929, 4)</f>
        <v>7</v>
      </c>
      <c r="AZ929" s="236">
        <f t="shared" si="789"/>
        <v>32</v>
      </c>
      <c r="BA929" s="236">
        <f t="shared" si="814"/>
        <v>13</v>
      </c>
      <c r="BB929" s="236">
        <f t="shared" si="815"/>
        <v>0</v>
      </c>
      <c r="BC929" s="252" cm="1">
        <f t="array" ref="BC929">K929/IF($L929&gt;0, INDEX($AO$23:$AU$77, $L929+20, $AD929), 1)</f>
        <v>0</v>
      </c>
      <c r="BD929" s="237">
        <f t="shared" si="790"/>
        <v>0</v>
      </c>
      <c r="BE929" s="236">
        <v>35</v>
      </c>
      <c r="BF929" s="237">
        <f t="shared" si="791"/>
        <v>52.55</v>
      </c>
      <c r="BG929" s="253">
        <f t="shared" si="792"/>
        <v>2.7676728869374316</v>
      </c>
      <c r="BH929" s="253" cm="1">
        <f t="array" ref="BH929">$BC929 * SUMPRODUCT(INDEX($AL$77:$AN$82,,$AE929),INDEX($AO$77:$AU$82,,$AD929), N($AK$77:$AK$82&gt;$AI929)) / BG929 / 1000</f>
        <v>0</v>
      </c>
      <c r="BI929" s="250">
        <f t="shared" si="816"/>
        <v>30</v>
      </c>
      <c r="BJ929" s="237">
        <f t="shared" si="793"/>
        <v>46.033333333333331</v>
      </c>
      <c r="BK929" s="253">
        <f t="shared" si="794"/>
        <v>3.2297395388556791</v>
      </c>
      <c r="BL929" s="253" cm="1">
        <f t="array" ref="BL929">$BC929 * IF($AD929&lt;=2,
SUMPRODUCT(INDEX($AL$72:$AN$76,,$AE929), INDEX($AO$72:$AU$76,,$AD929), 1 / ($AV$72:$AV$76*BK929 + (1-$AV$72:$AV$76)*BG929), N($AK$72:$AK$76&gt;$AI929)),
SUMPRODUCT(INDEX($AL$67:$AN$76,,$AE929), INDEX($AO$67:$AU$76,,$AD929), 1 / ($AW$67:$AW$76*BK929 + (1-$AW$67:$AW$76)*BG929), N($AK$67:$AK$76&gt;$AI929))
) / 1000</f>
        <v>0</v>
      </c>
      <c r="BM929" s="250">
        <f t="shared" si="817"/>
        <v>25</v>
      </c>
      <c r="BN929" s="237">
        <f t="shared" si="795"/>
        <v>39.516666666666666</v>
      </c>
      <c r="BO929" s="253">
        <f t="shared" si="796"/>
        <v>3.877011788826243</v>
      </c>
      <c r="BP929" s="253" cm="1">
        <f t="array" ref="BP929">$BC929 * IF($AD929&lt;=2,
SUMPRODUCT(INDEX($AL$67:$AN$71,,$AE929), INDEX($AO$67:$AU$71,,$AD929), 1 / ($AV$67:$AV$71*BO929 + (1-$AV$67:$AV$71)*BK929), N($AK$67:$AK$71&gt;$AI929)),
SUMPRODUCT(INDEX($AL$57:$AN$66,,$AE929), INDEX($AO$57:$AU$66,,$AD929), 1 / ($AW$57:$AW$66*BO929 + (1-$AW$57:$AW$66)*BK929), N($AK$57:$AK$66&gt;$AI929))
) / 1000</f>
        <v>0</v>
      </c>
      <c r="BQ929" s="250">
        <f t="shared" si="818"/>
        <v>20</v>
      </c>
      <c r="BR929" s="237">
        <f t="shared" si="797"/>
        <v>33</v>
      </c>
      <c r="BS929" s="253">
        <f t="shared" si="798"/>
        <v>4.8487499999999999</v>
      </c>
      <c r="BT929" s="253" cm="1">
        <f t="array" ref="BT929">$BC929 * IF($AD929&lt;=2,
SUMPRODUCT(INDEX($AL$62:$AN$66,,$AE929), INDEX($AO$62:$AU$66,,$AD929), 1 / ($AV$62:$AV$66*BS929 + (1-$AV$62:$AV$66)*BO929), N($AK$62:$AK$66&gt;$AI929)),
SUMPRODUCT(INDEX($AL$47:$AN$56,,$AE929), INDEX($AO$47:$AU$56,,$AD929), 1 / ($AW$47:$AW$56*BS929 + (1-$AW$47:$AW$56)*BO929), N($AK$47:$AK$56&gt;$AI929))
) / 1000</f>
        <v>0</v>
      </c>
      <c r="BU929" s="253" cm="1">
        <f t="array" ref="BU929">$BC929 * IF($AD929&lt;=2,
SUMPRODUCT(INDEX($AL$23:$AN$61,,$AE929), INDEX($AO$23:$AU$61,,$AD929), 1 / ($AV$23:$AV$61*BS929), N($AK$23:$AK$61&gt;$AI929)),
SUMPRODUCT(INDEX($AL$23:$AN$46,,$AE929), INDEX($AO$23:$AU$46,,$AD929), 1 / ($AW$23:$AW$46*BS929), N($AK$23:$AK$46&gt;$AI929))
) / 1000</f>
        <v>0</v>
      </c>
      <c r="BV929" s="237">
        <f t="shared" si="799"/>
        <v>0</v>
      </c>
      <c r="BW929" s="210"/>
      <c r="BX929" s="237">
        <f t="shared" si="800"/>
        <v>0</v>
      </c>
      <c r="BY929" s="236">
        <v>35</v>
      </c>
      <c r="BZ929" s="237">
        <f t="shared" si="801"/>
        <v>48</v>
      </c>
      <c r="CA929" s="253">
        <f t="shared" si="802"/>
        <v>3.0748170731707316</v>
      </c>
      <c r="CB929" s="253" cm="1">
        <f t="array" ref="CB929">$BC929 * SUMPRODUCT(INDEX($AL$77:$AN$82,,$AE929),INDEX($AO$77:$AU$82,,$AD929), N($AK$77:$AK$82&gt;$AI929)) / CA929 / 1000</f>
        <v>0</v>
      </c>
      <c r="CC929" s="250">
        <f t="shared" si="819"/>
        <v>30</v>
      </c>
      <c r="CD929" s="237">
        <f t="shared" si="803"/>
        <v>43</v>
      </c>
      <c r="CE929" s="253">
        <f t="shared" si="804"/>
        <v>3.5018750000000001</v>
      </c>
      <c r="CF929" s="253" cm="1">
        <f t="array" ref="CF929">$BC929 * IF($AD929&lt;=2,
SUMPRODUCT(INDEX($AL$72:$AN$76,,$AE929), INDEX($AO$72:$AU$76,,$AD929), 1 / ($AV$72:$AV$76*CE929 + (1-$AV$72:$AV$76)*CA929), N($AK$72:$AK$76&gt;$AI929)),
SUMPRODUCT(INDEX($AL$67:$AN$76,,$AE929), INDEX($AO$67:$AU$76,,$AD929), 1 / ($AW$67:$AW$76*CE929 + (1-$AW$67:$AW$76)*CA929), N($AK$67:$AK$76&gt;$AI929))
) / 1000</f>
        <v>0</v>
      </c>
      <c r="CG929" s="250">
        <f t="shared" si="820"/>
        <v>25</v>
      </c>
      <c r="CH929" s="237">
        <f t="shared" si="805"/>
        <v>38</v>
      </c>
      <c r="CI929" s="253">
        <f t="shared" si="806"/>
        <v>4.0666935483870965</v>
      </c>
      <c r="CJ929" s="253" cm="1">
        <f t="array" ref="CJ929">$BC929 * IF($AD929&lt;=2,
SUMPRODUCT(INDEX($AL$67:$AN$71,,$AE929), INDEX($AO$67:$AU$71,,$AD929), 1 / ($AV$67:$AV$71*CI929 + (1-$AV$67:$AV$71)*CE929), N($AK$67:$AK$71&gt;$AI929)),
SUMPRODUCT(INDEX($AL$57:$AN$66,,$AE929), INDEX($AO$57:$AU$66,,$AD929), 1 / ($AW$57:$AW$66*CI929 + (1-$AW$57:$AW$66)*CE929), N($AK$57:$AK$66&gt;$AI929))
) / 1000</f>
        <v>0</v>
      </c>
      <c r="CK929" s="250">
        <f t="shared" si="821"/>
        <v>20</v>
      </c>
      <c r="CL929" s="237">
        <f t="shared" si="807"/>
        <v>33</v>
      </c>
      <c r="CM929" s="253">
        <f t="shared" si="808"/>
        <v>4.8487499999999999</v>
      </c>
      <c r="CN929" s="253" cm="1">
        <f t="array" ref="CN929">$BC929 * IF($AD929&lt;=2,
SUMPRODUCT(INDEX($AL$62:$AN$66,,$AE929), INDEX($AO$62:$AU$66,,$AD929), 1 / ($AV$62:$AV$66*CM929 + (1-$AV$62:$AV$66)*CI929), N($AK$62:$AK$66&gt;$AI929)),
SUMPRODUCT(INDEX($AL$47:$AN$56,,$AE929), INDEX($AO$47:$AU$56,,$AD929), 1 / ($AW$47:$AW$56*CM929 + (1-$AW$47:$AW$56)*CI929), N($AK$47:$AK$56&gt;$AI929))
) / 1000</f>
        <v>0</v>
      </c>
      <c r="CO929" s="253" cm="1">
        <f t="array" ref="CO929">$BC929 * IF($AD929&lt;=2,
SUMPRODUCT(INDEX($AL$23:$AN$61,,$AE929), INDEX($AO$23:$AU$61,,$AD929), 1 / ($AV$23:$AV$61*CM929), N($AK$23:$AK$61&gt;$AI929)),
SUMPRODUCT(INDEX($AL$23:$AN$46,,$AE929), INDEX($AO$23:$AU$46,,$AD929), 1 / ($AW$23:$AW$46*CM929), N($AK$23:$AK$46&gt;$AI929))
) / 1000</f>
        <v>0</v>
      </c>
      <c r="CP929" s="237">
        <f t="shared" si="809"/>
        <v>0</v>
      </c>
      <c r="CQ929" s="210"/>
    </row>
    <row r="930" spans="1:95" s="76" customFormat="1" ht="14.25" customHeight="1" x14ac:dyDescent="0.2">
      <c r="A930" s="238" t="b">
        <f t="shared" si="813"/>
        <v>0</v>
      </c>
      <c r="B930" s="239">
        <v>908</v>
      </c>
      <c r="C930" s="258"/>
      <c r="D930" s="258"/>
      <c r="E930" s="240"/>
      <c r="F930" s="241" t="str">
        <f>IF(ISBLANK(E930), "", VLOOKUP(E930, Z!$A$2:$C$4127, 3, FALSE))</f>
        <v/>
      </c>
      <c r="G930" s="242"/>
      <c r="H930" s="242"/>
      <c r="I930" s="243"/>
      <c r="J930" s="244"/>
      <c r="K930" s="259"/>
      <c r="L930" s="260"/>
      <c r="M930" s="247" t="str" cm="1">
        <f t="array" ref="M930">IF($K930&gt;0, INDEX(Clean,1+AG930,$C$1), "")</f>
        <v/>
      </c>
      <c r="N930" s="245"/>
      <c r="O930" s="245"/>
      <c r="P930" s="246"/>
      <c r="Q930" s="248">
        <f t="shared" si="786"/>
        <v>0</v>
      </c>
      <c r="R930" s="247" t="str" cm="1">
        <f t="array" ref="R930">IF($K930&gt;0, INDEX(Clean,1+AH930,$C$1), "")</f>
        <v/>
      </c>
      <c r="S930" s="245"/>
      <c r="T930" s="245"/>
      <c r="U930" s="246"/>
      <c r="V930" s="248">
        <f t="shared" si="787"/>
        <v>0</v>
      </c>
      <c r="W930" s="261"/>
      <c r="X930" s="258"/>
      <c r="Y930" s="240"/>
      <c r="Z930" s="241" t="str">
        <f>IF(ISBLANK(Y930), "", VLOOKUP(Y930, Z!$A$2:$C$4127, 3, FALSE))</f>
        <v/>
      </c>
      <c r="AA930" s="262"/>
      <c r="AB930" s="249">
        <f t="shared" si="822"/>
        <v>0</v>
      </c>
      <c r="AC930" s="210"/>
      <c r="AD930" s="236">
        <f t="shared" si="810"/>
        <v>1</v>
      </c>
      <c r="AE930" s="236">
        <f t="shared" si="811"/>
        <v>1</v>
      </c>
      <c r="AF930" s="236">
        <f t="shared" si="812"/>
        <v>0</v>
      </c>
      <c r="AG930" s="236">
        <v>1</v>
      </c>
      <c r="AH930" s="236">
        <v>0</v>
      </c>
      <c r="AI930" s="236">
        <f t="shared" si="788"/>
        <v>-100</v>
      </c>
      <c r="AJ930" s="210"/>
      <c r="AK930" s="254"/>
      <c r="AL930" s="254"/>
      <c r="AM930" s="255"/>
      <c r="AN930" s="255"/>
      <c r="AO930" s="255"/>
      <c r="AP930" s="255"/>
      <c r="AQ930" s="255"/>
      <c r="AR930" s="255"/>
      <c r="AS930" s="255"/>
      <c r="AT930" s="255"/>
      <c r="AU930" s="255"/>
      <c r="AV930" s="255"/>
      <c r="AW930" s="255"/>
      <c r="AX930" s="210"/>
      <c r="AY930" s="236" cm="1">
        <f t="array" ref="AY930">INDEX(Use, $AD930, 4)</f>
        <v>7</v>
      </c>
      <c r="AZ930" s="236">
        <f t="shared" si="789"/>
        <v>32</v>
      </c>
      <c r="BA930" s="236">
        <f t="shared" si="814"/>
        <v>13</v>
      </c>
      <c r="BB930" s="236">
        <f t="shared" si="815"/>
        <v>0</v>
      </c>
      <c r="BC930" s="252" cm="1">
        <f t="array" ref="BC930">K930/IF($L930&gt;0, INDEX($AO$23:$AU$77, $L930+20, $AD930), 1)</f>
        <v>0</v>
      </c>
      <c r="BD930" s="237">
        <f t="shared" si="790"/>
        <v>0</v>
      </c>
      <c r="BE930" s="236">
        <v>35</v>
      </c>
      <c r="BF930" s="237">
        <f t="shared" si="791"/>
        <v>52.55</v>
      </c>
      <c r="BG930" s="253">
        <f t="shared" si="792"/>
        <v>2.7676728869374316</v>
      </c>
      <c r="BH930" s="253" cm="1">
        <f t="array" ref="BH930">$BC930 * SUMPRODUCT(INDEX($AL$77:$AN$82,,$AE930),INDEX($AO$77:$AU$82,,$AD930), N($AK$77:$AK$82&gt;$AI930)) / BG930 / 1000</f>
        <v>0</v>
      </c>
      <c r="BI930" s="250">
        <f t="shared" si="816"/>
        <v>30</v>
      </c>
      <c r="BJ930" s="237">
        <f t="shared" si="793"/>
        <v>46.033333333333331</v>
      </c>
      <c r="BK930" s="253">
        <f t="shared" si="794"/>
        <v>3.2297395388556791</v>
      </c>
      <c r="BL930" s="253" cm="1">
        <f t="array" ref="BL930">$BC930 * IF($AD930&lt;=2,
SUMPRODUCT(INDEX($AL$72:$AN$76,,$AE930), INDEX($AO$72:$AU$76,,$AD930), 1 / ($AV$72:$AV$76*BK930 + (1-$AV$72:$AV$76)*BG930), N($AK$72:$AK$76&gt;$AI930)),
SUMPRODUCT(INDEX($AL$67:$AN$76,,$AE930), INDEX($AO$67:$AU$76,,$AD930), 1 / ($AW$67:$AW$76*BK930 + (1-$AW$67:$AW$76)*BG930), N($AK$67:$AK$76&gt;$AI930))
) / 1000</f>
        <v>0</v>
      </c>
      <c r="BM930" s="250">
        <f t="shared" si="817"/>
        <v>25</v>
      </c>
      <c r="BN930" s="237">
        <f t="shared" si="795"/>
        <v>39.516666666666666</v>
      </c>
      <c r="BO930" s="253">
        <f t="shared" si="796"/>
        <v>3.877011788826243</v>
      </c>
      <c r="BP930" s="253" cm="1">
        <f t="array" ref="BP930">$BC930 * IF($AD930&lt;=2,
SUMPRODUCT(INDEX($AL$67:$AN$71,,$AE930), INDEX($AO$67:$AU$71,,$AD930), 1 / ($AV$67:$AV$71*BO930 + (1-$AV$67:$AV$71)*BK930), N($AK$67:$AK$71&gt;$AI930)),
SUMPRODUCT(INDEX($AL$57:$AN$66,,$AE930), INDEX($AO$57:$AU$66,,$AD930), 1 / ($AW$57:$AW$66*BO930 + (1-$AW$57:$AW$66)*BK930), N($AK$57:$AK$66&gt;$AI930))
) / 1000</f>
        <v>0</v>
      </c>
      <c r="BQ930" s="250">
        <f t="shared" si="818"/>
        <v>20</v>
      </c>
      <c r="BR930" s="237">
        <f t="shared" si="797"/>
        <v>33</v>
      </c>
      <c r="BS930" s="253">
        <f t="shared" si="798"/>
        <v>4.8487499999999999</v>
      </c>
      <c r="BT930" s="253" cm="1">
        <f t="array" ref="BT930">$BC930 * IF($AD930&lt;=2,
SUMPRODUCT(INDEX($AL$62:$AN$66,,$AE930), INDEX($AO$62:$AU$66,,$AD930), 1 / ($AV$62:$AV$66*BS930 + (1-$AV$62:$AV$66)*BO930), N($AK$62:$AK$66&gt;$AI930)),
SUMPRODUCT(INDEX($AL$47:$AN$56,,$AE930), INDEX($AO$47:$AU$56,,$AD930), 1 / ($AW$47:$AW$56*BS930 + (1-$AW$47:$AW$56)*BO930), N($AK$47:$AK$56&gt;$AI930))
) / 1000</f>
        <v>0</v>
      </c>
      <c r="BU930" s="253" cm="1">
        <f t="array" ref="BU930">$BC930 * IF($AD930&lt;=2,
SUMPRODUCT(INDEX($AL$23:$AN$61,,$AE930), INDEX($AO$23:$AU$61,,$AD930), 1 / ($AV$23:$AV$61*BS930), N($AK$23:$AK$61&gt;$AI930)),
SUMPRODUCT(INDEX($AL$23:$AN$46,,$AE930), INDEX($AO$23:$AU$46,,$AD930), 1 / ($AW$23:$AW$46*BS930), N($AK$23:$AK$46&gt;$AI930))
) / 1000</f>
        <v>0</v>
      </c>
      <c r="BV930" s="237">
        <f t="shared" si="799"/>
        <v>0</v>
      </c>
      <c r="BW930" s="210"/>
      <c r="BX930" s="237">
        <f t="shared" si="800"/>
        <v>0</v>
      </c>
      <c r="BY930" s="236">
        <v>35</v>
      </c>
      <c r="BZ930" s="237">
        <f t="shared" si="801"/>
        <v>48</v>
      </c>
      <c r="CA930" s="253">
        <f t="shared" si="802"/>
        <v>3.0748170731707316</v>
      </c>
      <c r="CB930" s="253" cm="1">
        <f t="array" ref="CB930">$BC930 * SUMPRODUCT(INDEX($AL$77:$AN$82,,$AE930),INDEX($AO$77:$AU$82,,$AD930), N($AK$77:$AK$82&gt;$AI930)) / CA930 / 1000</f>
        <v>0</v>
      </c>
      <c r="CC930" s="250">
        <f t="shared" si="819"/>
        <v>30</v>
      </c>
      <c r="CD930" s="237">
        <f t="shared" si="803"/>
        <v>43</v>
      </c>
      <c r="CE930" s="253">
        <f t="shared" si="804"/>
        <v>3.5018750000000001</v>
      </c>
      <c r="CF930" s="253" cm="1">
        <f t="array" ref="CF930">$BC930 * IF($AD930&lt;=2,
SUMPRODUCT(INDEX($AL$72:$AN$76,,$AE930), INDEX($AO$72:$AU$76,,$AD930), 1 / ($AV$72:$AV$76*CE930 + (1-$AV$72:$AV$76)*CA930), N($AK$72:$AK$76&gt;$AI930)),
SUMPRODUCT(INDEX($AL$67:$AN$76,,$AE930), INDEX($AO$67:$AU$76,,$AD930), 1 / ($AW$67:$AW$76*CE930 + (1-$AW$67:$AW$76)*CA930), N($AK$67:$AK$76&gt;$AI930))
) / 1000</f>
        <v>0</v>
      </c>
      <c r="CG930" s="250">
        <f t="shared" si="820"/>
        <v>25</v>
      </c>
      <c r="CH930" s="237">
        <f t="shared" si="805"/>
        <v>38</v>
      </c>
      <c r="CI930" s="253">
        <f t="shared" si="806"/>
        <v>4.0666935483870965</v>
      </c>
      <c r="CJ930" s="253" cm="1">
        <f t="array" ref="CJ930">$BC930 * IF($AD930&lt;=2,
SUMPRODUCT(INDEX($AL$67:$AN$71,,$AE930), INDEX($AO$67:$AU$71,,$AD930), 1 / ($AV$67:$AV$71*CI930 + (1-$AV$67:$AV$71)*CE930), N($AK$67:$AK$71&gt;$AI930)),
SUMPRODUCT(INDEX($AL$57:$AN$66,,$AE930), INDEX($AO$57:$AU$66,,$AD930), 1 / ($AW$57:$AW$66*CI930 + (1-$AW$57:$AW$66)*CE930), N($AK$57:$AK$66&gt;$AI930))
) / 1000</f>
        <v>0</v>
      </c>
      <c r="CK930" s="250">
        <f t="shared" si="821"/>
        <v>20</v>
      </c>
      <c r="CL930" s="237">
        <f t="shared" si="807"/>
        <v>33</v>
      </c>
      <c r="CM930" s="253">
        <f t="shared" si="808"/>
        <v>4.8487499999999999</v>
      </c>
      <c r="CN930" s="253" cm="1">
        <f t="array" ref="CN930">$BC930 * IF($AD930&lt;=2,
SUMPRODUCT(INDEX($AL$62:$AN$66,,$AE930), INDEX($AO$62:$AU$66,,$AD930), 1 / ($AV$62:$AV$66*CM930 + (1-$AV$62:$AV$66)*CI930), N($AK$62:$AK$66&gt;$AI930)),
SUMPRODUCT(INDEX($AL$47:$AN$56,,$AE930), INDEX($AO$47:$AU$56,,$AD930), 1 / ($AW$47:$AW$56*CM930 + (1-$AW$47:$AW$56)*CI930), N($AK$47:$AK$56&gt;$AI930))
) / 1000</f>
        <v>0</v>
      </c>
      <c r="CO930" s="253" cm="1">
        <f t="array" ref="CO930">$BC930 * IF($AD930&lt;=2,
SUMPRODUCT(INDEX($AL$23:$AN$61,,$AE930), INDEX($AO$23:$AU$61,,$AD930), 1 / ($AV$23:$AV$61*CM930), N($AK$23:$AK$61&gt;$AI930)),
SUMPRODUCT(INDEX($AL$23:$AN$46,,$AE930), INDEX($AO$23:$AU$46,,$AD930), 1 / ($AW$23:$AW$46*CM930), N($AK$23:$AK$46&gt;$AI930))
) / 1000</f>
        <v>0</v>
      </c>
      <c r="CP930" s="237">
        <f t="shared" si="809"/>
        <v>0</v>
      </c>
      <c r="CQ930" s="210"/>
    </row>
    <row r="931" spans="1:95" s="76" customFormat="1" ht="14.25" customHeight="1" x14ac:dyDescent="0.2">
      <c r="A931" s="238" t="b">
        <f t="shared" si="813"/>
        <v>0</v>
      </c>
      <c r="B931" s="239">
        <v>909</v>
      </c>
      <c r="C931" s="258"/>
      <c r="D931" s="258"/>
      <c r="E931" s="240"/>
      <c r="F931" s="241" t="str">
        <f>IF(ISBLANK(E931), "", VLOOKUP(E931, Z!$A$2:$C$4127, 3, FALSE))</f>
        <v/>
      </c>
      <c r="G931" s="242"/>
      <c r="H931" s="242"/>
      <c r="I931" s="243"/>
      <c r="J931" s="244"/>
      <c r="K931" s="259"/>
      <c r="L931" s="260"/>
      <c r="M931" s="247" t="str" cm="1">
        <f t="array" ref="M931">IF($K931&gt;0, INDEX(Clean,1+AG931,$C$1), "")</f>
        <v/>
      </c>
      <c r="N931" s="245"/>
      <c r="O931" s="245"/>
      <c r="P931" s="246"/>
      <c r="Q931" s="248">
        <f t="shared" si="786"/>
        <v>0</v>
      </c>
      <c r="R931" s="247" t="str" cm="1">
        <f t="array" ref="R931">IF($K931&gt;0, INDEX(Clean,1+AH931,$C$1), "")</f>
        <v/>
      </c>
      <c r="S931" s="245"/>
      <c r="T931" s="245"/>
      <c r="U931" s="246"/>
      <c r="V931" s="248">
        <f t="shared" si="787"/>
        <v>0</v>
      </c>
      <c r="W931" s="261"/>
      <c r="X931" s="258"/>
      <c r="Y931" s="240"/>
      <c r="Z931" s="241" t="str">
        <f>IF(ISBLANK(Y931), "", VLOOKUP(Y931, Z!$A$2:$C$4127, 3, FALSE))</f>
        <v/>
      </c>
      <c r="AA931" s="262"/>
      <c r="AB931" s="249">
        <f t="shared" si="822"/>
        <v>0</v>
      </c>
      <c r="AC931" s="210"/>
      <c r="AD931" s="236">
        <f t="shared" si="810"/>
        <v>1</v>
      </c>
      <c r="AE931" s="236">
        <f t="shared" si="811"/>
        <v>1</v>
      </c>
      <c r="AF931" s="236">
        <f t="shared" si="812"/>
        <v>0</v>
      </c>
      <c r="AG931" s="236">
        <v>1</v>
      </c>
      <c r="AH931" s="236">
        <v>0</v>
      </c>
      <c r="AI931" s="236">
        <f t="shared" si="788"/>
        <v>-100</v>
      </c>
      <c r="AJ931" s="210"/>
      <c r="AK931" s="254"/>
      <c r="AL931" s="254"/>
      <c r="AM931" s="255"/>
      <c r="AN931" s="255"/>
      <c r="AO931" s="255"/>
      <c r="AP931" s="255"/>
      <c r="AQ931" s="255"/>
      <c r="AR931" s="255"/>
      <c r="AS931" s="255"/>
      <c r="AT931" s="255"/>
      <c r="AU931" s="255"/>
      <c r="AV931" s="255"/>
      <c r="AW931" s="255"/>
      <c r="AX931" s="210"/>
      <c r="AY931" s="236" cm="1">
        <f t="array" ref="AY931">INDEX(Use, $AD931, 4)</f>
        <v>7</v>
      </c>
      <c r="AZ931" s="236">
        <f t="shared" si="789"/>
        <v>32</v>
      </c>
      <c r="BA931" s="236">
        <f t="shared" si="814"/>
        <v>13</v>
      </c>
      <c r="BB931" s="236">
        <f t="shared" si="815"/>
        <v>0</v>
      </c>
      <c r="BC931" s="252" cm="1">
        <f t="array" ref="BC931">K931/IF($L931&gt;0, INDEX($AO$23:$AU$77, $L931+20, $AD931), 1)</f>
        <v>0</v>
      </c>
      <c r="BD931" s="237">
        <f t="shared" si="790"/>
        <v>0</v>
      </c>
      <c r="BE931" s="236">
        <v>35</v>
      </c>
      <c r="BF931" s="237">
        <f t="shared" si="791"/>
        <v>52.55</v>
      </c>
      <c r="BG931" s="253">
        <f t="shared" si="792"/>
        <v>2.7676728869374316</v>
      </c>
      <c r="BH931" s="253" cm="1">
        <f t="array" ref="BH931">$BC931 * SUMPRODUCT(INDEX($AL$77:$AN$82,,$AE931),INDEX($AO$77:$AU$82,,$AD931), N($AK$77:$AK$82&gt;$AI931)) / BG931 / 1000</f>
        <v>0</v>
      </c>
      <c r="BI931" s="250">
        <f t="shared" si="816"/>
        <v>30</v>
      </c>
      <c r="BJ931" s="237">
        <f t="shared" si="793"/>
        <v>46.033333333333331</v>
      </c>
      <c r="BK931" s="253">
        <f t="shared" si="794"/>
        <v>3.2297395388556791</v>
      </c>
      <c r="BL931" s="253" cm="1">
        <f t="array" ref="BL931">$BC931 * IF($AD931&lt;=2,
SUMPRODUCT(INDEX($AL$72:$AN$76,,$AE931), INDEX($AO$72:$AU$76,,$AD931), 1 / ($AV$72:$AV$76*BK931 + (1-$AV$72:$AV$76)*BG931), N($AK$72:$AK$76&gt;$AI931)),
SUMPRODUCT(INDEX($AL$67:$AN$76,,$AE931), INDEX($AO$67:$AU$76,,$AD931), 1 / ($AW$67:$AW$76*BK931 + (1-$AW$67:$AW$76)*BG931), N($AK$67:$AK$76&gt;$AI931))
) / 1000</f>
        <v>0</v>
      </c>
      <c r="BM931" s="250">
        <f t="shared" si="817"/>
        <v>25</v>
      </c>
      <c r="BN931" s="237">
        <f t="shared" si="795"/>
        <v>39.516666666666666</v>
      </c>
      <c r="BO931" s="253">
        <f t="shared" si="796"/>
        <v>3.877011788826243</v>
      </c>
      <c r="BP931" s="253" cm="1">
        <f t="array" ref="BP931">$BC931 * IF($AD931&lt;=2,
SUMPRODUCT(INDEX($AL$67:$AN$71,,$AE931), INDEX($AO$67:$AU$71,,$AD931), 1 / ($AV$67:$AV$71*BO931 + (1-$AV$67:$AV$71)*BK931), N($AK$67:$AK$71&gt;$AI931)),
SUMPRODUCT(INDEX($AL$57:$AN$66,,$AE931), INDEX($AO$57:$AU$66,,$AD931), 1 / ($AW$57:$AW$66*BO931 + (1-$AW$57:$AW$66)*BK931), N($AK$57:$AK$66&gt;$AI931))
) / 1000</f>
        <v>0</v>
      </c>
      <c r="BQ931" s="250">
        <f t="shared" si="818"/>
        <v>20</v>
      </c>
      <c r="BR931" s="237">
        <f t="shared" si="797"/>
        <v>33</v>
      </c>
      <c r="BS931" s="253">
        <f t="shared" si="798"/>
        <v>4.8487499999999999</v>
      </c>
      <c r="BT931" s="253" cm="1">
        <f t="array" ref="BT931">$BC931 * IF($AD931&lt;=2,
SUMPRODUCT(INDEX($AL$62:$AN$66,,$AE931), INDEX($AO$62:$AU$66,,$AD931), 1 / ($AV$62:$AV$66*BS931 + (1-$AV$62:$AV$66)*BO931), N($AK$62:$AK$66&gt;$AI931)),
SUMPRODUCT(INDEX($AL$47:$AN$56,,$AE931), INDEX($AO$47:$AU$56,,$AD931), 1 / ($AW$47:$AW$56*BS931 + (1-$AW$47:$AW$56)*BO931), N($AK$47:$AK$56&gt;$AI931))
) / 1000</f>
        <v>0</v>
      </c>
      <c r="BU931" s="253" cm="1">
        <f t="array" ref="BU931">$BC931 * IF($AD931&lt;=2,
SUMPRODUCT(INDEX($AL$23:$AN$61,,$AE931), INDEX($AO$23:$AU$61,,$AD931), 1 / ($AV$23:$AV$61*BS931), N($AK$23:$AK$61&gt;$AI931)),
SUMPRODUCT(INDEX($AL$23:$AN$46,,$AE931), INDEX($AO$23:$AU$46,,$AD931), 1 / ($AW$23:$AW$46*BS931), N($AK$23:$AK$46&gt;$AI931))
) / 1000</f>
        <v>0</v>
      </c>
      <c r="BV931" s="237">
        <f t="shared" si="799"/>
        <v>0</v>
      </c>
      <c r="BW931" s="210"/>
      <c r="BX931" s="237">
        <f t="shared" si="800"/>
        <v>0</v>
      </c>
      <c r="BY931" s="236">
        <v>35</v>
      </c>
      <c r="BZ931" s="237">
        <f t="shared" si="801"/>
        <v>48</v>
      </c>
      <c r="CA931" s="253">
        <f t="shared" si="802"/>
        <v>3.0748170731707316</v>
      </c>
      <c r="CB931" s="253" cm="1">
        <f t="array" ref="CB931">$BC931 * SUMPRODUCT(INDEX($AL$77:$AN$82,,$AE931),INDEX($AO$77:$AU$82,,$AD931), N($AK$77:$AK$82&gt;$AI931)) / CA931 / 1000</f>
        <v>0</v>
      </c>
      <c r="CC931" s="250">
        <f t="shared" si="819"/>
        <v>30</v>
      </c>
      <c r="CD931" s="237">
        <f t="shared" si="803"/>
        <v>43</v>
      </c>
      <c r="CE931" s="253">
        <f t="shared" si="804"/>
        <v>3.5018750000000001</v>
      </c>
      <c r="CF931" s="253" cm="1">
        <f t="array" ref="CF931">$BC931 * IF($AD931&lt;=2,
SUMPRODUCT(INDEX($AL$72:$AN$76,,$AE931), INDEX($AO$72:$AU$76,,$AD931), 1 / ($AV$72:$AV$76*CE931 + (1-$AV$72:$AV$76)*CA931), N($AK$72:$AK$76&gt;$AI931)),
SUMPRODUCT(INDEX($AL$67:$AN$76,,$AE931), INDEX($AO$67:$AU$76,,$AD931), 1 / ($AW$67:$AW$76*CE931 + (1-$AW$67:$AW$76)*CA931), N($AK$67:$AK$76&gt;$AI931))
) / 1000</f>
        <v>0</v>
      </c>
      <c r="CG931" s="250">
        <f t="shared" si="820"/>
        <v>25</v>
      </c>
      <c r="CH931" s="237">
        <f t="shared" si="805"/>
        <v>38</v>
      </c>
      <c r="CI931" s="253">
        <f t="shared" si="806"/>
        <v>4.0666935483870965</v>
      </c>
      <c r="CJ931" s="253" cm="1">
        <f t="array" ref="CJ931">$BC931 * IF($AD931&lt;=2,
SUMPRODUCT(INDEX($AL$67:$AN$71,,$AE931), INDEX($AO$67:$AU$71,,$AD931), 1 / ($AV$67:$AV$71*CI931 + (1-$AV$67:$AV$71)*CE931), N($AK$67:$AK$71&gt;$AI931)),
SUMPRODUCT(INDEX($AL$57:$AN$66,,$AE931), INDEX($AO$57:$AU$66,,$AD931), 1 / ($AW$57:$AW$66*CI931 + (1-$AW$57:$AW$66)*CE931), N($AK$57:$AK$66&gt;$AI931))
) / 1000</f>
        <v>0</v>
      </c>
      <c r="CK931" s="250">
        <f t="shared" si="821"/>
        <v>20</v>
      </c>
      <c r="CL931" s="237">
        <f t="shared" si="807"/>
        <v>33</v>
      </c>
      <c r="CM931" s="253">
        <f t="shared" si="808"/>
        <v>4.8487499999999999</v>
      </c>
      <c r="CN931" s="253" cm="1">
        <f t="array" ref="CN931">$BC931 * IF($AD931&lt;=2,
SUMPRODUCT(INDEX($AL$62:$AN$66,,$AE931), INDEX($AO$62:$AU$66,,$AD931), 1 / ($AV$62:$AV$66*CM931 + (1-$AV$62:$AV$66)*CI931), N($AK$62:$AK$66&gt;$AI931)),
SUMPRODUCT(INDEX($AL$47:$AN$56,,$AE931), INDEX($AO$47:$AU$56,,$AD931), 1 / ($AW$47:$AW$56*CM931 + (1-$AW$47:$AW$56)*CI931), N($AK$47:$AK$56&gt;$AI931))
) / 1000</f>
        <v>0</v>
      </c>
      <c r="CO931" s="253" cm="1">
        <f t="array" ref="CO931">$BC931 * IF($AD931&lt;=2,
SUMPRODUCT(INDEX($AL$23:$AN$61,,$AE931), INDEX($AO$23:$AU$61,,$AD931), 1 / ($AV$23:$AV$61*CM931), N($AK$23:$AK$61&gt;$AI931)),
SUMPRODUCT(INDEX($AL$23:$AN$46,,$AE931), INDEX($AO$23:$AU$46,,$AD931), 1 / ($AW$23:$AW$46*CM931), N($AK$23:$AK$46&gt;$AI931))
) / 1000</f>
        <v>0</v>
      </c>
      <c r="CP931" s="237">
        <f t="shared" si="809"/>
        <v>0</v>
      </c>
      <c r="CQ931" s="210"/>
    </row>
    <row r="932" spans="1:95" s="76" customFormat="1" ht="14.25" customHeight="1" x14ac:dyDescent="0.2">
      <c r="A932" s="238" t="b">
        <f t="shared" si="813"/>
        <v>0</v>
      </c>
      <c r="B932" s="239">
        <v>910</v>
      </c>
      <c r="C932" s="258"/>
      <c r="D932" s="258"/>
      <c r="E932" s="240"/>
      <c r="F932" s="241" t="str">
        <f>IF(ISBLANK(E932), "", VLOOKUP(E932, Z!$A$2:$C$4127, 3, FALSE))</f>
        <v/>
      </c>
      <c r="G932" s="242"/>
      <c r="H932" s="242"/>
      <c r="I932" s="243"/>
      <c r="J932" s="244"/>
      <c r="K932" s="259"/>
      <c r="L932" s="260"/>
      <c r="M932" s="247" t="str" cm="1">
        <f t="array" ref="M932">IF($K932&gt;0, INDEX(Clean,1+AG932,$C$1), "")</f>
        <v/>
      </c>
      <c r="N932" s="245"/>
      <c r="O932" s="245"/>
      <c r="P932" s="246"/>
      <c r="Q932" s="248">
        <f t="shared" si="786"/>
        <v>0</v>
      </c>
      <c r="R932" s="247" t="str" cm="1">
        <f t="array" ref="R932">IF($K932&gt;0, INDEX(Clean,1+AH932,$C$1), "")</f>
        <v/>
      </c>
      <c r="S932" s="245"/>
      <c r="T932" s="245"/>
      <c r="U932" s="246"/>
      <c r="V932" s="248">
        <f t="shared" si="787"/>
        <v>0</v>
      </c>
      <c r="W932" s="261"/>
      <c r="X932" s="258"/>
      <c r="Y932" s="240"/>
      <c r="Z932" s="241" t="str">
        <f>IF(ISBLANK(Y932), "", VLOOKUP(Y932, Z!$A$2:$C$4127, 3, FALSE))</f>
        <v/>
      </c>
      <c r="AA932" s="262"/>
      <c r="AB932" s="249">
        <f t="shared" si="822"/>
        <v>0</v>
      </c>
      <c r="AC932" s="210"/>
      <c r="AD932" s="236">
        <f t="shared" si="810"/>
        <v>1</v>
      </c>
      <c r="AE932" s="236">
        <f t="shared" si="811"/>
        <v>1</v>
      </c>
      <c r="AF932" s="236">
        <f t="shared" si="812"/>
        <v>0</v>
      </c>
      <c r="AG932" s="236">
        <v>1</v>
      </c>
      <c r="AH932" s="236">
        <v>0</v>
      </c>
      <c r="AI932" s="236">
        <f t="shared" si="788"/>
        <v>-100</v>
      </c>
      <c r="AJ932" s="210"/>
      <c r="AK932" s="254"/>
      <c r="AL932" s="254"/>
      <c r="AM932" s="255"/>
      <c r="AN932" s="255"/>
      <c r="AO932" s="255"/>
      <c r="AP932" s="255"/>
      <c r="AQ932" s="255"/>
      <c r="AR932" s="255"/>
      <c r="AS932" s="255"/>
      <c r="AT932" s="255"/>
      <c r="AU932" s="255"/>
      <c r="AV932" s="255"/>
      <c r="AW932" s="255"/>
      <c r="AX932" s="210"/>
      <c r="AY932" s="236" cm="1">
        <f t="array" ref="AY932">INDEX(Use, $AD932, 4)</f>
        <v>7</v>
      </c>
      <c r="AZ932" s="236">
        <f t="shared" si="789"/>
        <v>32</v>
      </c>
      <c r="BA932" s="236">
        <f t="shared" si="814"/>
        <v>13</v>
      </c>
      <c r="BB932" s="236">
        <f t="shared" si="815"/>
        <v>0</v>
      </c>
      <c r="BC932" s="252" cm="1">
        <f t="array" ref="BC932">K932/IF($L932&gt;0, INDEX($AO$23:$AU$77, $L932+20, $AD932), 1)</f>
        <v>0</v>
      </c>
      <c r="BD932" s="237">
        <f t="shared" si="790"/>
        <v>0</v>
      </c>
      <c r="BE932" s="236">
        <v>35</v>
      </c>
      <c r="BF932" s="237">
        <f t="shared" si="791"/>
        <v>52.55</v>
      </c>
      <c r="BG932" s="253">
        <f t="shared" si="792"/>
        <v>2.7676728869374316</v>
      </c>
      <c r="BH932" s="253" cm="1">
        <f t="array" ref="BH932">$BC932 * SUMPRODUCT(INDEX($AL$77:$AN$82,,$AE932),INDEX($AO$77:$AU$82,,$AD932), N($AK$77:$AK$82&gt;$AI932)) / BG932 / 1000</f>
        <v>0</v>
      </c>
      <c r="BI932" s="250">
        <f t="shared" si="816"/>
        <v>30</v>
      </c>
      <c r="BJ932" s="237">
        <f t="shared" si="793"/>
        <v>46.033333333333331</v>
      </c>
      <c r="BK932" s="253">
        <f t="shared" si="794"/>
        <v>3.2297395388556791</v>
      </c>
      <c r="BL932" s="253" cm="1">
        <f t="array" ref="BL932">$BC932 * IF($AD932&lt;=2,
SUMPRODUCT(INDEX($AL$72:$AN$76,,$AE932), INDEX($AO$72:$AU$76,,$AD932), 1 / ($AV$72:$AV$76*BK932 + (1-$AV$72:$AV$76)*BG932), N($AK$72:$AK$76&gt;$AI932)),
SUMPRODUCT(INDEX($AL$67:$AN$76,,$AE932), INDEX($AO$67:$AU$76,,$AD932), 1 / ($AW$67:$AW$76*BK932 + (1-$AW$67:$AW$76)*BG932), N($AK$67:$AK$76&gt;$AI932))
) / 1000</f>
        <v>0</v>
      </c>
      <c r="BM932" s="250">
        <f t="shared" si="817"/>
        <v>25</v>
      </c>
      <c r="BN932" s="237">
        <f t="shared" si="795"/>
        <v>39.516666666666666</v>
      </c>
      <c r="BO932" s="253">
        <f t="shared" si="796"/>
        <v>3.877011788826243</v>
      </c>
      <c r="BP932" s="253" cm="1">
        <f t="array" ref="BP932">$BC932 * IF($AD932&lt;=2,
SUMPRODUCT(INDEX($AL$67:$AN$71,,$AE932), INDEX($AO$67:$AU$71,,$AD932), 1 / ($AV$67:$AV$71*BO932 + (1-$AV$67:$AV$71)*BK932), N($AK$67:$AK$71&gt;$AI932)),
SUMPRODUCT(INDEX($AL$57:$AN$66,,$AE932), INDEX($AO$57:$AU$66,,$AD932), 1 / ($AW$57:$AW$66*BO932 + (1-$AW$57:$AW$66)*BK932), N($AK$57:$AK$66&gt;$AI932))
) / 1000</f>
        <v>0</v>
      </c>
      <c r="BQ932" s="250">
        <f t="shared" si="818"/>
        <v>20</v>
      </c>
      <c r="BR932" s="237">
        <f t="shared" si="797"/>
        <v>33</v>
      </c>
      <c r="BS932" s="253">
        <f t="shared" si="798"/>
        <v>4.8487499999999999</v>
      </c>
      <c r="BT932" s="253" cm="1">
        <f t="array" ref="BT932">$BC932 * IF($AD932&lt;=2,
SUMPRODUCT(INDEX($AL$62:$AN$66,,$AE932), INDEX($AO$62:$AU$66,,$AD932), 1 / ($AV$62:$AV$66*BS932 + (1-$AV$62:$AV$66)*BO932), N($AK$62:$AK$66&gt;$AI932)),
SUMPRODUCT(INDEX($AL$47:$AN$56,,$AE932), INDEX($AO$47:$AU$56,,$AD932), 1 / ($AW$47:$AW$56*BS932 + (1-$AW$47:$AW$56)*BO932), N($AK$47:$AK$56&gt;$AI932))
) / 1000</f>
        <v>0</v>
      </c>
      <c r="BU932" s="253" cm="1">
        <f t="array" ref="BU932">$BC932 * IF($AD932&lt;=2,
SUMPRODUCT(INDEX($AL$23:$AN$61,,$AE932), INDEX($AO$23:$AU$61,,$AD932), 1 / ($AV$23:$AV$61*BS932), N($AK$23:$AK$61&gt;$AI932)),
SUMPRODUCT(INDEX($AL$23:$AN$46,,$AE932), INDEX($AO$23:$AU$46,,$AD932), 1 / ($AW$23:$AW$46*BS932), N($AK$23:$AK$46&gt;$AI932))
) / 1000</f>
        <v>0</v>
      </c>
      <c r="BV932" s="237">
        <f t="shared" si="799"/>
        <v>0</v>
      </c>
      <c r="BW932" s="210"/>
      <c r="BX932" s="237">
        <f t="shared" si="800"/>
        <v>0</v>
      </c>
      <c r="BY932" s="236">
        <v>35</v>
      </c>
      <c r="BZ932" s="237">
        <f t="shared" si="801"/>
        <v>48</v>
      </c>
      <c r="CA932" s="253">
        <f t="shared" si="802"/>
        <v>3.0748170731707316</v>
      </c>
      <c r="CB932" s="253" cm="1">
        <f t="array" ref="CB932">$BC932 * SUMPRODUCT(INDEX($AL$77:$AN$82,,$AE932),INDEX($AO$77:$AU$82,,$AD932), N($AK$77:$AK$82&gt;$AI932)) / CA932 / 1000</f>
        <v>0</v>
      </c>
      <c r="CC932" s="250">
        <f t="shared" si="819"/>
        <v>30</v>
      </c>
      <c r="CD932" s="237">
        <f t="shared" si="803"/>
        <v>43</v>
      </c>
      <c r="CE932" s="253">
        <f t="shared" si="804"/>
        <v>3.5018750000000001</v>
      </c>
      <c r="CF932" s="253" cm="1">
        <f t="array" ref="CF932">$BC932 * IF($AD932&lt;=2,
SUMPRODUCT(INDEX($AL$72:$AN$76,,$AE932), INDEX($AO$72:$AU$76,,$AD932), 1 / ($AV$72:$AV$76*CE932 + (1-$AV$72:$AV$76)*CA932), N($AK$72:$AK$76&gt;$AI932)),
SUMPRODUCT(INDEX($AL$67:$AN$76,,$AE932), INDEX($AO$67:$AU$76,,$AD932), 1 / ($AW$67:$AW$76*CE932 + (1-$AW$67:$AW$76)*CA932), N($AK$67:$AK$76&gt;$AI932))
) / 1000</f>
        <v>0</v>
      </c>
      <c r="CG932" s="250">
        <f t="shared" si="820"/>
        <v>25</v>
      </c>
      <c r="CH932" s="237">
        <f t="shared" si="805"/>
        <v>38</v>
      </c>
      <c r="CI932" s="253">
        <f t="shared" si="806"/>
        <v>4.0666935483870965</v>
      </c>
      <c r="CJ932" s="253" cm="1">
        <f t="array" ref="CJ932">$BC932 * IF($AD932&lt;=2,
SUMPRODUCT(INDEX($AL$67:$AN$71,,$AE932), INDEX($AO$67:$AU$71,,$AD932), 1 / ($AV$67:$AV$71*CI932 + (1-$AV$67:$AV$71)*CE932), N($AK$67:$AK$71&gt;$AI932)),
SUMPRODUCT(INDEX($AL$57:$AN$66,,$AE932), INDEX($AO$57:$AU$66,,$AD932), 1 / ($AW$57:$AW$66*CI932 + (1-$AW$57:$AW$66)*CE932), N($AK$57:$AK$66&gt;$AI932))
) / 1000</f>
        <v>0</v>
      </c>
      <c r="CK932" s="250">
        <f t="shared" si="821"/>
        <v>20</v>
      </c>
      <c r="CL932" s="237">
        <f t="shared" si="807"/>
        <v>33</v>
      </c>
      <c r="CM932" s="253">
        <f t="shared" si="808"/>
        <v>4.8487499999999999</v>
      </c>
      <c r="CN932" s="253" cm="1">
        <f t="array" ref="CN932">$BC932 * IF($AD932&lt;=2,
SUMPRODUCT(INDEX($AL$62:$AN$66,,$AE932), INDEX($AO$62:$AU$66,,$AD932), 1 / ($AV$62:$AV$66*CM932 + (1-$AV$62:$AV$66)*CI932), N($AK$62:$AK$66&gt;$AI932)),
SUMPRODUCT(INDEX($AL$47:$AN$56,,$AE932), INDEX($AO$47:$AU$56,,$AD932), 1 / ($AW$47:$AW$56*CM932 + (1-$AW$47:$AW$56)*CI932), N($AK$47:$AK$56&gt;$AI932))
) / 1000</f>
        <v>0</v>
      </c>
      <c r="CO932" s="253" cm="1">
        <f t="array" ref="CO932">$BC932 * IF($AD932&lt;=2,
SUMPRODUCT(INDEX($AL$23:$AN$61,,$AE932), INDEX($AO$23:$AU$61,,$AD932), 1 / ($AV$23:$AV$61*CM932), N($AK$23:$AK$61&gt;$AI932)),
SUMPRODUCT(INDEX($AL$23:$AN$46,,$AE932), INDEX($AO$23:$AU$46,,$AD932), 1 / ($AW$23:$AW$46*CM932), N($AK$23:$AK$46&gt;$AI932))
) / 1000</f>
        <v>0</v>
      </c>
      <c r="CP932" s="237">
        <f t="shared" si="809"/>
        <v>0</v>
      </c>
      <c r="CQ932" s="210"/>
    </row>
    <row r="933" spans="1:95" s="76" customFormat="1" ht="14.25" customHeight="1" x14ac:dyDescent="0.2">
      <c r="A933" s="238" t="b">
        <f t="shared" si="813"/>
        <v>0</v>
      </c>
      <c r="B933" s="239">
        <v>911</v>
      </c>
      <c r="C933" s="258"/>
      <c r="D933" s="258"/>
      <c r="E933" s="240"/>
      <c r="F933" s="241" t="str">
        <f>IF(ISBLANK(E933), "", VLOOKUP(E933, Z!$A$2:$C$4127, 3, FALSE))</f>
        <v/>
      </c>
      <c r="G933" s="242"/>
      <c r="H933" s="242"/>
      <c r="I933" s="243"/>
      <c r="J933" s="244"/>
      <c r="K933" s="259"/>
      <c r="L933" s="260"/>
      <c r="M933" s="247" t="str" cm="1">
        <f t="array" ref="M933">IF($K933&gt;0, INDEX(Clean,1+AG933,$C$1), "")</f>
        <v/>
      </c>
      <c r="N933" s="245"/>
      <c r="O933" s="245"/>
      <c r="P933" s="246"/>
      <c r="Q933" s="248">
        <f t="shared" si="786"/>
        <v>0</v>
      </c>
      <c r="R933" s="247" t="str" cm="1">
        <f t="array" ref="R933">IF($K933&gt;0, INDEX(Clean,1+AH933,$C$1), "")</f>
        <v/>
      </c>
      <c r="S933" s="245"/>
      <c r="T933" s="245"/>
      <c r="U933" s="246"/>
      <c r="V933" s="248">
        <f t="shared" si="787"/>
        <v>0</v>
      </c>
      <c r="W933" s="261"/>
      <c r="X933" s="258"/>
      <c r="Y933" s="240"/>
      <c r="Z933" s="241" t="str">
        <f>IF(ISBLANK(Y933), "", VLOOKUP(Y933, Z!$A$2:$C$4127, 3, FALSE))</f>
        <v/>
      </c>
      <c r="AA933" s="262"/>
      <c r="AB933" s="249">
        <f t="shared" si="822"/>
        <v>0</v>
      </c>
      <c r="AC933" s="210"/>
      <c r="AD933" s="236">
        <f t="shared" si="810"/>
        <v>1</v>
      </c>
      <c r="AE933" s="236">
        <f t="shared" si="811"/>
        <v>1</v>
      </c>
      <c r="AF933" s="236">
        <f t="shared" si="812"/>
        <v>0</v>
      </c>
      <c r="AG933" s="236">
        <v>1</v>
      </c>
      <c r="AH933" s="236">
        <v>0</v>
      </c>
      <c r="AI933" s="236">
        <f t="shared" si="788"/>
        <v>-100</v>
      </c>
      <c r="AJ933" s="210"/>
      <c r="AK933" s="254"/>
      <c r="AL933" s="254"/>
      <c r="AM933" s="255"/>
      <c r="AN933" s="255"/>
      <c r="AO933" s="255"/>
      <c r="AP933" s="255"/>
      <c r="AQ933" s="255"/>
      <c r="AR933" s="255"/>
      <c r="AS933" s="255"/>
      <c r="AT933" s="255"/>
      <c r="AU933" s="255"/>
      <c r="AV933" s="255"/>
      <c r="AW933" s="255"/>
      <c r="AX933" s="210"/>
      <c r="AY933" s="236" cm="1">
        <f t="array" ref="AY933">INDEX(Use, $AD933, 4)</f>
        <v>7</v>
      </c>
      <c r="AZ933" s="236">
        <f t="shared" si="789"/>
        <v>32</v>
      </c>
      <c r="BA933" s="236">
        <f t="shared" si="814"/>
        <v>13</v>
      </c>
      <c r="BB933" s="236">
        <f t="shared" si="815"/>
        <v>0</v>
      </c>
      <c r="BC933" s="252" cm="1">
        <f t="array" ref="BC933">K933/IF($L933&gt;0, INDEX($AO$23:$AU$77, $L933+20, $AD933), 1)</f>
        <v>0</v>
      </c>
      <c r="BD933" s="237">
        <f t="shared" si="790"/>
        <v>0</v>
      </c>
      <c r="BE933" s="236">
        <v>35</v>
      </c>
      <c r="BF933" s="237">
        <f t="shared" si="791"/>
        <v>52.55</v>
      </c>
      <c r="BG933" s="253">
        <f t="shared" si="792"/>
        <v>2.7676728869374316</v>
      </c>
      <c r="BH933" s="253" cm="1">
        <f t="array" ref="BH933">$BC933 * SUMPRODUCT(INDEX($AL$77:$AN$82,,$AE933),INDEX($AO$77:$AU$82,,$AD933), N($AK$77:$AK$82&gt;$AI933)) / BG933 / 1000</f>
        <v>0</v>
      </c>
      <c r="BI933" s="250">
        <f t="shared" si="816"/>
        <v>30</v>
      </c>
      <c r="BJ933" s="237">
        <f t="shared" si="793"/>
        <v>46.033333333333331</v>
      </c>
      <c r="BK933" s="253">
        <f t="shared" si="794"/>
        <v>3.2297395388556791</v>
      </c>
      <c r="BL933" s="253" cm="1">
        <f t="array" ref="BL933">$BC933 * IF($AD933&lt;=2,
SUMPRODUCT(INDEX($AL$72:$AN$76,,$AE933), INDEX($AO$72:$AU$76,,$AD933), 1 / ($AV$72:$AV$76*BK933 + (1-$AV$72:$AV$76)*BG933), N($AK$72:$AK$76&gt;$AI933)),
SUMPRODUCT(INDEX($AL$67:$AN$76,,$AE933), INDEX($AO$67:$AU$76,,$AD933), 1 / ($AW$67:$AW$76*BK933 + (1-$AW$67:$AW$76)*BG933), N($AK$67:$AK$76&gt;$AI933))
) / 1000</f>
        <v>0</v>
      </c>
      <c r="BM933" s="250">
        <f t="shared" si="817"/>
        <v>25</v>
      </c>
      <c r="BN933" s="237">
        <f t="shared" si="795"/>
        <v>39.516666666666666</v>
      </c>
      <c r="BO933" s="253">
        <f t="shared" si="796"/>
        <v>3.877011788826243</v>
      </c>
      <c r="BP933" s="253" cm="1">
        <f t="array" ref="BP933">$BC933 * IF($AD933&lt;=2,
SUMPRODUCT(INDEX($AL$67:$AN$71,,$AE933), INDEX($AO$67:$AU$71,,$AD933), 1 / ($AV$67:$AV$71*BO933 + (1-$AV$67:$AV$71)*BK933), N($AK$67:$AK$71&gt;$AI933)),
SUMPRODUCT(INDEX($AL$57:$AN$66,,$AE933), INDEX($AO$57:$AU$66,,$AD933), 1 / ($AW$57:$AW$66*BO933 + (1-$AW$57:$AW$66)*BK933), N($AK$57:$AK$66&gt;$AI933))
) / 1000</f>
        <v>0</v>
      </c>
      <c r="BQ933" s="250">
        <f t="shared" si="818"/>
        <v>20</v>
      </c>
      <c r="BR933" s="237">
        <f t="shared" si="797"/>
        <v>33</v>
      </c>
      <c r="BS933" s="253">
        <f t="shared" si="798"/>
        <v>4.8487499999999999</v>
      </c>
      <c r="BT933" s="253" cm="1">
        <f t="array" ref="BT933">$BC933 * IF($AD933&lt;=2,
SUMPRODUCT(INDEX($AL$62:$AN$66,,$AE933), INDEX($AO$62:$AU$66,,$AD933), 1 / ($AV$62:$AV$66*BS933 + (1-$AV$62:$AV$66)*BO933), N($AK$62:$AK$66&gt;$AI933)),
SUMPRODUCT(INDEX($AL$47:$AN$56,,$AE933), INDEX($AO$47:$AU$56,,$AD933), 1 / ($AW$47:$AW$56*BS933 + (1-$AW$47:$AW$56)*BO933), N($AK$47:$AK$56&gt;$AI933))
) / 1000</f>
        <v>0</v>
      </c>
      <c r="BU933" s="253" cm="1">
        <f t="array" ref="BU933">$BC933 * IF($AD933&lt;=2,
SUMPRODUCT(INDEX($AL$23:$AN$61,,$AE933), INDEX($AO$23:$AU$61,,$AD933), 1 / ($AV$23:$AV$61*BS933), N($AK$23:$AK$61&gt;$AI933)),
SUMPRODUCT(INDEX($AL$23:$AN$46,,$AE933), INDEX($AO$23:$AU$46,,$AD933), 1 / ($AW$23:$AW$46*BS933), N($AK$23:$AK$46&gt;$AI933))
) / 1000</f>
        <v>0</v>
      </c>
      <c r="BV933" s="237">
        <f t="shared" si="799"/>
        <v>0</v>
      </c>
      <c r="BW933" s="210"/>
      <c r="BX933" s="237">
        <f t="shared" si="800"/>
        <v>0</v>
      </c>
      <c r="BY933" s="236">
        <v>35</v>
      </c>
      <c r="BZ933" s="237">
        <f t="shared" si="801"/>
        <v>48</v>
      </c>
      <c r="CA933" s="253">
        <f t="shared" si="802"/>
        <v>3.0748170731707316</v>
      </c>
      <c r="CB933" s="253" cm="1">
        <f t="array" ref="CB933">$BC933 * SUMPRODUCT(INDEX($AL$77:$AN$82,,$AE933),INDEX($AO$77:$AU$82,,$AD933), N($AK$77:$AK$82&gt;$AI933)) / CA933 / 1000</f>
        <v>0</v>
      </c>
      <c r="CC933" s="250">
        <f t="shared" si="819"/>
        <v>30</v>
      </c>
      <c r="CD933" s="237">
        <f t="shared" si="803"/>
        <v>43</v>
      </c>
      <c r="CE933" s="253">
        <f t="shared" si="804"/>
        <v>3.5018750000000001</v>
      </c>
      <c r="CF933" s="253" cm="1">
        <f t="array" ref="CF933">$BC933 * IF($AD933&lt;=2,
SUMPRODUCT(INDEX($AL$72:$AN$76,,$AE933), INDEX($AO$72:$AU$76,,$AD933), 1 / ($AV$72:$AV$76*CE933 + (1-$AV$72:$AV$76)*CA933), N($AK$72:$AK$76&gt;$AI933)),
SUMPRODUCT(INDEX($AL$67:$AN$76,,$AE933), INDEX($AO$67:$AU$76,,$AD933), 1 / ($AW$67:$AW$76*CE933 + (1-$AW$67:$AW$76)*CA933), N($AK$67:$AK$76&gt;$AI933))
) / 1000</f>
        <v>0</v>
      </c>
      <c r="CG933" s="250">
        <f t="shared" si="820"/>
        <v>25</v>
      </c>
      <c r="CH933" s="237">
        <f t="shared" si="805"/>
        <v>38</v>
      </c>
      <c r="CI933" s="253">
        <f t="shared" si="806"/>
        <v>4.0666935483870965</v>
      </c>
      <c r="CJ933" s="253" cm="1">
        <f t="array" ref="CJ933">$BC933 * IF($AD933&lt;=2,
SUMPRODUCT(INDEX($AL$67:$AN$71,,$AE933), INDEX($AO$67:$AU$71,,$AD933), 1 / ($AV$67:$AV$71*CI933 + (1-$AV$67:$AV$71)*CE933), N($AK$67:$AK$71&gt;$AI933)),
SUMPRODUCT(INDEX($AL$57:$AN$66,,$AE933), INDEX($AO$57:$AU$66,,$AD933), 1 / ($AW$57:$AW$66*CI933 + (1-$AW$57:$AW$66)*CE933), N($AK$57:$AK$66&gt;$AI933))
) / 1000</f>
        <v>0</v>
      </c>
      <c r="CK933" s="250">
        <f t="shared" si="821"/>
        <v>20</v>
      </c>
      <c r="CL933" s="237">
        <f t="shared" si="807"/>
        <v>33</v>
      </c>
      <c r="CM933" s="253">
        <f t="shared" si="808"/>
        <v>4.8487499999999999</v>
      </c>
      <c r="CN933" s="253" cm="1">
        <f t="array" ref="CN933">$BC933 * IF($AD933&lt;=2,
SUMPRODUCT(INDEX($AL$62:$AN$66,,$AE933), INDEX($AO$62:$AU$66,,$AD933), 1 / ($AV$62:$AV$66*CM933 + (1-$AV$62:$AV$66)*CI933), N($AK$62:$AK$66&gt;$AI933)),
SUMPRODUCT(INDEX($AL$47:$AN$56,,$AE933), INDEX($AO$47:$AU$56,,$AD933), 1 / ($AW$47:$AW$56*CM933 + (1-$AW$47:$AW$56)*CI933), N($AK$47:$AK$56&gt;$AI933))
) / 1000</f>
        <v>0</v>
      </c>
      <c r="CO933" s="253" cm="1">
        <f t="array" ref="CO933">$BC933 * IF($AD933&lt;=2,
SUMPRODUCT(INDEX($AL$23:$AN$61,,$AE933), INDEX($AO$23:$AU$61,,$AD933), 1 / ($AV$23:$AV$61*CM933), N($AK$23:$AK$61&gt;$AI933)),
SUMPRODUCT(INDEX($AL$23:$AN$46,,$AE933), INDEX($AO$23:$AU$46,,$AD933), 1 / ($AW$23:$AW$46*CM933), N($AK$23:$AK$46&gt;$AI933))
) / 1000</f>
        <v>0</v>
      </c>
      <c r="CP933" s="237">
        <f t="shared" si="809"/>
        <v>0</v>
      </c>
      <c r="CQ933" s="210"/>
    </row>
    <row r="934" spans="1:95" s="76" customFormat="1" ht="14.25" customHeight="1" x14ac:dyDescent="0.2">
      <c r="A934" s="238" t="b">
        <f t="shared" si="813"/>
        <v>0</v>
      </c>
      <c r="B934" s="239">
        <v>912</v>
      </c>
      <c r="C934" s="258"/>
      <c r="D934" s="258"/>
      <c r="E934" s="240"/>
      <c r="F934" s="241" t="str">
        <f>IF(ISBLANK(E934), "", VLOOKUP(E934, Z!$A$2:$C$4127, 3, FALSE))</f>
        <v/>
      </c>
      <c r="G934" s="242"/>
      <c r="H934" s="242"/>
      <c r="I934" s="243"/>
      <c r="J934" s="244"/>
      <c r="K934" s="259"/>
      <c r="L934" s="260"/>
      <c r="M934" s="247" t="str" cm="1">
        <f t="array" ref="M934">IF($K934&gt;0, INDEX(Clean,1+AG934,$C$1), "")</f>
        <v/>
      </c>
      <c r="N934" s="245"/>
      <c r="O934" s="245"/>
      <c r="P934" s="246"/>
      <c r="Q934" s="248">
        <f t="shared" si="786"/>
        <v>0</v>
      </c>
      <c r="R934" s="247" t="str" cm="1">
        <f t="array" ref="R934">IF($K934&gt;0, INDEX(Clean,1+AH934,$C$1), "")</f>
        <v/>
      </c>
      <c r="S934" s="245"/>
      <c r="T934" s="245"/>
      <c r="U934" s="246"/>
      <c r="V934" s="248">
        <f t="shared" si="787"/>
        <v>0</v>
      </c>
      <c r="W934" s="261"/>
      <c r="X934" s="258"/>
      <c r="Y934" s="240"/>
      <c r="Z934" s="241" t="str">
        <f>IF(ISBLANK(Y934), "", VLOOKUP(Y934, Z!$A$2:$C$4127, 3, FALSE))</f>
        <v/>
      </c>
      <c r="AA934" s="262"/>
      <c r="AB934" s="249">
        <f t="shared" si="822"/>
        <v>0</v>
      </c>
      <c r="AC934" s="210"/>
      <c r="AD934" s="236">
        <f t="shared" si="810"/>
        <v>1</v>
      </c>
      <c r="AE934" s="236">
        <f t="shared" si="811"/>
        <v>1</v>
      </c>
      <c r="AF934" s="236">
        <f t="shared" si="812"/>
        <v>0</v>
      </c>
      <c r="AG934" s="236">
        <v>1</v>
      </c>
      <c r="AH934" s="236">
        <v>0</v>
      </c>
      <c r="AI934" s="236">
        <f t="shared" si="788"/>
        <v>-100</v>
      </c>
      <c r="AJ934" s="210"/>
      <c r="AK934" s="254"/>
      <c r="AL934" s="254"/>
      <c r="AM934" s="255"/>
      <c r="AN934" s="255"/>
      <c r="AO934" s="255"/>
      <c r="AP934" s="255"/>
      <c r="AQ934" s="255"/>
      <c r="AR934" s="255"/>
      <c r="AS934" s="255"/>
      <c r="AT934" s="255"/>
      <c r="AU934" s="255"/>
      <c r="AV934" s="255"/>
      <c r="AW934" s="255"/>
      <c r="AX934" s="210"/>
      <c r="AY934" s="236" cm="1">
        <f t="array" ref="AY934">INDEX(Use, $AD934, 4)</f>
        <v>7</v>
      </c>
      <c r="AZ934" s="236">
        <f t="shared" si="789"/>
        <v>32</v>
      </c>
      <c r="BA934" s="236">
        <f t="shared" si="814"/>
        <v>13</v>
      </c>
      <c r="BB934" s="236">
        <f t="shared" si="815"/>
        <v>0</v>
      </c>
      <c r="BC934" s="252" cm="1">
        <f t="array" ref="BC934">K934/IF($L934&gt;0, INDEX($AO$23:$AU$77, $L934+20, $AD934), 1)</f>
        <v>0</v>
      </c>
      <c r="BD934" s="237">
        <f t="shared" si="790"/>
        <v>0</v>
      </c>
      <c r="BE934" s="236">
        <v>35</v>
      </c>
      <c r="BF934" s="237">
        <f t="shared" si="791"/>
        <v>52.55</v>
      </c>
      <c r="BG934" s="253">
        <f t="shared" si="792"/>
        <v>2.7676728869374316</v>
      </c>
      <c r="BH934" s="253" cm="1">
        <f t="array" ref="BH934">$BC934 * SUMPRODUCT(INDEX($AL$77:$AN$82,,$AE934),INDEX($AO$77:$AU$82,,$AD934), N($AK$77:$AK$82&gt;$AI934)) / BG934 / 1000</f>
        <v>0</v>
      </c>
      <c r="BI934" s="250">
        <f t="shared" si="816"/>
        <v>30</v>
      </c>
      <c r="BJ934" s="237">
        <f t="shared" si="793"/>
        <v>46.033333333333331</v>
      </c>
      <c r="BK934" s="253">
        <f t="shared" si="794"/>
        <v>3.2297395388556791</v>
      </c>
      <c r="BL934" s="253" cm="1">
        <f t="array" ref="BL934">$BC934 * IF($AD934&lt;=2,
SUMPRODUCT(INDEX($AL$72:$AN$76,,$AE934), INDEX($AO$72:$AU$76,,$AD934), 1 / ($AV$72:$AV$76*BK934 + (1-$AV$72:$AV$76)*BG934), N($AK$72:$AK$76&gt;$AI934)),
SUMPRODUCT(INDEX($AL$67:$AN$76,,$AE934), INDEX($AO$67:$AU$76,,$AD934), 1 / ($AW$67:$AW$76*BK934 + (1-$AW$67:$AW$76)*BG934), N($AK$67:$AK$76&gt;$AI934))
) / 1000</f>
        <v>0</v>
      </c>
      <c r="BM934" s="250">
        <f t="shared" si="817"/>
        <v>25</v>
      </c>
      <c r="BN934" s="237">
        <f t="shared" si="795"/>
        <v>39.516666666666666</v>
      </c>
      <c r="BO934" s="253">
        <f t="shared" si="796"/>
        <v>3.877011788826243</v>
      </c>
      <c r="BP934" s="253" cm="1">
        <f t="array" ref="BP934">$BC934 * IF($AD934&lt;=2,
SUMPRODUCT(INDEX($AL$67:$AN$71,,$AE934), INDEX($AO$67:$AU$71,,$AD934), 1 / ($AV$67:$AV$71*BO934 + (1-$AV$67:$AV$71)*BK934), N($AK$67:$AK$71&gt;$AI934)),
SUMPRODUCT(INDEX($AL$57:$AN$66,,$AE934), INDEX($AO$57:$AU$66,,$AD934), 1 / ($AW$57:$AW$66*BO934 + (1-$AW$57:$AW$66)*BK934), N($AK$57:$AK$66&gt;$AI934))
) / 1000</f>
        <v>0</v>
      </c>
      <c r="BQ934" s="250">
        <f t="shared" si="818"/>
        <v>20</v>
      </c>
      <c r="BR934" s="237">
        <f t="shared" si="797"/>
        <v>33</v>
      </c>
      <c r="BS934" s="253">
        <f t="shared" si="798"/>
        <v>4.8487499999999999</v>
      </c>
      <c r="BT934" s="253" cm="1">
        <f t="array" ref="BT934">$BC934 * IF($AD934&lt;=2,
SUMPRODUCT(INDEX($AL$62:$AN$66,,$AE934), INDEX($AO$62:$AU$66,,$AD934), 1 / ($AV$62:$AV$66*BS934 + (1-$AV$62:$AV$66)*BO934), N($AK$62:$AK$66&gt;$AI934)),
SUMPRODUCT(INDEX($AL$47:$AN$56,,$AE934), INDEX($AO$47:$AU$56,,$AD934), 1 / ($AW$47:$AW$56*BS934 + (1-$AW$47:$AW$56)*BO934), N($AK$47:$AK$56&gt;$AI934))
) / 1000</f>
        <v>0</v>
      </c>
      <c r="BU934" s="253" cm="1">
        <f t="array" ref="BU934">$BC934 * IF($AD934&lt;=2,
SUMPRODUCT(INDEX($AL$23:$AN$61,,$AE934), INDEX($AO$23:$AU$61,,$AD934), 1 / ($AV$23:$AV$61*BS934), N($AK$23:$AK$61&gt;$AI934)),
SUMPRODUCT(INDEX($AL$23:$AN$46,,$AE934), INDEX($AO$23:$AU$46,,$AD934), 1 / ($AW$23:$AW$46*BS934), N($AK$23:$AK$46&gt;$AI934))
) / 1000</f>
        <v>0</v>
      </c>
      <c r="BV934" s="237">
        <f t="shared" si="799"/>
        <v>0</v>
      </c>
      <c r="BW934" s="210"/>
      <c r="BX934" s="237">
        <f t="shared" si="800"/>
        <v>0</v>
      </c>
      <c r="BY934" s="236">
        <v>35</v>
      </c>
      <c r="BZ934" s="237">
        <f t="shared" si="801"/>
        <v>48</v>
      </c>
      <c r="CA934" s="253">
        <f t="shared" si="802"/>
        <v>3.0748170731707316</v>
      </c>
      <c r="CB934" s="253" cm="1">
        <f t="array" ref="CB934">$BC934 * SUMPRODUCT(INDEX($AL$77:$AN$82,,$AE934),INDEX($AO$77:$AU$82,,$AD934), N($AK$77:$AK$82&gt;$AI934)) / CA934 / 1000</f>
        <v>0</v>
      </c>
      <c r="CC934" s="250">
        <f t="shared" si="819"/>
        <v>30</v>
      </c>
      <c r="CD934" s="237">
        <f t="shared" si="803"/>
        <v>43</v>
      </c>
      <c r="CE934" s="253">
        <f t="shared" si="804"/>
        <v>3.5018750000000001</v>
      </c>
      <c r="CF934" s="253" cm="1">
        <f t="array" ref="CF934">$BC934 * IF($AD934&lt;=2,
SUMPRODUCT(INDEX($AL$72:$AN$76,,$AE934), INDEX($AO$72:$AU$76,,$AD934), 1 / ($AV$72:$AV$76*CE934 + (1-$AV$72:$AV$76)*CA934), N($AK$72:$AK$76&gt;$AI934)),
SUMPRODUCT(INDEX($AL$67:$AN$76,,$AE934), INDEX($AO$67:$AU$76,,$AD934), 1 / ($AW$67:$AW$76*CE934 + (1-$AW$67:$AW$76)*CA934), N($AK$67:$AK$76&gt;$AI934))
) / 1000</f>
        <v>0</v>
      </c>
      <c r="CG934" s="250">
        <f t="shared" si="820"/>
        <v>25</v>
      </c>
      <c r="CH934" s="237">
        <f t="shared" si="805"/>
        <v>38</v>
      </c>
      <c r="CI934" s="253">
        <f t="shared" si="806"/>
        <v>4.0666935483870965</v>
      </c>
      <c r="CJ934" s="253" cm="1">
        <f t="array" ref="CJ934">$BC934 * IF($AD934&lt;=2,
SUMPRODUCT(INDEX($AL$67:$AN$71,,$AE934), INDEX($AO$67:$AU$71,,$AD934), 1 / ($AV$67:$AV$71*CI934 + (1-$AV$67:$AV$71)*CE934), N($AK$67:$AK$71&gt;$AI934)),
SUMPRODUCT(INDEX($AL$57:$AN$66,,$AE934), INDEX($AO$57:$AU$66,,$AD934), 1 / ($AW$57:$AW$66*CI934 + (1-$AW$57:$AW$66)*CE934), N($AK$57:$AK$66&gt;$AI934))
) / 1000</f>
        <v>0</v>
      </c>
      <c r="CK934" s="250">
        <f t="shared" si="821"/>
        <v>20</v>
      </c>
      <c r="CL934" s="237">
        <f t="shared" si="807"/>
        <v>33</v>
      </c>
      <c r="CM934" s="253">
        <f t="shared" si="808"/>
        <v>4.8487499999999999</v>
      </c>
      <c r="CN934" s="253" cm="1">
        <f t="array" ref="CN934">$BC934 * IF($AD934&lt;=2,
SUMPRODUCT(INDEX($AL$62:$AN$66,,$AE934), INDEX($AO$62:$AU$66,,$AD934), 1 / ($AV$62:$AV$66*CM934 + (1-$AV$62:$AV$66)*CI934), N($AK$62:$AK$66&gt;$AI934)),
SUMPRODUCT(INDEX($AL$47:$AN$56,,$AE934), INDEX($AO$47:$AU$56,,$AD934), 1 / ($AW$47:$AW$56*CM934 + (1-$AW$47:$AW$56)*CI934), N($AK$47:$AK$56&gt;$AI934))
) / 1000</f>
        <v>0</v>
      </c>
      <c r="CO934" s="253" cm="1">
        <f t="array" ref="CO934">$BC934 * IF($AD934&lt;=2,
SUMPRODUCT(INDEX($AL$23:$AN$61,,$AE934), INDEX($AO$23:$AU$61,,$AD934), 1 / ($AV$23:$AV$61*CM934), N($AK$23:$AK$61&gt;$AI934)),
SUMPRODUCT(INDEX($AL$23:$AN$46,,$AE934), INDEX($AO$23:$AU$46,,$AD934), 1 / ($AW$23:$AW$46*CM934), N($AK$23:$AK$46&gt;$AI934))
) / 1000</f>
        <v>0</v>
      </c>
      <c r="CP934" s="237">
        <f t="shared" si="809"/>
        <v>0</v>
      </c>
      <c r="CQ934" s="210"/>
    </row>
    <row r="935" spans="1:95" s="76" customFormat="1" ht="14.25" customHeight="1" x14ac:dyDescent="0.2">
      <c r="A935" s="238" t="b">
        <f t="shared" si="813"/>
        <v>0</v>
      </c>
      <c r="B935" s="239">
        <v>913</v>
      </c>
      <c r="C935" s="258"/>
      <c r="D935" s="258"/>
      <c r="E935" s="240"/>
      <c r="F935" s="241" t="str">
        <f>IF(ISBLANK(E935), "", VLOOKUP(E935, Z!$A$2:$C$4127, 3, FALSE))</f>
        <v/>
      </c>
      <c r="G935" s="242"/>
      <c r="H935" s="242"/>
      <c r="I935" s="243"/>
      <c r="J935" s="244"/>
      <c r="K935" s="259"/>
      <c r="L935" s="260"/>
      <c r="M935" s="247" t="str" cm="1">
        <f t="array" ref="M935">IF($K935&gt;0, INDEX(Clean,1+AG935,$C$1), "")</f>
        <v/>
      </c>
      <c r="N935" s="245"/>
      <c r="O935" s="245"/>
      <c r="P935" s="246"/>
      <c r="Q935" s="248">
        <f t="shared" si="786"/>
        <v>0</v>
      </c>
      <c r="R935" s="247" t="str" cm="1">
        <f t="array" ref="R935">IF($K935&gt;0, INDEX(Clean,1+AH935,$C$1), "")</f>
        <v/>
      </c>
      <c r="S935" s="245"/>
      <c r="T935" s="245"/>
      <c r="U935" s="246"/>
      <c r="V935" s="248">
        <f t="shared" si="787"/>
        <v>0</v>
      </c>
      <c r="W935" s="261"/>
      <c r="X935" s="258"/>
      <c r="Y935" s="240"/>
      <c r="Z935" s="241" t="str">
        <f>IF(ISBLANK(Y935), "", VLOOKUP(Y935, Z!$A$2:$C$4127, 3, FALSE))</f>
        <v/>
      </c>
      <c r="AA935" s="262"/>
      <c r="AB935" s="249">
        <f t="shared" si="822"/>
        <v>0</v>
      </c>
      <c r="AC935" s="210"/>
      <c r="AD935" s="236">
        <f t="shared" si="810"/>
        <v>1</v>
      </c>
      <c r="AE935" s="236">
        <f t="shared" si="811"/>
        <v>1</v>
      </c>
      <c r="AF935" s="236">
        <f t="shared" si="812"/>
        <v>0</v>
      </c>
      <c r="AG935" s="236">
        <v>1</v>
      </c>
      <c r="AH935" s="236">
        <v>0</v>
      </c>
      <c r="AI935" s="236">
        <f t="shared" si="788"/>
        <v>-100</v>
      </c>
      <c r="AJ935" s="210"/>
      <c r="AK935" s="254"/>
      <c r="AL935" s="254"/>
      <c r="AM935" s="255"/>
      <c r="AN935" s="255"/>
      <c r="AO935" s="255"/>
      <c r="AP935" s="255"/>
      <c r="AQ935" s="255"/>
      <c r="AR935" s="255"/>
      <c r="AS935" s="255"/>
      <c r="AT935" s="255"/>
      <c r="AU935" s="255"/>
      <c r="AV935" s="255"/>
      <c r="AW935" s="255"/>
      <c r="AX935" s="210"/>
      <c r="AY935" s="236" cm="1">
        <f t="array" ref="AY935">INDEX(Use, $AD935, 4)</f>
        <v>7</v>
      </c>
      <c r="AZ935" s="236">
        <f t="shared" si="789"/>
        <v>32</v>
      </c>
      <c r="BA935" s="236">
        <f t="shared" si="814"/>
        <v>13</v>
      </c>
      <c r="BB935" s="236">
        <f t="shared" si="815"/>
        <v>0</v>
      </c>
      <c r="BC935" s="252" cm="1">
        <f t="array" ref="BC935">K935/IF($L935&gt;0, INDEX($AO$23:$AU$77, $L935+20, $AD935), 1)</f>
        <v>0</v>
      </c>
      <c r="BD935" s="237">
        <f t="shared" si="790"/>
        <v>0</v>
      </c>
      <c r="BE935" s="236">
        <v>35</v>
      </c>
      <c r="BF935" s="237">
        <f t="shared" si="791"/>
        <v>52.55</v>
      </c>
      <c r="BG935" s="253">
        <f t="shared" si="792"/>
        <v>2.7676728869374316</v>
      </c>
      <c r="BH935" s="253" cm="1">
        <f t="array" ref="BH935">$BC935 * SUMPRODUCT(INDEX($AL$77:$AN$82,,$AE935),INDEX($AO$77:$AU$82,,$AD935), N($AK$77:$AK$82&gt;$AI935)) / BG935 / 1000</f>
        <v>0</v>
      </c>
      <c r="BI935" s="250">
        <f t="shared" si="816"/>
        <v>30</v>
      </c>
      <c r="BJ935" s="237">
        <f t="shared" si="793"/>
        <v>46.033333333333331</v>
      </c>
      <c r="BK935" s="253">
        <f t="shared" si="794"/>
        <v>3.2297395388556791</v>
      </c>
      <c r="BL935" s="253" cm="1">
        <f t="array" ref="BL935">$BC935 * IF($AD935&lt;=2,
SUMPRODUCT(INDEX($AL$72:$AN$76,,$AE935), INDEX($AO$72:$AU$76,,$AD935), 1 / ($AV$72:$AV$76*BK935 + (1-$AV$72:$AV$76)*BG935), N($AK$72:$AK$76&gt;$AI935)),
SUMPRODUCT(INDEX($AL$67:$AN$76,,$AE935), INDEX($AO$67:$AU$76,,$AD935), 1 / ($AW$67:$AW$76*BK935 + (1-$AW$67:$AW$76)*BG935), N($AK$67:$AK$76&gt;$AI935))
) / 1000</f>
        <v>0</v>
      </c>
      <c r="BM935" s="250">
        <f t="shared" si="817"/>
        <v>25</v>
      </c>
      <c r="BN935" s="237">
        <f t="shared" si="795"/>
        <v>39.516666666666666</v>
      </c>
      <c r="BO935" s="253">
        <f t="shared" si="796"/>
        <v>3.877011788826243</v>
      </c>
      <c r="BP935" s="253" cm="1">
        <f t="array" ref="BP935">$BC935 * IF($AD935&lt;=2,
SUMPRODUCT(INDEX($AL$67:$AN$71,,$AE935), INDEX($AO$67:$AU$71,,$AD935), 1 / ($AV$67:$AV$71*BO935 + (1-$AV$67:$AV$71)*BK935), N($AK$67:$AK$71&gt;$AI935)),
SUMPRODUCT(INDEX($AL$57:$AN$66,,$AE935), INDEX($AO$57:$AU$66,,$AD935), 1 / ($AW$57:$AW$66*BO935 + (1-$AW$57:$AW$66)*BK935), N($AK$57:$AK$66&gt;$AI935))
) / 1000</f>
        <v>0</v>
      </c>
      <c r="BQ935" s="250">
        <f t="shared" si="818"/>
        <v>20</v>
      </c>
      <c r="BR935" s="237">
        <f t="shared" si="797"/>
        <v>33</v>
      </c>
      <c r="BS935" s="253">
        <f t="shared" si="798"/>
        <v>4.8487499999999999</v>
      </c>
      <c r="BT935" s="253" cm="1">
        <f t="array" ref="BT935">$BC935 * IF($AD935&lt;=2,
SUMPRODUCT(INDEX($AL$62:$AN$66,,$AE935), INDEX($AO$62:$AU$66,,$AD935), 1 / ($AV$62:$AV$66*BS935 + (1-$AV$62:$AV$66)*BO935), N($AK$62:$AK$66&gt;$AI935)),
SUMPRODUCT(INDEX($AL$47:$AN$56,,$AE935), INDEX($AO$47:$AU$56,,$AD935), 1 / ($AW$47:$AW$56*BS935 + (1-$AW$47:$AW$56)*BO935), N($AK$47:$AK$56&gt;$AI935))
) / 1000</f>
        <v>0</v>
      </c>
      <c r="BU935" s="253" cm="1">
        <f t="array" ref="BU935">$BC935 * IF($AD935&lt;=2,
SUMPRODUCT(INDEX($AL$23:$AN$61,,$AE935), INDEX($AO$23:$AU$61,,$AD935), 1 / ($AV$23:$AV$61*BS935), N($AK$23:$AK$61&gt;$AI935)),
SUMPRODUCT(INDEX($AL$23:$AN$46,,$AE935), INDEX($AO$23:$AU$46,,$AD935), 1 / ($AW$23:$AW$46*BS935), N($AK$23:$AK$46&gt;$AI935))
) / 1000</f>
        <v>0</v>
      </c>
      <c r="BV935" s="237">
        <f t="shared" si="799"/>
        <v>0</v>
      </c>
      <c r="BW935" s="210"/>
      <c r="BX935" s="237">
        <f t="shared" si="800"/>
        <v>0</v>
      </c>
      <c r="BY935" s="236">
        <v>35</v>
      </c>
      <c r="BZ935" s="237">
        <f t="shared" si="801"/>
        <v>48</v>
      </c>
      <c r="CA935" s="253">
        <f t="shared" si="802"/>
        <v>3.0748170731707316</v>
      </c>
      <c r="CB935" s="253" cm="1">
        <f t="array" ref="CB935">$BC935 * SUMPRODUCT(INDEX($AL$77:$AN$82,,$AE935),INDEX($AO$77:$AU$82,,$AD935), N($AK$77:$AK$82&gt;$AI935)) / CA935 / 1000</f>
        <v>0</v>
      </c>
      <c r="CC935" s="250">
        <f t="shared" si="819"/>
        <v>30</v>
      </c>
      <c r="CD935" s="237">
        <f t="shared" si="803"/>
        <v>43</v>
      </c>
      <c r="CE935" s="253">
        <f t="shared" si="804"/>
        <v>3.5018750000000001</v>
      </c>
      <c r="CF935" s="253" cm="1">
        <f t="array" ref="CF935">$BC935 * IF($AD935&lt;=2,
SUMPRODUCT(INDEX($AL$72:$AN$76,,$AE935), INDEX($AO$72:$AU$76,,$AD935), 1 / ($AV$72:$AV$76*CE935 + (1-$AV$72:$AV$76)*CA935), N($AK$72:$AK$76&gt;$AI935)),
SUMPRODUCT(INDEX($AL$67:$AN$76,,$AE935), INDEX($AO$67:$AU$76,,$AD935), 1 / ($AW$67:$AW$76*CE935 + (1-$AW$67:$AW$76)*CA935), N($AK$67:$AK$76&gt;$AI935))
) / 1000</f>
        <v>0</v>
      </c>
      <c r="CG935" s="250">
        <f t="shared" si="820"/>
        <v>25</v>
      </c>
      <c r="CH935" s="237">
        <f t="shared" si="805"/>
        <v>38</v>
      </c>
      <c r="CI935" s="253">
        <f t="shared" si="806"/>
        <v>4.0666935483870965</v>
      </c>
      <c r="CJ935" s="253" cm="1">
        <f t="array" ref="CJ935">$BC935 * IF($AD935&lt;=2,
SUMPRODUCT(INDEX($AL$67:$AN$71,,$AE935), INDEX($AO$67:$AU$71,,$AD935), 1 / ($AV$67:$AV$71*CI935 + (1-$AV$67:$AV$71)*CE935), N($AK$67:$AK$71&gt;$AI935)),
SUMPRODUCT(INDEX($AL$57:$AN$66,,$AE935), INDEX($AO$57:$AU$66,,$AD935), 1 / ($AW$57:$AW$66*CI935 + (1-$AW$57:$AW$66)*CE935), N($AK$57:$AK$66&gt;$AI935))
) / 1000</f>
        <v>0</v>
      </c>
      <c r="CK935" s="250">
        <f t="shared" si="821"/>
        <v>20</v>
      </c>
      <c r="CL935" s="237">
        <f t="shared" si="807"/>
        <v>33</v>
      </c>
      <c r="CM935" s="253">
        <f t="shared" si="808"/>
        <v>4.8487499999999999</v>
      </c>
      <c r="CN935" s="253" cm="1">
        <f t="array" ref="CN935">$BC935 * IF($AD935&lt;=2,
SUMPRODUCT(INDEX($AL$62:$AN$66,,$AE935), INDEX($AO$62:$AU$66,,$AD935), 1 / ($AV$62:$AV$66*CM935 + (1-$AV$62:$AV$66)*CI935), N($AK$62:$AK$66&gt;$AI935)),
SUMPRODUCT(INDEX($AL$47:$AN$56,,$AE935), INDEX($AO$47:$AU$56,,$AD935), 1 / ($AW$47:$AW$56*CM935 + (1-$AW$47:$AW$56)*CI935), N($AK$47:$AK$56&gt;$AI935))
) / 1000</f>
        <v>0</v>
      </c>
      <c r="CO935" s="253" cm="1">
        <f t="array" ref="CO935">$BC935 * IF($AD935&lt;=2,
SUMPRODUCT(INDEX($AL$23:$AN$61,,$AE935), INDEX($AO$23:$AU$61,,$AD935), 1 / ($AV$23:$AV$61*CM935), N($AK$23:$AK$61&gt;$AI935)),
SUMPRODUCT(INDEX($AL$23:$AN$46,,$AE935), INDEX($AO$23:$AU$46,,$AD935), 1 / ($AW$23:$AW$46*CM935), N($AK$23:$AK$46&gt;$AI935))
) / 1000</f>
        <v>0</v>
      </c>
      <c r="CP935" s="237">
        <f t="shared" si="809"/>
        <v>0</v>
      </c>
      <c r="CQ935" s="210"/>
    </row>
    <row r="936" spans="1:95" s="76" customFormat="1" ht="14.25" customHeight="1" x14ac:dyDescent="0.2">
      <c r="A936" s="238" t="b">
        <f t="shared" si="813"/>
        <v>0</v>
      </c>
      <c r="B936" s="239">
        <v>914</v>
      </c>
      <c r="C936" s="258"/>
      <c r="D936" s="258"/>
      <c r="E936" s="240"/>
      <c r="F936" s="241" t="str">
        <f>IF(ISBLANK(E936), "", VLOOKUP(E936, Z!$A$2:$C$4127, 3, FALSE))</f>
        <v/>
      </c>
      <c r="G936" s="242"/>
      <c r="H936" s="242"/>
      <c r="I936" s="243"/>
      <c r="J936" s="244"/>
      <c r="K936" s="259"/>
      <c r="L936" s="260"/>
      <c r="M936" s="247" t="str" cm="1">
        <f t="array" ref="M936">IF($K936&gt;0, INDEX(Clean,1+AG936,$C$1), "")</f>
        <v/>
      </c>
      <c r="N936" s="245"/>
      <c r="O936" s="245"/>
      <c r="P936" s="246"/>
      <c r="Q936" s="248">
        <f t="shared" si="786"/>
        <v>0</v>
      </c>
      <c r="R936" s="247" t="str" cm="1">
        <f t="array" ref="R936">IF($K936&gt;0, INDEX(Clean,1+AH936,$C$1), "")</f>
        <v/>
      </c>
      <c r="S936" s="245"/>
      <c r="T936" s="245"/>
      <c r="U936" s="246"/>
      <c r="V936" s="248">
        <f t="shared" si="787"/>
        <v>0</v>
      </c>
      <c r="W936" s="261"/>
      <c r="X936" s="258"/>
      <c r="Y936" s="240"/>
      <c r="Z936" s="241" t="str">
        <f>IF(ISBLANK(Y936), "", VLOOKUP(Y936, Z!$A$2:$C$4127, 3, FALSE))</f>
        <v/>
      </c>
      <c r="AA936" s="262"/>
      <c r="AB936" s="249">
        <f t="shared" si="822"/>
        <v>0</v>
      </c>
      <c r="AC936" s="210"/>
      <c r="AD936" s="236">
        <f t="shared" si="810"/>
        <v>1</v>
      </c>
      <c r="AE936" s="236">
        <f t="shared" si="811"/>
        <v>1</v>
      </c>
      <c r="AF936" s="236">
        <f t="shared" si="812"/>
        <v>0</v>
      </c>
      <c r="AG936" s="236">
        <v>1</v>
      </c>
      <c r="AH936" s="236">
        <v>0</v>
      </c>
      <c r="AI936" s="236">
        <f t="shared" si="788"/>
        <v>-100</v>
      </c>
      <c r="AJ936" s="210"/>
      <c r="AK936" s="254"/>
      <c r="AL936" s="254"/>
      <c r="AM936" s="255"/>
      <c r="AN936" s="255"/>
      <c r="AO936" s="255"/>
      <c r="AP936" s="255"/>
      <c r="AQ936" s="255"/>
      <c r="AR936" s="255"/>
      <c r="AS936" s="255"/>
      <c r="AT936" s="255"/>
      <c r="AU936" s="255"/>
      <c r="AV936" s="255"/>
      <c r="AW936" s="255"/>
      <c r="AX936" s="210"/>
      <c r="AY936" s="236" cm="1">
        <f t="array" ref="AY936">INDEX(Use, $AD936, 4)</f>
        <v>7</v>
      </c>
      <c r="AZ936" s="236">
        <f t="shared" si="789"/>
        <v>32</v>
      </c>
      <c r="BA936" s="236">
        <f t="shared" si="814"/>
        <v>13</v>
      </c>
      <c r="BB936" s="236">
        <f t="shared" si="815"/>
        <v>0</v>
      </c>
      <c r="BC936" s="252" cm="1">
        <f t="array" ref="BC936">K936/IF($L936&gt;0, INDEX($AO$23:$AU$77, $L936+20, $AD936), 1)</f>
        <v>0</v>
      </c>
      <c r="BD936" s="237">
        <f t="shared" si="790"/>
        <v>0</v>
      </c>
      <c r="BE936" s="236">
        <v>35</v>
      </c>
      <c r="BF936" s="237">
        <f t="shared" si="791"/>
        <v>52.55</v>
      </c>
      <c r="BG936" s="253">
        <f t="shared" si="792"/>
        <v>2.7676728869374316</v>
      </c>
      <c r="BH936" s="253" cm="1">
        <f t="array" ref="BH936">$BC936 * SUMPRODUCT(INDEX($AL$77:$AN$82,,$AE936),INDEX($AO$77:$AU$82,,$AD936), N($AK$77:$AK$82&gt;$AI936)) / BG936 / 1000</f>
        <v>0</v>
      </c>
      <c r="BI936" s="250">
        <f t="shared" si="816"/>
        <v>30</v>
      </c>
      <c r="BJ936" s="237">
        <f t="shared" si="793"/>
        <v>46.033333333333331</v>
      </c>
      <c r="BK936" s="253">
        <f t="shared" si="794"/>
        <v>3.2297395388556791</v>
      </c>
      <c r="BL936" s="253" cm="1">
        <f t="array" ref="BL936">$BC936 * IF($AD936&lt;=2,
SUMPRODUCT(INDEX($AL$72:$AN$76,,$AE936), INDEX($AO$72:$AU$76,,$AD936), 1 / ($AV$72:$AV$76*BK936 + (1-$AV$72:$AV$76)*BG936), N($AK$72:$AK$76&gt;$AI936)),
SUMPRODUCT(INDEX($AL$67:$AN$76,,$AE936), INDEX($AO$67:$AU$76,,$AD936), 1 / ($AW$67:$AW$76*BK936 + (1-$AW$67:$AW$76)*BG936), N($AK$67:$AK$76&gt;$AI936))
) / 1000</f>
        <v>0</v>
      </c>
      <c r="BM936" s="250">
        <f t="shared" si="817"/>
        <v>25</v>
      </c>
      <c r="BN936" s="237">
        <f t="shared" si="795"/>
        <v>39.516666666666666</v>
      </c>
      <c r="BO936" s="253">
        <f t="shared" si="796"/>
        <v>3.877011788826243</v>
      </c>
      <c r="BP936" s="253" cm="1">
        <f t="array" ref="BP936">$BC936 * IF($AD936&lt;=2,
SUMPRODUCT(INDEX($AL$67:$AN$71,,$AE936), INDEX($AO$67:$AU$71,,$AD936), 1 / ($AV$67:$AV$71*BO936 + (1-$AV$67:$AV$71)*BK936), N($AK$67:$AK$71&gt;$AI936)),
SUMPRODUCT(INDEX($AL$57:$AN$66,,$AE936), INDEX($AO$57:$AU$66,,$AD936), 1 / ($AW$57:$AW$66*BO936 + (1-$AW$57:$AW$66)*BK936), N($AK$57:$AK$66&gt;$AI936))
) / 1000</f>
        <v>0</v>
      </c>
      <c r="BQ936" s="250">
        <f t="shared" si="818"/>
        <v>20</v>
      </c>
      <c r="BR936" s="237">
        <f t="shared" si="797"/>
        <v>33</v>
      </c>
      <c r="BS936" s="253">
        <f t="shared" si="798"/>
        <v>4.8487499999999999</v>
      </c>
      <c r="BT936" s="253" cm="1">
        <f t="array" ref="BT936">$BC936 * IF($AD936&lt;=2,
SUMPRODUCT(INDEX($AL$62:$AN$66,,$AE936), INDEX($AO$62:$AU$66,,$AD936), 1 / ($AV$62:$AV$66*BS936 + (1-$AV$62:$AV$66)*BO936), N($AK$62:$AK$66&gt;$AI936)),
SUMPRODUCT(INDEX($AL$47:$AN$56,,$AE936), INDEX($AO$47:$AU$56,,$AD936), 1 / ($AW$47:$AW$56*BS936 + (1-$AW$47:$AW$56)*BO936), N($AK$47:$AK$56&gt;$AI936))
) / 1000</f>
        <v>0</v>
      </c>
      <c r="BU936" s="253" cm="1">
        <f t="array" ref="BU936">$BC936 * IF($AD936&lt;=2,
SUMPRODUCT(INDEX($AL$23:$AN$61,,$AE936), INDEX($AO$23:$AU$61,,$AD936), 1 / ($AV$23:$AV$61*BS936), N($AK$23:$AK$61&gt;$AI936)),
SUMPRODUCT(INDEX($AL$23:$AN$46,,$AE936), INDEX($AO$23:$AU$46,,$AD936), 1 / ($AW$23:$AW$46*BS936), N($AK$23:$AK$46&gt;$AI936))
) / 1000</f>
        <v>0</v>
      </c>
      <c r="BV936" s="237">
        <f t="shared" si="799"/>
        <v>0</v>
      </c>
      <c r="BW936" s="210"/>
      <c r="BX936" s="237">
        <f t="shared" si="800"/>
        <v>0</v>
      </c>
      <c r="BY936" s="236">
        <v>35</v>
      </c>
      <c r="BZ936" s="237">
        <f t="shared" si="801"/>
        <v>48</v>
      </c>
      <c r="CA936" s="253">
        <f t="shared" si="802"/>
        <v>3.0748170731707316</v>
      </c>
      <c r="CB936" s="253" cm="1">
        <f t="array" ref="CB936">$BC936 * SUMPRODUCT(INDEX($AL$77:$AN$82,,$AE936),INDEX($AO$77:$AU$82,,$AD936), N($AK$77:$AK$82&gt;$AI936)) / CA936 / 1000</f>
        <v>0</v>
      </c>
      <c r="CC936" s="250">
        <f t="shared" si="819"/>
        <v>30</v>
      </c>
      <c r="CD936" s="237">
        <f t="shared" si="803"/>
        <v>43</v>
      </c>
      <c r="CE936" s="253">
        <f t="shared" si="804"/>
        <v>3.5018750000000001</v>
      </c>
      <c r="CF936" s="253" cm="1">
        <f t="array" ref="CF936">$BC936 * IF($AD936&lt;=2,
SUMPRODUCT(INDEX($AL$72:$AN$76,,$AE936), INDEX($AO$72:$AU$76,,$AD936), 1 / ($AV$72:$AV$76*CE936 + (1-$AV$72:$AV$76)*CA936), N($AK$72:$AK$76&gt;$AI936)),
SUMPRODUCT(INDEX($AL$67:$AN$76,,$AE936), INDEX($AO$67:$AU$76,,$AD936), 1 / ($AW$67:$AW$76*CE936 + (1-$AW$67:$AW$76)*CA936), N($AK$67:$AK$76&gt;$AI936))
) / 1000</f>
        <v>0</v>
      </c>
      <c r="CG936" s="250">
        <f t="shared" si="820"/>
        <v>25</v>
      </c>
      <c r="CH936" s="237">
        <f t="shared" si="805"/>
        <v>38</v>
      </c>
      <c r="CI936" s="253">
        <f t="shared" si="806"/>
        <v>4.0666935483870965</v>
      </c>
      <c r="CJ936" s="253" cm="1">
        <f t="array" ref="CJ936">$BC936 * IF($AD936&lt;=2,
SUMPRODUCT(INDEX($AL$67:$AN$71,,$AE936), INDEX($AO$67:$AU$71,,$AD936), 1 / ($AV$67:$AV$71*CI936 + (1-$AV$67:$AV$71)*CE936), N($AK$67:$AK$71&gt;$AI936)),
SUMPRODUCT(INDEX($AL$57:$AN$66,,$AE936), INDEX($AO$57:$AU$66,,$AD936), 1 / ($AW$57:$AW$66*CI936 + (1-$AW$57:$AW$66)*CE936), N($AK$57:$AK$66&gt;$AI936))
) / 1000</f>
        <v>0</v>
      </c>
      <c r="CK936" s="250">
        <f t="shared" si="821"/>
        <v>20</v>
      </c>
      <c r="CL936" s="237">
        <f t="shared" si="807"/>
        <v>33</v>
      </c>
      <c r="CM936" s="253">
        <f t="shared" si="808"/>
        <v>4.8487499999999999</v>
      </c>
      <c r="CN936" s="253" cm="1">
        <f t="array" ref="CN936">$BC936 * IF($AD936&lt;=2,
SUMPRODUCT(INDEX($AL$62:$AN$66,,$AE936), INDEX($AO$62:$AU$66,,$AD936), 1 / ($AV$62:$AV$66*CM936 + (1-$AV$62:$AV$66)*CI936), N($AK$62:$AK$66&gt;$AI936)),
SUMPRODUCT(INDEX($AL$47:$AN$56,,$AE936), INDEX($AO$47:$AU$56,,$AD936), 1 / ($AW$47:$AW$56*CM936 + (1-$AW$47:$AW$56)*CI936), N($AK$47:$AK$56&gt;$AI936))
) / 1000</f>
        <v>0</v>
      </c>
      <c r="CO936" s="253" cm="1">
        <f t="array" ref="CO936">$BC936 * IF($AD936&lt;=2,
SUMPRODUCT(INDEX($AL$23:$AN$61,,$AE936), INDEX($AO$23:$AU$61,,$AD936), 1 / ($AV$23:$AV$61*CM936), N($AK$23:$AK$61&gt;$AI936)),
SUMPRODUCT(INDEX($AL$23:$AN$46,,$AE936), INDEX($AO$23:$AU$46,,$AD936), 1 / ($AW$23:$AW$46*CM936), N($AK$23:$AK$46&gt;$AI936))
) / 1000</f>
        <v>0</v>
      </c>
      <c r="CP936" s="237">
        <f t="shared" si="809"/>
        <v>0</v>
      </c>
      <c r="CQ936" s="210"/>
    </row>
    <row r="937" spans="1:95" s="76" customFormat="1" ht="14.25" customHeight="1" x14ac:dyDescent="0.2">
      <c r="A937" s="238" t="b">
        <f t="shared" si="813"/>
        <v>0</v>
      </c>
      <c r="B937" s="239">
        <v>915</v>
      </c>
      <c r="C937" s="258"/>
      <c r="D937" s="258"/>
      <c r="E937" s="240"/>
      <c r="F937" s="241" t="str">
        <f>IF(ISBLANK(E937), "", VLOOKUP(E937, Z!$A$2:$C$4127, 3, FALSE))</f>
        <v/>
      </c>
      <c r="G937" s="242"/>
      <c r="H937" s="242"/>
      <c r="I937" s="243"/>
      <c r="J937" s="244"/>
      <c r="K937" s="259"/>
      <c r="L937" s="260"/>
      <c r="M937" s="247" t="str" cm="1">
        <f t="array" ref="M937">IF($K937&gt;0, INDEX(Clean,1+AG937,$C$1), "")</f>
        <v/>
      </c>
      <c r="N937" s="245"/>
      <c r="O937" s="245"/>
      <c r="P937" s="246"/>
      <c r="Q937" s="248">
        <f t="shared" si="786"/>
        <v>0</v>
      </c>
      <c r="R937" s="247" t="str" cm="1">
        <f t="array" ref="R937">IF($K937&gt;0, INDEX(Clean,1+AH937,$C$1), "")</f>
        <v/>
      </c>
      <c r="S937" s="245"/>
      <c r="T937" s="245"/>
      <c r="U937" s="246"/>
      <c r="V937" s="248">
        <f t="shared" si="787"/>
        <v>0</v>
      </c>
      <c r="W937" s="261"/>
      <c r="X937" s="258"/>
      <c r="Y937" s="240"/>
      <c r="Z937" s="241" t="str">
        <f>IF(ISBLANK(Y937), "", VLOOKUP(Y937, Z!$A$2:$C$4127, 3, FALSE))</f>
        <v/>
      </c>
      <c r="AA937" s="262"/>
      <c r="AB937" s="249">
        <f t="shared" si="822"/>
        <v>0</v>
      </c>
      <c r="AC937" s="210"/>
      <c r="AD937" s="236">
        <f t="shared" si="810"/>
        <v>1</v>
      </c>
      <c r="AE937" s="236">
        <f t="shared" si="811"/>
        <v>1</v>
      </c>
      <c r="AF937" s="236">
        <f t="shared" si="812"/>
        <v>0</v>
      </c>
      <c r="AG937" s="236">
        <v>1</v>
      </c>
      <c r="AH937" s="236">
        <v>0</v>
      </c>
      <c r="AI937" s="236">
        <f t="shared" si="788"/>
        <v>-100</v>
      </c>
      <c r="AJ937" s="210"/>
      <c r="AK937" s="254"/>
      <c r="AL937" s="254"/>
      <c r="AM937" s="255"/>
      <c r="AN937" s="255"/>
      <c r="AO937" s="255"/>
      <c r="AP937" s="255"/>
      <c r="AQ937" s="255"/>
      <c r="AR937" s="255"/>
      <c r="AS937" s="255"/>
      <c r="AT937" s="255"/>
      <c r="AU937" s="255"/>
      <c r="AV937" s="255"/>
      <c r="AW937" s="255"/>
      <c r="AX937" s="210"/>
      <c r="AY937" s="236" cm="1">
        <f t="array" ref="AY937">INDEX(Use, $AD937, 4)</f>
        <v>7</v>
      </c>
      <c r="AZ937" s="236">
        <f t="shared" si="789"/>
        <v>32</v>
      </c>
      <c r="BA937" s="236">
        <f t="shared" si="814"/>
        <v>13</v>
      </c>
      <c r="BB937" s="236">
        <f t="shared" si="815"/>
        <v>0</v>
      </c>
      <c r="BC937" s="252" cm="1">
        <f t="array" ref="BC937">K937/IF($L937&gt;0, INDEX($AO$23:$AU$77, $L937+20, $AD937), 1)</f>
        <v>0</v>
      </c>
      <c r="BD937" s="237">
        <f t="shared" si="790"/>
        <v>0</v>
      </c>
      <c r="BE937" s="236">
        <v>35</v>
      </c>
      <c r="BF937" s="237">
        <f t="shared" si="791"/>
        <v>52.55</v>
      </c>
      <c r="BG937" s="253">
        <f t="shared" si="792"/>
        <v>2.7676728869374316</v>
      </c>
      <c r="BH937" s="253" cm="1">
        <f t="array" ref="BH937">$BC937 * SUMPRODUCT(INDEX($AL$77:$AN$82,,$AE937),INDEX($AO$77:$AU$82,,$AD937), N($AK$77:$AK$82&gt;$AI937)) / BG937 / 1000</f>
        <v>0</v>
      </c>
      <c r="BI937" s="250">
        <f t="shared" si="816"/>
        <v>30</v>
      </c>
      <c r="BJ937" s="237">
        <f t="shared" si="793"/>
        <v>46.033333333333331</v>
      </c>
      <c r="BK937" s="253">
        <f t="shared" si="794"/>
        <v>3.2297395388556791</v>
      </c>
      <c r="BL937" s="253" cm="1">
        <f t="array" ref="BL937">$BC937 * IF($AD937&lt;=2,
SUMPRODUCT(INDEX($AL$72:$AN$76,,$AE937), INDEX($AO$72:$AU$76,,$AD937), 1 / ($AV$72:$AV$76*BK937 + (1-$AV$72:$AV$76)*BG937), N($AK$72:$AK$76&gt;$AI937)),
SUMPRODUCT(INDEX($AL$67:$AN$76,,$AE937), INDEX($AO$67:$AU$76,,$AD937), 1 / ($AW$67:$AW$76*BK937 + (1-$AW$67:$AW$76)*BG937), N($AK$67:$AK$76&gt;$AI937))
) / 1000</f>
        <v>0</v>
      </c>
      <c r="BM937" s="250">
        <f t="shared" si="817"/>
        <v>25</v>
      </c>
      <c r="BN937" s="237">
        <f t="shared" si="795"/>
        <v>39.516666666666666</v>
      </c>
      <c r="BO937" s="253">
        <f t="shared" si="796"/>
        <v>3.877011788826243</v>
      </c>
      <c r="BP937" s="253" cm="1">
        <f t="array" ref="BP937">$BC937 * IF($AD937&lt;=2,
SUMPRODUCT(INDEX($AL$67:$AN$71,,$AE937), INDEX($AO$67:$AU$71,,$AD937), 1 / ($AV$67:$AV$71*BO937 + (1-$AV$67:$AV$71)*BK937), N($AK$67:$AK$71&gt;$AI937)),
SUMPRODUCT(INDEX($AL$57:$AN$66,,$AE937), INDEX($AO$57:$AU$66,,$AD937), 1 / ($AW$57:$AW$66*BO937 + (1-$AW$57:$AW$66)*BK937), N($AK$57:$AK$66&gt;$AI937))
) / 1000</f>
        <v>0</v>
      </c>
      <c r="BQ937" s="250">
        <f t="shared" si="818"/>
        <v>20</v>
      </c>
      <c r="BR937" s="237">
        <f t="shared" si="797"/>
        <v>33</v>
      </c>
      <c r="BS937" s="253">
        <f t="shared" si="798"/>
        <v>4.8487499999999999</v>
      </c>
      <c r="BT937" s="253" cm="1">
        <f t="array" ref="BT937">$BC937 * IF($AD937&lt;=2,
SUMPRODUCT(INDEX($AL$62:$AN$66,,$AE937), INDEX($AO$62:$AU$66,,$AD937), 1 / ($AV$62:$AV$66*BS937 + (1-$AV$62:$AV$66)*BO937), N($AK$62:$AK$66&gt;$AI937)),
SUMPRODUCT(INDEX($AL$47:$AN$56,,$AE937), INDEX($AO$47:$AU$56,,$AD937), 1 / ($AW$47:$AW$56*BS937 + (1-$AW$47:$AW$56)*BO937), N($AK$47:$AK$56&gt;$AI937))
) / 1000</f>
        <v>0</v>
      </c>
      <c r="BU937" s="253" cm="1">
        <f t="array" ref="BU937">$BC937 * IF($AD937&lt;=2,
SUMPRODUCT(INDEX($AL$23:$AN$61,,$AE937), INDEX($AO$23:$AU$61,,$AD937), 1 / ($AV$23:$AV$61*BS937), N($AK$23:$AK$61&gt;$AI937)),
SUMPRODUCT(INDEX($AL$23:$AN$46,,$AE937), INDEX($AO$23:$AU$46,,$AD937), 1 / ($AW$23:$AW$46*BS937), N($AK$23:$AK$46&gt;$AI937))
) / 1000</f>
        <v>0</v>
      </c>
      <c r="BV937" s="237">
        <f t="shared" si="799"/>
        <v>0</v>
      </c>
      <c r="BW937" s="210"/>
      <c r="BX937" s="237">
        <f t="shared" si="800"/>
        <v>0</v>
      </c>
      <c r="BY937" s="236">
        <v>35</v>
      </c>
      <c r="BZ937" s="237">
        <f t="shared" si="801"/>
        <v>48</v>
      </c>
      <c r="CA937" s="253">
        <f t="shared" si="802"/>
        <v>3.0748170731707316</v>
      </c>
      <c r="CB937" s="253" cm="1">
        <f t="array" ref="CB937">$BC937 * SUMPRODUCT(INDEX($AL$77:$AN$82,,$AE937),INDEX($AO$77:$AU$82,,$AD937), N($AK$77:$AK$82&gt;$AI937)) / CA937 / 1000</f>
        <v>0</v>
      </c>
      <c r="CC937" s="250">
        <f t="shared" si="819"/>
        <v>30</v>
      </c>
      <c r="CD937" s="237">
        <f t="shared" si="803"/>
        <v>43</v>
      </c>
      <c r="CE937" s="253">
        <f t="shared" si="804"/>
        <v>3.5018750000000001</v>
      </c>
      <c r="CF937" s="253" cm="1">
        <f t="array" ref="CF937">$BC937 * IF($AD937&lt;=2,
SUMPRODUCT(INDEX($AL$72:$AN$76,,$AE937), INDEX($AO$72:$AU$76,,$AD937), 1 / ($AV$72:$AV$76*CE937 + (1-$AV$72:$AV$76)*CA937), N($AK$72:$AK$76&gt;$AI937)),
SUMPRODUCT(INDEX($AL$67:$AN$76,,$AE937), INDEX($AO$67:$AU$76,,$AD937), 1 / ($AW$67:$AW$76*CE937 + (1-$AW$67:$AW$76)*CA937), N($AK$67:$AK$76&gt;$AI937))
) / 1000</f>
        <v>0</v>
      </c>
      <c r="CG937" s="250">
        <f t="shared" si="820"/>
        <v>25</v>
      </c>
      <c r="CH937" s="237">
        <f t="shared" si="805"/>
        <v>38</v>
      </c>
      <c r="CI937" s="253">
        <f t="shared" si="806"/>
        <v>4.0666935483870965</v>
      </c>
      <c r="CJ937" s="253" cm="1">
        <f t="array" ref="CJ937">$BC937 * IF($AD937&lt;=2,
SUMPRODUCT(INDEX($AL$67:$AN$71,,$AE937), INDEX($AO$67:$AU$71,,$AD937), 1 / ($AV$67:$AV$71*CI937 + (1-$AV$67:$AV$71)*CE937), N($AK$67:$AK$71&gt;$AI937)),
SUMPRODUCT(INDEX($AL$57:$AN$66,,$AE937), INDEX($AO$57:$AU$66,,$AD937), 1 / ($AW$57:$AW$66*CI937 + (1-$AW$57:$AW$66)*CE937), N($AK$57:$AK$66&gt;$AI937))
) / 1000</f>
        <v>0</v>
      </c>
      <c r="CK937" s="250">
        <f t="shared" si="821"/>
        <v>20</v>
      </c>
      <c r="CL937" s="237">
        <f t="shared" si="807"/>
        <v>33</v>
      </c>
      <c r="CM937" s="253">
        <f t="shared" si="808"/>
        <v>4.8487499999999999</v>
      </c>
      <c r="CN937" s="253" cm="1">
        <f t="array" ref="CN937">$BC937 * IF($AD937&lt;=2,
SUMPRODUCT(INDEX($AL$62:$AN$66,,$AE937), INDEX($AO$62:$AU$66,,$AD937), 1 / ($AV$62:$AV$66*CM937 + (1-$AV$62:$AV$66)*CI937), N($AK$62:$AK$66&gt;$AI937)),
SUMPRODUCT(INDEX($AL$47:$AN$56,,$AE937), INDEX($AO$47:$AU$56,,$AD937), 1 / ($AW$47:$AW$56*CM937 + (1-$AW$47:$AW$56)*CI937), N($AK$47:$AK$56&gt;$AI937))
) / 1000</f>
        <v>0</v>
      </c>
      <c r="CO937" s="253" cm="1">
        <f t="array" ref="CO937">$BC937 * IF($AD937&lt;=2,
SUMPRODUCT(INDEX($AL$23:$AN$61,,$AE937), INDEX($AO$23:$AU$61,,$AD937), 1 / ($AV$23:$AV$61*CM937), N($AK$23:$AK$61&gt;$AI937)),
SUMPRODUCT(INDEX($AL$23:$AN$46,,$AE937), INDEX($AO$23:$AU$46,,$AD937), 1 / ($AW$23:$AW$46*CM937), N($AK$23:$AK$46&gt;$AI937))
) / 1000</f>
        <v>0</v>
      </c>
      <c r="CP937" s="237">
        <f t="shared" si="809"/>
        <v>0</v>
      </c>
      <c r="CQ937" s="210"/>
    </row>
    <row r="938" spans="1:95" s="76" customFormat="1" ht="14.25" customHeight="1" x14ac:dyDescent="0.2">
      <c r="A938" s="238" t="b">
        <f t="shared" si="813"/>
        <v>0</v>
      </c>
      <c r="B938" s="239">
        <v>916</v>
      </c>
      <c r="C938" s="258"/>
      <c r="D938" s="258"/>
      <c r="E938" s="240"/>
      <c r="F938" s="241" t="str">
        <f>IF(ISBLANK(E938), "", VLOOKUP(E938, Z!$A$2:$C$4127, 3, FALSE))</f>
        <v/>
      </c>
      <c r="G938" s="242"/>
      <c r="H938" s="242"/>
      <c r="I938" s="243"/>
      <c r="J938" s="244"/>
      <c r="K938" s="259"/>
      <c r="L938" s="260"/>
      <c r="M938" s="247" t="str" cm="1">
        <f t="array" ref="M938">IF($K938&gt;0, INDEX(Clean,1+AG938,$C$1), "")</f>
        <v/>
      </c>
      <c r="N938" s="245"/>
      <c r="O938" s="245"/>
      <c r="P938" s="246"/>
      <c r="Q938" s="248">
        <f t="shared" si="786"/>
        <v>0</v>
      </c>
      <c r="R938" s="247" t="str" cm="1">
        <f t="array" ref="R938">IF($K938&gt;0, INDEX(Clean,1+AH938,$C$1), "")</f>
        <v/>
      </c>
      <c r="S938" s="245"/>
      <c r="T938" s="245"/>
      <c r="U938" s="246"/>
      <c r="V938" s="248">
        <f t="shared" si="787"/>
        <v>0</v>
      </c>
      <c r="W938" s="261"/>
      <c r="X938" s="258"/>
      <c r="Y938" s="240"/>
      <c r="Z938" s="241" t="str">
        <f>IF(ISBLANK(Y938), "", VLOOKUP(Y938, Z!$A$2:$C$4127, 3, FALSE))</f>
        <v/>
      </c>
      <c r="AA938" s="262"/>
      <c r="AB938" s="249">
        <f t="shared" si="822"/>
        <v>0</v>
      </c>
      <c r="AC938" s="210"/>
      <c r="AD938" s="236">
        <f t="shared" si="810"/>
        <v>1</v>
      </c>
      <c r="AE938" s="236">
        <f t="shared" si="811"/>
        <v>1</v>
      </c>
      <c r="AF938" s="236">
        <f t="shared" si="812"/>
        <v>0</v>
      </c>
      <c r="AG938" s="236">
        <v>1</v>
      </c>
      <c r="AH938" s="236">
        <v>0</v>
      </c>
      <c r="AI938" s="236">
        <f t="shared" si="788"/>
        <v>-100</v>
      </c>
      <c r="AJ938" s="210"/>
      <c r="AK938" s="254"/>
      <c r="AL938" s="254"/>
      <c r="AM938" s="255"/>
      <c r="AN938" s="255"/>
      <c r="AO938" s="255"/>
      <c r="AP938" s="255"/>
      <c r="AQ938" s="255"/>
      <c r="AR938" s="255"/>
      <c r="AS938" s="255"/>
      <c r="AT938" s="255"/>
      <c r="AU938" s="255"/>
      <c r="AV938" s="255"/>
      <c r="AW938" s="255"/>
      <c r="AX938" s="210"/>
      <c r="AY938" s="236" cm="1">
        <f t="array" ref="AY938">INDEX(Use, $AD938, 4)</f>
        <v>7</v>
      </c>
      <c r="AZ938" s="236">
        <f t="shared" si="789"/>
        <v>32</v>
      </c>
      <c r="BA938" s="236">
        <f t="shared" si="814"/>
        <v>13</v>
      </c>
      <c r="BB938" s="236">
        <f t="shared" si="815"/>
        <v>0</v>
      </c>
      <c r="BC938" s="252" cm="1">
        <f t="array" ref="BC938">K938/IF($L938&gt;0, INDEX($AO$23:$AU$77, $L938+20, $AD938), 1)</f>
        <v>0</v>
      </c>
      <c r="BD938" s="237">
        <f t="shared" si="790"/>
        <v>0</v>
      </c>
      <c r="BE938" s="236">
        <v>35</v>
      </c>
      <c r="BF938" s="237">
        <f t="shared" si="791"/>
        <v>52.55</v>
      </c>
      <c r="BG938" s="253">
        <f t="shared" si="792"/>
        <v>2.7676728869374316</v>
      </c>
      <c r="BH938" s="253" cm="1">
        <f t="array" ref="BH938">$BC938 * SUMPRODUCT(INDEX($AL$77:$AN$82,,$AE938),INDEX($AO$77:$AU$82,,$AD938), N($AK$77:$AK$82&gt;$AI938)) / BG938 / 1000</f>
        <v>0</v>
      </c>
      <c r="BI938" s="250">
        <f t="shared" si="816"/>
        <v>30</v>
      </c>
      <c r="BJ938" s="237">
        <f t="shared" si="793"/>
        <v>46.033333333333331</v>
      </c>
      <c r="BK938" s="253">
        <f t="shared" si="794"/>
        <v>3.2297395388556791</v>
      </c>
      <c r="BL938" s="253" cm="1">
        <f t="array" ref="BL938">$BC938 * IF($AD938&lt;=2,
SUMPRODUCT(INDEX($AL$72:$AN$76,,$AE938), INDEX($AO$72:$AU$76,,$AD938), 1 / ($AV$72:$AV$76*BK938 + (1-$AV$72:$AV$76)*BG938), N($AK$72:$AK$76&gt;$AI938)),
SUMPRODUCT(INDEX($AL$67:$AN$76,,$AE938), INDEX($AO$67:$AU$76,,$AD938), 1 / ($AW$67:$AW$76*BK938 + (1-$AW$67:$AW$76)*BG938), N($AK$67:$AK$76&gt;$AI938))
) / 1000</f>
        <v>0</v>
      </c>
      <c r="BM938" s="250">
        <f t="shared" si="817"/>
        <v>25</v>
      </c>
      <c r="BN938" s="237">
        <f t="shared" si="795"/>
        <v>39.516666666666666</v>
      </c>
      <c r="BO938" s="253">
        <f t="shared" si="796"/>
        <v>3.877011788826243</v>
      </c>
      <c r="BP938" s="253" cm="1">
        <f t="array" ref="BP938">$BC938 * IF($AD938&lt;=2,
SUMPRODUCT(INDEX($AL$67:$AN$71,,$AE938), INDEX($AO$67:$AU$71,,$AD938), 1 / ($AV$67:$AV$71*BO938 + (1-$AV$67:$AV$71)*BK938), N($AK$67:$AK$71&gt;$AI938)),
SUMPRODUCT(INDEX($AL$57:$AN$66,,$AE938), INDEX($AO$57:$AU$66,,$AD938), 1 / ($AW$57:$AW$66*BO938 + (1-$AW$57:$AW$66)*BK938), N($AK$57:$AK$66&gt;$AI938))
) / 1000</f>
        <v>0</v>
      </c>
      <c r="BQ938" s="250">
        <f t="shared" si="818"/>
        <v>20</v>
      </c>
      <c r="BR938" s="237">
        <f t="shared" si="797"/>
        <v>33</v>
      </c>
      <c r="BS938" s="253">
        <f t="shared" si="798"/>
        <v>4.8487499999999999</v>
      </c>
      <c r="BT938" s="253" cm="1">
        <f t="array" ref="BT938">$BC938 * IF($AD938&lt;=2,
SUMPRODUCT(INDEX($AL$62:$AN$66,,$AE938), INDEX($AO$62:$AU$66,,$AD938), 1 / ($AV$62:$AV$66*BS938 + (1-$AV$62:$AV$66)*BO938), N($AK$62:$AK$66&gt;$AI938)),
SUMPRODUCT(INDEX($AL$47:$AN$56,,$AE938), INDEX($AO$47:$AU$56,,$AD938), 1 / ($AW$47:$AW$56*BS938 + (1-$AW$47:$AW$56)*BO938), N($AK$47:$AK$56&gt;$AI938))
) / 1000</f>
        <v>0</v>
      </c>
      <c r="BU938" s="253" cm="1">
        <f t="array" ref="BU938">$BC938 * IF($AD938&lt;=2,
SUMPRODUCT(INDEX($AL$23:$AN$61,,$AE938), INDEX($AO$23:$AU$61,,$AD938), 1 / ($AV$23:$AV$61*BS938), N($AK$23:$AK$61&gt;$AI938)),
SUMPRODUCT(INDEX($AL$23:$AN$46,,$AE938), INDEX($AO$23:$AU$46,,$AD938), 1 / ($AW$23:$AW$46*BS938), N($AK$23:$AK$46&gt;$AI938))
) / 1000</f>
        <v>0</v>
      </c>
      <c r="BV938" s="237">
        <f t="shared" si="799"/>
        <v>0</v>
      </c>
      <c r="BW938" s="210"/>
      <c r="BX938" s="237">
        <f t="shared" si="800"/>
        <v>0</v>
      </c>
      <c r="BY938" s="236">
        <v>35</v>
      </c>
      <c r="BZ938" s="237">
        <f t="shared" si="801"/>
        <v>48</v>
      </c>
      <c r="CA938" s="253">
        <f t="shared" si="802"/>
        <v>3.0748170731707316</v>
      </c>
      <c r="CB938" s="253" cm="1">
        <f t="array" ref="CB938">$BC938 * SUMPRODUCT(INDEX($AL$77:$AN$82,,$AE938),INDEX($AO$77:$AU$82,,$AD938), N($AK$77:$AK$82&gt;$AI938)) / CA938 / 1000</f>
        <v>0</v>
      </c>
      <c r="CC938" s="250">
        <f t="shared" si="819"/>
        <v>30</v>
      </c>
      <c r="CD938" s="237">
        <f t="shared" si="803"/>
        <v>43</v>
      </c>
      <c r="CE938" s="253">
        <f t="shared" si="804"/>
        <v>3.5018750000000001</v>
      </c>
      <c r="CF938" s="253" cm="1">
        <f t="array" ref="CF938">$BC938 * IF($AD938&lt;=2,
SUMPRODUCT(INDEX($AL$72:$AN$76,,$AE938), INDEX($AO$72:$AU$76,,$AD938), 1 / ($AV$72:$AV$76*CE938 + (1-$AV$72:$AV$76)*CA938), N($AK$72:$AK$76&gt;$AI938)),
SUMPRODUCT(INDEX($AL$67:$AN$76,,$AE938), INDEX($AO$67:$AU$76,,$AD938), 1 / ($AW$67:$AW$76*CE938 + (1-$AW$67:$AW$76)*CA938), N($AK$67:$AK$76&gt;$AI938))
) / 1000</f>
        <v>0</v>
      </c>
      <c r="CG938" s="250">
        <f t="shared" si="820"/>
        <v>25</v>
      </c>
      <c r="CH938" s="237">
        <f t="shared" si="805"/>
        <v>38</v>
      </c>
      <c r="CI938" s="253">
        <f t="shared" si="806"/>
        <v>4.0666935483870965</v>
      </c>
      <c r="CJ938" s="253" cm="1">
        <f t="array" ref="CJ938">$BC938 * IF($AD938&lt;=2,
SUMPRODUCT(INDEX($AL$67:$AN$71,,$AE938), INDEX($AO$67:$AU$71,,$AD938), 1 / ($AV$67:$AV$71*CI938 + (1-$AV$67:$AV$71)*CE938), N($AK$67:$AK$71&gt;$AI938)),
SUMPRODUCT(INDEX($AL$57:$AN$66,,$AE938), INDEX($AO$57:$AU$66,,$AD938), 1 / ($AW$57:$AW$66*CI938 + (1-$AW$57:$AW$66)*CE938), N($AK$57:$AK$66&gt;$AI938))
) / 1000</f>
        <v>0</v>
      </c>
      <c r="CK938" s="250">
        <f t="shared" si="821"/>
        <v>20</v>
      </c>
      <c r="CL938" s="237">
        <f t="shared" si="807"/>
        <v>33</v>
      </c>
      <c r="CM938" s="253">
        <f t="shared" si="808"/>
        <v>4.8487499999999999</v>
      </c>
      <c r="CN938" s="253" cm="1">
        <f t="array" ref="CN938">$BC938 * IF($AD938&lt;=2,
SUMPRODUCT(INDEX($AL$62:$AN$66,,$AE938), INDEX($AO$62:$AU$66,,$AD938), 1 / ($AV$62:$AV$66*CM938 + (1-$AV$62:$AV$66)*CI938), N($AK$62:$AK$66&gt;$AI938)),
SUMPRODUCT(INDEX($AL$47:$AN$56,,$AE938), INDEX($AO$47:$AU$56,,$AD938), 1 / ($AW$47:$AW$56*CM938 + (1-$AW$47:$AW$56)*CI938), N($AK$47:$AK$56&gt;$AI938))
) / 1000</f>
        <v>0</v>
      </c>
      <c r="CO938" s="253" cm="1">
        <f t="array" ref="CO938">$BC938 * IF($AD938&lt;=2,
SUMPRODUCT(INDEX($AL$23:$AN$61,,$AE938), INDEX($AO$23:$AU$61,,$AD938), 1 / ($AV$23:$AV$61*CM938), N($AK$23:$AK$61&gt;$AI938)),
SUMPRODUCT(INDEX($AL$23:$AN$46,,$AE938), INDEX($AO$23:$AU$46,,$AD938), 1 / ($AW$23:$AW$46*CM938), N($AK$23:$AK$46&gt;$AI938))
) / 1000</f>
        <v>0</v>
      </c>
      <c r="CP938" s="237">
        <f t="shared" si="809"/>
        <v>0</v>
      </c>
      <c r="CQ938" s="210"/>
    </row>
    <row r="939" spans="1:95" s="76" customFormat="1" ht="14.25" customHeight="1" x14ac:dyDescent="0.2">
      <c r="A939" s="238" t="b">
        <f t="shared" si="813"/>
        <v>0</v>
      </c>
      <c r="B939" s="239">
        <v>917</v>
      </c>
      <c r="C939" s="258"/>
      <c r="D939" s="258"/>
      <c r="E939" s="240"/>
      <c r="F939" s="241" t="str">
        <f>IF(ISBLANK(E939), "", VLOOKUP(E939, Z!$A$2:$C$4127, 3, FALSE))</f>
        <v/>
      </c>
      <c r="G939" s="242"/>
      <c r="H939" s="242"/>
      <c r="I939" s="243"/>
      <c r="J939" s="244"/>
      <c r="K939" s="259"/>
      <c r="L939" s="260"/>
      <c r="M939" s="247" t="str" cm="1">
        <f t="array" ref="M939">IF($K939&gt;0, INDEX(Clean,1+AG939,$C$1), "")</f>
        <v/>
      </c>
      <c r="N939" s="245"/>
      <c r="O939" s="245"/>
      <c r="P939" s="246"/>
      <c r="Q939" s="248">
        <f t="shared" si="786"/>
        <v>0</v>
      </c>
      <c r="R939" s="247" t="str" cm="1">
        <f t="array" ref="R939">IF($K939&gt;0, INDEX(Clean,1+AH939,$C$1), "")</f>
        <v/>
      </c>
      <c r="S939" s="245"/>
      <c r="T939" s="245"/>
      <c r="U939" s="246"/>
      <c r="V939" s="248">
        <f t="shared" si="787"/>
        <v>0</v>
      </c>
      <c r="W939" s="261"/>
      <c r="X939" s="258"/>
      <c r="Y939" s="240"/>
      <c r="Z939" s="241" t="str">
        <f>IF(ISBLANK(Y939), "", VLOOKUP(Y939, Z!$A$2:$C$4127, 3, FALSE))</f>
        <v/>
      </c>
      <c r="AA939" s="262"/>
      <c r="AB939" s="249">
        <f t="shared" si="822"/>
        <v>0</v>
      </c>
      <c r="AC939" s="210"/>
      <c r="AD939" s="236">
        <f t="shared" si="810"/>
        <v>1</v>
      </c>
      <c r="AE939" s="236">
        <f t="shared" si="811"/>
        <v>1</v>
      </c>
      <c r="AF939" s="236">
        <f t="shared" si="812"/>
        <v>0</v>
      </c>
      <c r="AG939" s="236">
        <v>1</v>
      </c>
      <c r="AH939" s="236">
        <v>0</v>
      </c>
      <c r="AI939" s="236">
        <f t="shared" si="788"/>
        <v>-100</v>
      </c>
      <c r="AJ939" s="210"/>
      <c r="AK939" s="254"/>
      <c r="AL939" s="254"/>
      <c r="AM939" s="255"/>
      <c r="AN939" s="255"/>
      <c r="AO939" s="255"/>
      <c r="AP939" s="255"/>
      <c r="AQ939" s="255"/>
      <c r="AR939" s="255"/>
      <c r="AS939" s="255"/>
      <c r="AT939" s="255"/>
      <c r="AU939" s="255"/>
      <c r="AV939" s="255"/>
      <c r="AW939" s="255"/>
      <c r="AX939" s="210"/>
      <c r="AY939" s="236" cm="1">
        <f t="array" ref="AY939">INDEX(Use, $AD939, 4)</f>
        <v>7</v>
      </c>
      <c r="AZ939" s="236">
        <f t="shared" si="789"/>
        <v>32</v>
      </c>
      <c r="BA939" s="236">
        <f t="shared" si="814"/>
        <v>13</v>
      </c>
      <c r="BB939" s="236">
        <f t="shared" si="815"/>
        <v>0</v>
      </c>
      <c r="BC939" s="252" cm="1">
        <f t="array" ref="BC939">K939/IF($L939&gt;0, INDEX($AO$23:$AU$77, $L939+20, $AD939), 1)</f>
        <v>0</v>
      </c>
      <c r="BD939" s="237">
        <f t="shared" si="790"/>
        <v>0</v>
      </c>
      <c r="BE939" s="236">
        <v>35</v>
      </c>
      <c r="BF939" s="237">
        <f t="shared" si="791"/>
        <v>52.55</v>
      </c>
      <c r="BG939" s="253">
        <f t="shared" si="792"/>
        <v>2.7676728869374316</v>
      </c>
      <c r="BH939" s="253" cm="1">
        <f t="array" ref="BH939">$BC939 * SUMPRODUCT(INDEX($AL$77:$AN$82,,$AE939),INDEX($AO$77:$AU$82,,$AD939), N($AK$77:$AK$82&gt;$AI939)) / BG939 / 1000</f>
        <v>0</v>
      </c>
      <c r="BI939" s="250">
        <f t="shared" si="816"/>
        <v>30</v>
      </c>
      <c r="BJ939" s="237">
        <f t="shared" si="793"/>
        <v>46.033333333333331</v>
      </c>
      <c r="BK939" s="253">
        <f t="shared" si="794"/>
        <v>3.2297395388556791</v>
      </c>
      <c r="BL939" s="253" cm="1">
        <f t="array" ref="BL939">$BC939 * IF($AD939&lt;=2,
SUMPRODUCT(INDEX($AL$72:$AN$76,,$AE939), INDEX($AO$72:$AU$76,,$AD939), 1 / ($AV$72:$AV$76*BK939 + (1-$AV$72:$AV$76)*BG939), N($AK$72:$AK$76&gt;$AI939)),
SUMPRODUCT(INDEX($AL$67:$AN$76,,$AE939), INDEX($AO$67:$AU$76,,$AD939), 1 / ($AW$67:$AW$76*BK939 + (1-$AW$67:$AW$76)*BG939), N($AK$67:$AK$76&gt;$AI939))
) / 1000</f>
        <v>0</v>
      </c>
      <c r="BM939" s="250">
        <f t="shared" si="817"/>
        <v>25</v>
      </c>
      <c r="BN939" s="237">
        <f t="shared" si="795"/>
        <v>39.516666666666666</v>
      </c>
      <c r="BO939" s="253">
        <f t="shared" si="796"/>
        <v>3.877011788826243</v>
      </c>
      <c r="BP939" s="253" cm="1">
        <f t="array" ref="BP939">$BC939 * IF($AD939&lt;=2,
SUMPRODUCT(INDEX($AL$67:$AN$71,,$AE939), INDEX($AO$67:$AU$71,,$AD939), 1 / ($AV$67:$AV$71*BO939 + (1-$AV$67:$AV$71)*BK939), N($AK$67:$AK$71&gt;$AI939)),
SUMPRODUCT(INDEX($AL$57:$AN$66,,$AE939), INDEX($AO$57:$AU$66,,$AD939), 1 / ($AW$57:$AW$66*BO939 + (1-$AW$57:$AW$66)*BK939), N($AK$57:$AK$66&gt;$AI939))
) / 1000</f>
        <v>0</v>
      </c>
      <c r="BQ939" s="250">
        <f t="shared" si="818"/>
        <v>20</v>
      </c>
      <c r="BR939" s="237">
        <f t="shared" si="797"/>
        <v>33</v>
      </c>
      <c r="BS939" s="253">
        <f t="shared" si="798"/>
        <v>4.8487499999999999</v>
      </c>
      <c r="BT939" s="253" cm="1">
        <f t="array" ref="BT939">$BC939 * IF($AD939&lt;=2,
SUMPRODUCT(INDEX($AL$62:$AN$66,,$AE939), INDEX($AO$62:$AU$66,,$AD939), 1 / ($AV$62:$AV$66*BS939 + (1-$AV$62:$AV$66)*BO939), N($AK$62:$AK$66&gt;$AI939)),
SUMPRODUCT(INDEX($AL$47:$AN$56,,$AE939), INDEX($AO$47:$AU$56,,$AD939), 1 / ($AW$47:$AW$56*BS939 + (1-$AW$47:$AW$56)*BO939), N($AK$47:$AK$56&gt;$AI939))
) / 1000</f>
        <v>0</v>
      </c>
      <c r="BU939" s="253" cm="1">
        <f t="array" ref="BU939">$BC939 * IF($AD939&lt;=2,
SUMPRODUCT(INDEX($AL$23:$AN$61,,$AE939), INDEX($AO$23:$AU$61,,$AD939), 1 / ($AV$23:$AV$61*BS939), N($AK$23:$AK$61&gt;$AI939)),
SUMPRODUCT(INDEX($AL$23:$AN$46,,$AE939), INDEX($AO$23:$AU$46,,$AD939), 1 / ($AW$23:$AW$46*BS939), N($AK$23:$AK$46&gt;$AI939))
) / 1000</f>
        <v>0</v>
      </c>
      <c r="BV939" s="237">
        <f t="shared" si="799"/>
        <v>0</v>
      </c>
      <c r="BW939" s="210"/>
      <c r="BX939" s="237">
        <f t="shared" si="800"/>
        <v>0</v>
      </c>
      <c r="BY939" s="236">
        <v>35</v>
      </c>
      <c r="BZ939" s="237">
        <f t="shared" si="801"/>
        <v>48</v>
      </c>
      <c r="CA939" s="253">
        <f t="shared" si="802"/>
        <v>3.0748170731707316</v>
      </c>
      <c r="CB939" s="253" cm="1">
        <f t="array" ref="CB939">$BC939 * SUMPRODUCT(INDEX($AL$77:$AN$82,,$AE939),INDEX($AO$77:$AU$82,,$AD939), N($AK$77:$AK$82&gt;$AI939)) / CA939 / 1000</f>
        <v>0</v>
      </c>
      <c r="CC939" s="250">
        <f t="shared" si="819"/>
        <v>30</v>
      </c>
      <c r="CD939" s="237">
        <f t="shared" si="803"/>
        <v>43</v>
      </c>
      <c r="CE939" s="253">
        <f t="shared" si="804"/>
        <v>3.5018750000000001</v>
      </c>
      <c r="CF939" s="253" cm="1">
        <f t="array" ref="CF939">$BC939 * IF($AD939&lt;=2,
SUMPRODUCT(INDEX($AL$72:$AN$76,,$AE939), INDEX($AO$72:$AU$76,,$AD939), 1 / ($AV$72:$AV$76*CE939 + (1-$AV$72:$AV$76)*CA939), N($AK$72:$AK$76&gt;$AI939)),
SUMPRODUCT(INDEX($AL$67:$AN$76,,$AE939), INDEX($AO$67:$AU$76,,$AD939), 1 / ($AW$67:$AW$76*CE939 + (1-$AW$67:$AW$76)*CA939), N($AK$67:$AK$76&gt;$AI939))
) / 1000</f>
        <v>0</v>
      </c>
      <c r="CG939" s="250">
        <f t="shared" si="820"/>
        <v>25</v>
      </c>
      <c r="CH939" s="237">
        <f t="shared" si="805"/>
        <v>38</v>
      </c>
      <c r="CI939" s="253">
        <f t="shared" si="806"/>
        <v>4.0666935483870965</v>
      </c>
      <c r="CJ939" s="253" cm="1">
        <f t="array" ref="CJ939">$BC939 * IF($AD939&lt;=2,
SUMPRODUCT(INDEX($AL$67:$AN$71,,$AE939), INDEX($AO$67:$AU$71,,$AD939), 1 / ($AV$67:$AV$71*CI939 + (1-$AV$67:$AV$71)*CE939), N($AK$67:$AK$71&gt;$AI939)),
SUMPRODUCT(INDEX($AL$57:$AN$66,,$AE939), INDEX($AO$57:$AU$66,,$AD939), 1 / ($AW$57:$AW$66*CI939 + (1-$AW$57:$AW$66)*CE939), N($AK$57:$AK$66&gt;$AI939))
) / 1000</f>
        <v>0</v>
      </c>
      <c r="CK939" s="250">
        <f t="shared" si="821"/>
        <v>20</v>
      </c>
      <c r="CL939" s="237">
        <f t="shared" si="807"/>
        <v>33</v>
      </c>
      <c r="CM939" s="253">
        <f t="shared" si="808"/>
        <v>4.8487499999999999</v>
      </c>
      <c r="CN939" s="253" cm="1">
        <f t="array" ref="CN939">$BC939 * IF($AD939&lt;=2,
SUMPRODUCT(INDEX($AL$62:$AN$66,,$AE939), INDEX($AO$62:$AU$66,,$AD939), 1 / ($AV$62:$AV$66*CM939 + (1-$AV$62:$AV$66)*CI939), N($AK$62:$AK$66&gt;$AI939)),
SUMPRODUCT(INDEX($AL$47:$AN$56,,$AE939), INDEX($AO$47:$AU$56,,$AD939), 1 / ($AW$47:$AW$56*CM939 + (1-$AW$47:$AW$56)*CI939), N($AK$47:$AK$56&gt;$AI939))
) / 1000</f>
        <v>0</v>
      </c>
      <c r="CO939" s="253" cm="1">
        <f t="array" ref="CO939">$BC939 * IF($AD939&lt;=2,
SUMPRODUCT(INDEX($AL$23:$AN$61,,$AE939), INDEX($AO$23:$AU$61,,$AD939), 1 / ($AV$23:$AV$61*CM939), N($AK$23:$AK$61&gt;$AI939)),
SUMPRODUCT(INDEX($AL$23:$AN$46,,$AE939), INDEX($AO$23:$AU$46,,$AD939), 1 / ($AW$23:$AW$46*CM939), N($AK$23:$AK$46&gt;$AI939))
) / 1000</f>
        <v>0</v>
      </c>
      <c r="CP939" s="237">
        <f t="shared" si="809"/>
        <v>0</v>
      </c>
      <c r="CQ939" s="210"/>
    </row>
    <row r="940" spans="1:95" s="76" customFormat="1" ht="14.25" customHeight="1" x14ac:dyDescent="0.2">
      <c r="A940" s="238" t="b">
        <f t="shared" si="813"/>
        <v>0</v>
      </c>
      <c r="B940" s="239">
        <v>918</v>
      </c>
      <c r="C940" s="258"/>
      <c r="D940" s="258"/>
      <c r="E940" s="240"/>
      <c r="F940" s="241" t="str">
        <f>IF(ISBLANK(E940), "", VLOOKUP(E940, Z!$A$2:$C$4127, 3, FALSE))</f>
        <v/>
      </c>
      <c r="G940" s="242"/>
      <c r="H940" s="242"/>
      <c r="I940" s="243"/>
      <c r="J940" s="244"/>
      <c r="K940" s="259"/>
      <c r="L940" s="260"/>
      <c r="M940" s="247" t="str" cm="1">
        <f t="array" ref="M940">IF($K940&gt;0, INDEX(Clean,1+AG940,$C$1), "")</f>
        <v/>
      </c>
      <c r="N940" s="245"/>
      <c r="O940" s="245"/>
      <c r="P940" s="246"/>
      <c r="Q940" s="248">
        <f t="shared" si="786"/>
        <v>0</v>
      </c>
      <c r="R940" s="247" t="str" cm="1">
        <f t="array" ref="R940">IF($K940&gt;0, INDEX(Clean,1+AH940,$C$1), "")</f>
        <v/>
      </c>
      <c r="S940" s="245"/>
      <c r="T940" s="245"/>
      <c r="U940" s="246"/>
      <c r="V940" s="248">
        <f t="shared" si="787"/>
        <v>0</v>
      </c>
      <c r="W940" s="261"/>
      <c r="X940" s="258"/>
      <c r="Y940" s="240"/>
      <c r="Z940" s="241" t="str">
        <f>IF(ISBLANK(Y940), "", VLOOKUP(Y940, Z!$A$2:$C$4127, 3, FALSE))</f>
        <v/>
      </c>
      <c r="AA940" s="262"/>
      <c r="AB940" s="249">
        <f t="shared" si="822"/>
        <v>0</v>
      </c>
      <c r="AC940" s="210"/>
      <c r="AD940" s="236">
        <f t="shared" si="810"/>
        <v>1</v>
      </c>
      <c r="AE940" s="236">
        <f t="shared" si="811"/>
        <v>1</v>
      </c>
      <c r="AF940" s="236">
        <f t="shared" si="812"/>
        <v>0</v>
      </c>
      <c r="AG940" s="236">
        <v>1</v>
      </c>
      <c r="AH940" s="236">
        <v>0</v>
      </c>
      <c r="AI940" s="236">
        <f t="shared" si="788"/>
        <v>-100</v>
      </c>
      <c r="AJ940" s="210"/>
      <c r="AK940" s="254"/>
      <c r="AL940" s="254"/>
      <c r="AM940" s="255"/>
      <c r="AN940" s="255"/>
      <c r="AO940" s="255"/>
      <c r="AP940" s="255"/>
      <c r="AQ940" s="255"/>
      <c r="AR940" s="255"/>
      <c r="AS940" s="255"/>
      <c r="AT940" s="255"/>
      <c r="AU940" s="255"/>
      <c r="AV940" s="255"/>
      <c r="AW940" s="255"/>
      <c r="AX940" s="210"/>
      <c r="AY940" s="236" cm="1">
        <f t="array" ref="AY940">INDEX(Use, $AD940, 4)</f>
        <v>7</v>
      </c>
      <c r="AZ940" s="236">
        <f t="shared" si="789"/>
        <v>32</v>
      </c>
      <c r="BA940" s="236">
        <f t="shared" si="814"/>
        <v>13</v>
      </c>
      <c r="BB940" s="236">
        <f t="shared" si="815"/>
        <v>0</v>
      </c>
      <c r="BC940" s="252" cm="1">
        <f t="array" ref="BC940">K940/IF($L940&gt;0, INDEX($AO$23:$AU$77, $L940+20, $AD940), 1)</f>
        <v>0</v>
      </c>
      <c r="BD940" s="237">
        <f t="shared" si="790"/>
        <v>0</v>
      </c>
      <c r="BE940" s="236">
        <v>35</v>
      </c>
      <c r="BF940" s="237">
        <f t="shared" si="791"/>
        <v>52.55</v>
      </c>
      <c r="BG940" s="253">
        <f t="shared" si="792"/>
        <v>2.7676728869374316</v>
      </c>
      <c r="BH940" s="253" cm="1">
        <f t="array" ref="BH940">$BC940 * SUMPRODUCT(INDEX($AL$77:$AN$82,,$AE940),INDEX($AO$77:$AU$82,,$AD940), N($AK$77:$AK$82&gt;$AI940)) / BG940 / 1000</f>
        <v>0</v>
      </c>
      <c r="BI940" s="250">
        <f t="shared" si="816"/>
        <v>30</v>
      </c>
      <c r="BJ940" s="237">
        <f t="shared" si="793"/>
        <v>46.033333333333331</v>
      </c>
      <c r="BK940" s="253">
        <f t="shared" si="794"/>
        <v>3.2297395388556791</v>
      </c>
      <c r="BL940" s="253" cm="1">
        <f t="array" ref="BL940">$BC940 * IF($AD940&lt;=2,
SUMPRODUCT(INDEX($AL$72:$AN$76,,$AE940), INDEX($AO$72:$AU$76,,$AD940), 1 / ($AV$72:$AV$76*BK940 + (1-$AV$72:$AV$76)*BG940), N($AK$72:$AK$76&gt;$AI940)),
SUMPRODUCT(INDEX($AL$67:$AN$76,,$AE940), INDEX($AO$67:$AU$76,,$AD940), 1 / ($AW$67:$AW$76*BK940 + (1-$AW$67:$AW$76)*BG940), N($AK$67:$AK$76&gt;$AI940))
) / 1000</f>
        <v>0</v>
      </c>
      <c r="BM940" s="250">
        <f t="shared" si="817"/>
        <v>25</v>
      </c>
      <c r="BN940" s="237">
        <f t="shared" si="795"/>
        <v>39.516666666666666</v>
      </c>
      <c r="BO940" s="253">
        <f t="shared" si="796"/>
        <v>3.877011788826243</v>
      </c>
      <c r="BP940" s="253" cm="1">
        <f t="array" ref="BP940">$BC940 * IF($AD940&lt;=2,
SUMPRODUCT(INDEX($AL$67:$AN$71,,$AE940), INDEX($AO$67:$AU$71,,$AD940), 1 / ($AV$67:$AV$71*BO940 + (1-$AV$67:$AV$71)*BK940), N($AK$67:$AK$71&gt;$AI940)),
SUMPRODUCT(INDEX($AL$57:$AN$66,,$AE940), INDEX($AO$57:$AU$66,,$AD940), 1 / ($AW$57:$AW$66*BO940 + (1-$AW$57:$AW$66)*BK940), N($AK$57:$AK$66&gt;$AI940))
) / 1000</f>
        <v>0</v>
      </c>
      <c r="BQ940" s="250">
        <f t="shared" si="818"/>
        <v>20</v>
      </c>
      <c r="BR940" s="237">
        <f t="shared" si="797"/>
        <v>33</v>
      </c>
      <c r="BS940" s="253">
        <f t="shared" si="798"/>
        <v>4.8487499999999999</v>
      </c>
      <c r="BT940" s="253" cm="1">
        <f t="array" ref="BT940">$BC940 * IF($AD940&lt;=2,
SUMPRODUCT(INDEX($AL$62:$AN$66,,$AE940), INDEX($AO$62:$AU$66,,$AD940), 1 / ($AV$62:$AV$66*BS940 + (1-$AV$62:$AV$66)*BO940), N($AK$62:$AK$66&gt;$AI940)),
SUMPRODUCT(INDEX($AL$47:$AN$56,,$AE940), INDEX($AO$47:$AU$56,,$AD940), 1 / ($AW$47:$AW$56*BS940 + (1-$AW$47:$AW$56)*BO940), N($AK$47:$AK$56&gt;$AI940))
) / 1000</f>
        <v>0</v>
      </c>
      <c r="BU940" s="253" cm="1">
        <f t="array" ref="BU940">$BC940 * IF($AD940&lt;=2,
SUMPRODUCT(INDEX($AL$23:$AN$61,,$AE940), INDEX($AO$23:$AU$61,,$AD940), 1 / ($AV$23:$AV$61*BS940), N($AK$23:$AK$61&gt;$AI940)),
SUMPRODUCT(INDEX($AL$23:$AN$46,,$AE940), INDEX($AO$23:$AU$46,,$AD940), 1 / ($AW$23:$AW$46*BS940), N($AK$23:$AK$46&gt;$AI940))
) / 1000</f>
        <v>0</v>
      </c>
      <c r="BV940" s="237">
        <f t="shared" si="799"/>
        <v>0</v>
      </c>
      <c r="BW940" s="210"/>
      <c r="BX940" s="237">
        <f t="shared" si="800"/>
        <v>0</v>
      </c>
      <c r="BY940" s="236">
        <v>35</v>
      </c>
      <c r="BZ940" s="237">
        <f t="shared" si="801"/>
        <v>48</v>
      </c>
      <c r="CA940" s="253">
        <f t="shared" si="802"/>
        <v>3.0748170731707316</v>
      </c>
      <c r="CB940" s="253" cm="1">
        <f t="array" ref="CB940">$BC940 * SUMPRODUCT(INDEX($AL$77:$AN$82,,$AE940),INDEX($AO$77:$AU$82,,$AD940), N($AK$77:$AK$82&gt;$AI940)) / CA940 / 1000</f>
        <v>0</v>
      </c>
      <c r="CC940" s="250">
        <f t="shared" si="819"/>
        <v>30</v>
      </c>
      <c r="CD940" s="237">
        <f t="shared" si="803"/>
        <v>43</v>
      </c>
      <c r="CE940" s="253">
        <f t="shared" si="804"/>
        <v>3.5018750000000001</v>
      </c>
      <c r="CF940" s="253" cm="1">
        <f t="array" ref="CF940">$BC940 * IF($AD940&lt;=2,
SUMPRODUCT(INDEX($AL$72:$AN$76,,$AE940), INDEX($AO$72:$AU$76,,$AD940), 1 / ($AV$72:$AV$76*CE940 + (1-$AV$72:$AV$76)*CA940), N($AK$72:$AK$76&gt;$AI940)),
SUMPRODUCT(INDEX($AL$67:$AN$76,,$AE940), INDEX($AO$67:$AU$76,,$AD940), 1 / ($AW$67:$AW$76*CE940 + (1-$AW$67:$AW$76)*CA940), N($AK$67:$AK$76&gt;$AI940))
) / 1000</f>
        <v>0</v>
      </c>
      <c r="CG940" s="250">
        <f t="shared" si="820"/>
        <v>25</v>
      </c>
      <c r="CH940" s="237">
        <f t="shared" si="805"/>
        <v>38</v>
      </c>
      <c r="CI940" s="253">
        <f t="shared" si="806"/>
        <v>4.0666935483870965</v>
      </c>
      <c r="CJ940" s="253" cm="1">
        <f t="array" ref="CJ940">$BC940 * IF($AD940&lt;=2,
SUMPRODUCT(INDEX($AL$67:$AN$71,,$AE940), INDEX($AO$67:$AU$71,,$AD940), 1 / ($AV$67:$AV$71*CI940 + (1-$AV$67:$AV$71)*CE940), N($AK$67:$AK$71&gt;$AI940)),
SUMPRODUCT(INDEX($AL$57:$AN$66,,$AE940), INDEX($AO$57:$AU$66,,$AD940), 1 / ($AW$57:$AW$66*CI940 + (1-$AW$57:$AW$66)*CE940), N($AK$57:$AK$66&gt;$AI940))
) / 1000</f>
        <v>0</v>
      </c>
      <c r="CK940" s="250">
        <f t="shared" si="821"/>
        <v>20</v>
      </c>
      <c r="CL940" s="237">
        <f t="shared" si="807"/>
        <v>33</v>
      </c>
      <c r="CM940" s="253">
        <f t="shared" si="808"/>
        <v>4.8487499999999999</v>
      </c>
      <c r="CN940" s="253" cm="1">
        <f t="array" ref="CN940">$BC940 * IF($AD940&lt;=2,
SUMPRODUCT(INDEX($AL$62:$AN$66,,$AE940), INDEX($AO$62:$AU$66,,$AD940), 1 / ($AV$62:$AV$66*CM940 + (1-$AV$62:$AV$66)*CI940), N($AK$62:$AK$66&gt;$AI940)),
SUMPRODUCT(INDEX($AL$47:$AN$56,,$AE940), INDEX($AO$47:$AU$56,,$AD940), 1 / ($AW$47:$AW$56*CM940 + (1-$AW$47:$AW$56)*CI940), N($AK$47:$AK$56&gt;$AI940))
) / 1000</f>
        <v>0</v>
      </c>
      <c r="CO940" s="253" cm="1">
        <f t="array" ref="CO940">$BC940 * IF($AD940&lt;=2,
SUMPRODUCT(INDEX($AL$23:$AN$61,,$AE940), INDEX($AO$23:$AU$61,,$AD940), 1 / ($AV$23:$AV$61*CM940), N($AK$23:$AK$61&gt;$AI940)),
SUMPRODUCT(INDEX($AL$23:$AN$46,,$AE940), INDEX($AO$23:$AU$46,,$AD940), 1 / ($AW$23:$AW$46*CM940), N($AK$23:$AK$46&gt;$AI940))
) / 1000</f>
        <v>0</v>
      </c>
      <c r="CP940" s="237">
        <f t="shared" si="809"/>
        <v>0</v>
      </c>
      <c r="CQ940" s="210"/>
    </row>
    <row r="941" spans="1:95" s="76" customFormat="1" ht="14.25" customHeight="1" x14ac:dyDescent="0.2">
      <c r="A941" s="238" t="b">
        <f t="shared" si="813"/>
        <v>0</v>
      </c>
      <c r="B941" s="239">
        <v>919</v>
      </c>
      <c r="C941" s="258"/>
      <c r="D941" s="258"/>
      <c r="E941" s="240"/>
      <c r="F941" s="241" t="str">
        <f>IF(ISBLANK(E941), "", VLOOKUP(E941, Z!$A$2:$C$4127, 3, FALSE))</f>
        <v/>
      </c>
      <c r="G941" s="242"/>
      <c r="H941" s="242"/>
      <c r="I941" s="243"/>
      <c r="J941" s="244"/>
      <c r="K941" s="259"/>
      <c r="L941" s="260"/>
      <c r="M941" s="247" t="str" cm="1">
        <f t="array" ref="M941">IF($K941&gt;0, INDEX(Clean,1+AG941,$C$1), "")</f>
        <v/>
      </c>
      <c r="N941" s="245"/>
      <c r="O941" s="245"/>
      <c r="P941" s="246"/>
      <c r="Q941" s="248">
        <f t="shared" si="786"/>
        <v>0</v>
      </c>
      <c r="R941" s="247" t="str" cm="1">
        <f t="array" ref="R941">IF($K941&gt;0, INDEX(Clean,1+AH941,$C$1), "")</f>
        <v/>
      </c>
      <c r="S941" s="245"/>
      <c r="T941" s="245"/>
      <c r="U941" s="246"/>
      <c r="V941" s="248">
        <f t="shared" si="787"/>
        <v>0</v>
      </c>
      <c r="W941" s="261"/>
      <c r="X941" s="258"/>
      <c r="Y941" s="240"/>
      <c r="Z941" s="241" t="str">
        <f>IF(ISBLANK(Y941), "", VLOOKUP(Y941, Z!$A$2:$C$4127, 3, FALSE))</f>
        <v/>
      </c>
      <c r="AA941" s="262"/>
      <c r="AB941" s="249">
        <f t="shared" si="822"/>
        <v>0</v>
      </c>
      <c r="AC941" s="210"/>
      <c r="AD941" s="236">
        <f t="shared" si="810"/>
        <v>1</v>
      </c>
      <c r="AE941" s="236">
        <f t="shared" si="811"/>
        <v>1</v>
      </c>
      <c r="AF941" s="236">
        <f t="shared" si="812"/>
        <v>0</v>
      </c>
      <c r="AG941" s="236">
        <v>1</v>
      </c>
      <c r="AH941" s="236">
        <v>0</v>
      </c>
      <c r="AI941" s="236">
        <f t="shared" si="788"/>
        <v>-100</v>
      </c>
      <c r="AJ941" s="210"/>
      <c r="AK941" s="254"/>
      <c r="AL941" s="254"/>
      <c r="AM941" s="255"/>
      <c r="AN941" s="255"/>
      <c r="AO941" s="255"/>
      <c r="AP941" s="255"/>
      <c r="AQ941" s="255"/>
      <c r="AR941" s="255"/>
      <c r="AS941" s="255"/>
      <c r="AT941" s="255"/>
      <c r="AU941" s="255"/>
      <c r="AV941" s="255"/>
      <c r="AW941" s="255"/>
      <c r="AX941" s="210"/>
      <c r="AY941" s="236" cm="1">
        <f t="array" ref="AY941">INDEX(Use, $AD941, 4)</f>
        <v>7</v>
      </c>
      <c r="AZ941" s="236">
        <f t="shared" si="789"/>
        <v>32</v>
      </c>
      <c r="BA941" s="236">
        <f t="shared" si="814"/>
        <v>13</v>
      </c>
      <c r="BB941" s="236">
        <f t="shared" si="815"/>
        <v>0</v>
      </c>
      <c r="BC941" s="252" cm="1">
        <f t="array" ref="BC941">K941/IF($L941&gt;0, INDEX($AO$23:$AU$77, $L941+20, $AD941), 1)</f>
        <v>0</v>
      </c>
      <c r="BD941" s="237">
        <f t="shared" si="790"/>
        <v>0</v>
      </c>
      <c r="BE941" s="236">
        <v>35</v>
      </c>
      <c r="BF941" s="237">
        <f t="shared" si="791"/>
        <v>52.55</v>
      </c>
      <c r="BG941" s="253">
        <f t="shared" si="792"/>
        <v>2.7676728869374316</v>
      </c>
      <c r="BH941" s="253" cm="1">
        <f t="array" ref="BH941">$BC941 * SUMPRODUCT(INDEX($AL$77:$AN$82,,$AE941),INDEX($AO$77:$AU$82,,$AD941), N($AK$77:$AK$82&gt;$AI941)) / BG941 / 1000</f>
        <v>0</v>
      </c>
      <c r="BI941" s="250">
        <f t="shared" si="816"/>
        <v>30</v>
      </c>
      <c r="BJ941" s="237">
        <f t="shared" si="793"/>
        <v>46.033333333333331</v>
      </c>
      <c r="BK941" s="253">
        <f t="shared" si="794"/>
        <v>3.2297395388556791</v>
      </c>
      <c r="BL941" s="253" cm="1">
        <f t="array" ref="BL941">$BC941 * IF($AD941&lt;=2,
SUMPRODUCT(INDEX($AL$72:$AN$76,,$AE941), INDEX($AO$72:$AU$76,,$AD941), 1 / ($AV$72:$AV$76*BK941 + (1-$AV$72:$AV$76)*BG941), N($AK$72:$AK$76&gt;$AI941)),
SUMPRODUCT(INDEX($AL$67:$AN$76,,$AE941), INDEX($AO$67:$AU$76,,$AD941), 1 / ($AW$67:$AW$76*BK941 + (1-$AW$67:$AW$76)*BG941), N($AK$67:$AK$76&gt;$AI941))
) / 1000</f>
        <v>0</v>
      </c>
      <c r="BM941" s="250">
        <f t="shared" si="817"/>
        <v>25</v>
      </c>
      <c r="BN941" s="237">
        <f t="shared" si="795"/>
        <v>39.516666666666666</v>
      </c>
      <c r="BO941" s="253">
        <f t="shared" si="796"/>
        <v>3.877011788826243</v>
      </c>
      <c r="BP941" s="253" cm="1">
        <f t="array" ref="BP941">$BC941 * IF($AD941&lt;=2,
SUMPRODUCT(INDEX($AL$67:$AN$71,,$AE941), INDEX($AO$67:$AU$71,,$AD941), 1 / ($AV$67:$AV$71*BO941 + (1-$AV$67:$AV$71)*BK941), N($AK$67:$AK$71&gt;$AI941)),
SUMPRODUCT(INDEX($AL$57:$AN$66,,$AE941), INDEX($AO$57:$AU$66,,$AD941), 1 / ($AW$57:$AW$66*BO941 + (1-$AW$57:$AW$66)*BK941), N($AK$57:$AK$66&gt;$AI941))
) / 1000</f>
        <v>0</v>
      </c>
      <c r="BQ941" s="250">
        <f t="shared" si="818"/>
        <v>20</v>
      </c>
      <c r="BR941" s="237">
        <f t="shared" si="797"/>
        <v>33</v>
      </c>
      <c r="BS941" s="253">
        <f t="shared" si="798"/>
        <v>4.8487499999999999</v>
      </c>
      <c r="BT941" s="253" cm="1">
        <f t="array" ref="BT941">$BC941 * IF($AD941&lt;=2,
SUMPRODUCT(INDEX($AL$62:$AN$66,,$AE941), INDEX($AO$62:$AU$66,,$AD941), 1 / ($AV$62:$AV$66*BS941 + (1-$AV$62:$AV$66)*BO941), N($AK$62:$AK$66&gt;$AI941)),
SUMPRODUCT(INDEX($AL$47:$AN$56,,$AE941), INDEX($AO$47:$AU$56,,$AD941), 1 / ($AW$47:$AW$56*BS941 + (1-$AW$47:$AW$56)*BO941), N($AK$47:$AK$56&gt;$AI941))
) / 1000</f>
        <v>0</v>
      </c>
      <c r="BU941" s="253" cm="1">
        <f t="array" ref="BU941">$BC941 * IF($AD941&lt;=2,
SUMPRODUCT(INDEX($AL$23:$AN$61,,$AE941), INDEX($AO$23:$AU$61,,$AD941), 1 / ($AV$23:$AV$61*BS941), N($AK$23:$AK$61&gt;$AI941)),
SUMPRODUCT(INDEX($AL$23:$AN$46,,$AE941), INDEX($AO$23:$AU$46,,$AD941), 1 / ($AW$23:$AW$46*BS941), N($AK$23:$AK$46&gt;$AI941))
) / 1000</f>
        <v>0</v>
      </c>
      <c r="BV941" s="237">
        <f t="shared" si="799"/>
        <v>0</v>
      </c>
      <c r="BW941" s="210"/>
      <c r="BX941" s="237">
        <f t="shared" si="800"/>
        <v>0</v>
      </c>
      <c r="BY941" s="236">
        <v>35</v>
      </c>
      <c r="BZ941" s="237">
        <f t="shared" si="801"/>
        <v>48</v>
      </c>
      <c r="CA941" s="253">
        <f t="shared" si="802"/>
        <v>3.0748170731707316</v>
      </c>
      <c r="CB941" s="253" cm="1">
        <f t="array" ref="CB941">$BC941 * SUMPRODUCT(INDEX($AL$77:$AN$82,,$AE941),INDEX($AO$77:$AU$82,,$AD941), N($AK$77:$AK$82&gt;$AI941)) / CA941 / 1000</f>
        <v>0</v>
      </c>
      <c r="CC941" s="250">
        <f t="shared" si="819"/>
        <v>30</v>
      </c>
      <c r="CD941" s="237">
        <f t="shared" si="803"/>
        <v>43</v>
      </c>
      <c r="CE941" s="253">
        <f t="shared" si="804"/>
        <v>3.5018750000000001</v>
      </c>
      <c r="CF941" s="253" cm="1">
        <f t="array" ref="CF941">$BC941 * IF($AD941&lt;=2,
SUMPRODUCT(INDEX($AL$72:$AN$76,,$AE941), INDEX($AO$72:$AU$76,,$AD941), 1 / ($AV$72:$AV$76*CE941 + (1-$AV$72:$AV$76)*CA941), N($AK$72:$AK$76&gt;$AI941)),
SUMPRODUCT(INDEX($AL$67:$AN$76,,$AE941), INDEX($AO$67:$AU$76,,$AD941), 1 / ($AW$67:$AW$76*CE941 + (1-$AW$67:$AW$76)*CA941), N($AK$67:$AK$76&gt;$AI941))
) / 1000</f>
        <v>0</v>
      </c>
      <c r="CG941" s="250">
        <f t="shared" si="820"/>
        <v>25</v>
      </c>
      <c r="CH941" s="237">
        <f t="shared" si="805"/>
        <v>38</v>
      </c>
      <c r="CI941" s="253">
        <f t="shared" si="806"/>
        <v>4.0666935483870965</v>
      </c>
      <c r="CJ941" s="253" cm="1">
        <f t="array" ref="CJ941">$BC941 * IF($AD941&lt;=2,
SUMPRODUCT(INDEX($AL$67:$AN$71,,$AE941), INDEX($AO$67:$AU$71,,$AD941), 1 / ($AV$67:$AV$71*CI941 + (1-$AV$67:$AV$71)*CE941), N($AK$67:$AK$71&gt;$AI941)),
SUMPRODUCT(INDEX($AL$57:$AN$66,,$AE941), INDEX($AO$57:$AU$66,,$AD941), 1 / ($AW$57:$AW$66*CI941 + (1-$AW$57:$AW$66)*CE941), N($AK$57:$AK$66&gt;$AI941))
) / 1000</f>
        <v>0</v>
      </c>
      <c r="CK941" s="250">
        <f t="shared" si="821"/>
        <v>20</v>
      </c>
      <c r="CL941" s="237">
        <f t="shared" si="807"/>
        <v>33</v>
      </c>
      <c r="CM941" s="253">
        <f t="shared" si="808"/>
        <v>4.8487499999999999</v>
      </c>
      <c r="CN941" s="253" cm="1">
        <f t="array" ref="CN941">$BC941 * IF($AD941&lt;=2,
SUMPRODUCT(INDEX($AL$62:$AN$66,,$AE941), INDEX($AO$62:$AU$66,,$AD941), 1 / ($AV$62:$AV$66*CM941 + (1-$AV$62:$AV$66)*CI941), N($AK$62:$AK$66&gt;$AI941)),
SUMPRODUCT(INDEX($AL$47:$AN$56,,$AE941), INDEX($AO$47:$AU$56,,$AD941), 1 / ($AW$47:$AW$56*CM941 + (1-$AW$47:$AW$56)*CI941), N($AK$47:$AK$56&gt;$AI941))
) / 1000</f>
        <v>0</v>
      </c>
      <c r="CO941" s="253" cm="1">
        <f t="array" ref="CO941">$BC941 * IF($AD941&lt;=2,
SUMPRODUCT(INDEX($AL$23:$AN$61,,$AE941), INDEX($AO$23:$AU$61,,$AD941), 1 / ($AV$23:$AV$61*CM941), N($AK$23:$AK$61&gt;$AI941)),
SUMPRODUCT(INDEX($AL$23:$AN$46,,$AE941), INDEX($AO$23:$AU$46,,$AD941), 1 / ($AW$23:$AW$46*CM941), N($AK$23:$AK$46&gt;$AI941))
) / 1000</f>
        <v>0</v>
      </c>
      <c r="CP941" s="237">
        <f t="shared" si="809"/>
        <v>0</v>
      </c>
      <c r="CQ941" s="210"/>
    </row>
    <row r="942" spans="1:95" s="76" customFormat="1" ht="14.25" customHeight="1" x14ac:dyDescent="0.2">
      <c r="A942" s="238" t="b">
        <f t="shared" si="813"/>
        <v>0</v>
      </c>
      <c r="B942" s="239">
        <v>920</v>
      </c>
      <c r="C942" s="258"/>
      <c r="D942" s="258"/>
      <c r="E942" s="240"/>
      <c r="F942" s="241" t="str">
        <f>IF(ISBLANK(E942), "", VLOOKUP(E942, Z!$A$2:$C$4127, 3, FALSE))</f>
        <v/>
      </c>
      <c r="G942" s="242"/>
      <c r="H942" s="242"/>
      <c r="I942" s="243"/>
      <c r="J942" s="244"/>
      <c r="K942" s="259"/>
      <c r="L942" s="260"/>
      <c r="M942" s="247" t="str" cm="1">
        <f t="array" ref="M942">IF($K942&gt;0, INDEX(Clean,1+AG942,$C$1), "")</f>
        <v/>
      </c>
      <c r="N942" s="245"/>
      <c r="O942" s="245"/>
      <c r="P942" s="246"/>
      <c r="Q942" s="248">
        <f t="shared" si="786"/>
        <v>0</v>
      </c>
      <c r="R942" s="247" t="str" cm="1">
        <f t="array" ref="R942">IF($K942&gt;0, INDEX(Clean,1+AH942,$C$1), "")</f>
        <v/>
      </c>
      <c r="S942" s="245"/>
      <c r="T942" s="245"/>
      <c r="U942" s="246"/>
      <c r="V942" s="248">
        <f t="shared" si="787"/>
        <v>0</v>
      </c>
      <c r="W942" s="261"/>
      <c r="X942" s="258"/>
      <c r="Y942" s="240"/>
      <c r="Z942" s="241" t="str">
        <f>IF(ISBLANK(Y942), "", VLOOKUP(Y942, Z!$A$2:$C$4127, 3, FALSE))</f>
        <v/>
      </c>
      <c r="AA942" s="262"/>
      <c r="AB942" s="249">
        <f t="shared" si="822"/>
        <v>0</v>
      </c>
      <c r="AC942" s="210"/>
      <c r="AD942" s="236">
        <f t="shared" si="810"/>
        <v>1</v>
      </c>
      <c r="AE942" s="236">
        <f t="shared" si="811"/>
        <v>1</v>
      </c>
      <c r="AF942" s="236">
        <f t="shared" si="812"/>
        <v>0</v>
      </c>
      <c r="AG942" s="236">
        <v>1</v>
      </c>
      <c r="AH942" s="236">
        <v>0</v>
      </c>
      <c r="AI942" s="236">
        <f t="shared" si="788"/>
        <v>-100</v>
      </c>
      <c r="AJ942" s="210"/>
      <c r="AK942" s="254"/>
      <c r="AL942" s="254"/>
      <c r="AM942" s="255"/>
      <c r="AN942" s="255"/>
      <c r="AO942" s="255"/>
      <c r="AP942" s="255"/>
      <c r="AQ942" s="255"/>
      <c r="AR942" s="255"/>
      <c r="AS942" s="255"/>
      <c r="AT942" s="255"/>
      <c r="AU942" s="255"/>
      <c r="AV942" s="255"/>
      <c r="AW942" s="255"/>
      <c r="AX942" s="210"/>
      <c r="AY942" s="236" cm="1">
        <f t="array" ref="AY942">INDEX(Use, $AD942, 4)</f>
        <v>7</v>
      </c>
      <c r="AZ942" s="236">
        <f t="shared" si="789"/>
        <v>32</v>
      </c>
      <c r="BA942" s="236">
        <f t="shared" si="814"/>
        <v>13</v>
      </c>
      <c r="BB942" s="236">
        <f t="shared" si="815"/>
        <v>0</v>
      </c>
      <c r="BC942" s="252" cm="1">
        <f t="array" ref="BC942">K942/IF($L942&gt;0, INDEX($AO$23:$AU$77, $L942+20, $AD942), 1)</f>
        <v>0</v>
      </c>
      <c r="BD942" s="237">
        <f t="shared" si="790"/>
        <v>0</v>
      </c>
      <c r="BE942" s="236">
        <v>35</v>
      </c>
      <c r="BF942" s="237">
        <f t="shared" si="791"/>
        <v>52.55</v>
      </c>
      <c r="BG942" s="253">
        <f t="shared" si="792"/>
        <v>2.7676728869374316</v>
      </c>
      <c r="BH942" s="253" cm="1">
        <f t="array" ref="BH942">$BC942 * SUMPRODUCT(INDEX($AL$77:$AN$82,,$AE942),INDEX($AO$77:$AU$82,,$AD942), N($AK$77:$AK$82&gt;$AI942)) / BG942 / 1000</f>
        <v>0</v>
      </c>
      <c r="BI942" s="250">
        <f t="shared" si="816"/>
        <v>30</v>
      </c>
      <c r="BJ942" s="237">
        <f t="shared" si="793"/>
        <v>46.033333333333331</v>
      </c>
      <c r="BK942" s="253">
        <f t="shared" si="794"/>
        <v>3.2297395388556791</v>
      </c>
      <c r="BL942" s="253" cm="1">
        <f t="array" ref="BL942">$BC942 * IF($AD942&lt;=2,
SUMPRODUCT(INDEX($AL$72:$AN$76,,$AE942), INDEX($AO$72:$AU$76,,$AD942), 1 / ($AV$72:$AV$76*BK942 + (1-$AV$72:$AV$76)*BG942), N($AK$72:$AK$76&gt;$AI942)),
SUMPRODUCT(INDEX($AL$67:$AN$76,,$AE942), INDEX($AO$67:$AU$76,,$AD942), 1 / ($AW$67:$AW$76*BK942 + (1-$AW$67:$AW$76)*BG942), N($AK$67:$AK$76&gt;$AI942))
) / 1000</f>
        <v>0</v>
      </c>
      <c r="BM942" s="250">
        <f t="shared" si="817"/>
        <v>25</v>
      </c>
      <c r="BN942" s="237">
        <f t="shared" si="795"/>
        <v>39.516666666666666</v>
      </c>
      <c r="BO942" s="253">
        <f t="shared" si="796"/>
        <v>3.877011788826243</v>
      </c>
      <c r="BP942" s="253" cm="1">
        <f t="array" ref="BP942">$BC942 * IF($AD942&lt;=2,
SUMPRODUCT(INDEX($AL$67:$AN$71,,$AE942), INDEX($AO$67:$AU$71,,$AD942), 1 / ($AV$67:$AV$71*BO942 + (1-$AV$67:$AV$71)*BK942), N($AK$67:$AK$71&gt;$AI942)),
SUMPRODUCT(INDEX($AL$57:$AN$66,,$AE942), INDEX($AO$57:$AU$66,,$AD942), 1 / ($AW$57:$AW$66*BO942 + (1-$AW$57:$AW$66)*BK942), N($AK$57:$AK$66&gt;$AI942))
) / 1000</f>
        <v>0</v>
      </c>
      <c r="BQ942" s="250">
        <f t="shared" si="818"/>
        <v>20</v>
      </c>
      <c r="BR942" s="237">
        <f t="shared" si="797"/>
        <v>33</v>
      </c>
      <c r="BS942" s="253">
        <f t="shared" si="798"/>
        <v>4.8487499999999999</v>
      </c>
      <c r="BT942" s="253" cm="1">
        <f t="array" ref="BT942">$BC942 * IF($AD942&lt;=2,
SUMPRODUCT(INDEX($AL$62:$AN$66,,$AE942), INDEX($AO$62:$AU$66,,$AD942), 1 / ($AV$62:$AV$66*BS942 + (1-$AV$62:$AV$66)*BO942), N($AK$62:$AK$66&gt;$AI942)),
SUMPRODUCT(INDEX($AL$47:$AN$56,,$AE942), INDEX($AO$47:$AU$56,,$AD942), 1 / ($AW$47:$AW$56*BS942 + (1-$AW$47:$AW$56)*BO942), N($AK$47:$AK$56&gt;$AI942))
) / 1000</f>
        <v>0</v>
      </c>
      <c r="BU942" s="253" cm="1">
        <f t="array" ref="BU942">$BC942 * IF($AD942&lt;=2,
SUMPRODUCT(INDEX($AL$23:$AN$61,,$AE942), INDEX($AO$23:$AU$61,,$AD942), 1 / ($AV$23:$AV$61*BS942), N($AK$23:$AK$61&gt;$AI942)),
SUMPRODUCT(INDEX($AL$23:$AN$46,,$AE942), INDEX($AO$23:$AU$46,,$AD942), 1 / ($AW$23:$AW$46*BS942), N($AK$23:$AK$46&gt;$AI942))
) / 1000</f>
        <v>0</v>
      </c>
      <c r="BV942" s="237">
        <f t="shared" si="799"/>
        <v>0</v>
      </c>
      <c r="BW942" s="210"/>
      <c r="BX942" s="237">
        <f t="shared" si="800"/>
        <v>0</v>
      </c>
      <c r="BY942" s="236">
        <v>35</v>
      </c>
      <c r="BZ942" s="237">
        <f t="shared" si="801"/>
        <v>48</v>
      </c>
      <c r="CA942" s="253">
        <f t="shared" si="802"/>
        <v>3.0748170731707316</v>
      </c>
      <c r="CB942" s="253" cm="1">
        <f t="array" ref="CB942">$BC942 * SUMPRODUCT(INDEX($AL$77:$AN$82,,$AE942),INDEX($AO$77:$AU$82,,$AD942), N($AK$77:$AK$82&gt;$AI942)) / CA942 / 1000</f>
        <v>0</v>
      </c>
      <c r="CC942" s="250">
        <f t="shared" si="819"/>
        <v>30</v>
      </c>
      <c r="CD942" s="237">
        <f t="shared" si="803"/>
        <v>43</v>
      </c>
      <c r="CE942" s="253">
        <f t="shared" si="804"/>
        <v>3.5018750000000001</v>
      </c>
      <c r="CF942" s="253" cm="1">
        <f t="array" ref="CF942">$BC942 * IF($AD942&lt;=2,
SUMPRODUCT(INDEX($AL$72:$AN$76,,$AE942), INDEX($AO$72:$AU$76,,$AD942), 1 / ($AV$72:$AV$76*CE942 + (1-$AV$72:$AV$76)*CA942), N($AK$72:$AK$76&gt;$AI942)),
SUMPRODUCT(INDEX($AL$67:$AN$76,,$AE942), INDEX($AO$67:$AU$76,,$AD942), 1 / ($AW$67:$AW$76*CE942 + (1-$AW$67:$AW$76)*CA942), N($AK$67:$AK$76&gt;$AI942))
) / 1000</f>
        <v>0</v>
      </c>
      <c r="CG942" s="250">
        <f t="shared" si="820"/>
        <v>25</v>
      </c>
      <c r="CH942" s="237">
        <f t="shared" si="805"/>
        <v>38</v>
      </c>
      <c r="CI942" s="253">
        <f t="shared" si="806"/>
        <v>4.0666935483870965</v>
      </c>
      <c r="CJ942" s="253" cm="1">
        <f t="array" ref="CJ942">$BC942 * IF($AD942&lt;=2,
SUMPRODUCT(INDEX($AL$67:$AN$71,,$AE942), INDEX($AO$67:$AU$71,,$AD942), 1 / ($AV$67:$AV$71*CI942 + (1-$AV$67:$AV$71)*CE942), N($AK$67:$AK$71&gt;$AI942)),
SUMPRODUCT(INDEX($AL$57:$AN$66,,$AE942), INDEX($AO$57:$AU$66,,$AD942), 1 / ($AW$57:$AW$66*CI942 + (1-$AW$57:$AW$66)*CE942), N($AK$57:$AK$66&gt;$AI942))
) / 1000</f>
        <v>0</v>
      </c>
      <c r="CK942" s="250">
        <f t="shared" si="821"/>
        <v>20</v>
      </c>
      <c r="CL942" s="237">
        <f t="shared" si="807"/>
        <v>33</v>
      </c>
      <c r="CM942" s="253">
        <f t="shared" si="808"/>
        <v>4.8487499999999999</v>
      </c>
      <c r="CN942" s="253" cm="1">
        <f t="array" ref="CN942">$BC942 * IF($AD942&lt;=2,
SUMPRODUCT(INDEX($AL$62:$AN$66,,$AE942), INDEX($AO$62:$AU$66,,$AD942), 1 / ($AV$62:$AV$66*CM942 + (1-$AV$62:$AV$66)*CI942), N($AK$62:$AK$66&gt;$AI942)),
SUMPRODUCT(INDEX($AL$47:$AN$56,,$AE942), INDEX($AO$47:$AU$56,,$AD942), 1 / ($AW$47:$AW$56*CM942 + (1-$AW$47:$AW$56)*CI942), N($AK$47:$AK$56&gt;$AI942))
) / 1000</f>
        <v>0</v>
      </c>
      <c r="CO942" s="253" cm="1">
        <f t="array" ref="CO942">$BC942 * IF($AD942&lt;=2,
SUMPRODUCT(INDEX($AL$23:$AN$61,,$AE942), INDEX($AO$23:$AU$61,,$AD942), 1 / ($AV$23:$AV$61*CM942), N($AK$23:$AK$61&gt;$AI942)),
SUMPRODUCT(INDEX($AL$23:$AN$46,,$AE942), INDEX($AO$23:$AU$46,,$AD942), 1 / ($AW$23:$AW$46*CM942), N($AK$23:$AK$46&gt;$AI942))
) / 1000</f>
        <v>0</v>
      </c>
      <c r="CP942" s="237">
        <f t="shared" si="809"/>
        <v>0</v>
      </c>
      <c r="CQ942" s="210"/>
    </row>
    <row r="943" spans="1:95" s="76" customFormat="1" ht="14.25" customHeight="1" x14ac:dyDescent="0.2">
      <c r="A943" s="238" t="b">
        <f t="shared" si="813"/>
        <v>0</v>
      </c>
      <c r="B943" s="239">
        <v>921</v>
      </c>
      <c r="C943" s="258"/>
      <c r="D943" s="258"/>
      <c r="E943" s="240"/>
      <c r="F943" s="241" t="str">
        <f>IF(ISBLANK(E943), "", VLOOKUP(E943, Z!$A$2:$C$4127, 3, FALSE))</f>
        <v/>
      </c>
      <c r="G943" s="242"/>
      <c r="H943" s="242"/>
      <c r="I943" s="243"/>
      <c r="J943" s="244"/>
      <c r="K943" s="259"/>
      <c r="L943" s="260"/>
      <c r="M943" s="247" t="str" cm="1">
        <f t="array" ref="M943">IF($K943&gt;0, INDEX(Clean,1+AG943,$C$1), "")</f>
        <v/>
      </c>
      <c r="N943" s="245"/>
      <c r="O943" s="245"/>
      <c r="P943" s="246"/>
      <c r="Q943" s="248">
        <f t="shared" si="786"/>
        <v>0</v>
      </c>
      <c r="R943" s="247" t="str" cm="1">
        <f t="array" ref="R943">IF($K943&gt;0, INDEX(Clean,1+AH943,$C$1), "")</f>
        <v/>
      </c>
      <c r="S943" s="245"/>
      <c r="T943" s="245"/>
      <c r="U943" s="246"/>
      <c r="V943" s="248">
        <f t="shared" si="787"/>
        <v>0</v>
      </c>
      <c r="W943" s="261"/>
      <c r="X943" s="258"/>
      <c r="Y943" s="240"/>
      <c r="Z943" s="241" t="str">
        <f>IF(ISBLANK(Y943), "", VLOOKUP(Y943, Z!$A$2:$C$4127, 3, FALSE))</f>
        <v/>
      </c>
      <c r="AA943" s="262"/>
      <c r="AB943" s="249">
        <f t="shared" si="822"/>
        <v>0</v>
      </c>
      <c r="AC943" s="210"/>
      <c r="AD943" s="236">
        <f t="shared" si="810"/>
        <v>1</v>
      </c>
      <c r="AE943" s="236">
        <f t="shared" si="811"/>
        <v>1</v>
      </c>
      <c r="AF943" s="236">
        <f t="shared" si="812"/>
        <v>0</v>
      </c>
      <c r="AG943" s="236">
        <v>1</v>
      </c>
      <c r="AH943" s="236">
        <v>0</v>
      </c>
      <c r="AI943" s="236">
        <f t="shared" si="788"/>
        <v>-100</v>
      </c>
      <c r="AJ943" s="210"/>
      <c r="AK943" s="254"/>
      <c r="AL943" s="254"/>
      <c r="AM943" s="255"/>
      <c r="AN943" s="255"/>
      <c r="AO943" s="255"/>
      <c r="AP943" s="255"/>
      <c r="AQ943" s="255"/>
      <c r="AR943" s="255"/>
      <c r="AS943" s="255"/>
      <c r="AT943" s="255"/>
      <c r="AU943" s="255"/>
      <c r="AV943" s="255"/>
      <c r="AW943" s="255"/>
      <c r="AX943" s="210"/>
      <c r="AY943" s="236" cm="1">
        <f t="array" ref="AY943">INDEX(Use, $AD943, 4)</f>
        <v>7</v>
      </c>
      <c r="AZ943" s="236">
        <f t="shared" si="789"/>
        <v>32</v>
      </c>
      <c r="BA943" s="236">
        <f t="shared" si="814"/>
        <v>13</v>
      </c>
      <c r="BB943" s="236">
        <f t="shared" si="815"/>
        <v>0</v>
      </c>
      <c r="BC943" s="252" cm="1">
        <f t="array" ref="BC943">K943/IF($L943&gt;0, INDEX($AO$23:$AU$77, $L943+20, $AD943), 1)</f>
        <v>0</v>
      </c>
      <c r="BD943" s="237">
        <f t="shared" si="790"/>
        <v>0</v>
      </c>
      <c r="BE943" s="236">
        <v>35</v>
      </c>
      <c r="BF943" s="237">
        <f t="shared" si="791"/>
        <v>52.55</v>
      </c>
      <c r="BG943" s="253">
        <f t="shared" si="792"/>
        <v>2.7676728869374316</v>
      </c>
      <c r="BH943" s="253" cm="1">
        <f t="array" ref="BH943">$BC943 * SUMPRODUCT(INDEX($AL$77:$AN$82,,$AE943),INDEX($AO$77:$AU$82,,$AD943), N($AK$77:$AK$82&gt;$AI943)) / BG943 / 1000</f>
        <v>0</v>
      </c>
      <c r="BI943" s="250">
        <f t="shared" si="816"/>
        <v>30</v>
      </c>
      <c r="BJ943" s="237">
        <f t="shared" si="793"/>
        <v>46.033333333333331</v>
      </c>
      <c r="BK943" s="253">
        <f t="shared" si="794"/>
        <v>3.2297395388556791</v>
      </c>
      <c r="BL943" s="253" cm="1">
        <f t="array" ref="BL943">$BC943 * IF($AD943&lt;=2,
SUMPRODUCT(INDEX($AL$72:$AN$76,,$AE943), INDEX($AO$72:$AU$76,,$AD943), 1 / ($AV$72:$AV$76*BK943 + (1-$AV$72:$AV$76)*BG943), N($AK$72:$AK$76&gt;$AI943)),
SUMPRODUCT(INDEX($AL$67:$AN$76,,$AE943), INDEX($AO$67:$AU$76,,$AD943), 1 / ($AW$67:$AW$76*BK943 + (1-$AW$67:$AW$76)*BG943), N($AK$67:$AK$76&gt;$AI943))
) / 1000</f>
        <v>0</v>
      </c>
      <c r="BM943" s="250">
        <f t="shared" si="817"/>
        <v>25</v>
      </c>
      <c r="BN943" s="237">
        <f t="shared" si="795"/>
        <v>39.516666666666666</v>
      </c>
      <c r="BO943" s="253">
        <f t="shared" si="796"/>
        <v>3.877011788826243</v>
      </c>
      <c r="BP943" s="253" cm="1">
        <f t="array" ref="BP943">$BC943 * IF($AD943&lt;=2,
SUMPRODUCT(INDEX($AL$67:$AN$71,,$AE943), INDEX($AO$67:$AU$71,,$AD943), 1 / ($AV$67:$AV$71*BO943 + (1-$AV$67:$AV$71)*BK943), N($AK$67:$AK$71&gt;$AI943)),
SUMPRODUCT(INDEX($AL$57:$AN$66,,$AE943), INDEX($AO$57:$AU$66,,$AD943), 1 / ($AW$57:$AW$66*BO943 + (1-$AW$57:$AW$66)*BK943), N($AK$57:$AK$66&gt;$AI943))
) / 1000</f>
        <v>0</v>
      </c>
      <c r="BQ943" s="250">
        <f t="shared" si="818"/>
        <v>20</v>
      </c>
      <c r="BR943" s="237">
        <f t="shared" si="797"/>
        <v>33</v>
      </c>
      <c r="BS943" s="253">
        <f t="shared" si="798"/>
        <v>4.8487499999999999</v>
      </c>
      <c r="BT943" s="253" cm="1">
        <f t="array" ref="BT943">$BC943 * IF($AD943&lt;=2,
SUMPRODUCT(INDEX($AL$62:$AN$66,,$AE943), INDEX($AO$62:$AU$66,,$AD943), 1 / ($AV$62:$AV$66*BS943 + (1-$AV$62:$AV$66)*BO943), N($AK$62:$AK$66&gt;$AI943)),
SUMPRODUCT(INDEX($AL$47:$AN$56,,$AE943), INDEX($AO$47:$AU$56,,$AD943), 1 / ($AW$47:$AW$56*BS943 + (1-$AW$47:$AW$56)*BO943), N($AK$47:$AK$56&gt;$AI943))
) / 1000</f>
        <v>0</v>
      </c>
      <c r="BU943" s="253" cm="1">
        <f t="array" ref="BU943">$BC943 * IF($AD943&lt;=2,
SUMPRODUCT(INDEX($AL$23:$AN$61,,$AE943), INDEX($AO$23:$AU$61,,$AD943), 1 / ($AV$23:$AV$61*BS943), N($AK$23:$AK$61&gt;$AI943)),
SUMPRODUCT(INDEX($AL$23:$AN$46,,$AE943), INDEX($AO$23:$AU$46,,$AD943), 1 / ($AW$23:$AW$46*BS943), N($AK$23:$AK$46&gt;$AI943))
) / 1000</f>
        <v>0</v>
      </c>
      <c r="BV943" s="237">
        <f t="shared" si="799"/>
        <v>0</v>
      </c>
      <c r="BW943" s="210"/>
      <c r="BX943" s="237">
        <f t="shared" si="800"/>
        <v>0</v>
      </c>
      <c r="BY943" s="236">
        <v>35</v>
      </c>
      <c r="BZ943" s="237">
        <f t="shared" si="801"/>
        <v>48</v>
      </c>
      <c r="CA943" s="253">
        <f t="shared" si="802"/>
        <v>3.0748170731707316</v>
      </c>
      <c r="CB943" s="253" cm="1">
        <f t="array" ref="CB943">$BC943 * SUMPRODUCT(INDEX($AL$77:$AN$82,,$AE943),INDEX($AO$77:$AU$82,,$AD943), N($AK$77:$AK$82&gt;$AI943)) / CA943 / 1000</f>
        <v>0</v>
      </c>
      <c r="CC943" s="250">
        <f t="shared" si="819"/>
        <v>30</v>
      </c>
      <c r="CD943" s="237">
        <f t="shared" si="803"/>
        <v>43</v>
      </c>
      <c r="CE943" s="253">
        <f t="shared" si="804"/>
        <v>3.5018750000000001</v>
      </c>
      <c r="CF943" s="253" cm="1">
        <f t="array" ref="CF943">$BC943 * IF($AD943&lt;=2,
SUMPRODUCT(INDEX($AL$72:$AN$76,,$AE943), INDEX($AO$72:$AU$76,,$AD943), 1 / ($AV$72:$AV$76*CE943 + (1-$AV$72:$AV$76)*CA943), N($AK$72:$AK$76&gt;$AI943)),
SUMPRODUCT(INDEX($AL$67:$AN$76,,$AE943), INDEX($AO$67:$AU$76,,$AD943), 1 / ($AW$67:$AW$76*CE943 + (1-$AW$67:$AW$76)*CA943), N($AK$67:$AK$76&gt;$AI943))
) / 1000</f>
        <v>0</v>
      </c>
      <c r="CG943" s="250">
        <f t="shared" si="820"/>
        <v>25</v>
      </c>
      <c r="CH943" s="237">
        <f t="shared" si="805"/>
        <v>38</v>
      </c>
      <c r="CI943" s="253">
        <f t="shared" si="806"/>
        <v>4.0666935483870965</v>
      </c>
      <c r="CJ943" s="253" cm="1">
        <f t="array" ref="CJ943">$BC943 * IF($AD943&lt;=2,
SUMPRODUCT(INDEX($AL$67:$AN$71,,$AE943), INDEX($AO$67:$AU$71,,$AD943), 1 / ($AV$67:$AV$71*CI943 + (1-$AV$67:$AV$71)*CE943), N($AK$67:$AK$71&gt;$AI943)),
SUMPRODUCT(INDEX($AL$57:$AN$66,,$AE943), INDEX($AO$57:$AU$66,,$AD943), 1 / ($AW$57:$AW$66*CI943 + (1-$AW$57:$AW$66)*CE943), N($AK$57:$AK$66&gt;$AI943))
) / 1000</f>
        <v>0</v>
      </c>
      <c r="CK943" s="250">
        <f t="shared" si="821"/>
        <v>20</v>
      </c>
      <c r="CL943" s="237">
        <f t="shared" si="807"/>
        <v>33</v>
      </c>
      <c r="CM943" s="253">
        <f t="shared" si="808"/>
        <v>4.8487499999999999</v>
      </c>
      <c r="CN943" s="253" cm="1">
        <f t="array" ref="CN943">$BC943 * IF($AD943&lt;=2,
SUMPRODUCT(INDEX($AL$62:$AN$66,,$AE943), INDEX($AO$62:$AU$66,,$AD943), 1 / ($AV$62:$AV$66*CM943 + (1-$AV$62:$AV$66)*CI943), N($AK$62:$AK$66&gt;$AI943)),
SUMPRODUCT(INDEX($AL$47:$AN$56,,$AE943), INDEX($AO$47:$AU$56,,$AD943), 1 / ($AW$47:$AW$56*CM943 + (1-$AW$47:$AW$56)*CI943), N($AK$47:$AK$56&gt;$AI943))
) / 1000</f>
        <v>0</v>
      </c>
      <c r="CO943" s="253" cm="1">
        <f t="array" ref="CO943">$BC943 * IF($AD943&lt;=2,
SUMPRODUCT(INDEX($AL$23:$AN$61,,$AE943), INDEX($AO$23:$AU$61,,$AD943), 1 / ($AV$23:$AV$61*CM943), N($AK$23:$AK$61&gt;$AI943)),
SUMPRODUCT(INDEX($AL$23:$AN$46,,$AE943), INDEX($AO$23:$AU$46,,$AD943), 1 / ($AW$23:$AW$46*CM943), N($AK$23:$AK$46&gt;$AI943))
) / 1000</f>
        <v>0</v>
      </c>
      <c r="CP943" s="237">
        <f t="shared" si="809"/>
        <v>0</v>
      </c>
      <c r="CQ943" s="210"/>
    </row>
    <row r="944" spans="1:95" s="76" customFormat="1" ht="14.25" customHeight="1" x14ac:dyDescent="0.2">
      <c r="A944" s="238" t="b">
        <f t="shared" si="813"/>
        <v>0</v>
      </c>
      <c r="B944" s="239">
        <v>922</v>
      </c>
      <c r="C944" s="258"/>
      <c r="D944" s="258"/>
      <c r="E944" s="240"/>
      <c r="F944" s="241" t="str">
        <f>IF(ISBLANK(E944), "", VLOOKUP(E944, Z!$A$2:$C$4127, 3, FALSE))</f>
        <v/>
      </c>
      <c r="G944" s="242"/>
      <c r="H944" s="242"/>
      <c r="I944" s="243"/>
      <c r="J944" s="244"/>
      <c r="K944" s="259"/>
      <c r="L944" s="260"/>
      <c r="M944" s="247" t="str" cm="1">
        <f t="array" ref="M944">IF($K944&gt;0, INDEX(Clean,1+AG944,$C$1), "")</f>
        <v/>
      </c>
      <c r="N944" s="245"/>
      <c r="O944" s="245"/>
      <c r="P944" s="246"/>
      <c r="Q944" s="248">
        <f t="shared" si="786"/>
        <v>0</v>
      </c>
      <c r="R944" s="247" t="str" cm="1">
        <f t="array" ref="R944">IF($K944&gt;0, INDEX(Clean,1+AH944,$C$1), "")</f>
        <v/>
      </c>
      <c r="S944" s="245"/>
      <c r="T944" s="245"/>
      <c r="U944" s="246"/>
      <c r="V944" s="248">
        <f t="shared" si="787"/>
        <v>0</v>
      </c>
      <c r="W944" s="261"/>
      <c r="X944" s="258"/>
      <c r="Y944" s="240"/>
      <c r="Z944" s="241" t="str">
        <f>IF(ISBLANK(Y944), "", VLOOKUP(Y944, Z!$A$2:$C$4127, 3, FALSE))</f>
        <v/>
      </c>
      <c r="AA944" s="262"/>
      <c r="AB944" s="249">
        <f t="shared" si="822"/>
        <v>0</v>
      </c>
      <c r="AC944" s="210"/>
      <c r="AD944" s="236">
        <f t="shared" si="810"/>
        <v>1</v>
      </c>
      <c r="AE944" s="236">
        <f t="shared" si="811"/>
        <v>1</v>
      </c>
      <c r="AF944" s="236">
        <f t="shared" si="812"/>
        <v>0</v>
      </c>
      <c r="AG944" s="236">
        <v>1</v>
      </c>
      <c r="AH944" s="236">
        <v>0</v>
      </c>
      <c r="AI944" s="236">
        <f t="shared" si="788"/>
        <v>-100</v>
      </c>
      <c r="AJ944" s="210"/>
      <c r="AK944" s="254"/>
      <c r="AL944" s="254"/>
      <c r="AM944" s="255"/>
      <c r="AN944" s="255"/>
      <c r="AO944" s="255"/>
      <c r="AP944" s="255"/>
      <c r="AQ944" s="255"/>
      <c r="AR944" s="255"/>
      <c r="AS944" s="255"/>
      <c r="AT944" s="255"/>
      <c r="AU944" s="255"/>
      <c r="AV944" s="255"/>
      <c r="AW944" s="255"/>
      <c r="AX944" s="210"/>
      <c r="AY944" s="236" cm="1">
        <f t="array" ref="AY944">INDEX(Use, $AD944, 4)</f>
        <v>7</v>
      </c>
      <c r="AZ944" s="236">
        <f t="shared" si="789"/>
        <v>32</v>
      </c>
      <c r="BA944" s="236">
        <f t="shared" si="814"/>
        <v>13</v>
      </c>
      <c r="BB944" s="236">
        <f t="shared" si="815"/>
        <v>0</v>
      </c>
      <c r="BC944" s="252" cm="1">
        <f t="array" ref="BC944">K944/IF($L944&gt;0, INDEX($AO$23:$AU$77, $L944+20, $AD944), 1)</f>
        <v>0</v>
      </c>
      <c r="BD944" s="237">
        <f t="shared" si="790"/>
        <v>0</v>
      </c>
      <c r="BE944" s="236">
        <v>35</v>
      </c>
      <c r="BF944" s="237">
        <f t="shared" si="791"/>
        <v>52.55</v>
      </c>
      <c r="BG944" s="253">
        <f t="shared" si="792"/>
        <v>2.7676728869374316</v>
      </c>
      <c r="BH944" s="253" cm="1">
        <f t="array" ref="BH944">$BC944 * SUMPRODUCT(INDEX($AL$77:$AN$82,,$AE944),INDEX($AO$77:$AU$82,,$AD944), N($AK$77:$AK$82&gt;$AI944)) / BG944 / 1000</f>
        <v>0</v>
      </c>
      <c r="BI944" s="250">
        <f t="shared" si="816"/>
        <v>30</v>
      </c>
      <c r="BJ944" s="237">
        <f t="shared" si="793"/>
        <v>46.033333333333331</v>
      </c>
      <c r="BK944" s="253">
        <f t="shared" si="794"/>
        <v>3.2297395388556791</v>
      </c>
      <c r="BL944" s="253" cm="1">
        <f t="array" ref="BL944">$BC944 * IF($AD944&lt;=2,
SUMPRODUCT(INDEX($AL$72:$AN$76,,$AE944), INDEX($AO$72:$AU$76,,$AD944), 1 / ($AV$72:$AV$76*BK944 + (1-$AV$72:$AV$76)*BG944), N($AK$72:$AK$76&gt;$AI944)),
SUMPRODUCT(INDEX($AL$67:$AN$76,,$AE944), INDEX($AO$67:$AU$76,,$AD944), 1 / ($AW$67:$AW$76*BK944 + (1-$AW$67:$AW$76)*BG944), N($AK$67:$AK$76&gt;$AI944))
) / 1000</f>
        <v>0</v>
      </c>
      <c r="BM944" s="250">
        <f t="shared" si="817"/>
        <v>25</v>
      </c>
      <c r="BN944" s="237">
        <f t="shared" si="795"/>
        <v>39.516666666666666</v>
      </c>
      <c r="BO944" s="253">
        <f t="shared" si="796"/>
        <v>3.877011788826243</v>
      </c>
      <c r="BP944" s="253" cm="1">
        <f t="array" ref="BP944">$BC944 * IF($AD944&lt;=2,
SUMPRODUCT(INDEX($AL$67:$AN$71,,$AE944), INDEX($AO$67:$AU$71,,$AD944), 1 / ($AV$67:$AV$71*BO944 + (1-$AV$67:$AV$71)*BK944), N($AK$67:$AK$71&gt;$AI944)),
SUMPRODUCT(INDEX($AL$57:$AN$66,,$AE944), INDEX($AO$57:$AU$66,,$AD944), 1 / ($AW$57:$AW$66*BO944 + (1-$AW$57:$AW$66)*BK944), N($AK$57:$AK$66&gt;$AI944))
) / 1000</f>
        <v>0</v>
      </c>
      <c r="BQ944" s="250">
        <f t="shared" si="818"/>
        <v>20</v>
      </c>
      <c r="BR944" s="237">
        <f t="shared" si="797"/>
        <v>33</v>
      </c>
      <c r="BS944" s="253">
        <f t="shared" si="798"/>
        <v>4.8487499999999999</v>
      </c>
      <c r="BT944" s="253" cm="1">
        <f t="array" ref="BT944">$BC944 * IF($AD944&lt;=2,
SUMPRODUCT(INDEX($AL$62:$AN$66,,$AE944), INDEX($AO$62:$AU$66,,$AD944), 1 / ($AV$62:$AV$66*BS944 + (1-$AV$62:$AV$66)*BO944), N($AK$62:$AK$66&gt;$AI944)),
SUMPRODUCT(INDEX($AL$47:$AN$56,,$AE944), INDEX($AO$47:$AU$56,,$AD944), 1 / ($AW$47:$AW$56*BS944 + (1-$AW$47:$AW$56)*BO944), N($AK$47:$AK$56&gt;$AI944))
) / 1000</f>
        <v>0</v>
      </c>
      <c r="BU944" s="253" cm="1">
        <f t="array" ref="BU944">$BC944 * IF($AD944&lt;=2,
SUMPRODUCT(INDEX($AL$23:$AN$61,,$AE944), INDEX($AO$23:$AU$61,,$AD944), 1 / ($AV$23:$AV$61*BS944), N($AK$23:$AK$61&gt;$AI944)),
SUMPRODUCT(INDEX($AL$23:$AN$46,,$AE944), INDEX($AO$23:$AU$46,,$AD944), 1 / ($AW$23:$AW$46*BS944), N($AK$23:$AK$46&gt;$AI944))
) / 1000</f>
        <v>0</v>
      </c>
      <c r="BV944" s="237">
        <f t="shared" si="799"/>
        <v>0</v>
      </c>
      <c r="BW944" s="210"/>
      <c r="BX944" s="237">
        <f t="shared" si="800"/>
        <v>0</v>
      </c>
      <c r="BY944" s="236">
        <v>35</v>
      </c>
      <c r="BZ944" s="237">
        <f t="shared" si="801"/>
        <v>48</v>
      </c>
      <c r="CA944" s="253">
        <f t="shared" si="802"/>
        <v>3.0748170731707316</v>
      </c>
      <c r="CB944" s="253" cm="1">
        <f t="array" ref="CB944">$BC944 * SUMPRODUCT(INDEX($AL$77:$AN$82,,$AE944),INDEX($AO$77:$AU$82,,$AD944), N($AK$77:$AK$82&gt;$AI944)) / CA944 / 1000</f>
        <v>0</v>
      </c>
      <c r="CC944" s="250">
        <f t="shared" si="819"/>
        <v>30</v>
      </c>
      <c r="CD944" s="237">
        <f t="shared" si="803"/>
        <v>43</v>
      </c>
      <c r="CE944" s="253">
        <f t="shared" si="804"/>
        <v>3.5018750000000001</v>
      </c>
      <c r="CF944" s="253" cm="1">
        <f t="array" ref="CF944">$BC944 * IF($AD944&lt;=2,
SUMPRODUCT(INDEX($AL$72:$AN$76,,$AE944), INDEX($AO$72:$AU$76,,$AD944), 1 / ($AV$72:$AV$76*CE944 + (1-$AV$72:$AV$76)*CA944), N($AK$72:$AK$76&gt;$AI944)),
SUMPRODUCT(INDEX($AL$67:$AN$76,,$AE944), INDEX($AO$67:$AU$76,,$AD944), 1 / ($AW$67:$AW$76*CE944 + (1-$AW$67:$AW$76)*CA944), N($AK$67:$AK$76&gt;$AI944))
) / 1000</f>
        <v>0</v>
      </c>
      <c r="CG944" s="250">
        <f t="shared" si="820"/>
        <v>25</v>
      </c>
      <c r="CH944" s="237">
        <f t="shared" si="805"/>
        <v>38</v>
      </c>
      <c r="CI944" s="253">
        <f t="shared" si="806"/>
        <v>4.0666935483870965</v>
      </c>
      <c r="CJ944" s="253" cm="1">
        <f t="array" ref="CJ944">$BC944 * IF($AD944&lt;=2,
SUMPRODUCT(INDEX($AL$67:$AN$71,,$AE944), INDEX($AO$67:$AU$71,,$AD944), 1 / ($AV$67:$AV$71*CI944 + (1-$AV$67:$AV$71)*CE944), N($AK$67:$AK$71&gt;$AI944)),
SUMPRODUCT(INDEX($AL$57:$AN$66,,$AE944), INDEX($AO$57:$AU$66,,$AD944), 1 / ($AW$57:$AW$66*CI944 + (1-$AW$57:$AW$66)*CE944), N($AK$57:$AK$66&gt;$AI944))
) / 1000</f>
        <v>0</v>
      </c>
      <c r="CK944" s="250">
        <f t="shared" si="821"/>
        <v>20</v>
      </c>
      <c r="CL944" s="237">
        <f t="shared" si="807"/>
        <v>33</v>
      </c>
      <c r="CM944" s="253">
        <f t="shared" si="808"/>
        <v>4.8487499999999999</v>
      </c>
      <c r="CN944" s="253" cm="1">
        <f t="array" ref="CN944">$BC944 * IF($AD944&lt;=2,
SUMPRODUCT(INDEX($AL$62:$AN$66,,$AE944), INDEX($AO$62:$AU$66,,$AD944), 1 / ($AV$62:$AV$66*CM944 + (1-$AV$62:$AV$66)*CI944), N($AK$62:$AK$66&gt;$AI944)),
SUMPRODUCT(INDEX($AL$47:$AN$56,,$AE944), INDEX($AO$47:$AU$56,,$AD944), 1 / ($AW$47:$AW$56*CM944 + (1-$AW$47:$AW$56)*CI944), N($AK$47:$AK$56&gt;$AI944))
) / 1000</f>
        <v>0</v>
      </c>
      <c r="CO944" s="253" cm="1">
        <f t="array" ref="CO944">$BC944 * IF($AD944&lt;=2,
SUMPRODUCT(INDEX($AL$23:$AN$61,,$AE944), INDEX($AO$23:$AU$61,,$AD944), 1 / ($AV$23:$AV$61*CM944), N($AK$23:$AK$61&gt;$AI944)),
SUMPRODUCT(INDEX($AL$23:$AN$46,,$AE944), INDEX($AO$23:$AU$46,,$AD944), 1 / ($AW$23:$AW$46*CM944), N($AK$23:$AK$46&gt;$AI944))
) / 1000</f>
        <v>0</v>
      </c>
      <c r="CP944" s="237">
        <f t="shared" si="809"/>
        <v>0</v>
      </c>
      <c r="CQ944" s="210"/>
    </row>
    <row r="945" spans="1:95" s="76" customFormat="1" ht="14.25" customHeight="1" x14ac:dyDescent="0.2">
      <c r="A945" s="238" t="b">
        <f t="shared" si="813"/>
        <v>0</v>
      </c>
      <c r="B945" s="239">
        <v>923</v>
      </c>
      <c r="C945" s="258"/>
      <c r="D945" s="258"/>
      <c r="E945" s="240"/>
      <c r="F945" s="241" t="str">
        <f>IF(ISBLANK(E945), "", VLOOKUP(E945, Z!$A$2:$C$4127, 3, FALSE))</f>
        <v/>
      </c>
      <c r="G945" s="242"/>
      <c r="H945" s="242"/>
      <c r="I945" s="243"/>
      <c r="J945" s="244"/>
      <c r="K945" s="259"/>
      <c r="L945" s="260"/>
      <c r="M945" s="247" t="str" cm="1">
        <f t="array" ref="M945">IF($K945&gt;0, INDEX(Clean,1+AG945,$C$1), "")</f>
        <v/>
      </c>
      <c r="N945" s="245"/>
      <c r="O945" s="245"/>
      <c r="P945" s="246"/>
      <c r="Q945" s="248">
        <f t="shared" si="786"/>
        <v>0</v>
      </c>
      <c r="R945" s="247" t="str" cm="1">
        <f t="array" ref="R945">IF($K945&gt;0, INDEX(Clean,1+AH945,$C$1), "")</f>
        <v/>
      </c>
      <c r="S945" s="245"/>
      <c r="T945" s="245"/>
      <c r="U945" s="246"/>
      <c r="V945" s="248">
        <f t="shared" si="787"/>
        <v>0</v>
      </c>
      <c r="W945" s="261"/>
      <c r="X945" s="258"/>
      <c r="Y945" s="240"/>
      <c r="Z945" s="241" t="str">
        <f>IF(ISBLANK(Y945), "", VLOOKUP(Y945, Z!$A$2:$C$4127, 3, FALSE))</f>
        <v/>
      </c>
      <c r="AA945" s="262"/>
      <c r="AB945" s="249">
        <f t="shared" si="822"/>
        <v>0</v>
      </c>
      <c r="AC945" s="210"/>
      <c r="AD945" s="236">
        <f t="shared" si="810"/>
        <v>1</v>
      </c>
      <c r="AE945" s="236">
        <f t="shared" si="811"/>
        <v>1</v>
      </c>
      <c r="AF945" s="236">
        <f t="shared" si="812"/>
        <v>0</v>
      </c>
      <c r="AG945" s="236">
        <v>1</v>
      </c>
      <c r="AH945" s="236">
        <v>0</v>
      </c>
      <c r="AI945" s="236">
        <f t="shared" si="788"/>
        <v>-100</v>
      </c>
      <c r="AJ945" s="210"/>
      <c r="AK945" s="254"/>
      <c r="AL945" s="254"/>
      <c r="AM945" s="255"/>
      <c r="AN945" s="255"/>
      <c r="AO945" s="255"/>
      <c r="AP945" s="255"/>
      <c r="AQ945" s="255"/>
      <c r="AR945" s="255"/>
      <c r="AS945" s="255"/>
      <c r="AT945" s="255"/>
      <c r="AU945" s="255"/>
      <c r="AV945" s="255"/>
      <c r="AW945" s="255"/>
      <c r="AX945" s="210"/>
      <c r="AY945" s="236" cm="1">
        <f t="array" ref="AY945">INDEX(Use, $AD945, 4)</f>
        <v>7</v>
      </c>
      <c r="AZ945" s="236">
        <f t="shared" si="789"/>
        <v>32</v>
      </c>
      <c r="BA945" s="236">
        <f t="shared" si="814"/>
        <v>13</v>
      </c>
      <c r="BB945" s="236">
        <f t="shared" si="815"/>
        <v>0</v>
      </c>
      <c r="BC945" s="252" cm="1">
        <f t="array" ref="BC945">K945/IF($L945&gt;0, INDEX($AO$23:$AU$77, $L945+20, $AD945), 1)</f>
        <v>0</v>
      </c>
      <c r="BD945" s="237">
        <f t="shared" si="790"/>
        <v>0</v>
      </c>
      <c r="BE945" s="236">
        <v>35</v>
      </c>
      <c r="BF945" s="237">
        <f t="shared" si="791"/>
        <v>52.55</v>
      </c>
      <c r="BG945" s="253">
        <f t="shared" si="792"/>
        <v>2.7676728869374316</v>
      </c>
      <c r="BH945" s="253" cm="1">
        <f t="array" ref="BH945">$BC945 * SUMPRODUCT(INDEX($AL$77:$AN$82,,$AE945),INDEX($AO$77:$AU$82,,$AD945), N($AK$77:$AK$82&gt;$AI945)) / BG945 / 1000</f>
        <v>0</v>
      </c>
      <c r="BI945" s="250">
        <f t="shared" si="816"/>
        <v>30</v>
      </c>
      <c r="BJ945" s="237">
        <f t="shared" si="793"/>
        <v>46.033333333333331</v>
      </c>
      <c r="BK945" s="253">
        <f t="shared" si="794"/>
        <v>3.2297395388556791</v>
      </c>
      <c r="BL945" s="253" cm="1">
        <f t="array" ref="BL945">$BC945 * IF($AD945&lt;=2,
SUMPRODUCT(INDEX($AL$72:$AN$76,,$AE945), INDEX($AO$72:$AU$76,,$AD945), 1 / ($AV$72:$AV$76*BK945 + (1-$AV$72:$AV$76)*BG945), N($AK$72:$AK$76&gt;$AI945)),
SUMPRODUCT(INDEX($AL$67:$AN$76,,$AE945), INDEX($AO$67:$AU$76,,$AD945), 1 / ($AW$67:$AW$76*BK945 + (1-$AW$67:$AW$76)*BG945), N($AK$67:$AK$76&gt;$AI945))
) / 1000</f>
        <v>0</v>
      </c>
      <c r="BM945" s="250">
        <f t="shared" si="817"/>
        <v>25</v>
      </c>
      <c r="BN945" s="237">
        <f t="shared" si="795"/>
        <v>39.516666666666666</v>
      </c>
      <c r="BO945" s="253">
        <f t="shared" si="796"/>
        <v>3.877011788826243</v>
      </c>
      <c r="BP945" s="253" cm="1">
        <f t="array" ref="BP945">$BC945 * IF($AD945&lt;=2,
SUMPRODUCT(INDEX($AL$67:$AN$71,,$AE945), INDEX($AO$67:$AU$71,,$AD945), 1 / ($AV$67:$AV$71*BO945 + (1-$AV$67:$AV$71)*BK945), N($AK$67:$AK$71&gt;$AI945)),
SUMPRODUCT(INDEX($AL$57:$AN$66,,$AE945), INDEX($AO$57:$AU$66,,$AD945), 1 / ($AW$57:$AW$66*BO945 + (1-$AW$57:$AW$66)*BK945), N($AK$57:$AK$66&gt;$AI945))
) / 1000</f>
        <v>0</v>
      </c>
      <c r="BQ945" s="250">
        <f t="shared" si="818"/>
        <v>20</v>
      </c>
      <c r="BR945" s="237">
        <f t="shared" si="797"/>
        <v>33</v>
      </c>
      <c r="BS945" s="253">
        <f t="shared" si="798"/>
        <v>4.8487499999999999</v>
      </c>
      <c r="BT945" s="253" cm="1">
        <f t="array" ref="BT945">$BC945 * IF($AD945&lt;=2,
SUMPRODUCT(INDEX($AL$62:$AN$66,,$AE945), INDEX($AO$62:$AU$66,,$AD945), 1 / ($AV$62:$AV$66*BS945 + (1-$AV$62:$AV$66)*BO945), N($AK$62:$AK$66&gt;$AI945)),
SUMPRODUCT(INDEX($AL$47:$AN$56,,$AE945), INDEX($AO$47:$AU$56,,$AD945), 1 / ($AW$47:$AW$56*BS945 + (1-$AW$47:$AW$56)*BO945), N($AK$47:$AK$56&gt;$AI945))
) / 1000</f>
        <v>0</v>
      </c>
      <c r="BU945" s="253" cm="1">
        <f t="array" ref="BU945">$BC945 * IF($AD945&lt;=2,
SUMPRODUCT(INDEX($AL$23:$AN$61,,$AE945), INDEX($AO$23:$AU$61,,$AD945), 1 / ($AV$23:$AV$61*BS945), N($AK$23:$AK$61&gt;$AI945)),
SUMPRODUCT(INDEX($AL$23:$AN$46,,$AE945), INDEX($AO$23:$AU$46,,$AD945), 1 / ($AW$23:$AW$46*BS945), N($AK$23:$AK$46&gt;$AI945))
) / 1000</f>
        <v>0</v>
      </c>
      <c r="BV945" s="237">
        <f t="shared" si="799"/>
        <v>0</v>
      </c>
      <c r="BW945" s="210"/>
      <c r="BX945" s="237">
        <f t="shared" si="800"/>
        <v>0</v>
      </c>
      <c r="BY945" s="236">
        <v>35</v>
      </c>
      <c r="BZ945" s="237">
        <f t="shared" si="801"/>
        <v>48</v>
      </c>
      <c r="CA945" s="253">
        <f t="shared" si="802"/>
        <v>3.0748170731707316</v>
      </c>
      <c r="CB945" s="253" cm="1">
        <f t="array" ref="CB945">$BC945 * SUMPRODUCT(INDEX($AL$77:$AN$82,,$AE945),INDEX($AO$77:$AU$82,,$AD945), N($AK$77:$AK$82&gt;$AI945)) / CA945 / 1000</f>
        <v>0</v>
      </c>
      <c r="CC945" s="250">
        <f t="shared" si="819"/>
        <v>30</v>
      </c>
      <c r="CD945" s="237">
        <f t="shared" si="803"/>
        <v>43</v>
      </c>
      <c r="CE945" s="253">
        <f t="shared" si="804"/>
        <v>3.5018750000000001</v>
      </c>
      <c r="CF945" s="253" cm="1">
        <f t="array" ref="CF945">$BC945 * IF($AD945&lt;=2,
SUMPRODUCT(INDEX($AL$72:$AN$76,,$AE945), INDEX($AO$72:$AU$76,,$AD945), 1 / ($AV$72:$AV$76*CE945 + (1-$AV$72:$AV$76)*CA945), N($AK$72:$AK$76&gt;$AI945)),
SUMPRODUCT(INDEX($AL$67:$AN$76,,$AE945), INDEX($AO$67:$AU$76,,$AD945), 1 / ($AW$67:$AW$76*CE945 + (1-$AW$67:$AW$76)*CA945), N($AK$67:$AK$76&gt;$AI945))
) / 1000</f>
        <v>0</v>
      </c>
      <c r="CG945" s="250">
        <f t="shared" si="820"/>
        <v>25</v>
      </c>
      <c r="CH945" s="237">
        <f t="shared" si="805"/>
        <v>38</v>
      </c>
      <c r="CI945" s="253">
        <f t="shared" si="806"/>
        <v>4.0666935483870965</v>
      </c>
      <c r="CJ945" s="253" cm="1">
        <f t="array" ref="CJ945">$BC945 * IF($AD945&lt;=2,
SUMPRODUCT(INDEX($AL$67:$AN$71,,$AE945), INDEX($AO$67:$AU$71,,$AD945), 1 / ($AV$67:$AV$71*CI945 + (1-$AV$67:$AV$71)*CE945), N($AK$67:$AK$71&gt;$AI945)),
SUMPRODUCT(INDEX($AL$57:$AN$66,,$AE945), INDEX($AO$57:$AU$66,,$AD945), 1 / ($AW$57:$AW$66*CI945 + (1-$AW$57:$AW$66)*CE945), N($AK$57:$AK$66&gt;$AI945))
) / 1000</f>
        <v>0</v>
      </c>
      <c r="CK945" s="250">
        <f t="shared" si="821"/>
        <v>20</v>
      </c>
      <c r="CL945" s="237">
        <f t="shared" si="807"/>
        <v>33</v>
      </c>
      <c r="CM945" s="253">
        <f t="shared" si="808"/>
        <v>4.8487499999999999</v>
      </c>
      <c r="CN945" s="253" cm="1">
        <f t="array" ref="CN945">$BC945 * IF($AD945&lt;=2,
SUMPRODUCT(INDEX($AL$62:$AN$66,,$AE945), INDEX($AO$62:$AU$66,,$AD945), 1 / ($AV$62:$AV$66*CM945 + (1-$AV$62:$AV$66)*CI945), N($AK$62:$AK$66&gt;$AI945)),
SUMPRODUCT(INDEX($AL$47:$AN$56,,$AE945), INDEX($AO$47:$AU$56,,$AD945), 1 / ($AW$47:$AW$56*CM945 + (1-$AW$47:$AW$56)*CI945), N($AK$47:$AK$56&gt;$AI945))
) / 1000</f>
        <v>0</v>
      </c>
      <c r="CO945" s="253" cm="1">
        <f t="array" ref="CO945">$BC945 * IF($AD945&lt;=2,
SUMPRODUCT(INDEX($AL$23:$AN$61,,$AE945), INDEX($AO$23:$AU$61,,$AD945), 1 / ($AV$23:$AV$61*CM945), N($AK$23:$AK$61&gt;$AI945)),
SUMPRODUCT(INDEX($AL$23:$AN$46,,$AE945), INDEX($AO$23:$AU$46,,$AD945), 1 / ($AW$23:$AW$46*CM945), N($AK$23:$AK$46&gt;$AI945))
) / 1000</f>
        <v>0</v>
      </c>
      <c r="CP945" s="237">
        <f t="shared" si="809"/>
        <v>0</v>
      </c>
      <c r="CQ945" s="210"/>
    </row>
    <row r="946" spans="1:95" s="76" customFormat="1" ht="14.25" customHeight="1" x14ac:dyDescent="0.2">
      <c r="A946" s="238" t="b">
        <f t="shared" si="813"/>
        <v>0</v>
      </c>
      <c r="B946" s="239">
        <v>924</v>
      </c>
      <c r="C946" s="258"/>
      <c r="D946" s="258"/>
      <c r="E946" s="240"/>
      <c r="F946" s="241" t="str">
        <f>IF(ISBLANK(E946), "", VLOOKUP(E946, Z!$A$2:$C$4127, 3, FALSE))</f>
        <v/>
      </c>
      <c r="G946" s="242"/>
      <c r="H946" s="242"/>
      <c r="I946" s="243"/>
      <c r="J946" s="244"/>
      <c r="K946" s="259"/>
      <c r="L946" s="260"/>
      <c r="M946" s="247" t="str" cm="1">
        <f t="array" ref="M946">IF($K946&gt;0, INDEX(Clean,1+AG946,$C$1), "")</f>
        <v/>
      </c>
      <c r="N946" s="245"/>
      <c r="O946" s="245"/>
      <c r="P946" s="246"/>
      <c r="Q946" s="248">
        <f t="shared" si="786"/>
        <v>0</v>
      </c>
      <c r="R946" s="247" t="str" cm="1">
        <f t="array" ref="R946">IF($K946&gt;0, INDEX(Clean,1+AH946,$C$1), "")</f>
        <v/>
      </c>
      <c r="S946" s="245"/>
      <c r="T946" s="245"/>
      <c r="U946" s="246"/>
      <c r="V946" s="248">
        <f t="shared" si="787"/>
        <v>0</v>
      </c>
      <c r="W946" s="261"/>
      <c r="X946" s="258"/>
      <c r="Y946" s="240"/>
      <c r="Z946" s="241" t="str">
        <f>IF(ISBLANK(Y946), "", VLOOKUP(Y946, Z!$A$2:$C$4127, 3, FALSE))</f>
        <v/>
      </c>
      <c r="AA946" s="262"/>
      <c r="AB946" s="249">
        <f t="shared" si="822"/>
        <v>0</v>
      </c>
      <c r="AC946" s="210"/>
      <c r="AD946" s="236">
        <f t="shared" si="810"/>
        <v>1</v>
      </c>
      <c r="AE946" s="236">
        <f t="shared" si="811"/>
        <v>1</v>
      </c>
      <c r="AF946" s="236">
        <f t="shared" si="812"/>
        <v>0</v>
      </c>
      <c r="AG946" s="236">
        <v>1</v>
      </c>
      <c r="AH946" s="236">
        <v>0</v>
      </c>
      <c r="AI946" s="236">
        <f t="shared" si="788"/>
        <v>-100</v>
      </c>
      <c r="AJ946" s="210"/>
      <c r="AK946" s="254"/>
      <c r="AL946" s="254"/>
      <c r="AM946" s="255"/>
      <c r="AN946" s="255"/>
      <c r="AO946" s="255"/>
      <c r="AP946" s="255"/>
      <c r="AQ946" s="255"/>
      <c r="AR946" s="255"/>
      <c r="AS946" s="255"/>
      <c r="AT946" s="255"/>
      <c r="AU946" s="255"/>
      <c r="AV946" s="255"/>
      <c r="AW946" s="255"/>
      <c r="AX946" s="210"/>
      <c r="AY946" s="236" cm="1">
        <f t="array" ref="AY946">INDEX(Use, $AD946, 4)</f>
        <v>7</v>
      </c>
      <c r="AZ946" s="236">
        <f t="shared" si="789"/>
        <v>32</v>
      </c>
      <c r="BA946" s="236">
        <f t="shared" si="814"/>
        <v>13</v>
      </c>
      <c r="BB946" s="236">
        <f t="shared" si="815"/>
        <v>0</v>
      </c>
      <c r="BC946" s="252" cm="1">
        <f t="array" ref="BC946">K946/IF($L946&gt;0, INDEX($AO$23:$AU$77, $L946+20, $AD946), 1)</f>
        <v>0</v>
      </c>
      <c r="BD946" s="237">
        <f t="shared" si="790"/>
        <v>0</v>
      </c>
      <c r="BE946" s="236">
        <v>35</v>
      </c>
      <c r="BF946" s="237">
        <f t="shared" si="791"/>
        <v>52.55</v>
      </c>
      <c r="BG946" s="253">
        <f t="shared" si="792"/>
        <v>2.7676728869374316</v>
      </c>
      <c r="BH946" s="253" cm="1">
        <f t="array" ref="BH946">$BC946 * SUMPRODUCT(INDEX($AL$77:$AN$82,,$AE946),INDEX($AO$77:$AU$82,,$AD946), N($AK$77:$AK$82&gt;$AI946)) / BG946 / 1000</f>
        <v>0</v>
      </c>
      <c r="BI946" s="250">
        <f t="shared" si="816"/>
        <v>30</v>
      </c>
      <c r="BJ946" s="237">
        <f t="shared" si="793"/>
        <v>46.033333333333331</v>
      </c>
      <c r="BK946" s="253">
        <f t="shared" si="794"/>
        <v>3.2297395388556791</v>
      </c>
      <c r="BL946" s="253" cm="1">
        <f t="array" ref="BL946">$BC946 * IF($AD946&lt;=2,
SUMPRODUCT(INDEX($AL$72:$AN$76,,$AE946), INDEX($AO$72:$AU$76,,$AD946), 1 / ($AV$72:$AV$76*BK946 + (1-$AV$72:$AV$76)*BG946), N($AK$72:$AK$76&gt;$AI946)),
SUMPRODUCT(INDEX($AL$67:$AN$76,,$AE946), INDEX($AO$67:$AU$76,,$AD946), 1 / ($AW$67:$AW$76*BK946 + (1-$AW$67:$AW$76)*BG946), N($AK$67:$AK$76&gt;$AI946))
) / 1000</f>
        <v>0</v>
      </c>
      <c r="BM946" s="250">
        <f t="shared" si="817"/>
        <v>25</v>
      </c>
      <c r="BN946" s="237">
        <f t="shared" si="795"/>
        <v>39.516666666666666</v>
      </c>
      <c r="BO946" s="253">
        <f t="shared" si="796"/>
        <v>3.877011788826243</v>
      </c>
      <c r="BP946" s="253" cm="1">
        <f t="array" ref="BP946">$BC946 * IF($AD946&lt;=2,
SUMPRODUCT(INDEX($AL$67:$AN$71,,$AE946), INDEX($AO$67:$AU$71,,$AD946), 1 / ($AV$67:$AV$71*BO946 + (1-$AV$67:$AV$71)*BK946), N($AK$67:$AK$71&gt;$AI946)),
SUMPRODUCT(INDEX($AL$57:$AN$66,,$AE946), INDEX($AO$57:$AU$66,,$AD946), 1 / ($AW$57:$AW$66*BO946 + (1-$AW$57:$AW$66)*BK946), N($AK$57:$AK$66&gt;$AI946))
) / 1000</f>
        <v>0</v>
      </c>
      <c r="BQ946" s="250">
        <f t="shared" si="818"/>
        <v>20</v>
      </c>
      <c r="BR946" s="237">
        <f t="shared" si="797"/>
        <v>33</v>
      </c>
      <c r="BS946" s="253">
        <f t="shared" si="798"/>
        <v>4.8487499999999999</v>
      </c>
      <c r="BT946" s="253" cm="1">
        <f t="array" ref="BT946">$BC946 * IF($AD946&lt;=2,
SUMPRODUCT(INDEX($AL$62:$AN$66,,$AE946), INDEX($AO$62:$AU$66,,$AD946), 1 / ($AV$62:$AV$66*BS946 + (1-$AV$62:$AV$66)*BO946), N($AK$62:$AK$66&gt;$AI946)),
SUMPRODUCT(INDEX($AL$47:$AN$56,,$AE946), INDEX($AO$47:$AU$56,,$AD946), 1 / ($AW$47:$AW$56*BS946 + (1-$AW$47:$AW$56)*BO946), N($AK$47:$AK$56&gt;$AI946))
) / 1000</f>
        <v>0</v>
      </c>
      <c r="BU946" s="253" cm="1">
        <f t="array" ref="BU946">$BC946 * IF($AD946&lt;=2,
SUMPRODUCT(INDEX($AL$23:$AN$61,,$AE946), INDEX($AO$23:$AU$61,,$AD946), 1 / ($AV$23:$AV$61*BS946), N($AK$23:$AK$61&gt;$AI946)),
SUMPRODUCT(INDEX($AL$23:$AN$46,,$AE946), INDEX($AO$23:$AU$46,,$AD946), 1 / ($AW$23:$AW$46*BS946), N($AK$23:$AK$46&gt;$AI946))
) / 1000</f>
        <v>0</v>
      </c>
      <c r="BV946" s="237">
        <f t="shared" si="799"/>
        <v>0</v>
      </c>
      <c r="BW946" s="210"/>
      <c r="BX946" s="237">
        <f t="shared" si="800"/>
        <v>0</v>
      </c>
      <c r="BY946" s="236">
        <v>35</v>
      </c>
      <c r="BZ946" s="237">
        <f t="shared" si="801"/>
        <v>48</v>
      </c>
      <c r="CA946" s="253">
        <f t="shared" si="802"/>
        <v>3.0748170731707316</v>
      </c>
      <c r="CB946" s="253" cm="1">
        <f t="array" ref="CB946">$BC946 * SUMPRODUCT(INDEX($AL$77:$AN$82,,$AE946),INDEX($AO$77:$AU$82,,$AD946), N($AK$77:$AK$82&gt;$AI946)) / CA946 / 1000</f>
        <v>0</v>
      </c>
      <c r="CC946" s="250">
        <f t="shared" si="819"/>
        <v>30</v>
      </c>
      <c r="CD946" s="237">
        <f t="shared" si="803"/>
        <v>43</v>
      </c>
      <c r="CE946" s="253">
        <f t="shared" si="804"/>
        <v>3.5018750000000001</v>
      </c>
      <c r="CF946" s="253" cm="1">
        <f t="array" ref="CF946">$BC946 * IF($AD946&lt;=2,
SUMPRODUCT(INDEX($AL$72:$AN$76,,$AE946), INDEX($AO$72:$AU$76,,$AD946), 1 / ($AV$72:$AV$76*CE946 + (1-$AV$72:$AV$76)*CA946), N($AK$72:$AK$76&gt;$AI946)),
SUMPRODUCT(INDEX($AL$67:$AN$76,,$AE946), INDEX($AO$67:$AU$76,,$AD946), 1 / ($AW$67:$AW$76*CE946 + (1-$AW$67:$AW$76)*CA946), N($AK$67:$AK$76&gt;$AI946))
) / 1000</f>
        <v>0</v>
      </c>
      <c r="CG946" s="250">
        <f t="shared" si="820"/>
        <v>25</v>
      </c>
      <c r="CH946" s="237">
        <f t="shared" si="805"/>
        <v>38</v>
      </c>
      <c r="CI946" s="253">
        <f t="shared" si="806"/>
        <v>4.0666935483870965</v>
      </c>
      <c r="CJ946" s="253" cm="1">
        <f t="array" ref="CJ946">$BC946 * IF($AD946&lt;=2,
SUMPRODUCT(INDEX($AL$67:$AN$71,,$AE946), INDEX($AO$67:$AU$71,,$AD946), 1 / ($AV$67:$AV$71*CI946 + (1-$AV$67:$AV$71)*CE946), N($AK$67:$AK$71&gt;$AI946)),
SUMPRODUCT(INDEX($AL$57:$AN$66,,$AE946), INDEX($AO$57:$AU$66,,$AD946), 1 / ($AW$57:$AW$66*CI946 + (1-$AW$57:$AW$66)*CE946), N($AK$57:$AK$66&gt;$AI946))
) / 1000</f>
        <v>0</v>
      </c>
      <c r="CK946" s="250">
        <f t="shared" si="821"/>
        <v>20</v>
      </c>
      <c r="CL946" s="237">
        <f t="shared" si="807"/>
        <v>33</v>
      </c>
      <c r="CM946" s="253">
        <f t="shared" si="808"/>
        <v>4.8487499999999999</v>
      </c>
      <c r="CN946" s="253" cm="1">
        <f t="array" ref="CN946">$BC946 * IF($AD946&lt;=2,
SUMPRODUCT(INDEX($AL$62:$AN$66,,$AE946), INDEX($AO$62:$AU$66,,$AD946), 1 / ($AV$62:$AV$66*CM946 + (1-$AV$62:$AV$66)*CI946), N($AK$62:$AK$66&gt;$AI946)),
SUMPRODUCT(INDEX($AL$47:$AN$56,,$AE946), INDEX($AO$47:$AU$56,,$AD946), 1 / ($AW$47:$AW$56*CM946 + (1-$AW$47:$AW$56)*CI946), N($AK$47:$AK$56&gt;$AI946))
) / 1000</f>
        <v>0</v>
      </c>
      <c r="CO946" s="253" cm="1">
        <f t="array" ref="CO946">$BC946 * IF($AD946&lt;=2,
SUMPRODUCT(INDEX($AL$23:$AN$61,,$AE946), INDEX($AO$23:$AU$61,,$AD946), 1 / ($AV$23:$AV$61*CM946), N($AK$23:$AK$61&gt;$AI946)),
SUMPRODUCT(INDEX($AL$23:$AN$46,,$AE946), INDEX($AO$23:$AU$46,,$AD946), 1 / ($AW$23:$AW$46*CM946), N($AK$23:$AK$46&gt;$AI946))
) / 1000</f>
        <v>0</v>
      </c>
      <c r="CP946" s="237">
        <f t="shared" si="809"/>
        <v>0</v>
      </c>
      <c r="CQ946" s="210"/>
    </row>
    <row r="947" spans="1:95" s="76" customFormat="1" ht="14.25" customHeight="1" x14ac:dyDescent="0.2">
      <c r="A947" s="238" t="b">
        <f t="shared" si="813"/>
        <v>0</v>
      </c>
      <c r="B947" s="239">
        <v>925</v>
      </c>
      <c r="C947" s="258"/>
      <c r="D947" s="258"/>
      <c r="E947" s="240"/>
      <c r="F947" s="241" t="str">
        <f>IF(ISBLANK(E947), "", VLOOKUP(E947, Z!$A$2:$C$4127, 3, FALSE))</f>
        <v/>
      </c>
      <c r="G947" s="242"/>
      <c r="H947" s="242"/>
      <c r="I947" s="243"/>
      <c r="J947" s="244"/>
      <c r="K947" s="259"/>
      <c r="L947" s="260"/>
      <c r="M947" s="247" t="str" cm="1">
        <f t="array" ref="M947">IF($K947&gt;0, INDEX(Clean,1+AG947,$C$1), "")</f>
        <v/>
      </c>
      <c r="N947" s="245"/>
      <c r="O947" s="245"/>
      <c r="P947" s="246"/>
      <c r="Q947" s="248">
        <f t="shared" si="786"/>
        <v>0</v>
      </c>
      <c r="R947" s="247" t="str" cm="1">
        <f t="array" ref="R947">IF($K947&gt;0, INDEX(Clean,1+AH947,$C$1), "")</f>
        <v/>
      </c>
      <c r="S947" s="245"/>
      <c r="T947" s="245"/>
      <c r="U947" s="246"/>
      <c r="V947" s="248">
        <f t="shared" si="787"/>
        <v>0</v>
      </c>
      <c r="W947" s="261"/>
      <c r="X947" s="258"/>
      <c r="Y947" s="240"/>
      <c r="Z947" s="241" t="str">
        <f>IF(ISBLANK(Y947), "", VLOOKUP(Y947, Z!$A$2:$C$4127, 3, FALSE))</f>
        <v/>
      </c>
      <c r="AA947" s="262"/>
      <c r="AB947" s="249">
        <f t="shared" si="822"/>
        <v>0</v>
      </c>
      <c r="AC947" s="210"/>
      <c r="AD947" s="236">
        <f t="shared" si="810"/>
        <v>1</v>
      </c>
      <c r="AE947" s="236">
        <f t="shared" si="811"/>
        <v>1</v>
      </c>
      <c r="AF947" s="236">
        <f t="shared" si="812"/>
        <v>0</v>
      </c>
      <c r="AG947" s="236">
        <v>1</v>
      </c>
      <c r="AH947" s="236">
        <v>0</v>
      </c>
      <c r="AI947" s="236">
        <f t="shared" si="788"/>
        <v>-100</v>
      </c>
      <c r="AJ947" s="210"/>
      <c r="AK947" s="254"/>
      <c r="AL947" s="254"/>
      <c r="AM947" s="255"/>
      <c r="AN947" s="255"/>
      <c r="AO947" s="255"/>
      <c r="AP947" s="255"/>
      <c r="AQ947" s="255"/>
      <c r="AR947" s="255"/>
      <c r="AS947" s="255"/>
      <c r="AT947" s="255"/>
      <c r="AU947" s="255"/>
      <c r="AV947" s="255"/>
      <c r="AW947" s="255"/>
      <c r="AX947" s="210"/>
      <c r="AY947" s="236" cm="1">
        <f t="array" ref="AY947">INDEX(Use, $AD947, 4)</f>
        <v>7</v>
      </c>
      <c r="AZ947" s="236">
        <f t="shared" si="789"/>
        <v>32</v>
      </c>
      <c r="BA947" s="236">
        <f t="shared" si="814"/>
        <v>13</v>
      </c>
      <c r="BB947" s="236">
        <f t="shared" si="815"/>
        <v>0</v>
      </c>
      <c r="BC947" s="252" cm="1">
        <f t="array" ref="BC947">K947/IF($L947&gt;0, INDEX($AO$23:$AU$77, $L947+20, $AD947), 1)</f>
        <v>0</v>
      </c>
      <c r="BD947" s="237">
        <f t="shared" si="790"/>
        <v>0</v>
      </c>
      <c r="BE947" s="236">
        <v>35</v>
      </c>
      <c r="BF947" s="237">
        <f t="shared" si="791"/>
        <v>52.55</v>
      </c>
      <c r="BG947" s="253">
        <f t="shared" si="792"/>
        <v>2.7676728869374316</v>
      </c>
      <c r="BH947" s="253" cm="1">
        <f t="array" ref="BH947">$BC947 * SUMPRODUCT(INDEX($AL$77:$AN$82,,$AE947),INDEX($AO$77:$AU$82,,$AD947), N($AK$77:$AK$82&gt;$AI947)) / BG947 / 1000</f>
        <v>0</v>
      </c>
      <c r="BI947" s="250">
        <f t="shared" si="816"/>
        <v>30</v>
      </c>
      <c r="BJ947" s="237">
        <f t="shared" si="793"/>
        <v>46.033333333333331</v>
      </c>
      <c r="BK947" s="253">
        <f t="shared" si="794"/>
        <v>3.2297395388556791</v>
      </c>
      <c r="BL947" s="253" cm="1">
        <f t="array" ref="BL947">$BC947 * IF($AD947&lt;=2,
SUMPRODUCT(INDEX($AL$72:$AN$76,,$AE947), INDEX($AO$72:$AU$76,,$AD947), 1 / ($AV$72:$AV$76*BK947 + (1-$AV$72:$AV$76)*BG947), N($AK$72:$AK$76&gt;$AI947)),
SUMPRODUCT(INDEX($AL$67:$AN$76,,$AE947), INDEX($AO$67:$AU$76,,$AD947), 1 / ($AW$67:$AW$76*BK947 + (1-$AW$67:$AW$76)*BG947), N($AK$67:$AK$76&gt;$AI947))
) / 1000</f>
        <v>0</v>
      </c>
      <c r="BM947" s="250">
        <f t="shared" si="817"/>
        <v>25</v>
      </c>
      <c r="BN947" s="237">
        <f t="shared" si="795"/>
        <v>39.516666666666666</v>
      </c>
      <c r="BO947" s="253">
        <f t="shared" si="796"/>
        <v>3.877011788826243</v>
      </c>
      <c r="BP947" s="253" cm="1">
        <f t="array" ref="BP947">$BC947 * IF($AD947&lt;=2,
SUMPRODUCT(INDEX($AL$67:$AN$71,,$AE947), INDEX($AO$67:$AU$71,,$AD947), 1 / ($AV$67:$AV$71*BO947 + (1-$AV$67:$AV$71)*BK947), N($AK$67:$AK$71&gt;$AI947)),
SUMPRODUCT(INDEX($AL$57:$AN$66,,$AE947), INDEX($AO$57:$AU$66,,$AD947), 1 / ($AW$57:$AW$66*BO947 + (1-$AW$57:$AW$66)*BK947), N($AK$57:$AK$66&gt;$AI947))
) / 1000</f>
        <v>0</v>
      </c>
      <c r="BQ947" s="250">
        <f t="shared" si="818"/>
        <v>20</v>
      </c>
      <c r="BR947" s="237">
        <f t="shared" si="797"/>
        <v>33</v>
      </c>
      <c r="BS947" s="253">
        <f t="shared" si="798"/>
        <v>4.8487499999999999</v>
      </c>
      <c r="BT947" s="253" cm="1">
        <f t="array" ref="BT947">$BC947 * IF($AD947&lt;=2,
SUMPRODUCT(INDEX($AL$62:$AN$66,,$AE947), INDEX($AO$62:$AU$66,,$AD947), 1 / ($AV$62:$AV$66*BS947 + (1-$AV$62:$AV$66)*BO947), N($AK$62:$AK$66&gt;$AI947)),
SUMPRODUCT(INDEX($AL$47:$AN$56,,$AE947), INDEX($AO$47:$AU$56,,$AD947), 1 / ($AW$47:$AW$56*BS947 + (1-$AW$47:$AW$56)*BO947), N($AK$47:$AK$56&gt;$AI947))
) / 1000</f>
        <v>0</v>
      </c>
      <c r="BU947" s="253" cm="1">
        <f t="array" ref="BU947">$BC947 * IF($AD947&lt;=2,
SUMPRODUCT(INDEX($AL$23:$AN$61,,$AE947), INDEX($AO$23:$AU$61,,$AD947), 1 / ($AV$23:$AV$61*BS947), N($AK$23:$AK$61&gt;$AI947)),
SUMPRODUCT(INDEX($AL$23:$AN$46,,$AE947), INDEX($AO$23:$AU$46,,$AD947), 1 / ($AW$23:$AW$46*BS947), N($AK$23:$AK$46&gt;$AI947))
) / 1000</f>
        <v>0</v>
      </c>
      <c r="BV947" s="237">
        <f t="shared" si="799"/>
        <v>0</v>
      </c>
      <c r="BW947" s="210"/>
      <c r="BX947" s="237">
        <f t="shared" si="800"/>
        <v>0</v>
      </c>
      <c r="BY947" s="236">
        <v>35</v>
      </c>
      <c r="BZ947" s="237">
        <f t="shared" si="801"/>
        <v>48</v>
      </c>
      <c r="CA947" s="253">
        <f t="shared" si="802"/>
        <v>3.0748170731707316</v>
      </c>
      <c r="CB947" s="253" cm="1">
        <f t="array" ref="CB947">$BC947 * SUMPRODUCT(INDEX($AL$77:$AN$82,,$AE947),INDEX($AO$77:$AU$82,,$AD947), N($AK$77:$AK$82&gt;$AI947)) / CA947 / 1000</f>
        <v>0</v>
      </c>
      <c r="CC947" s="250">
        <f t="shared" si="819"/>
        <v>30</v>
      </c>
      <c r="CD947" s="237">
        <f t="shared" si="803"/>
        <v>43</v>
      </c>
      <c r="CE947" s="253">
        <f t="shared" si="804"/>
        <v>3.5018750000000001</v>
      </c>
      <c r="CF947" s="253" cm="1">
        <f t="array" ref="CF947">$BC947 * IF($AD947&lt;=2,
SUMPRODUCT(INDEX($AL$72:$AN$76,,$AE947), INDEX($AO$72:$AU$76,,$AD947), 1 / ($AV$72:$AV$76*CE947 + (1-$AV$72:$AV$76)*CA947), N($AK$72:$AK$76&gt;$AI947)),
SUMPRODUCT(INDEX($AL$67:$AN$76,,$AE947), INDEX($AO$67:$AU$76,,$AD947), 1 / ($AW$67:$AW$76*CE947 + (1-$AW$67:$AW$76)*CA947), N($AK$67:$AK$76&gt;$AI947))
) / 1000</f>
        <v>0</v>
      </c>
      <c r="CG947" s="250">
        <f t="shared" si="820"/>
        <v>25</v>
      </c>
      <c r="CH947" s="237">
        <f t="shared" si="805"/>
        <v>38</v>
      </c>
      <c r="CI947" s="253">
        <f t="shared" si="806"/>
        <v>4.0666935483870965</v>
      </c>
      <c r="CJ947" s="253" cm="1">
        <f t="array" ref="CJ947">$BC947 * IF($AD947&lt;=2,
SUMPRODUCT(INDEX($AL$67:$AN$71,,$AE947), INDEX($AO$67:$AU$71,,$AD947), 1 / ($AV$67:$AV$71*CI947 + (1-$AV$67:$AV$71)*CE947), N($AK$67:$AK$71&gt;$AI947)),
SUMPRODUCT(INDEX($AL$57:$AN$66,,$AE947), INDEX($AO$57:$AU$66,,$AD947), 1 / ($AW$57:$AW$66*CI947 + (1-$AW$57:$AW$66)*CE947), N($AK$57:$AK$66&gt;$AI947))
) / 1000</f>
        <v>0</v>
      </c>
      <c r="CK947" s="250">
        <f t="shared" si="821"/>
        <v>20</v>
      </c>
      <c r="CL947" s="237">
        <f t="shared" si="807"/>
        <v>33</v>
      </c>
      <c r="CM947" s="253">
        <f t="shared" si="808"/>
        <v>4.8487499999999999</v>
      </c>
      <c r="CN947" s="253" cm="1">
        <f t="array" ref="CN947">$BC947 * IF($AD947&lt;=2,
SUMPRODUCT(INDEX($AL$62:$AN$66,,$AE947), INDEX($AO$62:$AU$66,,$AD947), 1 / ($AV$62:$AV$66*CM947 + (1-$AV$62:$AV$66)*CI947), N($AK$62:$AK$66&gt;$AI947)),
SUMPRODUCT(INDEX($AL$47:$AN$56,,$AE947), INDEX($AO$47:$AU$56,,$AD947), 1 / ($AW$47:$AW$56*CM947 + (1-$AW$47:$AW$56)*CI947), N($AK$47:$AK$56&gt;$AI947))
) / 1000</f>
        <v>0</v>
      </c>
      <c r="CO947" s="253" cm="1">
        <f t="array" ref="CO947">$BC947 * IF($AD947&lt;=2,
SUMPRODUCT(INDEX($AL$23:$AN$61,,$AE947), INDEX($AO$23:$AU$61,,$AD947), 1 / ($AV$23:$AV$61*CM947), N($AK$23:$AK$61&gt;$AI947)),
SUMPRODUCT(INDEX($AL$23:$AN$46,,$AE947), INDEX($AO$23:$AU$46,,$AD947), 1 / ($AW$23:$AW$46*CM947), N($AK$23:$AK$46&gt;$AI947))
) / 1000</f>
        <v>0</v>
      </c>
      <c r="CP947" s="237">
        <f t="shared" si="809"/>
        <v>0</v>
      </c>
      <c r="CQ947" s="210"/>
    </row>
    <row r="948" spans="1:95" s="76" customFormat="1" ht="14.25" customHeight="1" x14ac:dyDescent="0.2">
      <c r="A948" s="238" t="b">
        <f t="shared" si="813"/>
        <v>0</v>
      </c>
      <c r="B948" s="239">
        <v>926</v>
      </c>
      <c r="C948" s="258"/>
      <c r="D948" s="258"/>
      <c r="E948" s="240"/>
      <c r="F948" s="241" t="str">
        <f>IF(ISBLANK(E948), "", VLOOKUP(E948, Z!$A$2:$C$4127, 3, FALSE))</f>
        <v/>
      </c>
      <c r="G948" s="242"/>
      <c r="H948" s="242"/>
      <c r="I948" s="243"/>
      <c r="J948" s="244"/>
      <c r="K948" s="259"/>
      <c r="L948" s="260"/>
      <c r="M948" s="247" t="str" cm="1">
        <f t="array" ref="M948">IF($K948&gt;0, INDEX(Clean,1+AG948,$C$1), "")</f>
        <v/>
      </c>
      <c r="N948" s="245"/>
      <c r="O948" s="245"/>
      <c r="P948" s="246"/>
      <c r="Q948" s="248">
        <f t="shared" si="786"/>
        <v>0</v>
      </c>
      <c r="R948" s="247" t="str" cm="1">
        <f t="array" ref="R948">IF($K948&gt;0, INDEX(Clean,1+AH948,$C$1), "")</f>
        <v/>
      </c>
      <c r="S948" s="245"/>
      <c r="T948" s="245"/>
      <c r="U948" s="246"/>
      <c r="V948" s="248">
        <f t="shared" si="787"/>
        <v>0</v>
      </c>
      <c r="W948" s="261"/>
      <c r="X948" s="258"/>
      <c r="Y948" s="240"/>
      <c r="Z948" s="241" t="str">
        <f>IF(ISBLANK(Y948), "", VLOOKUP(Y948, Z!$A$2:$C$4127, 3, FALSE))</f>
        <v/>
      </c>
      <c r="AA948" s="262"/>
      <c r="AB948" s="249">
        <f t="shared" si="822"/>
        <v>0</v>
      </c>
      <c r="AC948" s="210"/>
      <c r="AD948" s="236">
        <f t="shared" si="810"/>
        <v>1</v>
      </c>
      <c r="AE948" s="236">
        <f t="shared" si="811"/>
        <v>1</v>
      </c>
      <c r="AF948" s="236">
        <f t="shared" si="812"/>
        <v>0</v>
      </c>
      <c r="AG948" s="236">
        <v>1</v>
      </c>
      <c r="AH948" s="236">
        <v>0</v>
      </c>
      <c r="AI948" s="236">
        <f t="shared" si="788"/>
        <v>-100</v>
      </c>
      <c r="AJ948" s="210"/>
      <c r="AK948" s="254"/>
      <c r="AL948" s="254"/>
      <c r="AM948" s="255"/>
      <c r="AN948" s="255"/>
      <c r="AO948" s="255"/>
      <c r="AP948" s="255"/>
      <c r="AQ948" s="255"/>
      <c r="AR948" s="255"/>
      <c r="AS948" s="255"/>
      <c r="AT948" s="255"/>
      <c r="AU948" s="255"/>
      <c r="AV948" s="255"/>
      <c r="AW948" s="255"/>
      <c r="AX948" s="210"/>
      <c r="AY948" s="236" cm="1">
        <f t="array" ref="AY948">INDEX(Use, $AD948, 4)</f>
        <v>7</v>
      </c>
      <c r="AZ948" s="236">
        <f t="shared" si="789"/>
        <v>32</v>
      </c>
      <c r="BA948" s="236">
        <f t="shared" si="814"/>
        <v>13</v>
      </c>
      <c r="BB948" s="236">
        <f t="shared" si="815"/>
        <v>0</v>
      </c>
      <c r="BC948" s="252" cm="1">
        <f t="array" ref="BC948">K948/IF($L948&gt;0, INDEX($AO$23:$AU$77, $L948+20, $AD948), 1)</f>
        <v>0</v>
      </c>
      <c r="BD948" s="237">
        <f t="shared" si="790"/>
        <v>0</v>
      </c>
      <c r="BE948" s="236">
        <v>35</v>
      </c>
      <c r="BF948" s="237">
        <f t="shared" si="791"/>
        <v>52.55</v>
      </c>
      <c r="BG948" s="253">
        <f t="shared" si="792"/>
        <v>2.7676728869374316</v>
      </c>
      <c r="BH948" s="253" cm="1">
        <f t="array" ref="BH948">$BC948 * SUMPRODUCT(INDEX($AL$77:$AN$82,,$AE948),INDEX($AO$77:$AU$82,,$AD948), N($AK$77:$AK$82&gt;$AI948)) / BG948 / 1000</f>
        <v>0</v>
      </c>
      <c r="BI948" s="250">
        <f t="shared" si="816"/>
        <v>30</v>
      </c>
      <c r="BJ948" s="237">
        <f t="shared" si="793"/>
        <v>46.033333333333331</v>
      </c>
      <c r="BK948" s="253">
        <f t="shared" si="794"/>
        <v>3.2297395388556791</v>
      </c>
      <c r="BL948" s="253" cm="1">
        <f t="array" ref="BL948">$BC948 * IF($AD948&lt;=2,
SUMPRODUCT(INDEX($AL$72:$AN$76,,$AE948), INDEX($AO$72:$AU$76,,$AD948), 1 / ($AV$72:$AV$76*BK948 + (1-$AV$72:$AV$76)*BG948), N($AK$72:$AK$76&gt;$AI948)),
SUMPRODUCT(INDEX($AL$67:$AN$76,,$AE948), INDEX($AO$67:$AU$76,,$AD948), 1 / ($AW$67:$AW$76*BK948 + (1-$AW$67:$AW$76)*BG948), N($AK$67:$AK$76&gt;$AI948))
) / 1000</f>
        <v>0</v>
      </c>
      <c r="BM948" s="250">
        <f t="shared" si="817"/>
        <v>25</v>
      </c>
      <c r="BN948" s="237">
        <f t="shared" si="795"/>
        <v>39.516666666666666</v>
      </c>
      <c r="BO948" s="253">
        <f t="shared" si="796"/>
        <v>3.877011788826243</v>
      </c>
      <c r="BP948" s="253" cm="1">
        <f t="array" ref="BP948">$BC948 * IF($AD948&lt;=2,
SUMPRODUCT(INDEX($AL$67:$AN$71,,$AE948), INDEX($AO$67:$AU$71,,$AD948), 1 / ($AV$67:$AV$71*BO948 + (1-$AV$67:$AV$71)*BK948), N($AK$67:$AK$71&gt;$AI948)),
SUMPRODUCT(INDEX($AL$57:$AN$66,,$AE948), INDEX($AO$57:$AU$66,,$AD948), 1 / ($AW$57:$AW$66*BO948 + (1-$AW$57:$AW$66)*BK948), N($AK$57:$AK$66&gt;$AI948))
) / 1000</f>
        <v>0</v>
      </c>
      <c r="BQ948" s="250">
        <f t="shared" si="818"/>
        <v>20</v>
      </c>
      <c r="BR948" s="237">
        <f t="shared" si="797"/>
        <v>33</v>
      </c>
      <c r="BS948" s="253">
        <f t="shared" si="798"/>
        <v>4.8487499999999999</v>
      </c>
      <c r="BT948" s="253" cm="1">
        <f t="array" ref="BT948">$BC948 * IF($AD948&lt;=2,
SUMPRODUCT(INDEX($AL$62:$AN$66,,$AE948), INDEX($AO$62:$AU$66,,$AD948), 1 / ($AV$62:$AV$66*BS948 + (1-$AV$62:$AV$66)*BO948), N($AK$62:$AK$66&gt;$AI948)),
SUMPRODUCT(INDEX($AL$47:$AN$56,,$AE948), INDEX($AO$47:$AU$56,,$AD948), 1 / ($AW$47:$AW$56*BS948 + (1-$AW$47:$AW$56)*BO948), N($AK$47:$AK$56&gt;$AI948))
) / 1000</f>
        <v>0</v>
      </c>
      <c r="BU948" s="253" cm="1">
        <f t="array" ref="BU948">$BC948 * IF($AD948&lt;=2,
SUMPRODUCT(INDEX($AL$23:$AN$61,,$AE948), INDEX($AO$23:$AU$61,,$AD948), 1 / ($AV$23:$AV$61*BS948), N($AK$23:$AK$61&gt;$AI948)),
SUMPRODUCT(INDEX($AL$23:$AN$46,,$AE948), INDEX($AO$23:$AU$46,,$AD948), 1 / ($AW$23:$AW$46*BS948), N($AK$23:$AK$46&gt;$AI948))
) / 1000</f>
        <v>0</v>
      </c>
      <c r="BV948" s="237">
        <f t="shared" si="799"/>
        <v>0</v>
      </c>
      <c r="BW948" s="210"/>
      <c r="BX948" s="237">
        <f t="shared" si="800"/>
        <v>0</v>
      </c>
      <c r="BY948" s="236">
        <v>35</v>
      </c>
      <c r="BZ948" s="237">
        <f t="shared" si="801"/>
        <v>48</v>
      </c>
      <c r="CA948" s="253">
        <f t="shared" si="802"/>
        <v>3.0748170731707316</v>
      </c>
      <c r="CB948" s="253" cm="1">
        <f t="array" ref="CB948">$BC948 * SUMPRODUCT(INDEX($AL$77:$AN$82,,$AE948),INDEX($AO$77:$AU$82,,$AD948), N($AK$77:$AK$82&gt;$AI948)) / CA948 / 1000</f>
        <v>0</v>
      </c>
      <c r="CC948" s="250">
        <f t="shared" si="819"/>
        <v>30</v>
      </c>
      <c r="CD948" s="237">
        <f t="shared" si="803"/>
        <v>43</v>
      </c>
      <c r="CE948" s="253">
        <f t="shared" si="804"/>
        <v>3.5018750000000001</v>
      </c>
      <c r="CF948" s="253" cm="1">
        <f t="array" ref="CF948">$BC948 * IF($AD948&lt;=2,
SUMPRODUCT(INDEX($AL$72:$AN$76,,$AE948), INDEX($AO$72:$AU$76,,$AD948), 1 / ($AV$72:$AV$76*CE948 + (1-$AV$72:$AV$76)*CA948), N($AK$72:$AK$76&gt;$AI948)),
SUMPRODUCT(INDEX($AL$67:$AN$76,,$AE948), INDEX($AO$67:$AU$76,,$AD948), 1 / ($AW$67:$AW$76*CE948 + (1-$AW$67:$AW$76)*CA948), N($AK$67:$AK$76&gt;$AI948))
) / 1000</f>
        <v>0</v>
      </c>
      <c r="CG948" s="250">
        <f t="shared" si="820"/>
        <v>25</v>
      </c>
      <c r="CH948" s="237">
        <f t="shared" si="805"/>
        <v>38</v>
      </c>
      <c r="CI948" s="253">
        <f t="shared" si="806"/>
        <v>4.0666935483870965</v>
      </c>
      <c r="CJ948" s="253" cm="1">
        <f t="array" ref="CJ948">$BC948 * IF($AD948&lt;=2,
SUMPRODUCT(INDEX($AL$67:$AN$71,,$AE948), INDEX($AO$67:$AU$71,,$AD948), 1 / ($AV$67:$AV$71*CI948 + (1-$AV$67:$AV$71)*CE948), N($AK$67:$AK$71&gt;$AI948)),
SUMPRODUCT(INDEX($AL$57:$AN$66,,$AE948), INDEX($AO$57:$AU$66,,$AD948), 1 / ($AW$57:$AW$66*CI948 + (1-$AW$57:$AW$66)*CE948), N($AK$57:$AK$66&gt;$AI948))
) / 1000</f>
        <v>0</v>
      </c>
      <c r="CK948" s="250">
        <f t="shared" si="821"/>
        <v>20</v>
      </c>
      <c r="CL948" s="237">
        <f t="shared" si="807"/>
        <v>33</v>
      </c>
      <c r="CM948" s="253">
        <f t="shared" si="808"/>
        <v>4.8487499999999999</v>
      </c>
      <c r="CN948" s="253" cm="1">
        <f t="array" ref="CN948">$BC948 * IF($AD948&lt;=2,
SUMPRODUCT(INDEX($AL$62:$AN$66,,$AE948), INDEX($AO$62:$AU$66,,$AD948), 1 / ($AV$62:$AV$66*CM948 + (1-$AV$62:$AV$66)*CI948), N($AK$62:$AK$66&gt;$AI948)),
SUMPRODUCT(INDEX($AL$47:$AN$56,,$AE948), INDEX($AO$47:$AU$56,,$AD948), 1 / ($AW$47:$AW$56*CM948 + (1-$AW$47:$AW$56)*CI948), N($AK$47:$AK$56&gt;$AI948))
) / 1000</f>
        <v>0</v>
      </c>
      <c r="CO948" s="253" cm="1">
        <f t="array" ref="CO948">$BC948 * IF($AD948&lt;=2,
SUMPRODUCT(INDEX($AL$23:$AN$61,,$AE948), INDEX($AO$23:$AU$61,,$AD948), 1 / ($AV$23:$AV$61*CM948), N($AK$23:$AK$61&gt;$AI948)),
SUMPRODUCT(INDEX($AL$23:$AN$46,,$AE948), INDEX($AO$23:$AU$46,,$AD948), 1 / ($AW$23:$AW$46*CM948), N($AK$23:$AK$46&gt;$AI948))
) / 1000</f>
        <v>0</v>
      </c>
      <c r="CP948" s="237">
        <f t="shared" si="809"/>
        <v>0</v>
      </c>
      <c r="CQ948" s="210"/>
    </row>
    <row r="949" spans="1:95" s="76" customFormat="1" ht="14.25" customHeight="1" x14ac:dyDescent="0.2">
      <c r="A949" s="238" t="b">
        <f t="shared" si="813"/>
        <v>0</v>
      </c>
      <c r="B949" s="239">
        <v>927</v>
      </c>
      <c r="C949" s="258"/>
      <c r="D949" s="258"/>
      <c r="E949" s="240"/>
      <c r="F949" s="241" t="str">
        <f>IF(ISBLANK(E949), "", VLOOKUP(E949, Z!$A$2:$C$4127, 3, FALSE))</f>
        <v/>
      </c>
      <c r="G949" s="242"/>
      <c r="H949" s="242"/>
      <c r="I949" s="243"/>
      <c r="J949" s="244"/>
      <c r="K949" s="259"/>
      <c r="L949" s="260"/>
      <c r="M949" s="247" t="str" cm="1">
        <f t="array" ref="M949">IF($K949&gt;0, INDEX(Clean,1+AG949,$C$1), "")</f>
        <v/>
      </c>
      <c r="N949" s="245"/>
      <c r="O949" s="245"/>
      <c r="P949" s="246"/>
      <c r="Q949" s="248">
        <f t="shared" si="786"/>
        <v>0</v>
      </c>
      <c r="R949" s="247" t="str" cm="1">
        <f t="array" ref="R949">IF($K949&gt;0, INDEX(Clean,1+AH949,$C$1), "")</f>
        <v/>
      </c>
      <c r="S949" s="245"/>
      <c r="T949" s="245"/>
      <c r="U949" s="246"/>
      <c r="V949" s="248">
        <f t="shared" si="787"/>
        <v>0</v>
      </c>
      <c r="W949" s="261"/>
      <c r="X949" s="258"/>
      <c r="Y949" s="240"/>
      <c r="Z949" s="241" t="str">
        <f>IF(ISBLANK(Y949), "", VLOOKUP(Y949, Z!$A$2:$C$4127, 3, FALSE))</f>
        <v/>
      </c>
      <c r="AA949" s="262"/>
      <c r="AB949" s="249">
        <f t="shared" si="822"/>
        <v>0</v>
      </c>
      <c r="AC949" s="210"/>
      <c r="AD949" s="236">
        <f t="shared" si="810"/>
        <v>1</v>
      </c>
      <c r="AE949" s="236">
        <f t="shared" si="811"/>
        <v>1</v>
      </c>
      <c r="AF949" s="236">
        <f t="shared" si="812"/>
        <v>0</v>
      </c>
      <c r="AG949" s="236">
        <v>1</v>
      </c>
      <c r="AH949" s="236">
        <v>0</v>
      </c>
      <c r="AI949" s="236">
        <f t="shared" si="788"/>
        <v>-100</v>
      </c>
      <c r="AJ949" s="210"/>
      <c r="AK949" s="254"/>
      <c r="AL949" s="254"/>
      <c r="AM949" s="255"/>
      <c r="AN949" s="255"/>
      <c r="AO949" s="255"/>
      <c r="AP949" s="255"/>
      <c r="AQ949" s="255"/>
      <c r="AR949" s="255"/>
      <c r="AS949" s="255"/>
      <c r="AT949" s="255"/>
      <c r="AU949" s="255"/>
      <c r="AV949" s="255"/>
      <c r="AW949" s="255"/>
      <c r="AX949" s="210"/>
      <c r="AY949" s="236" cm="1">
        <f t="array" ref="AY949">INDEX(Use, $AD949, 4)</f>
        <v>7</v>
      </c>
      <c r="AZ949" s="236">
        <f t="shared" si="789"/>
        <v>32</v>
      </c>
      <c r="BA949" s="236">
        <f t="shared" si="814"/>
        <v>13</v>
      </c>
      <c r="BB949" s="236">
        <f t="shared" si="815"/>
        <v>0</v>
      </c>
      <c r="BC949" s="252" cm="1">
        <f t="array" ref="BC949">K949/IF($L949&gt;0, INDEX($AO$23:$AU$77, $L949+20, $AD949), 1)</f>
        <v>0</v>
      </c>
      <c r="BD949" s="237">
        <f t="shared" si="790"/>
        <v>0</v>
      </c>
      <c r="BE949" s="236">
        <v>35</v>
      </c>
      <c r="BF949" s="237">
        <f t="shared" si="791"/>
        <v>52.55</v>
      </c>
      <c r="BG949" s="253">
        <f t="shared" si="792"/>
        <v>2.7676728869374316</v>
      </c>
      <c r="BH949" s="253" cm="1">
        <f t="array" ref="BH949">$BC949 * SUMPRODUCT(INDEX($AL$77:$AN$82,,$AE949),INDEX($AO$77:$AU$82,,$AD949), N($AK$77:$AK$82&gt;$AI949)) / BG949 / 1000</f>
        <v>0</v>
      </c>
      <c r="BI949" s="250">
        <f t="shared" si="816"/>
        <v>30</v>
      </c>
      <c r="BJ949" s="237">
        <f t="shared" si="793"/>
        <v>46.033333333333331</v>
      </c>
      <c r="BK949" s="253">
        <f t="shared" si="794"/>
        <v>3.2297395388556791</v>
      </c>
      <c r="BL949" s="253" cm="1">
        <f t="array" ref="BL949">$BC949 * IF($AD949&lt;=2,
SUMPRODUCT(INDEX($AL$72:$AN$76,,$AE949), INDEX($AO$72:$AU$76,,$AD949), 1 / ($AV$72:$AV$76*BK949 + (1-$AV$72:$AV$76)*BG949), N($AK$72:$AK$76&gt;$AI949)),
SUMPRODUCT(INDEX($AL$67:$AN$76,,$AE949), INDEX($AO$67:$AU$76,,$AD949), 1 / ($AW$67:$AW$76*BK949 + (1-$AW$67:$AW$76)*BG949), N($AK$67:$AK$76&gt;$AI949))
) / 1000</f>
        <v>0</v>
      </c>
      <c r="BM949" s="250">
        <f t="shared" si="817"/>
        <v>25</v>
      </c>
      <c r="BN949" s="237">
        <f t="shared" si="795"/>
        <v>39.516666666666666</v>
      </c>
      <c r="BO949" s="253">
        <f t="shared" si="796"/>
        <v>3.877011788826243</v>
      </c>
      <c r="BP949" s="253" cm="1">
        <f t="array" ref="BP949">$BC949 * IF($AD949&lt;=2,
SUMPRODUCT(INDEX($AL$67:$AN$71,,$AE949), INDEX($AO$67:$AU$71,,$AD949), 1 / ($AV$67:$AV$71*BO949 + (1-$AV$67:$AV$71)*BK949), N($AK$67:$AK$71&gt;$AI949)),
SUMPRODUCT(INDEX($AL$57:$AN$66,,$AE949), INDEX($AO$57:$AU$66,,$AD949), 1 / ($AW$57:$AW$66*BO949 + (1-$AW$57:$AW$66)*BK949), N($AK$57:$AK$66&gt;$AI949))
) / 1000</f>
        <v>0</v>
      </c>
      <c r="BQ949" s="250">
        <f t="shared" si="818"/>
        <v>20</v>
      </c>
      <c r="BR949" s="237">
        <f t="shared" si="797"/>
        <v>33</v>
      </c>
      <c r="BS949" s="253">
        <f t="shared" si="798"/>
        <v>4.8487499999999999</v>
      </c>
      <c r="BT949" s="253" cm="1">
        <f t="array" ref="BT949">$BC949 * IF($AD949&lt;=2,
SUMPRODUCT(INDEX($AL$62:$AN$66,,$AE949), INDEX($AO$62:$AU$66,,$AD949), 1 / ($AV$62:$AV$66*BS949 + (1-$AV$62:$AV$66)*BO949), N($AK$62:$AK$66&gt;$AI949)),
SUMPRODUCT(INDEX($AL$47:$AN$56,,$AE949), INDEX($AO$47:$AU$56,,$AD949), 1 / ($AW$47:$AW$56*BS949 + (1-$AW$47:$AW$56)*BO949), N($AK$47:$AK$56&gt;$AI949))
) / 1000</f>
        <v>0</v>
      </c>
      <c r="BU949" s="253" cm="1">
        <f t="array" ref="BU949">$BC949 * IF($AD949&lt;=2,
SUMPRODUCT(INDEX($AL$23:$AN$61,,$AE949), INDEX($AO$23:$AU$61,,$AD949), 1 / ($AV$23:$AV$61*BS949), N($AK$23:$AK$61&gt;$AI949)),
SUMPRODUCT(INDEX($AL$23:$AN$46,,$AE949), INDEX($AO$23:$AU$46,,$AD949), 1 / ($AW$23:$AW$46*BS949), N($AK$23:$AK$46&gt;$AI949))
) / 1000</f>
        <v>0</v>
      </c>
      <c r="BV949" s="237">
        <f t="shared" si="799"/>
        <v>0</v>
      </c>
      <c r="BW949" s="210"/>
      <c r="BX949" s="237">
        <f t="shared" si="800"/>
        <v>0</v>
      </c>
      <c r="BY949" s="236">
        <v>35</v>
      </c>
      <c r="BZ949" s="237">
        <f t="shared" si="801"/>
        <v>48</v>
      </c>
      <c r="CA949" s="253">
        <f t="shared" si="802"/>
        <v>3.0748170731707316</v>
      </c>
      <c r="CB949" s="253" cm="1">
        <f t="array" ref="CB949">$BC949 * SUMPRODUCT(INDEX($AL$77:$AN$82,,$AE949),INDEX($AO$77:$AU$82,,$AD949), N($AK$77:$AK$82&gt;$AI949)) / CA949 / 1000</f>
        <v>0</v>
      </c>
      <c r="CC949" s="250">
        <f t="shared" si="819"/>
        <v>30</v>
      </c>
      <c r="CD949" s="237">
        <f t="shared" si="803"/>
        <v>43</v>
      </c>
      <c r="CE949" s="253">
        <f t="shared" si="804"/>
        <v>3.5018750000000001</v>
      </c>
      <c r="CF949" s="253" cm="1">
        <f t="array" ref="CF949">$BC949 * IF($AD949&lt;=2,
SUMPRODUCT(INDEX($AL$72:$AN$76,,$AE949), INDEX($AO$72:$AU$76,,$AD949), 1 / ($AV$72:$AV$76*CE949 + (1-$AV$72:$AV$76)*CA949), N($AK$72:$AK$76&gt;$AI949)),
SUMPRODUCT(INDEX($AL$67:$AN$76,,$AE949), INDEX($AO$67:$AU$76,,$AD949), 1 / ($AW$67:$AW$76*CE949 + (1-$AW$67:$AW$76)*CA949), N($AK$67:$AK$76&gt;$AI949))
) / 1000</f>
        <v>0</v>
      </c>
      <c r="CG949" s="250">
        <f t="shared" si="820"/>
        <v>25</v>
      </c>
      <c r="CH949" s="237">
        <f t="shared" si="805"/>
        <v>38</v>
      </c>
      <c r="CI949" s="253">
        <f t="shared" si="806"/>
        <v>4.0666935483870965</v>
      </c>
      <c r="CJ949" s="253" cm="1">
        <f t="array" ref="CJ949">$BC949 * IF($AD949&lt;=2,
SUMPRODUCT(INDEX($AL$67:$AN$71,,$AE949), INDEX($AO$67:$AU$71,,$AD949), 1 / ($AV$67:$AV$71*CI949 + (1-$AV$67:$AV$71)*CE949), N($AK$67:$AK$71&gt;$AI949)),
SUMPRODUCT(INDEX($AL$57:$AN$66,,$AE949), INDEX($AO$57:$AU$66,,$AD949), 1 / ($AW$57:$AW$66*CI949 + (1-$AW$57:$AW$66)*CE949), N($AK$57:$AK$66&gt;$AI949))
) / 1000</f>
        <v>0</v>
      </c>
      <c r="CK949" s="250">
        <f t="shared" si="821"/>
        <v>20</v>
      </c>
      <c r="CL949" s="237">
        <f t="shared" si="807"/>
        <v>33</v>
      </c>
      <c r="CM949" s="253">
        <f t="shared" si="808"/>
        <v>4.8487499999999999</v>
      </c>
      <c r="CN949" s="253" cm="1">
        <f t="array" ref="CN949">$BC949 * IF($AD949&lt;=2,
SUMPRODUCT(INDEX($AL$62:$AN$66,,$AE949), INDEX($AO$62:$AU$66,,$AD949), 1 / ($AV$62:$AV$66*CM949 + (1-$AV$62:$AV$66)*CI949), N($AK$62:$AK$66&gt;$AI949)),
SUMPRODUCT(INDEX($AL$47:$AN$56,,$AE949), INDEX($AO$47:$AU$56,,$AD949), 1 / ($AW$47:$AW$56*CM949 + (1-$AW$47:$AW$56)*CI949), N($AK$47:$AK$56&gt;$AI949))
) / 1000</f>
        <v>0</v>
      </c>
      <c r="CO949" s="253" cm="1">
        <f t="array" ref="CO949">$BC949 * IF($AD949&lt;=2,
SUMPRODUCT(INDEX($AL$23:$AN$61,,$AE949), INDEX($AO$23:$AU$61,,$AD949), 1 / ($AV$23:$AV$61*CM949), N($AK$23:$AK$61&gt;$AI949)),
SUMPRODUCT(INDEX($AL$23:$AN$46,,$AE949), INDEX($AO$23:$AU$46,,$AD949), 1 / ($AW$23:$AW$46*CM949), N($AK$23:$AK$46&gt;$AI949))
) / 1000</f>
        <v>0</v>
      </c>
      <c r="CP949" s="237">
        <f t="shared" si="809"/>
        <v>0</v>
      </c>
      <c r="CQ949" s="210"/>
    </row>
    <row r="950" spans="1:95" s="76" customFormat="1" ht="14.25" customHeight="1" x14ac:dyDescent="0.2">
      <c r="A950" s="238" t="b">
        <f t="shared" si="813"/>
        <v>0</v>
      </c>
      <c r="B950" s="239">
        <v>928</v>
      </c>
      <c r="C950" s="258"/>
      <c r="D950" s="258"/>
      <c r="E950" s="240"/>
      <c r="F950" s="241" t="str">
        <f>IF(ISBLANK(E950), "", VLOOKUP(E950, Z!$A$2:$C$4127, 3, FALSE))</f>
        <v/>
      </c>
      <c r="G950" s="242"/>
      <c r="H950" s="242"/>
      <c r="I950" s="243"/>
      <c r="J950" s="244"/>
      <c r="K950" s="259"/>
      <c r="L950" s="260"/>
      <c r="M950" s="247" t="str" cm="1">
        <f t="array" ref="M950">IF($K950&gt;0, INDEX(Clean,1+AG950,$C$1), "")</f>
        <v/>
      </c>
      <c r="N950" s="245"/>
      <c r="O950" s="245"/>
      <c r="P950" s="246"/>
      <c r="Q950" s="248">
        <f t="shared" si="786"/>
        <v>0</v>
      </c>
      <c r="R950" s="247" t="str" cm="1">
        <f t="array" ref="R950">IF($K950&gt;0, INDEX(Clean,1+AH950,$C$1), "")</f>
        <v/>
      </c>
      <c r="S950" s="245"/>
      <c r="T950" s="245"/>
      <c r="U950" s="246"/>
      <c r="V950" s="248">
        <f t="shared" si="787"/>
        <v>0</v>
      </c>
      <c r="W950" s="261"/>
      <c r="X950" s="258"/>
      <c r="Y950" s="240"/>
      <c r="Z950" s="241" t="str">
        <f>IF(ISBLANK(Y950), "", VLOOKUP(Y950, Z!$A$2:$C$4127, 3, FALSE))</f>
        <v/>
      </c>
      <c r="AA950" s="262"/>
      <c r="AB950" s="249">
        <f t="shared" si="822"/>
        <v>0</v>
      </c>
      <c r="AC950" s="210"/>
      <c r="AD950" s="236">
        <f t="shared" si="810"/>
        <v>1</v>
      </c>
      <c r="AE950" s="236">
        <f t="shared" si="811"/>
        <v>1</v>
      </c>
      <c r="AF950" s="236">
        <f t="shared" si="812"/>
        <v>0</v>
      </c>
      <c r="AG950" s="236">
        <v>1</v>
      </c>
      <c r="AH950" s="236">
        <v>0</v>
      </c>
      <c r="AI950" s="236">
        <f t="shared" si="788"/>
        <v>-100</v>
      </c>
      <c r="AJ950" s="210"/>
      <c r="AK950" s="254"/>
      <c r="AL950" s="254"/>
      <c r="AM950" s="255"/>
      <c r="AN950" s="255"/>
      <c r="AO950" s="255"/>
      <c r="AP950" s="255"/>
      <c r="AQ950" s="255"/>
      <c r="AR950" s="255"/>
      <c r="AS950" s="255"/>
      <c r="AT950" s="255"/>
      <c r="AU950" s="255"/>
      <c r="AV950" s="255"/>
      <c r="AW950" s="255"/>
      <c r="AX950" s="210"/>
      <c r="AY950" s="236" cm="1">
        <f t="array" ref="AY950">INDEX(Use, $AD950, 4)</f>
        <v>7</v>
      </c>
      <c r="AZ950" s="236">
        <f t="shared" si="789"/>
        <v>32</v>
      </c>
      <c r="BA950" s="236">
        <f t="shared" si="814"/>
        <v>13</v>
      </c>
      <c r="BB950" s="236">
        <f t="shared" si="815"/>
        <v>0</v>
      </c>
      <c r="BC950" s="252" cm="1">
        <f t="array" ref="BC950">K950/IF($L950&gt;0, INDEX($AO$23:$AU$77, $L950+20, $AD950), 1)</f>
        <v>0</v>
      </c>
      <c r="BD950" s="237">
        <f t="shared" si="790"/>
        <v>0</v>
      </c>
      <c r="BE950" s="236">
        <v>35</v>
      </c>
      <c r="BF950" s="237">
        <f t="shared" si="791"/>
        <v>52.55</v>
      </c>
      <c r="BG950" s="253">
        <f t="shared" si="792"/>
        <v>2.7676728869374316</v>
      </c>
      <c r="BH950" s="253" cm="1">
        <f t="array" ref="BH950">$BC950 * SUMPRODUCT(INDEX($AL$77:$AN$82,,$AE950),INDEX($AO$77:$AU$82,,$AD950), N($AK$77:$AK$82&gt;$AI950)) / BG950 / 1000</f>
        <v>0</v>
      </c>
      <c r="BI950" s="250">
        <f t="shared" si="816"/>
        <v>30</v>
      </c>
      <c r="BJ950" s="237">
        <f t="shared" si="793"/>
        <v>46.033333333333331</v>
      </c>
      <c r="BK950" s="253">
        <f t="shared" si="794"/>
        <v>3.2297395388556791</v>
      </c>
      <c r="BL950" s="253" cm="1">
        <f t="array" ref="BL950">$BC950 * IF($AD950&lt;=2,
SUMPRODUCT(INDEX($AL$72:$AN$76,,$AE950), INDEX($AO$72:$AU$76,,$AD950), 1 / ($AV$72:$AV$76*BK950 + (1-$AV$72:$AV$76)*BG950), N($AK$72:$AK$76&gt;$AI950)),
SUMPRODUCT(INDEX($AL$67:$AN$76,,$AE950), INDEX($AO$67:$AU$76,,$AD950), 1 / ($AW$67:$AW$76*BK950 + (1-$AW$67:$AW$76)*BG950), N($AK$67:$AK$76&gt;$AI950))
) / 1000</f>
        <v>0</v>
      </c>
      <c r="BM950" s="250">
        <f t="shared" si="817"/>
        <v>25</v>
      </c>
      <c r="BN950" s="237">
        <f t="shared" si="795"/>
        <v>39.516666666666666</v>
      </c>
      <c r="BO950" s="253">
        <f t="shared" si="796"/>
        <v>3.877011788826243</v>
      </c>
      <c r="BP950" s="253" cm="1">
        <f t="array" ref="BP950">$BC950 * IF($AD950&lt;=2,
SUMPRODUCT(INDEX($AL$67:$AN$71,,$AE950), INDEX($AO$67:$AU$71,,$AD950), 1 / ($AV$67:$AV$71*BO950 + (1-$AV$67:$AV$71)*BK950), N($AK$67:$AK$71&gt;$AI950)),
SUMPRODUCT(INDEX($AL$57:$AN$66,,$AE950), INDEX($AO$57:$AU$66,,$AD950), 1 / ($AW$57:$AW$66*BO950 + (1-$AW$57:$AW$66)*BK950), N($AK$57:$AK$66&gt;$AI950))
) / 1000</f>
        <v>0</v>
      </c>
      <c r="BQ950" s="250">
        <f t="shared" si="818"/>
        <v>20</v>
      </c>
      <c r="BR950" s="237">
        <f t="shared" si="797"/>
        <v>33</v>
      </c>
      <c r="BS950" s="253">
        <f t="shared" si="798"/>
        <v>4.8487499999999999</v>
      </c>
      <c r="BT950" s="253" cm="1">
        <f t="array" ref="BT950">$BC950 * IF($AD950&lt;=2,
SUMPRODUCT(INDEX($AL$62:$AN$66,,$AE950), INDEX($AO$62:$AU$66,,$AD950), 1 / ($AV$62:$AV$66*BS950 + (1-$AV$62:$AV$66)*BO950), N($AK$62:$AK$66&gt;$AI950)),
SUMPRODUCT(INDEX($AL$47:$AN$56,,$AE950), INDEX($AO$47:$AU$56,,$AD950), 1 / ($AW$47:$AW$56*BS950 + (1-$AW$47:$AW$56)*BO950), N($AK$47:$AK$56&gt;$AI950))
) / 1000</f>
        <v>0</v>
      </c>
      <c r="BU950" s="253" cm="1">
        <f t="array" ref="BU950">$BC950 * IF($AD950&lt;=2,
SUMPRODUCT(INDEX($AL$23:$AN$61,,$AE950), INDEX($AO$23:$AU$61,,$AD950), 1 / ($AV$23:$AV$61*BS950), N($AK$23:$AK$61&gt;$AI950)),
SUMPRODUCT(INDEX($AL$23:$AN$46,,$AE950), INDEX($AO$23:$AU$46,,$AD950), 1 / ($AW$23:$AW$46*BS950), N($AK$23:$AK$46&gt;$AI950))
) / 1000</f>
        <v>0</v>
      </c>
      <c r="BV950" s="237">
        <f t="shared" si="799"/>
        <v>0</v>
      </c>
      <c r="BW950" s="210"/>
      <c r="BX950" s="237">
        <f t="shared" si="800"/>
        <v>0</v>
      </c>
      <c r="BY950" s="236">
        <v>35</v>
      </c>
      <c r="BZ950" s="237">
        <f t="shared" si="801"/>
        <v>48</v>
      </c>
      <c r="CA950" s="253">
        <f t="shared" si="802"/>
        <v>3.0748170731707316</v>
      </c>
      <c r="CB950" s="253" cm="1">
        <f t="array" ref="CB950">$BC950 * SUMPRODUCT(INDEX($AL$77:$AN$82,,$AE950),INDEX($AO$77:$AU$82,,$AD950), N($AK$77:$AK$82&gt;$AI950)) / CA950 / 1000</f>
        <v>0</v>
      </c>
      <c r="CC950" s="250">
        <f t="shared" si="819"/>
        <v>30</v>
      </c>
      <c r="CD950" s="237">
        <f t="shared" si="803"/>
        <v>43</v>
      </c>
      <c r="CE950" s="253">
        <f t="shared" si="804"/>
        <v>3.5018750000000001</v>
      </c>
      <c r="CF950" s="253" cm="1">
        <f t="array" ref="CF950">$BC950 * IF($AD950&lt;=2,
SUMPRODUCT(INDEX($AL$72:$AN$76,,$AE950), INDEX($AO$72:$AU$76,,$AD950), 1 / ($AV$72:$AV$76*CE950 + (1-$AV$72:$AV$76)*CA950), N($AK$72:$AK$76&gt;$AI950)),
SUMPRODUCT(INDEX($AL$67:$AN$76,,$AE950), INDEX($AO$67:$AU$76,,$AD950), 1 / ($AW$67:$AW$76*CE950 + (1-$AW$67:$AW$76)*CA950), N($AK$67:$AK$76&gt;$AI950))
) / 1000</f>
        <v>0</v>
      </c>
      <c r="CG950" s="250">
        <f t="shared" si="820"/>
        <v>25</v>
      </c>
      <c r="CH950" s="237">
        <f t="shared" si="805"/>
        <v>38</v>
      </c>
      <c r="CI950" s="253">
        <f t="shared" si="806"/>
        <v>4.0666935483870965</v>
      </c>
      <c r="CJ950" s="253" cm="1">
        <f t="array" ref="CJ950">$BC950 * IF($AD950&lt;=2,
SUMPRODUCT(INDEX($AL$67:$AN$71,,$AE950), INDEX($AO$67:$AU$71,,$AD950), 1 / ($AV$67:$AV$71*CI950 + (1-$AV$67:$AV$71)*CE950), N($AK$67:$AK$71&gt;$AI950)),
SUMPRODUCT(INDEX($AL$57:$AN$66,,$AE950), INDEX($AO$57:$AU$66,,$AD950), 1 / ($AW$57:$AW$66*CI950 + (1-$AW$57:$AW$66)*CE950), N($AK$57:$AK$66&gt;$AI950))
) / 1000</f>
        <v>0</v>
      </c>
      <c r="CK950" s="250">
        <f t="shared" si="821"/>
        <v>20</v>
      </c>
      <c r="CL950" s="237">
        <f t="shared" si="807"/>
        <v>33</v>
      </c>
      <c r="CM950" s="253">
        <f t="shared" si="808"/>
        <v>4.8487499999999999</v>
      </c>
      <c r="CN950" s="253" cm="1">
        <f t="array" ref="CN950">$BC950 * IF($AD950&lt;=2,
SUMPRODUCT(INDEX($AL$62:$AN$66,,$AE950), INDEX($AO$62:$AU$66,,$AD950), 1 / ($AV$62:$AV$66*CM950 + (1-$AV$62:$AV$66)*CI950), N($AK$62:$AK$66&gt;$AI950)),
SUMPRODUCT(INDEX($AL$47:$AN$56,,$AE950), INDEX($AO$47:$AU$56,,$AD950), 1 / ($AW$47:$AW$56*CM950 + (1-$AW$47:$AW$56)*CI950), N($AK$47:$AK$56&gt;$AI950))
) / 1000</f>
        <v>0</v>
      </c>
      <c r="CO950" s="253" cm="1">
        <f t="array" ref="CO950">$BC950 * IF($AD950&lt;=2,
SUMPRODUCT(INDEX($AL$23:$AN$61,,$AE950), INDEX($AO$23:$AU$61,,$AD950), 1 / ($AV$23:$AV$61*CM950), N($AK$23:$AK$61&gt;$AI950)),
SUMPRODUCT(INDEX($AL$23:$AN$46,,$AE950), INDEX($AO$23:$AU$46,,$AD950), 1 / ($AW$23:$AW$46*CM950), N($AK$23:$AK$46&gt;$AI950))
) / 1000</f>
        <v>0</v>
      </c>
      <c r="CP950" s="237">
        <f t="shared" si="809"/>
        <v>0</v>
      </c>
      <c r="CQ950" s="210"/>
    </row>
    <row r="951" spans="1:95" s="76" customFormat="1" ht="14.25" customHeight="1" x14ac:dyDescent="0.2">
      <c r="A951" s="238" t="b">
        <f t="shared" si="813"/>
        <v>0</v>
      </c>
      <c r="B951" s="239">
        <v>929</v>
      </c>
      <c r="C951" s="258"/>
      <c r="D951" s="258"/>
      <c r="E951" s="240"/>
      <c r="F951" s="241" t="str">
        <f>IF(ISBLANK(E951), "", VLOOKUP(E951, Z!$A$2:$C$4127, 3, FALSE))</f>
        <v/>
      </c>
      <c r="G951" s="242"/>
      <c r="H951" s="242"/>
      <c r="I951" s="243"/>
      <c r="J951" s="244"/>
      <c r="K951" s="259"/>
      <c r="L951" s="260"/>
      <c r="M951" s="247" t="str" cm="1">
        <f t="array" ref="M951">IF($K951&gt;0, INDEX(Clean,1+AG951,$C$1), "")</f>
        <v/>
      </c>
      <c r="N951" s="245"/>
      <c r="O951" s="245"/>
      <c r="P951" s="246"/>
      <c r="Q951" s="248">
        <f t="shared" si="786"/>
        <v>0</v>
      </c>
      <c r="R951" s="247" t="str" cm="1">
        <f t="array" ref="R951">IF($K951&gt;0, INDEX(Clean,1+AH951,$C$1), "")</f>
        <v/>
      </c>
      <c r="S951" s="245"/>
      <c r="T951" s="245"/>
      <c r="U951" s="246"/>
      <c r="V951" s="248">
        <f t="shared" si="787"/>
        <v>0</v>
      </c>
      <c r="W951" s="261"/>
      <c r="X951" s="258"/>
      <c r="Y951" s="240"/>
      <c r="Z951" s="241" t="str">
        <f>IF(ISBLANK(Y951), "", VLOOKUP(Y951, Z!$A$2:$C$4127, 3, FALSE))</f>
        <v/>
      </c>
      <c r="AA951" s="262"/>
      <c r="AB951" s="249">
        <f t="shared" si="822"/>
        <v>0</v>
      </c>
      <c r="AC951" s="210"/>
      <c r="AD951" s="236">
        <f t="shared" si="810"/>
        <v>1</v>
      </c>
      <c r="AE951" s="236">
        <f t="shared" si="811"/>
        <v>1</v>
      </c>
      <c r="AF951" s="236">
        <f t="shared" si="812"/>
        <v>0</v>
      </c>
      <c r="AG951" s="236">
        <v>1</v>
      </c>
      <c r="AH951" s="236">
        <v>0</v>
      </c>
      <c r="AI951" s="236">
        <f t="shared" si="788"/>
        <v>-100</v>
      </c>
      <c r="AJ951" s="210"/>
      <c r="AK951" s="254"/>
      <c r="AL951" s="254"/>
      <c r="AM951" s="255"/>
      <c r="AN951" s="255"/>
      <c r="AO951" s="255"/>
      <c r="AP951" s="255"/>
      <c r="AQ951" s="255"/>
      <c r="AR951" s="255"/>
      <c r="AS951" s="255"/>
      <c r="AT951" s="255"/>
      <c r="AU951" s="255"/>
      <c r="AV951" s="255"/>
      <c r="AW951" s="255"/>
      <c r="AX951" s="210"/>
      <c r="AY951" s="236" cm="1">
        <f t="array" ref="AY951">INDEX(Use, $AD951, 4)</f>
        <v>7</v>
      </c>
      <c r="AZ951" s="236">
        <f t="shared" si="789"/>
        <v>32</v>
      </c>
      <c r="BA951" s="236">
        <f t="shared" si="814"/>
        <v>13</v>
      </c>
      <c r="BB951" s="236">
        <f t="shared" si="815"/>
        <v>0</v>
      </c>
      <c r="BC951" s="252" cm="1">
        <f t="array" ref="BC951">K951/IF($L951&gt;0, INDEX($AO$23:$AU$77, $L951+20, $AD951), 1)</f>
        <v>0</v>
      </c>
      <c r="BD951" s="237">
        <f t="shared" si="790"/>
        <v>0</v>
      </c>
      <c r="BE951" s="236">
        <v>35</v>
      </c>
      <c r="BF951" s="237">
        <f t="shared" si="791"/>
        <v>52.55</v>
      </c>
      <c r="BG951" s="253">
        <f t="shared" si="792"/>
        <v>2.7676728869374316</v>
      </c>
      <c r="BH951" s="253" cm="1">
        <f t="array" ref="BH951">$BC951 * SUMPRODUCT(INDEX($AL$77:$AN$82,,$AE951),INDEX($AO$77:$AU$82,,$AD951), N($AK$77:$AK$82&gt;$AI951)) / BG951 / 1000</f>
        <v>0</v>
      </c>
      <c r="BI951" s="250">
        <f t="shared" si="816"/>
        <v>30</v>
      </c>
      <c r="BJ951" s="237">
        <f t="shared" si="793"/>
        <v>46.033333333333331</v>
      </c>
      <c r="BK951" s="253">
        <f t="shared" si="794"/>
        <v>3.2297395388556791</v>
      </c>
      <c r="BL951" s="253" cm="1">
        <f t="array" ref="BL951">$BC951 * IF($AD951&lt;=2,
SUMPRODUCT(INDEX($AL$72:$AN$76,,$AE951), INDEX($AO$72:$AU$76,,$AD951), 1 / ($AV$72:$AV$76*BK951 + (1-$AV$72:$AV$76)*BG951), N($AK$72:$AK$76&gt;$AI951)),
SUMPRODUCT(INDEX($AL$67:$AN$76,,$AE951), INDEX($AO$67:$AU$76,,$AD951), 1 / ($AW$67:$AW$76*BK951 + (1-$AW$67:$AW$76)*BG951), N($AK$67:$AK$76&gt;$AI951))
) / 1000</f>
        <v>0</v>
      </c>
      <c r="BM951" s="250">
        <f t="shared" si="817"/>
        <v>25</v>
      </c>
      <c r="BN951" s="237">
        <f t="shared" si="795"/>
        <v>39.516666666666666</v>
      </c>
      <c r="BO951" s="253">
        <f t="shared" si="796"/>
        <v>3.877011788826243</v>
      </c>
      <c r="BP951" s="253" cm="1">
        <f t="array" ref="BP951">$BC951 * IF($AD951&lt;=2,
SUMPRODUCT(INDEX($AL$67:$AN$71,,$AE951), INDEX($AO$67:$AU$71,,$AD951), 1 / ($AV$67:$AV$71*BO951 + (1-$AV$67:$AV$71)*BK951), N($AK$67:$AK$71&gt;$AI951)),
SUMPRODUCT(INDEX($AL$57:$AN$66,,$AE951), INDEX($AO$57:$AU$66,,$AD951), 1 / ($AW$57:$AW$66*BO951 + (1-$AW$57:$AW$66)*BK951), N($AK$57:$AK$66&gt;$AI951))
) / 1000</f>
        <v>0</v>
      </c>
      <c r="BQ951" s="250">
        <f t="shared" si="818"/>
        <v>20</v>
      </c>
      <c r="BR951" s="237">
        <f t="shared" si="797"/>
        <v>33</v>
      </c>
      <c r="BS951" s="253">
        <f t="shared" si="798"/>
        <v>4.8487499999999999</v>
      </c>
      <c r="BT951" s="253" cm="1">
        <f t="array" ref="BT951">$BC951 * IF($AD951&lt;=2,
SUMPRODUCT(INDEX($AL$62:$AN$66,,$AE951), INDEX($AO$62:$AU$66,,$AD951), 1 / ($AV$62:$AV$66*BS951 + (1-$AV$62:$AV$66)*BO951), N($AK$62:$AK$66&gt;$AI951)),
SUMPRODUCT(INDEX($AL$47:$AN$56,,$AE951), INDEX($AO$47:$AU$56,,$AD951), 1 / ($AW$47:$AW$56*BS951 + (1-$AW$47:$AW$56)*BO951), N($AK$47:$AK$56&gt;$AI951))
) / 1000</f>
        <v>0</v>
      </c>
      <c r="BU951" s="253" cm="1">
        <f t="array" ref="BU951">$BC951 * IF($AD951&lt;=2,
SUMPRODUCT(INDEX($AL$23:$AN$61,,$AE951), INDEX($AO$23:$AU$61,,$AD951), 1 / ($AV$23:$AV$61*BS951), N($AK$23:$AK$61&gt;$AI951)),
SUMPRODUCT(INDEX($AL$23:$AN$46,,$AE951), INDEX($AO$23:$AU$46,,$AD951), 1 / ($AW$23:$AW$46*BS951), N($AK$23:$AK$46&gt;$AI951))
) / 1000</f>
        <v>0</v>
      </c>
      <c r="BV951" s="237">
        <f t="shared" si="799"/>
        <v>0</v>
      </c>
      <c r="BW951" s="210"/>
      <c r="BX951" s="237">
        <f t="shared" si="800"/>
        <v>0</v>
      </c>
      <c r="BY951" s="236">
        <v>35</v>
      </c>
      <c r="BZ951" s="237">
        <f t="shared" si="801"/>
        <v>48</v>
      </c>
      <c r="CA951" s="253">
        <f t="shared" si="802"/>
        <v>3.0748170731707316</v>
      </c>
      <c r="CB951" s="253" cm="1">
        <f t="array" ref="CB951">$BC951 * SUMPRODUCT(INDEX($AL$77:$AN$82,,$AE951),INDEX($AO$77:$AU$82,,$AD951), N($AK$77:$AK$82&gt;$AI951)) / CA951 / 1000</f>
        <v>0</v>
      </c>
      <c r="CC951" s="250">
        <f t="shared" si="819"/>
        <v>30</v>
      </c>
      <c r="CD951" s="237">
        <f t="shared" si="803"/>
        <v>43</v>
      </c>
      <c r="CE951" s="253">
        <f t="shared" si="804"/>
        <v>3.5018750000000001</v>
      </c>
      <c r="CF951" s="253" cm="1">
        <f t="array" ref="CF951">$BC951 * IF($AD951&lt;=2,
SUMPRODUCT(INDEX($AL$72:$AN$76,,$AE951), INDEX($AO$72:$AU$76,,$AD951), 1 / ($AV$72:$AV$76*CE951 + (1-$AV$72:$AV$76)*CA951), N($AK$72:$AK$76&gt;$AI951)),
SUMPRODUCT(INDEX($AL$67:$AN$76,,$AE951), INDEX($AO$67:$AU$76,,$AD951), 1 / ($AW$67:$AW$76*CE951 + (1-$AW$67:$AW$76)*CA951), N($AK$67:$AK$76&gt;$AI951))
) / 1000</f>
        <v>0</v>
      </c>
      <c r="CG951" s="250">
        <f t="shared" si="820"/>
        <v>25</v>
      </c>
      <c r="CH951" s="237">
        <f t="shared" si="805"/>
        <v>38</v>
      </c>
      <c r="CI951" s="253">
        <f t="shared" si="806"/>
        <v>4.0666935483870965</v>
      </c>
      <c r="CJ951" s="253" cm="1">
        <f t="array" ref="CJ951">$BC951 * IF($AD951&lt;=2,
SUMPRODUCT(INDEX($AL$67:$AN$71,,$AE951), INDEX($AO$67:$AU$71,,$AD951), 1 / ($AV$67:$AV$71*CI951 + (1-$AV$67:$AV$71)*CE951), N($AK$67:$AK$71&gt;$AI951)),
SUMPRODUCT(INDEX($AL$57:$AN$66,,$AE951), INDEX($AO$57:$AU$66,,$AD951), 1 / ($AW$57:$AW$66*CI951 + (1-$AW$57:$AW$66)*CE951), N($AK$57:$AK$66&gt;$AI951))
) / 1000</f>
        <v>0</v>
      </c>
      <c r="CK951" s="250">
        <f t="shared" si="821"/>
        <v>20</v>
      </c>
      <c r="CL951" s="237">
        <f t="shared" si="807"/>
        <v>33</v>
      </c>
      <c r="CM951" s="253">
        <f t="shared" si="808"/>
        <v>4.8487499999999999</v>
      </c>
      <c r="CN951" s="253" cm="1">
        <f t="array" ref="CN951">$BC951 * IF($AD951&lt;=2,
SUMPRODUCT(INDEX($AL$62:$AN$66,,$AE951), INDEX($AO$62:$AU$66,,$AD951), 1 / ($AV$62:$AV$66*CM951 + (1-$AV$62:$AV$66)*CI951), N($AK$62:$AK$66&gt;$AI951)),
SUMPRODUCT(INDEX($AL$47:$AN$56,,$AE951), INDEX($AO$47:$AU$56,,$AD951), 1 / ($AW$47:$AW$56*CM951 + (1-$AW$47:$AW$56)*CI951), N($AK$47:$AK$56&gt;$AI951))
) / 1000</f>
        <v>0</v>
      </c>
      <c r="CO951" s="253" cm="1">
        <f t="array" ref="CO951">$BC951 * IF($AD951&lt;=2,
SUMPRODUCT(INDEX($AL$23:$AN$61,,$AE951), INDEX($AO$23:$AU$61,,$AD951), 1 / ($AV$23:$AV$61*CM951), N($AK$23:$AK$61&gt;$AI951)),
SUMPRODUCT(INDEX($AL$23:$AN$46,,$AE951), INDEX($AO$23:$AU$46,,$AD951), 1 / ($AW$23:$AW$46*CM951), N($AK$23:$AK$46&gt;$AI951))
) / 1000</f>
        <v>0</v>
      </c>
      <c r="CP951" s="237">
        <f t="shared" si="809"/>
        <v>0</v>
      </c>
      <c r="CQ951" s="210"/>
    </row>
    <row r="952" spans="1:95" s="76" customFormat="1" ht="14.25" customHeight="1" x14ac:dyDescent="0.2">
      <c r="A952" s="238" t="b">
        <f t="shared" si="813"/>
        <v>0</v>
      </c>
      <c r="B952" s="239">
        <v>930</v>
      </c>
      <c r="C952" s="258"/>
      <c r="D952" s="258"/>
      <c r="E952" s="240"/>
      <c r="F952" s="241" t="str">
        <f>IF(ISBLANK(E952), "", VLOOKUP(E952, Z!$A$2:$C$4127, 3, FALSE))</f>
        <v/>
      </c>
      <c r="G952" s="242"/>
      <c r="H952" s="242"/>
      <c r="I952" s="243"/>
      <c r="J952" s="244"/>
      <c r="K952" s="259"/>
      <c r="L952" s="260"/>
      <c r="M952" s="247" t="str" cm="1">
        <f t="array" ref="M952">IF($K952&gt;0, INDEX(Clean,1+AG952,$C$1), "")</f>
        <v/>
      </c>
      <c r="N952" s="245"/>
      <c r="O952" s="245"/>
      <c r="P952" s="246"/>
      <c r="Q952" s="248">
        <f t="shared" si="786"/>
        <v>0</v>
      </c>
      <c r="R952" s="247" t="str" cm="1">
        <f t="array" ref="R952">IF($K952&gt;0, INDEX(Clean,1+AH952,$C$1), "")</f>
        <v/>
      </c>
      <c r="S952" s="245"/>
      <c r="T952" s="245"/>
      <c r="U952" s="246"/>
      <c r="V952" s="248">
        <f t="shared" si="787"/>
        <v>0</v>
      </c>
      <c r="W952" s="261"/>
      <c r="X952" s="258"/>
      <c r="Y952" s="240"/>
      <c r="Z952" s="241" t="str">
        <f>IF(ISBLANK(Y952), "", VLOOKUP(Y952, Z!$A$2:$C$4127, 3, FALSE))</f>
        <v/>
      </c>
      <c r="AA952" s="262"/>
      <c r="AB952" s="249">
        <f t="shared" si="822"/>
        <v>0</v>
      </c>
      <c r="AC952" s="210"/>
      <c r="AD952" s="236">
        <f t="shared" si="810"/>
        <v>1</v>
      </c>
      <c r="AE952" s="236">
        <f t="shared" si="811"/>
        <v>1</v>
      </c>
      <c r="AF952" s="236">
        <f t="shared" si="812"/>
        <v>0</v>
      </c>
      <c r="AG952" s="236">
        <v>1</v>
      </c>
      <c r="AH952" s="236">
        <v>0</v>
      </c>
      <c r="AI952" s="236">
        <f t="shared" si="788"/>
        <v>-100</v>
      </c>
      <c r="AJ952" s="210"/>
      <c r="AK952" s="254"/>
      <c r="AL952" s="254"/>
      <c r="AM952" s="255"/>
      <c r="AN952" s="255"/>
      <c r="AO952" s="255"/>
      <c r="AP952" s="255"/>
      <c r="AQ952" s="255"/>
      <c r="AR952" s="255"/>
      <c r="AS952" s="255"/>
      <c r="AT952" s="255"/>
      <c r="AU952" s="255"/>
      <c r="AV952" s="255"/>
      <c r="AW952" s="255"/>
      <c r="AX952" s="210"/>
      <c r="AY952" s="236" cm="1">
        <f t="array" ref="AY952">INDEX(Use, $AD952, 4)</f>
        <v>7</v>
      </c>
      <c r="AZ952" s="236">
        <f t="shared" si="789"/>
        <v>32</v>
      </c>
      <c r="BA952" s="236">
        <f t="shared" si="814"/>
        <v>13</v>
      </c>
      <c r="BB952" s="236">
        <f t="shared" si="815"/>
        <v>0</v>
      </c>
      <c r="BC952" s="252" cm="1">
        <f t="array" ref="BC952">K952/IF($L952&gt;0, INDEX($AO$23:$AU$77, $L952+20, $AD952), 1)</f>
        <v>0</v>
      </c>
      <c r="BD952" s="237">
        <f t="shared" si="790"/>
        <v>0</v>
      </c>
      <c r="BE952" s="236">
        <v>35</v>
      </c>
      <c r="BF952" s="237">
        <f t="shared" si="791"/>
        <v>52.55</v>
      </c>
      <c r="BG952" s="253">
        <f t="shared" si="792"/>
        <v>2.7676728869374316</v>
      </c>
      <c r="BH952" s="253" cm="1">
        <f t="array" ref="BH952">$BC952 * SUMPRODUCT(INDEX($AL$77:$AN$82,,$AE952),INDEX($AO$77:$AU$82,,$AD952), N($AK$77:$AK$82&gt;$AI952)) / BG952 / 1000</f>
        <v>0</v>
      </c>
      <c r="BI952" s="250">
        <f t="shared" si="816"/>
        <v>30</v>
      </c>
      <c r="BJ952" s="237">
        <f t="shared" si="793"/>
        <v>46.033333333333331</v>
      </c>
      <c r="BK952" s="253">
        <f t="shared" si="794"/>
        <v>3.2297395388556791</v>
      </c>
      <c r="BL952" s="253" cm="1">
        <f t="array" ref="BL952">$BC952 * IF($AD952&lt;=2,
SUMPRODUCT(INDEX($AL$72:$AN$76,,$AE952), INDEX($AO$72:$AU$76,,$AD952), 1 / ($AV$72:$AV$76*BK952 + (1-$AV$72:$AV$76)*BG952), N($AK$72:$AK$76&gt;$AI952)),
SUMPRODUCT(INDEX($AL$67:$AN$76,,$AE952), INDEX($AO$67:$AU$76,,$AD952), 1 / ($AW$67:$AW$76*BK952 + (1-$AW$67:$AW$76)*BG952), N($AK$67:$AK$76&gt;$AI952))
) / 1000</f>
        <v>0</v>
      </c>
      <c r="BM952" s="250">
        <f t="shared" si="817"/>
        <v>25</v>
      </c>
      <c r="BN952" s="237">
        <f t="shared" si="795"/>
        <v>39.516666666666666</v>
      </c>
      <c r="BO952" s="253">
        <f t="shared" si="796"/>
        <v>3.877011788826243</v>
      </c>
      <c r="BP952" s="253" cm="1">
        <f t="array" ref="BP952">$BC952 * IF($AD952&lt;=2,
SUMPRODUCT(INDEX($AL$67:$AN$71,,$AE952), INDEX($AO$67:$AU$71,,$AD952), 1 / ($AV$67:$AV$71*BO952 + (1-$AV$67:$AV$71)*BK952), N($AK$67:$AK$71&gt;$AI952)),
SUMPRODUCT(INDEX($AL$57:$AN$66,,$AE952), INDEX($AO$57:$AU$66,,$AD952), 1 / ($AW$57:$AW$66*BO952 + (1-$AW$57:$AW$66)*BK952), N($AK$57:$AK$66&gt;$AI952))
) / 1000</f>
        <v>0</v>
      </c>
      <c r="BQ952" s="250">
        <f t="shared" si="818"/>
        <v>20</v>
      </c>
      <c r="BR952" s="237">
        <f t="shared" si="797"/>
        <v>33</v>
      </c>
      <c r="BS952" s="253">
        <f t="shared" si="798"/>
        <v>4.8487499999999999</v>
      </c>
      <c r="BT952" s="253" cm="1">
        <f t="array" ref="BT952">$BC952 * IF($AD952&lt;=2,
SUMPRODUCT(INDEX($AL$62:$AN$66,,$AE952), INDEX($AO$62:$AU$66,,$AD952), 1 / ($AV$62:$AV$66*BS952 + (1-$AV$62:$AV$66)*BO952), N($AK$62:$AK$66&gt;$AI952)),
SUMPRODUCT(INDEX($AL$47:$AN$56,,$AE952), INDEX($AO$47:$AU$56,,$AD952), 1 / ($AW$47:$AW$56*BS952 + (1-$AW$47:$AW$56)*BO952), N($AK$47:$AK$56&gt;$AI952))
) / 1000</f>
        <v>0</v>
      </c>
      <c r="BU952" s="253" cm="1">
        <f t="array" ref="BU952">$BC952 * IF($AD952&lt;=2,
SUMPRODUCT(INDEX($AL$23:$AN$61,,$AE952), INDEX($AO$23:$AU$61,,$AD952), 1 / ($AV$23:$AV$61*BS952), N($AK$23:$AK$61&gt;$AI952)),
SUMPRODUCT(INDEX($AL$23:$AN$46,,$AE952), INDEX($AO$23:$AU$46,,$AD952), 1 / ($AW$23:$AW$46*BS952), N($AK$23:$AK$46&gt;$AI952))
) / 1000</f>
        <v>0</v>
      </c>
      <c r="BV952" s="237">
        <f t="shared" si="799"/>
        <v>0</v>
      </c>
      <c r="BW952" s="210"/>
      <c r="BX952" s="237">
        <f t="shared" si="800"/>
        <v>0</v>
      </c>
      <c r="BY952" s="236">
        <v>35</v>
      </c>
      <c r="BZ952" s="237">
        <f t="shared" si="801"/>
        <v>48</v>
      </c>
      <c r="CA952" s="253">
        <f t="shared" si="802"/>
        <v>3.0748170731707316</v>
      </c>
      <c r="CB952" s="253" cm="1">
        <f t="array" ref="CB952">$BC952 * SUMPRODUCT(INDEX($AL$77:$AN$82,,$AE952),INDEX($AO$77:$AU$82,,$AD952), N($AK$77:$AK$82&gt;$AI952)) / CA952 / 1000</f>
        <v>0</v>
      </c>
      <c r="CC952" s="250">
        <f t="shared" si="819"/>
        <v>30</v>
      </c>
      <c r="CD952" s="237">
        <f t="shared" si="803"/>
        <v>43</v>
      </c>
      <c r="CE952" s="253">
        <f t="shared" si="804"/>
        <v>3.5018750000000001</v>
      </c>
      <c r="CF952" s="253" cm="1">
        <f t="array" ref="CF952">$BC952 * IF($AD952&lt;=2,
SUMPRODUCT(INDEX($AL$72:$AN$76,,$AE952), INDEX($AO$72:$AU$76,,$AD952), 1 / ($AV$72:$AV$76*CE952 + (1-$AV$72:$AV$76)*CA952), N($AK$72:$AK$76&gt;$AI952)),
SUMPRODUCT(INDEX($AL$67:$AN$76,,$AE952), INDEX($AO$67:$AU$76,,$AD952), 1 / ($AW$67:$AW$76*CE952 + (1-$AW$67:$AW$76)*CA952), N($AK$67:$AK$76&gt;$AI952))
) / 1000</f>
        <v>0</v>
      </c>
      <c r="CG952" s="250">
        <f t="shared" si="820"/>
        <v>25</v>
      </c>
      <c r="CH952" s="237">
        <f t="shared" si="805"/>
        <v>38</v>
      </c>
      <c r="CI952" s="253">
        <f t="shared" si="806"/>
        <v>4.0666935483870965</v>
      </c>
      <c r="CJ952" s="253" cm="1">
        <f t="array" ref="CJ952">$BC952 * IF($AD952&lt;=2,
SUMPRODUCT(INDEX($AL$67:$AN$71,,$AE952), INDEX($AO$67:$AU$71,,$AD952), 1 / ($AV$67:$AV$71*CI952 + (1-$AV$67:$AV$71)*CE952), N($AK$67:$AK$71&gt;$AI952)),
SUMPRODUCT(INDEX($AL$57:$AN$66,,$AE952), INDEX($AO$57:$AU$66,,$AD952), 1 / ($AW$57:$AW$66*CI952 + (1-$AW$57:$AW$66)*CE952), N($AK$57:$AK$66&gt;$AI952))
) / 1000</f>
        <v>0</v>
      </c>
      <c r="CK952" s="250">
        <f t="shared" si="821"/>
        <v>20</v>
      </c>
      <c r="CL952" s="237">
        <f t="shared" si="807"/>
        <v>33</v>
      </c>
      <c r="CM952" s="253">
        <f t="shared" si="808"/>
        <v>4.8487499999999999</v>
      </c>
      <c r="CN952" s="253" cm="1">
        <f t="array" ref="CN952">$BC952 * IF($AD952&lt;=2,
SUMPRODUCT(INDEX($AL$62:$AN$66,,$AE952), INDEX($AO$62:$AU$66,,$AD952), 1 / ($AV$62:$AV$66*CM952 + (1-$AV$62:$AV$66)*CI952), N($AK$62:$AK$66&gt;$AI952)),
SUMPRODUCT(INDEX($AL$47:$AN$56,,$AE952), INDEX($AO$47:$AU$56,,$AD952), 1 / ($AW$47:$AW$56*CM952 + (1-$AW$47:$AW$56)*CI952), N($AK$47:$AK$56&gt;$AI952))
) / 1000</f>
        <v>0</v>
      </c>
      <c r="CO952" s="253" cm="1">
        <f t="array" ref="CO952">$BC952 * IF($AD952&lt;=2,
SUMPRODUCT(INDEX($AL$23:$AN$61,,$AE952), INDEX($AO$23:$AU$61,,$AD952), 1 / ($AV$23:$AV$61*CM952), N($AK$23:$AK$61&gt;$AI952)),
SUMPRODUCT(INDEX($AL$23:$AN$46,,$AE952), INDEX($AO$23:$AU$46,,$AD952), 1 / ($AW$23:$AW$46*CM952), N($AK$23:$AK$46&gt;$AI952))
) / 1000</f>
        <v>0</v>
      </c>
      <c r="CP952" s="237">
        <f t="shared" si="809"/>
        <v>0</v>
      </c>
      <c r="CQ952" s="210"/>
    </row>
    <row r="953" spans="1:95" s="76" customFormat="1" ht="14.25" customHeight="1" x14ac:dyDescent="0.2">
      <c r="A953" s="238" t="b">
        <f t="shared" si="813"/>
        <v>0</v>
      </c>
      <c r="B953" s="239">
        <v>931</v>
      </c>
      <c r="C953" s="258"/>
      <c r="D953" s="258"/>
      <c r="E953" s="240"/>
      <c r="F953" s="241" t="str">
        <f>IF(ISBLANK(E953), "", VLOOKUP(E953, Z!$A$2:$C$4127, 3, FALSE))</f>
        <v/>
      </c>
      <c r="G953" s="242"/>
      <c r="H953" s="242"/>
      <c r="I953" s="243"/>
      <c r="J953" s="244"/>
      <c r="K953" s="259"/>
      <c r="L953" s="260"/>
      <c r="M953" s="247" t="str" cm="1">
        <f t="array" ref="M953">IF($K953&gt;0, INDEX(Clean,1+AG953,$C$1), "")</f>
        <v/>
      </c>
      <c r="N953" s="245"/>
      <c r="O953" s="245"/>
      <c r="P953" s="246"/>
      <c r="Q953" s="248">
        <f t="shared" si="786"/>
        <v>0</v>
      </c>
      <c r="R953" s="247" t="str" cm="1">
        <f t="array" ref="R953">IF($K953&gt;0, INDEX(Clean,1+AH953,$C$1), "")</f>
        <v/>
      </c>
      <c r="S953" s="245"/>
      <c r="T953" s="245"/>
      <c r="U953" s="246"/>
      <c r="V953" s="248">
        <f t="shared" si="787"/>
        <v>0</v>
      </c>
      <c r="W953" s="261"/>
      <c r="X953" s="258"/>
      <c r="Y953" s="240"/>
      <c r="Z953" s="241" t="str">
        <f>IF(ISBLANK(Y953), "", VLOOKUP(Y953, Z!$A$2:$C$4127, 3, FALSE))</f>
        <v/>
      </c>
      <c r="AA953" s="262"/>
      <c r="AB953" s="249">
        <f t="shared" si="822"/>
        <v>0</v>
      </c>
      <c r="AC953" s="210"/>
      <c r="AD953" s="236">
        <f t="shared" si="810"/>
        <v>1</v>
      </c>
      <c r="AE953" s="236">
        <f t="shared" si="811"/>
        <v>1</v>
      </c>
      <c r="AF953" s="236">
        <f t="shared" si="812"/>
        <v>0</v>
      </c>
      <c r="AG953" s="236">
        <v>1</v>
      </c>
      <c r="AH953" s="236">
        <v>0</v>
      </c>
      <c r="AI953" s="236">
        <f t="shared" si="788"/>
        <v>-100</v>
      </c>
      <c r="AJ953" s="210"/>
      <c r="AK953" s="254"/>
      <c r="AL953" s="254"/>
      <c r="AM953" s="255"/>
      <c r="AN953" s="255"/>
      <c r="AO953" s="255"/>
      <c r="AP953" s="255"/>
      <c r="AQ953" s="255"/>
      <c r="AR953" s="255"/>
      <c r="AS953" s="255"/>
      <c r="AT953" s="255"/>
      <c r="AU953" s="255"/>
      <c r="AV953" s="255"/>
      <c r="AW953" s="255"/>
      <c r="AX953" s="210"/>
      <c r="AY953" s="236" cm="1">
        <f t="array" ref="AY953">INDEX(Use, $AD953, 4)</f>
        <v>7</v>
      </c>
      <c r="AZ953" s="236">
        <f t="shared" si="789"/>
        <v>32</v>
      </c>
      <c r="BA953" s="236">
        <f t="shared" si="814"/>
        <v>13</v>
      </c>
      <c r="BB953" s="236">
        <f t="shared" si="815"/>
        <v>0</v>
      </c>
      <c r="BC953" s="252" cm="1">
        <f t="array" ref="BC953">K953/IF($L953&gt;0, INDEX($AO$23:$AU$77, $L953+20, $AD953), 1)</f>
        <v>0</v>
      </c>
      <c r="BD953" s="237">
        <f t="shared" si="790"/>
        <v>0</v>
      </c>
      <c r="BE953" s="236">
        <v>35</v>
      </c>
      <c r="BF953" s="237">
        <f t="shared" si="791"/>
        <v>52.55</v>
      </c>
      <c r="BG953" s="253">
        <f t="shared" si="792"/>
        <v>2.7676728869374316</v>
      </c>
      <c r="BH953" s="253" cm="1">
        <f t="array" ref="BH953">$BC953 * SUMPRODUCT(INDEX($AL$77:$AN$82,,$AE953),INDEX($AO$77:$AU$82,,$AD953), N($AK$77:$AK$82&gt;$AI953)) / BG953 / 1000</f>
        <v>0</v>
      </c>
      <c r="BI953" s="250">
        <f t="shared" si="816"/>
        <v>30</v>
      </c>
      <c r="BJ953" s="237">
        <f t="shared" si="793"/>
        <v>46.033333333333331</v>
      </c>
      <c r="BK953" s="253">
        <f t="shared" si="794"/>
        <v>3.2297395388556791</v>
      </c>
      <c r="BL953" s="253" cm="1">
        <f t="array" ref="BL953">$BC953 * IF($AD953&lt;=2,
SUMPRODUCT(INDEX($AL$72:$AN$76,,$AE953), INDEX($AO$72:$AU$76,,$AD953), 1 / ($AV$72:$AV$76*BK953 + (1-$AV$72:$AV$76)*BG953), N($AK$72:$AK$76&gt;$AI953)),
SUMPRODUCT(INDEX($AL$67:$AN$76,,$AE953), INDEX($AO$67:$AU$76,,$AD953), 1 / ($AW$67:$AW$76*BK953 + (1-$AW$67:$AW$76)*BG953), N($AK$67:$AK$76&gt;$AI953))
) / 1000</f>
        <v>0</v>
      </c>
      <c r="BM953" s="250">
        <f t="shared" si="817"/>
        <v>25</v>
      </c>
      <c r="BN953" s="237">
        <f t="shared" si="795"/>
        <v>39.516666666666666</v>
      </c>
      <c r="BO953" s="253">
        <f t="shared" si="796"/>
        <v>3.877011788826243</v>
      </c>
      <c r="BP953" s="253" cm="1">
        <f t="array" ref="BP953">$BC953 * IF($AD953&lt;=2,
SUMPRODUCT(INDEX($AL$67:$AN$71,,$AE953), INDEX($AO$67:$AU$71,,$AD953), 1 / ($AV$67:$AV$71*BO953 + (1-$AV$67:$AV$71)*BK953), N($AK$67:$AK$71&gt;$AI953)),
SUMPRODUCT(INDEX($AL$57:$AN$66,,$AE953), INDEX($AO$57:$AU$66,,$AD953), 1 / ($AW$57:$AW$66*BO953 + (1-$AW$57:$AW$66)*BK953), N($AK$57:$AK$66&gt;$AI953))
) / 1000</f>
        <v>0</v>
      </c>
      <c r="BQ953" s="250">
        <f t="shared" si="818"/>
        <v>20</v>
      </c>
      <c r="BR953" s="237">
        <f t="shared" si="797"/>
        <v>33</v>
      </c>
      <c r="BS953" s="253">
        <f t="shared" si="798"/>
        <v>4.8487499999999999</v>
      </c>
      <c r="BT953" s="253" cm="1">
        <f t="array" ref="BT953">$BC953 * IF($AD953&lt;=2,
SUMPRODUCT(INDEX($AL$62:$AN$66,,$AE953), INDEX($AO$62:$AU$66,,$AD953), 1 / ($AV$62:$AV$66*BS953 + (1-$AV$62:$AV$66)*BO953), N($AK$62:$AK$66&gt;$AI953)),
SUMPRODUCT(INDEX($AL$47:$AN$56,,$AE953), INDEX($AO$47:$AU$56,,$AD953), 1 / ($AW$47:$AW$56*BS953 + (1-$AW$47:$AW$56)*BO953), N($AK$47:$AK$56&gt;$AI953))
) / 1000</f>
        <v>0</v>
      </c>
      <c r="BU953" s="253" cm="1">
        <f t="array" ref="BU953">$BC953 * IF($AD953&lt;=2,
SUMPRODUCT(INDEX($AL$23:$AN$61,,$AE953), INDEX($AO$23:$AU$61,,$AD953), 1 / ($AV$23:$AV$61*BS953), N($AK$23:$AK$61&gt;$AI953)),
SUMPRODUCT(INDEX($AL$23:$AN$46,,$AE953), INDEX($AO$23:$AU$46,,$AD953), 1 / ($AW$23:$AW$46*BS953), N($AK$23:$AK$46&gt;$AI953))
) / 1000</f>
        <v>0</v>
      </c>
      <c r="BV953" s="237">
        <f t="shared" si="799"/>
        <v>0</v>
      </c>
      <c r="BW953" s="210"/>
      <c r="BX953" s="237">
        <f t="shared" si="800"/>
        <v>0</v>
      </c>
      <c r="BY953" s="236">
        <v>35</v>
      </c>
      <c r="BZ953" s="237">
        <f t="shared" si="801"/>
        <v>48</v>
      </c>
      <c r="CA953" s="253">
        <f t="shared" si="802"/>
        <v>3.0748170731707316</v>
      </c>
      <c r="CB953" s="253" cm="1">
        <f t="array" ref="CB953">$BC953 * SUMPRODUCT(INDEX($AL$77:$AN$82,,$AE953),INDEX($AO$77:$AU$82,,$AD953), N($AK$77:$AK$82&gt;$AI953)) / CA953 / 1000</f>
        <v>0</v>
      </c>
      <c r="CC953" s="250">
        <f t="shared" si="819"/>
        <v>30</v>
      </c>
      <c r="CD953" s="237">
        <f t="shared" si="803"/>
        <v>43</v>
      </c>
      <c r="CE953" s="253">
        <f t="shared" si="804"/>
        <v>3.5018750000000001</v>
      </c>
      <c r="CF953" s="253" cm="1">
        <f t="array" ref="CF953">$BC953 * IF($AD953&lt;=2,
SUMPRODUCT(INDEX($AL$72:$AN$76,,$AE953), INDEX($AO$72:$AU$76,,$AD953), 1 / ($AV$72:$AV$76*CE953 + (1-$AV$72:$AV$76)*CA953), N($AK$72:$AK$76&gt;$AI953)),
SUMPRODUCT(INDEX($AL$67:$AN$76,,$AE953), INDEX($AO$67:$AU$76,,$AD953), 1 / ($AW$67:$AW$76*CE953 + (1-$AW$67:$AW$76)*CA953), N($AK$67:$AK$76&gt;$AI953))
) / 1000</f>
        <v>0</v>
      </c>
      <c r="CG953" s="250">
        <f t="shared" si="820"/>
        <v>25</v>
      </c>
      <c r="CH953" s="237">
        <f t="shared" si="805"/>
        <v>38</v>
      </c>
      <c r="CI953" s="253">
        <f t="shared" si="806"/>
        <v>4.0666935483870965</v>
      </c>
      <c r="CJ953" s="253" cm="1">
        <f t="array" ref="CJ953">$BC953 * IF($AD953&lt;=2,
SUMPRODUCT(INDEX($AL$67:$AN$71,,$AE953), INDEX($AO$67:$AU$71,,$AD953), 1 / ($AV$67:$AV$71*CI953 + (1-$AV$67:$AV$71)*CE953), N($AK$67:$AK$71&gt;$AI953)),
SUMPRODUCT(INDEX($AL$57:$AN$66,,$AE953), INDEX($AO$57:$AU$66,,$AD953), 1 / ($AW$57:$AW$66*CI953 + (1-$AW$57:$AW$66)*CE953), N($AK$57:$AK$66&gt;$AI953))
) / 1000</f>
        <v>0</v>
      </c>
      <c r="CK953" s="250">
        <f t="shared" si="821"/>
        <v>20</v>
      </c>
      <c r="CL953" s="237">
        <f t="shared" si="807"/>
        <v>33</v>
      </c>
      <c r="CM953" s="253">
        <f t="shared" si="808"/>
        <v>4.8487499999999999</v>
      </c>
      <c r="CN953" s="253" cm="1">
        <f t="array" ref="CN953">$BC953 * IF($AD953&lt;=2,
SUMPRODUCT(INDEX($AL$62:$AN$66,,$AE953), INDEX($AO$62:$AU$66,,$AD953), 1 / ($AV$62:$AV$66*CM953 + (1-$AV$62:$AV$66)*CI953), N($AK$62:$AK$66&gt;$AI953)),
SUMPRODUCT(INDEX($AL$47:$AN$56,,$AE953), INDEX($AO$47:$AU$56,,$AD953), 1 / ($AW$47:$AW$56*CM953 + (1-$AW$47:$AW$56)*CI953), N($AK$47:$AK$56&gt;$AI953))
) / 1000</f>
        <v>0</v>
      </c>
      <c r="CO953" s="253" cm="1">
        <f t="array" ref="CO953">$BC953 * IF($AD953&lt;=2,
SUMPRODUCT(INDEX($AL$23:$AN$61,,$AE953), INDEX($AO$23:$AU$61,,$AD953), 1 / ($AV$23:$AV$61*CM953), N($AK$23:$AK$61&gt;$AI953)),
SUMPRODUCT(INDEX($AL$23:$AN$46,,$AE953), INDEX($AO$23:$AU$46,,$AD953), 1 / ($AW$23:$AW$46*CM953), N($AK$23:$AK$46&gt;$AI953))
) / 1000</f>
        <v>0</v>
      </c>
      <c r="CP953" s="237">
        <f t="shared" si="809"/>
        <v>0</v>
      </c>
      <c r="CQ953" s="210"/>
    </row>
    <row r="954" spans="1:95" s="76" customFormat="1" ht="14.25" customHeight="1" x14ac:dyDescent="0.2">
      <c r="A954" s="238" t="b">
        <f t="shared" si="813"/>
        <v>0</v>
      </c>
      <c r="B954" s="239">
        <v>932</v>
      </c>
      <c r="C954" s="258"/>
      <c r="D954" s="258"/>
      <c r="E954" s="240"/>
      <c r="F954" s="241" t="str">
        <f>IF(ISBLANK(E954), "", VLOOKUP(E954, Z!$A$2:$C$4127, 3, FALSE))</f>
        <v/>
      </c>
      <c r="G954" s="242"/>
      <c r="H954" s="242"/>
      <c r="I954" s="243"/>
      <c r="J954" s="244"/>
      <c r="K954" s="259"/>
      <c r="L954" s="260"/>
      <c r="M954" s="247" t="str" cm="1">
        <f t="array" ref="M954">IF($K954&gt;0, INDEX(Clean,1+AG954,$C$1), "")</f>
        <v/>
      </c>
      <c r="N954" s="245"/>
      <c r="O954" s="245"/>
      <c r="P954" s="246"/>
      <c r="Q954" s="248">
        <f t="shared" si="786"/>
        <v>0</v>
      </c>
      <c r="R954" s="247" t="str" cm="1">
        <f t="array" ref="R954">IF($K954&gt;0, INDEX(Clean,1+AH954,$C$1), "")</f>
        <v/>
      </c>
      <c r="S954" s="245"/>
      <c r="T954" s="245"/>
      <c r="U954" s="246"/>
      <c r="V954" s="248">
        <f t="shared" si="787"/>
        <v>0</v>
      </c>
      <c r="W954" s="261"/>
      <c r="X954" s="258"/>
      <c r="Y954" s="240"/>
      <c r="Z954" s="241" t="str">
        <f>IF(ISBLANK(Y954), "", VLOOKUP(Y954, Z!$A$2:$C$4127, 3, FALSE))</f>
        <v/>
      </c>
      <c r="AA954" s="262"/>
      <c r="AB954" s="249">
        <f t="shared" si="822"/>
        <v>0</v>
      </c>
      <c r="AC954" s="210"/>
      <c r="AD954" s="236">
        <f t="shared" si="810"/>
        <v>1</v>
      </c>
      <c r="AE954" s="236">
        <f t="shared" si="811"/>
        <v>1</v>
      </c>
      <c r="AF954" s="236">
        <f t="shared" si="812"/>
        <v>0</v>
      </c>
      <c r="AG954" s="236">
        <v>1</v>
      </c>
      <c r="AH954" s="236">
        <v>0</v>
      </c>
      <c r="AI954" s="236">
        <f t="shared" si="788"/>
        <v>-100</v>
      </c>
      <c r="AJ954" s="210"/>
      <c r="AK954" s="254"/>
      <c r="AL954" s="254"/>
      <c r="AM954" s="255"/>
      <c r="AN954" s="255"/>
      <c r="AO954" s="255"/>
      <c r="AP954" s="255"/>
      <c r="AQ954" s="255"/>
      <c r="AR954" s="255"/>
      <c r="AS954" s="255"/>
      <c r="AT954" s="255"/>
      <c r="AU954" s="255"/>
      <c r="AV954" s="255"/>
      <c r="AW954" s="255"/>
      <c r="AX954" s="210"/>
      <c r="AY954" s="236" cm="1">
        <f t="array" ref="AY954">INDEX(Use, $AD954, 4)</f>
        <v>7</v>
      </c>
      <c r="AZ954" s="236">
        <f t="shared" si="789"/>
        <v>32</v>
      </c>
      <c r="BA954" s="236">
        <f t="shared" si="814"/>
        <v>13</v>
      </c>
      <c r="BB954" s="236">
        <f t="shared" si="815"/>
        <v>0</v>
      </c>
      <c r="BC954" s="252" cm="1">
        <f t="array" ref="BC954">K954/IF($L954&gt;0, INDEX($AO$23:$AU$77, $L954+20, $AD954), 1)</f>
        <v>0</v>
      </c>
      <c r="BD954" s="237">
        <f t="shared" si="790"/>
        <v>0</v>
      </c>
      <c r="BE954" s="236">
        <v>35</v>
      </c>
      <c r="BF954" s="237">
        <f t="shared" si="791"/>
        <v>52.55</v>
      </c>
      <c r="BG954" s="253">
        <f t="shared" si="792"/>
        <v>2.7676728869374316</v>
      </c>
      <c r="BH954" s="253" cm="1">
        <f t="array" ref="BH954">$BC954 * SUMPRODUCT(INDEX($AL$77:$AN$82,,$AE954),INDEX($AO$77:$AU$82,,$AD954), N($AK$77:$AK$82&gt;$AI954)) / BG954 / 1000</f>
        <v>0</v>
      </c>
      <c r="BI954" s="250">
        <f t="shared" si="816"/>
        <v>30</v>
      </c>
      <c r="BJ954" s="237">
        <f t="shared" si="793"/>
        <v>46.033333333333331</v>
      </c>
      <c r="BK954" s="253">
        <f t="shared" si="794"/>
        <v>3.2297395388556791</v>
      </c>
      <c r="BL954" s="253" cm="1">
        <f t="array" ref="BL954">$BC954 * IF($AD954&lt;=2,
SUMPRODUCT(INDEX($AL$72:$AN$76,,$AE954), INDEX($AO$72:$AU$76,,$AD954), 1 / ($AV$72:$AV$76*BK954 + (1-$AV$72:$AV$76)*BG954), N($AK$72:$AK$76&gt;$AI954)),
SUMPRODUCT(INDEX($AL$67:$AN$76,,$AE954), INDEX($AO$67:$AU$76,,$AD954), 1 / ($AW$67:$AW$76*BK954 + (1-$AW$67:$AW$76)*BG954), N($AK$67:$AK$76&gt;$AI954))
) / 1000</f>
        <v>0</v>
      </c>
      <c r="BM954" s="250">
        <f t="shared" si="817"/>
        <v>25</v>
      </c>
      <c r="BN954" s="237">
        <f t="shared" si="795"/>
        <v>39.516666666666666</v>
      </c>
      <c r="BO954" s="253">
        <f t="shared" si="796"/>
        <v>3.877011788826243</v>
      </c>
      <c r="BP954" s="253" cm="1">
        <f t="array" ref="BP954">$BC954 * IF($AD954&lt;=2,
SUMPRODUCT(INDEX($AL$67:$AN$71,,$AE954), INDEX($AO$67:$AU$71,,$AD954), 1 / ($AV$67:$AV$71*BO954 + (1-$AV$67:$AV$71)*BK954), N($AK$67:$AK$71&gt;$AI954)),
SUMPRODUCT(INDEX($AL$57:$AN$66,,$AE954), INDEX($AO$57:$AU$66,,$AD954), 1 / ($AW$57:$AW$66*BO954 + (1-$AW$57:$AW$66)*BK954), N($AK$57:$AK$66&gt;$AI954))
) / 1000</f>
        <v>0</v>
      </c>
      <c r="BQ954" s="250">
        <f t="shared" si="818"/>
        <v>20</v>
      </c>
      <c r="BR954" s="237">
        <f t="shared" si="797"/>
        <v>33</v>
      </c>
      <c r="BS954" s="253">
        <f t="shared" si="798"/>
        <v>4.8487499999999999</v>
      </c>
      <c r="BT954" s="253" cm="1">
        <f t="array" ref="BT954">$BC954 * IF($AD954&lt;=2,
SUMPRODUCT(INDEX($AL$62:$AN$66,,$AE954), INDEX($AO$62:$AU$66,,$AD954), 1 / ($AV$62:$AV$66*BS954 + (1-$AV$62:$AV$66)*BO954), N($AK$62:$AK$66&gt;$AI954)),
SUMPRODUCT(INDEX($AL$47:$AN$56,,$AE954), INDEX($AO$47:$AU$56,,$AD954), 1 / ($AW$47:$AW$56*BS954 + (1-$AW$47:$AW$56)*BO954), N($AK$47:$AK$56&gt;$AI954))
) / 1000</f>
        <v>0</v>
      </c>
      <c r="BU954" s="253" cm="1">
        <f t="array" ref="BU954">$BC954 * IF($AD954&lt;=2,
SUMPRODUCT(INDEX($AL$23:$AN$61,,$AE954), INDEX($AO$23:$AU$61,,$AD954), 1 / ($AV$23:$AV$61*BS954), N($AK$23:$AK$61&gt;$AI954)),
SUMPRODUCT(INDEX($AL$23:$AN$46,,$AE954), INDEX($AO$23:$AU$46,,$AD954), 1 / ($AW$23:$AW$46*BS954), N($AK$23:$AK$46&gt;$AI954))
) / 1000</f>
        <v>0</v>
      </c>
      <c r="BV954" s="237">
        <f t="shared" si="799"/>
        <v>0</v>
      </c>
      <c r="BW954" s="210"/>
      <c r="BX954" s="237">
        <f t="shared" si="800"/>
        <v>0</v>
      </c>
      <c r="BY954" s="236">
        <v>35</v>
      </c>
      <c r="BZ954" s="237">
        <f t="shared" si="801"/>
        <v>48</v>
      </c>
      <c r="CA954" s="253">
        <f t="shared" si="802"/>
        <v>3.0748170731707316</v>
      </c>
      <c r="CB954" s="253" cm="1">
        <f t="array" ref="CB954">$BC954 * SUMPRODUCT(INDEX($AL$77:$AN$82,,$AE954),INDEX($AO$77:$AU$82,,$AD954), N($AK$77:$AK$82&gt;$AI954)) / CA954 / 1000</f>
        <v>0</v>
      </c>
      <c r="CC954" s="250">
        <f t="shared" si="819"/>
        <v>30</v>
      </c>
      <c r="CD954" s="237">
        <f t="shared" si="803"/>
        <v>43</v>
      </c>
      <c r="CE954" s="253">
        <f t="shared" si="804"/>
        <v>3.5018750000000001</v>
      </c>
      <c r="CF954" s="253" cm="1">
        <f t="array" ref="CF954">$BC954 * IF($AD954&lt;=2,
SUMPRODUCT(INDEX($AL$72:$AN$76,,$AE954), INDEX($AO$72:$AU$76,,$AD954), 1 / ($AV$72:$AV$76*CE954 + (1-$AV$72:$AV$76)*CA954), N($AK$72:$AK$76&gt;$AI954)),
SUMPRODUCT(INDEX($AL$67:$AN$76,,$AE954), INDEX($AO$67:$AU$76,,$AD954), 1 / ($AW$67:$AW$76*CE954 + (1-$AW$67:$AW$76)*CA954), N($AK$67:$AK$76&gt;$AI954))
) / 1000</f>
        <v>0</v>
      </c>
      <c r="CG954" s="250">
        <f t="shared" si="820"/>
        <v>25</v>
      </c>
      <c r="CH954" s="237">
        <f t="shared" si="805"/>
        <v>38</v>
      </c>
      <c r="CI954" s="253">
        <f t="shared" si="806"/>
        <v>4.0666935483870965</v>
      </c>
      <c r="CJ954" s="253" cm="1">
        <f t="array" ref="CJ954">$BC954 * IF($AD954&lt;=2,
SUMPRODUCT(INDEX($AL$67:$AN$71,,$AE954), INDEX($AO$67:$AU$71,,$AD954), 1 / ($AV$67:$AV$71*CI954 + (1-$AV$67:$AV$71)*CE954), N($AK$67:$AK$71&gt;$AI954)),
SUMPRODUCT(INDEX($AL$57:$AN$66,,$AE954), INDEX($AO$57:$AU$66,,$AD954), 1 / ($AW$57:$AW$66*CI954 + (1-$AW$57:$AW$66)*CE954), N($AK$57:$AK$66&gt;$AI954))
) / 1000</f>
        <v>0</v>
      </c>
      <c r="CK954" s="250">
        <f t="shared" si="821"/>
        <v>20</v>
      </c>
      <c r="CL954" s="237">
        <f t="shared" si="807"/>
        <v>33</v>
      </c>
      <c r="CM954" s="253">
        <f t="shared" si="808"/>
        <v>4.8487499999999999</v>
      </c>
      <c r="CN954" s="253" cm="1">
        <f t="array" ref="CN954">$BC954 * IF($AD954&lt;=2,
SUMPRODUCT(INDEX($AL$62:$AN$66,,$AE954), INDEX($AO$62:$AU$66,,$AD954), 1 / ($AV$62:$AV$66*CM954 + (1-$AV$62:$AV$66)*CI954), N($AK$62:$AK$66&gt;$AI954)),
SUMPRODUCT(INDEX($AL$47:$AN$56,,$AE954), INDEX($AO$47:$AU$56,,$AD954), 1 / ($AW$47:$AW$56*CM954 + (1-$AW$47:$AW$56)*CI954), N($AK$47:$AK$56&gt;$AI954))
) / 1000</f>
        <v>0</v>
      </c>
      <c r="CO954" s="253" cm="1">
        <f t="array" ref="CO954">$BC954 * IF($AD954&lt;=2,
SUMPRODUCT(INDEX($AL$23:$AN$61,,$AE954), INDEX($AO$23:$AU$61,,$AD954), 1 / ($AV$23:$AV$61*CM954), N($AK$23:$AK$61&gt;$AI954)),
SUMPRODUCT(INDEX($AL$23:$AN$46,,$AE954), INDEX($AO$23:$AU$46,,$AD954), 1 / ($AW$23:$AW$46*CM954), N($AK$23:$AK$46&gt;$AI954))
) / 1000</f>
        <v>0</v>
      </c>
      <c r="CP954" s="237">
        <f t="shared" si="809"/>
        <v>0</v>
      </c>
      <c r="CQ954" s="210"/>
    </row>
    <row r="955" spans="1:95" s="76" customFormat="1" ht="14.25" customHeight="1" x14ac:dyDescent="0.2">
      <c r="A955" s="238" t="b">
        <f t="shared" si="813"/>
        <v>0</v>
      </c>
      <c r="B955" s="239">
        <v>933</v>
      </c>
      <c r="C955" s="258"/>
      <c r="D955" s="258"/>
      <c r="E955" s="240"/>
      <c r="F955" s="241" t="str">
        <f>IF(ISBLANK(E955), "", VLOOKUP(E955, Z!$A$2:$C$4127, 3, FALSE))</f>
        <v/>
      </c>
      <c r="G955" s="242"/>
      <c r="H955" s="242"/>
      <c r="I955" s="243"/>
      <c r="J955" s="244"/>
      <c r="K955" s="259"/>
      <c r="L955" s="260"/>
      <c r="M955" s="247" t="str" cm="1">
        <f t="array" ref="M955">IF($K955&gt;0, INDEX(Clean,1+AG955,$C$1), "")</f>
        <v/>
      </c>
      <c r="N955" s="245"/>
      <c r="O955" s="245"/>
      <c r="P955" s="246"/>
      <c r="Q955" s="248">
        <f t="shared" ref="Q955:Q1018" si="823">BV955*1000</f>
        <v>0</v>
      </c>
      <c r="R955" s="247" t="str" cm="1">
        <f t="array" ref="R955">IF($K955&gt;0, INDEX(Clean,1+AH955,$C$1), "")</f>
        <v/>
      </c>
      <c r="S955" s="245"/>
      <c r="T955" s="245"/>
      <c r="U955" s="246"/>
      <c r="V955" s="248">
        <f t="shared" ref="V955:V1018" si="824">CP955*1000</f>
        <v>0</v>
      </c>
      <c r="W955" s="261"/>
      <c r="X955" s="258"/>
      <c r="Y955" s="240"/>
      <c r="Z955" s="241" t="str">
        <f>IF(ISBLANK(Y955), "", VLOOKUP(Y955, Z!$A$2:$C$4127, 3, FALSE))</f>
        <v/>
      </c>
      <c r="AA955" s="262"/>
      <c r="AB955" s="249">
        <f t="shared" si="822"/>
        <v>0</v>
      </c>
      <c r="AC955" s="210"/>
      <c r="AD955" s="236">
        <f t="shared" si="810"/>
        <v>1</v>
      </c>
      <c r="AE955" s="236">
        <f t="shared" si="811"/>
        <v>1</v>
      </c>
      <c r="AF955" s="236">
        <f t="shared" si="812"/>
        <v>0</v>
      </c>
      <c r="AG955" s="236">
        <v>1</v>
      </c>
      <c r="AH955" s="236">
        <v>0</v>
      </c>
      <c r="AI955" s="236">
        <f t="shared" ref="AI955:AI1018" si="825">IF(AND(J955="x", AD955=5), 11, IF(AND(J955="x", AD955=6), 19, -100))</f>
        <v>-100</v>
      </c>
      <c r="AJ955" s="210"/>
      <c r="AK955" s="254"/>
      <c r="AL955" s="254"/>
      <c r="AM955" s="255"/>
      <c r="AN955" s="255"/>
      <c r="AO955" s="255"/>
      <c r="AP955" s="255"/>
      <c r="AQ955" s="255"/>
      <c r="AR955" s="255"/>
      <c r="AS955" s="255"/>
      <c r="AT955" s="255"/>
      <c r="AU955" s="255"/>
      <c r="AV955" s="255"/>
      <c r="AW955" s="255"/>
      <c r="AX955" s="210"/>
      <c r="AY955" s="236" cm="1">
        <f t="array" ref="AY955">INDEX(Use, $AD955, 4)</f>
        <v>7</v>
      </c>
      <c r="AZ955" s="236">
        <f t="shared" ref="AZ955:AZ1018" si="826">MAX(25, AY955+25)</f>
        <v>32</v>
      </c>
      <c r="BA955" s="236">
        <f t="shared" si="814"/>
        <v>13</v>
      </c>
      <c r="BB955" s="236">
        <f t="shared" si="815"/>
        <v>0</v>
      </c>
      <c r="BC955" s="252" cm="1">
        <f t="array" ref="BC955">K955/IF($L955&gt;0, INDEX($AO$23:$AU$77, $L955+20, $AD955), 1)</f>
        <v>0</v>
      </c>
      <c r="BD955" s="237">
        <f t="shared" ref="BD955:BD1018" si="827">P955 /  IF(AD955&lt;=2, 0.7 + 0.3 * (O955-20)/(35-20), 0.4 + 0.6 * (O955-5)/(35-5))</f>
        <v>0</v>
      </c>
      <c r="BE955" s="236">
        <v>35</v>
      </c>
      <c r="BF955" s="237">
        <f t="shared" ref="BF955:BF1018" si="828">MAX($N955, MAX($AZ955, $BE955 + $BA955 + $BB955 + 0.35*$AG955*$BA955 + BD955))</f>
        <v>52.55</v>
      </c>
      <c r="BG955" s="253">
        <f t="shared" ref="BG955:BG1018" si="829">0.45*($AY955+273.15)/(BF955-$AY955)</f>
        <v>2.7676728869374316</v>
      </c>
      <c r="BH955" s="253" cm="1">
        <f t="array" ref="BH955">$BC955 * SUMPRODUCT(INDEX($AL$77:$AN$82,,$AE955),INDEX($AO$77:$AU$82,,$AD955), N($AK$77:$AK$82&gt;$AI955)) / BG955 / 1000</f>
        <v>0</v>
      </c>
      <c r="BI955" s="250">
        <f t="shared" si="816"/>
        <v>30</v>
      </c>
      <c r="BJ955" s="237">
        <f t="shared" ref="BJ955:BJ1018" si="830">MAX($N955, MAX($AZ955, BI955 + $BA955 + $BB955 + IF($AD955&lt;=2, (BI955-20)/(35-20), 0.6+0.4*(BI955-5)/(35-5))*0.35*$AG955*$BA955) + IF($AD955&lt;=2,0.9,0.8)*$BD955)</f>
        <v>46.033333333333331</v>
      </c>
      <c r="BK955" s="253">
        <f t="shared" ref="BK955:BK1018" si="831">0.45*($AY955+273.15)/(BJ955-$AY955)</f>
        <v>3.2297395388556791</v>
      </c>
      <c r="BL955" s="253" cm="1">
        <f t="array" ref="BL955">$BC955 * IF($AD955&lt;=2,
SUMPRODUCT(INDEX($AL$72:$AN$76,,$AE955), INDEX($AO$72:$AU$76,,$AD955), 1 / ($AV$72:$AV$76*BK955 + (1-$AV$72:$AV$76)*BG955), N($AK$72:$AK$76&gt;$AI955)),
SUMPRODUCT(INDEX($AL$67:$AN$76,,$AE955), INDEX($AO$67:$AU$76,,$AD955), 1 / ($AW$67:$AW$76*BK955 + (1-$AW$67:$AW$76)*BG955), N($AK$67:$AK$76&gt;$AI955))
) / 1000</f>
        <v>0</v>
      </c>
      <c r="BM955" s="250">
        <f t="shared" si="817"/>
        <v>25</v>
      </c>
      <c r="BN955" s="237">
        <f t="shared" ref="BN955:BN1018" si="832">MAX($N955, MAX($AZ955, BM955 + $BA955 + $BB955 + IF($AD955&lt;=2, (BM955-20)/(35-20), 0.6+0.4*(BM955-5)/(35-5))*0.35*$AG955*$BA955) + IF($AD955&lt;=2,0.8,0.6)*$BD955)</f>
        <v>39.516666666666666</v>
      </c>
      <c r="BO955" s="253">
        <f t="shared" ref="BO955:BO1018" si="833">0.45*($AY955+273.15)/(BN955-$AY955)</f>
        <v>3.877011788826243</v>
      </c>
      <c r="BP955" s="253" cm="1">
        <f t="array" ref="BP955">$BC955 * IF($AD955&lt;=2,
SUMPRODUCT(INDEX($AL$67:$AN$71,,$AE955), INDEX($AO$67:$AU$71,,$AD955), 1 / ($AV$67:$AV$71*BO955 + (1-$AV$67:$AV$71)*BK955), N($AK$67:$AK$71&gt;$AI955)),
SUMPRODUCT(INDEX($AL$57:$AN$66,,$AE955), INDEX($AO$57:$AU$66,,$AD955), 1 / ($AW$57:$AW$66*BO955 + (1-$AW$57:$AW$66)*BK955), N($AK$57:$AK$66&gt;$AI955))
) / 1000</f>
        <v>0</v>
      </c>
      <c r="BQ955" s="250">
        <f t="shared" si="818"/>
        <v>20</v>
      </c>
      <c r="BR955" s="237">
        <f t="shared" ref="BR955:BR1018" si="834">MAX($N955, MAX($AZ955, BQ955 + $BA955 + $BB955 + IF($AD955&lt;=2, (BQ955-20)/(35-20), 0.6+0.4*(BQ955-5)/(35-5))*0.35*$AG955*$BA955) + IF($AD955&lt;=2,0.7,0.4)*$BD955)</f>
        <v>33</v>
      </c>
      <c r="BS955" s="253">
        <f t="shared" ref="BS955:BS1018" si="835">0.45*($AY955+273.15)/(BR955-$AY955)</f>
        <v>4.8487499999999999</v>
      </c>
      <c r="BT955" s="253" cm="1">
        <f t="array" ref="BT955">$BC955 * IF($AD955&lt;=2,
SUMPRODUCT(INDEX($AL$62:$AN$66,,$AE955), INDEX($AO$62:$AU$66,,$AD955), 1 / ($AV$62:$AV$66*BS955 + (1-$AV$62:$AV$66)*BO955), N($AK$62:$AK$66&gt;$AI955)),
SUMPRODUCT(INDEX($AL$47:$AN$56,,$AE955), INDEX($AO$47:$AU$56,,$AD955), 1 / ($AW$47:$AW$56*BS955 + (1-$AW$47:$AW$56)*BO955), N($AK$47:$AK$56&gt;$AI955))
) / 1000</f>
        <v>0</v>
      </c>
      <c r="BU955" s="253" cm="1">
        <f t="array" ref="BU955">$BC955 * IF($AD955&lt;=2,
SUMPRODUCT(INDEX($AL$23:$AN$61,,$AE955), INDEX($AO$23:$AU$61,,$AD955), 1 / ($AV$23:$AV$61*BS955), N($AK$23:$AK$61&gt;$AI955)),
SUMPRODUCT(INDEX($AL$23:$AN$46,,$AE955), INDEX($AO$23:$AU$46,,$AD955), 1 / ($AW$23:$AW$46*BS955), N($AK$23:$AK$46&gt;$AI955))
) / 1000</f>
        <v>0</v>
      </c>
      <c r="BV955" s="237">
        <f t="shared" ref="BV955:BV1018" si="836">BH955+BL955+BP955+BT955+BU955</f>
        <v>0</v>
      </c>
      <c r="BW955" s="210"/>
      <c r="BX955" s="237">
        <f t="shared" ref="BX955:BX1018" si="837">U955 /  IF(AD955&lt;=2, 0.7 + 0.3 * (T955-20)/(35-20), 0.4 + 0.6 * (T955-5)/(35-5))</f>
        <v>0</v>
      </c>
      <c r="BY955" s="236">
        <v>35</v>
      </c>
      <c r="BZ955" s="237">
        <f t="shared" ref="BZ955:BZ1018" si="838">MAX($S955, MAX($AZ955, $BE955 + $BA955 + $BB955 + 0.35*$AH955*$BA955 + BX955))</f>
        <v>48</v>
      </c>
      <c r="CA955" s="253">
        <f t="shared" ref="CA955:CA1018" si="839">0.45*($AY955+273.15)/(BZ955-$AY955)</f>
        <v>3.0748170731707316</v>
      </c>
      <c r="CB955" s="253" cm="1">
        <f t="array" ref="CB955">$BC955 * SUMPRODUCT(INDEX($AL$77:$AN$82,,$AE955),INDEX($AO$77:$AU$82,,$AD955), N($AK$77:$AK$82&gt;$AI955)) / CA955 / 1000</f>
        <v>0</v>
      </c>
      <c r="CC955" s="250">
        <f t="shared" si="819"/>
        <v>30</v>
      </c>
      <c r="CD955" s="237">
        <f t="shared" ref="CD955:CD1018" si="840">MAX($S955, MAX($AZ955, CC955 + $BA955 + $BB955 + IF($AD955&lt;=2, (CC955-20)/(35-20), 0.6+0.4*(CC955-5)/(35-5))*0.35*$AH955*$BA955) + IF($AD955&lt;=2,0.9,0.8)*$BX955)</f>
        <v>43</v>
      </c>
      <c r="CE955" s="253">
        <f t="shared" ref="CE955:CE1018" si="841">0.45*($AY955+273.15)/(CD955-$AY955)</f>
        <v>3.5018750000000001</v>
      </c>
      <c r="CF955" s="253" cm="1">
        <f t="array" ref="CF955">$BC955 * IF($AD955&lt;=2,
SUMPRODUCT(INDEX($AL$72:$AN$76,,$AE955), INDEX($AO$72:$AU$76,,$AD955), 1 / ($AV$72:$AV$76*CE955 + (1-$AV$72:$AV$76)*CA955), N($AK$72:$AK$76&gt;$AI955)),
SUMPRODUCT(INDEX($AL$67:$AN$76,,$AE955), INDEX($AO$67:$AU$76,,$AD955), 1 / ($AW$67:$AW$76*CE955 + (1-$AW$67:$AW$76)*CA955), N($AK$67:$AK$76&gt;$AI955))
) / 1000</f>
        <v>0</v>
      </c>
      <c r="CG955" s="250">
        <f t="shared" si="820"/>
        <v>25</v>
      </c>
      <c r="CH955" s="237">
        <f t="shared" ref="CH955:CH1018" si="842">MAX($S955, MAX($AZ955, CG955 + $BA955 + $BB955 + IF($AD955&lt;=2, (CG955-20)/(35-20), 0.6+0.4*(CG955-5)/(35-5))*0.35*$AH955*$BA955) + IF($AD955&lt;=2,0.8,0.6)*$BX955)</f>
        <v>38</v>
      </c>
      <c r="CI955" s="253">
        <f t="shared" ref="CI955:CI1018" si="843">0.45*($AY955+273.15)/(CH955-$AY955)</f>
        <v>4.0666935483870965</v>
      </c>
      <c r="CJ955" s="253" cm="1">
        <f t="array" ref="CJ955">$BC955 * IF($AD955&lt;=2,
SUMPRODUCT(INDEX($AL$67:$AN$71,,$AE955), INDEX($AO$67:$AU$71,,$AD955), 1 / ($AV$67:$AV$71*CI955 + (1-$AV$67:$AV$71)*CE955), N($AK$67:$AK$71&gt;$AI955)),
SUMPRODUCT(INDEX($AL$57:$AN$66,,$AE955), INDEX($AO$57:$AU$66,,$AD955), 1 / ($AW$57:$AW$66*CI955 + (1-$AW$57:$AW$66)*CE955), N($AK$57:$AK$66&gt;$AI955))
) / 1000</f>
        <v>0</v>
      </c>
      <c r="CK955" s="250">
        <f t="shared" si="821"/>
        <v>20</v>
      </c>
      <c r="CL955" s="237">
        <f t="shared" ref="CL955:CL1018" si="844">MAX($S955, MAX($AZ955, CK955 + $BA955 + $BB955 + IF($AD955&lt;=2, (CK955-20)/(35-20), 0.6+0.4*(CK955-5)/(35-5))*0.35*$AH955*$BA955) + IF($AD955&lt;=2,0.7,0.4)*$BX955)</f>
        <v>33</v>
      </c>
      <c r="CM955" s="253">
        <f t="shared" ref="CM955:CM1018" si="845">0.45*($AY955+273.15)/(CL955-$AY955)</f>
        <v>4.8487499999999999</v>
      </c>
      <c r="CN955" s="253" cm="1">
        <f t="array" ref="CN955">$BC955 * IF($AD955&lt;=2,
SUMPRODUCT(INDEX($AL$62:$AN$66,,$AE955), INDEX($AO$62:$AU$66,,$AD955), 1 / ($AV$62:$AV$66*CM955 + (1-$AV$62:$AV$66)*CI955), N($AK$62:$AK$66&gt;$AI955)),
SUMPRODUCT(INDEX($AL$47:$AN$56,,$AE955), INDEX($AO$47:$AU$56,,$AD955), 1 / ($AW$47:$AW$56*CM955 + (1-$AW$47:$AW$56)*CI955), N($AK$47:$AK$56&gt;$AI955))
) / 1000</f>
        <v>0</v>
      </c>
      <c r="CO955" s="253" cm="1">
        <f t="array" ref="CO955">$BC955 * IF($AD955&lt;=2,
SUMPRODUCT(INDEX($AL$23:$AN$61,,$AE955), INDEX($AO$23:$AU$61,,$AD955), 1 / ($AV$23:$AV$61*CM955), N($AK$23:$AK$61&gt;$AI955)),
SUMPRODUCT(INDEX($AL$23:$AN$46,,$AE955), INDEX($AO$23:$AU$46,,$AD955), 1 / ($AW$23:$AW$46*CM955), N($AK$23:$AK$46&gt;$AI955))
) / 1000</f>
        <v>0</v>
      </c>
      <c r="CP955" s="237">
        <f t="shared" ref="CP955:CP1018" si="846">CB955+CF955+CJ955+CN955+CO955</f>
        <v>0</v>
      </c>
      <c r="CQ955" s="210"/>
    </row>
    <row r="956" spans="1:95" s="76" customFormat="1" ht="14.25" customHeight="1" x14ac:dyDescent="0.2">
      <c r="A956" s="238" t="b">
        <f t="shared" si="813"/>
        <v>0</v>
      </c>
      <c r="B956" s="239">
        <v>934</v>
      </c>
      <c r="C956" s="258"/>
      <c r="D956" s="258"/>
      <c r="E956" s="240"/>
      <c r="F956" s="241" t="str">
        <f>IF(ISBLANK(E956), "", VLOOKUP(E956, Z!$A$2:$C$4127, 3, FALSE))</f>
        <v/>
      </c>
      <c r="G956" s="242"/>
      <c r="H956" s="242"/>
      <c r="I956" s="243"/>
      <c r="J956" s="244"/>
      <c r="K956" s="259"/>
      <c r="L956" s="260"/>
      <c r="M956" s="247" t="str" cm="1">
        <f t="array" ref="M956">IF($K956&gt;0, INDEX(Clean,1+AG956,$C$1), "")</f>
        <v/>
      </c>
      <c r="N956" s="245"/>
      <c r="O956" s="245"/>
      <c r="P956" s="246"/>
      <c r="Q956" s="248">
        <f t="shared" si="823"/>
        <v>0</v>
      </c>
      <c r="R956" s="247" t="str" cm="1">
        <f t="array" ref="R956">IF($K956&gt;0, INDEX(Clean,1+AH956,$C$1), "")</f>
        <v/>
      </c>
      <c r="S956" s="245"/>
      <c r="T956" s="245"/>
      <c r="U956" s="246"/>
      <c r="V956" s="248">
        <f t="shared" si="824"/>
        <v>0</v>
      </c>
      <c r="W956" s="261"/>
      <c r="X956" s="258"/>
      <c r="Y956" s="240"/>
      <c r="Z956" s="241" t="str">
        <f>IF(ISBLANK(Y956), "", VLOOKUP(Y956, Z!$A$2:$C$4127, 3, FALSE))</f>
        <v/>
      </c>
      <c r="AA956" s="262"/>
      <c r="AB956" s="249">
        <f t="shared" si="822"/>
        <v>0</v>
      </c>
      <c r="AC956" s="210"/>
      <c r="AD956" s="236">
        <f t="shared" ref="AD956:AD1019" si="847">IF(ISBLANK(H956), 1, IFERROR(MATCH(H956, INDEX(Use,,1), 0), IFERROR(MATCH(H956, INDEX(Use,,2), 0), MATCH(H956, INDEX(Use,,3), 0))))</f>
        <v>1</v>
      </c>
      <c r="AE956" s="236">
        <f t="shared" ref="AE956:AE1019" si="848">IF(ISBLANK(G956), 1, IFERROR(MATCH(G956, INDEX(Loc,,1), 0), IFERROR(MATCH(G956, INDEX(Loc,,2), 0), MATCH(G956, INDEX(Loc,,3), 0))))</f>
        <v>1</v>
      </c>
      <c r="AF956" s="236">
        <f t="shared" ref="AF956:AF1019" si="849">_xlfn.IFNA(IF(IFERROR(MATCH(I956, INDEX(Medium,,1), 0), IFERROR(MATCH(I956, INDEX(Medium,,2), 0), MATCH(I956, INDEX(Medium,,3), 0))) = 2, 1, 0), 0)</f>
        <v>0</v>
      </c>
      <c r="AG956" s="236">
        <v>1</v>
      </c>
      <c r="AH956" s="236">
        <v>0</v>
      </c>
      <c r="AI956" s="236">
        <f t="shared" si="825"/>
        <v>-100</v>
      </c>
      <c r="AJ956" s="210"/>
      <c r="AK956" s="254"/>
      <c r="AL956" s="254"/>
      <c r="AM956" s="255"/>
      <c r="AN956" s="255"/>
      <c r="AO956" s="255"/>
      <c r="AP956" s="255"/>
      <c r="AQ956" s="255"/>
      <c r="AR956" s="255"/>
      <c r="AS956" s="255"/>
      <c r="AT956" s="255"/>
      <c r="AU956" s="255"/>
      <c r="AV956" s="255"/>
      <c r="AW956" s="255"/>
      <c r="AX956" s="210"/>
      <c r="AY956" s="236" cm="1">
        <f t="array" ref="AY956">INDEX(Use, $AD956, 4)</f>
        <v>7</v>
      </c>
      <c r="AZ956" s="236">
        <f t="shared" si="826"/>
        <v>32</v>
      </c>
      <c r="BA956" s="236">
        <f t="shared" si="814"/>
        <v>13</v>
      </c>
      <c r="BB956" s="236">
        <f t="shared" si="815"/>
        <v>0</v>
      </c>
      <c r="BC956" s="252" cm="1">
        <f t="array" ref="BC956">K956/IF($L956&gt;0, INDEX($AO$23:$AU$77, $L956+20, $AD956), 1)</f>
        <v>0</v>
      </c>
      <c r="BD956" s="237">
        <f t="shared" si="827"/>
        <v>0</v>
      </c>
      <c r="BE956" s="236">
        <v>35</v>
      </c>
      <c r="BF956" s="237">
        <f t="shared" si="828"/>
        <v>52.55</v>
      </c>
      <c r="BG956" s="253">
        <f t="shared" si="829"/>
        <v>2.7676728869374316</v>
      </c>
      <c r="BH956" s="253" cm="1">
        <f t="array" ref="BH956">$BC956 * SUMPRODUCT(INDEX($AL$77:$AN$82,,$AE956),INDEX($AO$77:$AU$82,,$AD956), N($AK$77:$AK$82&gt;$AI956)) / BG956 / 1000</f>
        <v>0</v>
      </c>
      <c r="BI956" s="250">
        <f t="shared" si="816"/>
        <v>30</v>
      </c>
      <c r="BJ956" s="237">
        <f t="shared" si="830"/>
        <v>46.033333333333331</v>
      </c>
      <c r="BK956" s="253">
        <f t="shared" si="831"/>
        <v>3.2297395388556791</v>
      </c>
      <c r="BL956" s="253" cm="1">
        <f t="array" ref="BL956">$BC956 * IF($AD956&lt;=2,
SUMPRODUCT(INDEX($AL$72:$AN$76,,$AE956), INDEX($AO$72:$AU$76,,$AD956), 1 / ($AV$72:$AV$76*BK956 + (1-$AV$72:$AV$76)*BG956), N($AK$72:$AK$76&gt;$AI956)),
SUMPRODUCT(INDEX($AL$67:$AN$76,,$AE956), INDEX($AO$67:$AU$76,,$AD956), 1 / ($AW$67:$AW$76*BK956 + (1-$AW$67:$AW$76)*BG956), N($AK$67:$AK$76&gt;$AI956))
) / 1000</f>
        <v>0</v>
      </c>
      <c r="BM956" s="250">
        <f t="shared" si="817"/>
        <v>25</v>
      </c>
      <c r="BN956" s="237">
        <f t="shared" si="832"/>
        <v>39.516666666666666</v>
      </c>
      <c r="BO956" s="253">
        <f t="shared" si="833"/>
        <v>3.877011788826243</v>
      </c>
      <c r="BP956" s="253" cm="1">
        <f t="array" ref="BP956">$BC956 * IF($AD956&lt;=2,
SUMPRODUCT(INDEX($AL$67:$AN$71,,$AE956), INDEX($AO$67:$AU$71,,$AD956), 1 / ($AV$67:$AV$71*BO956 + (1-$AV$67:$AV$71)*BK956), N($AK$67:$AK$71&gt;$AI956)),
SUMPRODUCT(INDEX($AL$57:$AN$66,,$AE956), INDEX($AO$57:$AU$66,,$AD956), 1 / ($AW$57:$AW$66*BO956 + (1-$AW$57:$AW$66)*BK956), N($AK$57:$AK$66&gt;$AI956))
) / 1000</f>
        <v>0</v>
      </c>
      <c r="BQ956" s="250">
        <f t="shared" si="818"/>
        <v>20</v>
      </c>
      <c r="BR956" s="237">
        <f t="shared" si="834"/>
        <v>33</v>
      </c>
      <c r="BS956" s="253">
        <f t="shared" si="835"/>
        <v>4.8487499999999999</v>
      </c>
      <c r="BT956" s="253" cm="1">
        <f t="array" ref="BT956">$BC956 * IF($AD956&lt;=2,
SUMPRODUCT(INDEX($AL$62:$AN$66,,$AE956), INDEX($AO$62:$AU$66,,$AD956), 1 / ($AV$62:$AV$66*BS956 + (1-$AV$62:$AV$66)*BO956), N($AK$62:$AK$66&gt;$AI956)),
SUMPRODUCT(INDEX($AL$47:$AN$56,,$AE956), INDEX($AO$47:$AU$56,,$AD956), 1 / ($AW$47:$AW$56*BS956 + (1-$AW$47:$AW$56)*BO956), N($AK$47:$AK$56&gt;$AI956))
) / 1000</f>
        <v>0</v>
      </c>
      <c r="BU956" s="253" cm="1">
        <f t="array" ref="BU956">$BC956 * IF($AD956&lt;=2,
SUMPRODUCT(INDEX($AL$23:$AN$61,,$AE956), INDEX($AO$23:$AU$61,,$AD956), 1 / ($AV$23:$AV$61*BS956), N($AK$23:$AK$61&gt;$AI956)),
SUMPRODUCT(INDEX($AL$23:$AN$46,,$AE956), INDEX($AO$23:$AU$46,,$AD956), 1 / ($AW$23:$AW$46*BS956), N($AK$23:$AK$46&gt;$AI956))
) / 1000</f>
        <v>0</v>
      </c>
      <c r="BV956" s="237">
        <f t="shared" si="836"/>
        <v>0</v>
      </c>
      <c r="BW956" s="210"/>
      <c r="BX956" s="237">
        <f t="shared" si="837"/>
        <v>0</v>
      </c>
      <c r="BY956" s="236">
        <v>35</v>
      </c>
      <c r="BZ956" s="237">
        <f t="shared" si="838"/>
        <v>48</v>
      </c>
      <c r="CA956" s="253">
        <f t="shared" si="839"/>
        <v>3.0748170731707316</v>
      </c>
      <c r="CB956" s="253" cm="1">
        <f t="array" ref="CB956">$BC956 * SUMPRODUCT(INDEX($AL$77:$AN$82,,$AE956),INDEX($AO$77:$AU$82,,$AD956), N($AK$77:$AK$82&gt;$AI956)) / CA956 / 1000</f>
        <v>0</v>
      </c>
      <c r="CC956" s="250">
        <f t="shared" si="819"/>
        <v>30</v>
      </c>
      <c r="CD956" s="237">
        <f t="shared" si="840"/>
        <v>43</v>
      </c>
      <c r="CE956" s="253">
        <f t="shared" si="841"/>
        <v>3.5018750000000001</v>
      </c>
      <c r="CF956" s="253" cm="1">
        <f t="array" ref="CF956">$BC956 * IF($AD956&lt;=2,
SUMPRODUCT(INDEX($AL$72:$AN$76,,$AE956), INDEX($AO$72:$AU$76,,$AD956), 1 / ($AV$72:$AV$76*CE956 + (1-$AV$72:$AV$76)*CA956), N($AK$72:$AK$76&gt;$AI956)),
SUMPRODUCT(INDEX($AL$67:$AN$76,,$AE956), INDEX($AO$67:$AU$76,,$AD956), 1 / ($AW$67:$AW$76*CE956 + (1-$AW$67:$AW$76)*CA956), N($AK$67:$AK$76&gt;$AI956))
) / 1000</f>
        <v>0</v>
      </c>
      <c r="CG956" s="250">
        <f t="shared" si="820"/>
        <v>25</v>
      </c>
      <c r="CH956" s="237">
        <f t="shared" si="842"/>
        <v>38</v>
      </c>
      <c r="CI956" s="253">
        <f t="shared" si="843"/>
        <v>4.0666935483870965</v>
      </c>
      <c r="CJ956" s="253" cm="1">
        <f t="array" ref="CJ956">$BC956 * IF($AD956&lt;=2,
SUMPRODUCT(INDEX($AL$67:$AN$71,,$AE956), INDEX($AO$67:$AU$71,,$AD956), 1 / ($AV$67:$AV$71*CI956 + (1-$AV$67:$AV$71)*CE956), N($AK$67:$AK$71&gt;$AI956)),
SUMPRODUCT(INDEX($AL$57:$AN$66,,$AE956), INDEX($AO$57:$AU$66,,$AD956), 1 / ($AW$57:$AW$66*CI956 + (1-$AW$57:$AW$66)*CE956), N($AK$57:$AK$66&gt;$AI956))
) / 1000</f>
        <v>0</v>
      </c>
      <c r="CK956" s="250">
        <f t="shared" si="821"/>
        <v>20</v>
      </c>
      <c r="CL956" s="237">
        <f t="shared" si="844"/>
        <v>33</v>
      </c>
      <c r="CM956" s="253">
        <f t="shared" si="845"/>
        <v>4.8487499999999999</v>
      </c>
      <c r="CN956" s="253" cm="1">
        <f t="array" ref="CN956">$BC956 * IF($AD956&lt;=2,
SUMPRODUCT(INDEX($AL$62:$AN$66,,$AE956), INDEX($AO$62:$AU$66,,$AD956), 1 / ($AV$62:$AV$66*CM956 + (1-$AV$62:$AV$66)*CI956), N($AK$62:$AK$66&gt;$AI956)),
SUMPRODUCT(INDEX($AL$47:$AN$56,,$AE956), INDEX($AO$47:$AU$56,,$AD956), 1 / ($AW$47:$AW$56*CM956 + (1-$AW$47:$AW$56)*CI956), N($AK$47:$AK$56&gt;$AI956))
) / 1000</f>
        <v>0</v>
      </c>
      <c r="CO956" s="253" cm="1">
        <f t="array" ref="CO956">$BC956 * IF($AD956&lt;=2,
SUMPRODUCT(INDEX($AL$23:$AN$61,,$AE956), INDEX($AO$23:$AU$61,,$AD956), 1 / ($AV$23:$AV$61*CM956), N($AK$23:$AK$61&gt;$AI956)),
SUMPRODUCT(INDEX($AL$23:$AN$46,,$AE956), INDEX($AO$23:$AU$46,,$AD956), 1 / ($AW$23:$AW$46*CM956), N($AK$23:$AK$46&gt;$AI956))
) / 1000</f>
        <v>0</v>
      </c>
      <c r="CP956" s="237">
        <f t="shared" si="846"/>
        <v>0</v>
      </c>
      <c r="CQ956" s="210"/>
    </row>
    <row r="957" spans="1:95" s="76" customFormat="1" ht="14.25" customHeight="1" x14ac:dyDescent="0.2">
      <c r="A957" s="238" t="b">
        <f t="shared" si="813"/>
        <v>0</v>
      </c>
      <c r="B957" s="239">
        <v>935</v>
      </c>
      <c r="C957" s="258"/>
      <c r="D957" s="258"/>
      <c r="E957" s="240"/>
      <c r="F957" s="241" t="str">
        <f>IF(ISBLANK(E957), "", VLOOKUP(E957, Z!$A$2:$C$4127, 3, FALSE))</f>
        <v/>
      </c>
      <c r="G957" s="242"/>
      <c r="H957" s="242"/>
      <c r="I957" s="243"/>
      <c r="J957" s="244"/>
      <c r="K957" s="259"/>
      <c r="L957" s="260"/>
      <c r="M957" s="247" t="str" cm="1">
        <f t="array" ref="M957">IF($K957&gt;0, INDEX(Clean,1+AG957,$C$1), "")</f>
        <v/>
      </c>
      <c r="N957" s="245"/>
      <c r="O957" s="245"/>
      <c r="P957" s="246"/>
      <c r="Q957" s="248">
        <f t="shared" si="823"/>
        <v>0</v>
      </c>
      <c r="R957" s="247" t="str" cm="1">
        <f t="array" ref="R957">IF($K957&gt;0, INDEX(Clean,1+AH957,$C$1), "")</f>
        <v/>
      </c>
      <c r="S957" s="245"/>
      <c r="T957" s="245"/>
      <c r="U957" s="246"/>
      <c r="V957" s="248">
        <f t="shared" si="824"/>
        <v>0</v>
      </c>
      <c r="W957" s="261"/>
      <c r="X957" s="258"/>
      <c r="Y957" s="240"/>
      <c r="Z957" s="241" t="str">
        <f>IF(ISBLANK(Y957), "", VLOOKUP(Y957, Z!$A$2:$C$4127, 3, FALSE))</f>
        <v/>
      </c>
      <c r="AA957" s="262"/>
      <c r="AB957" s="249">
        <f t="shared" si="822"/>
        <v>0</v>
      </c>
      <c r="AC957" s="210"/>
      <c r="AD957" s="236">
        <f t="shared" si="847"/>
        <v>1</v>
      </c>
      <c r="AE957" s="236">
        <f t="shared" si="848"/>
        <v>1</v>
      </c>
      <c r="AF957" s="236">
        <f t="shared" si="849"/>
        <v>0</v>
      </c>
      <c r="AG957" s="236">
        <v>1</v>
      </c>
      <c r="AH957" s="236">
        <v>0</v>
      </c>
      <c r="AI957" s="236">
        <f t="shared" si="825"/>
        <v>-100</v>
      </c>
      <c r="AJ957" s="210"/>
      <c r="AK957" s="254"/>
      <c r="AL957" s="254"/>
      <c r="AM957" s="255"/>
      <c r="AN957" s="255"/>
      <c r="AO957" s="255"/>
      <c r="AP957" s="255"/>
      <c r="AQ957" s="255"/>
      <c r="AR957" s="255"/>
      <c r="AS957" s="255"/>
      <c r="AT957" s="255"/>
      <c r="AU957" s="255"/>
      <c r="AV957" s="255"/>
      <c r="AW957" s="255"/>
      <c r="AX957" s="210"/>
      <c r="AY957" s="236" cm="1">
        <f t="array" ref="AY957">INDEX(Use, $AD957, 4)</f>
        <v>7</v>
      </c>
      <c r="AZ957" s="236">
        <f t="shared" si="826"/>
        <v>32</v>
      </c>
      <c r="BA957" s="236">
        <f t="shared" si="814"/>
        <v>13</v>
      </c>
      <c r="BB957" s="236">
        <f t="shared" si="815"/>
        <v>0</v>
      </c>
      <c r="BC957" s="252" cm="1">
        <f t="array" ref="BC957">K957/IF($L957&gt;0, INDEX($AO$23:$AU$77, $L957+20, $AD957), 1)</f>
        <v>0</v>
      </c>
      <c r="BD957" s="237">
        <f t="shared" si="827"/>
        <v>0</v>
      </c>
      <c r="BE957" s="236">
        <v>35</v>
      </c>
      <c r="BF957" s="237">
        <f t="shared" si="828"/>
        <v>52.55</v>
      </c>
      <c r="BG957" s="253">
        <f t="shared" si="829"/>
        <v>2.7676728869374316</v>
      </c>
      <c r="BH957" s="253" cm="1">
        <f t="array" ref="BH957">$BC957 * SUMPRODUCT(INDEX($AL$77:$AN$82,,$AE957),INDEX($AO$77:$AU$82,,$AD957), N($AK$77:$AK$82&gt;$AI957)) / BG957 / 1000</f>
        <v>0</v>
      </c>
      <c r="BI957" s="250">
        <f t="shared" si="816"/>
        <v>30</v>
      </c>
      <c r="BJ957" s="237">
        <f t="shared" si="830"/>
        <v>46.033333333333331</v>
      </c>
      <c r="BK957" s="253">
        <f t="shared" si="831"/>
        <v>3.2297395388556791</v>
      </c>
      <c r="BL957" s="253" cm="1">
        <f t="array" ref="BL957">$BC957 * IF($AD957&lt;=2,
SUMPRODUCT(INDEX($AL$72:$AN$76,,$AE957), INDEX($AO$72:$AU$76,,$AD957), 1 / ($AV$72:$AV$76*BK957 + (1-$AV$72:$AV$76)*BG957), N($AK$72:$AK$76&gt;$AI957)),
SUMPRODUCT(INDEX($AL$67:$AN$76,,$AE957), INDEX($AO$67:$AU$76,,$AD957), 1 / ($AW$67:$AW$76*BK957 + (1-$AW$67:$AW$76)*BG957), N($AK$67:$AK$76&gt;$AI957))
) / 1000</f>
        <v>0</v>
      </c>
      <c r="BM957" s="250">
        <f t="shared" si="817"/>
        <v>25</v>
      </c>
      <c r="BN957" s="237">
        <f t="shared" si="832"/>
        <v>39.516666666666666</v>
      </c>
      <c r="BO957" s="253">
        <f t="shared" si="833"/>
        <v>3.877011788826243</v>
      </c>
      <c r="BP957" s="253" cm="1">
        <f t="array" ref="BP957">$BC957 * IF($AD957&lt;=2,
SUMPRODUCT(INDEX($AL$67:$AN$71,,$AE957), INDEX($AO$67:$AU$71,,$AD957), 1 / ($AV$67:$AV$71*BO957 + (1-$AV$67:$AV$71)*BK957), N($AK$67:$AK$71&gt;$AI957)),
SUMPRODUCT(INDEX($AL$57:$AN$66,,$AE957), INDEX($AO$57:$AU$66,,$AD957), 1 / ($AW$57:$AW$66*BO957 + (1-$AW$57:$AW$66)*BK957), N($AK$57:$AK$66&gt;$AI957))
) / 1000</f>
        <v>0</v>
      </c>
      <c r="BQ957" s="250">
        <f t="shared" si="818"/>
        <v>20</v>
      </c>
      <c r="BR957" s="237">
        <f t="shared" si="834"/>
        <v>33</v>
      </c>
      <c r="BS957" s="253">
        <f t="shared" si="835"/>
        <v>4.8487499999999999</v>
      </c>
      <c r="BT957" s="253" cm="1">
        <f t="array" ref="BT957">$BC957 * IF($AD957&lt;=2,
SUMPRODUCT(INDEX($AL$62:$AN$66,,$AE957), INDEX($AO$62:$AU$66,,$AD957), 1 / ($AV$62:$AV$66*BS957 + (1-$AV$62:$AV$66)*BO957), N($AK$62:$AK$66&gt;$AI957)),
SUMPRODUCT(INDEX($AL$47:$AN$56,,$AE957), INDEX($AO$47:$AU$56,,$AD957), 1 / ($AW$47:$AW$56*BS957 + (1-$AW$47:$AW$56)*BO957), N($AK$47:$AK$56&gt;$AI957))
) / 1000</f>
        <v>0</v>
      </c>
      <c r="BU957" s="253" cm="1">
        <f t="array" ref="BU957">$BC957 * IF($AD957&lt;=2,
SUMPRODUCT(INDEX($AL$23:$AN$61,,$AE957), INDEX($AO$23:$AU$61,,$AD957), 1 / ($AV$23:$AV$61*BS957), N($AK$23:$AK$61&gt;$AI957)),
SUMPRODUCT(INDEX($AL$23:$AN$46,,$AE957), INDEX($AO$23:$AU$46,,$AD957), 1 / ($AW$23:$AW$46*BS957), N($AK$23:$AK$46&gt;$AI957))
) / 1000</f>
        <v>0</v>
      </c>
      <c r="BV957" s="237">
        <f t="shared" si="836"/>
        <v>0</v>
      </c>
      <c r="BW957" s="210"/>
      <c r="BX957" s="237">
        <f t="shared" si="837"/>
        <v>0</v>
      </c>
      <c r="BY957" s="236">
        <v>35</v>
      </c>
      <c r="BZ957" s="237">
        <f t="shared" si="838"/>
        <v>48</v>
      </c>
      <c r="CA957" s="253">
        <f t="shared" si="839"/>
        <v>3.0748170731707316</v>
      </c>
      <c r="CB957" s="253" cm="1">
        <f t="array" ref="CB957">$BC957 * SUMPRODUCT(INDEX($AL$77:$AN$82,,$AE957),INDEX($AO$77:$AU$82,,$AD957), N($AK$77:$AK$82&gt;$AI957)) / CA957 / 1000</f>
        <v>0</v>
      </c>
      <c r="CC957" s="250">
        <f t="shared" si="819"/>
        <v>30</v>
      </c>
      <c r="CD957" s="237">
        <f t="shared" si="840"/>
        <v>43</v>
      </c>
      <c r="CE957" s="253">
        <f t="shared" si="841"/>
        <v>3.5018750000000001</v>
      </c>
      <c r="CF957" s="253" cm="1">
        <f t="array" ref="CF957">$BC957 * IF($AD957&lt;=2,
SUMPRODUCT(INDEX($AL$72:$AN$76,,$AE957), INDEX($AO$72:$AU$76,,$AD957), 1 / ($AV$72:$AV$76*CE957 + (1-$AV$72:$AV$76)*CA957), N($AK$72:$AK$76&gt;$AI957)),
SUMPRODUCT(INDEX($AL$67:$AN$76,,$AE957), INDEX($AO$67:$AU$76,,$AD957), 1 / ($AW$67:$AW$76*CE957 + (1-$AW$67:$AW$76)*CA957), N($AK$67:$AK$76&gt;$AI957))
) / 1000</f>
        <v>0</v>
      </c>
      <c r="CG957" s="250">
        <f t="shared" si="820"/>
        <v>25</v>
      </c>
      <c r="CH957" s="237">
        <f t="shared" si="842"/>
        <v>38</v>
      </c>
      <c r="CI957" s="253">
        <f t="shared" si="843"/>
        <v>4.0666935483870965</v>
      </c>
      <c r="CJ957" s="253" cm="1">
        <f t="array" ref="CJ957">$BC957 * IF($AD957&lt;=2,
SUMPRODUCT(INDEX($AL$67:$AN$71,,$AE957), INDEX($AO$67:$AU$71,,$AD957), 1 / ($AV$67:$AV$71*CI957 + (1-$AV$67:$AV$71)*CE957), N($AK$67:$AK$71&gt;$AI957)),
SUMPRODUCT(INDEX($AL$57:$AN$66,,$AE957), INDEX($AO$57:$AU$66,,$AD957), 1 / ($AW$57:$AW$66*CI957 + (1-$AW$57:$AW$66)*CE957), N($AK$57:$AK$66&gt;$AI957))
) / 1000</f>
        <v>0</v>
      </c>
      <c r="CK957" s="250">
        <f t="shared" si="821"/>
        <v>20</v>
      </c>
      <c r="CL957" s="237">
        <f t="shared" si="844"/>
        <v>33</v>
      </c>
      <c r="CM957" s="253">
        <f t="shared" si="845"/>
        <v>4.8487499999999999</v>
      </c>
      <c r="CN957" s="253" cm="1">
        <f t="array" ref="CN957">$BC957 * IF($AD957&lt;=2,
SUMPRODUCT(INDEX($AL$62:$AN$66,,$AE957), INDEX($AO$62:$AU$66,,$AD957), 1 / ($AV$62:$AV$66*CM957 + (1-$AV$62:$AV$66)*CI957), N($AK$62:$AK$66&gt;$AI957)),
SUMPRODUCT(INDEX($AL$47:$AN$56,,$AE957), INDEX($AO$47:$AU$56,,$AD957), 1 / ($AW$47:$AW$56*CM957 + (1-$AW$47:$AW$56)*CI957), N($AK$47:$AK$56&gt;$AI957))
) / 1000</f>
        <v>0</v>
      </c>
      <c r="CO957" s="253" cm="1">
        <f t="array" ref="CO957">$BC957 * IF($AD957&lt;=2,
SUMPRODUCT(INDEX($AL$23:$AN$61,,$AE957), INDEX($AO$23:$AU$61,,$AD957), 1 / ($AV$23:$AV$61*CM957), N($AK$23:$AK$61&gt;$AI957)),
SUMPRODUCT(INDEX($AL$23:$AN$46,,$AE957), INDEX($AO$23:$AU$46,,$AD957), 1 / ($AW$23:$AW$46*CM957), N($AK$23:$AK$46&gt;$AI957))
) / 1000</f>
        <v>0</v>
      </c>
      <c r="CP957" s="237">
        <f t="shared" si="846"/>
        <v>0</v>
      </c>
      <c r="CQ957" s="210"/>
    </row>
    <row r="958" spans="1:95" s="76" customFormat="1" ht="14.25" customHeight="1" x14ac:dyDescent="0.2">
      <c r="A958" s="238" t="b">
        <f t="shared" si="813"/>
        <v>0</v>
      </c>
      <c r="B958" s="239">
        <v>936</v>
      </c>
      <c r="C958" s="258"/>
      <c r="D958" s="258"/>
      <c r="E958" s="240"/>
      <c r="F958" s="241" t="str">
        <f>IF(ISBLANK(E958), "", VLOOKUP(E958, Z!$A$2:$C$4127, 3, FALSE))</f>
        <v/>
      </c>
      <c r="G958" s="242"/>
      <c r="H958" s="242"/>
      <c r="I958" s="243"/>
      <c r="J958" s="244"/>
      <c r="K958" s="259"/>
      <c r="L958" s="260"/>
      <c r="M958" s="247" t="str" cm="1">
        <f t="array" ref="M958">IF($K958&gt;0, INDEX(Clean,1+AG958,$C$1), "")</f>
        <v/>
      </c>
      <c r="N958" s="245"/>
      <c r="O958" s="245"/>
      <c r="P958" s="246"/>
      <c r="Q958" s="248">
        <f t="shared" si="823"/>
        <v>0</v>
      </c>
      <c r="R958" s="247" t="str" cm="1">
        <f t="array" ref="R958">IF($K958&gt;0, INDEX(Clean,1+AH958,$C$1), "")</f>
        <v/>
      </c>
      <c r="S958" s="245"/>
      <c r="T958" s="245"/>
      <c r="U958" s="246"/>
      <c r="V958" s="248">
        <f t="shared" si="824"/>
        <v>0</v>
      </c>
      <c r="W958" s="261"/>
      <c r="X958" s="258"/>
      <c r="Y958" s="240"/>
      <c r="Z958" s="241" t="str">
        <f>IF(ISBLANK(Y958), "", VLOOKUP(Y958, Z!$A$2:$C$4127, 3, FALSE))</f>
        <v/>
      </c>
      <c r="AA958" s="262"/>
      <c r="AB958" s="249">
        <f t="shared" si="822"/>
        <v>0</v>
      </c>
      <c r="AC958" s="210"/>
      <c r="AD958" s="236">
        <f t="shared" si="847"/>
        <v>1</v>
      </c>
      <c r="AE958" s="236">
        <f t="shared" si="848"/>
        <v>1</v>
      </c>
      <c r="AF958" s="236">
        <f t="shared" si="849"/>
        <v>0</v>
      </c>
      <c r="AG958" s="236">
        <v>1</v>
      </c>
      <c r="AH958" s="236">
        <v>0</v>
      </c>
      <c r="AI958" s="236">
        <f t="shared" si="825"/>
        <v>-100</v>
      </c>
      <c r="AJ958" s="210"/>
      <c r="AK958" s="254"/>
      <c r="AL958" s="254"/>
      <c r="AM958" s="255"/>
      <c r="AN958" s="255"/>
      <c r="AO958" s="255"/>
      <c r="AP958" s="255"/>
      <c r="AQ958" s="255"/>
      <c r="AR958" s="255"/>
      <c r="AS958" s="255"/>
      <c r="AT958" s="255"/>
      <c r="AU958" s="255"/>
      <c r="AV958" s="255"/>
      <c r="AW958" s="255"/>
      <c r="AX958" s="210"/>
      <c r="AY958" s="236" cm="1">
        <f t="array" ref="AY958">INDEX(Use, $AD958, 4)</f>
        <v>7</v>
      </c>
      <c r="AZ958" s="236">
        <f t="shared" si="826"/>
        <v>32</v>
      </c>
      <c r="BA958" s="236">
        <f t="shared" si="814"/>
        <v>13</v>
      </c>
      <c r="BB958" s="236">
        <f t="shared" si="815"/>
        <v>0</v>
      </c>
      <c r="BC958" s="252" cm="1">
        <f t="array" ref="BC958">K958/IF($L958&gt;0, INDEX($AO$23:$AU$77, $L958+20, $AD958), 1)</f>
        <v>0</v>
      </c>
      <c r="BD958" s="237">
        <f t="shared" si="827"/>
        <v>0</v>
      </c>
      <c r="BE958" s="236">
        <v>35</v>
      </c>
      <c r="BF958" s="237">
        <f t="shared" si="828"/>
        <v>52.55</v>
      </c>
      <c r="BG958" s="253">
        <f t="shared" si="829"/>
        <v>2.7676728869374316</v>
      </c>
      <c r="BH958" s="253" cm="1">
        <f t="array" ref="BH958">$BC958 * SUMPRODUCT(INDEX($AL$77:$AN$82,,$AE958),INDEX($AO$77:$AU$82,,$AD958), N($AK$77:$AK$82&gt;$AI958)) / BG958 / 1000</f>
        <v>0</v>
      </c>
      <c r="BI958" s="250">
        <f t="shared" si="816"/>
        <v>30</v>
      </c>
      <c r="BJ958" s="237">
        <f t="shared" si="830"/>
        <v>46.033333333333331</v>
      </c>
      <c r="BK958" s="253">
        <f t="shared" si="831"/>
        <v>3.2297395388556791</v>
      </c>
      <c r="BL958" s="253" cm="1">
        <f t="array" ref="BL958">$BC958 * IF($AD958&lt;=2,
SUMPRODUCT(INDEX($AL$72:$AN$76,,$AE958), INDEX($AO$72:$AU$76,,$AD958), 1 / ($AV$72:$AV$76*BK958 + (1-$AV$72:$AV$76)*BG958), N($AK$72:$AK$76&gt;$AI958)),
SUMPRODUCT(INDEX($AL$67:$AN$76,,$AE958), INDEX($AO$67:$AU$76,,$AD958), 1 / ($AW$67:$AW$76*BK958 + (1-$AW$67:$AW$76)*BG958), N($AK$67:$AK$76&gt;$AI958))
) / 1000</f>
        <v>0</v>
      </c>
      <c r="BM958" s="250">
        <f t="shared" si="817"/>
        <v>25</v>
      </c>
      <c r="BN958" s="237">
        <f t="shared" si="832"/>
        <v>39.516666666666666</v>
      </c>
      <c r="BO958" s="253">
        <f t="shared" si="833"/>
        <v>3.877011788826243</v>
      </c>
      <c r="BP958" s="253" cm="1">
        <f t="array" ref="BP958">$BC958 * IF($AD958&lt;=2,
SUMPRODUCT(INDEX($AL$67:$AN$71,,$AE958), INDEX($AO$67:$AU$71,,$AD958), 1 / ($AV$67:$AV$71*BO958 + (1-$AV$67:$AV$71)*BK958), N($AK$67:$AK$71&gt;$AI958)),
SUMPRODUCT(INDEX($AL$57:$AN$66,,$AE958), INDEX($AO$57:$AU$66,,$AD958), 1 / ($AW$57:$AW$66*BO958 + (1-$AW$57:$AW$66)*BK958), N($AK$57:$AK$66&gt;$AI958))
) / 1000</f>
        <v>0</v>
      </c>
      <c r="BQ958" s="250">
        <f t="shared" si="818"/>
        <v>20</v>
      </c>
      <c r="BR958" s="237">
        <f t="shared" si="834"/>
        <v>33</v>
      </c>
      <c r="BS958" s="253">
        <f t="shared" si="835"/>
        <v>4.8487499999999999</v>
      </c>
      <c r="BT958" s="253" cm="1">
        <f t="array" ref="BT958">$BC958 * IF($AD958&lt;=2,
SUMPRODUCT(INDEX($AL$62:$AN$66,,$AE958), INDEX($AO$62:$AU$66,,$AD958), 1 / ($AV$62:$AV$66*BS958 + (1-$AV$62:$AV$66)*BO958), N($AK$62:$AK$66&gt;$AI958)),
SUMPRODUCT(INDEX($AL$47:$AN$56,,$AE958), INDEX($AO$47:$AU$56,,$AD958), 1 / ($AW$47:$AW$56*BS958 + (1-$AW$47:$AW$56)*BO958), N($AK$47:$AK$56&gt;$AI958))
) / 1000</f>
        <v>0</v>
      </c>
      <c r="BU958" s="253" cm="1">
        <f t="array" ref="BU958">$BC958 * IF($AD958&lt;=2,
SUMPRODUCT(INDEX($AL$23:$AN$61,,$AE958), INDEX($AO$23:$AU$61,,$AD958), 1 / ($AV$23:$AV$61*BS958), N($AK$23:$AK$61&gt;$AI958)),
SUMPRODUCT(INDEX($AL$23:$AN$46,,$AE958), INDEX($AO$23:$AU$46,,$AD958), 1 / ($AW$23:$AW$46*BS958), N($AK$23:$AK$46&gt;$AI958))
) / 1000</f>
        <v>0</v>
      </c>
      <c r="BV958" s="237">
        <f t="shared" si="836"/>
        <v>0</v>
      </c>
      <c r="BW958" s="210"/>
      <c r="BX958" s="237">
        <f t="shared" si="837"/>
        <v>0</v>
      </c>
      <c r="BY958" s="236">
        <v>35</v>
      </c>
      <c r="BZ958" s="237">
        <f t="shared" si="838"/>
        <v>48</v>
      </c>
      <c r="CA958" s="253">
        <f t="shared" si="839"/>
        <v>3.0748170731707316</v>
      </c>
      <c r="CB958" s="253" cm="1">
        <f t="array" ref="CB958">$BC958 * SUMPRODUCT(INDEX($AL$77:$AN$82,,$AE958),INDEX($AO$77:$AU$82,,$AD958), N($AK$77:$AK$82&gt;$AI958)) / CA958 / 1000</f>
        <v>0</v>
      </c>
      <c r="CC958" s="250">
        <f t="shared" si="819"/>
        <v>30</v>
      </c>
      <c r="CD958" s="237">
        <f t="shared" si="840"/>
        <v>43</v>
      </c>
      <c r="CE958" s="253">
        <f t="shared" si="841"/>
        <v>3.5018750000000001</v>
      </c>
      <c r="CF958" s="253" cm="1">
        <f t="array" ref="CF958">$BC958 * IF($AD958&lt;=2,
SUMPRODUCT(INDEX($AL$72:$AN$76,,$AE958), INDEX($AO$72:$AU$76,,$AD958), 1 / ($AV$72:$AV$76*CE958 + (1-$AV$72:$AV$76)*CA958), N($AK$72:$AK$76&gt;$AI958)),
SUMPRODUCT(INDEX($AL$67:$AN$76,,$AE958), INDEX($AO$67:$AU$76,,$AD958), 1 / ($AW$67:$AW$76*CE958 + (1-$AW$67:$AW$76)*CA958), N($AK$67:$AK$76&gt;$AI958))
) / 1000</f>
        <v>0</v>
      </c>
      <c r="CG958" s="250">
        <f t="shared" si="820"/>
        <v>25</v>
      </c>
      <c r="CH958" s="237">
        <f t="shared" si="842"/>
        <v>38</v>
      </c>
      <c r="CI958" s="253">
        <f t="shared" si="843"/>
        <v>4.0666935483870965</v>
      </c>
      <c r="CJ958" s="253" cm="1">
        <f t="array" ref="CJ958">$BC958 * IF($AD958&lt;=2,
SUMPRODUCT(INDEX($AL$67:$AN$71,,$AE958), INDEX($AO$67:$AU$71,,$AD958), 1 / ($AV$67:$AV$71*CI958 + (1-$AV$67:$AV$71)*CE958), N($AK$67:$AK$71&gt;$AI958)),
SUMPRODUCT(INDEX($AL$57:$AN$66,,$AE958), INDEX($AO$57:$AU$66,,$AD958), 1 / ($AW$57:$AW$66*CI958 + (1-$AW$57:$AW$66)*CE958), N($AK$57:$AK$66&gt;$AI958))
) / 1000</f>
        <v>0</v>
      </c>
      <c r="CK958" s="250">
        <f t="shared" si="821"/>
        <v>20</v>
      </c>
      <c r="CL958" s="237">
        <f t="shared" si="844"/>
        <v>33</v>
      </c>
      <c r="CM958" s="253">
        <f t="shared" si="845"/>
        <v>4.8487499999999999</v>
      </c>
      <c r="CN958" s="253" cm="1">
        <f t="array" ref="CN958">$BC958 * IF($AD958&lt;=2,
SUMPRODUCT(INDEX($AL$62:$AN$66,,$AE958), INDEX($AO$62:$AU$66,,$AD958), 1 / ($AV$62:$AV$66*CM958 + (1-$AV$62:$AV$66)*CI958), N($AK$62:$AK$66&gt;$AI958)),
SUMPRODUCT(INDEX($AL$47:$AN$56,,$AE958), INDEX($AO$47:$AU$56,,$AD958), 1 / ($AW$47:$AW$56*CM958 + (1-$AW$47:$AW$56)*CI958), N($AK$47:$AK$56&gt;$AI958))
) / 1000</f>
        <v>0</v>
      </c>
      <c r="CO958" s="253" cm="1">
        <f t="array" ref="CO958">$BC958 * IF($AD958&lt;=2,
SUMPRODUCT(INDEX($AL$23:$AN$61,,$AE958), INDEX($AO$23:$AU$61,,$AD958), 1 / ($AV$23:$AV$61*CM958), N($AK$23:$AK$61&gt;$AI958)),
SUMPRODUCT(INDEX($AL$23:$AN$46,,$AE958), INDEX($AO$23:$AU$46,,$AD958), 1 / ($AW$23:$AW$46*CM958), N($AK$23:$AK$46&gt;$AI958))
) / 1000</f>
        <v>0</v>
      </c>
      <c r="CP958" s="237">
        <f t="shared" si="846"/>
        <v>0</v>
      </c>
      <c r="CQ958" s="210"/>
    </row>
    <row r="959" spans="1:95" s="76" customFormat="1" ht="14.25" customHeight="1" x14ac:dyDescent="0.2">
      <c r="A959" s="238" t="b">
        <f t="shared" si="813"/>
        <v>0</v>
      </c>
      <c r="B959" s="239">
        <v>937</v>
      </c>
      <c r="C959" s="258"/>
      <c r="D959" s="258"/>
      <c r="E959" s="240"/>
      <c r="F959" s="241" t="str">
        <f>IF(ISBLANK(E959), "", VLOOKUP(E959, Z!$A$2:$C$4127, 3, FALSE))</f>
        <v/>
      </c>
      <c r="G959" s="242"/>
      <c r="H959" s="242"/>
      <c r="I959" s="243"/>
      <c r="J959" s="244"/>
      <c r="K959" s="259"/>
      <c r="L959" s="260"/>
      <c r="M959" s="247" t="str" cm="1">
        <f t="array" ref="M959">IF($K959&gt;0, INDEX(Clean,1+AG959,$C$1), "")</f>
        <v/>
      </c>
      <c r="N959" s="245"/>
      <c r="O959" s="245"/>
      <c r="P959" s="246"/>
      <c r="Q959" s="248">
        <f t="shared" si="823"/>
        <v>0</v>
      </c>
      <c r="R959" s="247" t="str" cm="1">
        <f t="array" ref="R959">IF($K959&gt;0, INDEX(Clean,1+AH959,$C$1), "")</f>
        <v/>
      </c>
      <c r="S959" s="245"/>
      <c r="T959" s="245"/>
      <c r="U959" s="246"/>
      <c r="V959" s="248">
        <f t="shared" si="824"/>
        <v>0</v>
      </c>
      <c r="W959" s="261"/>
      <c r="X959" s="258"/>
      <c r="Y959" s="240"/>
      <c r="Z959" s="241" t="str">
        <f>IF(ISBLANK(Y959), "", VLOOKUP(Y959, Z!$A$2:$C$4127, 3, FALSE))</f>
        <v/>
      </c>
      <c r="AA959" s="262"/>
      <c r="AB959" s="249">
        <f t="shared" si="822"/>
        <v>0</v>
      </c>
      <c r="AC959" s="210"/>
      <c r="AD959" s="236">
        <f t="shared" si="847"/>
        <v>1</v>
      </c>
      <c r="AE959" s="236">
        <f t="shared" si="848"/>
        <v>1</v>
      </c>
      <c r="AF959" s="236">
        <f t="shared" si="849"/>
        <v>0</v>
      </c>
      <c r="AG959" s="236">
        <v>1</v>
      </c>
      <c r="AH959" s="236">
        <v>0</v>
      </c>
      <c r="AI959" s="236">
        <f t="shared" si="825"/>
        <v>-100</v>
      </c>
      <c r="AJ959" s="210"/>
      <c r="AK959" s="254"/>
      <c r="AL959" s="254"/>
      <c r="AM959" s="255"/>
      <c r="AN959" s="255"/>
      <c r="AO959" s="255"/>
      <c r="AP959" s="255"/>
      <c r="AQ959" s="255"/>
      <c r="AR959" s="255"/>
      <c r="AS959" s="255"/>
      <c r="AT959" s="255"/>
      <c r="AU959" s="255"/>
      <c r="AV959" s="255"/>
      <c r="AW959" s="255"/>
      <c r="AX959" s="210"/>
      <c r="AY959" s="236" cm="1">
        <f t="array" ref="AY959">INDEX(Use, $AD959, 4)</f>
        <v>7</v>
      </c>
      <c r="AZ959" s="236">
        <f t="shared" si="826"/>
        <v>32</v>
      </c>
      <c r="BA959" s="236">
        <f t="shared" si="814"/>
        <v>13</v>
      </c>
      <c r="BB959" s="236">
        <f t="shared" si="815"/>
        <v>0</v>
      </c>
      <c r="BC959" s="252" cm="1">
        <f t="array" ref="BC959">K959/IF($L959&gt;0, INDEX($AO$23:$AU$77, $L959+20, $AD959), 1)</f>
        <v>0</v>
      </c>
      <c r="BD959" s="237">
        <f t="shared" si="827"/>
        <v>0</v>
      </c>
      <c r="BE959" s="236">
        <v>35</v>
      </c>
      <c r="BF959" s="237">
        <f t="shared" si="828"/>
        <v>52.55</v>
      </c>
      <c r="BG959" s="253">
        <f t="shared" si="829"/>
        <v>2.7676728869374316</v>
      </c>
      <c r="BH959" s="253" cm="1">
        <f t="array" ref="BH959">$BC959 * SUMPRODUCT(INDEX($AL$77:$AN$82,,$AE959),INDEX($AO$77:$AU$82,,$AD959), N($AK$77:$AK$82&gt;$AI959)) / BG959 / 1000</f>
        <v>0</v>
      </c>
      <c r="BI959" s="250">
        <f t="shared" si="816"/>
        <v>30</v>
      </c>
      <c r="BJ959" s="237">
        <f t="shared" si="830"/>
        <v>46.033333333333331</v>
      </c>
      <c r="BK959" s="253">
        <f t="shared" si="831"/>
        <v>3.2297395388556791</v>
      </c>
      <c r="BL959" s="253" cm="1">
        <f t="array" ref="BL959">$BC959 * IF($AD959&lt;=2,
SUMPRODUCT(INDEX($AL$72:$AN$76,,$AE959), INDEX($AO$72:$AU$76,,$AD959), 1 / ($AV$72:$AV$76*BK959 + (1-$AV$72:$AV$76)*BG959), N($AK$72:$AK$76&gt;$AI959)),
SUMPRODUCT(INDEX($AL$67:$AN$76,,$AE959), INDEX($AO$67:$AU$76,,$AD959), 1 / ($AW$67:$AW$76*BK959 + (1-$AW$67:$AW$76)*BG959), N($AK$67:$AK$76&gt;$AI959))
) / 1000</f>
        <v>0</v>
      </c>
      <c r="BM959" s="250">
        <f t="shared" si="817"/>
        <v>25</v>
      </c>
      <c r="BN959" s="237">
        <f t="shared" si="832"/>
        <v>39.516666666666666</v>
      </c>
      <c r="BO959" s="253">
        <f t="shared" si="833"/>
        <v>3.877011788826243</v>
      </c>
      <c r="BP959" s="253" cm="1">
        <f t="array" ref="BP959">$BC959 * IF($AD959&lt;=2,
SUMPRODUCT(INDEX($AL$67:$AN$71,,$AE959), INDEX($AO$67:$AU$71,,$AD959), 1 / ($AV$67:$AV$71*BO959 + (1-$AV$67:$AV$71)*BK959), N($AK$67:$AK$71&gt;$AI959)),
SUMPRODUCT(INDEX($AL$57:$AN$66,,$AE959), INDEX($AO$57:$AU$66,,$AD959), 1 / ($AW$57:$AW$66*BO959 + (1-$AW$57:$AW$66)*BK959), N($AK$57:$AK$66&gt;$AI959))
) / 1000</f>
        <v>0</v>
      </c>
      <c r="BQ959" s="250">
        <f t="shared" si="818"/>
        <v>20</v>
      </c>
      <c r="BR959" s="237">
        <f t="shared" si="834"/>
        <v>33</v>
      </c>
      <c r="BS959" s="253">
        <f t="shared" si="835"/>
        <v>4.8487499999999999</v>
      </c>
      <c r="BT959" s="253" cm="1">
        <f t="array" ref="BT959">$BC959 * IF($AD959&lt;=2,
SUMPRODUCT(INDEX($AL$62:$AN$66,,$AE959), INDEX($AO$62:$AU$66,,$AD959), 1 / ($AV$62:$AV$66*BS959 + (1-$AV$62:$AV$66)*BO959), N($AK$62:$AK$66&gt;$AI959)),
SUMPRODUCT(INDEX($AL$47:$AN$56,,$AE959), INDEX($AO$47:$AU$56,,$AD959), 1 / ($AW$47:$AW$56*BS959 + (1-$AW$47:$AW$56)*BO959), N($AK$47:$AK$56&gt;$AI959))
) / 1000</f>
        <v>0</v>
      </c>
      <c r="BU959" s="253" cm="1">
        <f t="array" ref="BU959">$BC959 * IF($AD959&lt;=2,
SUMPRODUCT(INDEX($AL$23:$AN$61,,$AE959), INDEX($AO$23:$AU$61,,$AD959), 1 / ($AV$23:$AV$61*BS959), N($AK$23:$AK$61&gt;$AI959)),
SUMPRODUCT(INDEX($AL$23:$AN$46,,$AE959), INDEX($AO$23:$AU$46,,$AD959), 1 / ($AW$23:$AW$46*BS959), N($AK$23:$AK$46&gt;$AI959))
) / 1000</f>
        <v>0</v>
      </c>
      <c r="BV959" s="237">
        <f t="shared" si="836"/>
        <v>0</v>
      </c>
      <c r="BW959" s="210"/>
      <c r="BX959" s="237">
        <f t="shared" si="837"/>
        <v>0</v>
      </c>
      <c r="BY959" s="236">
        <v>35</v>
      </c>
      <c r="BZ959" s="237">
        <f t="shared" si="838"/>
        <v>48</v>
      </c>
      <c r="CA959" s="253">
        <f t="shared" si="839"/>
        <v>3.0748170731707316</v>
      </c>
      <c r="CB959" s="253" cm="1">
        <f t="array" ref="CB959">$BC959 * SUMPRODUCT(INDEX($AL$77:$AN$82,,$AE959),INDEX($AO$77:$AU$82,,$AD959), N($AK$77:$AK$82&gt;$AI959)) / CA959 / 1000</f>
        <v>0</v>
      </c>
      <c r="CC959" s="250">
        <f t="shared" si="819"/>
        <v>30</v>
      </c>
      <c r="CD959" s="237">
        <f t="shared" si="840"/>
        <v>43</v>
      </c>
      <c r="CE959" s="253">
        <f t="shared" si="841"/>
        <v>3.5018750000000001</v>
      </c>
      <c r="CF959" s="253" cm="1">
        <f t="array" ref="CF959">$BC959 * IF($AD959&lt;=2,
SUMPRODUCT(INDEX($AL$72:$AN$76,,$AE959), INDEX($AO$72:$AU$76,,$AD959), 1 / ($AV$72:$AV$76*CE959 + (1-$AV$72:$AV$76)*CA959), N($AK$72:$AK$76&gt;$AI959)),
SUMPRODUCT(INDEX($AL$67:$AN$76,,$AE959), INDEX($AO$67:$AU$76,,$AD959), 1 / ($AW$67:$AW$76*CE959 + (1-$AW$67:$AW$76)*CA959), N($AK$67:$AK$76&gt;$AI959))
) / 1000</f>
        <v>0</v>
      </c>
      <c r="CG959" s="250">
        <f t="shared" si="820"/>
        <v>25</v>
      </c>
      <c r="CH959" s="237">
        <f t="shared" si="842"/>
        <v>38</v>
      </c>
      <c r="CI959" s="253">
        <f t="shared" si="843"/>
        <v>4.0666935483870965</v>
      </c>
      <c r="CJ959" s="253" cm="1">
        <f t="array" ref="CJ959">$BC959 * IF($AD959&lt;=2,
SUMPRODUCT(INDEX($AL$67:$AN$71,,$AE959), INDEX($AO$67:$AU$71,,$AD959), 1 / ($AV$67:$AV$71*CI959 + (1-$AV$67:$AV$71)*CE959), N($AK$67:$AK$71&gt;$AI959)),
SUMPRODUCT(INDEX($AL$57:$AN$66,,$AE959), INDEX($AO$57:$AU$66,,$AD959), 1 / ($AW$57:$AW$66*CI959 + (1-$AW$57:$AW$66)*CE959), N($AK$57:$AK$66&gt;$AI959))
) / 1000</f>
        <v>0</v>
      </c>
      <c r="CK959" s="250">
        <f t="shared" si="821"/>
        <v>20</v>
      </c>
      <c r="CL959" s="237">
        <f t="shared" si="844"/>
        <v>33</v>
      </c>
      <c r="CM959" s="253">
        <f t="shared" si="845"/>
        <v>4.8487499999999999</v>
      </c>
      <c r="CN959" s="253" cm="1">
        <f t="array" ref="CN959">$BC959 * IF($AD959&lt;=2,
SUMPRODUCT(INDEX($AL$62:$AN$66,,$AE959), INDEX($AO$62:$AU$66,,$AD959), 1 / ($AV$62:$AV$66*CM959 + (1-$AV$62:$AV$66)*CI959), N($AK$62:$AK$66&gt;$AI959)),
SUMPRODUCT(INDEX($AL$47:$AN$56,,$AE959), INDEX($AO$47:$AU$56,,$AD959), 1 / ($AW$47:$AW$56*CM959 + (1-$AW$47:$AW$56)*CI959), N($AK$47:$AK$56&gt;$AI959))
) / 1000</f>
        <v>0</v>
      </c>
      <c r="CO959" s="253" cm="1">
        <f t="array" ref="CO959">$BC959 * IF($AD959&lt;=2,
SUMPRODUCT(INDEX($AL$23:$AN$61,,$AE959), INDEX($AO$23:$AU$61,,$AD959), 1 / ($AV$23:$AV$61*CM959), N($AK$23:$AK$61&gt;$AI959)),
SUMPRODUCT(INDEX($AL$23:$AN$46,,$AE959), INDEX($AO$23:$AU$46,,$AD959), 1 / ($AW$23:$AW$46*CM959), N($AK$23:$AK$46&gt;$AI959))
) / 1000</f>
        <v>0</v>
      </c>
      <c r="CP959" s="237">
        <f t="shared" si="846"/>
        <v>0</v>
      </c>
      <c r="CQ959" s="210"/>
    </row>
    <row r="960" spans="1:95" s="76" customFormat="1" ht="14.25" customHeight="1" x14ac:dyDescent="0.2">
      <c r="A960" s="238" t="b">
        <f t="shared" si="813"/>
        <v>0</v>
      </c>
      <c r="B960" s="239">
        <v>938</v>
      </c>
      <c r="C960" s="258"/>
      <c r="D960" s="258"/>
      <c r="E960" s="240"/>
      <c r="F960" s="241" t="str">
        <f>IF(ISBLANK(E960), "", VLOOKUP(E960, Z!$A$2:$C$4127, 3, FALSE))</f>
        <v/>
      </c>
      <c r="G960" s="242"/>
      <c r="H960" s="242"/>
      <c r="I960" s="243"/>
      <c r="J960" s="244"/>
      <c r="K960" s="259"/>
      <c r="L960" s="260"/>
      <c r="M960" s="247" t="str" cm="1">
        <f t="array" ref="M960">IF($K960&gt;0, INDEX(Clean,1+AG960,$C$1), "")</f>
        <v/>
      </c>
      <c r="N960" s="245"/>
      <c r="O960" s="245"/>
      <c r="P960" s="246"/>
      <c r="Q960" s="248">
        <f t="shared" si="823"/>
        <v>0</v>
      </c>
      <c r="R960" s="247" t="str" cm="1">
        <f t="array" ref="R960">IF($K960&gt;0, INDEX(Clean,1+AH960,$C$1), "")</f>
        <v/>
      </c>
      <c r="S960" s="245"/>
      <c r="T960" s="245"/>
      <c r="U960" s="246"/>
      <c r="V960" s="248">
        <f t="shared" si="824"/>
        <v>0</v>
      </c>
      <c r="W960" s="261"/>
      <c r="X960" s="258"/>
      <c r="Y960" s="240"/>
      <c r="Z960" s="241" t="str">
        <f>IF(ISBLANK(Y960), "", VLOOKUP(Y960, Z!$A$2:$C$4127, 3, FALSE))</f>
        <v/>
      </c>
      <c r="AA960" s="262"/>
      <c r="AB960" s="249">
        <f t="shared" si="822"/>
        <v>0</v>
      </c>
      <c r="AC960" s="210"/>
      <c r="AD960" s="236">
        <f t="shared" si="847"/>
        <v>1</v>
      </c>
      <c r="AE960" s="236">
        <f t="shared" si="848"/>
        <v>1</v>
      </c>
      <c r="AF960" s="236">
        <f t="shared" si="849"/>
        <v>0</v>
      </c>
      <c r="AG960" s="236">
        <v>1</v>
      </c>
      <c r="AH960" s="236">
        <v>0</v>
      </c>
      <c r="AI960" s="236">
        <f t="shared" si="825"/>
        <v>-100</v>
      </c>
      <c r="AJ960" s="210"/>
      <c r="AK960" s="254"/>
      <c r="AL960" s="254"/>
      <c r="AM960" s="255"/>
      <c r="AN960" s="255"/>
      <c r="AO960" s="255"/>
      <c r="AP960" s="255"/>
      <c r="AQ960" s="255"/>
      <c r="AR960" s="255"/>
      <c r="AS960" s="255"/>
      <c r="AT960" s="255"/>
      <c r="AU960" s="255"/>
      <c r="AV960" s="255"/>
      <c r="AW960" s="255"/>
      <c r="AX960" s="210"/>
      <c r="AY960" s="236" cm="1">
        <f t="array" ref="AY960">INDEX(Use, $AD960, 4)</f>
        <v>7</v>
      </c>
      <c r="AZ960" s="236">
        <f t="shared" si="826"/>
        <v>32</v>
      </c>
      <c r="BA960" s="236">
        <f t="shared" si="814"/>
        <v>13</v>
      </c>
      <c r="BB960" s="236">
        <f t="shared" si="815"/>
        <v>0</v>
      </c>
      <c r="BC960" s="252" cm="1">
        <f t="array" ref="BC960">K960/IF($L960&gt;0, INDEX($AO$23:$AU$77, $L960+20, $AD960), 1)</f>
        <v>0</v>
      </c>
      <c r="BD960" s="237">
        <f t="shared" si="827"/>
        <v>0</v>
      </c>
      <c r="BE960" s="236">
        <v>35</v>
      </c>
      <c r="BF960" s="237">
        <f t="shared" si="828"/>
        <v>52.55</v>
      </c>
      <c r="BG960" s="253">
        <f t="shared" si="829"/>
        <v>2.7676728869374316</v>
      </c>
      <c r="BH960" s="253" cm="1">
        <f t="array" ref="BH960">$BC960 * SUMPRODUCT(INDEX($AL$77:$AN$82,,$AE960),INDEX($AO$77:$AU$82,,$AD960), N($AK$77:$AK$82&gt;$AI960)) / BG960 / 1000</f>
        <v>0</v>
      </c>
      <c r="BI960" s="250">
        <f t="shared" si="816"/>
        <v>30</v>
      </c>
      <c r="BJ960" s="237">
        <f t="shared" si="830"/>
        <v>46.033333333333331</v>
      </c>
      <c r="BK960" s="253">
        <f t="shared" si="831"/>
        <v>3.2297395388556791</v>
      </c>
      <c r="BL960" s="253" cm="1">
        <f t="array" ref="BL960">$BC960 * IF($AD960&lt;=2,
SUMPRODUCT(INDEX($AL$72:$AN$76,,$AE960), INDEX($AO$72:$AU$76,,$AD960), 1 / ($AV$72:$AV$76*BK960 + (1-$AV$72:$AV$76)*BG960), N($AK$72:$AK$76&gt;$AI960)),
SUMPRODUCT(INDEX($AL$67:$AN$76,,$AE960), INDEX($AO$67:$AU$76,,$AD960), 1 / ($AW$67:$AW$76*BK960 + (1-$AW$67:$AW$76)*BG960), N($AK$67:$AK$76&gt;$AI960))
) / 1000</f>
        <v>0</v>
      </c>
      <c r="BM960" s="250">
        <f t="shared" si="817"/>
        <v>25</v>
      </c>
      <c r="BN960" s="237">
        <f t="shared" si="832"/>
        <v>39.516666666666666</v>
      </c>
      <c r="BO960" s="253">
        <f t="shared" si="833"/>
        <v>3.877011788826243</v>
      </c>
      <c r="BP960" s="253" cm="1">
        <f t="array" ref="BP960">$BC960 * IF($AD960&lt;=2,
SUMPRODUCT(INDEX($AL$67:$AN$71,,$AE960), INDEX($AO$67:$AU$71,,$AD960), 1 / ($AV$67:$AV$71*BO960 + (1-$AV$67:$AV$71)*BK960), N($AK$67:$AK$71&gt;$AI960)),
SUMPRODUCT(INDEX($AL$57:$AN$66,,$AE960), INDEX($AO$57:$AU$66,,$AD960), 1 / ($AW$57:$AW$66*BO960 + (1-$AW$57:$AW$66)*BK960), N($AK$57:$AK$66&gt;$AI960))
) / 1000</f>
        <v>0</v>
      </c>
      <c r="BQ960" s="250">
        <f t="shared" si="818"/>
        <v>20</v>
      </c>
      <c r="BR960" s="237">
        <f t="shared" si="834"/>
        <v>33</v>
      </c>
      <c r="BS960" s="253">
        <f t="shared" si="835"/>
        <v>4.8487499999999999</v>
      </c>
      <c r="BT960" s="253" cm="1">
        <f t="array" ref="BT960">$BC960 * IF($AD960&lt;=2,
SUMPRODUCT(INDEX($AL$62:$AN$66,,$AE960), INDEX($AO$62:$AU$66,,$AD960), 1 / ($AV$62:$AV$66*BS960 + (1-$AV$62:$AV$66)*BO960), N($AK$62:$AK$66&gt;$AI960)),
SUMPRODUCT(INDEX($AL$47:$AN$56,,$AE960), INDEX($AO$47:$AU$56,,$AD960), 1 / ($AW$47:$AW$56*BS960 + (1-$AW$47:$AW$56)*BO960), N($AK$47:$AK$56&gt;$AI960))
) / 1000</f>
        <v>0</v>
      </c>
      <c r="BU960" s="253" cm="1">
        <f t="array" ref="BU960">$BC960 * IF($AD960&lt;=2,
SUMPRODUCT(INDEX($AL$23:$AN$61,,$AE960), INDEX($AO$23:$AU$61,,$AD960), 1 / ($AV$23:$AV$61*BS960), N($AK$23:$AK$61&gt;$AI960)),
SUMPRODUCT(INDEX($AL$23:$AN$46,,$AE960), INDEX($AO$23:$AU$46,,$AD960), 1 / ($AW$23:$AW$46*BS960), N($AK$23:$AK$46&gt;$AI960))
) / 1000</f>
        <v>0</v>
      </c>
      <c r="BV960" s="237">
        <f t="shared" si="836"/>
        <v>0</v>
      </c>
      <c r="BW960" s="210"/>
      <c r="BX960" s="237">
        <f t="shared" si="837"/>
        <v>0</v>
      </c>
      <c r="BY960" s="236">
        <v>35</v>
      </c>
      <c r="BZ960" s="237">
        <f t="shared" si="838"/>
        <v>48</v>
      </c>
      <c r="CA960" s="253">
        <f t="shared" si="839"/>
        <v>3.0748170731707316</v>
      </c>
      <c r="CB960" s="253" cm="1">
        <f t="array" ref="CB960">$BC960 * SUMPRODUCT(INDEX($AL$77:$AN$82,,$AE960),INDEX($AO$77:$AU$82,,$AD960), N($AK$77:$AK$82&gt;$AI960)) / CA960 / 1000</f>
        <v>0</v>
      </c>
      <c r="CC960" s="250">
        <f t="shared" si="819"/>
        <v>30</v>
      </c>
      <c r="CD960" s="237">
        <f t="shared" si="840"/>
        <v>43</v>
      </c>
      <c r="CE960" s="253">
        <f t="shared" si="841"/>
        <v>3.5018750000000001</v>
      </c>
      <c r="CF960" s="253" cm="1">
        <f t="array" ref="CF960">$BC960 * IF($AD960&lt;=2,
SUMPRODUCT(INDEX($AL$72:$AN$76,,$AE960), INDEX($AO$72:$AU$76,,$AD960), 1 / ($AV$72:$AV$76*CE960 + (1-$AV$72:$AV$76)*CA960), N($AK$72:$AK$76&gt;$AI960)),
SUMPRODUCT(INDEX($AL$67:$AN$76,,$AE960), INDEX($AO$67:$AU$76,,$AD960), 1 / ($AW$67:$AW$76*CE960 + (1-$AW$67:$AW$76)*CA960), N($AK$67:$AK$76&gt;$AI960))
) / 1000</f>
        <v>0</v>
      </c>
      <c r="CG960" s="250">
        <f t="shared" si="820"/>
        <v>25</v>
      </c>
      <c r="CH960" s="237">
        <f t="shared" si="842"/>
        <v>38</v>
      </c>
      <c r="CI960" s="253">
        <f t="shared" si="843"/>
        <v>4.0666935483870965</v>
      </c>
      <c r="CJ960" s="253" cm="1">
        <f t="array" ref="CJ960">$BC960 * IF($AD960&lt;=2,
SUMPRODUCT(INDEX($AL$67:$AN$71,,$AE960), INDEX($AO$67:$AU$71,,$AD960), 1 / ($AV$67:$AV$71*CI960 + (1-$AV$67:$AV$71)*CE960), N($AK$67:$AK$71&gt;$AI960)),
SUMPRODUCT(INDEX($AL$57:$AN$66,,$AE960), INDEX($AO$57:$AU$66,,$AD960), 1 / ($AW$57:$AW$66*CI960 + (1-$AW$57:$AW$66)*CE960), N($AK$57:$AK$66&gt;$AI960))
) / 1000</f>
        <v>0</v>
      </c>
      <c r="CK960" s="250">
        <f t="shared" si="821"/>
        <v>20</v>
      </c>
      <c r="CL960" s="237">
        <f t="shared" si="844"/>
        <v>33</v>
      </c>
      <c r="CM960" s="253">
        <f t="shared" si="845"/>
        <v>4.8487499999999999</v>
      </c>
      <c r="CN960" s="253" cm="1">
        <f t="array" ref="CN960">$BC960 * IF($AD960&lt;=2,
SUMPRODUCT(INDEX($AL$62:$AN$66,,$AE960), INDEX($AO$62:$AU$66,,$AD960), 1 / ($AV$62:$AV$66*CM960 + (1-$AV$62:$AV$66)*CI960), N($AK$62:$AK$66&gt;$AI960)),
SUMPRODUCT(INDEX($AL$47:$AN$56,,$AE960), INDEX($AO$47:$AU$56,,$AD960), 1 / ($AW$47:$AW$56*CM960 + (1-$AW$47:$AW$56)*CI960), N($AK$47:$AK$56&gt;$AI960))
) / 1000</f>
        <v>0</v>
      </c>
      <c r="CO960" s="253" cm="1">
        <f t="array" ref="CO960">$BC960 * IF($AD960&lt;=2,
SUMPRODUCT(INDEX($AL$23:$AN$61,,$AE960), INDEX($AO$23:$AU$61,,$AD960), 1 / ($AV$23:$AV$61*CM960), N($AK$23:$AK$61&gt;$AI960)),
SUMPRODUCT(INDEX($AL$23:$AN$46,,$AE960), INDEX($AO$23:$AU$46,,$AD960), 1 / ($AW$23:$AW$46*CM960), N($AK$23:$AK$46&gt;$AI960))
) / 1000</f>
        <v>0</v>
      </c>
      <c r="CP960" s="237">
        <f t="shared" si="846"/>
        <v>0</v>
      </c>
      <c r="CQ960" s="210"/>
    </row>
    <row r="961" spans="1:95" s="76" customFormat="1" ht="14.25" customHeight="1" x14ac:dyDescent="0.2">
      <c r="A961" s="238" t="b">
        <f t="shared" si="813"/>
        <v>0</v>
      </c>
      <c r="B961" s="239">
        <v>939</v>
      </c>
      <c r="C961" s="258"/>
      <c r="D961" s="258"/>
      <c r="E961" s="240"/>
      <c r="F961" s="241" t="str">
        <f>IF(ISBLANK(E961), "", VLOOKUP(E961, Z!$A$2:$C$4127, 3, FALSE))</f>
        <v/>
      </c>
      <c r="G961" s="242"/>
      <c r="H961" s="242"/>
      <c r="I961" s="243"/>
      <c r="J961" s="244"/>
      <c r="K961" s="259"/>
      <c r="L961" s="260"/>
      <c r="M961" s="247" t="str" cm="1">
        <f t="array" ref="M961">IF($K961&gt;0, INDEX(Clean,1+AG961,$C$1), "")</f>
        <v/>
      </c>
      <c r="N961" s="245"/>
      <c r="O961" s="245"/>
      <c r="P961" s="246"/>
      <c r="Q961" s="248">
        <f t="shared" si="823"/>
        <v>0</v>
      </c>
      <c r="R961" s="247" t="str" cm="1">
        <f t="array" ref="R961">IF($K961&gt;0, INDEX(Clean,1+AH961,$C$1), "")</f>
        <v/>
      </c>
      <c r="S961" s="245"/>
      <c r="T961" s="245"/>
      <c r="U961" s="246"/>
      <c r="V961" s="248">
        <f t="shared" si="824"/>
        <v>0</v>
      </c>
      <c r="W961" s="261"/>
      <c r="X961" s="258"/>
      <c r="Y961" s="240"/>
      <c r="Z961" s="241" t="str">
        <f>IF(ISBLANK(Y961), "", VLOOKUP(Y961, Z!$A$2:$C$4127, 3, FALSE))</f>
        <v/>
      </c>
      <c r="AA961" s="262"/>
      <c r="AB961" s="249">
        <f t="shared" si="822"/>
        <v>0</v>
      </c>
      <c r="AC961" s="210"/>
      <c r="AD961" s="236">
        <f t="shared" si="847"/>
        <v>1</v>
      </c>
      <c r="AE961" s="236">
        <f t="shared" si="848"/>
        <v>1</v>
      </c>
      <c r="AF961" s="236">
        <f t="shared" si="849"/>
        <v>0</v>
      </c>
      <c r="AG961" s="236">
        <v>1</v>
      </c>
      <c r="AH961" s="236">
        <v>0</v>
      </c>
      <c r="AI961" s="236">
        <f t="shared" si="825"/>
        <v>-100</v>
      </c>
      <c r="AJ961" s="210"/>
      <c r="AK961" s="254"/>
      <c r="AL961" s="254"/>
      <c r="AM961" s="255"/>
      <c r="AN961" s="255"/>
      <c r="AO961" s="255"/>
      <c r="AP961" s="255"/>
      <c r="AQ961" s="255"/>
      <c r="AR961" s="255"/>
      <c r="AS961" s="255"/>
      <c r="AT961" s="255"/>
      <c r="AU961" s="255"/>
      <c r="AV961" s="255"/>
      <c r="AW961" s="255"/>
      <c r="AX961" s="210"/>
      <c r="AY961" s="236" cm="1">
        <f t="array" ref="AY961">INDEX(Use, $AD961, 4)</f>
        <v>7</v>
      </c>
      <c r="AZ961" s="236">
        <f t="shared" si="826"/>
        <v>32</v>
      </c>
      <c r="BA961" s="236">
        <f t="shared" si="814"/>
        <v>13</v>
      </c>
      <c r="BB961" s="236">
        <f t="shared" si="815"/>
        <v>0</v>
      </c>
      <c r="BC961" s="252" cm="1">
        <f t="array" ref="BC961">K961/IF($L961&gt;0, INDEX($AO$23:$AU$77, $L961+20, $AD961), 1)</f>
        <v>0</v>
      </c>
      <c r="BD961" s="237">
        <f t="shared" si="827"/>
        <v>0</v>
      </c>
      <c r="BE961" s="236">
        <v>35</v>
      </c>
      <c r="BF961" s="237">
        <f t="shared" si="828"/>
        <v>52.55</v>
      </c>
      <c r="BG961" s="253">
        <f t="shared" si="829"/>
        <v>2.7676728869374316</v>
      </c>
      <c r="BH961" s="253" cm="1">
        <f t="array" ref="BH961">$BC961 * SUMPRODUCT(INDEX($AL$77:$AN$82,,$AE961),INDEX($AO$77:$AU$82,,$AD961), N($AK$77:$AK$82&gt;$AI961)) / BG961 / 1000</f>
        <v>0</v>
      </c>
      <c r="BI961" s="250">
        <f t="shared" si="816"/>
        <v>30</v>
      </c>
      <c r="BJ961" s="237">
        <f t="shared" si="830"/>
        <v>46.033333333333331</v>
      </c>
      <c r="BK961" s="253">
        <f t="shared" si="831"/>
        <v>3.2297395388556791</v>
      </c>
      <c r="BL961" s="253" cm="1">
        <f t="array" ref="BL961">$BC961 * IF($AD961&lt;=2,
SUMPRODUCT(INDEX($AL$72:$AN$76,,$AE961), INDEX($AO$72:$AU$76,,$AD961), 1 / ($AV$72:$AV$76*BK961 + (1-$AV$72:$AV$76)*BG961), N($AK$72:$AK$76&gt;$AI961)),
SUMPRODUCT(INDEX($AL$67:$AN$76,,$AE961), INDEX($AO$67:$AU$76,,$AD961), 1 / ($AW$67:$AW$76*BK961 + (1-$AW$67:$AW$76)*BG961), N($AK$67:$AK$76&gt;$AI961))
) / 1000</f>
        <v>0</v>
      </c>
      <c r="BM961" s="250">
        <f t="shared" si="817"/>
        <v>25</v>
      </c>
      <c r="BN961" s="237">
        <f t="shared" si="832"/>
        <v>39.516666666666666</v>
      </c>
      <c r="BO961" s="253">
        <f t="shared" si="833"/>
        <v>3.877011788826243</v>
      </c>
      <c r="BP961" s="253" cm="1">
        <f t="array" ref="BP961">$BC961 * IF($AD961&lt;=2,
SUMPRODUCT(INDEX($AL$67:$AN$71,,$AE961), INDEX($AO$67:$AU$71,,$AD961), 1 / ($AV$67:$AV$71*BO961 + (1-$AV$67:$AV$71)*BK961), N($AK$67:$AK$71&gt;$AI961)),
SUMPRODUCT(INDEX($AL$57:$AN$66,,$AE961), INDEX($AO$57:$AU$66,,$AD961), 1 / ($AW$57:$AW$66*BO961 + (1-$AW$57:$AW$66)*BK961), N($AK$57:$AK$66&gt;$AI961))
) / 1000</f>
        <v>0</v>
      </c>
      <c r="BQ961" s="250">
        <f t="shared" si="818"/>
        <v>20</v>
      </c>
      <c r="BR961" s="237">
        <f t="shared" si="834"/>
        <v>33</v>
      </c>
      <c r="BS961" s="253">
        <f t="shared" si="835"/>
        <v>4.8487499999999999</v>
      </c>
      <c r="BT961" s="253" cm="1">
        <f t="array" ref="BT961">$BC961 * IF($AD961&lt;=2,
SUMPRODUCT(INDEX($AL$62:$AN$66,,$AE961), INDEX($AO$62:$AU$66,,$AD961), 1 / ($AV$62:$AV$66*BS961 + (1-$AV$62:$AV$66)*BO961), N($AK$62:$AK$66&gt;$AI961)),
SUMPRODUCT(INDEX($AL$47:$AN$56,,$AE961), INDEX($AO$47:$AU$56,,$AD961), 1 / ($AW$47:$AW$56*BS961 + (1-$AW$47:$AW$56)*BO961), N($AK$47:$AK$56&gt;$AI961))
) / 1000</f>
        <v>0</v>
      </c>
      <c r="BU961" s="253" cm="1">
        <f t="array" ref="BU961">$BC961 * IF($AD961&lt;=2,
SUMPRODUCT(INDEX($AL$23:$AN$61,,$AE961), INDEX($AO$23:$AU$61,,$AD961), 1 / ($AV$23:$AV$61*BS961), N($AK$23:$AK$61&gt;$AI961)),
SUMPRODUCT(INDEX($AL$23:$AN$46,,$AE961), INDEX($AO$23:$AU$46,,$AD961), 1 / ($AW$23:$AW$46*BS961), N($AK$23:$AK$46&gt;$AI961))
) / 1000</f>
        <v>0</v>
      </c>
      <c r="BV961" s="237">
        <f t="shared" si="836"/>
        <v>0</v>
      </c>
      <c r="BW961" s="210"/>
      <c r="BX961" s="237">
        <f t="shared" si="837"/>
        <v>0</v>
      </c>
      <c r="BY961" s="236">
        <v>35</v>
      </c>
      <c r="BZ961" s="237">
        <f t="shared" si="838"/>
        <v>48</v>
      </c>
      <c r="CA961" s="253">
        <f t="shared" si="839"/>
        <v>3.0748170731707316</v>
      </c>
      <c r="CB961" s="253" cm="1">
        <f t="array" ref="CB961">$BC961 * SUMPRODUCT(INDEX($AL$77:$AN$82,,$AE961),INDEX($AO$77:$AU$82,,$AD961), N($AK$77:$AK$82&gt;$AI961)) / CA961 / 1000</f>
        <v>0</v>
      </c>
      <c r="CC961" s="250">
        <f t="shared" si="819"/>
        <v>30</v>
      </c>
      <c r="CD961" s="237">
        <f t="shared" si="840"/>
        <v>43</v>
      </c>
      <c r="CE961" s="253">
        <f t="shared" si="841"/>
        <v>3.5018750000000001</v>
      </c>
      <c r="CF961" s="253" cm="1">
        <f t="array" ref="CF961">$BC961 * IF($AD961&lt;=2,
SUMPRODUCT(INDEX($AL$72:$AN$76,,$AE961), INDEX($AO$72:$AU$76,,$AD961), 1 / ($AV$72:$AV$76*CE961 + (1-$AV$72:$AV$76)*CA961), N($AK$72:$AK$76&gt;$AI961)),
SUMPRODUCT(INDEX($AL$67:$AN$76,,$AE961), INDEX($AO$67:$AU$76,,$AD961), 1 / ($AW$67:$AW$76*CE961 + (1-$AW$67:$AW$76)*CA961), N($AK$67:$AK$76&gt;$AI961))
) / 1000</f>
        <v>0</v>
      </c>
      <c r="CG961" s="250">
        <f t="shared" si="820"/>
        <v>25</v>
      </c>
      <c r="CH961" s="237">
        <f t="shared" si="842"/>
        <v>38</v>
      </c>
      <c r="CI961" s="253">
        <f t="shared" si="843"/>
        <v>4.0666935483870965</v>
      </c>
      <c r="CJ961" s="253" cm="1">
        <f t="array" ref="CJ961">$BC961 * IF($AD961&lt;=2,
SUMPRODUCT(INDEX($AL$67:$AN$71,,$AE961), INDEX($AO$67:$AU$71,,$AD961), 1 / ($AV$67:$AV$71*CI961 + (1-$AV$67:$AV$71)*CE961), N($AK$67:$AK$71&gt;$AI961)),
SUMPRODUCT(INDEX($AL$57:$AN$66,,$AE961), INDEX($AO$57:$AU$66,,$AD961), 1 / ($AW$57:$AW$66*CI961 + (1-$AW$57:$AW$66)*CE961), N($AK$57:$AK$66&gt;$AI961))
) / 1000</f>
        <v>0</v>
      </c>
      <c r="CK961" s="250">
        <f t="shared" si="821"/>
        <v>20</v>
      </c>
      <c r="CL961" s="237">
        <f t="shared" si="844"/>
        <v>33</v>
      </c>
      <c r="CM961" s="253">
        <f t="shared" si="845"/>
        <v>4.8487499999999999</v>
      </c>
      <c r="CN961" s="253" cm="1">
        <f t="array" ref="CN961">$BC961 * IF($AD961&lt;=2,
SUMPRODUCT(INDEX($AL$62:$AN$66,,$AE961), INDEX($AO$62:$AU$66,,$AD961), 1 / ($AV$62:$AV$66*CM961 + (1-$AV$62:$AV$66)*CI961), N($AK$62:$AK$66&gt;$AI961)),
SUMPRODUCT(INDEX($AL$47:$AN$56,,$AE961), INDEX($AO$47:$AU$56,,$AD961), 1 / ($AW$47:$AW$56*CM961 + (1-$AW$47:$AW$56)*CI961), N($AK$47:$AK$56&gt;$AI961))
) / 1000</f>
        <v>0</v>
      </c>
      <c r="CO961" s="253" cm="1">
        <f t="array" ref="CO961">$BC961 * IF($AD961&lt;=2,
SUMPRODUCT(INDEX($AL$23:$AN$61,,$AE961), INDEX($AO$23:$AU$61,,$AD961), 1 / ($AV$23:$AV$61*CM961), N($AK$23:$AK$61&gt;$AI961)),
SUMPRODUCT(INDEX($AL$23:$AN$46,,$AE961), INDEX($AO$23:$AU$46,,$AD961), 1 / ($AW$23:$AW$46*CM961), N($AK$23:$AK$46&gt;$AI961))
) / 1000</f>
        <v>0</v>
      </c>
      <c r="CP961" s="237">
        <f t="shared" si="846"/>
        <v>0</v>
      </c>
      <c r="CQ961" s="210"/>
    </row>
    <row r="962" spans="1:95" s="76" customFormat="1" ht="14.25" customHeight="1" x14ac:dyDescent="0.2">
      <c r="A962" s="238" t="b">
        <f t="shared" si="813"/>
        <v>0</v>
      </c>
      <c r="B962" s="239">
        <v>940</v>
      </c>
      <c r="C962" s="258"/>
      <c r="D962" s="258"/>
      <c r="E962" s="240"/>
      <c r="F962" s="241" t="str">
        <f>IF(ISBLANK(E962), "", VLOOKUP(E962, Z!$A$2:$C$4127, 3, FALSE))</f>
        <v/>
      </c>
      <c r="G962" s="242"/>
      <c r="H962" s="242"/>
      <c r="I962" s="243"/>
      <c r="J962" s="244"/>
      <c r="K962" s="259"/>
      <c r="L962" s="260"/>
      <c r="M962" s="247" t="str" cm="1">
        <f t="array" ref="M962">IF($K962&gt;0, INDEX(Clean,1+AG962,$C$1), "")</f>
        <v/>
      </c>
      <c r="N962" s="245"/>
      <c r="O962" s="245"/>
      <c r="P962" s="246"/>
      <c r="Q962" s="248">
        <f t="shared" si="823"/>
        <v>0</v>
      </c>
      <c r="R962" s="247" t="str" cm="1">
        <f t="array" ref="R962">IF($K962&gt;0, INDEX(Clean,1+AH962,$C$1), "")</f>
        <v/>
      </c>
      <c r="S962" s="245"/>
      <c r="T962" s="245"/>
      <c r="U962" s="246"/>
      <c r="V962" s="248">
        <f t="shared" si="824"/>
        <v>0</v>
      </c>
      <c r="W962" s="261"/>
      <c r="X962" s="258"/>
      <c r="Y962" s="240"/>
      <c r="Z962" s="241" t="str">
        <f>IF(ISBLANK(Y962), "", VLOOKUP(Y962, Z!$A$2:$C$4127, 3, FALSE))</f>
        <v/>
      </c>
      <c r="AA962" s="262"/>
      <c r="AB962" s="249">
        <f t="shared" si="822"/>
        <v>0</v>
      </c>
      <c r="AC962" s="210"/>
      <c r="AD962" s="236">
        <f t="shared" si="847"/>
        <v>1</v>
      </c>
      <c r="AE962" s="236">
        <f t="shared" si="848"/>
        <v>1</v>
      </c>
      <c r="AF962" s="236">
        <f t="shared" si="849"/>
        <v>0</v>
      </c>
      <c r="AG962" s="236">
        <v>1</v>
      </c>
      <c r="AH962" s="236">
        <v>0</v>
      </c>
      <c r="AI962" s="236">
        <f t="shared" si="825"/>
        <v>-100</v>
      </c>
      <c r="AJ962" s="210"/>
      <c r="AK962" s="254"/>
      <c r="AL962" s="254"/>
      <c r="AM962" s="255"/>
      <c r="AN962" s="255"/>
      <c r="AO962" s="255"/>
      <c r="AP962" s="255"/>
      <c r="AQ962" s="255"/>
      <c r="AR962" s="255"/>
      <c r="AS962" s="255"/>
      <c r="AT962" s="255"/>
      <c r="AU962" s="255"/>
      <c r="AV962" s="255"/>
      <c r="AW962" s="255"/>
      <c r="AX962" s="210"/>
      <c r="AY962" s="236" cm="1">
        <f t="array" ref="AY962">INDEX(Use, $AD962, 4)</f>
        <v>7</v>
      </c>
      <c r="AZ962" s="236">
        <f t="shared" si="826"/>
        <v>32</v>
      </c>
      <c r="BA962" s="236">
        <f t="shared" si="814"/>
        <v>13</v>
      </c>
      <c r="BB962" s="236">
        <f t="shared" si="815"/>
        <v>0</v>
      </c>
      <c r="BC962" s="252" cm="1">
        <f t="array" ref="BC962">K962/IF($L962&gt;0, INDEX($AO$23:$AU$77, $L962+20, $AD962), 1)</f>
        <v>0</v>
      </c>
      <c r="BD962" s="237">
        <f t="shared" si="827"/>
        <v>0</v>
      </c>
      <c r="BE962" s="236">
        <v>35</v>
      </c>
      <c r="BF962" s="237">
        <f t="shared" si="828"/>
        <v>52.55</v>
      </c>
      <c r="BG962" s="253">
        <f t="shared" si="829"/>
        <v>2.7676728869374316</v>
      </c>
      <c r="BH962" s="253" cm="1">
        <f t="array" ref="BH962">$BC962 * SUMPRODUCT(INDEX($AL$77:$AN$82,,$AE962),INDEX($AO$77:$AU$82,,$AD962), N($AK$77:$AK$82&gt;$AI962)) / BG962 / 1000</f>
        <v>0</v>
      </c>
      <c r="BI962" s="250">
        <f t="shared" si="816"/>
        <v>30</v>
      </c>
      <c r="BJ962" s="237">
        <f t="shared" si="830"/>
        <v>46.033333333333331</v>
      </c>
      <c r="BK962" s="253">
        <f t="shared" si="831"/>
        <v>3.2297395388556791</v>
      </c>
      <c r="BL962" s="253" cm="1">
        <f t="array" ref="BL962">$BC962 * IF($AD962&lt;=2,
SUMPRODUCT(INDEX($AL$72:$AN$76,,$AE962), INDEX($AO$72:$AU$76,,$AD962), 1 / ($AV$72:$AV$76*BK962 + (1-$AV$72:$AV$76)*BG962), N($AK$72:$AK$76&gt;$AI962)),
SUMPRODUCT(INDEX($AL$67:$AN$76,,$AE962), INDEX($AO$67:$AU$76,,$AD962), 1 / ($AW$67:$AW$76*BK962 + (1-$AW$67:$AW$76)*BG962), N($AK$67:$AK$76&gt;$AI962))
) / 1000</f>
        <v>0</v>
      </c>
      <c r="BM962" s="250">
        <f t="shared" si="817"/>
        <v>25</v>
      </c>
      <c r="BN962" s="237">
        <f t="shared" si="832"/>
        <v>39.516666666666666</v>
      </c>
      <c r="BO962" s="253">
        <f t="shared" si="833"/>
        <v>3.877011788826243</v>
      </c>
      <c r="BP962" s="253" cm="1">
        <f t="array" ref="BP962">$BC962 * IF($AD962&lt;=2,
SUMPRODUCT(INDEX($AL$67:$AN$71,,$AE962), INDEX($AO$67:$AU$71,,$AD962), 1 / ($AV$67:$AV$71*BO962 + (1-$AV$67:$AV$71)*BK962), N($AK$67:$AK$71&gt;$AI962)),
SUMPRODUCT(INDEX($AL$57:$AN$66,,$AE962), INDEX($AO$57:$AU$66,,$AD962), 1 / ($AW$57:$AW$66*BO962 + (1-$AW$57:$AW$66)*BK962), N($AK$57:$AK$66&gt;$AI962))
) / 1000</f>
        <v>0</v>
      </c>
      <c r="BQ962" s="250">
        <f t="shared" si="818"/>
        <v>20</v>
      </c>
      <c r="BR962" s="237">
        <f t="shared" si="834"/>
        <v>33</v>
      </c>
      <c r="BS962" s="253">
        <f t="shared" si="835"/>
        <v>4.8487499999999999</v>
      </c>
      <c r="BT962" s="253" cm="1">
        <f t="array" ref="BT962">$BC962 * IF($AD962&lt;=2,
SUMPRODUCT(INDEX($AL$62:$AN$66,,$AE962), INDEX($AO$62:$AU$66,,$AD962), 1 / ($AV$62:$AV$66*BS962 + (1-$AV$62:$AV$66)*BO962), N($AK$62:$AK$66&gt;$AI962)),
SUMPRODUCT(INDEX($AL$47:$AN$56,,$AE962), INDEX($AO$47:$AU$56,,$AD962), 1 / ($AW$47:$AW$56*BS962 + (1-$AW$47:$AW$56)*BO962), N($AK$47:$AK$56&gt;$AI962))
) / 1000</f>
        <v>0</v>
      </c>
      <c r="BU962" s="253" cm="1">
        <f t="array" ref="BU962">$BC962 * IF($AD962&lt;=2,
SUMPRODUCT(INDEX($AL$23:$AN$61,,$AE962), INDEX($AO$23:$AU$61,,$AD962), 1 / ($AV$23:$AV$61*BS962), N($AK$23:$AK$61&gt;$AI962)),
SUMPRODUCT(INDEX($AL$23:$AN$46,,$AE962), INDEX($AO$23:$AU$46,,$AD962), 1 / ($AW$23:$AW$46*BS962), N($AK$23:$AK$46&gt;$AI962))
) / 1000</f>
        <v>0</v>
      </c>
      <c r="BV962" s="237">
        <f t="shared" si="836"/>
        <v>0</v>
      </c>
      <c r="BW962" s="210"/>
      <c r="BX962" s="237">
        <f t="shared" si="837"/>
        <v>0</v>
      </c>
      <c r="BY962" s="236">
        <v>35</v>
      </c>
      <c r="BZ962" s="237">
        <f t="shared" si="838"/>
        <v>48</v>
      </c>
      <c r="CA962" s="253">
        <f t="shared" si="839"/>
        <v>3.0748170731707316</v>
      </c>
      <c r="CB962" s="253" cm="1">
        <f t="array" ref="CB962">$BC962 * SUMPRODUCT(INDEX($AL$77:$AN$82,,$AE962),INDEX($AO$77:$AU$82,,$AD962), N($AK$77:$AK$82&gt;$AI962)) / CA962 / 1000</f>
        <v>0</v>
      </c>
      <c r="CC962" s="250">
        <f t="shared" si="819"/>
        <v>30</v>
      </c>
      <c r="CD962" s="237">
        <f t="shared" si="840"/>
        <v>43</v>
      </c>
      <c r="CE962" s="253">
        <f t="shared" si="841"/>
        <v>3.5018750000000001</v>
      </c>
      <c r="CF962" s="253" cm="1">
        <f t="array" ref="CF962">$BC962 * IF($AD962&lt;=2,
SUMPRODUCT(INDEX($AL$72:$AN$76,,$AE962), INDEX($AO$72:$AU$76,,$AD962), 1 / ($AV$72:$AV$76*CE962 + (1-$AV$72:$AV$76)*CA962), N($AK$72:$AK$76&gt;$AI962)),
SUMPRODUCT(INDEX($AL$67:$AN$76,,$AE962), INDEX($AO$67:$AU$76,,$AD962), 1 / ($AW$67:$AW$76*CE962 + (1-$AW$67:$AW$76)*CA962), N($AK$67:$AK$76&gt;$AI962))
) / 1000</f>
        <v>0</v>
      </c>
      <c r="CG962" s="250">
        <f t="shared" si="820"/>
        <v>25</v>
      </c>
      <c r="CH962" s="237">
        <f t="shared" si="842"/>
        <v>38</v>
      </c>
      <c r="CI962" s="253">
        <f t="shared" si="843"/>
        <v>4.0666935483870965</v>
      </c>
      <c r="CJ962" s="253" cm="1">
        <f t="array" ref="CJ962">$BC962 * IF($AD962&lt;=2,
SUMPRODUCT(INDEX($AL$67:$AN$71,,$AE962), INDEX($AO$67:$AU$71,,$AD962), 1 / ($AV$67:$AV$71*CI962 + (1-$AV$67:$AV$71)*CE962), N($AK$67:$AK$71&gt;$AI962)),
SUMPRODUCT(INDEX($AL$57:$AN$66,,$AE962), INDEX($AO$57:$AU$66,,$AD962), 1 / ($AW$57:$AW$66*CI962 + (1-$AW$57:$AW$66)*CE962), N($AK$57:$AK$66&gt;$AI962))
) / 1000</f>
        <v>0</v>
      </c>
      <c r="CK962" s="250">
        <f t="shared" si="821"/>
        <v>20</v>
      </c>
      <c r="CL962" s="237">
        <f t="shared" si="844"/>
        <v>33</v>
      </c>
      <c r="CM962" s="253">
        <f t="shared" si="845"/>
        <v>4.8487499999999999</v>
      </c>
      <c r="CN962" s="253" cm="1">
        <f t="array" ref="CN962">$BC962 * IF($AD962&lt;=2,
SUMPRODUCT(INDEX($AL$62:$AN$66,,$AE962), INDEX($AO$62:$AU$66,,$AD962), 1 / ($AV$62:$AV$66*CM962 + (1-$AV$62:$AV$66)*CI962), N($AK$62:$AK$66&gt;$AI962)),
SUMPRODUCT(INDEX($AL$47:$AN$56,,$AE962), INDEX($AO$47:$AU$56,,$AD962), 1 / ($AW$47:$AW$56*CM962 + (1-$AW$47:$AW$56)*CI962), N($AK$47:$AK$56&gt;$AI962))
) / 1000</f>
        <v>0</v>
      </c>
      <c r="CO962" s="253" cm="1">
        <f t="array" ref="CO962">$BC962 * IF($AD962&lt;=2,
SUMPRODUCT(INDEX($AL$23:$AN$61,,$AE962), INDEX($AO$23:$AU$61,,$AD962), 1 / ($AV$23:$AV$61*CM962), N($AK$23:$AK$61&gt;$AI962)),
SUMPRODUCT(INDEX($AL$23:$AN$46,,$AE962), INDEX($AO$23:$AU$46,,$AD962), 1 / ($AW$23:$AW$46*CM962), N($AK$23:$AK$46&gt;$AI962))
) / 1000</f>
        <v>0</v>
      </c>
      <c r="CP962" s="237">
        <f t="shared" si="846"/>
        <v>0</v>
      </c>
      <c r="CQ962" s="210"/>
    </row>
    <row r="963" spans="1:95" s="76" customFormat="1" ht="14.25" customHeight="1" x14ac:dyDescent="0.2">
      <c r="A963" s="238" t="b">
        <f t="shared" si="813"/>
        <v>0</v>
      </c>
      <c r="B963" s="239">
        <v>941</v>
      </c>
      <c r="C963" s="258"/>
      <c r="D963" s="258"/>
      <c r="E963" s="240"/>
      <c r="F963" s="241" t="str">
        <f>IF(ISBLANK(E963), "", VLOOKUP(E963, Z!$A$2:$C$4127, 3, FALSE))</f>
        <v/>
      </c>
      <c r="G963" s="242"/>
      <c r="H963" s="242"/>
      <c r="I963" s="243"/>
      <c r="J963" s="244"/>
      <c r="K963" s="259"/>
      <c r="L963" s="260"/>
      <c r="M963" s="247" t="str" cm="1">
        <f t="array" ref="M963">IF($K963&gt;0, INDEX(Clean,1+AG963,$C$1), "")</f>
        <v/>
      </c>
      <c r="N963" s="245"/>
      <c r="O963" s="245"/>
      <c r="P963" s="246"/>
      <c r="Q963" s="248">
        <f t="shared" si="823"/>
        <v>0</v>
      </c>
      <c r="R963" s="247" t="str" cm="1">
        <f t="array" ref="R963">IF($K963&gt;0, INDEX(Clean,1+AH963,$C$1), "")</f>
        <v/>
      </c>
      <c r="S963" s="245"/>
      <c r="T963" s="245"/>
      <c r="U963" s="246"/>
      <c r="V963" s="248">
        <f t="shared" si="824"/>
        <v>0</v>
      </c>
      <c r="W963" s="261"/>
      <c r="X963" s="258"/>
      <c r="Y963" s="240"/>
      <c r="Z963" s="241" t="str">
        <f>IF(ISBLANK(Y963), "", VLOOKUP(Y963, Z!$A$2:$C$4127, 3, FALSE))</f>
        <v/>
      </c>
      <c r="AA963" s="262"/>
      <c r="AB963" s="249">
        <f t="shared" si="822"/>
        <v>0</v>
      </c>
      <c r="AC963" s="210"/>
      <c r="AD963" s="236">
        <f t="shared" si="847"/>
        <v>1</v>
      </c>
      <c r="AE963" s="236">
        <f t="shared" si="848"/>
        <v>1</v>
      </c>
      <c r="AF963" s="236">
        <f t="shared" si="849"/>
        <v>0</v>
      </c>
      <c r="AG963" s="236">
        <v>1</v>
      </c>
      <c r="AH963" s="236">
        <v>0</v>
      </c>
      <c r="AI963" s="236">
        <f t="shared" si="825"/>
        <v>-100</v>
      </c>
      <c r="AJ963" s="210"/>
      <c r="AK963" s="254"/>
      <c r="AL963" s="254"/>
      <c r="AM963" s="255"/>
      <c r="AN963" s="255"/>
      <c r="AO963" s="255"/>
      <c r="AP963" s="255"/>
      <c r="AQ963" s="255"/>
      <c r="AR963" s="255"/>
      <c r="AS963" s="255"/>
      <c r="AT963" s="255"/>
      <c r="AU963" s="255"/>
      <c r="AV963" s="255"/>
      <c r="AW963" s="255"/>
      <c r="AX963" s="210"/>
      <c r="AY963" s="236" cm="1">
        <f t="array" ref="AY963">INDEX(Use, $AD963, 4)</f>
        <v>7</v>
      </c>
      <c r="AZ963" s="236">
        <f t="shared" si="826"/>
        <v>32</v>
      </c>
      <c r="BA963" s="236">
        <f t="shared" si="814"/>
        <v>13</v>
      </c>
      <c r="BB963" s="236">
        <f t="shared" si="815"/>
        <v>0</v>
      </c>
      <c r="BC963" s="252" cm="1">
        <f t="array" ref="BC963">K963/IF($L963&gt;0, INDEX($AO$23:$AU$77, $L963+20, $AD963), 1)</f>
        <v>0</v>
      </c>
      <c r="BD963" s="237">
        <f t="shared" si="827"/>
        <v>0</v>
      </c>
      <c r="BE963" s="236">
        <v>35</v>
      </c>
      <c r="BF963" s="237">
        <f t="shared" si="828"/>
        <v>52.55</v>
      </c>
      <c r="BG963" s="253">
        <f t="shared" si="829"/>
        <v>2.7676728869374316</v>
      </c>
      <c r="BH963" s="253" cm="1">
        <f t="array" ref="BH963">$BC963 * SUMPRODUCT(INDEX($AL$77:$AN$82,,$AE963),INDEX($AO$77:$AU$82,,$AD963), N($AK$77:$AK$82&gt;$AI963)) / BG963 / 1000</f>
        <v>0</v>
      </c>
      <c r="BI963" s="250">
        <f t="shared" si="816"/>
        <v>30</v>
      </c>
      <c r="BJ963" s="237">
        <f t="shared" si="830"/>
        <v>46.033333333333331</v>
      </c>
      <c r="BK963" s="253">
        <f t="shared" si="831"/>
        <v>3.2297395388556791</v>
      </c>
      <c r="BL963" s="253" cm="1">
        <f t="array" ref="BL963">$BC963 * IF($AD963&lt;=2,
SUMPRODUCT(INDEX($AL$72:$AN$76,,$AE963), INDEX($AO$72:$AU$76,,$AD963), 1 / ($AV$72:$AV$76*BK963 + (1-$AV$72:$AV$76)*BG963), N($AK$72:$AK$76&gt;$AI963)),
SUMPRODUCT(INDEX($AL$67:$AN$76,,$AE963), INDEX($AO$67:$AU$76,,$AD963), 1 / ($AW$67:$AW$76*BK963 + (1-$AW$67:$AW$76)*BG963), N($AK$67:$AK$76&gt;$AI963))
) / 1000</f>
        <v>0</v>
      </c>
      <c r="BM963" s="250">
        <f t="shared" si="817"/>
        <v>25</v>
      </c>
      <c r="BN963" s="237">
        <f t="shared" si="832"/>
        <v>39.516666666666666</v>
      </c>
      <c r="BO963" s="253">
        <f t="shared" si="833"/>
        <v>3.877011788826243</v>
      </c>
      <c r="BP963" s="253" cm="1">
        <f t="array" ref="BP963">$BC963 * IF($AD963&lt;=2,
SUMPRODUCT(INDEX($AL$67:$AN$71,,$AE963), INDEX($AO$67:$AU$71,,$AD963), 1 / ($AV$67:$AV$71*BO963 + (1-$AV$67:$AV$71)*BK963), N($AK$67:$AK$71&gt;$AI963)),
SUMPRODUCT(INDEX($AL$57:$AN$66,,$AE963), INDEX($AO$57:$AU$66,,$AD963), 1 / ($AW$57:$AW$66*BO963 + (1-$AW$57:$AW$66)*BK963), N($AK$57:$AK$66&gt;$AI963))
) / 1000</f>
        <v>0</v>
      </c>
      <c r="BQ963" s="250">
        <f t="shared" si="818"/>
        <v>20</v>
      </c>
      <c r="BR963" s="237">
        <f t="shared" si="834"/>
        <v>33</v>
      </c>
      <c r="BS963" s="253">
        <f t="shared" si="835"/>
        <v>4.8487499999999999</v>
      </c>
      <c r="BT963" s="253" cm="1">
        <f t="array" ref="BT963">$BC963 * IF($AD963&lt;=2,
SUMPRODUCT(INDEX($AL$62:$AN$66,,$AE963), INDEX($AO$62:$AU$66,,$AD963), 1 / ($AV$62:$AV$66*BS963 + (1-$AV$62:$AV$66)*BO963), N($AK$62:$AK$66&gt;$AI963)),
SUMPRODUCT(INDEX($AL$47:$AN$56,,$AE963), INDEX($AO$47:$AU$56,,$AD963), 1 / ($AW$47:$AW$56*BS963 + (1-$AW$47:$AW$56)*BO963), N($AK$47:$AK$56&gt;$AI963))
) / 1000</f>
        <v>0</v>
      </c>
      <c r="BU963" s="253" cm="1">
        <f t="array" ref="BU963">$BC963 * IF($AD963&lt;=2,
SUMPRODUCT(INDEX($AL$23:$AN$61,,$AE963), INDEX($AO$23:$AU$61,,$AD963), 1 / ($AV$23:$AV$61*BS963), N($AK$23:$AK$61&gt;$AI963)),
SUMPRODUCT(INDEX($AL$23:$AN$46,,$AE963), INDEX($AO$23:$AU$46,,$AD963), 1 / ($AW$23:$AW$46*BS963), N($AK$23:$AK$46&gt;$AI963))
) / 1000</f>
        <v>0</v>
      </c>
      <c r="BV963" s="237">
        <f t="shared" si="836"/>
        <v>0</v>
      </c>
      <c r="BW963" s="210"/>
      <c r="BX963" s="237">
        <f t="shared" si="837"/>
        <v>0</v>
      </c>
      <c r="BY963" s="236">
        <v>35</v>
      </c>
      <c r="BZ963" s="237">
        <f t="shared" si="838"/>
        <v>48</v>
      </c>
      <c r="CA963" s="253">
        <f t="shared" si="839"/>
        <v>3.0748170731707316</v>
      </c>
      <c r="CB963" s="253" cm="1">
        <f t="array" ref="CB963">$BC963 * SUMPRODUCT(INDEX($AL$77:$AN$82,,$AE963),INDEX($AO$77:$AU$82,,$AD963), N($AK$77:$AK$82&gt;$AI963)) / CA963 / 1000</f>
        <v>0</v>
      </c>
      <c r="CC963" s="250">
        <f t="shared" si="819"/>
        <v>30</v>
      </c>
      <c r="CD963" s="237">
        <f t="shared" si="840"/>
        <v>43</v>
      </c>
      <c r="CE963" s="253">
        <f t="shared" si="841"/>
        <v>3.5018750000000001</v>
      </c>
      <c r="CF963" s="253" cm="1">
        <f t="array" ref="CF963">$BC963 * IF($AD963&lt;=2,
SUMPRODUCT(INDEX($AL$72:$AN$76,,$AE963), INDEX($AO$72:$AU$76,,$AD963), 1 / ($AV$72:$AV$76*CE963 + (1-$AV$72:$AV$76)*CA963), N($AK$72:$AK$76&gt;$AI963)),
SUMPRODUCT(INDEX($AL$67:$AN$76,,$AE963), INDEX($AO$67:$AU$76,,$AD963), 1 / ($AW$67:$AW$76*CE963 + (1-$AW$67:$AW$76)*CA963), N($AK$67:$AK$76&gt;$AI963))
) / 1000</f>
        <v>0</v>
      </c>
      <c r="CG963" s="250">
        <f t="shared" si="820"/>
        <v>25</v>
      </c>
      <c r="CH963" s="237">
        <f t="shared" si="842"/>
        <v>38</v>
      </c>
      <c r="CI963" s="253">
        <f t="shared" si="843"/>
        <v>4.0666935483870965</v>
      </c>
      <c r="CJ963" s="253" cm="1">
        <f t="array" ref="CJ963">$BC963 * IF($AD963&lt;=2,
SUMPRODUCT(INDEX($AL$67:$AN$71,,$AE963), INDEX($AO$67:$AU$71,,$AD963), 1 / ($AV$67:$AV$71*CI963 + (1-$AV$67:$AV$71)*CE963), N($AK$67:$AK$71&gt;$AI963)),
SUMPRODUCT(INDEX($AL$57:$AN$66,,$AE963), INDEX($AO$57:$AU$66,,$AD963), 1 / ($AW$57:$AW$66*CI963 + (1-$AW$57:$AW$66)*CE963), N($AK$57:$AK$66&gt;$AI963))
) / 1000</f>
        <v>0</v>
      </c>
      <c r="CK963" s="250">
        <f t="shared" si="821"/>
        <v>20</v>
      </c>
      <c r="CL963" s="237">
        <f t="shared" si="844"/>
        <v>33</v>
      </c>
      <c r="CM963" s="253">
        <f t="shared" si="845"/>
        <v>4.8487499999999999</v>
      </c>
      <c r="CN963" s="253" cm="1">
        <f t="array" ref="CN963">$BC963 * IF($AD963&lt;=2,
SUMPRODUCT(INDEX($AL$62:$AN$66,,$AE963), INDEX($AO$62:$AU$66,,$AD963), 1 / ($AV$62:$AV$66*CM963 + (1-$AV$62:$AV$66)*CI963), N($AK$62:$AK$66&gt;$AI963)),
SUMPRODUCT(INDEX($AL$47:$AN$56,,$AE963), INDEX($AO$47:$AU$56,,$AD963), 1 / ($AW$47:$AW$56*CM963 + (1-$AW$47:$AW$56)*CI963), N($AK$47:$AK$56&gt;$AI963))
) / 1000</f>
        <v>0</v>
      </c>
      <c r="CO963" s="253" cm="1">
        <f t="array" ref="CO963">$BC963 * IF($AD963&lt;=2,
SUMPRODUCT(INDEX($AL$23:$AN$61,,$AE963), INDEX($AO$23:$AU$61,,$AD963), 1 / ($AV$23:$AV$61*CM963), N($AK$23:$AK$61&gt;$AI963)),
SUMPRODUCT(INDEX($AL$23:$AN$46,,$AE963), INDEX($AO$23:$AU$46,,$AD963), 1 / ($AW$23:$AW$46*CM963), N($AK$23:$AK$46&gt;$AI963))
) / 1000</f>
        <v>0</v>
      </c>
      <c r="CP963" s="237">
        <f t="shared" si="846"/>
        <v>0</v>
      </c>
      <c r="CQ963" s="210"/>
    </row>
    <row r="964" spans="1:95" s="76" customFormat="1" ht="14.25" customHeight="1" x14ac:dyDescent="0.2">
      <c r="A964" s="238" t="b">
        <f t="shared" si="813"/>
        <v>0</v>
      </c>
      <c r="B964" s="239">
        <v>942</v>
      </c>
      <c r="C964" s="258"/>
      <c r="D964" s="258"/>
      <c r="E964" s="240"/>
      <c r="F964" s="241" t="str">
        <f>IF(ISBLANK(E964), "", VLOOKUP(E964, Z!$A$2:$C$4127, 3, FALSE))</f>
        <v/>
      </c>
      <c r="G964" s="242"/>
      <c r="H964" s="242"/>
      <c r="I964" s="243"/>
      <c r="J964" s="244"/>
      <c r="K964" s="259"/>
      <c r="L964" s="260"/>
      <c r="M964" s="247" t="str" cm="1">
        <f t="array" ref="M964">IF($K964&gt;0, INDEX(Clean,1+AG964,$C$1), "")</f>
        <v/>
      </c>
      <c r="N964" s="245"/>
      <c r="O964" s="245"/>
      <c r="P964" s="246"/>
      <c r="Q964" s="248">
        <f t="shared" si="823"/>
        <v>0</v>
      </c>
      <c r="R964" s="247" t="str" cm="1">
        <f t="array" ref="R964">IF($K964&gt;0, INDEX(Clean,1+AH964,$C$1), "")</f>
        <v/>
      </c>
      <c r="S964" s="245"/>
      <c r="T964" s="245"/>
      <c r="U964" s="246"/>
      <c r="V964" s="248">
        <f t="shared" si="824"/>
        <v>0</v>
      </c>
      <c r="W964" s="261"/>
      <c r="X964" s="258"/>
      <c r="Y964" s="240"/>
      <c r="Z964" s="241" t="str">
        <f>IF(ISBLANK(Y964), "", VLOOKUP(Y964, Z!$A$2:$C$4127, 3, FALSE))</f>
        <v/>
      </c>
      <c r="AA964" s="262"/>
      <c r="AB964" s="249">
        <f t="shared" si="822"/>
        <v>0</v>
      </c>
      <c r="AC964" s="210"/>
      <c r="AD964" s="236">
        <f t="shared" si="847"/>
        <v>1</v>
      </c>
      <c r="AE964" s="236">
        <f t="shared" si="848"/>
        <v>1</v>
      </c>
      <c r="AF964" s="236">
        <f t="shared" si="849"/>
        <v>0</v>
      </c>
      <c r="AG964" s="236">
        <v>1</v>
      </c>
      <c r="AH964" s="236">
        <v>0</v>
      </c>
      <c r="AI964" s="236">
        <f t="shared" si="825"/>
        <v>-100</v>
      </c>
      <c r="AJ964" s="210"/>
      <c r="AK964" s="254"/>
      <c r="AL964" s="254"/>
      <c r="AM964" s="255"/>
      <c r="AN964" s="255"/>
      <c r="AO964" s="255"/>
      <c r="AP964" s="255"/>
      <c r="AQ964" s="255"/>
      <c r="AR964" s="255"/>
      <c r="AS964" s="255"/>
      <c r="AT964" s="255"/>
      <c r="AU964" s="255"/>
      <c r="AV964" s="255"/>
      <c r="AW964" s="255"/>
      <c r="AX964" s="210"/>
      <c r="AY964" s="236" cm="1">
        <f t="array" ref="AY964">INDEX(Use, $AD964, 4)</f>
        <v>7</v>
      </c>
      <c r="AZ964" s="236">
        <f t="shared" si="826"/>
        <v>32</v>
      </c>
      <c r="BA964" s="236">
        <f t="shared" si="814"/>
        <v>13</v>
      </c>
      <c r="BB964" s="236">
        <f t="shared" si="815"/>
        <v>0</v>
      </c>
      <c r="BC964" s="252" cm="1">
        <f t="array" ref="BC964">K964/IF($L964&gt;0, INDEX($AO$23:$AU$77, $L964+20, $AD964), 1)</f>
        <v>0</v>
      </c>
      <c r="BD964" s="237">
        <f t="shared" si="827"/>
        <v>0</v>
      </c>
      <c r="BE964" s="236">
        <v>35</v>
      </c>
      <c r="BF964" s="237">
        <f t="shared" si="828"/>
        <v>52.55</v>
      </c>
      <c r="BG964" s="253">
        <f t="shared" si="829"/>
        <v>2.7676728869374316</v>
      </c>
      <c r="BH964" s="253" cm="1">
        <f t="array" ref="BH964">$BC964 * SUMPRODUCT(INDEX($AL$77:$AN$82,,$AE964),INDEX($AO$77:$AU$82,,$AD964), N($AK$77:$AK$82&gt;$AI964)) / BG964 / 1000</f>
        <v>0</v>
      </c>
      <c r="BI964" s="250">
        <f t="shared" si="816"/>
        <v>30</v>
      </c>
      <c r="BJ964" s="237">
        <f t="shared" si="830"/>
        <v>46.033333333333331</v>
      </c>
      <c r="BK964" s="253">
        <f t="shared" si="831"/>
        <v>3.2297395388556791</v>
      </c>
      <c r="BL964" s="253" cm="1">
        <f t="array" ref="BL964">$BC964 * IF($AD964&lt;=2,
SUMPRODUCT(INDEX($AL$72:$AN$76,,$AE964), INDEX($AO$72:$AU$76,,$AD964), 1 / ($AV$72:$AV$76*BK964 + (1-$AV$72:$AV$76)*BG964), N($AK$72:$AK$76&gt;$AI964)),
SUMPRODUCT(INDEX($AL$67:$AN$76,,$AE964), INDEX($AO$67:$AU$76,,$AD964), 1 / ($AW$67:$AW$76*BK964 + (1-$AW$67:$AW$76)*BG964), N($AK$67:$AK$76&gt;$AI964))
) / 1000</f>
        <v>0</v>
      </c>
      <c r="BM964" s="250">
        <f t="shared" si="817"/>
        <v>25</v>
      </c>
      <c r="BN964" s="237">
        <f t="shared" si="832"/>
        <v>39.516666666666666</v>
      </c>
      <c r="BO964" s="253">
        <f t="shared" si="833"/>
        <v>3.877011788826243</v>
      </c>
      <c r="BP964" s="253" cm="1">
        <f t="array" ref="BP964">$BC964 * IF($AD964&lt;=2,
SUMPRODUCT(INDEX($AL$67:$AN$71,,$AE964), INDEX($AO$67:$AU$71,,$AD964), 1 / ($AV$67:$AV$71*BO964 + (1-$AV$67:$AV$71)*BK964), N($AK$67:$AK$71&gt;$AI964)),
SUMPRODUCT(INDEX($AL$57:$AN$66,,$AE964), INDEX($AO$57:$AU$66,,$AD964), 1 / ($AW$57:$AW$66*BO964 + (1-$AW$57:$AW$66)*BK964), N($AK$57:$AK$66&gt;$AI964))
) / 1000</f>
        <v>0</v>
      </c>
      <c r="BQ964" s="250">
        <f t="shared" si="818"/>
        <v>20</v>
      </c>
      <c r="BR964" s="237">
        <f t="shared" si="834"/>
        <v>33</v>
      </c>
      <c r="BS964" s="253">
        <f t="shared" si="835"/>
        <v>4.8487499999999999</v>
      </c>
      <c r="BT964" s="253" cm="1">
        <f t="array" ref="BT964">$BC964 * IF($AD964&lt;=2,
SUMPRODUCT(INDEX($AL$62:$AN$66,,$AE964), INDEX($AO$62:$AU$66,,$AD964), 1 / ($AV$62:$AV$66*BS964 + (1-$AV$62:$AV$66)*BO964), N($AK$62:$AK$66&gt;$AI964)),
SUMPRODUCT(INDEX($AL$47:$AN$56,,$AE964), INDEX($AO$47:$AU$56,,$AD964), 1 / ($AW$47:$AW$56*BS964 + (1-$AW$47:$AW$56)*BO964), N($AK$47:$AK$56&gt;$AI964))
) / 1000</f>
        <v>0</v>
      </c>
      <c r="BU964" s="253" cm="1">
        <f t="array" ref="BU964">$BC964 * IF($AD964&lt;=2,
SUMPRODUCT(INDEX($AL$23:$AN$61,,$AE964), INDEX($AO$23:$AU$61,,$AD964), 1 / ($AV$23:$AV$61*BS964), N($AK$23:$AK$61&gt;$AI964)),
SUMPRODUCT(INDEX($AL$23:$AN$46,,$AE964), INDEX($AO$23:$AU$46,,$AD964), 1 / ($AW$23:$AW$46*BS964), N($AK$23:$AK$46&gt;$AI964))
) / 1000</f>
        <v>0</v>
      </c>
      <c r="BV964" s="237">
        <f t="shared" si="836"/>
        <v>0</v>
      </c>
      <c r="BW964" s="210"/>
      <c r="BX964" s="237">
        <f t="shared" si="837"/>
        <v>0</v>
      </c>
      <c r="BY964" s="236">
        <v>35</v>
      </c>
      <c r="BZ964" s="237">
        <f t="shared" si="838"/>
        <v>48</v>
      </c>
      <c r="CA964" s="253">
        <f t="shared" si="839"/>
        <v>3.0748170731707316</v>
      </c>
      <c r="CB964" s="253" cm="1">
        <f t="array" ref="CB964">$BC964 * SUMPRODUCT(INDEX($AL$77:$AN$82,,$AE964),INDEX($AO$77:$AU$82,,$AD964), N($AK$77:$AK$82&gt;$AI964)) / CA964 / 1000</f>
        <v>0</v>
      </c>
      <c r="CC964" s="250">
        <f t="shared" si="819"/>
        <v>30</v>
      </c>
      <c r="CD964" s="237">
        <f t="shared" si="840"/>
        <v>43</v>
      </c>
      <c r="CE964" s="253">
        <f t="shared" si="841"/>
        <v>3.5018750000000001</v>
      </c>
      <c r="CF964" s="253" cm="1">
        <f t="array" ref="CF964">$BC964 * IF($AD964&lt;=2,
SUMPRODUCT(INDEX($AL$72:$AN$76,,$AE964), INDEX($AO$72:$AU$76,,$AD964), 1 / ($AV$72:$AV$76*CE964 + (1-$AV$72:$AV$76)*CA964), N($AK$72:$AK$76&gt;$AI964)),
SUMPRODUCT(INDEX($AL$67:$AN$76,,$AE964), INDEX($AO$67:$AU$76,,$AD964), 1 / ($AW$67:$AW$76*CE964 + (1-$AW$67:$AW$76)*CA964), N($AK$67:$AK$76&gt;$AI964))
) / 1000</f>
        <v>0</v>
      </c>
      <c r="CG964" s="250">
        <f t="shared" si="820"/>
        <v>25</v>
      </c>
      <c r="CH964" s="237">
        <f t="shared" si="842"/>
        <v>38</v>
      </c>
      <c r="CI964" s="253">
        <f t="shared" si="843"/>
        <v>4.0666935483870965</v>
      </c>
      <c r="CJ964" s="253" cm="1">
        <f t="array" ref="CJ964">$BC964 * IF($AD964&lt;=2,
SUMPRODUCT(INDEX($AL$67:$AN$71,,$AE964), INDEX($AO$67:$AU$71,,$AD964), 1 / ($AV$67:$AV$71*CI964 + (1-$AV$67:$AV$71)*CE964), N($AK$67:$AK$71&gt;$AI964)),
SUMPRODUCT(INDEX($AL$57:$AN$66,,$AE964), INDEX($AO$57:$AU$66,,$AD964), 1 / ($AW$57:$AW$66*CI964 + (1-$AW$57:$AW$66)*CE964), N($AK$57:$AK$66&gt;$AI964))
) / 1000</f>
        <v>0</v>
      </c>
      <c r="CK964" s="250">
        <f t="shared" si="821"/>
        <v>20</v>
      </c>
      <c r="CL964" s="237">
        <f t="shared" si="844"/>
        <v>33</v>
      </c>
      <c r="CM964" s="253">
        <f t="shared" si="845"/>
        <v>4.8487499999999999</v>
      </c>
      <c r="CN964" s="253" cm="1">
        <f t="array" ref="CN964">$BC964 * IF($AD964&lt;=2,
SUMPRODUCT(INDEX($AL$62:$AN$66,,$AE964), INDEX($AO$62:$AU$66,,$AD964), 1 / ($AV$62:$AV$66*CM964 + (1-$AV$62:$AV$66)*CI964), N($AK$62:$AK$66&gt;$AI964)),
SUMPRODUCT(INDEX($AL$47:$AN$56,,$AE964), INDEX($AO$47:$AU$56,,$AD964), 1 / ($AW$47:$AW$56*CM964 + (1-$AW$47:$AW$56)*CI964), N($AK$47:$AK$56&gt;$AI964))
) / 1000</f>
        <v>0</v>
      </c>
      <c r="CO964" s="253" cm="1">
        <f t="array" ref="CO964">$BC964 * IF($AD964&lt;=2,
SUMPRODUCT(INDEX($AL$23:$AN$61,,$AE964), INDEX($AO$23:$AU$61,,$AD964), 1 / ($AV$23:$AV$61*CM964), N($AK$23:$AK$61&gt;$AI964)),
SUMPRODUCT(INDEX($AL$23:$AN$46,,$AE964), INDEX($AO$23:$AU$46,,$AD964), 1 / ($AW$23:$AW$46*CM964), N($AK$23:$AK$46&gt;$AI964))
) / 1000</f>
        <v>0</v>
      </c>
      <c r="CP964" s="237">
        <f t="shared" si="846"/>
        <v>0</v>
      </c>
      <c r="CQ964" s="210"/>
    </row>
    <row r="965" spans="1:95" s="76" customFormat="1" ht="14.25" customHeight="1" x14ac:dyDescent="0.2">
      <c r="A965" s="238" t="b">
        <f t="shared" si="813"/>
        <v>0</v>
      </c>
      <c r="B965" s="239">
        <v>943</v>
      </c>
      <c r="C965" s="258"/>
      <c r="D965" s="258"/>
      <c r="E965" s="240"/>
      <c r="F965" s="241" t="str">
        <f>IF(ISBLANK(E965), "", VLOOKUP(E965, Z!$A$2:$C$4127, 3, FALSE))</f>
        <v/>
      </c>
      <c r="G965" s="242"/>
      <c r="H965" s="242"/>
      <c r="I965" s="243"/>
      <c r="J965" s="244"/>
      <c r="K965" s="259"/>
      <c r="L965" s="260"/>
      <c r="M965" s="247" t="str" cm="1">
        <f t="array" ref="M965">IF($K965&gt;0, INDEX(Clean,1+AG965,$C$1), "")</f>
        <v/>
      </c>
      <c r="N965" s="245"/>
      <c r="O965" s="245"/>
      <c r="P965" s="246"/>
      <c r="Q965" s="248">
        <f t="shared" si="823"/>
        <v>0</v>
      </c>
      <c r="R965" s="247" t="str" cm="1">
        <f t="array" ref="R965">IF($K965&gt;0, INDEX(Clean,1+AH965,$C$1), "")</f>
        <v/>
      </c>
      <c r="S965" s="245"/>
      <c r="T965" s="245"/>
      <c r="U965" s="246"/>
      <c r="V965" s="248">
        <f t="shared" si="824"/>
        <v>0</v>
      </c>
      <c r="W965" s="261"/>
      <c r="X965" s="258"/>
      <c r="Y965" s="240"/>
      <c r="Z965" s="241" t="str">
        <f>IF(ISBLANK(Y965), "", VLOOKUP(Y965, Z!$A$2:$C$4127, 3, FALSE))</f>
        <v/>
      </c>
      <c r="AA965" s="262"/>
      <c r="AB965" s="249">
        <f t="shared" si="822"/>
        <v>0</v>
      </c>
      <c r="AC965" s="210"/>
      <c r="AD965" s="236">
        <f t="shared" si="847"/>
        <v>1</v>
      </c>
      <c r="AE965" s="236">
        <f t="shared" si="848"/>
        <v>1</v>
      </c>
      <c r="AF965" s="236">
        <f t="shared" si="849"/>
        <v>0</v>
      </c>
      <c r="AG965" s="236">
        <v>1</v>
      </c>
      <c r="AH965" s="236">
        <v>0</v>
      </c>
      <c r="AI965" s="236">
        <f t="shared" si="825"/>
        <v>-100</v>
      </c>
      <c r="AJ965" s="210"/>
      <c r="AK965" s="254"/>
      <c r="AL965" s="254"/>
      <c r="AM965" s="255"/>
      <c r="AN965" s="255"/>
      <c r="AO965" s="255"/>
      <c r="AP965" s="255"/>
      <c r="AQ965" s="255"/>
      <c r="AR965" s="255"/>
      <c r="AS965" s="255"/>
      <c r="AT965" s="255"/>
      <c r="AU965" s="255"/>
      <c r="AV965" s="255"/>
      <c r="AW965" s="255"/>
      <c r="AX965" s="210"/>
      <c r="AY965" s="236" cm="1">
        <f t="array" ref="AY965">INDEX(Use, $AD965, 4)</f>
        <v>7</v>
      </c>
      <c r="AZ965" s="236">
        <f t="shared" si="826"/>
        <v>32</v>
      </c>
      <c r="BA965" s="236">
        <f t="shared" si="814"/>
        <v>13</v>
      </c>
      <c r="BB965" s="236">
        <f t="shared" si="815"/>
        <v>0</v>
      </c>
      <c r="BC965" s="252" cm="1">
        <f t="array" ref="BC965">K965/IF($L965&gt;0, INDEX($AO$23:$AU$77, $L965+20, $AD965), 1)</f>
        <v>0</v>
      </c>
      <c r="BD965" s="237">
        <f t="shared" si="827"/>
        <v>0</v>
      </c>
      <c r="BE965" s="236">
        <v>35</v>
      </c>
      <c r="BF965" s="237">
        <f t="shared" si="828"/>
        <v>52.55</v>
      </c>
      <c r="BG965" s="253">
        <f t="shared" si="829"/>
        <v>2.7676728869374316</v>
      </c>
      <c r="BH965" s="253" cm="1">
        <f t="array" ref="BH965">$BC965 * SUMPRODUCT(INDEX($AL$77:$AN$82,,$AE965),INDEX($AO$77:$AU$82,,$AD965), N($AK$77:$AK$82&gt;$AI965)) / BG965 / 1000</f>
        <v>0</v>
      </c>
      <c r="BI965" s="250">
        <f t="shared" si="816"/>
        <v>30</v>
      </c>
      <c r="BJ965" s="237">
        <f t="shared" si="830"/>
        <v>46.033333333333331</v>
      </c>
      <c r="BK965" s="253">
        <f t="shared" si="831"/>
        <v>3.2297395388556791</v>
      </c>
      <c r="BL965" s="253" cm="1">
        <f t="array" ref="BL965">$BC965 * IF($AD965&lt;=2,
SUMPRODUCT(INDEX($AL$72:$AN$76,,$AE965), INDEX($AO$72:$AU$76,,$AD965), 1 / ($AV$72:$AV$76*BK965 + (1-$AV$72:$AV$76)*BG965), N($AK$72:$AK$76&gt;$AI965)),
SUMPRODUCT(INDEX($AL$67:$AN$76,,$AE965), INDEX($AO$67:$AU$76,,$AD965), 1 / ($AW$67:$AW$76*BK965 + (1-$AW$67:$AW$76)*BG965), N($AK$67:$AK$76&gt;$AI965))
) / 1000</f>
        <v>0</v>
      </c>
      <c r="BM965" s="250">
        <f t="shared" si="817"/>
        <v>25</v>
      </c>
      <c r="BN965" s="237">
        <f t="shared" si="832"/>
        <v>39.516666666666666</v>
      </c>
      <c r="BO965" s="253">
        <f t="shared" si="833"/>
        <v>3.877011788826243</v>
      </c>
      <c r="BP965" s="253" cm="1">
        <f t="array" ref="BP965">$BC965 * IF($AD965&lt;=2,
SUMPRODUCT(INDEX($AL$67:$AN$71,,$AE965), INDEX($AO$67:$AU$71,,$AD965), 1 / ($AV$67:$AV$71*BO965 + (1-$AV$67:$AV$71)*BK965), N($AK$67:$AK$71&gt;$AI965)),
SUMPRODUCT(INDEX($AL$57:$AN$66,,$AE965), INDEX($AO$57:$AU$66,,$AD965), 1 / ($AW$57:$AW$66*BO965 + (1-$AW$57:$AW$66)*BK965), N($AK$57:$AK$66&gt;$AI965))
) / 1000</f>
        <v>0</v>
      </c>
      <c r="BQ965" s="250">
        <f t="shared" si="818"/>
        <v>20</v>
      </c>
      <c r="BR965" s="237">
        <f t="shared" si="834"/>
        <v>33</v>
      </c>
      <c r="BS965" s="253">
        <f t="shared" si="835"/>
        <v>4.8487499999999999</v>
      </c>
      <c r="BT965" s="253" cm="1">
        <f t="array" ref="BT965">$BC965 * IF($AD965&lt;=2,
SUMPRODUCT(INDEX($AL$62:$AN$66,,$AE965), INDEX($AO$62:$AU$66,,$AD965), 1 / ($AV$62:$AV$66*BS965 + (1-$AV$62:$AV$66)*BO965), N($AK$62:$AK$66&gt;$AI965)),
SUMPRODUCT(INDEX($AL$47:$AN$56,,$AE965), INDEX($AO$47:$AU$56,,$AD965), 1 / ($AW$47:$AW$56*BS965 + (1-$AW$47:$AW$56)*BO965), N($AK$47:$AK$56&gt;$AI965))
) / 1000</f>
        <v>0</v>
      </c>
      <c r="BU965" s="253" cm="1">
        <f t="array" ref="BU965">$BC965 * IF($AD965&lt;=2,
SUMPRODUCT(INDEX($AL$23:$AN$61,,$AE965), INDEX($AO$23:$AU$61,,$AD965), 1 / ($AV$23:$AV$61*BS965), N($AK$23:$AK$61&gt;$AI965)),
SUMPRODUCT(INDEX($AL$23:$AN$46,,$AE965), INDEX($AO$23:$AU$46,,$AD965), 1 / ($AW$23:$AW$46*BS965), N($AK$23:$AK$46&gt;$AI965))
) / 1000</f>
        <v>0</v>
      </c>
      <c r="BV965" s="237">
        <f t="shared" si="836"/>
        <v>0</v>
      </c>
      <c r="BW965" s="210"/>
      <c r="BX965" s="237">
        <f t="shared" si="837"/>
        <v>0</v>
      </c>
      <c r="BY965" s="236">
        <v>35</v>
      </c>
      <c r="BZ965" s="237">
        <f t="shared" si="838"/>
        <v>48</v>
      </c>
      <c r="CA965" s="253">
        <f t="shared" si="839"/>
        <v>3.0748170731707316</v>
      </c>
      <c r="CB965" s="253" cm="1">
        <f t="array" ref="CB965">$BC965 * SUMPRODUCT(INDEX($AL$77:$AN$82,,$AE965),INDEX($AO$77:$AU$82,,$AD965), N($AK$77:$AK$82&gt;$AI965)) / CA965 / 1000</f>
        <v>0</v>
      </c>
      <c r="CC965" s="250">
        <f t="shared" si="819"/>
        <v>30</v>
      </c>
      <c r="CD965" s="237">
        <f t="shared" si="840"/>
        <v>43</v>
      </c>
      <c r="CE965" s="253">
        <f t="shared" si="841"/>
        <v>3.5018750000000001</v>
      </c>
      <c r="CF965" s="253" cm="1">
        <f t="array" ref="CF965">$BC965 * IF($AD965&lt;=2,
SUMPRODUCT(INDEX($AL$72:$AN$76,,$AE965), INDEX($AO$72:$AU$76,,$AD965), 1 / ($AV$72:$AV$76*CE965 + (1-$AV$72:$AV$76)*CA965), N($AK$72:$AK$76&gt;$AI965)),
SUMPRODUCT(INDEX($AL$67:$AN$76,,$AE965), INDEX($AO$67:$AU$76,,$AD965), 1 / ($AW$67:$AW$76*CE965 + (1-$AW$67:$AW$76)*CA965), N($AK$67:$AK$76&gt;$AI965))
) / 1000</f>
        <v>0</v>
      </c>
      <c r="CG965" s="250">
        <f t="shared" si="820"/>
        <v>25</v>
      </c>
      <c r="CH965" s="237">
        <f t="shared" si="842"/>
        <v>38</v>
      </c>
      <c r="CI965" s="253">
        <f t="shared" si="843"/>
        <v>4.0666935483870965</v>
      </c>
      <c r="CJ965" s="253" cm="1">
        <f t="array" ref="CJ965">$BC965 * IF($AD965&lt;=2,
SUMPRODUCT(INDEX($AL$67:$AN$71,,$AE965), INDEX($AO$67:$AU$71,,$AD965), 1 / ($AV$67:$AV$71*CI965 + (1-$AV$67:$AV$71)*CE965), N($AK$67:$AK$71&gt;$AI965)),
SUMPRODUCT(INDEX($AL$57:$AN$66,,$AE965), INDEX($AO$57:$AU$66,,$AD965), 1 / ($AW$57:$AW$66*CI965 + (1-$AW$57:$AW$66)*CE965), N($AK$57:$AK$66&gt;$AI965))
) / 1000</f>
        <v>0</v>
      </c>
      <c r="CK965" s="250">
        <f t="shared" si="821"/>
        <v>20</v>
      </c>
      <c r="CL965" s="237">
        <f t="shared" si="844"/>
        <v>33</v>
      </c>
      <c r="CM965" s="253">
        <f t="shared" si="845"/>
        <v>4.8487499999999999</v>
      </c>
      <c r="CN965" s="253" cm="1">
        <f t="array" ref="CN965">$BC965 * IF($AD965&lt;=2,
SUMPRODUCT(INDEX($AL$62:$AN$66,,$AE965), INDEX($AO$62:$AU$66,,$AD965), 1 / ($AV$62:$AV$66*CM965 + (1-$AV$62:$AV$66)*CI965), N($AK$62:$AK$66&gt;$AI965)),
SUMPRODUCT(INDEX($AL$47:$AN$56,,$AE965), INDEX($AO$47:$AU$56,,$AD965), 1 / ($AW$47:$AW$56*CM965 + (1-$AW$47:$AW$56)*CI965), N($AK$47:$AK$56&gt;$AI965))
) / 1000</f>
        <v>0</v>
      </c>
      <c r="CO965" s="253" cm="1">
        <f t="array" ref="CO965">$BC965 * IF($AD965&lt;=2,
SUMPRODUCT(INDEX($AL$23:$AN$61,,$AE965), INDEX($AO$23:$AU$61,,$AD965), 1 / ($AV$23:$AV$61*CM965), N($AK$23:$AK$61&gt;$AI965)),
SUMPRODUCT(INDEX($AL$23:$AN$46,,$AE965), INDEX($AO$23:$AU$46,,$AD965), 1 / ($AW$23:$AW$46*CM965), N($AK$23:$AK$46&gt;$AI965))
) / 1000</f>
        <v>0</v>
      </c>
      <c r="CP965" s="237">
        <f t="shared" si="846"/>
        <v>0</v>
      </c>
      <c r="CQ965" s="210"/>
    </row>
    <row r="966" spans="1:95" s="76" customFormat="1" ht="14.25" customHeight="1" x14ac:dyDescent="0.2">
      <c r="A966" s="238" t="b">
        <f t="shared" si="813"/>
        <v>0</v>
      </c>
      <c r="B966" s="239">
        <v>944</v>
      </c>
      <c r="C966" s="258"/>
      <c r="D966" s="258"/>
      <c r="E966" s="240"/>
      <c r="F966" s="241" t="str">
        <f>IF(ISBLANK(E966), "", VLOOKUP(E966, Z!$A$2:$C$4127, 3, FALSE))</f>
        <v/>
      </c>
      <c r="G966" s="242"/>
      <c r="H966" s="242"/>
      <c r="I966" s="243"/>
      <c r="J966" s="244"/>
      <c r="K966" s="259"/>
      <c r="L966" s="260"/>
      <c r="M966" s="247" t="str" cm="1">
        <f t="array" ref="M966">IF($K966&gt;0, INDEX(Clean,1+AG966,$C$1), "")</f>
        <v/>
      </c>
      <c r="N966" s="245"/>
      <c r="O966" s="245"/>
      <c r="P966" s="246"/>
      <c r="Q966" s="248">
        <f t="shared" si="823"/>
        <v>0</v>
      </c>
      <c r="R966" s="247" t="str" cm="1">
        <f t="array" ref="R966">IF($K966&gt;0, INDEX(Clean,1+AH966,$C$1), "")</f>
        <v/>
      </c>
      <c r="S966" s="245"/>
      <c r="T966" s="245"/>
      <c r="U966" s="246"/>
      <c r="V966" s="248">
        <f t="shared" si="824"/>
        <v>0</v>
      </c>
      <c r="W966" s="261"/>
      <c r="X966" s="258"/>
      <c r="Y966" s="240"/>
      <c r="Z966" s="241" t="str">
        <f>IF(ISBLANK(Y966), "", VLOOKUP(Y966, Z!$A$2:$C$4127, 3, FALSE))</f>
        <v/>
      </c>
      <c r="AA966" s="262"/>
      <c r="AB966" s="249">
        <f t="shared" si="822"/>
        <v>0</v>
      </c>
      <c r="AC966" s="210"/>
      <c r="AD966" s="236">
        <f t="shared" si="847"/>
        <v>1</v>
      </c>
      <c r="AE966" s="236">
        <f t="shared" si="848"/>
        <v>1</v>
      </c>
      <c r="AF966" s="236">
        <f t="shared" si="849"/>
        <v>0</v>
      </c>
      <c r="AG966" s="236">
        <v>1</v>
      </c>
      <c r="AH966" s="236">
        <v>0</v>
      </c>
      <c r="AI966" s="236">
        <f t="shared" si="825"/>
        <v>-100</v>
      </c>
      <c r="AJ966" s="210"/>
      <c r="AK966" s="254"/>
      <c r="AL966" s="254"/>
      <c r="AM966" s="255"/>
      <c r="AN966" s="255"/>
      <c r="AO966" s="255"/>
      <c r="AP966" s="255"/>
      <c r="AQ966" s="255"/>
      <c r="AR966" s="255"/>
      <c r="AS966" s="255"/>
      <c r="AT966" s="255"/>
      <c r="AU966" s="255"/>
      <c r="AV966" s="255"/>
      <c r="AW966" s="255"/>
      <c r="AX966" s="210"/>
      <c r="AY966" s="236" cm="1">
        <f t="array" ref="AY966">INDEX(Use, $AD966, 4)</f>
        <v>7</v>
      </c>
      <c r="AZ966" s="236">
        <f t="shared" si="826"/>
        <v>32</v>
      </c>
      <c r="BA966" s="236">
        <f t="shared" si="814"/>
        <v>13</v>
      </c>
      <c r="BB966" s="236">
        <f t="shared" si="815"/>
        <v>0</v>
      </c>
      <c r="BC966" s="252" cm="1">
        <f t="array" ref="BC966">K966/IF($L966&gt;0, INDEX($AO$23:$AU$77, $L966+20, $AD966), 1)</f>
        <v>0</v>
      </c>
      <c r="BD966" s="237">
        <f t="shared" si="827"/>
        <v>0</v>
      </c>
      <c r="BE966" s="236">
        <v>35</v>
      </c>
      <c r="BF966" s="237">
        <f t="shared" si="828"/>
        <v>52.55</v>
      </c>
      <c r="BG966" s="253">
        <f t="shared" si="829"/>
        <v>2.7676728869374316</v>
      </c>
      <c r="BH966" s="253" cm="1">
        <f t="array" ref="BH966">$BC966 * SUMPRODUCT(INDEX($AL$77:$AN$82,,$AE966),INDEX($AO$77:$AU$82,,$AD966), N($AK$77:$AK$82&gt;$AI966)) / BG966 / 1000</f>
        <v>0</v>
      </c>
      <c r="BI966" s="250">
        <f t="shared" si="816"/>
        <v>30</v>
      </c>
      <c r="BJ966" s="237">
        <f t="shared" si="830"/>
        <v>46.033333333333331</v>
      </c>
      <c r="BK966" s="253">
        <f t="shared" si="831"/>
        <v>3.2297395388556791</v>
      </c>
      <c r="BL966" s="253" cm="1">
        <f t="array" ref="BL966">$BC966 * IF($AD966&lt;=2,
SUMPRODUCT(INDEX($AL$72:$AN$76,,$AE966), INDEX($AO$72:$AU$76,,$AD966), 1 / ($AV$72:$AV$76*BK966 + (1-$AV$72:$AV$76)*BG966), N($AK$72:$AK$76&gt;$AI966)),
SUMPRODUCT(INDEX($AL$67:$AN$76,,$AE966), INDEX($AO$67:$AU$76,,$AD966), 1 / ($AW$67:$AW$76*BK966 + (1-$AW$67:$AW$76)*BG966), N($AK$67:$AK$76&gt;$AI966))
) / 1000</f>
        <v>0</v>
      </c>
      <c r="BM966" s="250">
        <f t="shared" si="817"/>
        <v>25</v>
      </c>
      <c r="BN966" s="237">
        <f t="shared" si="832"/>
        <v>39.516666666666666</v>
      </c>
      <c r="BO966" s="253">
        <f t="shared" si="833"/>
        <v>3.877011788826243</v>
      </c>
      <c r="BP966" s="253" cm="1">
        <f t="array" ref="BP966">$BC966 * IF($AD966&lt;=2,
SUMPRODUCT(INDEX($AL$67:$AN$71,,$AE966), INDEX($AO$67:$AU$71,,$AD966), 1 / ($AV$67:$AV$71*BO966 + (1-$AV$67:$AV$71)*BK966), N($AK$67:$AK$71&gt;$AI966)),
SUMPRODUCT(INDEX($AL$57:$AN$66,,$AE966), INDEX($AO$57:$AU$66,,$AD966), 1 / ($AW$57:$AW$66*BO966 + (1-$AW$57:$AW$66)*BK966), N($AK$57:$AK$66&gt;$AI966))
) / 1000</f>
        <v>0</v>
      </c>
      <c r="BQ966" s="250">
        <f t="shared" si="818"/>
        <v>20</v>
      </c>
      <c r="BR966" s="237">
        <f t="shared" si="834"/>
        <v>33</v>
      </c>
      <c r="BS966" s="253">
        <f t="shared" si="835"/>
        <v>4.8487499999999999</v>
      </c>
      <c r="BT966" s="253" cm="1">
        <f t="array" ref="BT966">$BC966 * IF($AD966&lt;=2,
SUMPRODUCT(INDEX($AL$62:$AN$66,,$AE966), INDEX($AO$62:$AU$66,,$AD966), 1 / ($AV$62:$AV$66*BS966 + (1-$AV$62:$AV$66)*BO966), N($AK$62:$AK$66&gt;$AI966)),
SUMPRODUCT(INDEX($AL$47:$AN$56,,$AE966), INDEX($AO$47:$AU$56,,$AD966), 1 / ($AW$47:$AW$56*BS966 + (1-$AW$47:$AW$56)*BO966), N($AK$47:$AK$56&gt;$AI966))
) / 1000</f>
        <v>0</v>
      </c>
      <c r="BU966" s="253" cm="1">
        <f t="array" ref="BU966">$BC966 * IF($AD966&lt;=2,
SUMPRODUCT(INDEX($AL$23:$AN$61,,$AE966), INDEX($AO$23:$AU$61,,$AD966), 1 / ($AV$23:$AV$61*BS966), N($AK$23:$AK$61&gt;$AI966)),
SUMPRODUCT(INDEX($AL$23:$AN$46,,$AE966), INDEX($AO$23:$AU$46,,$AD966), 1 / ($AW$23:$AW$46*BS966), N($AK$23:$AK$46&gt;$AI966))
) / 1000</f>
        <v>0</v>
      </c>
      <c r="BV966" s="237">
        <f t="shared" si="836"/>
        <v>0</v>
      </c>
      <c r="BW966" s="210"/>
      <c r="BX966" s="237">
        <f t="shared" si="837"/>
        <v>0</v>
      </c>
      <c r="BY966" s="236">
        <v>35</v>
      </c>
      <c r="BZ966" s="237">
        <f t="shared" si="838"/>
        <v>48</v>
      </c>
      <c r="CA966" s="253">
        <f t="shared" si="839"/>
        <v>3.0748170731707316</v>
      </c>
      <c r="CB966" s="253" cm="1">
        <f t="array" ref="CB966">$BC966 * SUMPRODUCT(INDEX($AL$77:$AN$82,,$AE966),INDEX($AO$77:$AU$82,,$AD966), N($AK$77:$AK$82&gt;$AI966)) / CA966 / 1000</f>
        <v>0</v>
      </c>
      <c r="CC966" s="250">
        <f t="shared" si="819"/>
        <v>30</v>
      </c>
      <c r="CD966" s="237">
        <f t="shared" si="840"/>
        <v>43</v>
      </c>
      <c r="CE966" s="253">
        <f t="shared" si="841"/>
        <v>3.5018750000000001</v>
      </c>
      <c r="CF966" s="253" cm="1">
        <f t="array" ref="CF966">$BC966 * IF($AD966&lt;=2,
SUMPRODUCT(INDEX($AL$72:$AN$76,,$AE966), INDEX($AO$72:$AU$76,,$AD966), 1 / ($AV$72:$AV$76*CE966 + (1-$AV$72:$AV$76)*CA966), N($AK$72:$AK$76&gt;$AI966)),
SUMPRODUCT(INDEX($AL$67:$AN$76,,$AE966), INDEX($AO$67:$AU$76,,$AD966), 1 / ($AW$67:$AW$76*CE966 + (1-$AW$67:$AW$76)*CA966), N($AK$67:$AK$76&gt;$AI966))
) / 1000</f>
        <v>0</v>
      </c>
      <c r="CG966" s="250">
        <f t="shared" si="820"/>
        <v>25</v>
      </c>
      <c r="CH966" s="237">
        <f t="shared" si="842"/>
        <v>38</v>
      </c>
      <c r="CI966" s="253">
        <f t="shared" si="843"/>
        <v>4.0666935483870965</v>
      </c>
      <c r="CJ966" s="253" cm="1">
        <f t="array" ref="CJ966">$BC966 * IF($AD966&lt;=2,
SUMPRODUCT(INDEX($AL$67:$AN$71,,$AE966), INDEX($AO$67:$AU$71,,$AD966), 1 / ($AV$67:$AV$71*CI966 + (1-$AV$67:$AV$71)*CE966), N($AK$67:$AK$71&gt;$AI966)),
SUMPRODUCT(INDEX($AL$57:$AN$66,,$AE966), INDEX($AO$57:$AU$66,,$AD966), 1 / ($AW$57:$AW$66*CI966 + (1-$AW$57:$AW$66)*CE966), N($AK$57:$AK$66&gt;$AI966))
) / 1000</f>
        <v>0</v>
      </c>
      <c r="CK966" s="250">
        <f t="shared" si="821"/>
        <v>20</v>
      </c>
      <c r="CL966" s="237">
        <f t="shared" si="844"/>
        <v>33</v>
      </c>
      <c r="CM966" s="253">
        <f t="shared" si="845"/>
        <v>4.8487499999999999</v>
      </c>
      <c r="CN966" s="253" cm="1">
        <f t="array" ref="CN966">$BC966 * IF($AD966&lt;=2,
SUMPRODUCT(INDEX($AL$62:$AN$66,,$AE966), INDEX($AO$62:$AU$66,,$AD966), 1 / ($AV$62:$AV$66*CM966 + (1-$AV$62:$AV$66)*CI966), N($AK$62:$AK$66&gt;$AI966)),
SUMPRODUCT(INDEX($AL$47:$AN$56,,$AE966), INDEX($AO$47:$AU$56,,$AD966), 1 / ($AW$47:$AW$56*CM966 + (1-$AW$47:$AW$56)*CI966), N($AK$47:$AK$56&gt;$AI966))
) / 1000</f>
        <v>0</v>
      </c>
      <c r="CO966" s="253" cm="1">
        <f t="array" ref="CO966">$BC966 * IF($AD966&lt;=2,
SUMPRODUCT(INDEX($AL$23:$AN$61,,$AE966), INDEX($AO$23:$AU$61,,$AD966), 1 / ($AV$23:$AV$61*CM966), N($AK$23:$AK$61&gt;$AI966)),
SUMPRODUCT(INDEX($AL$23:$AN$46,,$AE966), INDEX($AO$23:$AU$46,,$AD966), 1 / ($AW$23:$AW$46*CM966), N($AK$23:$AK$46&gt;$AI966))
) / 1000</f>
        <v>0</v>
      </c>
      <c r="CP966" s="237">
        <f t="shared" si="846"/>
        <v>0</v>
      </c>
      <c r="CQ966" s="210"/>
    </row>
    <row r="967" spans="1:95" s="76" customFormat="1" ht="14.25" customHeight="1" x14ac:dyDescent="0.2">
      <c r="A967" s="238" t="b">
        <f t="shared" si="813"/>
        <v>0</v>
      </c>
      <c r="B967" s="239">
        <v>945</v>
      </c>
      <c r="C967" s="258"/>
      <c r="D967" s="258"/>
      <c r="E967" s="240"/>
      <c r="F967" s="241" t="str">
        <f>IF(ISBLANK(E967), "", VLOOKUP(E967, Z!$A$2:$C$4127, 3, FALSE))</f>
        <v/>
      </c>
      <c r="G967" s="242"/>
      <c r="H967" s="242"/>
      <c r="I967" s="243"/>
      <c r="J967" s="244"/>
      <c r="K967" s="259"/>
      <c r="L967" s="260"/>
      <c r="M967" s="247" t="str" cm="1">
        <f t="array" ref="M967">IF($K967&gt;0, INDEX(Clean,1+AG967,$C$1), "")</f>
        <v/>
      </c>
      <c r="N967" s="245"/>
      <c r="O967" s="245"/>
      <c r="P967" s="246"/>
      <c r="Q967" s="248">
        <f t="shared" si="823"/>
        <v>0</v>
      </c>
      <c r="R967" s="247" t="str" cm="1">
        <f t="array" ref="R967">IF($K967&gt;0, INDEX(Clean,1+AH967,$C$1), "")</f>
        <v/>
      </c>
      <c r="S967" s="245"/>
      <c r="T967" s="245"/>
      <c r="U967" s="246"/>
      <c r="V967" s="248">
        <f t="shared" si="824"/>
        <v>0</v>
      </c>
      <c r="W967" s="261"/>
      <c r="X967" s="258"/>
      <c r="Y967" s="240"/>
      <c r="Z967" s="241" t="str">
        <f>IF(ISBLANK(Y967), "", VLOOKUP(Y967, Z!$A$2:$C$4127, 3, FALSE))</f>
        <v/>
      </c>
      <c r="AA967" s="262"/>
      <c r="AB967" s="249">
        <f t="shared" si="822"/>
        <v>0</v>
      </c>
      <c r="AC967" s="210"/>
      <c r="AD967" s="236">
        <f t="shared" si="847"/>
        <v>1</v>
      </c>
      <c r="AE967" s="236">
        <f t="shared" si="848"/>
        <v>1</v>
      </c>
      <c r="AF967" s="236">
        <f t="shared" si="849"/>
        <v>0</v>
      </c>
      <c r="AG967" s="236">
        <v>1</v>
      </c>
      <c r="AH967" s="236">
        <v>0</v>
      </c>
      <c r="AI967" s="236">
        <f t="shared" si="825"/>
        <v>-100</v>
      </c>
      <c r="AJ967" s="210"/>
      <c r="AK967" s="254"/>
      <c r="AL967" s="254"/>
      <c r="AM967" s="255"/>
      <c r="AN967" s="255"/>
      <c r="AO967" s="255"/>
      <c r="AP967" s="255"/>
      <c r="AQ967" s="255"/>
      <c r="AR967" s="255"/>
      <c r="AS967" s="255"/>
      <c r="AT967" s="255"/>
      <c r="AU967" s="255"/>
      <c r="AV967" s="255"/>
      <c r="AW967" s="255"/>
      <c r="AX967" s="210"/>
      <c r="AY967" s="236" cm="1">
        <f t="array" ref="AY967">INDEX(Use, $AD967, 4)</f>
        <v>7</v>
      </c>
      <c r="AZ967" s="236">
        <f t="shared" si="826"/>
        <v>32</v>
      </c>
      <c r="BA967" s="236">
        <f t="shared" si="814"/>
        <v>13</v>
      </c>
      <c r="BB967" s="236">
        <f t="shared" si="815"/>
        <v>0</v>
      </c>
      <c r="BC967" s="252" cm="1">
        <f t="array" ref="BC967">K967/IF($L967&gt;0, INDEX($AO$23:$AU$77, $L967+20, $AD967), 1)</f>
        <v>0</v>
      </c>
      <c r="BD967" s="237">
        <f t="shared" si="827"/>
        <v>0</v>
      </c>
      <c r="BE967" s="236">
        <v>35</v>
      </c>
      <c r="BF967" s="237">
        <f t="shared" si="828"/>
        <v>52.55</v>
      </c>
      <c r="BG967" s="253">
        <f t="shared" si="829"/>
        <v>2.7676728869374316</v>
      </c>
      <c r="BH967" s="253" cm="1">
        <f t="array" ref="BH967">$BC967 * SUMPRODUCT(INDEX($AL$77:$AN$82,,$AE967),INDEX($AO$77:$AU$82,,$AD967), N($AK$77:$AK$82&gt;$AI967)) / BG967 / 1000</f>
        <v>0</v>
      </c>
      <c r="BI967" s="250">
        <f t="shared" si="816"/>
        <v>30</v>
      </c>
      <c r="BJ967" s="237">
        <f t="shared" si="830"/>
        <v>46.033333333333331</v>
      </c>
      <c r="BK967" s="253">
        <f t="shared" si="831"/>
        <v>3.2297395388556791</v>
      </c>
      <c r="BL967" s="253" cm="1">
        <f t="array" ref="BL967">$BC967 * IF($AD967&lt;=2,
SUMPRODUCT(INDEX($AL$72:$AN$76,,$AE967), INDEX($AO$72:$AU$76,,$AD967), 1 / ($AV$72:$AV$76*BK967 + (1-$AV$72:$AV$76)*BG967), N($AK$72:$AK$76&gt;$AI967)),
SUMPRODUCT(INDEX($AL$67:$AN$76,,$AE967), INDEX($AO$67:$AU$76,,$AD967), 1 / ($AW$67:$AW$76*BK967 + (1-$AW$67:$AW$76)*BG967), N($AK$67:$AK$76&gt;$AI967))
) / 1000</f>
        <v>0</v>
      </c>
      <c r="BM967" s="250">
        <f t="shared" si="817"/>
        <v>25</v>
      </c>
      <c r="BN967" s="237">
        <f t="shared" si="832"/>
        <v>39.516666666666666</v>
      </c>
      <c r="BO967" s="253">
        <f t="shared" si="833"/>
        <v>3.877011788826243</v>
      </c>
      <c r="BP967" s="253" cm="1">
        <f t="array" ref="BP967">$BC967 * IF($AD967&lt;=2,
SUMPRODUCT(INDEX($AL$67:$AN$71,,$AE967), INDEX($AO$67:$AU$71,,$AD967), 1 / ($AV$67:$AV$71*BO967 + (1-$AV$67:$AV$71)*BK967), N($AK$67:$AK$71&gt;$AI967)),
SUMPRODUCT(INDEX($AL$57:$AN$66,,$AE967), INDEX($AO$57:$AU$66,,$AD967), 1 / ($AW$57:$AW$66*BO967 + (1-$AW$57:$AW$66)*BK967), N($AK$57:$AK$66&gt;$AI967))
) / 1000</f>
        <v>0</v>
      </c>
      <c r="BQ967" s="250">
        <f t="shared" si="818"/>
        <v>20</v>
      </c>
      <c r="BR967" s="237">
        <f t="shared" si="834"/>
        <v>33</v>
      </c>
      <c r="BS967" s="253">
        <f t="shared" si="835"/>
        <v>4.8487499999999999</v>
      </c>
      <c r="BT967" s="253" cm="1">
        <f t="array" ref="BT967">$BC967 * IF($AD967&lt;=2,
SUMPRODUCT(INDEX($AL$62:$AN$66,,$AE967), INDEX($AO$62:$AU$66,,$AD967), 1 / ($AV$62:$AV$66*BS967 + (1-$AV$62:$AV$66)*BO967), N($AK$62:$AK$66&gt;$AI967)),
SUMPRODUCT(INDEX($AL$47:$AN$56,,$AE967), INDEX($AO$47:$AU$56,,$AD967), 1 / ($AW$47:$AW$56*BS967 + (1-$AW$47:$AW$56)*BO967), N($AK$47:$AK$56&gt;$AI967))
) / 1000</f>
        <v>0</v>
      </c>
      <c r="BU967" s="253" cm="1">
        <f t="array" ref="BU967">$BC967 * IF($AD967&lt;=2,
SUMPRODUCT(INDEX($AL$23:$AN$61,,$AE967), INDEX($AO$23:$AU$61,,$AD967), 1 / ($AV$23:$AV$61*BS967), N($AK$23:$AK$61&gt;$AI967)),
SUMPRODUCT(INDEX($AL$23:$AN$46,,$AE967), INDEX($AO$23:$AU$46,,$AD967), 1 / ($AW$23:$AW$46*BS967), N($AK$23:$AK$46&gt;$AI967))
) / 1000</f>
        <v>0</v>
      </c>
      <c r="BV967" s="237">
        <f t="shared" si="836"/>
        <v>0</v>
      </c>
      <c r="BW967" s="210"/>
      <c r="BX967" s="237">
        <f t="shared" si="837"/>
        <v>0</v>
      </c>
      <c r="BY967" s="236">
        <v>35</v>
      </c>
      <c r="BZ967" s="237">
        <f t="shared" si="838"/>
        <v>48</v>
      </c>
      <c r="CA967" s="253">
        <f t="shared" si="839"/>
        <v>3.0748170731707316</v>
      </c>
      <c r="CB967" s="253" cm="1">
        <f t="array" ref="CB967">$BC967 * SUMPRODUCT(INDEX($AL$77:$AN$82,,$AE967),INDEX($AO$77:$AU$82,,$AD967), N($AK$77:$AK$82&gt;$AI967)) / CA967 / 1000</f>
        <v>0</v>
      </c>
      <c r="CC967" s="250">
        <f t="shared" si="819"/>
        <v>30</v>
      </c>
      <c r="CD967" s="237">
        <f t="shared" si="840"/>
        <v>43</v>
      </c>
      <c r="CE967" s="253">
        <f t="shared" si="841"/>
        <v>3.5018750000000001</v>
      </c>
      <c r="CF967" s="253" cm="1">
        <f t="array" ref="CF967">$BC967 * IF($AD967&lt;=2,
SUMPRODUCT(INDEX($AL$72:$AN$76,,$AE967), INDEX($AO$72:$AU$76,,$AD967), 1 / ($AV$72:$AV$76*CE967 + (1-$AV$72:$AV$76)*CA967), N($AK$72:$AK$76&gt;$AI967)),
SUMPRODUCT(INDEX($AL$67:$AN$76,,$AE967), INDEX($AO$67:$AU$76,,$AD967), 1 / ($AW$67:$AW$76*CE967 + (1-$AW$67:$AW$76)*CA967), N($AK$67:$AK$76&gt;$AI967))
) / 1000</f>
        <v>0</v>
      </c>
      <c r="CG967" s="250">
        <f t="shared" si="820"/>
        <v>25</v>
      </c>
      <c r="CH967" s="237">
        <f t="shared" si="842"/>
        <v>38</v>
      </c>
      <c r="CI967" s="253">
        <f t="shared" si="843"/>
        <v>4.0666935483870965</v>
      </c>
      <c r="CJ967" s="253" cm="1">
        <f t="array" ref="CJ967">$BC967 * IF($AD967&lt;=2,
SUMPRODUCT(INDEX($AL$67:$AN$71,,$AE967), INDEX($AO$67:$AU$71,,$AD967), 1 / ($AV$67:$AV$71*CI967 + (1-$AV$67:$AV$71)*CE967), N($AK$67:$AK$71&gt;$AI967)),
SUMPRODUCT(INDEX($AL$57:$AN$66,,$AE967), INDEX($AO$57:$AU$66,,$AD967), 1 / ($AW$57:$AW$66*CI967 + (1-$AW$57:$AW$66)*CE967), N($AK$57:$AK$66&gt;$AI967))
) / 1000</f>
        <v>0</v>
      </c>
      <c r="CK967" s="250">
        <f t="shared" si="821"/>
        <v>20</v>
      </c>
      <c r="CL967" s="237">
        <f t="shared" si="844"/>
        <v>33</v>
      </c>
      <c r="CM967" s="253">
        <f t="shared" si="845"/>
        <v>4.8487499999999999</v>
      </c>
      <c r="CN967" s="253" cm="1">
        <f t="array" ref="CN967">$BC967 * IF($AD967&lt;=2,
SUMPRODUCT(INDEX($AL$62:$AN$66,,$AE967), INDEX($AO$62:$AU$66,,$AD967), 1 / ($AV$62:$AV$66*CM967 + (1-$AV$62:$AV$66)*CI967), N($AK$62:$AK$66&gt;$AI967)),
SUMPRODUCT(INDEX($AL$47:$AN$56,,$AE967), INDEX($AO$47:$AU$56,,$AD967), 1 / ($AW$47:$AW$56*CM967 + (1-$AW$47:$AW$56)*CI967), N($AK$47:$AK$56&gt;$AI967))
) / 1000</f>
        <v>0</v>
      </c>
      <c r="CO967" s="253" cm="1">
        <f t="array" ref="CO967">$BC967 * IF($AD967&lt;=2,
SUMPRODUCT(INDEX($AL$23:$AN$61,,$AE967), INDEX($AO$23:$AU$61,,$AD967), 1 / ($AV$23:$AV$61*CM967), N($AK$23:$AK$61&gt;$AI967)),
SUMPRODUCT(INDEX($AL$23:$AN$46,,$AE967), INDEX($AO$23:$AU$46,,$AD967), 1 / ($AW$23:$AW$46*CM967), N($AK$23:$AK$46&gt;$AI967))
) / 1000</f>
        <v>0</v>
      </c>
      <c r="CP967" s="237">
        <f t="shared" si="846"/>
        <v>0</v>
      </c>
      <c r="CQ967" s="210"/>
    </row>
    <row r="968" spans="1:95" s="76" customFormat="1" ht="14.25" customHeight="1" x14ac:dyDescent="0.2">
      <c r="A968" s="238" t="b">
        <f t="shared" si="813"/>
        <v>0</v>
      </c>
      <c r="B968" s="239">
        <v>946</v>
      </c>
      <c r="C968" s="258"/>
      <c r="D968" s="258"/>
      <c r="E968" s="240"/>
      <c r="F968" s="241" t="str">
        <f>IF(ISBLANK(E968), "", VLOOKUP(E968, Z!$A$2:$C$4127, 3, FALSE))</f>
        <v/>
      </c>
      <c r="G968" s="242"/>
      <c r="H968" s="242"/>
      <c r="I968" s="243"/>
      <c r="J968" s="244"/>
      <c r="K968" s="259"/>
      <c r="L968" s="260"/>
      <c r="M968" s="247" t="str" cm="1">
        <f t="array" ref="M968">IF($K968&gt;0, INDEX(Clean,1+AG968,$C$1), "")</f>
        <v/>
      </c>
      <c r="N968" s="245"/>
      <c r="O968" s="245"/>
      <c r="P968" s="246"/>
      <c r="Q968" s="248">
        <f t="shared" si="823"/>
        <v>0</v>
      </c>
      <c r="R968" s="247" t="str" cm="1">
        <f t="array" ref="R968">IF($K968&gt;0, INDEX(Clean,1+AH968,$C$1), "")</f>
        <v/>
      </c>
      <c r="S968" s="245"/>
      <c r="T968" s="245"/>
      <c r="U968" s="246"/>
      <c r="V968" s="248">
        <f t="shared" si="824"/>
        <v>0</v>
      </c>
      <c r="W968" s="261"/>
      <c r="X968" s="258"/>
      <c r="Y968" s="240"/>
      <c r="Z968" s="241" t="str">
        <f>IF(ISBLANK(Y968), "", VLOOKUP(Y968, Z!$A$2:$C$4127, 3, FALSE))</f>
        <v/>
      </c>
      <c r="AA968" s="262"/>
      <c r="AB968" s="249">
        <f t="shared" si="822"/>
        <v>0</v>
      </c>
      <c r="AC968" s="210"/>
      <c r="AD968" s="236">
        <f t="shared" si="847"/>
        <v>1</v>
      </c>
      <c r="AE968" s="236">
        <f t="shared" si="848"/>
        <v>1</v>
      </c>
      <c r="AF968" s="236">
        <f t="shared" si="849"/>
        <v>0</v>
      </c>
      <c r="AG968" s="236">
        <v>1</v>
      </c>
      <c r="AH968" s="236">
        <v>0</v>
      </c>
      <c r="AI968" s="236">
        <f t="shared" si="825"/>
        <v>-100</v>
      </c>
      <c r="AJ968" s="210"/>
      <c r="AK968" s="254"/>
      <c r="AL968" s="254"/>
      <c r="AM968" s="255"/>
      <c r="AN968" s="255"/>
      <c r="AO968" s="255"/>
      <c r="AP968" s="255"/>
      <c r="AQ968" s="255"/>
      <c r="AR968" s="255"/>
      <c r="AS968" s="255"/>
      <c r="AT968" s="255"/>
      <c r="AU968" s="255"/>
      <c r="AV968" s="255"/>
      <c r="AW968" s="255"/>
      <c r="AX968" s="210"/>
      <c r="AY968" s="236" cm="1">
        <f t="array" ref="AY968">INDEX(Use, $AD968, 4)</f>
        <v>7</v>
      </c>
      <c r="AZ968" s="236">
        <f t="shared" si="826"/>
        <v>32</v>
      </c>
      <c r="BA968" s="236">
        <f t="shared" si="814"/>
        <v>13</v>
      </c>
      <c r="BB968" s="236">
        <f t="shared" si="815"/>
        <v>0</v>
      </c>
      <c r="BC968" s="252" cm="1">
        <f t="array" ref="BC968">K968/IF($L968&gt;0, INDEX($AO$23:$AU$77, $L968+20, $AD968), 1)</f>
        <v>0</v>
      </c>
      <c r="BD968" s="237">
        <f t="shared" si="827"/>
        <v>0</v>
      </c>
      <c r="BE968" s="236">
        <v>35</v>
      </c>
      <c r="BF968" s="237">
        <f t="shared" si="828"/>
        <v>52.55</v>
      </c>
      <c r="BG968" s="253">
        <f t="shared" si="829"/>
        <v>2.7676728869374316</v>
      </c>
      <c r="BH968" s="253" cm="1">
        <f t="array" ref="BH968">$BC968 * SUMPRODUCT(INDEX($AL$77:$AN$82,,$AE968),INDEX($AO$77:$AU$82,,$AD968), N($AK$77:$AK$82&gt;$AI968)) / BG968 / 1000</f>
        <v>0</v>
      </c>
      <c r="BI968" s="250">
        <f t="shared" si="816"/>
        <v>30</v>
      </c>
      <c r="BJ968" s="237">
        <f t="shared" si="830"/>
        <v>46.033333333333331</v>
      </c>
      <c r="BK968" s="253">
        <f t="shared" si="831"/>
        <v>3.2297395388556791</v>
      </c>
      <c r="BL968" s="253" cm="1">
        <f t="array" ref="BL968">$BC968 * IF($AD968&lt;=2,
SUMPRODUCT(INDEX($AL$72:$AN$76,,$AE968), INDEX($AO$72:$AU$76,,$AD968), 1 / ($AV$72:$AV$76*BK968 + (1-$AV$72:$AV$76)*BG968), N($AK$72:$AK$76&gt;$AI968)),
SUMPRODUCT(INDEX($AL$67:$AN$76,,$AE968), INDEX($AO$67:$AU$76,,$AD968), 1 / ($AW$67:$AW$76*BK968 + (1-$AW$67:$AW$76)*BG968), N($AK$67:$AK$76&gt;$AI968))
) / 1000</f>
        <v>0</v>
      </c>
      <c r="BM968" s="250">
        <f t="shared" si="817"/>
        <v>25</v>
      </c>
      <c r="BN968" s="237">
        <f t="shared" si="832"/>
        <v>39.516666666666666</v>
      </c>
      <c r="BO968" s="253">
        <f t="shared" si="833"/>
        <v>3.877011788826243</v>
      </c>
      <c r="BP968" s="253" cm="1">
        <f t="array" ref="BP968">$BC968 * IF($AD968&lt;=2,
SUMPRODUCT(INDEX($AL$67:$AN$71,,$AE968), INDEX($AO$67:$AU$71,,$AD968), 1 / ($AV$67:$AV$71*BO968 + (1-$AV$67:$AV$71)*BK968), N($AK$67:$AK$71&gt;$AI968)),
SUMPRODUCT(INDEX($AL$57:$AN$66,,$AE968), INDEX($AO$57:$AU$66,,$AD968), 1 / ($AW$57:$AW$66*BO968 + (1-$AW$57:$AW$66)*BK968), N($AK$57:$AK$66&gt;$AI968))
) / 1000</f>
        <v>0</v>
      </c>
      <c r="BQ968" s="250">
        <f t="shared" si="818"/>
        <v>20</v>
      </c>
      <c r="BR968" s="237">
        <f t="shared" si="834"/>
        <v>33</v>
      </c>
      <c r="BS968" s="253">
        <f t="shared" si="835"/>
        <v>4.8487499999999999</v>
      </c>
      <c r="BT968" s="253" cm="1">
        <f t="array" ref="BT968">$BC968 * IF($AD968&lt;=2,
SUMPRODUCT(INDEX($AL$62:$AN$66,,$AE968), INDEX($AO$62:$AU$66,,$AD968), 1 / ($AV$62:$AV$66*BS968 + (1-$AV$62:$AV$66)*BO968), N($AK$62:$AK$66&gt;$AI968)),
SUMPRODUCT(INDEX($AL$47:$AN$56,,$AE968), INDEX($AO$47:$AU$56,,$AD968), 1 / ($AW$47:$AW$56*BS968 + (1-$AW$47:$AW$56)*BO968), N($AK$47:$AK$56&gt;$AI968))
) / 1000</f>
        <v>0</v>
      </c>
      <c r="BU968" s="253" cm="1">
        <f t="array" ref="BU968">$BC968 * IF($AD968&lt;=2,
SUMPRODUCT(INDEX($AL$23:$AN$61,,$AE968), INDEX($AO$23:$AU$61,,$AD968), 1 / ($AV$23:$AV$61*BS968), N($AK$23:$AK$61&gt;$AI968)),
SUMPRODUCT(INDEX($AL$23:$AN$46,,$AE968), INDEX($AO$23:$AU$46,,$AD968), 1 / ($AW$23:$AW$46*BS968), N($AK$23:$AK$46&gt;$AI968))
) / 1000</f>
        <v>0</v>
      </c>
      <c r="BV968" s="237">
        <f t="shared" si="836"/>
        <v>0</v>
      </c>
      <c r="BW968" s="210"/>
      <c r="BX968" s="237">
        <f t="shared" si="837"/>
        <v>0</v>
      </c>
      <c r="BY968" s="236">
        <v>35</v>
      </c>
      <c r="BZ968" s="237">
        <f t="shared" si="838"/>
        <v>48</v>
      </c>
      <c r="CA968" s="253">
        <f t="shared" si="839"/>
        <v>3.0748170731707316</v>
      </c>
      <c r="CB968" s="253" cm="1">
        <f t="array" ref="CB968">$BC968 * SUMPRODUCT(INDEX($AL$77:$AN$82,,$AE968),INDEX($AO$77:$AU$82,,$AD968), N($AK$77:$AK$82&gt;$AI968)) / CA968 / 1000</f>
        <v>0</v>
      </c>
      <c r="CC968" s="250">
        <f t="shared" si="819"/>
        <v>30</v>
      </c>
      <c r="CD968" s="237">
        <f t="shared" si="840"/>
        <v>43</v>
      </c>
      <c r="CE968" s="253">
        <f t="shared" si="841"/>
        <v>3.5018750000000001</v>
      </c>
      <c r="CF968" s="253" cm="1">
        <f t="array" ref="CF968">$BC968 * IF($AD968&lt;=2,
SUMPRODUCT(INDEX($AL$72:$AN$76,,$AE968), INDEX($AO$72:$AU$76,,$AD968), 1 / ($AV$72:$AV$76*CE968 + (1-$AV$72:$AV$76)*CA968), N($AK$72:$AK$76&gt;$AI968)),
SUMPRODUCT(INDEX($AL$67:$AN$76,,$AE968), INDEX($AO$67:$AU$76,,$AD968), 1 / ($AW$67:$AW$76*CE968 + (1-$AW$67:$AW$76)*CA968), N($AK$67:$AK$76&gt;$AI968))
) / 1000</f>
        <v>0</v>
      </c>
      <c r="CG968" s="250">
        <f t="shared" si="820"/>
        <v>25</v>
      </c>
      <c r="CH968" s="237">
        <f t="shared" si="842"/>
        <v>38</v>
      </c>
      <c r="CI968" s="253">
        <f t="shared" si="843"/>
        <v>4.0666935483870965</v>
      </c>
      <c r="CJ968" s="253" cm="1">
        <f t="array" ref="CJ968">$BC968 * IF($AD968&lt;=2,
SUMPRODUCT(INDEX($AL$67:$AN$71,,$AE968), INDEX($AO$67:$AU$71,,$AD968), 1 / ($AV$67:$AV$71*CI968 + (1-$AV$67:$AV$71)*CE968), N($AK$67:$AK$71&gt;$AI968)),
SUMPRODUCT(INDEX($AL$57:$AN$66,,$AE968), INDEX($AO$57:$AU$66,,$AD968), 1 / ($AW$57:$AW$66*CI968 + (1-$AW$57:$AW$66)*CE968), N($AK$57:$AK$66&gt;$AI968))
) / 1000</f>
        <v>0</v>
      </c>
      <c r="CK968" s="250">
        <f t="shared" si="821"/>
        <v>20</v>
      </c>
      <c r="CL968" s="237">
        <f t="shared" si="844"/>
        <v>33</v>
      </c>
      <c r="CM968" s="253">
        <f t="shared" si="845"/>
        <v>4.8487499999999999</v>
      </c>
      <c r="CN968" s="253" cm="1">
        <f t="array" ref="CN968">$BC968 * IF($AD968&lt;=2,
SUMPRODUCT(INDEX($AL$62:$AN$66,,$AE968), INDEX($AO$62:$AU$66,,$AD968), 1 / ($AV$62:$AV$66*CM968 + (1-$AV$62:$AV$66)*CI968), N($AK$62:$AK$66&gt;$AI968)),
SUMPRODUCT(INDEX($AL$47:$AN$56,,$AE968), INDEX($AO$47:$AU$56,,$AD968), 1 / ($AW$47:$AW$56*CM968 + (1-$AW$47:$AW$56)*CI968), N($AK$47:$AK$56&gt;$AI968))
) / 1000</f>
        <v>0</v>
      </c>
      <c r="CO968" s="253" cm="1">
        <f t="array" ref="CO968">$BC968 * IF($AD968&lt;=2,
SUMPRODUCT(INDEX($AL$23:$AN$61,,$AE968), INDEX($AO$23:$AU$61,,$AD968), 1 / ($AV$23:$AV$61*CM968), N($AK$23:$AK$61&gt;$AI968)),
SUMPRODUCT(INDEX($AL$23:$AN$46,,$AE968), INDEX($AO$23:$AU$46,,$AD968), 1 / ($AW$23:$AW$46*CM968), N($AK$23:$AK$46&gt;$AI968))
) / 1000</f>
        <v>0</v>
      </c>
      <c r="CP968" s="237">
        <f t="shared" si="846"/>
        <v>0</v>
      </c>
      <c r="CQ968" s="210"/>
    </row>
    <row r="969" spans="1:95" s="76" customFormat="1" ht="14.25" customHeight="1" x14ac:dyDescent="0.2">
      <c r="A969" s="238" t="b">
        <f t="shared" si="813"/>
        <v>0</v>
      </c>
      <c r="B969" s="239">
        <v>947</v>
      </c>
      <c r="C969" s="258"/>
      <c r="D969" s="258"/>
      <c r="E969" s="240"/>
      <c r="F969" s="241" t="str">
        <f>IF(ISBLANK(E969), "", VLOOKUP(E969, Z!$A$2:$C$4127, 3, FALSE))</f>
        <v/>
      </c>
      <c r="G969" s="242"/>
      <c r="H969" s="242"/>
      <c r="I969" s="243"/>
      <c r="J969" s="244"/>
      <c r="K969" s="259"/>
      <c r="L969" s="260"/>
      <c r="M969" s="247" t="str" cm="1">
        <f t="array" ref="M969">IF($K969&gt;0, INDEX(Clean,1+AG969,$C$1), "")</f>
        <v/>
      </c>
      <c r="N969" s="245"/>
      <c r="O969" s="245"/>
      <c r="P969" s="246"/>
      <c r="Q969" s="248">
        <f t="shared" si="823"/>
        <v>0</v>
      </c>
      <c r="R969" s="247" t="str" cm="1">
        <f t="array" ref="R969">IF($K969&gt;0, INDEX(Clean,1+AH969,$C$1), "")</f>
        <v/>
      </c>
      <c r="S969" s="245"/>
      <c r="T969" s="245"/>
      <c r="U969" s="246"/>
      <c r="V969" s="248">
        <f t="shared" si="824"/>
        <v>0</v>
      </c>
      <c r="W969" s="261"/>
      <c r="X969" s="258"/>
      <c r="Y969" s="240"/>
      <c r="Z969" s="241" t="str">
        <f>IF(ISBLANK(Y969), "", VLOOKUP(Y969, Z!$A$2:$C$4127, 3, FALSE))</f>
        <v/>
      </c>
      <c r="AA969" s="262"/>
      <c r="AB969" s="249">
        <f t="shared" si="822"/>
        <v>0</v>
      </c>
      <c r="AC969" s="210"/>
      <c r="AD969" s="236">
        <f t="shared" si="847"/>
        <v>1</v>
      </c>
      <c r="AE969" s="236">
        <f t="shared" si="848"/>
        <v>1</v>
      </c>
      <c r="AF969" s="236">
        <f t="shared" si="849"/>
        <v>0</v>
      </c>
      <c r="AG969" s="236">
        <v>1</v>
      </c>
      <c r="AH969" s="236">
        <v>0</v>
      </c>
      <c r="AI969" s="236">
        <f t="shared" si="825"/>
        <v>-100</v>
      </c>
      <c r="AJ969" s="210"/>
      <c r="AK969" s="254"/>
      <c r="AL969" s="254"/>
      <c r="AM969" s="255"/>
      <c r="AN969" s="255"/>
      <c r="AO969" s="255"/>
      <c r="AP969" s="255"/>
      <c r="AQ969" s="255"/>
      <c r="AR969" s="255"/>
      <c r="AS969" s="255"/>
      <c r="AT969" s="255"/>
      <c r="AU969" s="255"/>
      <c r="AV969" s="255"/>
      <c r="AW969" s="255"/>
      <c r="AX969" s="210"/>
      <c r="AY969" s="236" cm="1">
        <f t="array" ref="AY969">INDEX(Use, $AD969, 4)</f>
        <v>7</v>
      </c>
      <c r="AZ969" s="236">
        <f t="shared" si="826"/>
        <v>32</v>
      </c>
      <c r="BA969" s="236">
        <f t="shared" si="814"/>
        <v>13</v>
      </c>
      <c r="BB969" s="236">
        <f t="shared" si="815"/>
        <v>0</v>
      </c>
      <c r="BC969" s="252" cm="1">
        <f t="array" ref="BC969">K969/IF($L969&gt;0, INDEX($AO$23:$AU$77, $L969+20, $AD969), 1)</f>
        <v>0</v>
      </c>
      <c r="BD969" s="237">
        <f t="shared" si="827"/>
        <v>0</v>
      </c>
      <c r="BE969" s="236">
        <v>35</v>
      </c>
      <c r="BF969" s="237">
        <f t="shared" si="828"/>
        <v>52.55</v>
      </c>
      <c r="BG969" s="253">
        <f t="shared" si="829"/>
        <v>2.7676728869374316</v>
      </c>
      <c r="BH969" s="253" cm="1">
        <f t="array" ref="BH969">$BC969 * SUMPRODUCT(INDEX($AL$77:$AN$82,,$AE969),INDEX($AO$77:$AU$82,,$AD969), N($AK$77:$AK$82&gt;$AI969)) / BG969 / 1000</f>
        <v>0</v>
      </c>
      <c r="BI969" s="250">
        <f t="shared" si="816"/>
        <v>30</v>
      </c>
      <c r="BJ969" s="237">
        <f t="shared" si="830"/>
        <v>46.033333333333331</v>
      </c>
      <c r="BK969" s="253">
        <f t="shared" si="831"/>
        <v>3.2297395388556791</v>
      </c>
      <c r="BL969" s="253" cm="1">
        <f t="array" ref="BL969">$BC969 * IF($AD969&lt;=2,
SUMPRODUCT(INDEX($AL$72:$AN$76,,$AE969), INDEX($AO$72:$AU$76,,$AD969), 1 / ($AV$72:$AV$76*BK969 + (1-$AV$72:$AV$76)*BG969), N($AK$72:$AK$76&gt;$AI969)),
SUMPRODUCT(INDEX($AL$67:$AN$76,,$AE969), INDEX($AO$67:$AU$76,,$AD969), 1 / ($AW$67:$AW$76*BK969 + (1-$AW$67:$AW$76)*BG969), N($AK$67:$AK$76&gt;$AI969))
) / 1000</f>
        <v>0</v>
      </c>
      <c r="BM969" s="250">
        <f t="shared" si="817"/>
        <v>25</v>
      </c>
      <c r="BN969" s="237">
        <f t="shared" si="832"/>
        <v>39.516666666666666</v>
      </c>
      <c r="BO969" s="253">
        <f t="shared" si="833"/>
        <v>3.877011788826243</v>
      </c>
      <c r="BP969" s="253" cm="1">
        <f t="array" ref="BP969">$BC969 * IF($AD969&lt;=2,
SUMPRODUCT(INDEX($AL$67:$AN$71,,$AE969), INDEX($AO$67:$AU$71,,$AD969), 1 / ($AV$67:$AV$71*BO969 + (1-$AV$67:$AV$71)*BK969), N($AK$67:$AK$71&gt;$AI969)),
SUMPRODUCT(INDEX($AL$57:$AN$66,,$AE969), INDEX($AO$57:$AU$66,,$AD969), 1 / ($AW$57:$AW$66*BO969 + (1-$AW$57:$AW$66)*BK969), N($AK$57:$AK$66&gt;$AI969))
) / 1000</f>
        <v>0</v>
      </c>
      <c r="BQ969" s="250">
        <f t="shared" si="818"/>
        <v>20</v>
      </c>
      <c r="BR969" s="237">
        <f t="shared" si="834"/>
        <v>33</v>
      </c>
      <c r="BS969" s="253">
        <f t="shared" si="835"/>
        <v>4.8487499999999999</v>
      </c>
      <c r="BT969" s="253" cm="1">
        <f t="array" ref="BT969">$BC969 * IF($AD969&lt;=2,
SUMPRODUCT(INDEX($AL$62:$AN$66,,$AE969), INDEX($AO$62:$AU$66,,$AD969), 1 / ($AV$62:$AV$66*BS969 + (1-$AV$62:$AV$66)*BO969), N($AK$62:$AK$66&gt;$AI969)),
SUMPRODUCT(INDEX($AL$47:$AN$56,,$AE969), INDEX($AO$47:$AU$56,,$AD969), 1 / ($AW$47:$AW$56*BS969 + (1-$AW$47:$AW$56)*BO969), N($AK$47:$AK$56&gt;$AI969))
) / 1000</f>
        <v>0</v>
      </c>
      <c r="BU969" s="253" cm="1">
        <f t="array" ref="BU969">$BC969 * IF($AD969&lt;=2,
SUMPRODUCT(INDEX($AL$23:$AN$61,,$AE969), INDEX($AO$23:$AU$61,,$AD969), 1 / ($AV$23:$AV$61*BS969), N($AK$23:$AK$61&gt;$AI969)),
SUMPRODUCT(INDEX($AL$23:$AN$46,,$AE969), INDEX($AO$23:$AU$46,,$AD969), 1 / ($AW$23:$AW$46*BS969), N($AK$23:$AK$46&gt;$AI969))
) / 1000</f>
        <v>0</v>
      </c>
      <c r="BV969" s="237">
        <f t="shared" si="836"/>
        <v>0</v>
      </c>
      <c r="BW969" s="210"/>
      <c r="BX969" s="237">
        <f t="shared" si="837"/>
        <v>0</v>
      </c>
      <c r="BY969" s="236">
        <v>35</v>
      </c>
      <c r="BZ969" s="237">
        <f t="shared" si="838"/>
        <v>48</v>
      </c>
      <c r="CA969" s="253">
        <f t="shared" si="839"/>
        <v>3.0748170731707316</v>
      </c>
      <c r="CB969" s="253" cm="1">
        <f t="array" ref="CB969">$BC969 * SUMPRODUCT(INDEX($AL$77:$AN$82,,$AE969),INDEX($AO$77:$AU$82,,$AD969), N($AK$77:$AK$82&gt;$AI969)) / CA969 / 1000</f>
        <v>0</v>
      </c>
      <c r="CC969" s="250">
        <f t="shared" si="819"/>
        <v>30</v>
      </c>
      <c r="CD969" s="237">
        <f t="shared" si="840"/>
        <v>43</v>
      </c>
      <c r="CE969" s="253">
        <f t="shared" si="841"/>
        <v>3.5018750000000001</v>
      </c>
      <c r="CF969" s="253" cm="1">
        <f t="array" ref="CF969">$BC969 * IF($AD969&lt;=2,
SUMPRODUCT(INDEX($AL$72:$AN$76,,$AE969), INDEX($AO$72:$AU$76,,$AD969), 1 / ($AV$72:$AV$76*CE969 + (1-$AV$72:$AV$76)*CA969), N($AK$72:$AK$76&gt;$AI969)),
SUMPRODUCT(INDEX($AL$67:$AN$76,,$AE969), INDEX($AO$67:$AU$76,,$AD969), 1 / ($AW$67:$AW$76*CE969 + (1-$AW$67:$AW$76)*CA969), N($AK$67:$AK$76&gt;$AI969))
) / 1000</f>
        <v>0</v>
      </c>
      <c r="CG969" s="250">
        <f t="shared" si="820"/>
        <v>25</v>
      </c>
      <c r="CH969" s="237">
        <f t="shared" si="842"/>
        <v>38</v>
      </c>
      <c r="CI969" s="253">
        <f t="shared" si="843"/>
        <v>4.0666935483870965</v>
      </c>
      <c r="CJ969" s="253" cm="1">
        <f t="array" ref="CJ969">$BC969 * IF($AD969&lt;=2,
SUMPRODUCT(INDEX($AL$67:$AN$71,,$AE969), INDEX($AO$67:$AU$71,,$AD969), 1 / ($AV$67:$AV$71*CI969 + (1-$AV$67:$AV$71)*CE969), N($AK$67:$AK$71&gt;$AI969)),
SUMPRODUCT(INDEX($AL$57:$AN$66,,$AE969), INDEX($AO$57:$AU$66,,$AD969), 1 / ($AW$57:$AW$66*CI969 + (1-$AW$57:$AW$66)*CE969), N($AK$57:$AK$66&gt;$AI969))
) / 1000</f>
        <v>0</v>
      </c>
      <c r="CK969" s="250">
        <f t="shared" si="821"/>
        <v>20</v>
      </c>
      <c r="CL969" s="237">
        <f t="shared" si="844"/>
        <v>33</v>
      </c>
      <c r="CM969" s="253">
        <f t="shared" si="845"/>
        <v>4.8487499999999999</v>
      </c>
      <c r="CN969" s="253" cm="1">
        <f t="array" ref="CN969">$BC969 * IF($AD969&lt;=2,
SUMPRODUCT(INDEX($AL$62:$AN$66,,$AE969), INDEX($AO$62:$AU$66,,$AD969), 1 / ($AV$62:$AV$66*CM969 + (1-$AV$62:$AV$66)*CI969), N($AK$62:$AK$66&gt;$AI969)),
SUMPRODUCT(INDEX($AL$47:$AN$56,,$AE969), INDEX($AO$47:$AU$56,,$AD969), 1 / ($AW$47:$AW$56*CM969 + (1-$AW$47:$AW$56)*CI969), N($AK$47:$AK$56&gt;$AI969))
) / 1000</f>
        <v>0</v>
      </c>
      <c r="CO969" s="253" cm="1">
        <f t="array" ref="CO969">$BC969 * IF($AD969&lt;=2,
SUMPRODUCT(INDEX($AL$23:$AN$61,,$AE969), INDEX($AO$23:$AU$61,,$AD969), 1 / ($AV$23:$AV$61*CM969), N($AK$23:$AK$61&gt;$AI969)),
SUMPRODUCT(INDEX($AL$23:$AN$46,,$AE969), INDEX($AO$23:$AU$46,,$AD969), 1 / ($AW$23:$AW$46*CM969), N($AK$23:$AK$46&gt;$AI969))
) / 1000</f>
        <v>0</v>
      </c>
      <c r="CP969" s="237">
        <f t="shared" si="846"/>
        <v>0</v>
      </c>
      <c r="CQ969" s="210"/>
    </row>
    <row r="970" spans="1:95" s="76" customFormat="1" ht="14.25" customHeight="1" x14ac:dyDescent="0.2">
      <c r="A970" s="238" t="b">
        <f t="shared" si="813"/>
        <v>0</v>
      </c>
      <c r="B970" s="239">
        <v>948</v>
      </c>
      <c r="C970" s="258"/>
      <c r="D970" s="258"/>
      <c r="E970" s="240"/>
      <c r="F970" s="241" t="str">
        <f>IF(ISBLANK(E970), "", VLOOKUP(E970, Z!$A$2:$C$4127, 3, FALSE))</f>
        <v/>
      </c>
      <c r="G970" s="242"/>
      <c r="H970" s="242"/>
      <c r="I970" s="243"/>
      <c r="J970" s="244"/>
      <c r="K970" s="259"/>
      <c r="L970" s="260"/>
      <c r="M970" s="247" t="str" cm="1">
        <f t="array" ref="M970">IF($K970&gt;0, INDEX(Clean,1+AG970,$C$1), "")</f>
        <v/>
      </c>
      <c r="N970" s="245"/>
      <c r="O970" s="245"/>
      <c r="P970" s="246"/>
      <c r="Q970" s="248">
        <f t="shared" si="823"/>
        <v>0</v>
      </c>
      <c r="R970" s="247" t="str" cm="1">
        <f t="array" ref="R970">IF($K970&gt;0, INDEX(Clean,1+AH970,$C$1), "")</f>
        <v/>
      </c>
      <c r="S970" s="245"/>
      <c r="T970" s="245"/>
      <c r="U970" s="246"/>
      <c r="V970" s="248">
        <f t="shared" si="824"/>
        <v>0</v>
      </c>
      <c r="W970" s="261"/>
      <c r="X970" s="258"/>
      <c r="Y970" s="240"/>
      <c r="Z970" s="241" t="str">
        <f>IF(ISBLANK(Y970), "", VLOOKUP(Y970, Z!$A$2:$C$4127, 3, FALSE))</f>
        <v/>
      </c>
      <c r="AA970" s="262"/>
      <c r="AB970" s="249">
        <f t="shared" si="822"/>
        <v>0</v>
      </c>
      <c r="AC970" s="210"/>
      <c r="AD970" s="236">
        <f t="shared" si="847"/>
        <v>1</v>
      </c>
      <c r="AE970" s="236">
        <f t="shared" si="848"/>
        <v>1</v>
      </c>
      <c r="AF970" s="236">
        <f t="shared" si="849"/>
        <v>0</v>
      </c>
      <c r="AG970" s="236">
        <v>1</v>
      </c>
      <c r="AH970" s="236">
        <v>0</v>
      </c>
      <c r="AI970" s="236">
        <f t="shared" si="825"/>
        <v>-100</v>
      </c>
      <c r="AJ970" s="210"/>
      <c r="AK970" s="254"/>
      <c r="AL970" s="254"/>
      <c r="AM970" s="255"/>
      <c r="AN970" s="255"/>
      <c r="AO970" s="255"/>
      <c r="AP970" s="255"/>
      <c r="AQ970" s="255"/>
      <c r="AR970" s="255"/>
      <c r="AS970" s="255"/>
      <c r="AT970" s="255"/>
      <c r="AU970" s="255"/>
      <c r="AV970" s="255"/>
      <c r="AW970" s="255"/>
      <c r="AX970" s="210"/>
      <c r="AY970" s="236" cm="1">
        <f t="array" ref="AY970">INDEX(Use, $AD970, 4)</f>
        <v>7</v>
      </c>
      <c r="AZ970" s="236">
        <f t="shared" si="826"/>
        <v>32</v>
      </c>
      <c r="BA970" s="236">
        <f t="shared" si="814"/>
        <v>13</v>
      </c>
      <c r="BB970" s="236">
        <f t="shared" si="815"/>
        <v>0</v>
      </c>
      <c r="BC970" s="252" cm="1">
        <f t="array" ref="BC970">K970/IF($L970&gt;0, INDEX($AO$23:$AU$77, $L970+20, $AD970), 1)</f>
        <v>0</v>
      </c>
      <c r="BD970" s="237">
        <f t="shared" si="827"/>
        <v>0</v>
      </c>
      <c r="BE970" s="236">
        <v>35</v>
      </c>
      <c r="BF970" s="237">
        <f t="shared" si="828"/>
        <v>52.55</v>
      </c>
      <c r="BG970" s="253">
        <f t="shared" si="829"/>
        <v>2.7676728869374316</v>
      </c>
      <c r="BH970" s="253" cm="1">
        <f t="array" ref="BH970">$BC970 * SUMPRODUCT(INDEX($AL$77:$AN$82,,$AE970),INDEX($AO$77:$AU$82,,$AD970), N($AK$77:$AK$82&gt;$AI970)) / BG970 / 1000</f>
        <v>0</v>
      </c>
      <c r="BI970" s="250">
        <f t="shared" si="816"/>
        <v>30</v>
      </c>
      <c r="BJ970" s="237">
        <f t="shared" si="830"/>
        <v>46.033333333333331</v>
      </c>
      <c r="BK970" s="253">
        <f t="shared" si="831"/>
        <v>3.2297395388556791</v>
      </c>
      <c r="BL970" s="253" cm="1">
        <f t="array" ref="BL970">$BC970 * IF($AD970&lt;=2,
SUMPRODUCT(INDEX($AL$72:$AN$76,,$AE970), INDEX($AO$72:$AU$76,,$AD970), 1 / ($AV$72:$AV$76*BK970 + (1-$AV$72:$AV$76)*BG970), N($AK$72:$AK$76&gt;$AI970)),
SUMPRODUCT(INDEX($AL$67:$AN$76,,$AE970), INDEX($AO$67:$AU$76,,$AD970), 1 / ($AW$67:$AW$76*BK970 + (1-$AW$67:$AW$76)*BG970), N($AK$67:$AK$76&gt;$AI970))
) / 1000</f>
        <v>0</v>
      </c>
      <c r="BM970" s="250">
        <f t="shared" si="817"/>
        <v>25</v>
      </c>
      <c r="BN970" s="237">
        <f t="shared" si="832"/>
        <v>39.516666666666666</v>
      </c>
      <c r="BO970" s="253">
        <f t="shared" si="833"/>
        <v>3.877011788826243</v>
      </c>
      <c r="BP970" s="253" cm="1">
        <f t="array" ref="BP970">$BC970 * IF($AD970&lt;=2,
SUMPRODUCT(INDEX($AL$67:$AN$71,,$AE970), INDEX($AO$67:$AU$71,,$AD970), 1 / ($AV$67:$AV$71*BO970 + (1-$AV$67:$AV$71)*BK970), N($AK$67:$AK$71&gt;$AI970)),
SUMPRODUCT(INDEX($AL$57:$AN$66,,$AE970), INDEX($AO$57:$AU$66,,$AD970), 1 / ($AW$57:$AW$66*BO970 + (1-$AW$57:$AW$66)*BK970), N($AK$57:$AK$66&gt;$AI970))
) / 1000</f>
        <v>0</v>
      </c>
      <c r="BQ970" s="250">
        <f t="shared" si="818"/>
        <v>20</v>
      </c>
      <c r="BR970" s="237">
        <f t="shared" si="834"/>
        <v>33</v>
      </c>
      <c r="BS970" s="253">
        <f t="shared" si="835"/>
        <v>4.8487499999999999</v>
      </c>
      <c r="BT970" s="253" cm="1">
        <f t="array" ref="BT970">$BC970 * IF($AD970&lt;=2,
SUMPRODUCT(INDEX($AL$62:$AN$66,,$AE970), INDEX($AO$62:$AU$66,,$AD970), 1 / ($AV$62:$AV$66*BS970 + (1-$AV$62:$AV$66)*BO970), N($AK$62:$AK$66&gt;$AI970)),
SUMPRODUCT(INDEX($AL$47:$AN$56,,$AE970), INDEX($AO$47:$AU$56,,$AD970), 1 / ($AW$47:$AW$56*BS970 + (1-$AW$47:$AW$56)*BO970), N($AK$47:$AK$56&gt;$AI970))
) / 1000</f>
        <v>0</v>
      </c>
      <c r="BU970" s="253" cm="1">
        <f t="array" ref="BU970">$BC970 * IF($AD970&lt;=2,
SUMPRODUCT(INDEX($AL$23:$AN$61,,$AE970), INDEX($AO$23:$AU$61,,$AD970), 1 / ($AV$23:$AV$61*BS970), N($AK$23:$AK$61&gt;$AI970)),
SUMPRODUCT(INDEX($AL$23:$AN$46,,$AE970), INDEX($AO$23:$AU$46,,$AD970), 1 / ($AW$23:$AW$46*BS970), N($AK$23:$AK$46&gt;$AI970))
) / 1000</f>
        <v>0</v>
      </c>
      <c r="BV970" s="237">
        <f t="shared" si="836"/>
        <v>0</v>
      </c>
      <c r="BW970" s="210"/>
      <c r="BX970" s="237">
        <f t="shared" si="837"/>
        <v>0</v>
      </c>
      <c r="BY970" s="236">
        <v>35</v>
      </c>
      <c r="BZ970" s="237">
        <f t="shared" si="838"/>
        <v>48</v>
      </c>
      <c r="CA970" s="253">
        <f t="shared" si="839"/>
        <v>3.0748170731707316</v>
      </c>
      <c r="CB970" s="253" cm="1">
        <f t="array" ref="CB970">$BC970 * SUMPRODUCT(INDEX($AL$77:$AN$82,,$AE970),INDEX($AO$77:$AU$82,,$AD970), N($AK$77:$AK$82&gt;$AI970)) / CA970 / 1000</f>
        <v>0</v>
      </c>
      <c r="CC970" s="250">
        <f t="shared" si="819"/>
        <v>30</v>
      </c>
      <c r="CD970" s="237">
        <f t="shared" si="840"/>
        <v>43</v>
      </c>
      <c r="CE970" s="253">
        <f t="shared" si="841"/>
        <v>3.5018750000000001</v>
      </c>
      <c r="CF970" s="253" cm="1">
        <f t="array" ref="CF970">$BC970 * IF($AD970&lt;=2,
SUMPRODUCT(INDEX($AL$72:$AN$76,,$AE970), INDEX($AO$72:$AU$76,,$AD970), 1 / ($AV$72:$AV$76*CE970 + (1-$AV$72:$AV$76)*CA970), N($AK$72:$AK$76&gt;$AI970)),
SUMPRODUCT(INDEX($AL$67:$AN$76,,$AE970), INDEX($AO$67:$AU$76,,$AD970), 1 / ($AW$67:$AW$76*CE970 + (1-$AW$67:$AW$76)*CA970), N($AK$67:$AK$76&gt;$AI970))
) / 1000</f>
        <v>0</v>
      </c>
      <c r="CG970" s="250">
        <f t="shared" si="820"/>
        <v>25</v>
      </c>
      <c r="CH970" s="237">
        <f t="shared" si="842"/>
        <v>38</v>
      </c>
      <c r="CI970" s="253">
        <f t="shared" si="843"/>
        <v>4.0666935483870965</v>
      </c>
      <c r="CJ970" s="253" cm="1">
        <f t="array" ref="CJ970">$BC970 * IF($AD970&lt;=2,
SUMPRODUCT(INDEX($AL$67:$AN$71,,$AE970), INDEX($AO$67:$AU$71,,$AD970), 1 / ($AV$67:$AV$71*CI970 + (1-$AV$67:$AV$71)*CE970), N($AK$67:$AK$71&gt;$AI970)),
SUMPRODUCT(INDEX($AL$57:$AN$66,,$AE970), INDEX($AO$57:$AU$66,,$AD970), 1 / ($AW$57:$AW$66*CI970 + (1-$AW$57:$AW$66)*CE970), N($AK$57:$AK$66&gt;$AI970))
) / 1000</f>
        <v>0</v>
      </c>
      <c r="CK970" s="250">
        <f t="shared" si="821"/>
        <v>20</v>
      </c>
      <c r="CL970" s="237">
        <f t="shared" si="844"/>
        <v>33</v>
      </c>
      <c r="CM970" s="253">
        <f t="shared" si="845"/>
        <v>4.8487499999999999</v>
      </c>
      <c r="CN970" s="253" cm="1">
        <f t="array" ref="CN970">$BC970 * IF($AD970&lt;=2,
SUMPRODUCT(INDEX($AL$62:$AN$66,,$AE970), INDEX($AO$62:$AU$66,,$AD970), 1 / ($AV$62:$AV$66*CM970 + (1-$AV$62:$AV$66)*CI970), N($AK$62:$AK$66&gt;$AI970)),
SUMPRODUCT(INDEX($AL$47:$AN$56,,$AE970), INDEX($AO$47:$AU$56,,$AD970), 1 / ($AW$47:$AW$56*CM970 + (1-$AW$47:$AW$56)*CI970), N($AK$47:$AK$56&gt;$AI970))
) / 1000</f>
        <v>0</v>
      </c>
      <c r="CO970" s="253" cm="1">
        <f t="array" ref="CO970">$BC970 * IF($AD970&lt;=2,
SUMPRODUCT(INDEX($AL$23:$AN$61,,$AE970), INDEX($AO$23:$AU$61,,$AD970), 1 / ($AV$23:$AV$61*CM970), N($AK$23:$AK$61&gt;$AI970)),
SUMPRODUCT(INDEX($AL$23:$AN$46,,$AE970), INDEX($AO$23:$AU$46,,$AD970), 1 / ($AW$23:$AW$46*CM970), N($AK$23:$AK$46&gt;$AI970))
) / 1000</f>
        <v>0</v>
      </c>
      <c r="CP970" s="237">
        <f t="shared" si="846"/>
        <v>0</v>
      </c>
      <c r="CQ970" s="210"/>
    </row>
    <row r="971" spans="1:95" s="76" customFormat="1" ht="14.25" customHeight="1" x14ac:dyDescent="0.2">
      <c r="A971" s="238" t="b">
        <f t="shared" si="813"/>
        <v>0</v>
      </c>
      <c r="B971" s="239">
        <v>949</v>
      </c>
      <c r="C971" s="258"/>
      <c r="D971" s="258"/>
      <c r="E971" s="240"/>
      <c r="F971" s="241" t="str">
        <f>IF(ISBLANK(E971), "", VLOOKUP(E971, Z!$A$2:$C$4127, 3, FALSE))</f>
        <v/>
      </c>
      <c r="G971" s="242"/>
      <c r="H971" s="242"/>
      <c r="I971" s="243"/>
      <c r="J971" s="244"/>
      <c r="K971" s="259"/>
      <c r="L971" s="260"/>
      <c r="M971" s="247" t="str" cm="1">
        <f t="array" ref="M971">IF($K971&gt;0, INDEX(Clean,1+AG971,$C$1), "")</f>
        <v/>
      </c>
      <c r="N971" s="245"/>
      <c r="O971" s="245"/>
      <c r="P971" s="246"/>
      <c r="Q971" s="248">
        <f t="shared" si="823"/>
        <v>0</v>
      </c>
      <c r="R971" s="247" t="str" cm="1">
        <f t="array" ref="R971">IF($K971&gt;0, INDEX(Clean,1+AH971,$C$1), "")</f>
        <v/>
      </c>
      <c r="S971" s="245"/>
      <c r="T971" s="245"/>
      <c r="U971" s="246"/>
      <c r="V971" s="248">
        <f t="shared" si="824"/>
        <v>0</v>
      </c>
      <c r="W971" s="261"/>
      <c r="X971" s="258"/>
      <c r="Y971" s="240"/>
      <c r="Z971" s="241" t="str">
        <f>IF(ISBLANK(Y971), "", VLOOKUP(Y971, Z!$A$2:$C$4127, 3, FALSE))</f>
        <v/>
      </c>
      <c r="AA971" s="262"/>
      <c r="AB971" s="249">
        <f t="shared" si="822"/>
        <v>0</v>
      </c>
      <c r="AC971" s="210"/>
      <c r="AD971" s="236">
        <f t="shared" si="847"/>
        <v>1</v>
      </c>
      <c r="AE971" s="236">
        <f t="shared" si="848"/>
        <v>1</v>
      </c>
      <c r="AF971" s="236">
        <f t="shared" si="849"/>
        <v>0</v>
      </c>
      <c r="AG971" s="236">
        <v>1</v>
      </c>
      <c r="AH971" s="236">
        <v>0</v>
      </c>
      <c r="AI971" s="236">
        <f t="shared" si="825"/>
        <v>-100</v>
      </c>
      <c r="AJ971" s="210"/>
      <c r="AK971" s="254"/>
      <c r="AL971" s="254"/>
      <c r="AM971" s="255"/>
      <c r="AN971" s="255"/>
      <c r="AO971" s="255"/>
      <c r="AP971" s="255"/>
      <c r="AQ971" s="255"/>
      <c r="AR971" s="255"/>
      <c r="AS971" s="255"/>
      <c r="AT971" s="255"/>
      <c r="AU971" s="255"/>
      <c r="AV971" s="255"/>
      <c r="AW971" s="255"/>
      <c r="AX971" s="210"/>
      <c r="AY971" s="236" cm="1">
        <f t="array" ref="AY971">INDEX(Use, $AD971, 4)</f>
        <v>7</v>
      </c>
      <c r="AZ971" s="236">
        <f t="shared" si="826"/>
        <v>32</v>
      </c>
      <c r="BA971" s="236">
        <f t="shared" si="814"/>
        <v>13</v>
      </c>
      <c r="BB971" s="236">
        <f t="shared" si="815"/>
        <v>0</v>
      </c>
      <c r="BC971" s="252" cm="1">
        <f t="array" ref="BC971">K971/IF($L971&gt;0, INDEX($AO$23:$AU$77, $L971+20, $AD971), 1)</f>
        <v>0</v>
      </c>
      <c r="BD971" s="237">
        <f t="shared" si="827"/>
        <v>0</v>
      </c>
      <c r="BE971" s="236">
        <v>35</v>
      </c>
      <c r="BF971" s="237">
        <f t="shared" si="828"/>
        <v>52.55</v>
      </c>
      <c r="BG971" s="253">
        <f t="shared" si="829"/>
        <v>2.7676728869374316</v>
      </c>
      <c r="BH971" s="253" cm="1">
        <f t="array" ref="BH971">$BC971 * SUMPRODUCT(INDEX($AL$77:$AN$82,,$AE971),INDEX($AO$77:$AU$82,,$AD971), N($AK$77:$AK$82&gt;$AI971)) / BG971 / 1000</f>
        <v>0</v>
      </c>
      <c r="BI971" s="250">
        <f t="shared" si="816"/>
        <v>30</v>
      </c>
      <c r="BJ971" s="237">
        <f t="shared" si="830"/>
        <v>46.033333333333331</v>
      </c>
      <c r="BK971" s="253">
        <f t="shared" si="831"/>
        <v>3.2297395388556791</v>
      </c>
      <c r="BL971" s="253" cm="1">
        <f t="array" ref="BL971">$BC971 * IF($AD971&lt;=2,
SUMPRODUCT(INDEX($AL$72:$AN$76,,$AE971), INDEX($AO$72:$AU$76,,$AD971), 1 / ($AV$72:$AV$76*BK971 + (1-$AV$72:$AV$76)*BG971), N($AK$72:$AK$76&gt;$AI971)),
SUMPRODUCT(INDEX($AL$67:$AN$76,,$AE971), INDEX($AO$67:$AU$76,,$AD971), 1 / ($AW$67:$AW$76*BK971 + (1-$AW$67:$AW$76)*BG971), N($AK$67:$AK$76&gt;$AI971))
) / 1000</f>
        <v>0</v>
      </c>
      <c r="BM971" s="250">
        <f t="shared" si="817"/>
        <v>25</v>
      </c>
      <c r="BN971" s="237">
        <f t="shared" si="832"/>
        <v>39.516666666666666</v>
      </c>
      <c r="BO971" s="253">
        <f t="shared" si="833"/>
        <v>3.877011788826243</v>
      </c>
      <c r="BP971" s="253" cm="1">
        <f t="array" ref="BP971">$BC971 * IF($AD971&lt;=2,
SUMPRODUCT(INDEX($AL$67:$AN$71,,$AE971), INDEX($AO$67:$AU$71,,$AD971), 1 / ($AV$67:$AV$71*BO971 + (1-$AV$67:$AV$71)*BK971), N($AK$67:$AK$71&gt;$AI971)),
SUMPRODUCT(INDEX($AL$57:$AN$66,,$AE971), INDEX($AO$57:$AU$66,,$AD971), 1 / ($AW$57:$AW$66*BO971 + (1-$AW$57:$AW$66)*BK971), N($AK$57:$AK$66&gt;$AI971))
) / 1000</f>
        <v>0</v>
      </c>
      <c r="BQ971" s="250">
        <f t="shared" si="818"/>
        <v>20</v>
      </c>
      <c r="BR971" s="237">
        <f t="shared" si="834"/>
        <v>33</v>
      </c>
      <c r="BS971" s="253">
        <f t="shared" si="835"/>
        <v>4.8487499999999999</v>
      </c>
      <c r="BT971" s="253" cm="1">
        <f t="array" ref="BT971">$BC971 * IF($AD971&lt;=2,
SUMPRODUCT(INDEX($AL$62:$AN$66,,$AE971), INDEX($AO$62:$AU$66,,$AD971), 1 / ($AV$62:$AV$66*BS971 + (1-$AV$62:$AV$66)*BO971), N($AK$62:$AK$66&gt;$AI971)),
SUMPRODUCT(INDEX($AL$47:$AN$56,,$AE971), INDEX($AO$47:$AU$56,,$AD971), 1 / ($AW$47:$AW$56*BS971 + (1-$AW$47:$AW$56)*BO971), N($AK$47:$AK$56&gt;$AI971))
) / 1000</f>
        <v>0</v>
      </c>
      <c r="BU971" s="253" cm="1">
        <f t="array" ref="BU971">$BC971 * IF($AD971&lt;=2,
SUMPRODUCT(INDEX($AL$23:$AN$61,,$AE971), INDEX($AO$23:$AU$61,,$AD971), 1 / ($AV$23:$AV$61*BS971), N($AK$23:$AK$61&gt;$AI971)),
SUMPRODUCT(INDEX($AL$23:$AN$46,,$AE971), INDEX($AO$23:$AU$46,,$AD971), 1 / ($AW$23:$AW$46*BS971), N($AK$23:$AK$46&gt;$AI971))
) / 1000</f>
        <v>0</v>
      </c>
      <c r="BV971" s="237">
        <f t="shared" si="836"/>
        <v>0</v>
      </c>
      <c r="BW971" s="210"/>
      <c r="BX971" s="237">
        <f t="shared" si="837"/>
        <v>0</v>
      </c>
      <c r="BY971" s="236">
        <v>35</v>
      </c>
      <c r="BZ971" s="237">
        <f t="shared" si="838"/>
        <v>48</v>
      </c>
      <c r="CA971" s="253">
        <f t="shared" si="839"/>
        <v>3.0748170731707316</v>
      </c>
      <c r="CB971" s="253" cm="1">
        <f t="array" ref="CB971">$BC971 * SUMPRODUCT(INDEX($AL$77:$AN$82,,$AE971),INDEX($AO$77:$AU$82,,$AD971), N($AK$77:$AK$82&gt;$AI971)) / CA971 / 1000</f>
        <v>0</v>
      </c>
      <c r="CC971" s="250">
        <f t="shared" si="819"/>
        <v>30</v>
      </c>
      <c r="CD971" s="237">
        <f t="shared" si="840"/>
        <v>43</v>
      </c>
      <c r="CE971" s="253">
        <f t="shared" si="841"/>
        <v>3.5018750000000001</v>
      </c>
      <c r="CF971" s="253" cm="1">
        <f t="array" ref="CF971">$BC971 * IF($AD971&lt;=2,
SUMPRODUCT(INDEX($AL$72:$AN$76,,$AE971), INDEX($AO$72:$AU$76,,$AD971), 1 / ($AV$72:$AV$76*CE971 + (1-$AV$72:$AV$76)*CA971), N($AK$72:$AK$76&gt;$AI971)),
SUMPRODUCT(INDEX($AL$67:$AN$76,,$AE971), INDEX($AO$67:$AU$76,,$AD971), 1 / ($AW$67:$AW$76*CE971 + (1-$AW$67:$AW$76)*CA971), N($AK$67:$AK$76&gt;$AI971))
) / 1000</f>
        <v>0</v>
      </c>
      <c r="CG971" s="250">
        <f t="shared" si="820"/>
        <v>25</v>
      </c>
      <c r="CH971" s="237">
        <f t="shared" si="842"/>
        <v>38</v>
      </c>
      <c r="CI971" s="253">
        <f t="shared" si="843"/>
        <v>4.0666935483870965</v>
      </c>
      <c r="CJ971" s="253" cm="1">
        <f t="array" ref="CJ971">$BC971 * IF($AD971&lt;=2,
SUMPRODUCT(INDEX($AL$67:$AN$71,,$AE971), INDEX($AO$67:$AU$71,,$AD971), 1 / ($AV$67:$AV$71*CI971 + (1-$AV$67:$AV$71)*CE971), N($AK$67:$AK$71&gt;$AI971)),
SUMPRODUCT(INDEX($AL$57:$AN$66,,$AE971), INDEX($AO$57:$AU$66,,$AD971), 1 / ($AW$57:$AW$66*CI971 + (1-$AW$57:$AW$66)*CE971), N($AK$57:$AK$66&gt;$AI971))
) / 1000</f>
        <v>0</v>
      </c>
      <c r="CK971" s="250">
        <f t="shared" si="821"/>
        <v>20</v>
      </c>
      <c r="CL971" s="237">
        <f t="shared" si="844"/>
        <v>33</v>
      </c>
      <c r="CM971" s="253">
        <f t="shared" si="845"/>
        <v>4.8487499999999999</v>
      </c>
      <c r="CN971" s="253" cm="1">
        <f t="array" ref="CN971">$BC971 * IF($AD971&lt;=2,
SUMPRODUCT(INDEX($AL$62:$AN$66,,$AE971), INDEX($AO$62:$AU$66,,$AD971), 1 / ($AV$62:$AV$66*CM971 + (1-$AV$62:$AV$66)*CI971), N($AK$62:$AK$66&gt;$AI971)),
SUMPRODUCT(INDEX($AL$47:$AN$56,,$AE971), INDEX($AO$47:$AU$56,,$AD971), 1 / ($AW$47:$AW$56*CM971 + (1-$AW$47:$AW$56)*CI971), N($AK$47:$AK$56&gt;$AI971))
) / 1000</f>
        <v>0</v>
      </c>
      <c r="CO971" s="253" cm="1">
        <f t="array" ref="CO971">$BC971 * IF($AD971&lt;=2,
SUMPRODUCT(INDEX($AL$23:$AN$61,,$AE971), INDEX($AO$23:$AU$61,,$AD971), 1 / ($AV$23:$AV$61*CM971), N($AK$23:$AK$61&gt;$AI971)),
SUMPRODUCT(INDEX($AL$23:$AN$46,,$AE971), INDEX($AO$23:$AU$46,,$AD971), 1 / ($AW$23:$AW$46*CM971), N($AK$23:$AK$46&gt;$AI971))
) / 1000</f>
        <v>0</v>
      </c>
      <c r="CP971" s="237">
        <f t="shared" si="846"/>
        <v>0</v>
      </c>
      <c r="CQ971" s="210"/>
    </row>
    <row r="972" spans="1:95" s="76" customFormat="1" ht="14.25" customHeight="1" x14ac:dyDescent="0.2">
      <c r="A972" s="238" t="b">
        <f t="shared" si="813"/>
        <v>0</v>
      </c>
      <c r="B972" s="239">
        <v>950</v>
      </c>
      <c r="C972" s="258"/>
      <c r="D972" s="258"/>
      <c r="E972" s="240"/>
      <c r="F972" s="241" t="str">
        <f>IF(ISBLANK(E972), "", VLOOKUP(E972, Z!$A$2:$C$4127, 3, FALSE))</f>
        <v/>
      </c>
      <c r="G972" s="242"/>
      <c r="H972" s="242"/>
      <c r="I972" s="243"/>
      <c r="J972" s="244"/>
      <c r="K972" s="259"/>
      <c r="L972" s="260"/>
      <c r="M972" s="247" t="str" cm="1">
        <f t="array" ref="M972">IF($K972&gt;0, INDEX(Clean,1+AG972,$C$1), "")</f>
        <v/>
      </c>
      <c r="N972" s="245"/>
      <c r="O972" s="245"/>
      <c r="P972" s="246"/>
      <c r="Q972" s="248">
        <f t="shared" si="823"/>
        <v>0</v>
      </c>
      <c r="R972" s="247" t="str" cm="1">
        <f t="array" ref="R972">IF($K972&gt;0, INDEX(Clean,1+AH972,$C$1), "")</f>
        <v/>
      </c>
      <c r="S972" s="245"/>
      <c r="T972" s="245"/>
      <c r="U972" s="246"/>
      <c r="V972" s="248">
        <f t="shared" si="824"/>
        <v>0</v>
      </c>
      <c r="W972" s="261"/>
      <c r="X972" s="258"/>
      <c r="Y972" s="240"/>
      <c r="Z972" s="241" t="str">
        <f>IF(ISBLANK(Y972), "", VLOOKUP(Y972, Z!$A$2:$C$4127, 3, FALSE))</f>
        <v/>
      </c>
      <c r="AA972" s="262"/>
      <c r="AB972" s="249">
        <f t="shared" si="822"/>
        <v>0</v>
      </c>
      <c r="AC972" s="210"/>
      <c r="AD972" s="236">
        <f t="shared" si="847"/>
        <v>1</v>
      </c>
      <c r="AE972" s="236">
        <f t="shared" si="848"/>
        <v>1</v>
      </c>
      <c r="AF972" s="236">
        <f t="shared" si="849"/>
        <v>0</v>
      </c>
      <c r="AG972" s="236">
        <v>1</v>
      </c>
      <c r="AH972" s="236">
        <v>0</v>
      </c>
      <c r="AI972" s="236">
        <f t="shared" si="825"/>
        <v>-100</v>
      </c>
      <c r="AJ972" s="210"/>
      <c r="AK972" s="254"/>
      <c r="AL972" s="254"/>
      <c r="AM972" s="255"/>
      <c r="AN972" s="255"/>
      <c r="AO972" s="255"/>
      <c r="AP972" s="255"/>
      <c r="AQ972" s="255"/>
      <c r="AR972" s="255"/>
      <c r="AS972" s="255"/>
      <c r="AT972" s="255"/>
      <c r="AU972" s="255"/>
      <c r="AV972" s="255"/>
      <c r="AW972" s="255"/>
      <c r="AX972" s="210"/>
      <c r="AY972" s="236" cm="1">
        <f t="array" ref="AY972">INDEX(Use, $AD972, 4)</f>
        <v>7</v>
      </c>
      <c r="AZ972" s="236">
        <f t="shared" si="826"/>
        <v>32</v>
      </c>
      <c r="BA972" s="236">
        <f t="shared" si="814"/>
        <v>13</v>
      </c>
      <c r="BB972" s="236">
        <f t="shared" si="815"/>
        <v>0</v>
      </c>
      <c r="BC972" s="252" cm="1">
        <f t="array" ref="BC972">K972/IF($L972&gt;0, INDEX($AO$23:$AU$77, $L972+20, $AD972), 1)</f>
        <v>0</v>
      </c>
      <c r="BD972" s="237">
        <f t="shared" si="827"/>
        <v>0</v>
      </c>
      <c r="BE972" s="236">
        <v>35</v>
      </c>
      <c r="BF972" s="237">
        <f t="shared" si="828"/>
        <v>52.55</v>
      </c>
      <c r="BG972" s="253">
        <f t="shared" si="829"/>
        <v>2.7676728869374316</v>
      </c>
      <c r="BH972" s="253" cm="1">
        <f t="array" ref="BH972">$BC972 * SUMPRODUCT(INDEX($AL$77:$AN$82,,$AE972),INDEX($AO$77:$AU$82,,$AD972), N($AK$77:$AK$82&gt;$AI972)) / BG972 / 1000</f>
        <v>0</v>
      </c>
      <c r="BI972" s="250">
        <f t="shared" si="816"/>
        <v>30</v>
      </c>
      <c r="BJ972" s="237">
        <f t="shared" si="830"/>
        <v>46.033333333333331</v>
      </c>
      <c r="BK972" s="253">
        <f t="shared" si="831"/>
        <v>3.2297395388556791</v>
      </c>
      <c r="BL972" s="253" cm="1">
        <f t="array" ref="BL972">$BC972 * IF($AD972&lt;=2,
SUMPRODUCT(INDEX($AL$72:$AN$76,,$AE972), INDEX($AO$72:$AU$76,,$AD972), 1 / ($AV$72:$AV$76*BK972 + (1-$AV$72:$AV$76)*BG972), N($AK$72:$AK$76&gt;$AI972)),
SUMPRODUCT(INDEX($AL$67:$AN$76,,$AE972), INDEX($AO$67:$AU$76,,$AD972), 1 / ($AW$67:$AW$76*BK972 + (1-$AW$67:$AW$76)*BG972), N($AK$67:$AK$76&gt;$AI972))
) / 1000</f>
        <v>0</v>
      </c>
      <c r="BM972" s="250">
        <f t="shared" si="817"/>
        <v>25</v>
      </c>
      <c r="BN972" s="237">
        <f t="shared" si="832"/>
        <v>39.516666666666666</v>
      </c>
      <c r="BO972" s="253">
        <f t="shared" si="833"/>
        <v>3.877011788826243</v>
      </c>
      <c r="BP972" s="253" cm="1">
        <f t="array" ref="BP972">$BC972 * IF($AD972&lt;=2,
SUMPRODUCT(INDEX($AL$67:$AN$71,,$AE972), INDEX($AO$67:$AU$71,,$AD972), 1 / ($AV$67:$AV$71*BO972 + (1-$AV$67:$AV$71)*BK972), N($AK$67:$AK$71&gt;$AI972)),
SUMPRODUCT(INDEX($AL$57:$AN$66,,$AE972), INDEX($AO$57:$AU$66,,$AD972), 1 / ($AW$57:$AW$66*BO972 + (1-$AW$57:$AW$66)*BK972), N($AK$57:$AK$66&gt;$AI972))
) / 1000</f>
        <v>0</v>
      </c>
      <c r="BQ972" s="250">
        <f t="shared" si="818"/>
        <v>20</v>
      </c>
      <c r="BR972" s="237">
        <f t="shared" si="834"/>
        <v>33</v>
      </c>
      <c r="BS972" s="253">
        <f t="shared" si="835"/>
        <v>4.8487499999999999</v>
      </c>
      <c r="BT972" s="253" cm="1">
        <f t="array" ref="BT972">$BC972 * IF($AD972&lt;=2,
SUMPRODUCT(INDEX($AL$62:$AN$66,,$AE972), INDEX($AO$62:$AU$66,,$AD972), 1 / ($AV$62:$AV$66*BS972 + (1-$AV$62:$AV$66)*BO972), N($AK$62:$AK$66&gt;$AI972)),
SUMPRODUCT(INDEX($AL$47:$AN$56,,$AE972), INDEX($AO$47:$AU$56,,$AD972), 1 / ($AW$47:$AW$56*BS972 + (1-$AW$47:$AW$56)*BO972), N($AK$47:$AK$56&gt;$AI972))
) / 1000</f>
        <v>0</v>
      </c>
      <c r="BU972" s="253" cm="1">
        <f t="array" ref="BU972">$BC972 * IF($AD972&lt;=2,
SUMPRODUCT(INDEX($AL$23:$AN$61,,$AE972), INDEX($AO$23:$AU$61,,$AD972), 1 / ($AV$23:$AV$61*BS972), N($AK$23:$AK$61&gt;$AI972)),
SUMPRODUCT(INDEX($AL$23:$AN$46,,$AE972), INDEX($AO$23:$AU$46,,$AD972), 1 / ($AW$23:$AW$46*BS972), N($AK$23:$AK$46&gt;$AI972))
) / 1000</f>
        <v>0</v>
      </c>
      <c r="BV972" s="237">
        <f t="shared" si="836"/>
        <v>0</v>
      </c>
      <c r="BW972" s="210"/>
      <c r="BX972" s="237">
        <f t="shared" si="837"/>
        <v>0</v>
      </c>
      <c r="BY972" s="236">
        <v>35</v>
      </c>
      <c r="BZ972" s="237">
        <f t="shared" si="838"/>
        <v>48</v>
      </c>
      <c r="CA972" s="253">
        <f t="shared" si="839"/>
        <v>3.0748170731707316</v>
      </c>
      <c r="CB972" s="253" cm="1">
        <f t="array" ref="CB972">$BC972 * SUMPRODUCT(INDEX($AL$77:$AN$82,,$AE972),INDEX($AO$77:$AU$82,,$AD972), N($AK$77:$AK$82&gt;$AI972)) / CA972 / 1000</f>
        <v>0</v>
      </c>
      <c r="CC972" s="250">
        <f t="shared" si="819"/>
        <v>30</v>
      </c>
      <c r="CD972" s="237">
        <f t="shared" si="840"/>
        <v>43</v>
      </c>
      <c r="CE972" s="253">
        <f t="shared" si="841"/>
        <v>3.5018750000000001</v>
      </c>
      <c r="CF972" s="253" cm="1">
        <f t="array" ref="CF972">$BC972 * IF($AD972&lt;=2,
SUMPRODUCT(INDEX($AL$72:$AN$76,,$AE972), INDEX($AO$72:$AU$76,,$AD972), 1 / ($AV$72:$AV$76*CE972 + (1-$AV$72:$AV$76)*CA972), N($AK$72:$AK$76&gt;$AI972)),
SUMPRODUCT(INDEX($AL$67:$AN$76,,$AE972), INDEX($AO$67:$AU$76,,$AD972), 1 / ($AW$67:$AW$76*CE972 + (1-$AW$67:$AW$76)*CA972), N($AK$67:$AK$76&gt;$AI972))
) / 1000</f>
        <v>0</v>
      </c>
      <c r="CG972" s="250">
        <f t="shared" si="820"/>
        <v>25</v>
      </c>
      <c r="CH972" s="237">
        <f t="shared" si="842"/>
        <v>38</v>
      </c>
      <c r="CI972" s="253">
        <f t="shared" si="843"/>
        <v>4.0666935483870965</v>
      </c>
      <c r="CJ972" s="253" cm="1">
        <f t="array" ref="CJ972">$BC972 * IF($AD972&lt;=2,
SUMPRODUCT(INDEX($AL$67:$AN$71,,$AE972), INDEX($AO$67:$AU$71,,$AD972), 1 / ($AV$67:$AV$71*CI972 + (1-$AV$67:$AV$71)*CE972), N($AK$67:$AK$71&gt;$AI972)),
SUMPRODUCT(INDEX($AL$57:$AN$66,,$AE972), INDEX($AO$57:$AU$66,,$AD972), 1 / ($AW$57:$AW$66*CI972 + (1-$AW$57:$AW$66)*CE972), N($AK$57:$AK$66&gt;$AI972))
) / 1000</f>
        <v>0</v>
      </c>
      <c r="CK972" s="250">
        <f t="shared" si="821"/>
        <v>20</v>
      </c>
      <c r="CL972" s="237">
        <f t="shared" si="844"/>
        <v>33</v>
      </c>
      <c r="CM972" s="253">
        <f t="shared" si="845"/>
        <v>4.8487499999999999</v>
      </c>
      <c r="CN972" s="253" cm="1">
        <f t="array" ref="CN972">$BC972 * IF($AD972&lt;=2,
SUMPRODUCT(INDEX($AL$62:$AN$66,,$AE972), INDEX($AO$62:$AU$66,,$AD972), 1 / ($AV$62:$AV$66*CM972 + (1-$AV$62:$AV$66)*CI972), N($AK$62:$AK$66&gt;$AI972)),
SUMPRODUCT(INDEX($AL$47:$AN$56,,$AE972), INDEX($AO$47:$AU$56,,$AD972), 1 / ($AW$47:$AW$56*CM972 + (1-$AW$47:$AW$56)*CI972), N($AK$47:$AK$56&gt;$AI972))
) / 1000</f>
        <v>0</v>
      </c>
      <c r="CO972" s="253" cm="1">
        <f t="array" ref="CO972">$BC972 * IF($AD972&lt;=2,
SUMPRODUCT(INDEX($AL$23:$AN$61,,$AE972), INDEX($AO$23:$AU$61,,$AD972), 1 / ($AV$23:$AV$61*CM972), N($AK$23:$AK$61&gt;$AI972)),
SUMPRODUCT(INDEX($AL$23:$AN$46,,$AE972), INDEX($AO$23:$AU$46,,$AD972), 1 / ($AW$23:$AW$46*CM972), N($AK$23:$AK$46&gt;$AI972))
) / 1000</f>
        <v>0</v>
      </c>
      <c r="CP972" s="237">
        <f t="shared" si="846"/>
        <v>0</v>
      </c>
      <c r="CQ972" s="210"/>
    </row>
    <row r="973" spans="1:95" s="76" customFormat="1" ht="14.25" customHeight="1" x14ac:dyDescent="0.2">
      <c r="A973" s="238" t="b">
        <f t="shared" si="813"/>
        <v>0</v>
      </c>
      <c r="B973" s="239">
        <v>951</v>
      </c>
      <c r="C973" s="258"/>
      <c r="D973" s="258"/>
      <c r="E973" s="240"/>
      <c r="F973" s="241" t="str">
        <f>IF(ISBLANK(E973), "", VLOOKUP(E973, Z!$A$2:$C$4127, 3, FALSE))</f>
        <v/>
      </c>
      <c r="G973" s="242"/>
      <c r="H973" s="242"/>
      <c r="I973" s="243"/>
      <c r="J973" s="244"/>
      <c r="K973" s="259"/>
      <c r="L973" s="260"/>
      <c r="M973" s="247" t="str" cm="1">
        <f t="array" ref="M973">IF($K973&gt;0, INDEX(Clean,1+AG973,$C$1), "")</f>
        <v/>
      </c>
      <c r="N973" s="245"/>
      <c r="O973" s="245"/>
      <c r="P973" s="246"/>
      <c r="Q973" s="248">
        <f t="shared" si="823"/>
        <v>0</v>
      </c>
      <c r="R973" s="247" t="str" cm="1">
        <f t="array" ref="R973">IF($K973&gt;0, INDEX(Clean,1+AH973,$C$1), "")</f>
        <v/>
      </c>
      <c r="S973" s="245"/>
      <c r="T973" s="245"/>
      <c r="U973" s="246"/>
      <c r="V973" s="248">
        <f t="shared" si="824"/>
        <v>0</v>
      </c>
      <c r="W973" s="261"/>
      <c r="X973" s="258"/>
      <c r="Y973" s="240"/>
      <c r="Z973" s="241" t="str">
        <f>IF(ISBLANK(Y973), "", VLOOKUP(Y973, Z!$A$2:$C$4127, 3, FALSE))</f>
        <v/>
      </c>
      <c r="AA973" s="262"/>
      <c r="AB973" s="249">
        <f t="shared" si="822"/>
        <v>0</v>
      </c>
      <c r="AC973" s="210"/>
      <c r="AD973" s="236">
        <f t="shared" si="847"/>
        <v>1</v>
      </c>
      <c r="AE973" s="236">
        <f t="shared" si="848"/>
        <v>1</v>
      </c>
      <c r="AF973" s="236">
        <f t="shared" si="849"/>
        <v>0</v>
      </c>
      <c r="AG973" s="236">
        <v>1</v>
      </c>
      <c r="AH973" s="236">
        <v>0</v>
      </c>
      <c r="AI973" s="236">
        <f t="shared" si="825"/>
        <v>-100</v>
      </c>
      <c r="AJ973" s="210"/>
      <c r="AK973" s="254"/>
      <c r="AL973" s="254"/>
      <c r="AM973" s="255"/>
      <c r="AN973" s="255"/>
      <c r="AO973" s="255"/>
      <c r="AP973" s="255"/>
      <c r="AQ973" s="255"/>
      <c r="AR973" s="255"/>
      <c r="AS973" s="255"/>
      <c r="AT973" s="255"/>
      <c r="AU973" s="255"/>
      <c r="AV973" s="255"/>
      <c r="AW973" s="255"/>
      <c r="AX973" s="210"/>
      <c r="AY973" s="236" cm="1">
        <f t="array" ref="AY973">INDEX(Use, $AD973, 4)</f>
        <v>7</v>
      </c>
      <c r="AZ973" s="236">
        <f t="shared" si="826"/>
        <v>32</v>
      </c>
      <c r="BA973" s="236">
        <f t="shared" si="814"/>
        <v>13</v>
      </c>
      <c r="BB973" s="236">
        <f t="shared" si="815"/>
        <v>0</v>
      </c>
      <c r="BC973" s="252" cm="1">
        <f t="array" ref="BC973">K973/IF($L973&gt;0, INDEX($AO$23:$AU$77, $L973+20, $AD973), 1)</f>
        <v>0</v>
      </c>
      <c r="BD973" s="237">
        <f t="shared" si="827"/>
        <v>0</v>
      </c>
      <c r="BE973" s="236">
        <v>35</v>
      </c>
      <c r="BF973" s="237">
        <f t="shared" si="828"/>
        <v>52.55</v>
      </c>
      <c r="BG973" s="253">
        <f t="shared" si="829"/>
        <v>2.7676728869374316</v>
      </c>
      <c r="BH973" s="253" cm="1">
        <f t="array" ref="BH973">$BC973 * SUMPRODUCT(INDEX($AL$77:$AN$82,,$AE973),INDEX($AO$77:$AU$82,,$AD973), N($AK$77:$AK$82&gt;$AI973)) / BG973 / 1000</f>
        <v>0</v>
      </c>
      <c r="BI973" s="250">
        <f t="shared" si="816"/>
        <v>30</v>
      </c>
      <c r="BJ973" s="237">
        <f t="shared" si="830"/>
        <v>46.033333333333331</v>
      </c>
      <c r="BK973" s="253">
        <f t="shared" si="831"/>
        <v>3.2297395388556791</v>
      </c>
      <c r="BL973" s="253" cm="1">
        <f t="array" ref="BL973">$BC973 * IF($AD973&lt;=2,
SUMPRODUCT(INDEX($AL$72:$AN$76,,$AE973), INDEX($AO$72:$AU$76,,$AD973), 1 / ($AV$72:$AV$76*BK973 + (1-$AV$72:$AV$76)*BG973), N($AK$72:$AK$76&gt;$AI973)),
SUMPRODUCT(INDEX($AL$67:$AN$76,,$AE973), INDEX($AO$67:$AU$76,,$AD973), 1 / ($AW$67:$AW$76*BK973 + (1-$AW$67:$AW$76)*BG973), N($AK$67:$AK$76&gt;$AI973))
) / 1000</f>
        <v>0</v>
      </c>
      <c r="BM973" s="250">
        <f t="shared" si="817"/>
        <v>25</v>
      </c>
      <c r="BN973" s="237">
        <f t="shared" si="832"/>
        <v>39.516666666666666</v>
      </c>
      <c r="BO973" s="253">
        <f t="shared" si="833"/>
        <v>3.877011788826243</v>
      </c>
      <c r="BP973" s="253" cm="1">
        <f t="array" ref="BP973">$BC973 * IF($AD973&lt;=2,
SUMPRODUCT(INDEX($AL$67:$AN$71,,$AE973), INDEX($AO$67:$AU$71,,$AD973), 1 / ($AV$67:$AV$71*BO973 + (1-$AV$67:$AV$71)*BK973), N($AK$67:$AK$71&gt;$AI973)),
SUMPRODUCT(INDEX($AL$57:$AN$66,,$AE973), INDEX($AO$57:$AU$66,,$AD973), 1 / ($AW$57:$AW$66*BO973 + (1-$AW$57:$AW$66)*BK973), N($AK$57:$AK$66&gt;$AI973))
) / 1000</f>
        <v>0</v>
      </c>
      <c r="BQ973" s="250">
        <f t="shared" si="818"/>
        <v>20</v>
      </c>
      <c r="BR973" s="237">
        <f t="shared" si="834"/>
        <v>33</v>
      </c>
      <c r="BS973" s="253">
        <f t="shared" si="835"/>
        <v>4.8487499999999999</v>
      </c>
      <c r="BT973" s="253" cm="1">
        <f t="array" ref="BT973">$BC973 * IF($AD973&lt;=2,
SUMPRODUCT(INDEX($AL$62:$AN$66,,$AE973), INDEX($AO$62:$AU$66,,$AD973), 1 / ($AV$62:$AV$66*BS973 + (1-$AV$62:$AV$66)*BO973), N($AK$62:$AK$66&gt;$AI973)),
SUMPRODUCT(INDEX($AL$47:$AN$56,,$AE973), INDEX($AO$47:$AU$56,,$AD973), 1 / ($AW$47:$AW$56*BS973 + (1-$AW$47:$AW$56)*BO973), N($AK$47:$AK$56&gt;$AI973))
) / 1000</f>
        <v>0</v>
      </c>
      <c r="BU973" s="253" cm="1">
        <f t="array" ref="BU973">$BC973 * IF($AD973&lt;=2,
SUMPRODUCT(INDEX($AL$23:$AN$61,,$AE973), INDEX($AO$23:$AU$61,,$AD973), 1 / ($AV$23:$AV$61*BS973), N($AK$23:$AK$61&gt;$AI973)),
SUMPRODUCT(INDEX($AL$23:$AN$46,,$AE973), INDEX($AO$23:$AU$46,,$AD973), 1 / ($AW$23:$AW$46*BS973), N($AK$23:$AK$46&gt;$AI973))
) / 1000</f>
        <v>0</v>
      </c>
      <c r="BV973" s="237">
        <f t="shared" si="836"/>
        <v>0</v>
      </c>
      <c r="BW973" s="210"/>
      <c r="BX973" s="237">
        <f t="shared" si="837"/>
        <v>0</v>
      </c>
      <c r="BY973" s="236">
        <v>35</v>
      </c>
      <c r="BZ973" s="237">
        <f t="shared" si="838"/>
        <v>48</v>
      </c>
      <c r="CA973" s="253">
        <f t="shared" si="839"/>
        <v>3.0748170731707316</v>
      </c>
      <c r="CB973" s="253" cm="1">
        <f t="array" ref="CB973">$BC973 * SUMPRODUCT(INDEX($AL$77:$AN$82,,$AE973),INDEX($AO$77:$AU$82,,$AD973), N($AK$77:$AK$82&gt;$AI973)) / CA973 / 1000</f>
        <v>0</v>
      </c>
      <c r="CC973" s="250">
        <f t="shared" si="819"/>
        <v>30</v>
      </c>
      <c r="CD973" s="237">
        <f t="shared" si="840"/>
        <v>43</v>
      </c>
      <c r="CE973" s="253">
        <f t="shared" si="841"/>
        <v>3.5018750000000001</v>
      </c>
      <c r="CF973" s="253" cm="1">
        <f t="array" ref="CF973">$BC973 * IF($AD973&lt;=2,
SUMPRODUCT(INDEX($AL$72:$AN$76,,$AE973), INDEX($AO$72:$AU$76,,$AD973), 1 / ($AV$72:$AV$76*CE973 + (1-$AV$72:$AV$76)*CA973), N($AK$72:$AK$76&gt;$AI973)),
SUMPRODUCT(INDEX($AL$67:$AN$76,,$AE973), INDEX($AO$67:$AU$76,,$AD973), 1 / ($AW$67:$AW$76*CE973 + (1-$AW$67:$AW$76)*CA973), N($AK$67:$AK$76&gt;$AI973))
) / 1000</f>
        <v>0</v>
      </c>
      <c r="CG973" s="250">
        <f t="shared" si="820"/>
        <v>25</v>
      </c>
      <c r="CH973" s="237">
        <f t="shared" si="842"/>
        <v>38</v>
      </c>
      <c r="CI973" s="253">
        <f t="shared" si="843"/>
        <v>4.0666935483870965</v>
      </c>
      <c r="CJ973" s="253" cm="1">
        <f t="array" ref="CJ973">$BC973 * IF($AD973&lt;=2,
SUMPRODUCT(INDEX($AL$67:$AN$71,,$AE973), INDEX($AO$67:$AU$71,,$AD973), 1 / ($AV$67:$AV$71*CI973 + (1-$AV$67:$AV$71)*CE973), N($AK$67:$AK$71&gt;$AI973)),
SUMPRODUCT(INDEX($AL$57:$AN$66,,$AE973), INDEX($AO$57:$AU$66,,$AD973), 1 / ($AW$57:$AW$66*CI973 + (1-$AW$57:$AW$66)*CE973), N($AK$57:$AK$66&gt;$AI973))
) / 1000</f>
        <v>0</v>
      </c>
      <c r="CK973" s="250">
        <f t="shared" si="821"/>
        <v>20</v>
      </c>
      <c r="CL973" s="237">
        <f t="shared" si="844"/>
        <v>33</v>
      </c>
      <c r="CM973" s="253">
        <f t="shared" si="845"/>
        <v>4.8487499999999999</v>
      </c>
      <c r="CN973" s="253" cm="1">
        <f t="array" ref="CN973">$BC973 * IF($AD973&lt;=2,
SUMPRODUCT(INDEX($AL$62:$AN$66,,$AE973), INDEX($AO$62:$AU$66,,$AD973), 1 / ($AV$62:$AV$66*CM973 + (1-$AV$62:$AV$66)*CI973), N($AK$62:$AK$66&gt;$AI973)),
SUMPRODUCT(INDEX($AL$47:$AN$56,,$AE973), INDEX($AO$47:$AU$56,,$AD973), 1 / ($AW$47:$AW$56*CM973 + (1-$AW$47:$AW$56)*CI973), N($AK$47:$AK$56&gt;$AI973))
) / 1000</f>
        <v>0</v>
      </c>
      <c r="CO973" s="253" cm="1">
        <f t="array" ref="CO973">$BC973 * IF($AD973&lt;=2,
SUMPRODUCT(INDEX($AL$23:$AN$61,,$AE973), INDEX($AO$23:$AU$61,,$AD973), 1 / ($AV$23:$AV$61*CM973), N($AK$23:$AK$61&gt;$AI973)),
SUMPRODUCT(INDEX($AL$23:$AN$46,,$AE973), INDEX($AO$23:$AU$46,,$AD973), 1 / ($AW$23:$AW$46*CM973), N($AK$23:$AK$46&gt;$AI973))
) / 1000</f>
        <v>0</v>
      </c>
      <c r="CP973" s="237">
        <f t="shared" si="846"/>
        <v>0</v>
      </c>
      <c r="CQ973" s="210"/>
    </row>
    <row r="974" spans="1:95" s="76" customFormat="1" ht="14.25" customHeight="1" x14ac:dyDescent="0.2">
      <c r="A974" s="238" t="b">
        <f t="shared" si="813"/>
        <v>0</v>
      </c>
      <c r="B974" s="239">
        <v>952</v>
      </c>
      <c r="C974" s="258"/>
      <c r="D974" s="258"/>
      <c r="E974" s="240"/>
      <c r="F974" s="241" t="str">
        <f>IF(ISBLANK(E974), "", VLOOKUP(E974, Z!$A$2:$C$4127, 3, FALSE))</f>
        <v/>
      </c>
      <c r="G974" s="242"/>
      <c r="H974" s="242"/>
      <c r="I974" s="243"/>
      <c r="J974" s="244"/>
      <c r="K974" s="259"/>
      <c r="L974" s="260"/>
      <c r="M974" s="247" t="str" cm="1">
        <f t="array" ref="M974">IF($K974&gt;0, INDEX(Clean,1+AG974,$C$1), "")</f>
        <v/>
      </c>
      <c r="N974" s="245"/>
      <c r="O974" s="245"/>
      <c r="P974" s="246"/>
      <c r="Q974" s="248">
        <f t="shared" si="823"/>
        <v>0</v>
      </c>
      <c r="R974" s="247" t="str" cm="1">
        <f t="array" ref="R974">IF($K974&gt;0, INDEX(Clean,1+AH974,$C$1), "")</f>
        <v/>
      </c>
      <c r="S974" s="245"/>
      <c r="T974" s="245"/>
      <c r="U974" s="246"/>
      <c r="V974" s="248">
        <f t="shared" si="824"/>
        <v>0</v>
      </c>
      <c r="W974" s="261"/>
      <c r="X974" s="258"/>
      <c r="Y974" s="240"/>
      <c r="Z974" s="241" t="str">
        <f>IF(ISBLANK(Y974), "", VLOOKUP(Y974, Z!$A$2:$C$4127, 3, FALSE))</f>
        <v/>
      </c>
      <c r="AA974" s="262"/>
      <c r="AB974" s="249">
        <f t="shared" si="822"/>
        <v>0</v>
      </c>
      <c r="AC974" s="210"/>
      <c r="AD974" s="236">
        <f t="shared" si="847"/>
        <v>1</v>
      </c>
      <c r="AE974" s="236">
        <f t="shared" si="848"/>
        <v>1</v>
      </c>
      <c r="AF974" s="236">
        <f t="shared" si="849"/>
        <v>0</v>
      </c>
      <c r="AG974" s="236">
        <v>1</v>
      </c>
      <c r="AH974" s="236">
        <v>0</v>
      </c>
      <c r="AI974" s="236">
        <f t="shared" si="825"/>
        <v>-100</v>
      </c>
      <c r="AJ974" s="210"/>
      <c r="AK974" s="254"/>
      <c r="AL974" s="254"/>
      <c r="AM974" s="255"/>
      <c r="AN974" s="255"/>
      <c r="AO974" s="255"/>
      <c r="AP974" s="255"/>
      <c r="AQ974" s="255"/>
      <c r="AR974" s="255"/>
      <c r="AS974" s="255"/>
      <c r="AT974" s="255"/>
      <c r="AU974" s="255"/>
      <c r="AV974" s="255"/>
      <c r="AW974" s="255"/>
      <c r="AX974" s="210"/>
      <c r="AY974" s="236" cm="1">
        <f t="array" ref="AY974">INDEX(Use, $AD974, 4)</f>
        <v>7</v>
      </c>
      <c r="AZ974" s="236">
        <f t="shared" si="826"/>
        <v>32</v>
      </c>
      <c r="BA974" s="236">
        <f t="shared" si="814"/>
        <v>13</v>
      </c>
      <c r="BB974" s="236">
        <f t="shared" si="815"/>
        <v>0</v>
      </c>
      <c r="BC974" s="252" cm="1">
        <f t="array" ref="BC974">K974/IF($L974&gt;0, INDEX($AO$23:$AU$77, $L974+20, $AD974), 1)</f>
        <v>0</v>
      </c>
      <c r="BD974" s="237">
        <f t="shared" si="827"/>
        <v>0</v>
      </c>
      <c r="BE974" s="236">
        <v>35</v>
      </c>
      <c r="BF974" s="237">
        <f t="shared" si="828"/>
        <v>52.55</v>
      </c>
      <c r="BG974" s="253">
        <f t="shared" si="829"/>
        <v>2.7676728869374316</v>
      </c>
      <c r="BH974" s="253" cm="1">
        <f t="array" ref="BH974">$BC974 * SUMPRODUCT(INDEX($AL$77:$AN$82,,$AE974),INDEX($AO$77:$AU$82,,$AD974), N($AK$77:$AK$82&gt;$AI974)) / BG974 / 1000</f>
        <v>0</v>
      </c>
      <c r="BI974" s="250">
        <f t="shared" si="816"/>
        <v>30</v>
      </c>
      <c r="BJ974" s="237">
        <f t="shared" si="830"/>
        <v>46.033333333333331</v>
      </c>
      <c r="BK974" s="253">
        <f t="shared" si="831"/>
        <v>3.2297395388556791</v>
      </c>
      <c r="BL974" s="253" cm="1">
        <f t="array" ref="BL974">$BC974 * IF($AD974&lt;=2,
SUMPRODUCT(INDEX($AL$72:$AN$76,,$AE974), INDEX($AO$72:$AU$76,,$AD974), 1 / ($AV$72:$AV$76*BK974 + (1-$AV$72:$AV$76)*BG974), N($AK$72:$AK$76&gt;$AI974)),
SUMPRODUCT(INDEX($AL$67:$AN$76,,$AE974), INDEX($AO$67:$AU$76,,$AD974), 1 / ($AW$67:$AW$76*BK974 + (1-$AW$67:$AW$76)*BG974), N($AK$67:$AK$76&gt;$AI974))
) / 1000</f>
        <v>0</v>
      </c>
      <c r="BM974" s="250">
        <f t="shared" si="817"/>
        <v>25</v>
      </c>
      <c r="BN974" s="237">
        <f t="shared" si="832"/>
        <v>39.516666666666666</v>
      </c>
      <c r="BO974" s="253">
        <f t="shared" si="833"/>
        <v>3.877011788826243</v>
      </c>
      <c r="BP974" s="253" cm="1">
        <f t="array" ref="BP974">$BC974 * IF($AD974&lt;=2,
SUMPRODUCT(INDEX($AL$67:$AN$71,,$AE974), INDEX($AO$67:$AU$71,,$AD974), 1 / ($AV$67:$AV$71*BO974 + (1-$AV$67:$AV$71)*BK974), N($AK$67:$AK$71&gt;$AI974)),
SUMPRODUCT(INDEX($AL$57:$AN$66,,$AE974), INDEX($AO$57:$AU$66,,$AD974), 1 / ($AW$57:$AW$66*BO974 + (1-$AW$57:$AW$66)*BK974), N($AK$57:$AK$66&gt;$AI974))
) / 1000</f>
        <v>0</v>
      </c>
      <c r="BQ974" s="250">
        <f t="shared" si="818"/>
        <v>20</v>
      </c>
      <c r="BR974" s="237">
        <f t="shared" si="834"/>
        <v>33</v>
      </c>
      <c r="BS974" s="253">
        <f t="shared" si="835"/>
        <v>4.8487499999999999</v>
      </c>
      <c r="BT974" s="253" cm="1">
        <f t="array" ref="BT974">$BC974 * IF($AD974&lt;=2,
SUMPRODUCT(INDEX($AL$62:$AN$66,,$AE974), INDEX($AO$62:$AU$66,,$AD974), 1 / ($AV$62:$AV$66*BS974 + (1-$AV$62:$AV$66)*BO974), N($AK$62:$AK$66&gt;$AI974)),
SUMPRODUCT(INDEX($AL$47:$AN$56,,$AE974), INDEX($AO$47:$AU$56,,$AD974), 1 / ($AW$47:$AW$56*BS974 + (1-$AW$47:$AW$56)*BO974), N($AK$47:$AK$56&gt;$AI974))
) / 1000</f>
        <v>0</v>
      </c>
      <c r="BU974" s="253" cm="1">
        <f t="array" ref="BU974">$BC974 * IF($AD974&lt;=2,
SUMPRODUCT(INDEX($AL$23:$AN$61,,$AE974), INDEX($AO$23:$AU$61,,$AD974), 1 / ($AV$23:$AV$61*BS974), N($AK$23:$AK$61&gt;$AI974)),
SUMPRODUCT(INDEX($AL$23:$AN$46,,$AE974), INDEX($AO$23:$AU$46,,$AD974), 1 / ($AW$23:$AW$46*BS974), N($AK$23:$AK$46&gt;$AI974))
) / 1000</f>
        <v>0</v>
      </c>
      <c r="BV974" s="237">
        <f t="shared" si="836"/>
        <v>0</v>
      </c>
      <c r="BW974" s="210"/>
      <c r="BX974" s="237">
        <f t="shared" si="837"/>
        <v>0</v>
      </c>
      <c r="BY974" s="236">
        <v>35</v>
      </c>
      <c r="BZ974" s="237">
        <f t="shared" si="838"/>
        <v>48</v>
      </c>
      <c r="CA974" s="253">
        <f t="shared" si="839"/>
        <v>3.0748170731707316</v>
      </c>
      <c r="CB974" s="253" cm="1">
        <f t="array" ref="CB974">$BC974 * SUMPRODUCT(INDEX($AL$77:$AN$82,,$AE974),INDEX($AO$77:$AU$82,,$AD974), N($AK$77:$AK$82&gt;$AI974)) / CA974 / 1000</f>
        <v>0</v>
      </c>
      <c r="CC974" s="250">
        <f t="shared" si="819"/>
        <v>30</v>
      </c>
      <c r="CD974" s="237">
        <f t="shared" si="840"/>
        <v>43</v>
      </c>
      <c r="CE974" s="253">
        <f t="shared" si="841"/>
        <v>3.5018750000000001</v>
      </c>
      <c r="CF974" s="253" cm="1">
        <f t="array" ref="CF974">$BC974 * IF($AD974&lt;=2,
SUMPRODUCT(INDEX($AL$72:$AN$76,,$AE974), INDEX($AO$72:$AU$76,,$AD974), 1 / ($AV$72:$AV$76*CE974 + (1-$AV$72:$AV$76)*CA974), N($AK$72:$AK$76&gt;$AI974)),
SUMPRODUCT(INDEX($AL$67:$AN$76,,$AE974), INDEX($AO$67:$AU$76,,$AD974), 1 / ($AW$67:$AW$76*CE974 + (1-$AW$67:$AW$76)*CA974), N($AK$67:$AK$76&gt;$AI974))
) / 1000</f>
        <v>0</v>
      </c>
      <c r="CG974" s="250">
        <f t="shared" si="820"/>
        <v>25</v>
      </c>
      <c r="CH974" s="237">
        <f t="shared" si="842"/>
        <v>38</v>
      </c>
      <c r="CI974" s="253">
        <f t="shared" si="843"/>
        <v>4.0666935483870965</v>
      </c>
      <c r="CJ974" s="253" cm="1">
        <f t="array" ref="CJ974">$BC974 * IF($AD974&lt;=2,
SUMPRODUCT(INDEX($AL$67:$AN$71,,$AE974), INDEX($AO$67:$AU$71,,$AD974), 1 / ($AV$67:$AV$71*CI974 + (1-$AV$67:$AV$71)*CE974), N($AK$67:$AK$71&gt;$AI974)),
SUMPRODUCT(INDEX($AL$57:$AN$66,,$AE974), INDEX($AO$57:$AU$66,,$AD974), 1 / ($AW$57:$AW$66*CI974 + (1-$AW$57:$AW$66)*CE974), N($AK$57:$AK$66&gt;$AI974))
) / 1000</f>
        <v>0</v>
      </c>
      <c r="CK974" s="250">
        <f t="shared" si="821"/>
        <v>20</v>
      </c>
      <c r="CL974" s="237">
        <f t="shared" si="844"/>
        <v>33</v>
      </c>
      <c r="CM974" s="253">
        <f t="shared" si="845"/>
        <v>4.8487499999999999</v>
      </c>
      <c r="CN974" s="253" cm="1">
        <f t="array" ref="CN974">$BC974 * IF($AD974&lt;=2,
SUMPRODUCT(INDEX($AL$62:$AN$66,,$AE974), INDEX($AO$62:$AU$66,,$AD974), 1 / ($AV$62:$AV$66*CM974 + (1-$AV$62:$AV$66)*CI974), N($AK$62:$AK$66&gt;$AI974)),
SUMPRODUCT(INDEX($AL$47:$AN$56,,$AE974), INDEX($AO$47:$AU$56,,$AD974), 1 / ($AW$47:$AW$56*CM974 + (1-$AW$47:$AW$56)*CI974), N($AK$47:$AK$56&gt;$AI974))
) / 1000</f>
        <v>0</v>
      </c>
      <c r="CO974" s="253" cm="1">
        <f t="array" ref="CO974">$BC974 * IF($AD974&lt;=2,
SUMPRODUCT(INDEX($AL$23:$AN$61,,$AE974), INDEX($AO$23:$AU$61,,$AD974), 1 / ($AV$23:$AV$61*CM974), N($AK$23:$AK$61&gt;$AI974)),
SUMPRODUCT(INDEX($AL$23:$AN$46,,$AE974), INDEX($AO$23:$AU$46,,$AD974), 1 / ($AW$23:$AW$46*CM974), N($AK$23:$AK$46&gt;$AI974))
) / 1000</f>
        <v>0</v>
      </c>
      <c r="CP974" s="237">
        <f t="shared" si="846"/>
        <v>0</v>
      </c>
      <c r="CQ974" s="210"/>
    </row>
    <row r="975" spans="1:95" s="76" customFormat="1" ht="14.25" customHeight="1" x14ac:dyDescent="0.2">
      <c r="A975" s="238" t="b">
        <f t="shared" si="813"/>
        <v>0</v>
      </c>
      <c r="B975" s="239">
        <v>953</v>
      </c>
      <c r="C975" s="258"/>
      <c r="D975" s="258"/>
      <c r="E975" s="240"/>
      <c r="F975" s="241" t="str">
        <f>IF(ISBLANK(E975), "", VLOOKUP(E975, Z!$A$2:$C$4127, 3, FALSE))</f>
        <v/>
      </c>
      <c r="G975" s="242"/>
      <c r="H975" s="242"/>
      <c r="I975" s="243"/>
      <c r="J975" s="244"/>
      <c r="K975" s="259"/>
      <c r="L975" s="260"/>
      <c r="M975" s="247" t="str" cm="1">
        <f t="array" ref="M975">IF($K975&gt;0, INDEX(Clean,1+AG975,$C$1), "")</f>
        <v/>
      </c>
      <c r="N975" s="245"/>
      <c r="O975" s="245"/>
      <c r="P975" s="246"/>
      <c r="Q975" s="248">
        <f t="shared" si="823"/>
        <v>0</v>
      </c>
      <c r="R975" s="247" t="str" cm="1">
        <f t="array" ref="R975">IF($K975&gt;0, INDEX(Clean,1+AH975,$C$1), "")</f>
        <v/>
      </c>
      <c r="S975" s="245"/>
      <c r="T975" s="245"/>
      <c r="U975" s="246"/>
      <c r="V975" s="248">
        <f t="shared" si="824"/>
        <v>0</v>
      </c>
      <c r="W975" s="261"/>
      <c r="X975" s="258"/>
      <c r="Y975" s="240"/>
      <c r="Z975" s="241" t="str">
        <f>IF(ISBLANK(Y975), "", VLOOKUP(Y975, Z!$A$2:$C$4127, 3, FALSE))</f>
        <v/>
      </c>
      <c r="AA975" s="262"/>
      <c r="AB975" s="249">
        <f t="shared" si="822"/>
        <v>0</v>
      </c>
      <c r="AC975" s="210"/>
      <c r="AD975" s="236">
        <f t="shared" si="847"/>
        <v>1</v>
      </c>
      <c r="AE975" s="236">
        <f t="shared" si="848"/>
        <v>1</v>
      </c>
      <c r="AF975" s="236">
        <f t="shared" si="849"/>
        <v>0</v>
      </c>
      <c r="AG975" s="236">
        <v>1</v>
      </c>
      <c r="AH975" s="236">
        <v>0</v>
      </c>
      <c r="AI975" s="236">
        <f t="shared" si="825"/>
        <v>-100</v>
      </c>
      <c r="AJ975" s="210"/>
      <c r="AK975" s="254"/>
      <c r="AL975" s="254"/>
      <c r="AM975" s="255"/>
      <c r="AN975" s="255"/>
      <c r="AO975" s="255"/>
      <c r="AP975" s="255"/>
      <c r="AQ975" s="255"/>
      <c r="AR975" s="255"/>
      <c r="AS975" s="255"/>
      <c r="AT975" s="255"/>
      <c r="AU975" s="255"/>
      <c r="AV975" s="255"/>
      <c r="AW975" s="255"/>
      <c r="AX975" s="210"/>
      <c r="AY975" s="236" cm="1">
        <f t="array" ref="AY975">INDEX(Use, $AD975, 4)</f>
        <v>7</v>
      </c>
      <c r="AZ975" s="236">
        <f t="shared" si="826"/>
        <v>32</v>
      </c>
      <c r="BA975" s="236">
        <f t="shared" si="814"/>
        <v>13</v>
      </c>
      <c r="BB975" s="236">
        <f t="shared" si="815"/>
        <v>0</v>
      </c>
      <c r="BC975" s="252" cm="1">
        <f t="array" ref="BC975">K975/IF($L975&gt;0, INDEX($AO$23:$AU$77, $L975+20, $AD975), 1)</f>
        <v>0</v>
      </c>
      <c r="BD975" s="237">
        <f t="shared" si="827"/>
        <v>0</v>
      </c>
      <c r="BE975" s="236">
        <v>35</v>
      </c>
      <c r="BF975" s="237">
        <f t="shared" si="828"/>
        <v>52.55</v>
      </c>
      <c r="BG975" s="253">
        <f t="shared" si="829"/>
        <v>2.7676728869374316</v>
      </c>
      <c r="BH975" s="253" cm="1">
        <f t="array" ref="BH975">$BC975 * SUMPRODUCT(INDEX($AL$77:$AN$82,,$AE975),INDEX($AO$77:$AU$82,,$AD975), N($AK$77:$AK$82&gt;$AI975)) / BG975 / 1000</f>
        <v>0</v>
      </c>
      <c r="BI975" s="250">
        <f t="shared" si="816"/>
        <v>30</v>
      </c>
      <c r="BJ975" s="237">
        <f t="shared" si="830"/>
        <v>46.033333333333331</v>
      </c>
      <c r="BK975" s="253">
        <f t="shared" si="831"/>
        <v>3.2297395388556791</v>
      </c>
      <c r="BL975" s="253" cm="1">
        <f t="array" ref="BL975">$BC975 * IF($AD975&lt;=2,
SUMPRODUCT(INDEX($AL$72:$AN$76,,$AE975), INDEX($AO$72:$AU$76,,$AD975), 1 / ($AV$72:$AV$76*BK975 + (1-$AV$72:$AV$76)*BG975), N($AK$72:$AK$76&gt;$AI975)),
SUMPRODUCT(INDEX($AL$67:$AN$76,,$AE975), INDEX($AO$67:$AU$76,,$AD975), 1 / ($AW$67:$AW$76*BK975 + (1-$AW$67:$AW$76)*BG975), N($AK$67:$AK$76&gt;$AI975))
) / 1000</f>
        <v>0</v>
      </c>
      <c r="BM975" s="250">
        <f t="shared" si="817"/>
        <v>25</v>
      </c>
      <c r="BN975" s="237">
        <f t="shared" si="832"/>
        <v>39.516666666666666</v>
      </c>
      <c r="BO975" s="253">
        <f t="shared" si="833"/>
        <v>3.877011788826243</v>
      </c>
      <c r="BP975" s="253" cm="1">
        <f t="array" ref="BP975">$BC975 * IF($AD975&lt;=2,
SUMPRODUCT(INDEX($AL$67:$AN$71,,$AE975), INDEX($AO$67:$AU$71,,$AD975), 1 / ($AV$67:$AV$71*BO975 + (1-$AV$67:$AV$71)*BK975), N($AK$67:$AK$71&gt;$AI975)),
SUMPRODUCT(INDEX($AL$57:$AN$66,,$AE975), INDEX($AO$57:$AU$66,,$AD975), 1 / ($AW$57:$AW$66*BO975 + (1-$AW$57:$AW$66)*BK975), N($AK$57:$AK$66&gt;$AI975))
) / 1000</f>
        <v>0</v>
      </c>
      <c r="BQ975" s="250">
        <f t="shared" si="818"/>
        <v>20</v>
      </c>
      <c r="BR975" s="237">
        <f t="shared" si="834"/>
        <v>33</v>
      </c>
      <c r="BS975" s="253">
        <f t="shared" si="835"/>
        <v>4.8487499999999999</v>
      </c>
      <c r="BT975" s="253" cm="1">
        <f t="array" ref="BT975">$BC975 * IF($AD975&lt;=2,
SUMPRODUCT(INDEX($AL$62:$AN$66,,$AE975), INDEX($AO$62:$AU$66,,$AD975), 1 / ($AV$62:$AV$66*BS975 + (1-$AV$62:$AV$66)*BO975), N($AK$62:$AK$66&gt;$AI975)),
SUMPRODUCT(INDEX($AL$47:$AN$56,,$AE975), INDEX($AO$47:$AU$56,,$AD975), 1 / ($AW$47:$AW$56*BS975 + (1-$AW$47:$AW$56)*BO975), N($AK$47:$AK$56&gt;$AI975))
) / 1000</f>
        <v>0</v>
      </c>
      <c r="BU975" s="253" cm="1">
        <f t="array" ref="BU975">$BC975 * IF($AD975&lt;=2,
SUMPRODUCT(INDEX($AL$23:$AN$61,,$AE975), INDEX($AO$23:$AU$61,,$AD975), 1 / ($AV$23:$AV$61*BS975), N($AK$23:$AK$61&gt;$AI975)),
SUMPRODUCT(INDEX($AL$23:$AN$46,,$AE975), INDEX($AO$23:$AU$46,,$AD975), 1 / ($AW$23:$AW$46*BS975), N($AK$23:$AK$46&gt;$AI975))
) / 1000</f>
        <v>0</v>
      </c>
      <c r="BV975" s="237">
        <f t="shared" si="836"/>
        <v>0</v>
      </c>
      <c r="BW975" s="210"/>
      <c r="BX975" s="237">
        <f t="shared" si="837"/>
        <v>0</v>
      </c>
      <c r="BY975" s="236">
        <v>35</v>
      </c>
      <c r="BZ975" s="237">
        <f t="shared" si="838"/>
        <v>48</v>
      </c>
      <c r="CA975" s="253">
        <f t="shared" si="839"/>
        <v>3.0748170731707316</v>
      </c>
      <c r="CB975" s="253" cm="1">
        <f t="array" ref="CB975">$BC975 * SUMPRODUCT(INDEX($AL$77:$AN$82,,$AE975),INDEX($AO$77:$AU$82,,$AD975), N($AK$77:$AK$82&gt;$AI975)) / CA975 / 1000</f>
        <v>0</v>
      </c>
      <c r="CC975" s="250">
        <f t="shared" si="819"/>
        <v>30</v>
      </c>
      <c r="CD975" s="237">
        <f t="shared" si="840"/>
        <v>43</v>
      </c>
      <c r="CE975" s="253">
        <f t="shared" si="841"/>
        <v>3.5018750000000001</v>
      </c>
      <c r="CF975" s="253" cm="1">
        <f t="array" ref="CF975">$BC975 * IF($AD975&lt;=2,
SUMPRODUCT(INDEX($AL$72:$AN$76,,$AE975), INDEX($AO$72:$AU$76,,$AD975), 1 / ($AV$72:$AV$76*CE975 + (1-$AV$72:$AV$76)*CA975), N($AK$72:$AK$76&gt;$AI975)),
SUMPRODUCT(INDEX($AL$67:$AN$76,,$AE975), INDEX($AO$67:$AU$76,,$AD975), 1 / ($AW$67:$AW$76*CE975 + (1-$AW$67:$AW$76)*CA975), N($AK$67:$AK$76&gt;$AI975))
) / 1000</f>
        <v>0</v>
      </c>
      <c r="CG975" s="250">
        <f t="shared" si="820"/>
        <v>25</v>
      </c>
      <c r="CH975" s="237">
        <f t="shared" si="842"/>
        <v>38</v>
      </c>
      <c r="CI975" s="253">
        <f t="shared" si="843"/>
        <v>4.0666935483870965</v>
      </c>
      <c r="CJ975" s="253" cm="1">
        <f t="array" ref="CJ975">$BC975 * IF($AD975&lt;=2,
SUMPRODUCT(INDEX($AL$67:$AN$71,,$AE975), INDEX($AO$67:$AU$71,,$AD975), 1 / ($AV$67:$AV$71*CI975 + (1-$AV$67:$AV$71)*CE975), N($AK$67:$AK$71&gt;$AI975)),
SUMPRODUCT(INDEX($AL$57:$AN$66,,$AE975), INDEX($AO$57:$AU$66,,$AD975), 1 / ($AW$57:$AW$66*CI975 + (1-$AW$57:$AW$66)*CE975), N($AK$57:$AK$66&gt;$AI975))
) / 1000</f>
        <v>0</v>
      </c>
      <c r="CK975" s="250">
        <f t="shared" si="821"/>
        <v>20</v>
      </c>
      <c r="CL975" s="237">
        <f t="shared" si="844"/>
        <v>33</v>
      </c>
      <c r="CM975" s="253">
        <f t="shared" si="845"/>
        <v>4.8487499999999999</v>
      </c>
      <c r="CN975" s="253" cm="1">
        <f t="array" ref="CN975">$BC975 * IF($AD975&lt;=2,
SUMPRODUCT(INDEX($AL$62:$AN$66,,$AE975), INDEX($AO$62:$AU$66,,$AD975), 1 / ($AV$62:$AV$66*CM975 + (1-$AV$62:$AV$66)*CI975), N($AK$62:$AK$66&gt;$AI975)),
SUMPRODUCT(INDEX($AL$47:$AN$56,,$AE975), INDEX($AO$47:$AU$56,,$AD975), 1 / ($AW$47:$AW$56*CM975 + (1-$AW$47:$AW$56)*CI975), N($AK$47:$AK$56&gt;$AI975))
) / 1000</f>
        <v>0</v>
      </c>
      <c r="CO975" s="253" cm="1">
        <f t="array" ref="CO975">$BC975 * IF($AD975&lt;=2,
SUMPRODUCT(INDEX($AL$23:$AN$61,,$AE975), INDEX($AO$23:$AU$61,,$AD975), 1 / ($AV$23:$AV$61*CM975), N($AK$23:$AK$61&gt;$AI975)),
SUMPRODUCT(INDEX($AL$23:$AN$46,,$AE975), INDEX($AO$23:$AU$46,,$AD975), 1 / ($AW$23:$AW$46*CM975), N($AK$23:$AK$46&gt;$AI975))
) / 1000</f>
        <v>0</v>
      </c>
      <c r="CP975" s="237">
        <f t="shared" si="846"/>
        <v>0</v>
      </c>
      <c r="CQ975" s="210"/>
    </row>
    <row r="976" spans="1:95" s="76" customFormat="1" ht="14.25" customHeight="1" x14ac:dyDescent="0.2">
      <c r="A976" s="238" t="b">
        <f t="shared" si="813"/>
        <v>0</v>
      </c>
      <c r="B976" s="239">
        <v>954</v>
      </c>
      <c r="C976" s="258"/>
      <c r="D976" s="258"/>
      <c r="E976" s="240"/>
      <c r="F976" s="241" t="str">
        <f>IF(ISBLANK(E976), "", VLOOKUP(E976, Z!$A$2:$C$4127, 3, FALSE))</f>
        <v/>
      </c>
      <c r="G976" s="242"/>
      <c r="H976" s="242"/>
      <c r="I976" s="243"/>
      <c r="J976" s="244"/>
      <c r="K976" s="259"/>
      <c r="L976" s="260"/>
      <c r="M976" s="247" t="str" cm="1">
        <f t="array" ref="M976">IF($K976&gt;0, INDEX(Clean,1+AG976,$C$1), "")</f>
        <v/>
      </c>
      <c r="N976" s="245"/>
      <c r="O976" s="245"/>
      <c r="P976" s="246"/>
      <c r="Q976" s="248">
        <f t="shared" si="823"/>
        <v>0</v>
      </c>
      <c r="R976" s="247" t="str" cm="1">
        <f t="array" ref="R976">IF($K976&gt;0, INDEX(Clean,1+AH976,$C$1), "")</f>
        <v/>
      </c>
      <c r="S976" s="245"/>
      <c r="T976" s="245"/>
      <c r="U976" s="246"/>
      <c r="V976" s="248">
        <f t="shared" si="824"/>
        <v>0</v>
      </c>
      <c r="W976" s="261"/>
      <c r="X976" s="258"/>
      <c r="Y976" s="240"/>
      <c r="Z976" s="241" t="str">
        <f>IF(ISBLANK(Y976), "", VLOOKUP(Y976, Z!$A$2:$C$4127, 3, FALSE))</f>
        <v/>
      </c>
      <c r="AA976" s="262"/>
      <c r="AB976" s="249">
        <f t="shared" si="822"/>
        <v>0</v>
      </c>
      <c r="AC976" s="210"/>
      <c r="AD976" s="236">
        <f t="shared" si="847"/>
        <v>1</v>
      </c>
      <c r="AE976" s="236">
        <f t="shared" si="848"/>
        <v>1</v>
      </c>
      <c r="AF976" s="236">
        <f t="shared" si="849"/>
        <v>0</v>
      </c>
      <c r="AG976" s="236">
        <v>1</v>
      </c>
      <c r="AH976" s="236">
        <v>0</v>
      </c>
      <c r="AI976" s="236">
        <f t="shared" si="825"/>
        <v>-100</v>
      </c>
      <c r="AJ976" s="210"/>
      <c r="AK976" s="254"/>
      <c r="AL976" s="254"/>
      <c r="AM976" s="255"/>
      <c r="AN976" s="255"/>
      <c r="AO976" s="255"/>
      <c r="AP976" s="255"/>
      <c r="AQ976" s="255"/>
      <c r="AR976" s="255"/>
      <c r="AS976" s="255"/>
      <c r="AT976" s="255"/>
      <c r="AU976" s="255"/>
      <c r="AV976" s="255"/>
      <c r="AW976" s="255"/>
      <c r="AX976" s="210"/>
      <c r="AY976" s="236" cm="1">
        <f t="array" ref="AY976">INDEX(Use, $AD976, 4)</f>
        <v>7</v>
      </c>
      <c r="AZ976" s="236">
        <f t="shared" si="826"/>
        <v>32</v>
      </c>
      <c r="BA976" s="236">
        <f t="shared" si="814"/>
        <v>13</v>
      </c>
      <c r="BB976" s="236">
        <f t="shared" si="815"/>
        <v>0</v>
      </c>
      <c r="BC976" s="252" cm="1">
        <f t="array" ref="BC976">K976/IF($L976&gt;0, INDEX($AO$23:$AU$77, $L976+20, $AD976), 1)</f>
        <v>0</v>
      </c>
      <c r="BD976" s="237">
        <f t="shared" si="827"/>
        <v>0</v>
      </c>
      <c r="BE976" s="236">
        <v>35</v>
      </c>
      <c r="BF976" s="237">
        <f t="shared" si="828"/>
        <v>52.55</v>
      </c>
      <c r="BG976" s="253">
        <f t="shared" si="829"/>
        <v>2.7676728869374316</v>
      </c>
      <c r="BH976" s="253" cm="1">
        <f t="array" ref="BH976">$BC976 * SUMPRODUCT(INDEX($AL$77:$AN$82,,$AE976),INDEX($AO$77:$AU$82,,$AD976), N($AK$77:$AK$82&gt;$AI976)) / BG976 / 1000</f>
        <v>0</v>
      </c>
      <c r="BI976" s="250">
        <f t="shared" si="816"/>
        <v>30</v>
      </c>
      <c r="BJ976" s="237">
        <f t="shared" si="830"/>
        <v>46.033333333333331</v>
      </c>
      <c r="BK976" s="253">
        <f t="shared" si="831"/>
        <v>3.2297395388556791</v>
      </c>
      <c r="BL976" s="253" cm="1">
        <f t="array" ref="BL976">$BC976 * IF($AD976&lt;=2,
SUMPRODUCT(INDEX($AL$72:$AN$76,,$AE976), INDEX($AO$72:$AU$76,,$AD976), 1 / ($AV$72:$AV$76*BK976 + (1-$AV$72:$AV$76)*BG976), N($AK$72:$AK$76&gt;$AI976)),
SUMPRODUCT(INDEX($AL$67:$AN$76,,$AE976), INDEX($AO$67:$AU$76,,$AD976), 1 / ($AW$67:$AW$76*BK976 + (1-$AW$67:$AW$76)*BG976), N($AK$67:$AK$76&gt;$AI976))
) / 1000</f>
        <v>0</v>
      </c>
      <c r="BM976" s="250">
        <f t="shared" si="817"/>
        <v>25</v>
      </c>
      <c r="BN976" s="237">
        <f t="shared" si="832"/>
        <v>39.516666666666666</v>
      </c>
      <c r="BO976" s="253">
        <f t="shared" si="833"/>
        <v>3.877011788826243</v>
      </c>
      <c r="BP976" s="253" cm="1">
        <f t="array" ref="BP976">$BC976 * IF($AD976&lt;=2,
SUMPRODUCT(INDEX($AL$67:$AN$71,,$AE976), INDEX($AO$67:$AU$71,,$AD976), 1 / ($AV$67:$AV$71*BO976 + (1-$AV$67:$AV$71)*BK976), N($AK$67:$AK$71&gt;$AI976)),
SUMPRODUCT(INDEX($AL$57:$AN$66,,$AE976), INDEX($AO$57:$AU$66,,$AD976), 1 / ($AW$57:$AW$66*BO976 + (1-$AW$57:$AW$66)*BK976), N($AK$57:$AK$66&gt;$AI976))
) / 1000</f>
        <v>0</v>
      </c>
      <c r="BQ976" s="250">
        <f t="shared" si="818"/>
        <v>20</v>
      </c>
      <c r="BR976" s="237">
        <f t="shared" si="834"/>
        <v>33</v>
      </c>
      <c r="BS976" s="253">
        <f t="shared" si="835"/>
        <v>4.8487499999999999</v>
      </c>
      <c r="BT976" s="253" cm="1">
        <f t="array" ref="BT976">$BC976 * IF($AD976&lt;=2,
SUMPRODUCT(INDEX($AL$62:$AN$66,,$AE976), INDEX($AO$62:$AU$66,,$AD976), 1 / ($AV$62:$AV$66*BS976 + (1-$AV$62:$AV$66)*BO976), N($AK$62:$AK$66&gt;$AI976)),
SUMPRODUCT(INDEX($AL$47:$AN$56,,$AE976), INDEX($AO$47:$AU$56,,$AD976), 1 / ($AW$47:$AW$56*BS976 + (1-$AW$47:$AW$56)*BO976), N($AK$47:$AK$56&gt;$AI976))
) / 1000</f>
        <v>0</v>
      </c>
      <c r="BU976" s="253" cm="1">
        <f t="array" ref="BU976">$BC976 * IF($AD976&lt;=2,
SUMPRODUCT(INDEX($AL$23:$AN$61,,$AE976), INDEX($AO$23:$AU$61,,$AD976), 1 / ($AV$23:$AV$61*BS976), N($AK$23:$AK$61&gt;$AI976)),
SUMPRODUCT(INDEX($AL$23:$AN$46,,$AE976), INDEX($AO$23:$AU$46,,$AD976), 1 / ($AW$23:$AW$46*BS976), N($AK$23:$AK$46&gt;$AI976))
) / 1000</f>
        <v>0</v>
      </c>
      <c r="BV976" s="237">
        <f t="shared" si="836"/>
        <v>0</v>
      </c>
      <c r="BW976" s="210"/>
      <c r="BX976" s="237">
        <f t="shared" si="837"/>
        <v>0</v>
      </c>
      <c r="BY976" s="236">
        <v>35</v>
      </c>
      <c r="BZ976" s="237">
        <f t="shared" si="838"/>
        <v>48</v>
      </c>
      <c r="CA976" s="253">
        <f t="shared" si="839"/>
        <v>3.0748170731707316</v>
      </c>
      <c r="CB976" s="253" cm="1">
        <f t="array" ref="CB976">$BC976 * SUMPRODUCT(INDEX($AL$77:$AN$82,,$AE976),INDEX($AO$77:$AU$82,,$AD976), N($AK$77:$AK$82&gt;$AI976)) / CA976 / 1000</f>
        <v>0</v>
      </c>
      <c r="CC976" s="250">
        <f t="shared" si="819"/>
        <v>30</v>
      </c>
      <c r="CD976" s="237">
        <f t="shared" si="840"/>
        <v>43</v>
      </c>
      <c r="CE976" s="253">
        <f t="shared" si="841"/>
        <v>3.5018750000000001</v>
      </c>
      <c r="CF976" s="253" cm="1">
        <f t="array" ref="CF976">$BC976 * IF($AD976&lt;=2,
SUMPRODUCT(INDEX($AL$72:$AN$76,,$AE976), INDEX($AO$72:$AU$76,,$AD976), 1 / ($AV$72:$AV$76*CE976 + (1-$AV$72:$AV$76)*CA976), N($AK$72:$AK$76&gt;$AI976)),
SUMPRODUCT(INDEX($AL$67:$AN$76,,$AE976), INDEX($AO$67:$AU$76,,$AD976), 1 / ($AW$67:$AW$76*CE976 + (1-$AW$67:$AW$76)*CA976), N($AK$67:$AK$76&gt;$AI976))
) / 1000</f>
        <v>0</v>
      </c>
      <c r="CG976" s="250">
        <f t="shared" si="820"/>
        <v>25</v>
      </c>
      <c r="CH976" s="237">
        <f t="shared" si="842"/>
        <v>38</v>
      </c>
      <c r="CI976" s="253">
        <f t="shared" si="843"/>
        <v>4.0666935483870965</v>
      </c>
      <c r="CJ976" s="253" cm="1">
        <f t="array" ref="CJ976">$BC976 * IF($AD976&lt;=2,
SUMPRODUCT(INDEX($AL$67:$AN$71,,$AE976), INDEX($AO$67:$AU$71,,$AD976), 1 / ($AV$67:$AV$71*CI976 + (1-$AV$67:$AV$71)*CE976), N($AK$67:$AK$71&gt;$AI976)),
SUMPRODUCT(INDEX($AL$57:$AN$66,,$AE976), INDEX($AO$57:$AU$66,,$AD976), 1 / ($AW$57:$AW$66*CI976 + (1-$AW$57:$AW$66)*CE976), N($AK$57:$AK$66&gt;$AI976))
) / 1000</f>
        <v>0</v>
      </c>
      <c r="CK976" s="250">
        <f t="shared" si="821"/>
        <v>20</v>
      </c>
      <c r="CL976" s="237">
        <f t="shared" si="844"/>
        <v>33</v>
      </c>
      <c r="CM976" s="253">
        <f t="shared" si="845"/>
        <v>4.8487499999999999</v>
      </c>
      <c r="CN976" s="253" cm="1">
        <f t="array" ref="CN976">$BC976 * IF($AD976&lt;=2,
SUMPRODUCT(INDEX($AL$62:$AN$66,,$AE976), INDEX($AO$62:$AU$66,,$AD976), 1 / ($AV$62:$AV$66*CM976 + (1-$AV$62:$AV$66)*CI976), N($AK$62:$AK$66&gt;$AI976)),
SUMPRODUCT(INDEX($AL$47:$AN$56,,$AE976), INDEX($AO$47:$AU$56,,$AD976), 1 / ($AW$47:$AW$56*CM976 + (1-$AW$47:$AW$56)*CI976), N($AK$47:$AK$56&gt;$AI976))
) / 1000</f>
        <v>0</v>
      </c>
      <c r="CO976" s="253" cm="1">
        <f t="array" ref="CO976">$BC976 * IF($AD976&lt;=2,
SUMPRODUCT(INDEX($AL$23:$AN$61,,$AE976), INDEX($AO$23:$AU$61,,$AD976), 1 / ($AV$23:$AV$61*CM976), N($AK$23:$AK$61&gt;$AI976)),
SUMPRODUCT(INDEX($AL$23:$AN$46,,$AE976), INDEX($AO$23:$AU$46,,$AD976), 1 / ($AW$23:$AW$46*CM976), N($AK$23:$AK$46&gt;$AI976))
) / 1000</f>
        <v>0</v>
      </c>
      <c r="CP976" s="237">
        <f t="shared" si="846"/>
        <v>0</v>
      </c>
      <c r="CQ976" s="210"/>
    </row>
    <row r="977" spans="1:95" s="76" customFormat="1" ht="14.25" customHeight="1" x14ac:dyDescent="0.2">
      <c r="A977" s="238" t="b">
        <f t="shared" si="813"/>
        <v>0</v>
      </c>
      <c r="B977" s="239">
        <v>955</v>
      </c>
      <c r="C977" s="258"/>
      <c r="D977" s="258"/>
      <c r="E977" s="240"/>
      <c r="F977" s="241" t="str">
        <f>IF(ISBLANK(E977), "", VLOOKUP(E977, Z!$A$2:$C$4127, 3, FALSE))</f>
        <v/>
      </c>
      <c r="G977" s="242"/>
      <c r="H977" s="242"/>
      <c r="I977" s="243"/>
      <c r="J977" s="244"/>
      <c r="K977" s="259"/>
      <c r="L977" s="260"/>
      <c r="M977" s="247" t="str" cm="1">
        <f t="array" ref="M977">IF($K977&gt;0, INDEX(Clean,1+AG977,$C$1), "")</f>
        <v/>
      </c>
      <c r="N977" s="245"/>
      <c r="O977" s="245"/>
      <c r="P977" s="246"/>
      <c r="Q977" s="248">
        <f t="shared" si="823"/>
        <v>0</v>
      </c>
      <c r="R977" s="247" t="str" cm="1">
        <f t="array" ref="R977">IF($K977&gt;0, INDEX(Clean,1+AH977,$C$1), "")</f>
        <v/>
      </c>
      <c r="S977" s="245"/>
      <c r="T977" s="245"/>
      <c r="U977" s="246"/>
      <c r="V977" s="248">
        <f t="shared" si="824"/>
        <v>0</v>
      </c>
      <c r="W977" s="261"/>
      <c r="X977" s="258"/>
      <c r="Y977" s="240"/>
      <c r="Z977" s="241" t="str">
        <f>IF(ISBLANK(Y977), "", VLOOKUP(Y977, Z!$A$2:$C$4127, 3, FALSE))</f>
        <v/>
      </c>
      <c r="AA977" s="262"/>
      <c r="AB977" s="249">
        <f t="shared" si="822"/>
        <v>0</v>
      </c>
      <c r="AC977" s="210"/>
      <c r="AD977" s="236">
        <f t="shared" si="847"/>
        <v>1</v>
      </c>
      <c r="AE977" s="236">
        <f t="shared" si="848"/>
        <v>1</v>
      </c>
      <c r="AF977" s="236">
        <f t="shared" si="849"/>
        <v>0</v>
      </c>
      <c r="AG977" s="236">
        <v>1</v>
      </c>
      <c r="AH977" s="236">
        <v>0</v>
      </c>
      <c r="AI977" s="236">
        <f t="shared" si="825"/>
        <v>-100</v>
      </c>
      <c r="AJ977" s="210"/>
      <c r="AK977" s="254"/>
      <c r="AL977" s="254"/>
      <c r="AM977" s="255"/>
      <c r="AN977" s="255"/>
      <c r="AO977" s="255"/>
      <c r="AP977" s="255"/>
      <c r="AQ977" s="255"/>
      <c r="AR977" s="255"/>
      <c r="AS977" s="255"/>
      <c r="AT977" s="255"/>
      <c r="AU977" s="255"/>
      <c r="AV977" s="255"/>
      <c r="AW977" s="255"/>
      <c r="AX977" s="210"/>
      <c r="AY977" s="236" cm="1">
        <f t="array" ref="AY977">INDEX(Use, $AD977, 4)</f>
        <v>7</v>
      </c>
      <c r="AZ977" s="236">
        <f t="shared" si="826"/>
        <v>32</v>
      </c>
      <c r="BA977" s="236">
        <f t="shared" si="814"/>
        <v>13</v>
      </c>
      <c r="BB977" s="236">
        <f t="shared" si="815"/>
        <v>0</v>
      </c>
      <c r="BC977" s="252" cm="1">
        <f t="array" ref="BC977">K977/IF($L977&gt;0, INDEX($AO$23:$AU$77, $L977+20, $AD977), 1)</f>
        <v>0</v>
      </c>
      <c r="BD977" s="237">
        <f t="shared" si="827"/>
        <v>0</v>
      </c>
      <c r="BE977" s="236">
        <v>35</v>
      </c>
      <c r="BF977" s="237">
        <f t="shared" si="828"/>
        <v>52.55</v>
      </c>
      <c r="BG977" s="253">
        <f t="shared" si="829"/>
        <v>2.7676728869374316</v>
      </c>
      <c r="BH977" s="253" cm="1">
        <f t="array" ref="BH977">$BC977 * SUMPRODUCT(INDEX($AL$77:$AN$82,,$AE977),INDEX($AO$77:$AU$82,,$AD977), N($AK$77:$AK$82&gt;$AI977)) / BG977 / 1000</f>
        <v>0</v>
      </c>
      <c r="BI977" s="250">
        <f t="shared" si="816"/>
        <v>30</v>
      </c>
      <c r="BJ977" s="237">
        <f t="shared" si="830"/>
        <v>46.033333333333331</v>
      </c>
      <c r="BK977" s="253">
        <f t="shared" si="831"/>
        <v>3.2297395388556791</v>
      </c>
      <c r="BL977" s="253" cm="1">
        <f t="array" ref="BL977">$BC977 * IF($AD977&lt;=2,
SUMPRODUCT(INDEX($AL$72:$AN$76,,$AE977), INDEX($AO$72:$AU$76,,$AD977), 1 / ($AV$72:$AV$76*BK977 + (1-$AV$72:$AV$76)*BG977), N($AK$72:$AK$76&gt;$AI977)),
SUMPRODUCT(INDEX($AL$67:$AN$76,,$AE977), INDEX($AO$67:$AU$76,,$AD977), 1 / ($AW$67:$AW$76*BK977 + (1-$AW$67:$AW$76)*BG977), N($AK$67:$AK$76&gt;$AI977))
) / 1000</f>
        <v>0</v>
      </c>
      <c r="BM977" s="250">
        <f t="shared" si="817"/>
        <v>25</v>
      </c>
      <c r="BN977" s="237">
        <f t="shared" si="832"/>
        <v>39.516666666666666</v>
      </c>
      <c r="BO977" s="253">
        <f t="shared" si="833"/>
        <v>3.877011788826243</v>
      </c>
      <c r="BP977" s="253" cm="1">
        <f t="array" ref="BP977">$BC977 * IF($AD977&lt;=2,
SUMPRODUCT(INDEX($AL$67:$AN$71,,$AE977), INDEX($AO$67:$AU$71,,$AD977), 1 / ($AV$67:$AV$71*BO977 + (1-$AV$67:$AV$71)*BK977), N($AK$67:$AK$71&gt;$AI977)),
SUMPRODUCT(INDEX($AL$57:$AN$66,,$AE977), INDEX($AO$57:$AU$66,,$AD977), 1 / ($AW$57:$AW$66*BO977 + (1-$AW$57:$AW$66)*BK977), N($AK$57:$AK$66&gt;$AI977))
) / 1000</f>
        <v>0</v>
      </c>
      <c r="BQ977" s="250">
        <f t="shared" si="818"/>
        <v>20</v>
      </c>
      <c r="BR977" s="237">
        <f t="shared" si="834"/>
        <v>33</v>
      </c>
      <c r="BS977" s="253">
        <f t="shared" si="835"/>
        <v>4.8487499999999999</v>
      </c>
      <c r="BT977" s="253" cm="1">
        <f t="array" ref="BT977">$BC977 * IF($AD977&lt;=2,
SUMPRODUCT(INDEX($AL$62:$AN$66,,$AE977), INDEX($AO$62:$AU$66,,$AD977), 1 / ($AV$62:$AV$66*BS977 + (1-$AV$62:$AV$66)*BO977), N($AK$62:$AK$66&gt;$AI977)),
SUMPRODUCT(INDEX($AL$47:$AN$56,,$AE977), INDEX($AO$47:$AU$56,,$AD977), 1 / ($AW$47:$AW$56*BS977 + (1-$AW$47:$AW$56)*BO977), N($AK$47:$AK$56&gt;$AI977))
) / 1000</f>
        <v>0</v>
      </c>
      <c r="BU977" s="253" cm="1">
        <f t="array" ref="BU977">$BC977 * IF($AD977&lt;=2,
SUMPRODUCT(INDEX($AL$23:$AN$61,,$AE977), INDEX($AO$23:$AU$61,,$AD977), 1 / ($AV$23:$AV$61*BS977), N($AK$23:$AK$61&gt;$AI977)),
SUMPRODUCT(INDEX($AL$23:$AN$46,,$AE977), INDEX($AO$23:$AU$46,,$AD977), 1 / ($AW$23:$AW$46*BS977), N($AK$23:$AK$46&gt;$AI977))
) / 1000</f>
        <v>0</v>
      </c>
      <c r="BV977" s="237">
        <f t="shared" si="836"/>
        <v>0</v>
      </c>
      <c r="BW977" s="210"/>
      <c r="BX977" s="237">
        <f t="shared" si="837"/>
        <v>0</v>
      </c>
      <c r="BY977" s="236">
        <v>35</v>
      </c>
      <c r="BZ977" s="237">
        <f t="shared" si="838"/>
        <v>48</v>
      </c>
      <c r="CA977" s="253">
        <f t="shared" si="839"/>
        <v>3.0748170731707316</v>
      </c>
      <c r="CB977" s="253" cm="1">
        <f t="array" ref="CB977">$BC977 * SUMPRODUCT(INDEX($AL$77:$AN$82,,$AE977),INDEX($AO$77:$AU$82,,$AD977), N($AK$77:$AK$82&gt;$AI977)) / CA977 / 1000</f>
        <v>0</v>
      </c>
      <c r="CC977" s="250">
        <f t="shared" si="819"/>
        <v>30</v>
      </c>
      <c r="CD977" s="237">
        <f t="shared" si="840"/>
        <v>43</v>
      </c>
      <c r="CE977" s="253">
        <f t="shared" si="841"/>
        <v>3.5018750000000001</v>
      </c>
      <c r="CF977" s="253" cm="1">
        <f t="array" ref="CF977">$BC977 * IF($AD977&lt;=2,
SUMPRODUCT(INDEX($AL$72:$AN$76,,$AE977), INDEX($AO$72:$AU$76,,$AD977), 1 / ($AV$72:$AV$76*CE977 + (1-$AV$72:$AV$76)*CA977), N($AK$72:$AK$76&gt;$AI977)),
SUMPRODUCT(INDEX($AL$67:$AN$76,,$AE977), INDEX($AO$67:$AU$76,,$AD977), 1 / ($AW$67:$AW$76*CE977 + (1-$AW$67:$AW$76)*CA977), N($AK$67:$AK$76&gt;$AI977))
) / 1000</f>
        <v>0</v>
      </c>
      <c r="CG977" s="250">
        <f t="shared" si="820"/>
        <v>25</v>
      </c>
      <c r="CH977" s="237">
        <f t="shared" si="842"/>
        <v>38</v>
      </c>
      <c r="CI977" s="253">
        <f t="shared" si="843"/>
        <v>4.0666935483870965</v>
      </c>
      <c r="CJ977" s="253" cm="1">
        <f t="array" ref="CJ977">$BC977 * IF($AD977&lt;=2,
SUMPRODUCT(INDEX($AL$67:$AN$71,,$AE977), INDEX($AO$67:$AU$71,,$AD977), 1 / ($AV$67:$AV$71*CI977 + (1-$AV$67:$AV$71)*CE977), N($AK$67:$AK$71&gt;$AI977)),
SUMPRODUCT(INDEX($AL$57:$AN$66,,$AE977), INDEX($AO$57:$AU$66,,$AD977), 1 / ($AW$57:$AW$66*CI977 + (1-$AW$57:$AW$66)*CE977), N($AK$57:$AK$66&gt;$AI977))
) / 1000</f>
        <v>0</v>
      </c>
      <c r="CK977" s="250">
        <f t="shared" si="821"/>
        <v>20</v>
      </c>
      <c r="CL977" s="237">
        <f t="shared" si="844"/>
        <v>33</v>
      </c>
      <c r="CM977" s="253">
        <f t="shared" si="845"/>
        <v>4.8487499999999999</v>
      </c>
      <c r="CN977" s="253" cm="1">
        <f t="array" ref="CN977">$BC977 * IF($AD977&lt;=2,
SUMPRODUCT(INDEX($AL$62:$AN$66,,$AE977), INDEX($AO$62:$AU$66,,$AD977), 1 / ($AV$62:$AV$66*CM977 + (1-$AV$62:$AV$66)*CI977), N($AK$62:$AK$66&gt;$AI977)),
SUMPRODUCT(INDEX($AL$47:$AN$56,,$AE977), INDEX($AO$47:$AU$56,,$AD977), 1 / ($AW$47:$AW$56*CM977 + (1-$AW$47:$AW$56)*CI977), N($AK$47:$AK$56&gt;$AI977))
) / 1000</f>
        <v>0</v>
      </c>
      <c r="CO977" s="253" cm="1">
        <f t="array" ref="CO977">$BC977 * IF($AD977&lt;=2,
SUMPRODUCT(INDEX($AL$23:$AN$61,,$AE977), INDEX($AO$23:$AU$61,,$AD977), 1 / ($AV$23:$AV$61*CM977), N($AK$23:$AK$61&gt;$AI977)),
SUMPRODUCT(INDEX($AL$23:$AN$46,,$AE977), INDEX($AO$23:$AU$46,,$AD977), 1 / ($AW$23:$AW$46*CM977), N($AK$23:$AK$46&gt;$AI977))
) / 1000</f>
        <v>0</v>
      </c>
      <c r="CP977" s="237">
        <f t="shared" si="846"/>
        <v>0</v>
      </c>
      <c r="CQ977" s="210"/>
    </row>
    <row r="978" spans="1:95" s="76" customFormat="1" ht="14.25" customHeight="1" x14ac:dyDescent="0.2">
      <c r="A978" s="238" t="b">
        <f t="shared" si="813"/>
        <v>0</v>
      </c>
      <c r="B978" s="239">
        <v>956</v>
      </c>
      <c r="C978" s="258"/>
      <c r="D978" s="258"/>
      <c r="E978" s="240"/>
      <c r="F978" s="241" t="str">
        <f>IF(ISBLANK(E978), "", VLOOKUP(E978, Z!$A$2:$C$4127, 3, FALSE))</f>
        <v/>
      </c>
      <c r="G978" s="242"/>
      <c r="H978" s="242"/>
      <c r="I978" s="243"/>
      <c r="J978" s="244"/>
      <c r="K978" s="259"/>
      <c r="L978" s="260"/>
      <c r="M978" s="247" t="str" cm="1">
        <f t="array" ref="M978">IF($K978&gt;0, INDEX(Clean,1+AG978,$C$1), "")</f>
        <v/>
      </c>
      <c r="N978" s="245"/>
      <c r="O978" s="245"/>
      <c r="P978" s="246"/>
      <c r="Q978" s="248">
        <f t="shared" si="823"/>
        <v>0</v>
      </c>
      <c r="R978" s="247" t="str" cm="1">
        <f t="array" ref="R978">IF($K978&gt;0, INDEX(Clean,1+AH978,$C$1), "")</f>
        <v/>
      </c>
      <c r="S978" s="245"/>
      <c r="T978" s="245"/>
      <c r="U978" s="246"/>
      <c r="V978" s="248">
        <f t="shared" si="824"/>
        <v>0</v>
      </c>
      <c r="W978" s="261"/>
      <c r="X978" s="258"/>
      <c r="Y978" s="240"/>
      <c r="Z978" s="241" t="str">
        <f>IF(ISBLANK(Y978), "", VLOOKUP(Y978, Z!$A$2:$C$4127, 3, FALSE))</f>
        <v/>
      </c>
      <c r="AA978" s="262"/>
      <c r="AB978" s="249">
        <f t="shared" si="822"/>
        <v>0</v>
      </c>
      <c r="AC978" s="210"/>
      <c r="AD978" s="236">
        <f t="shared" si="847"/>
        <v>1</v>
      </c>
      <c r="AE978" s="236">
        <f t="shared" si="848"/>
        <v>1</v>
      </c>
      <c r="AF978" s="236">
        <f t="shared" si="849"/>
        <v>0</v>
      </c>
      <c r="AG978" s="236">
        <v>1</v>
      </c>
      <c r="AH978" s="236">
        <v>0</v>
      </c>
      <c r="AI978" s="236">
        <f t="shared" si="825"/>
        <v>-100</v>
      </c>
      <c r="AJ978" s="210"/>
      <c r="AK978" s="254"/>
      <c r="AL978" s="254"/>
      <c r="AM978" s="255"/>
      <c r="AN978" s="255"/>
      <c r="AO978" s="255"/>
      <c r="AP978" s="255"/>
      <c r="AQ978" s="255"/>
      <c r="AR978" s="255"/>
      <c r="AS978" s="255"/>
      <c r="AT978" s="255"/>
      <c r="AU978" s="255"/>
      <c r="AV978" s="255"/>
      <c r="AW978" s="255"/>
      <c r="AX978" s="210"/>
      <c r="AY978" s="236" cm="1">
        <f t="array" ref="AY978">INDEX(Use, $AD978, 4)</f>
        <v>7</v>
      </c>
      <c r="AZ978" s="236">
        <f t="shared" si="826"/>
        <v>32</v>
      </c>
      <c r="BA978" s="236">
        <f t="shared" si="814"/>
        <v>13</v>
      </c>
      <c r="BB978" s="236">
        <f t="shared" si="815"/>
        <v>0</v>
      </c>
      <c r="BC978" s="252" cm="1">
        <f t="array" ref="BC978">K978/IF($L978&gt;0, INDEX($AO$23:$AU$77, $L978+20, $AD978), 1)</f>
        <v>0</v>
      </c>
      <c r="BD978" s="237">
        <f t="shared" si="827"/>
        <v>0</v>
      </c>
      <c r="BE978" s="236">
        <v>35</v>
      </c>
      <c r="BF978" s="237">
        <f t="shared" si="828"/>
        <v>52.55</v>
      </c>
      <c r="BG978" s="253">
        <f t="shared" si="829"/>
        <v>2.7676728869374316</v>
      </c>
      <c r="BH978" s="253" cm="1">
        <f t="array" ref="BH978">$BC978 * SUMPRODUCT(INDEX($AL$77:$AN$82,,$AE978),INDEX($AO$77:$AU$82,,$AD978), N($AK$77:$AK$82&gt;$AI978)) / BG978 / 1000</f>
        <v>0</v>
      </c>
      <c r="BI978" s="250">
        <f t="shared" si="816"/>
        <v>30</v>
      </c>
      <c r="BJ978" s="237">
        <f t="shared" si="830"/>
        <v>46.033333333333331</v>
      </c>
      <c r="BK978" s="253">
        <f t="shared" si="831"/>
        <v>3.2297395388556791</v>
      </c>
      <c r="BL978" s="253" cm="1">
        <f t="array" ref="BL978">$BC978 * IF($AD978&lt;=2,
SUMPRODUCT(INDEX($AL$72:$AN$76,,$AE978), INDEX($AO$72:$AU$76,,$AD978), 1 / ($AV$72:$AV$76*BK978 + (1-$AV$72:$AV$76)*BG978), N($AK$72:$AK$76&gt;$AI978)),
SUMPRODUCT(INDEX($AL$67:$AN$76,,$AE978), INDEX($AO$67:$AU$76,,$AD978), 1 / ($AW$67:$AW$76*BK978 + (1-$AW$67:$AW$76)*BG978), N($AK$67:$AK$76&gt;$AI978))
) / 1000</f>
        <v>0</v>
      </c>
      <c r="BM978" s="250">
        <f t="shared" si="817"/>
        <v>25</v>
      </c>
      <c r="BN978" s="237">
        <f t="shared" si="832"/>
        <v>39.516666666666666</v>
      </c>
      <c r="BO978" s="253">
        <f t="shared" si="833"/>
        <v>3.877011788826243</v>
      </c>
      <c r="BP978" s="253" cm="1">
        <f t="array" ref="BP978">$BC978 * IF($AD978&lt;=2,
SUMPRODUCT(INDEX($AL$67:$AN$71,,$AE978), INDEX($AO$67:$AU$71,,$AD978), 1 / ($AV$67:$AV$71*BO978 + (1-$AV$67:$AV$71)*BK978), N($AK$67:$AK$71&gt;$AI978)),
SUMPRODUCT(INDEX($AL$57:$AN$66,,$AE978), INDEX($AO$57:$AU$66,,$AD978), 1 / ($AW$57:$AW$66*BO978 + (1-$AW$57:$AW$66)*BK978), N($AK$57:$AK$66&gt;$AI978))
) / 1000</f>
        <v>0</v>
      </c>
      <c r="BQ978" s="250">
        <f t="shared" si="818"/>
        <v>20</v>
      </c>
      <c r="BR978" s="237">
        <f t="shared" si="834"/>
        <v>33</v>
      </c>
      <c r="BS978" s="253">
        <f t="shared" si="835"/>
        <v>4.8487499999999999</v>
      </c>
      <c r="BT978" s="253" cm="1">
        <f t="array" ref="BT978">$BC978 * IF($AD978&lt;=2,
SUMPRODUCT(INDEX($AL$62:$AN$66,,$AE978), INDEX($AO$62:$AU$66,,$AD978), 1 / ($AV$62:$AV$66*BS978 + (1-$AV$62:$AV$66)*BO978), N($AK$62:$AK$66&gt;$AI978)),
SUMPRODUCT(INDEX($AL$47:$AN$56,,$AE978), INDEX($AO$47:$AU$56,,$AD978), 1 / ($AW$47:$AW$56*BS978 + (1-$AW$47:$AW$56)*BO978), N($AK$47:$AK$56&gt;$AI978))
) / 1000</f>
        <v>0</v>
      </c>
      <c r="BU978" s="253" cm="1">
        <f t="array" ref="BU978">$BC978 * IF($AD978&lt;=2,
SUMPRODUCT(INDEX($AL$23:$AN$61,,$AE978), INDEX($AO$23:$AU$61,,$AD978), 1 / ($AV$23:$AV$61*BS978), N($AK$23:$AK$61&gt;$AI978)),
SUMPRODUCT(INDEX($AL$23:$AN$46,,$AE978), INDEX($AO$23:$AU$46,,$AD978), 1 / ($AW$23:$AW$46*BS978), N($AK$23:$AK$46&gt;$AI978))
) / 1000</f>
        <v>0</v>
      </c>
      <c r="BV978" s="237">
        <f t="shared" si="836"/>
        <v>0</v>
      </c>
      <c r="BW978" s="210"/>
      <c r="BX978" s="237">
        <f t="shared" si="837"/>
        <v>0</v>
      </c>
      <c r="BY978" s="236">
        <v>35</v>
      </c>
      <c r="BZ978" s="237">
        <f t="shared" si="838"/>
        <v>48</v>
      </c>
      <c r="CA978" s="253">
        <f t="shared" si="839"/>
        <v>3.0748170731707316</v>
      </c>
      <c r="CB978" s="253" cm="1">
        <f t="array" ref="CB978">$BC978 * SUMPRODUCT(INDEX($AL$77:$AN$82,,$AE978),INDEX($AO$77:$AU$82,,$AD978), N($AK$77:$AK$82&gt;$AI978)) / CA978 / 1000</f>
        <v>0</v>
      </c>
      <c r="CC978" s="250">
        <f t="shared" si="819"/>
        <v>30</v>
      </c>
      <c r="CD978" s="237">
        <f t="shared" si="840"/>
        <v>43</v>
      </c>
      <c r="CE978" s="253">
        <f t="shared" si="841"/>
        <v>3.5018750000000001</v>
      </c>
      <c r="CF978" s="253" cm="1">
        <f t="array" ref="CF978">$BC978 * IF($AD978&lt;=2,
SUMPRODUCT(INDEX($AL$72:$AN$76,,$AE978), INDEX($AO$72:$AU$76,,$AD978), 1 / ($AV$72:$AV$76*CE978 + (1-$AV$72:$AV$76)*CA978), N($AK$72:$AK$76&gt;$AI978)),
SUMPRODUCT(INDEX($AL$67:$AN$76,,$AE978), INDEX($AO$67:$AU$76,,$AD978), 1 / ($AW$67:$AW$76*CE978 + (1-$AW$67:$AW$76)*CA978), N($AK$67:$AK$76&gt;$AI978))
) / 1000</f>
        <v>0</v>
      </c>
      <c r="CG978" s="250">
        <f t="shared" si="820"/>
        <v>25</v>
      </c>
      <c r="CH978" s="237">
        <f t="shared" si="842"/>
        <v>38</v>
      </c>
      <c r="CI978" s="253">
        <f t="shared" si="843"/>
        <v>4.0666935483870965</v>
      </c>
      <c r="CJ978" s="253" cm="1">
        <f t="array" ref="CJ978">$BC978 * IF($AD978&lt;=2,
SUMPRODUCT(INDEX($AL$67:$AN$71,,$AE978), INDEX($AO$67:$AU$71,,$AD978), 1 / ($AV$67:$AV$71*CI978 + (1-$AV$67:$AV$71)*CE978), N($AK$67:$AK$71&gt;$AI978)),
SUMPRODUCT(INDEX($AL$57:$AN$66,,$AE978), INDEX($AO$57:$AU$66,,$AD978), 1 / ($AW$57:$AW$66*CI978 + (1-$AW$57:$AW$66)*CE978), N($AK$57:$AK$66&gt;$AI978))
) / 1000</f>
        <v>0</v>
      </c>
      <c r="CK978" s="250">
        <f t="shared" si="821"/>
        <v>20</v>
      </c>
      <c r="CL978" s="237">
        <f t="shared" si="844"/>
        <v>33</v>
      </c>
      <c r="CM978" s="253">
        <f t="shared" si="845"/>
        <v>4.8487499999999999</v>
      </c>
      <c r="CN978" s="253" cm="1">
        <f t="array" ref="CN978">$BC978 * IF($AD978&lt;=2,
SUMPRODUCT(INDEX($AL$62:$AN$66,,$AE978), INDEX($AO$62:$AU$66,,$AD978), 1 / ($AV$62:$AV$66*CM978 + (1-$AV$62:$AV$66)*CI978), N($AK$62:$AK$66&gt;$AI978)),
SUMPRODUCT(INDEX($AL$47:$AN$56,,$AE978), INDEX($AO$47:$AU$56,,$AD978), 1 / ($AW$47:$AW$56*CM978 + (1-$AW$47:$AW$56)*CI978), N($AK$47:$AK$56&gt;$AI978))
) / 1000</f>
        <v>0</v>
      </c>
      <c r="CO978" s="253" cm="1">
        <f t="array" ref="CO978">$BC978 * IF($AD978&lt;=2,
SUMPRODUCT(INDEX($AL$23:$AN$61,,$AE978), INDEX($AO$23:$AU$61,,$AD978), 1 / ($AV$23:$AV$61*CM978), N($AK$23:$AK$61&gt;$AI978)),
SUMPRODUCT(INDEX($AL$23:$AN$46,,$AE978), INDEX($AO$23:$AU$46,,$AD978), 1 / ($AW$23:$AW$46*CM978), N($AK$23:$AK$46&gt;$AI978))
) / 1000</f>
        <v>0</v>
      </c>
      <c r="CP978" s="237">
        <f t="shared" si="846"/>
        <v>0</v>
      </c>
      <c r="CQ978" s="210"/>
    </row>
    <row r="979" spans="1:95" s="76" customFormat="1" ht="14.25" customHeight="1" x14ac:dyDescent="0.2">
      <c r="A979" s="238" t="b">
        <f t="shared" si="813"/>
        <v>0</v>
      </c>
      <c r="B979" s="239">
        <v>957</v>
      </c>
      <c r="C979" s="258"/>
      <c r="D979" s="258"/>
      <c r="E979" s="240"/>
      <c r="F979" s="241" t="str">
        <f>IF(ISBLANK(E979), "", VLOOKUP(E979, Z!$A$2:$C$4127, 3, FALSE))</f>
        <v/>
      </c>
      <c r="G979" s="242"/>
      <c r="H979" s="242"/>
      <c r="I979" s="243"/>
      <c r="J979" s="244"/>
      <c r="K979" s="259"/>
      <c r="L979" s="260"/>
      <c r="M979" s="247" t="str" cm="1">
        <f t="array" ref="M979">IF($K979&gt;0, INDEX(Clean,1+AG979,$C$1), "")</f>
        <v/>
      </c>
      <c r="N979" s="245"/>
      <c r="O979" s="245"/>
      <c r="P979" s="246"/>
      <c r="Q979" s="248">
        <f t="shared" si="823"/>
        <v>0</v>
      </c>
      <c r="R979" s="247" t="str" cm="1">
        <f t="array" ref="R979">IF($K979&gt;0, INDEX(Clean,1+AH979,$C$1), "")</f>
        <v/>
      </c>
      <c r="S979" s="245"/>
      <c r="T979" s="245"/>
      <c r="U979" s="246"/>
      <c r="V979" s="248">
        <f t="shared" si="824"/>
        <v>0</v>
      </c>
      <c r="W979" s="261"/>
      <c r="X979" s="258"/>
      <c r="Y979" s="240"/>
      <c r="Z979" s="241" t="str">
        <f>IF(ISBLANK(Y979), "", VLOOKUP(Y979, Z!$A$2:$C$4127, 3, FALSE))</f>
        <v/>
      </c>
      <c r="AA979" s="262"/>
      <c r="AB979" s="249">
        <f t="shared" si="822"/>
        <v>0</v>
      </c>
      <c r="AC979" s="210"/>
      <c r="AD979" s="236">
        <f t="shared" si="847"/>
        <v>1</v>
      </c>
      <c r="AE979" s="236">
        <f t="shared" si="848"/>
        <v>1</v>
      </c>
      <c r="AF979" s="236">
        <f t="shared" si="849"/>
        <v>0</v>
      </c>
      <c r="AG979" s="236">
        <v>1</v>
      </c>
      <c r="AH979" s="236">
        <v>0</v>
      </c>
      <c r="AI979" s="236">
        <f t="shared" si="825"/>
        <v>-100</v>
      </c>
      <c r="AJ979" s="210"/>
      <c r="AK979" s="254"/>
      <c r="AL979" s="254"/>
      <c r="AM979" s="255"/>
      <c r="AN979" s="255"/>
      <c r="AO979" s="255"/>
      <c r="AP979" s="255"/>
      <c r="AQ979" s="255"/>
      <c r="AR979" s="255"/>
      <c r="AS979" s="255"/>
      <c r="AT979" s="255"/>
      <c r="AU979" s="255"/>
      <c r="AV979" s="255"/>
      <c r="AW979" s="255"/>
      <c r="AX979" s="210"/>
      <c r="AY979" s="236" cm="1">
        <f t="array" ref="AY979">INDEX(Use, $AD979, 4)</f>
        <v>7</v>
      </c>
      <c r="AZ979" s="236">
        <f t="shared" si="826"/>
        <v>32</v>
      </c>
      <c r="BA979" s="236">
        <f t="shared" si="814"/>
        <v>13</v>
      </c>
      <c r="BB979" s="236">
        <f t="shared" si="815"/>
        <v>0</v>
      </c>
      <c r="BC979" s="252" cm="1">
        <f t="array" ref="BC979">K979/IF($L979&gt;0, INDEX($AO$23:$AU$77, $L979+20, $AD979), 1)</f>
        <v>0</v>
      </c>
      <c r="BD979" s="237">
        <f t="shared" si="827"/>
        <v>0</v>
      </c>
      <c r="BE979" s="236">
        <v>35</v>
      </c>
      <c r="BF979" s="237">
        <f t="shared" si="828"/>
        <v>52.55</v>
      </c>
      <c r="BG979" s="253">
        <f t="shared" si="829"/>
        <v>2.7676728869374316</v>
      </c>
      <c r="BH979" s="253" cm="1">
        <f t="array" ref="BH979">$BC979 * SUMPRODUCT(INDEX($AL$77:$AN$82,,$AE979),INDEX($AO$77:$AU$82,,$AD979), N($AK$77:$AK$82&gt;$AI979)) / BG979 / 1000</f>
        <v>0</v>
      </c>
      <c r="BI979" s="250">
        <f t="shared" si="816"/>
        <v>30</v>
      </c>
      <c r="BJ979" s="237">
        <f t="shared" si="830"/>
        <v>46.033333333333331</v>
      </c>
      <c r="BK979" s="253">
        <f t="shared" si="831"/>
        <v>3.2297395388556791</v>
      </c>
      <c r="BL979" s="253" cm="1">
        <f t="array" ref="BL979">$BC979 * IF($AD979&lt;=2,
SUMPRODUCT(INDEX($AL$72:$AN$76,,$AE979), INDEX($AO$72:$AU$76,,$AD979), 1 / ($AV$72:$AV$76*BK979 + (1-$AV$72:$AV$76)*BG979), N($AK$72:$AK$76&gt;$AI979)),
SUMPRODUCT(INDEX($AL$67:$AN$76,,$AE979), INDEX($AO$67:$AU$76,,$AD979), 1 / ($AW$67:$AW$76*BK979 + (1-$AW$67:$AW$76)*BG979), N($AK$67:$AK$76&gt;$AI979))
) / 1000</f>
        <v>0</v>
      </c>
      <c r="BM979" s="250">
        <f t="shared" si="817"/>
        <v>25</v>
      </c>
      <c r="BN979" s="237">
        <f t="shared" si="832"/>
        <v>39.516666666666666</v>
      </c>
      <c r="BO979" s="253">
        <f t="shared" si="833"/>
        <v>3.877011788826243</v>
      </c>
      <c r="BP979" s="253" cm="1">
        <f t="array" ref="BP979">$BC979 * IF($AD979&lt;=2,
SUMPRODUCT(INDEX($AL$67:$AN$71,,$AE979), INDEX($AO$67:$AU$71,,$AD979), 1 / ($AV$67:$AV$71*BO979 + (1-$AV$67:$AV$71)*BK979), N($AK$67:$AK$71&gt;$AI979)),
SUMPRODUCT(INDEX($AL$57:$AN$66,,$AE979), INDEX($AO$57:$AU$66,,$AD979), 1 / ($AW$57:$AW$66*BO979 + (1-$AW$57:$AW$66)*BK979), N($AK$57:$AK$66&gt;$AI979))
) / 1000</f>
        <v>0</v>
      </c>
      <c r="BQ979" s="250">
        <f t="shared" si="818"/>
        <v>20</v>
      </c>
      <c r="BR979" s="237">
        <f t="shared" si="834"/>
        <v>33</v>
      </c>
      <c r="BS979" s="253">
        <f t="shared" si="835"/>
        <v>4.8487499999999999</v>
      </c>
      <c r="BT979" s="253" cm="1">
        <f t="array" ref="BT979">$BC979 * IF($AD979&lt;=2,
SUMPRODUCT(INDEX($AL$62:$AN$66,,$AE979), INDEX($AO$62:$AU$66,,$AD979), 1 / ($AV$62:$AV$66*BS979 + (1-$AV$62:$AV$66)*BO979), N($AK$62:$AK$66&gt;$AI979)),
SUMPRODUCT(INDEX($AL$47:$AN$56,,$AE979), INDEX($AO$47:$AU$56,,$AD979), 1 / ($AW$47:$AW$56*BS979 + (1-$AW$47:$AW$56)*BO979), N($AK$47:$AK$56&gt;$AI979))
) / 1000</f>
        <v>0</v>
      </c>
      <c r="BU979" s="253" cm="1">
        <f t="array" ref="BU979">$BC979 * IF($AD979&lt;=2,
SUMPRODUCT(INDEX($AL$23:$AN$61,,$AE979), INDEX($AO$23:$AU$61,,$AD979), 1 / ($AV$23:$AV$61*BS979), N($AK$23:$AK$61&gt;$AI979)),
SUMPRODUCT(INDEX($AL$23:$AN$46,,$AE979), INDEX($AO$23:$AU$46,,$AD979), 1 / ($AW$23:$AW$46*BS979), N($AK$23:$AK$46&gt;$AI979))
) / 1000</f>
        <v>0</v>
      </c>
      <c r="BV979" s="237">
        <f t="shared" si="836"/>
        <v>0</v>
      </c>
      <c r="BW979" s="210"/>
      <c r="BX979" s="237">
        <f t="shared" si="837"/>
        <v>0</v>
      </c>
      <c r="BY979" s="236">
        <v>35</v>
      </c>
      <c r="BZ979" s="237">
        <f t="shared" si="838"/>
        <v>48</v>
      </c>
      <c r="CA979" s="253">
        <f t="shared" si="839"/>
        <v>3.0748170731707316</v>
      </c>
      <c r="CB979" s="253" cm="1">
        <f t="array" ref="CB979">$BC979 * SUMPRODUCT(INDEX($AL$77:$AN$82,,$AE979),INDEX($AO$77:$AU$82,,$AD979), N($AK$77:$AK$82&gt;$AI979)) / CA979 / 1000</f>
        <v>0</v>
      </c>
      <c r="CC979" s="250">
        <f t="shared" si="819"/>
        <v>30</v>
      </c>
      <c r="CD979" s="237">
        <f t="shared" si="840"/>
        <v>43</v>
      </c>
      <c r="CE979" s="253">
        <f t="shared" si="841"/>
        <v>3.5018750000000001</v>
      </c>
      <c r="CF979" s="253" cm="1">
        <f t="array" ref="CF979">$BC979 * IF($AD979&lt;=2,
SUMPRODUCT(INDEX($AL$72:$AN$76,,$AE979), INDEX($AO$72:$AU$76,,$AD979), 1 / ($AV$72:$AV$76*CE979 + (1-$AV$72:$AV$76)*CA979), N($AK$72:$AK$76&gt;$AI979)),
SUMPRODUCT(INDEX($AL$67:$AN$76,,$AE979), INDEX($AO$67:$AU$76,,$AD979), 1 / ($AW$67:$AW$76*CE979 + (1-$AW$67:$AW$76)*CA979), N($AK$67:$AK$76&gt;$AI979))
) / 1000</f>
        <v>0</v>
      </c>
      <c r="CG979" s="250">
        <f t="shared" si="820"/>
        <v>25</v>
      </c>
      <c r="CH979" s="237">
        <f t="shared" si="842"/>
        <v>38</v>
      </c>
      <c r="CI979" s="253">
        <f t="shared" si="843"/>
        <v>4.0666935483870965</v>
      </c>
      <c r="CJ979" s="253" cm="1">
        <f t="array" ref="CJ979">$BC979 * IF($AD979&lt;=2,
SUMPRODUCT(INDEX($AL$67:$AN$71,,$AE979), INDEX($AO$67:$AU$71,,$AD979), 1 / ($AV$67:$AV$71*CI979 + (1-$AV$67:$AV$71)*CE979), N($AK$67:$AK$71&gt;$AI979)),
SUMPRODUCT(INDEX($AL$57:$AN$66,,$AE979), INDEX($AO$57:$AU$66,,$AD979), 1 / ($AW$57:$AW$66*CI979 + (1-$AW$57:$AW$66)*CE979), N($AK$57:$AK$66&gt;$AI979))
) / 1000</f>
        <v>0</v>
      </c>
      <c r="CK979" s="250">
        <f t="shared" si="821"/>
        <v>20</v>
      </c>
      <c r="CL979" s="237">
        <f t="shared" si="844"/>
        <v>33</v>
      </c>
      <c r="CM979" s="253">
        <f t="shared" si="845"/>
        <v>4.8487499999999999</v>
      </c>
      <c r="CN979" s="253" cm="1">
        <f t="array" ref="CN979">$BC979 * IF($AD979&lt;=2,
SUMPRODUCT(INDEX($AL$62:$AN$66,,$AE979), INDEX($AO$62:$AU$66,,$AD979), 1 / ($AV$62:$AV$66*CM979 + (1-$AV$62:$AV$66)*CI979), N($AK$62:$AK$66&gt;$AI979)),
SUMPRODUCT(INDEX($AL$47:$AN$56,,$AE979), INDEX($AO$47:$AU$56,,$AD979), 1 / ($AW$47:$AW$56*CM979 + (1-$AW$47:$AW$56)*CI979), N($AK$47:$AK$56&gt;$AI979))
) / 1000</f>
        <v>0</v>
      </c>
      <c r="CO979" s="253" cm="1">
        <f t="array" ref="CO979">$BC979 * IF($AD979&lt;=2,
SUMPRODUCT(INDEX($AL$23:$AN$61,,$AE979), INDEX($AO$23:$AU$61,,$AD979), 1 / ($AV$23:$AV$61*CM979), N($AK$23:$AK$61&gt;$AI979)),
SUMPRODUCT(INDEX($AL$23:$AN$46,,$AE979), INDEX($AO$23:$AU$46,,$AD979), 1 / ($AW$23:$AW$46*CM979), N($AK$23:$AK$46&gt;$AI979))
) / 1000</f>
        <v>0</v>
      </c>
      <c r="CP979" s="237">
        <f t="shared" si="846"/>
        <v>0</v>
      </c>
      <c r="CQ979" s="210"/>
    </row>
    <row r="980" spans="1:95" s="76" customFormat="1" ht="14.25" customHeight="1" x14ac:dyDescent="0.2">
      <c r="A980" s="238" t="b">
        <f t="shared" si="813"/>
        <v>0</v>
      </c>
      <c r="B980" s="239">
        <v>958</v>
      </c>
      <c r="C980" s="258"/>
      <c r="D980" s="258"/>
      <c r="E980" s="240"/>
      <c r="F980" s="241" t="str">
        <f>IF(ISBLANK(E980), "", VLOOKUP(E980, Z!$A$2:$C$4127, 3, FALSE))</f>
        <v/>
      </c>
      <c r="G980" s="242"/>
      <c r="H980" s="242"/>
      <c r="I980" s="243"/>
      <c r="J980" s="244"/>
      <c r="K980" s="259"/>
      <c r="L980" s="260"/>
      <c r="M980" s="247" t="str" cm="1">
        <f t="array" ref="M980">IF($K980&gt;0, INDEX(Clean,1+AG980,$C$1), "")</f>
        <v/>
      </c>
      <c r="N980" s="245"/>
      <c r="O980" s="245"/>
      <c r="P980" s="246"/>
      <c r="Q980" s="248">
        <f t="shared" si="823"/>
        <v>0</v>
      </c>
      <c r="R980" s="247" t="str" cm="1">
        <f t="array" ref="R980">IF($K980&gt;0, INDEX(Clean,1+AH980,$C$1), "")</f>
        <v/>
      </c>
      <c r="S980" s="245"/>
      <c r="T980" s="245"/>
      <c r="U980" s="246"/>
      <c r="V980" s="248">
        <f t="shared" si="824"/>
        <v>0</v>
      </c>
      <c r="W980" s="261"/>
      <c r="X980" s="258"/>
      <c r="Y980" s="240"/>
      <c r="Z980" s="241" t="str">
        <f>IF(ISBLANK(Y980), "", VLOOKUP(Y980, Z!$A$2:$C$4127, 3, FALSE))</f>
        <v/>
      </c>
      <c r="AA980" s="262"/>
      <c r="AB980" s="249">
        <f t="shared" si="822"/>
        <v>0</v>
      </c>
      <c r="AC980" s="210"/>
      <c r="AD980" s="236">
        <f t="shared" si="847"/>
        <v>1</v>
      </c>
      <c r="AE980" s="236">
        <f t="shared" si="848"/>
        <v>1</v>
      </c>
      <c r="AF980" s="236">
        <f t="shared" si="849"/>
        <v>0</v>
      </c>
      <c r="AG980" s="236">
        <v>1</v>
      </c>
      <c r="AH980" s="236">
        <v>0</v>
      </c>
      <c r="AI980" s="236">
        <f t="shared" si="825"/>
        <v>-100</v>
      </c>
      <c r="AJ980" s="210"/>
      <c r="AK980" s="254"/>
      <c r="AL980" s="254"/>
      <c r="AM980" s="255"/>
      <c r="AN980" s="255"/>
      <c r="AO980" s="255"/>
      <c r="AP980" s="255"/>
      <c r="AQ980" s="255"/>
      <c r="AR980" s="255"/>
      <c r="AS980" s="255"/>
      <c r="AT980" s="255"/>
      <c r="AU980" s="255"/>
      <c r="AV980" s="255"/>
      <c r="AW980" s="255"/>
      <c r="AX980" s="210"/>
      <c r="AY980" s="236" cm="1">
        <f t="array" ref="AY980">INDEX(Use, $AD980, 4)</f>
        <v>7</v>
      </c>
      <c r="AZ980" s="236">
        <f t="shared" si="826"/>
        <v>32</v>
      </c>
      <c r="BA980" s="236">
        <f t="shared" si="814"/>
        <v>13</v>
      </c>
      <c r="BB980" s="236">
        <f t="shared" si="815"/>
        <v>0</v>
      </c>
      <c r="BC980" s="252" cm="1">
        <f t="array" ref="BC980">K980/IF($L980&gt;0, INDEX($AO$23:$AU$77, $L980+20, $AD980), 1)</f>
        <v>0</v>
      </c>
      <c r="BD980" s="237">
        <f t="shared" si="827"/>
        <v>0</v>
      </c>
      <c r="BE980" s="236">
        <v>35</v>
      </c>
      <c r="BF980" s="237">
        <f t="shared" si="828"/>
        <v>52.55</v>
      </c>
      <c r="BG980" s="253">
        <f t="shared" si="829"/>
        <v>2.7676728869374316</v>
      </c>
      <c r="BH980" s="253" cm="1">
        <f t="array" ref="BH980">$BC980 * SUMPRODUCT(INDEX($AL$77:$AN$82,,$AE980),INDEX($AO$77:$AU$82,,$AD980), N($AK$77:$AK$82&gt;$AI980)) / BG980 / 1000</f>
        <v>0</v>
      </c>
      <c r="BI980" s="250">
        <f t="shared" si="816"/>
        <v>30</v>
      </c>
      <c r="BJ980" s="237">
        <f t="shared" si="830"/>
        <v>46.033333333333331</v>
      </c>
      <c r="BK980" s="253">
        <f t="shared" si="831"/>
        <v>3.2297395388556791</v>
      </c>
      <c r="BL980" s="253" cm="1">
        <f t="array" ref="BL980">$BC980 * IF($AD980&lt;=2,
SUMPRODUCT(INDEX($AL$72:$AN$76,,$AE980), INDEX($AO$72:$AU$76,,$AD980), 1 / ($AV$72:$AV$76*BK980 + (1-$AV$72:$AV$76)*BG980), N($AK$72:$AK$76&gt;$AI980)),
SUMPRODUCT(INDEX($AL$67:$AN$76,,$AE980), INDEX($AO$67:$AU$76,,$AD980), 1 / ($AW$67:$AW$76*BK980 + (1-$AW$67:$AW$76)*BG980), N($AK$67:$AK$76&gt;$AI980))
) / 1000</f>
        <v>0</v>
      </c>
      <c r="BM980" s="250">
        <f t="shared" si="817"/>
        <v>25</v>
      </c>
      <c r="BN980" s="237">
        <f t="shared" si="832"/>
        <v>39.516666666666666</v>
      </c>
      <c r="BO980" s="253">
        <f t="shared" si="833"/>
        <v>3.877011788826243</v>
      </c>
      <c r="BP980" s="253" cm="1">
        <f t="array" ref="BP980">$BC980 * IF($AD980&lt;=2,
SUMPRODUCT(INDEX($AL$67:$AN$71,,$AE980), INDEX($AO$67:$AU$71,,$AD980), 1 / ($AV$67:$AV$71*BO980 + (1-$AV$67:$AV$71)*BK980), N($AK$67:$AK$71&gt;$AI980)),
SUMPRODUCT(INDEX($AL$57:$AN$66,,$AE980), INDEX($AO$57:$AU$66,,$AD980), 1 / ($AW$57:$AW$66*BO980 + (1-$AW$57:$AW$66)*BK980), N($AK$57:$AK$66&gt;$AI980))
) / 1000</f>
        <v>0</v>
      </c>
      <c r="BQ980" s="250">
        <f t="shared" si="818"/>
        <v>20</v>
      </c>
      <c r="BR980" s="237">
        <f t="shared" si="834"/>
        <v>33</v>
      </c>
      <c r="BS980" s="253">
        <f t="shared" si="835"/>
        <v>4.8487499999999999</v>
      </c>
      <c r="BT980" s="253" cm="1">
        <f t="array" ref="BT980">$BC980 * IF($AD980&lt;=2,
SUMPRODUCT(INDEX($AL$62:$AN$66,,$AE980), INDEX($AO$62:$AU$66,,$AD980), 1 / ($AV$62:$AV$66*BS980 + (1-$AV$62:$AV$66)*BO980), N($AK$62:$AK$66&gt;$AI980)),
SUMPRODUCT(INDEX($AL$47:$AN$56,,$AE980), INDEX($AO$47:$AU$56,,$AD980), 1 / ($AW$47:$AW$56*BS980 + (1-$AW$47:$AW$56)*BO980), N($AK$47:$AK$56&gt;$AI980))
) / 1000</f>
        <v>0</v>
      </c>
      <c r="BU980" s="253" cm="1">
        <f t="array" ref="BU980">$BC980 * IF($AD980&lt;=2,
SUMPRODUCT(INDEX($AL$23:$AN$61,,$AE980), INDEX($AO$23:$AU$61,,$AD980), 1 / ($AV$23:$AV$61*BS980), N($AK$23:$AK$61&gt;$AI980)),
SUMPRODUCT(INDEX($AL$23:$AN$46,,$AE980), INDEX($AO$23:$AU$46,,$AD980), 1 / ($AW$23:$AW$46*BS980), N($AK$23:$AK$46&gt;$AI980))
) / 1000</f>
        <v>0</v>
      </c>
      <c r="BV980" s="237">
        <f t="shared" si="836"/>
        <v>0</v>
      </c>
      <c r="BW980" s="210"/>
      <c r="BX980" s="237">
        <f t="shared" si="837"/>
        <v>0</v>
      </c>
      <c r="BY980" s="236">
        <v>35</v>
      </c>
      <c r="BZ980" s="237">
        <f t="shared" si="838"/>
        <v>48</v>
      </c>
      <c r="CA980" s="253">
        <f t="shared" si="839"/>
        <v>3.0748170731707316</v>
      </c>
      <c r="CB980" s="253" cm="1">
        <f t="array" ref="CB980">$BC980 * SUMPRODUCT(INDEX($AL$77:$AN$82,,$AE980),INDEX($AO$77:$AU$82,,$AD980), N($AK$77:$AK$82&gt;$AI980)) / CA980 / 1000</f>
        <v>0</v>
      </c>
      <c r="CC980" s="250">
        <f t="shared" si="819"/>
        <v>30</v>
      </c>
      <c r="CD980" s="237">
        <f t="shared" si="840"/>
        <v>43</v>
      </c>
      <c r="CE980" s="253">
        <f t="shared" si="841"/>
        <v>3.5018750000000001</v>
      </c>
      <c r="CF980" s="253" cm="1">
        <f t="array" ref="CF980">$BC980 * IF($AD980&lt;=2,
SUMPRODUCT(INDEX($AL$72:$AN$76,,$AE980), INDEX($AO$72:$AU$76,,$AD980), 1 / ($AV$72:$AV$76*CE980 + (1-$AV$72:$AV$76)*CA980), N($AK$72:$AK$76&gt;$AI980)),
SUMPRODUCT(INDEX($AL$67:$AN$76,,$AE980), INDEX($AO$67:$AU$76,,$AD980), 1 / ($AW$67:$AW$76*CE980 + (1-$AW$67:$AW$76)*CA980), N($AK$67:$AK$76&gt;$AI980))
) / 1000</f>
        <v>0</v>
      </c>
      <c r="CG980" s="250">
        <f t="shared" si="820"/>
        <v>25</v>
      </c>
      <c r="CH980" s="237">
        <f t="shared" si="842"/>
        <v>38</v>
      </c>
      <c r="CI980" s="253">
        <f t="shared" si="843"/>
        <v>4.0666935483870965</v>
      </c>
      <c r="CJ980" s="253" cm="1">
        <f t="array" ref="CJ980">$BC980 * IF($AD980&lt;=2,
SUMPRODUCT(INDEX($AL$67:$AN$71,,$AE980), INDEX($AO$67:$AU$71,,$AD980), 1 / ($AV$67:$AV$71*CI980 + (1-$AV$67:$AV$71)*CE980), N($AK$67:$AK$71&gt;$AI980)),
SUMPRODUCT(INDEX($AL$57:$AN$66,,$AE980), INDEX($AO$57:$AU$66,,$AD980), 1 / ($AW$57:$AW$66*CI980 + (1-$AW$57:$AW$66)*CE980), N($AK$57:$AK$66&gt;$AI980))
) / 1000</f>
        <v>0</v>
      </c>
      <c r="CK980" s="250">
        <f t="shared" si="821"/>
        <v>20</v>
      </c>
      <c r="CL980" s="237">
        <f t="shared" si="844"/>
        <v>33</v>
      </c>
      <c r="CM980" s="253">
        <f t="shared" si="845"/>
        <v>4.8487499999999999</v>
      </c>
      <c r="CN980" s="253" cm="1">
        <f t="array" ref="CN980">$BC980 * IF($AD980&lt;=2,
SUMPRODUCT(INDEX($AL$62:$AN$66,,$AE980), INDEX($AO$62:$AU$66,,$AD980), 1 / ($AV$62:$AV$66*CM980 + (1-$AV$62:$AV$66)*CI980), N($AK$62:$AK$66&gt;$AI980)),
SUMPRODUCT(INDEX($AL$47:$AN$56,,$AE980), INDEX($AO$47:$AU$56,,$AD980), 1 / ($AW$47:$AW$56*CM980 + (1-$AW$47:$AW$56)*CI980), N($AK$47:$AK$56&gt;$AI980))
) / 1000</f>
        <v>0</v>
      </c>
      <c r="CO980" s="253" cm="1">
        <f t="array" ref="CO980">$BC980 * IF($AD980&lt;=2,
SUMPRODUCT(INDEX($AL$23:$AN$61,,$AE980), INDEX($AO$23:$AU$61,,$AD980), 1 / ($AV$23:$AV$61*CM980), N($AK$23:$AK$61&gt;$AI980)),
SUMPRODUCT(INDEX($AL$23:$AN$46,,$AE980), INDEX($AO$23:$AU$46,,$AD980), 1 / ($AW$23:$AW$46*CM980), N($AK$23:$AK$46&gt;$AI980))
) / 1000</f>
        <v>0</v>
      </c>
      <c r="CP980" s="237">
        <f t="shared" si="846"/>
        <v>0</v>
      </c>
      <c r="CQ980" s="210"/>
    </row>
    <row r="981" spans="1:95" s="76" customFormat="1" ht="14.25" customHeight="1" x14ac:dyDescent="0.2">
      <c r="A981" s="238" t="b">
        <f t="shared" si="813"/>
        <v>0</v>
      </c>
      <c r="B981" s="239">
        <v>959</v>
      </c>
      <c r="C981" s="258"/>
      <c r="D981" s="258"/>
      <c r="E981" s="240"/>
      <c r="F981" s="241" t="str">
        <f>IF(ISBLANK(E981), "", VLOOKUP(E981, Z!$A$2:$C$4127, 3, FALSE))</f>
        <v/>
      </c>
      <c r="G981" s="242"/>
      <c r="H981" s="242"/>
      <c r="I981" s="243"/>
      <c r="J981" s="244"/>
      <c r="K981" s="259"/>
      <c r="L981" s="260"/>
      <c r="M981" s="247" t="str" cm="1">
        <f t="array" ref="M981">IF($K981&gt;0, INDEX(Clean,1+AG981,$C$1), "")</f>
        <v/>
      </c>
      <c r="N981" s="245"/>
      <c r="O981" s="245"/>
      <c r="P981" s="246"/>
      <c r="Q981" s="248">
        <f t="shared" si="823"/>
        <v>0</v>
      </c>
      <c r="R981" s="247" t="str" cm="1">
        <f t="array" ref="R981">IF($K981&gt;0, INDEX(Clean,1+AH981,$C$1), "")</f>
        <v/>
      </c>
      <c r="S981" s="245"/>
      <c r="T981" s="245"/>
      <c r="U981" s="246"/>
      <c r="V981" s="248">
        <f t="shared" si="824"/>
        <v>0</v>
      </c>
      <c r="W981" s="261"/>
      <c r="X981" s="258"/>
      <c r="Y981" s="240"/>
      <c r="Z981" s="241" t="str">
        <f>IF(ISBLANK(Y981), "", VLOOKUP(Y981, Z!$A$2:$C$4127, 3, FALSE))</f>
        <v/>
      </c>
      <c r="AA981" s="262"/>
      <c r="AB981" s="249">
        <f t="shared" si="822"/>
        <v>0</v>
      </c>
      <c r="AC981" s="210"/>
      <c r="AD981" s="236">
        <f t="shared" si="847"/>
        <v>1</v>
      </c>
      <c r="AE981" s="236">
        <f t="shared" si="848"/>
        <v>1</v>
      </c>
      <c r="AF981" s="236">
        <f t="shared" si="849"/>
        <v>0</v>
      </c>
      <c r="AG981" s="236">
        <v>1</v>
      </c>
      <c r="AH981" s="236">
        <v>0</v>
      </c>
      <c r="AI981" s="236">
        <f t="shared" si="825"/>
        <v>-100</v>
      </c>
      <c r="AJ981" s="210"/>
      <c r="AK981" s="254"/>
      <c r="AL981" s="254"/>
      <c r="AM981" s="255"/>
      <c r="AN981" s="255"/>
      <c r="AO981" s="255"/>
      <c r="AP981" s="255"/>
      <c r="AQ981" s="255"/>
      <c r="AR981" s="255"/>
      <c r="AS981" s="255"/>
      <c r="AT981" s="255"/>
      <c r="AU981" s="255"/>
      <c r="AV981" s="255"/>
      <c r="AW981" s="255"/>
      <c r="AX981" s="210"/>
      <c r="AY981" s="236" cm="1">
        <f t="array" ref="AY981">INDEX(Use, $AD981, 4)</f>
        <v>7</v>
      </c>
      <c r="AZ981" s="236">
        <f t="shared" si="826"/>
        <v>32</v>
      </c>
      <c r="BA981" s="236">
        <f t="shared" si="814"/>
        <v>13</v>
      </c>
      <c r="BB981" s="236">
        <f t="shared" si="815"/>
        <v>0</v>
      </c>
      <c r="BC981" s="252" cm="1">
        <f t="array" ref="BC981">K981/IF($L981&gt;0, INDEX($AO$23:$AU$77, $L981+20, $AD981), 1)</f>
        <v>0</v>
      </c>
      <c r="BD981" s="237">
        <f t="shared" si="827"/>
        <v>0</v>
      </c>
      <c r="BE981" s="236">
        <v>35</v>
      </c>
      <c r="BF981" s="237">
        <f t="shared" si="828"/>
        <v>52.55</v>
      </c>
      <c r="BG981" s="253">
        <f t="shared" si="829"/>
        <v>2.7676728869374316</v>
      </c>
      <c r="BH981" s="253" cm="1">
        <f t="array" ref="BH981">$BC981 * SUMPRODUCT(INDEX($AL$77:$AN$82,,$AE981),INDEX($AO$77:$AU$82,,$AD981), N($AK$77:$AK$82&gt;$AI981)) / BG981 / 1000</f>
        <v>0</v>
      </c>
      <c r="BI981" s="250">
        <f t="shared" si="816"/>
        <v>30</v>
      </c>
      <c r="BJ981" s="237">
        <f t="shared" si="830"/>
        <v>46.033333333333331</v>
      </c>
      <c r="BK981" s="253">
        <f t="shared" si="831"/>
        <v>3.2297395388556791</v>
      </c>
      <c r="BL981" s="253" cm="1">
        <f t="array" ref="BL981">$BC981 * IF($AD981&lt;=2,
SUMPRODUCT(INDEX($AL$72:$AN$76,,$AE981), INDEX($AO$72:$AU$76,,$AD981), 1 / ($AV$72:$AV$76*BK981 + (1-$AV$72:$AV$76)*BG981), N($AK$72:$AK$76&gt;$AI981)),
SUMPRODUCT(INDEX($AL$67:$AN$76,,$AE981), INDEX($AO$67:$AU$76,,$AD981), 1 / ($AW$67:$AW$76*BK981 + (1-$AW$67:$AW$76)*BG981), N($AK$67:$AK$76&gt;$AI981))
) / 1000</f>
        <v>0</v>
      </c>
      <c r="BM981" s="250">
        <f t="shared" si="817"/>
        <v>25</v>
      </c>
      <c r="BN981" s="237">
        <f t="shared" si="832"/>
        <v>39.516666666666666</v>
      </c>
      <c r="BO981" s="253">
        <f t="shared" si="833"/>
        <v>3.877011788826243</v>
      </c>
      <c r="BP981" s="253" cm="1">
        <f t="array" ref="BP981">$BC981 * IF($AD981&lt;=2,
SUMPRODUCT(INDEX($AL$67:$AN$71,,$AE981), INDEX($AO$67:$AU$71,,$AD981), 1 / ($AV$67:$AV$71*BO981 + (1-$AV$67:$AV$71)*BK981), N($AK$67:$AK$71&gt;$AI981)),
SUMPRODUCT(INDEX($AL$57:$AN$66,,$AE981), INDEX($AO$57:$AU$66,,$AD981), 1 / ($AW$57:$AW$66*BO981 + (1-$AW$57:$AW$66)*BK981), N($AK$57:$AK$66&gt;$AI981))
) / 1000</f>
        <v>0</v>
      </c>
      <c r="BQ981" s="250">
        <f t="shared" si="818"/>
        <v>20</v>
      </c>
      <c r="BR981" s="237">
        <f t="shared" si="834"/>
        <v>33</v>
      </c>
      <c r="BS981" s="253">
        <f t="shared" si="835"/>
        <v>4.8487499999999999</v>
      </c>
      <c r="BT981" s="253" cm="1">
        <f t="array" ref="BT981">$BC981 * IF($AD981&lt;=2,
SUMPRODUCT(INDEX($AL$62:$AN$66,,$AE981), INDEX($AO$62:$AU$66,,$AD981), 1 / ($AV$62:$AV$66*BS981 + (1-$AV$62:$AV$66)*BO981), N($AK$62:$AK$66&gt;$AI981)),
SUMPRODUCT(INDEX($AL$47:$AN$56,,$AE981), INDEX($AO$47:$AU$56,,$AD981), 1 / ($AW$47:$AW$56*BS981 + (1-$AW$47:$AW$56)*BO981), N($AK$47:$AK$56&gt;$AI981))
) / 1000</f>
        <v>0</v>
      </c>
      <c r="BU981" s="253" cm="1">
        <f t="array" ref="BU981">$BC981 * IF($AD981&lt;=2,
SUMPRODUCT(INDEX($AL$23:$AN$61,,$AE981), INDEX($AO$23:$AU$61,,$AD981), 1 / ($AV$23:$AV$61*BS981), N($AK$23:$AK$61&gt;$AI981)),
SUMPRODUCT(INDEX($AL$23:$AN$46,,$AE981), INDEX($AO$23:$AU$46,,$AD981), 1 / ($AW$23:$AW$46*BS981), N($AK$23:$AK$46&gt;$AI981))
) / 1000</f>
        <v>0</v>
      </c>
      <c r="BV981" s="237">
        <f t="shared" si="836"/>
        <v>0</v>
      </c>
      <c r="BW981" s="210"/>
      <c r="BX981" s="237">
        <f t="shared" si="837"/>
        <v>0</v>
      </c>
      <c r="BY981" s="236">
        <v>35</v>
      </c>
      <c r="BZ981" s="237">
        <f t="shared" si="838"/>
        <v>48</v>
      </c>
      <c r="CA981" s="253">
        <f t="shared" si="839"/>
        <v>3.0748170731707316</v>
      </c>
      <c r="CB981" s="253" cm="1">
        <f t="array" ref="CB981">$BC981 * SUMPRODUCT(INDEX($AL$77:$AN$82,,$AE981),INDEX($AO$77:$AU$82,,$AD981), N($AK$77:$AK$82&gt;$AI981)) / CA981 / 1000</f>
        <v>0</v>
      </c>
      <c r="CC981" s="250">
        <f t="shared" si="819"/>
        <v>30</v>
      </c>
      <c r="CD981" s="237">
        <f t="shared" si="840"/>
        <v>43</v>
      </c>
      <c r="CE981" s="253">
        <f t="shared" si="841"/>
        <v>3.5018750000000001</v>
      </c>
      <c r="CF981" s="253" cm="1">
        <f t="array" ref="CF981">$BC981 * IF($AD981&lt;=2,
SUMPRODUCT(INDEX($AL$72:$AN$76,,$AE981), INDEX($AO$72:$AU$76,,$AD981), 1 / ($AV$72:$AV$76*CE981 + (1-$AV$72:$AV$76)*CA981), N($AK$72:$AK$76&gt;$AI981)),
SUMPRODUCT(INDEX($AL$67:$AN$76,,$AE981), INDEX($AO$67:$AU$76,,$AD981), 1 / ($AW$67:$AW$76*CE981 + (1-$AW$67:$AW$76)*CA981), N($AK$67:$AK$76&gt;$AI981))
) / 1000</f>
        <v>0</v>
      </c>
      <c r="CG981" s="250">
        <f t="shared" si="820"/>
        <v>25</v>
      </c>
      <c r="CH981" s="237">
        <f t="shared" si="842"/>
        <v>38</v>
      </c>
      <c r="CI981" s="253">
        <f t="shared" si="843"/>
        <v>4.0666935483870965</v>
      </c>
      <c r="CJ981" s="253" cm="1">
        <f t="array" ref="CJ981">$BC981 * IF($AD981&lt;=2,
SUMPRODUCT(INDEX($AL$67:$AN$71,,$AE981), INDEX($AO$67:$AU$71,,$AD981), 1 / ($AV$67:$AV$71*CI981 + (1-$AV$67:$AV$71)*CE981), N($AK$67:$AK$71&gt;$AI981)),
SUMPRODUCT(INDEX($AL$57:$AN$66,,$AE981), INDEX($AO$57:$AU$66,,$AD981), 1 / ($AW$57:$AW$66*CI981 + (1-$AW$57:$AW$66)*CE981), N($AK$57:$AK$66&gt;$AI981))
) / 1000</f>
        <v>0</v>
      </c>
      <c r="CK981" s="250">
        <f t="shared" si="821"/>
        <v>20</v>
      </c>
      <c r="CL981" s="237">
        <f t="shared" si="844"/>
        <v>33</v>
      </c>
      <c r="CM981" s="253">
        <f t="shared" si="845"/>
        <v>4.8487499999999999</v>
      </c>
      <c r="CN981" s="253" cm="1">
        <f t="array" ref="CN981">$BC981 * IF($AD981&lt;=2,
SUMPRODUCT(INDEX($AL$62:$AN$66,,$AE981), INDEX($AO$62:$AU$66,,$AD981), 1 / ($AV$62:$AV$66*CM981 + (1-$AV$62:$AV$66)*CI981), N($AK$62:$AK$66&gt;$AI981)),
SUMPRODUCT(INDEX($AL$47:$AN$56,,$AE981), INDEX($AO$47:$AU$56,,$AD981), 1 / ($AW$47:$AW$56*CM981 + (1-$AW$47:$AW$56)*CI981), N($AK$47:$AK$56&gt;$AI981))
) / 1000</f>
        <v>0</v>
      </c>
      <c r="CO981" s="253" cm="1">
        <f t="array" ref="CO981">$BC981 * IF($AD981&lt;=2,
SUMPRODUCT(INDEX($AL$23:$AN$61,,$AE981), INDEX($AO$23:$AU$61,,$AD981), 1 / ($AV$23:$AV$61*CM981), N($AK$23:$AK$61&gt;$AI981)),
SUMPRODUCT(INDEX($AL$23:$AN$46,,$AE981), INDEX($AO$23:$AU$46,,$AD981), 1 / ($AW$23:$AW$46*CM981), N($AK$23:$AK$46&gt;$AI981))
) / 1000</f>
        <v>0</v>
      </c>
      <c r="CP981" s="237">
        <f t="shared" si="846"/>
        <v>0</v>
      </c>
      <c r="CQ981" s="210"/>
    </row>
    <row r="982" spans="1:95" s="76" customFormat="1" ht="14.25" customHeight="1" x14ac:dyDescent="0.2">
      <c r="A982" s="238" t="b">
        <f t="shared" ref="A982:A1022" si="850">IF(OR(AND($K982&gt;80, $AD982=1), AND($K982&gt;40, $AD982=3), AND($K982&gt;30, $AD982=4),), TRUE, FALSE)</f>
        <v>0</v>
      </c>
      <c r="B982" s="239">
        <v>960</v>
      </c>
      <c r="C982" s="258"/>
      <c r="D982" s="258"/>
      <c r="E982" s="240"/>
      <c r="F982" s="241" t="str">
        <f>IF(ISBLANK(E982), "", VLOOKUP(E982, Z!$A$2:$C$4127, 3, FALSE))</f>
        <v/>
      </c>
      <c r="G982" s="242"/>
      <c r="H982" s="242"/>
      <c r="I982" s="243"/>
      <c r="J982" s="244"/>
      <c r="K982" s="259"/>
      <c r="L982" s="260"/>
      <c r="M982" s="247" t="str" cm="1">
        <f t="array" ref="M982">IF($K982&gt;0, INDEX(Clean,1+AG982,$C$1), "")</f>
        <v/>
      </c>
      <c r="N982" s="245"/>
      <c r="O982" s="245"/>
      <c r="P982" s="246"/>
      <c r="Q982" s="248">
        <f t="shared" si="823"/>
        <v>0</v>
      </c>
      <c r="R982" s="247" t="str" cm="1">
        <f t="array" ref="R982">IF($K982&gt;0, INDEX(Clean,1+AH982,$C$1), "")</f>
        <v/>
      </c>
      <c r="S982" s="245"/>
      <c r="T982" s="245"/>
      <c r="U982" s="246"/>
      <c r="V982" s="248">
        <f t="shared" si="824"/>
        <v>0</v>
      </c>
      <c r="W982" s="261"/>
      <c r="X982" s="258"/>
      <c r="Y982" s="240"/>
      <c r="Z982" s="241" t="str">
        <f>IF(ISBLANK(Y982), "", VLOOKUP(Y982, Z!$A$2:$C$4127, 3, FALSE))</f>
        <v/>
      </c>
      <c r="AA982" s="262"/>
      <c r="AB982" s="249">
        <f t="shared" si="822"/>
        <v>0</v>
      </c>
      <c r="AC982" s="210"/>
      <c r="AD982" s="236">
        <f t="shared" si="847"/>
        <v>1</v>
      </c>
      <c r="AE982" s="236">
        <f t="shared" si="848"/>
        <v>1</v>
      </c>
      <c r="AF982" s="236">
        <f t="shared" si="849"/>
        <v>0</v>
      </c>
      <c r="AG982" s="236">
        <v>1</v>
      </c>
      <c r="AH982" s="236">
        <v>0</v>
      </c>
      <c r="AI982" s="236">
        <f t="shared" si="825"/>
        <v>-100</v>
      </c>
      <c r="AJ982" s="210"/>
      <c r="AK982" s="254"/>
      <c r="AL982" s="254"/>
      <c r="AM982" s="255"/>
      <c r="AN982" s="255"/>
      <c r="AO982" s="255"/>
      <c r="AP982" s="255"/>
      <c r="AQ982" s="255"/>
      <c r="AR982" s="255"/>
      <c r="AS982" s="255"/>
      <c r="AT982" s="255"/>
      <c r="AU982" s="255"/>
      <c r="AV982" s="255"/>
      <c r="AW982" s="255"/>
      <c r="AX982" s="210"/>
      <c r="AY982" s="236" cm="1">
        <f t="array" ref="AY982">INDEX(Use, $AD982, 4)</f>
        <v>7</v>
      </c>
      <c r="AZ982" s="236">
        <f t="shared" si="826"/>
        <v>32</v>
      </c>
      <c r="BA982" s="236">
        <f t="shared" si="814"/>
        <v>13</v>
      </c>
      <c r="BB982" s="236">
        <f t="shared" si="815"/>
        <v>0</v>
      </c>
      <c r="BC982" s="252" cm="1">
        <f t="array" ref="BC982">K982/IF($L982&gt;0, INDEX($AO$23:$AU$77, $L982+20, $AD982), 1)</f>
        <v>0</v>
      </c>
      <c r="BD982" s="237">
        <f t="shared" si="827"/>
        <v>0</v>
      </c>
      <c r="BE982" s="236">
        <v>35</v>
      </c>
      <c r="BF982" s="237">
        <f t="shared" si="828"/>
        <v>52.55</v>
      </c>
      <c r="BG982" s="253">
        <f t="shared" si="829"/>
        <v>2.7676728869374316</v>
      </c>
      <c r="BH982" s="253" cm="1">
        <f t="array" ref="BH982">$BC982 * SUMPRODUCT(INDEX($AL$77:$AN$82,,$AE982),INDEX($AO$77:$AU$82,,$AD982), N($AK$77:$AK$82&gt;$AI982)) / BG982 / 1000</f>
        <v>0</v>
      </c>
      <c r="BI982" s="250">
        <f t="shared" si="816"/>
        <v>30</v>
      </c>
      <c r="BJ982" s="237">
        <f t="shared" si="830"/>
        <v>46.033333333333331</v>
      </c>
      <c r="BK982" s="253">
        <f t="shared" si="831"/>
        <v>3.2297395388556791</v>
      </c>
      <c r="BL982" s="253" cm="1">
        <f t="array" ref="BL982">$BC982 * IF($AD982&lt;=2,
SUMPRODUCT(INDEX($AL$72:$AN$76,,$AE982), INDEX($AO$72:$AU$76,,$AD982), 1 / ($AV$72:$AV$76*BK982 + (1-$AV$72:$AV$76)*BG982), N($AK$72:$AK$76&gt;$AI982)),
SUMPRODUCT(INDEX($AL$67:$AN$76,,$AE982), INDEX($AO$67:$AU$76,,$AD982), 1 / ($AW$67:$AW$76*BK982 + (1-$AW$67:$AW$76)*BG982), N($AK$67:$AK$76&gt;$AI982))
) / 1000</f>
        <v>0</v>
      </c>
      <c r="BM982" s="250">
        <f t="shared" si="817"/>
        <v>25</v>
      </c>
      <c r="BN982" s="237">
        <f t="shared" si="832"/>
        <v>39.516666666666666</v>
      </c>
      <c r="BO982" s="253">
        <f t="shared" si="833"/>
        <v>3.877011788826243</v>
      </c>
      <c r="BP982" s="253" cm="1">
        <f t="array" ref="BP982">$BC982 * IF($AD982&lt;=2,
SUMPRODUCT(INDEX($AL$67:$AN$71,,$AE982), INDEX($AO$67:$AU$71,,$AD982), 1 / ($AV$67:$AV$71*BO982 + (1-$AV$67:$AV$71)*BK982), N($AK$67:$AK$71&gt;$AI982)),
SUMPRODUCT(INDEX($AL$57:$AN$66,,$AE982), INDEX($AO$57:$AU$66,,$AD982), 1 / ($AW$57:$AW$66*BO982 + (1-$AW$57:$AW$66)*BK982), N($AK$57:$AK$66&gt;$AI982))
) / 1000</f>
        <v>0</v>
      </c>
      <c r="BQ982" s="250">
        <f t="shared" si="818"/>
        <v>20</v>
      </c>
      <c r="BR982" s="237">
        <f t="shared" si="834"/>
        <v>33</v>
      </c>
      <c r="BS982" s="253">
        <f t="shared" si="835"/>
        <v>4.8487499999999999</v>
      </c>
      <c r="BT982" s="253" cm="1">
        <f t="array" ref="BT982">$BC982 * IF($AD982&lt;=2,
SUMPRODUCT(INDEX($AL$62:$AN$66,,$AE982), INDEX($AO$62:$AU$66,,$AD982), 1 / ($AV$62:$AV$66*BS982 + (1-$AV$62:$AV$66)*BO982), N($AK$62:$AK$66&gt;$AI982)),
SUMPRODUCT(INDEX($AL$47:$AN$56,,$AE982), INDEX($AO$47:$AU$56,,$AD982), 1 / ($AW$47:$AW$56*BS982 + (1-$AW$47:$AW$56)*BO982), N($AK$47:$AK$56&gt;$AI982))
) / 1000</f>
        <v>0</v>
      </c>
      <c r="BU982" s="253" cm="1">
        <f t="array" ref="BU982">$BC982 * IF($AD982&lt;=2,
SUMPRODUCT(INDEX($AL$23:$AN$61,,$AE982), INDEX($AO$23:$AU$61,,$AD982), 1 / ($AV$23:$AV$61*BS982), N($AK$23:$AK$61&gt;$AI982)),
SUMPRODUCT(INDEX($AL$23:$AN$46,,$AE982), INDEX($AO$23:$AU$46,,$AD982), 1 / ($AW$23:$AW$46*BS982), N($AK$23:$AK$46&gt;$AI982))
) / 1000</f>
        <v>0</v>
      </c>
      <c r="BV982" s="237">
        <f t="shared" si="836"/>
        <v>0</v>
      </c>
      <c r="BW982" s="210"/>
      <c r="BX982" s="237">
        <f t="shared" si="837"/>
        <v>0</v>
      </c>
      <c r="BY982" s="236">
        <v>35</v>
      </c>
      <c r="BZ982" s="237">
        <f t="shared" si="838"/>
        <v>48</v>
      </c>
      <c r="CA982" s="253">
        <f t="shared" si="839"/>
        <v>3.0748170731707316</v>
      </c>
      <c r="CB982" s="253" cm="1">
        <f t="array" ref="CB982">$BC982 * SUMPRODUCT(INDEX($AL$77:$AN$82,,$AE982),INDEX($AO$77:$AU$82,,$AD982), N($AK$77:$AK$82&gt;$AI982)) / CA982 / 1000</f>
        <v>0</v>
      </c>
      <c r="CC982" s="250">
        <f t="shared" si="819"/>
        <v>30</v>
      </c>
      <c r="CD982" s="237">
        <f t="shared" si="840"/>
        <v>43</v>
      </c>
      <c r="CE982" s="253">
        <f t="shared" si="841"/>
        <v>3.5018750000000001</v>
      </c>
      <c r="CF982" s="253" cm="1">
        <f t="array" ref="CF982">$BC982 * IF($AD982&lt;=2,
SUMPRODUCT(INDEX($AL$72:$AN$76,,$AE982), INDEX($AO$72:$AU$76,,$AD982), 1 / ($AV$72:$AV$76*CE982 + (1-$AV$72:$AV$76)*CA982), N($AK$72:$AK$76&gt;$AI982)),
SUMPRODUCT(INDEX($AL$67:$AN$76,,$AE982), INDEX($AO$67:$AU$76,,$AD982), 1 / ($AW$67:$AW$76*CE982 + (1-$AW$67:$AW$76)*CA982), N($AK$67:$AK$76&gt;$AI982))
) / 1000</f>
        <v>0</v>
      </c>
      <c r="CG982" s="250">
        <f t="shared" si="820"/>
        <v>25</v>
      </c>
      <c r="CH982" s="237">
        <f t="shared" si="842"/>
        <v>38</v>
      </c>
      <c r="CI982" s="253">
        <f t="shared" si="843"/>
        <v>4.0666935483870965</v>
      </c>
      <c r="CJ982" s="253" cm="1">
        <f t="array" ref="CJ982">$BC982 * IF($AD982&lt;=2,
SUMPRODUCT(INDEX($AL$67:$AN$71,,$AE982), INDEX($AO$67:$AU$71,,$AD982), 1 / ($AV$67:$AV$71*CI982 + (1-$AV$67:$AV$71)*CE982), N($AK$67:$AK$71&gt;$AI982)),
SUMPRODUCT(INDEX($AL$57:$AN$66,,$AE982), INDEX($AO$57:$AU$66,,$AD982), 1 / ($AW$57:$AW$66*CI982 + (1-$AW$57:$AW$66)*CE982), N($AK$57:$AK$66&gt;$AI982))
) / 1000</f>
        <v>0</v>
      </c>
      <c r="CK982" s="250">
        <f t="shared" si="821"/>
        <v>20</v>
      </c>
      <c r="CL982" s="237">
        <f t="shared" si="844"/>
        <v>33</v>
      </c>
      <c r="CM982" s="253">
        <f t="shared" si="845"/>
        <v>4.8487499999999999</v>
      </c>
      <c r="CN982" s="253" cm="1">
        <f t="array" ref="CN982">$BC982 * IF($AD982&lt;=2,
SUMPRODUCT(INDEX($AL$62:$AN$66,,$AE982), INDEX($AO$62:$AU$66,,$AD982), 1 / ($AV$62:$AV$66*CM982 + (1-$AV$62:$AV$66)*CI982), N($AK$62:$AK$66&gt;$AI982)),
SUMPRODUCT(INDEX($AL$47:$AN$56,,$AE982), INDEX($AO$47:$AU$56,,$AD982), 1 / ($AW$47:$AW$56*CM982 + (1-$AW$47:$AW$56)*CI982), N($AK$47:$AK$56&gt;$AI982))
) / 1000</f>
        <v>0</v>
      </c>
      <c r="CO982" s="253" cm="1">
        <f t="array" ref="CO982">$BC982 * IF($AD982&lt;=2,
SUMPRODUCT(INDEX($AL$23:$AN$61,,$AE982), INDEX($AO$23:$AU$61,,$AD982), 1 / ($AV$23:$AV$61*CM982), N($AK$23:$AK$61&gt;$AI982)),
SUMPRODUCT(INDEX($AL$23:$AN$46,,$AE982), INDEX($AO$23:$AU$46,,$AD982), 1 / ($AW$23:$AW$46*CM982), N($AK$23:$AK$46&gt;$AI982))
) / 1000</f>
        <v>0</v>
      </c>
      <c r="CP982" s="237">
        <f t="shared" si="846"/>
        <v>0</v>
      </c>
      <c r="CQ982" s="210"/>
    </row>
    <row r="983" spans="1:95" s="76" customFormat="1" ht="14.25" customHeight="1" x14ac:dyDescent="0.2">
      <c r="A983" s="238" t="b">
        <f t="shared" si="850"/>
        <v>0</v>
      </c>
      <c r="B983" s="239">
        <v>961</v>
      </c>
      <c r="C983" s="258"/>
      <c r="D983" s="258"/>
      <c r="E983" s="240"/>
      <c r="F983" s="241" t="str">
        <f>IF(ISBLANK(E983), "", VLOOKUP(E983, Z!$A$2:$C$4127, 3, FALSE))</f>
        <v/>
      </c>
      <c r="G983" s="242"/>
      <c r="H983" s="242"/>
      <c r="I983" s="243"/>
      <c r="J983" s="244"/>
      <c r="K983" s="259"/>
      <c r="L983" s="260"/>
      <c r="M983" s="247" t="str" cm="1">
        <f t="array" ref="M983">IF($K983&gt;0, INDEX(Clean,1+AG983,$C$1), "")</f>
        <v/>
      </c>
      <c r="N983" s="245"/>
      <c r="O983" s="245"/>
      <c r="P983" s="246"/>
      <c r="Q983" s="248">
        <f t="shared" si="823"/>
        <v>0</v>
      </c>
      <c r="R983" s="247" t="str" cm="1">
        <f t="array" ref="R983">IF($K983&gt;0, INDEX(Clean,1+AH983,$C$1), "")</f>
        <v/>
      </c>
      <c r="S983" s="245"/>
      <c r="T983" s="245"/>
      <c r="U983" s="246"/>
      <c r="V983" s="248">
        <f t="shared" si="824"/>
        <v>0</v>
      </c>
      <c r="W983" s="261"/>
      <c r="X983" s="258"/>
      <c r="Y983" s="240"/>
      <c r="Z983" s="241" t="str">
        <f>IF(ISBLANK(Y983), "", VLOOKUP(Y983, Z!$A$2:$C$4127, 3, FALSE))</f>
        <v/>
      </c>
      <c r="AA983" s="262"/>
      <c r="AB983" s="249">
        <f t="shared" si="822"/>
        <v>0</v>
      </c>
      <c r="AC983" s="210"/>
      <c r="AD983" s="236">
        <f t="shared" si="847"/>
        <v>1</v>
      </c>
      <c r="AE983" s="236">
        <f t="shared" si="848"/>
        <v>1</v>
      </c>
      <c r="AF983" s="236">
        <f t="shared" si="849"/>
        <v>0</v>
      </c>
      <c r="AG983" s="236">
        <v>1</v>
      </c>
      <c r="AH983" s="236">
        <v>0</v>
      </c>
      <c r="AI983" s="236">
        <f t="shared" si="825"/>
        <v>-100</v>
      </c>
      <c r="AJ983" s="210"/>
      <c r="AK983" s="254"/>
      <c r="AL983" s="254"/>
      <c r="AM983" s="255"/>
      <c r="AN983" s="255"/>
      <c r="AO983" s="255"/>
      <c r="AP983" s="255"/>
      <c r="AQ983" s="255"/>
      <c r="AR983" s="255"/>
      <c r="AS983" s="255"/>
      <c r="AT983" s="255"/>
      <c r="AU983" s="255"/>
      <c r="AV983" s="255"/>
      <c r="AW983" s="255"/>
      <c r="AX983" s="210"/>
      <c r="AY983" s="236" cm="1">
        <f t="array" ref="AY983">INDEX(Use, $AD983, 4)</f>
        <v>7</v>
      </c>
      <c r="AZ983" s="236">
        <f t="shared" si="826"/>
        <v>32</v>
      </c>
      <c r="BA983" s="236">
        <f t="shared" ref="BA983:BA1022" si="851">IF($AF983=1, 6, IF($AD983=4, 10, 13))</f>
        <v>13</v>
      </c>
      <c r="BB983" s="236">
        <f t="shared" ref="BB983:BB1022" si="852">IF($AF983=1, 9, 0)</f>
        <v>0</v>
      </c>
      <c r="BC983" s="252" cm="1">
        <f t="array" ref="BC983">K983/IF($L983&gt;0, INDEX($AO$23:$AU$77, $L983+20, $AD983), 1)</f>
        <v>0</v>
      </c>
      <c r="BD983" s="237">
        <f t="shared" si="827"/>
        <v>0</v>
      </c>
      <c r="BE983" s="236">
        <v>35</v>
      </c>
      <c r="BF983" s="237">
        <f t="shared" si="828"/>
        <v>52.55</v>
      </c>
      <c r="BG983" s="253">
        <f t="shared" si="829"/>
        <v>2.7676728869374316</v>
      </c>
      <c r="BH983" s="253" cm="1">
        <f t="array" ref="BH983">$BC983 * SUMPRODUCT(INDEX($AL$77:$AN$82,,$AE983),INDEX($AO$77:$AU$82,,$AD983), N($AK$77:$AK$82&gt;$AI983)) / BG983 / 1000</f>
        <v>0</v>
      </c>
      <c r="BI983" s="250">
        <f t="shared" ref="BI983:BI1022" si="853">IF($AD983&lt;=2, 30, 25)</f>
        <v>30</v>
      </c>
      <c r="BJ983" s="237">
        <f t="shared" si="830"/>
        <v>46.033333333333331</v>
      </c>
      <c r="BK983" s="253">
        <f t="shared" si="831"/>
        <v>3.2297395388556791</v>
      </c>
      <c r="BL983" s="253" cm="1">
        <f t="array" ref="BL983">$BC983 * IF($AD983&lt;=2,
SUMPRODUCT(INDEX($AL$72:$AN$76,,$AE983), INDEX($AO$72:$AU$76,,$AD983), 1 / ($AV$72:$AV$76*BK983 + (1-$AV$72:$AV$76)*BG983), N($AK$72:$AK$76&gt;$AI983)),
SUMPRODUCT(INDEX($AL$67:$AN$76,,$AE983), INDEX($AO$67:$AU$76,,$AD983), 1 / ($AW$67:$AW$76*BK983 + (1-$AW$67:$AW$76)*BG983), N($AK$67:$AK$76&gt;$AI983))
) / 1000</f>
        <v>0</v>
      </c>
      <c r="BM983" s="250">
        <f t="shared" ref="BM983:BM1022" si="854">IF($AD983&lt;=2, 25, 15)</f>
        <v>25</v>
      </c>
      <c r="BN983" s="237">
        <f t="shared" si="832"/>
        <v>39.516666666666666</v>
      </c>
      <c r="BO983" s="253">
        <f t="shared" si="833"/>
        <v>3.877011788826243</v>
      </c>
      <c r="BP983" s="253" cm="1">
        <f t="array" ref="BP983">$BC983 * IF($AD983&lt;=2,
SUMPRODUCT(INDEX($AL$67:$AN$71,,$AE983), INDEX($AO$67:$AU$71,,$AD983), 1 / ($AV$67:$AV$71*BO983 + (1-$AV$67:$AV$71)*BK983), N($AK$67:$AK$71&gt;$AI983)),
SUMPRODUCT(INDEX($AL$57:$AN$66,,$AE983), INDEX($AO$57:$AU$66,,$AD983), 1 / ($AW$57:$AW$66*BO983 + (1-$AW$57:$AW$66)*BK983), N($AK$57:$AK$66&gt;$AI983))
) / 1000</f>
        <v>0</v>
      </c>
      <c r="BQ983" s="250">
        <f t="shared" ref="BQ983:BQ1022" si="855">IF($AD983&lt;=2, 20, 5)</f>
        <v>20</v>
      </c>
      <c r="BR983" s="237">
        <f t="shared" si="834"/>
        <v>33</v>
      </c>
      <c r="BS983" s="253">
        <f t="shared" si="835"/>
        <v>4.8487499999999999</v>
      </c>
      <c r="BT983" s="253" cm="1">
        <f t="array" ref="BT983">$BC983 * IF($AD983&lt;=2,
SUMPRODUCT(INDEX($AL$62:$AN$66,,$AE983), INDEX($AO$62:$AU$66,,$AD983), 1 / ($AV$62:$AV$66*BS983 + (1-$AV$62:$AV$66)*BO983), N($AK$62:$AK$66&gt;$AI983)),
SUMPRODUCT(INDEX($AL$47:$AN$56,,$AE983), INDEX($AO$47:$AU$56,,$AD983), 1 / ($AW$47:$AW$56*BS983 + (1-$AW$47:$AW$56)*BO983), N($AK$47:$AK$56&gt;$AI983))
) / 1000</f>
        <v>0</v>
      </c>
      <c r="BU983" s="253" cm="1">
        <f t="array" ref="BU983">$BC983 * IF($AD983&lt;=2,
SUMPRODUCT(INDEX($AL$23:$AN$61,,$AE983), INDEX($AO$23:$AU$61,,$AD983), 1 / ($AV$23:$AV$61*BS983), N($AK$23:$AK$61&gt;$AI983)),
SUMPRODUCT(INDEX($AL$23:$AN$46,,$AE983), INDEX($AO$23:$AU$46,,$AD983), 1 / ($AW$23:$AW$46*BS983), N($AK$23:$AK$46&gt;$AI983))
) / 1000</f>
        <v>0</v>
      </c>
      <c r="BV983" s="237">
        <f t="shared" si="836"/>
        <v>0</v>
      </c>
      <c r="BW983" s="210"/>
      <c r="BX983" s="237">
        <f t="shared" si="837"/>
        <v>0</v>
      </c>
      <c r="BY983" s="236">
        <v>35</v>
      </c>
      <c r="BZ983" s="237">
        <f t="shared" si="838"/>
        <v>48</v>
      </c>
      <c r="CA983" s="253">
        <f t="shared" si="839"/>
        <v>3.0748170731707316</v>
      </c>
      <c r="CB983" s="253" cm="1">
        <f t="array" ref="CB983">$BC983 * SUMPRODUCT(INDEX($AL$77:$AN$82,,$AE983),INDEX($AO$77:$AU$82,,$AD983), N($AK$77:$AK$82&gt;$AI983)) / CA983 / 1000</f>
        <v>0</v>
      </c>
      <c r="CC983" s="250">
        <f t="shared" ref="CC983:CC1022" si="856">IF($AD983&lt;=2, 30, 25)</f>
        <v>30</v>
      </c>
      <c r="CD983" s="237">
        <f t="shared" si="840"/>
        <v>43</v>
      </c>
      <c r="CE983" s="253">
        <f t="shared" si="841"/>
        <v>3.5018750000000001</v>
      </c>
      <c r="CF983" s="253" cm="1">
        <f t="array" ref="CF983">$BC983 * IF($AD983&lt;=2,
SUMPRODUCT(INDEX($AL$72:$AN$76,,$AE983), INDEX($AO$72:$AU$76,,$AD983), 1 / ($AV$72:$AV$76*CE983 + (1-$AV$72:$AV$76)*CA983), N($AK$72:$AK$76&gt;$AI983)),
SUMPRODUCT(INDEX($AL$67:$AN$76,,$AE983), INDEX($AO$67:$AU$76,,$AD983), 1 / ($AW$67:$AW$76*CE983 + (1-$AW$67:$AW$76)*CA983), N($AK$67:$AK$76&gt;$AI983))
) / 1000</f>
        <v>0</v>
      </c>
      <c r="CG983" s="250">
        <f t="shared" ref="CG983:CG1022" si="857">IF($AD983&lt;=2, 25, 15)</f>
        <v>25</v>
      </c>
      <c r="CH983" s="237">
        <f t="shared" si="842"/>
        <v>38</v>
      </c>
      <c r="CI983" s="253">
        <f t="shared" si="843"/>
        <v>4.0666935483870965</v>
      </c>
      <c r="CJ983" s="253" cm="1">
        <f t="array" ref="CJ983">$BC983 * IF($AD983&lt;=2,
SUMPRODUCT(INDEX($AL$67:$AN$71,,$AE983), INDEX($AO$67:$AU$71,,$AD983), 1 / ($AV$67:$AV$71*CI983 + (1-$AV$67:$AV$71)*CE983), N($AK$67:$AK$71&gt;$AI983)),
SUMPRODUCT(INDEX($AL$57:$AN$66,,$AE983), INDEX($AO$57:$AU$66,,$AD983), 1 / ($AW$57:$AW$66*CI983 + (1-$AW$57:$AW$66)*CE983), N($AK$57:$AK$66&gt;$AI983))
) / 1000</f>
        <v>0</v>
      </c>
      <c r="CK983" s="250">
        <f t="shared" ref="CK983:CK1022" si="858">IF($AD983&lt;=2, 20, 5)</f>
        <v>20</v>
      </c>
      <c r="CL983" s="237">
        <f t="shared" si="844"/>
        <v>33</v>
      </c>
      <c r="CM983" s="253">
        <f t="shared" si="845"/>
        <v>4.8487499999999999</v>
      </c>
      <c r="CN983" s="253" cm="1">
        <f t="array" ref="CN983">$BC983 * IF($AD983&lt;=2,
SUMPRODUCT(INDEX($AL$62:$AN$66,,$AE983), INDEX($AO$62:$AU$66,,$AD983), 1 / ($AV$62:$AV$66*CM983 + (1-$AV$62:$AV$66)*CI983), N($AK$62:$AK$66&gt;$AI983)),
SUMPRODUCT(INDEX($AL$47:$AN$56,,$AE983), INDEX($AO$47:$AU$56,,$AD983), 1 / ($AW$47:$AW$56*CM983 + (1-$AW$47:$AW$56)*CI983), N($AK$47:$AK$56&gt;$AI983))
) / 1000</f>
        <v>0</v>
      </c>
      <c r="CO983" s="253" cm="1">
        <f t="array" ref="CO983">$BC983 * IF($AD983&lt;=2,
SUMPRODUCT(INDEX($AL$23:$AN$61,,$AE983), INDEX($AO$23:$AU$61,,$AD983), 1 / ($AV$23:$AV$61*CM983), N($AK$23:$AK$61&gt;$AI983)),
SUMPRODUCT(INDEX($AL$23:$AN$46,,$AE983), INDEX($AO$23:$AU$46,,$AD983), 1 / ($AW$23:$AW$46*CM983), N($AK$23:$AK$46&gt;$AI983))
) / 1000</f>
        <v>0</v>
      </c>
      <c r="CP983" s="237">
        <f t="shared" si="846"/>
        <v>0</v>
      </c>
      <c r="CQ983" s="210"/>
    </row>
    <row r="984" spans="1:95" s="76" customFormat="1" ht="14.25" customHeight="1" x14ac:dyDescent="0.2">
      <c r="A984" s="238" t="b">
        <f t="shared" si="850"/>
        <v>0</v>
      </c>
      <c r="B984" s="239">
        <v>962</v>
      </c>
      <c r="C984" s="258"/>
      <c r="D984" s="258"/>
      <c r="E984" s="240"/>
      <c r="F984" s="241" t="str">
        <f>IF(ISBLANK(E984), "", VLOOKUP(E984, Z!$A$2:$C$4127, 3, FALSE))</f>
        <v/>
      </c>
      <c r="G984" s="242"/>
      <c r="H984" s="242"/>
      <c r="I984" s="243"/>
      <c r="J984" s="244"/>
      <c r="K984" s="259"/>
      <c r="L984" s="260"/>
      <c r="M984" s="247" t="str" cm="1">
        <f t="array" ref="M984">IF($K984&gt;0, INDEX(Clean,1+AG984,$C$1), "")</f>
        <v/>
      </c>
      <c r="N984" s="245"/>
      <c r="O984" s="245"/>
      <c r="P984" s="246"/>
      <c r="Q984" s="248">
        <f t="shared" si="823"/>
        <v>0</v>
      </c>
      <c r="R984" s="247" t="str" cm="1">
        <f t="array" ref="R984">IF($K984&gt;0, INDEX(Clean,1+AH984,$C$1), "")</f>
        <v/>
      </c>
      <c r="S984" s="245"/>
      <c r="T984" s="245"/>
      <c r="U984" s="246"/>
      <c r="V984" s="248">
        <f t="shared" si="824"/>
        <v>0</v>
      </c>
      <c r="W984" s="261"/>
      <c r="X984" s="258"/>
      <c r="Y984" s="240"/>
      <c r="Z984" s="241" t="str">
        <f>IF(ISBLANK(Y984), "", VLOOKUP(Y984, Z!$A$2:$C$4127, 3, FALSE))</f>
        <v/>
      </c>
      <c r="AA984" s="262"/>
      <c r="AB984" s="249">
        <f t="shared" ref="AB984:AB1022" si="859">0.75*$AJ$22*(Q984-V984)</f>
        <v>0</v>
      </c>
      <c r="AC984" s="210"/>
      <c r="AD984" s="236">
        <f t="shared" si="847"/>
        <v>1</v>
      </c>
      <c r="AE984" s="236">
        <f t="shared" si="848"/>
        <v>1</v>
      </c>
      <c r="AF984" s="236">
        <f t="shared" si="849"/>
        <v>0</v>
      </c>
      <c r="AG984" s="236">
        <v>1</v>
      </c>
      <c r="AH984" s="236">
        <v>0</v>
      </c>
      <c r="AI984" s="236">
        <f t="shared" si="825"/>
        <v>-100</v>
      </c>
      <c r="AJ984" s="210"/>
      <c r="AK984" s="254"/>
      <c r="AL984" s="254"/>
      <c r="AM984" s="255"/>
      <c r="AN984" s="255"/>
      <c r="AO984" s="255"/>
      <c r="AP984" s="255"/>
      <c r="AQ984" s="255"/>
      <c r="AR984" s="255"/>
      <c r="AS984" s="255"/>
      <c r="AT984" s="255"/>
      <c r="AU984" s="255"/>
      <c r="AV984" s="255"/>
      <c r="AW984" s="255"/>
      <c r="AX984" s="210"/>
      <c r="AY984" s="236" cm="1">
        <f t="array" ref="AY984">INDEX(Use, $AD984, 4)</f>
        <v>7</v>
      </c>
      <c r="AZ984" s="236">
        <f t="shared" si="826"/>
        <v>32</v>
      </c>
      <c r="BA984" s="236">
        <f t="shared" si="851"/>
        <v>13</v>
      </c>
      <c r="BB984" s="236">
        <f t="shared" si="852"/>
        <v>0</v>
      </c>
      <c r="BC984" s="252" cm="1">
        <f t="array" ref="BC984">K984/IF($L984&gt;0, INDEX($AO$23:$AU$77, $L984+20, $AD984), 1)</f>
        <v>0</v>
      </c>
      <c r="BD984" s="237">
        <f t="shared" si="827"/>
        <v>0</v>
      </c>
      <c r="BE984" s="236">
        <v>35</v>
      </c>
      <c r="BF984" s="237">
        <f t="shared" si="828"/>
        <v>52.55</v>
      </c>
      <c r="BG984" s="253">
        <f t="shared" si="829"/>
        <v>2.7676728869374316</v>
      </c>
      <c r="BH984" s="253" cm="1">
        <f t="array" ref="BH984">$BC984 * SUMPRODUCT(INDEX($AL$77:$AN$82,,$AE984),INDEX($AO$77:$AU$82,,$AD984), N($AK$77:$AK$82&gt;$AI984)) / BG984 / 1000</f>
        <v>0</v>
      </c>
      <c r="BI984" s="250">
        <f t="shared" si="853"/>
        <v>30</v>
      </c>
      <c r="BJ984" s="237">
        <f t="shared" si="830"/>
        <v>46.033333333333331</v>
      </c>
      <c r="BK984" s="253">
        <f t="shared" si="831"/>
        <v>3.2297395388556791</v>
      </c>
      <c r="BL984" s="253" cm="1">
        <f t="array" ref="BL984">$BC984 * IF($AD984&lt;=2,
SUMPRODUCT(INDEX($AL$72:$AN$76,,$AE984), INDEX($AO$72:$AU$76,,$AD984), 1 / ($AV$72:$AV$76*BK984 + (1-$AV$72:$AV$76)*BG984), N($AK$72:$AK$76&gt;$AI984)),
SUMPRODUCT(INDEX($AL$67:$AN$76,,$AE984), INDEX($AO$67:$AU$76,,$AD984), 1 / ($AW$67:$AW$76*BK984 + (1-$AW$67:$AW$76)*BG984), N($AK$67:$AK$76&gt;$AI984))
) / 1000</f>
        <v>0</v>
      </c>
      <c r="BM984" s="250">
        <f t="shared" si="854"/>
        <v>25</v>
      </c>
      <c r="BN984" s="237">
        <f t="shared" si="832"/>
        <v>39.516666666666666</v>
      </c>
      <c r="BO984" s="253">
        <f t="shared" si="833"/>
        <v>3.877011788826243</v>
      </c>
      <c r="BP984" s="253" cm="1">
        <f t="array" ref="BP984">$BC984 * IF($AD984&lt;=2,
SUMPRODUCT(INDEX($AL$67:$AN$71,,$AE984), INDEX($AO$67:$AU$71,,$AD984), 1 / ($AV$67:$AV$71*BO984 + (1-$AV$67:$AV$71)*BK984), N($AK$67:$AK$71&gt;$AI984)),
SUMPRODUCT(INDEX($AL$57:$AN$66,,$AE984), INDEX($AO$57:$AU$66,,$AD984), 1 / ($AW$57:$AW$66*BO984 + (1-$AW$57:$AW$66)*BK984), N($AK$57:$AK$66&gt;$AI984))
) / 1000</f>
        <v>0</v>
      </c>
      <c r="BQ984" s="250">
        <f t="shared" si="855"/>
        <v>20</v>
      </c>
      <c r="BR984" s="237">
        <f t="shared" si="834"/>
        <v>33</v>
      </c>
      <c r="BS984" s="253">
        <f t="shared" si="835"/>
        <v>4.8487499999999999</v>
      </c>
      <c r="BT984" s="253" cm="1">
        <f t="array" ref="BT984">$BC984 * IF($AD984&lt;=2,
SUMPRODUCT(INDEX($AL$62:$AN$66,,$AE984), INDEX($AO$62:$AU$66,,$AD984), 1 / ($AV$62:$AV$66*BS984 + (1-$AV$62:$AV$66)*BO984), N($AK$62:$AK$66&gt;$AI984)),
SUMPRODUCT(INDEX($AL$47:$AN$56,,$AE984), INDEX($AO$47:$AU$56,,$AD984), 1 / ($AW$47:$AW$56*BS984 + (1-$AW$47:$AW$56)*BO984), N($AK$47:$AK$56&gt;$AI984))
) / 1000</f>
        <v>0</v>
      </c>
      <c r="BU984" s="253" cm="1">
        <f t="array" ref="BU984">$BC984 * IF($AD984&lt;=2,
SUMPRODUCT(INDEX($AL$23:$AN$61,,$AE984), INDEX($AO$23:$AU$61,,$AD984), 1 / ($AV$23:$AV$61*BS984), N($AK$23:$AK$61&gt;$AI984)),
SUMPRODUCT(INDEX($AL$23:$AN$46,,$AE984), INDEX($AO$23:$AU$46,,$AD984), 1 / ($AW$23:$AW$46*BS984), N($AK$23:$AK$46&gt;$AI984))
) / 1000</f>
        <v>0</v>
      </c>
      <c r="BV984" s="237">
        <f t="shared" si="836"/>
        <v>0</v>
      </c>
      <c r="BW984" s="210"/>
      <c r="BX984" s="237">
        <f t="shared" si="837"/>
        <v>0</v>
      </c>
      <c r="BY984" s="236">
        <v>35</v>
      </c>
      <c r="BZ984" s="237">
        <f t="shared" si="838"/>
        <v>48</v>
      </c>
      <c r="CA984" s="253">
        <f t="shared" si="839"/>
        <v>3.0748170731707316</v>
      </c>
      <c r="CB984" s="253" cm="1">
        <f t="array" ref="CB984">$BC984 * SUMPRODUCT(INDEX($AL$77:$AN$82,,$AE984),INDEX($AO$77:$AU$82,,$AD984), N($AK$77:$AK$82&gt;$AI984)) / CA984 / 1000</f>
        <v>0</v>
      </c>
      <c r="CC984" s="250">
        <f t="shared" si="856"/>
        <v>30</v>
      </c>
      <c r="CD984" s="237">
        <f t="shared" si="840"/>
        <v>43</v>
      </c>
      <c r="CE984" s="253">
        <f t="shared" si="841"/>
        <v>3.5018750000000001</v>
      </c>
      <c r="CF984" s="253" cm="1">
        <f t="array" ref="CF984">$BC984 * IF($AD984&lt;=2,
SUMPRODUCT(INDEX($AL$72:$AN$76,,$AE984), INDEX($AO$72:$AU$76,,$AD984), 1 / ($AV$72:$AV$76*CE984 + (1-$AV$72:$AV$76)*CA984), N($AK$72:$AK$76&gt;$AI984)),
SUMPRODUCT(INDEX($AL$67:$AN$76,,$AE984), INDEX($AO$67:$AU$76,,$AD984), 1 / ($AW$67:$AW$76*CE984 + (1-$AW$67:$AW$76)*CA984), N($AK$67:$AK$76&gt;$AI984))
) / 1000</f>
        <v>0</v>
      </c>
      <c r="CG984" s="250">
        <f t="shared" si="857"/>
        <v>25</v>
      </c>
      <c r="CH984" s="237">
        <f t="shared" si="842"/>
        <v>38</v>
      </c>
      <c r="CI984" s="253">
        <f t="shared" si="843"/>
        <v>4.0666935483870965</v>
      </c>
      <c r="CJ984" s="253" cm="1">
        <f t="array" ref="CJ984">$BC984 * IF($AD984&lt;=2,
SUMPRODUCT(INDEX($AL$67:$AN$71,,$AE984), INDEX($AO$67:$AU$71,,$AD984), 1 / ($AV$67:$AV$71*CI984 + (1-$AV$67:$AV$71)*CE984), N($AK$67:$AK$71&gt;$AI984)),
SUMPRODUCT(INDEX($AL$57:$AN$66,,$AE984), INDEX($AO$57:$AU$66,,$AD984), 1 / ($AW$57:$AW$66*CI984 + (1-$AW$57:$AW$66)*CE984), N($AK$57:$AK$66&gt;$AI984))
) / 1000</f>
        <v>0</v>
      </c>
      <c r="CK984" s="250">
        <f t="shared" si="858"/>
        <v>20</v>
      </c>
      <c r="CL984" s="237">
        <f t="shared" si="844"/>
        <v>33</v>
      </c>
      <c r="CM984" s="253">
        <f t="shared" si="845"/>
        <v>4.8487499999999999</v>
      </c>
      <c r="CN984" s="253" cm="1">
        <f t="array" ref="CN984">$BC984 * IF($AD984&lt;=2,
SUMPRODUCT(INDEX($AL$62:$AN$66,,$AE984), INDEX($AO$62:$AU$66,,$AD984), 1 / ($AV$62:$AV$66*CM984 + (1-$AV$62:$AV$66)*CI984), N($AK$62:$AK$66&gt;$AI984)),
SUMPRODUCT(INDEX($AL$47:$AN$56,,$AE984), INDEX($AO$47:$AU$56,,$AD984), 1 / ($AW$47:$AW$56*CM984 + (1-$AW$47:$AW$56)*CI984), N($AK$47:$AK$56&gt;$AI984))
) / 1000</f>
        <v>0</v>
      </c>
      <c r="CO984" s="253" cm="1">
        <f t="array" ref="CO984">$BC984 * IF($AD984&lt;=2,
SUMPRODUCT(INDEX($AL$23:$AN$61,,$AE984), INDEX($AO$23:$AU$61,,$AD984), 1 / ($AV$23:$AV$61*CM984), N($AK$23:$AK$61&gt;$AI984)),
SUMPRODUCT(INDEX($AL$23:$AN$46,,$AE984), INDEX($AO$23:$AU$46,,$AD984), 1 / ($AW$23:$AW$46*CM984), N($AK$23:$AK$46&gt;$AI984))
) / 1000</f>
        <v>0</v>
      </c>
      <c r="CP984" s="237">
        <f t="shared" si="846"/>
        <v>0</v>
      </c>
      <c r="CQ984" s="210"/>
    </row>
    <row r="985" spans="1:95" s="76" customFormat="1" ht="14.25" customHeight="1" x14ac:dyDescent="0.2">
      <c r="A985" s="238" t="b">
        <f t="shared" si="850"/>
        <v>0</v>
      </c>
      <c r="B985" s="239">
        <v>963</v>
      </c>
      <c r="C985" s="258"/>
      <c r="D985" s="258"/>
      <c r="E985" s="240"/>
      <c r="F985" s="241" t="str">
        <f>IF(ISBLANK(E985), "", VLOOKUP(E985, Z!$A$2:$C$4127, 3, FALSE))</f>
        <v/>
      </c>
      <c r="G985" s="242"/>
      <c r="H985" s="242"/>
      <c r="I985" s="243"/>
      <c r="J985" s="244"/>
      <c r="K985" s="259"/>
      <c r="L985" s="260"/>
      <c r="M985" s="247" t="str" cm="1">
        <f t="array" ref="M985">IF($K985&gt;0, INDEX(Clean,1+AG985,$C$1), "")</f>
        <v/>
      </c>
      <c r="N985" s="245"/>
      <c r="O985" s="245"/>
      <c r="P985" s="246"/>
      <c r="Q985" s="248">
        <f t="shared" si="823"/>
        <v>0</v>
      </c>
      <c r="R985" s="247" t="str" cm="1">
        <f t="array" ref="R985">IF($K985&gt;0, INDEX(Clean,1+AH985,$C$1), "")</f>
        <v/>
      </c>
      <c r="S985" s="245"/>
      <c r="T985" s="245"/>
      <c r="U985" s="246"/>
      <c r="V985" s="248">
        <f t="shared" si="824"/>
        <v>0</v>
      </c>
      <c r="W985" s="261"/>
      <c r="X985" s="258"/>
      <c r="Y985" s="240"/>
      <c r="Z985" s="241" t="str">
        <f>IF(ISBLANK(Y985), "", VLOOKUP(Y985, Z!$A$2:$C$4127, 3, FALSE))</f>
        <v/>
      </c>
      <c r="AA985" s="262"/>
      <c r="AB985" s="249">
        <f t="shared" si="859"/>
        <v>0</v>
      </c>
      <c r="AC985" s="210"/>
      <c r="AD985" s="236">
        <f t="shared" si="847"/>
        <v>1</v>
      </c>
      <c r="AE985" s="236">
        <f t="shared" si="848"/>
        <v>1</v>
      </c>
      <c r="AF985" s="236">
        <f t="shared" si="849"/>
        <v>0</v>
      </c>
      <c r="AG985" s="236">
        <v>1</v>
      </c>
      <c r="AH985" s="236">
        <v>0</v>
      </c>
      <c r="AI985" s="236">
        <f t="shared" si="825"/>
        <v>-100</v>
      </c>
      <c r="AJ985" s="210"/>
      <c r="AK985" s="254"/>
      <c r="AL985" s="254"/>
      <c r="AM985" s="255"/>
      <c r="AN985" s="255"/>
      <c r="AO985" s="255"/>
      <c r="AP985" s="255"/>
      <c r="AQ985" s="255"/>
      <c r="AR985" s="255"/>
      <c r="AS985" s="255"/>
      <c r="AT985" s="255"/>
      <c r="AU985" s="255"/>
      <c r="AV985" s="255"/>
      <c r="AW985" s="255"/>
      <c r="AX985" s="210"/>
      <c r="AY985" s="236" cm="1">
        <f t="array" ref="AY985">INDEX(Use, $AD985, 4)</f>
        <v>7</v>
      </c>
      <c r="AZ985" s="236">
        <f t="shared" si="826"/>
        <v>32</v>
      </c>
      <c r="BA985" s="236">
        <f t="shared" si="851"/>
        <v>13</v>
      </c>
      <c r="BB985" s="236">
        <f t="shared" si="852"/>
        <v>0</v>
      </c>
      <c r="BC985" s="252" cm="1">
        <f t="array" ref="BC985">K985/IF($L985&gt;0, INDEX($AO$23:$AU$77, $L985+20, $AD985), 1)</f>
        <v>0</v>
      </c>
      <c r="BD985" s="237">
        <f t="shared" si="827"/>
        <v>0</v>
      </c>
      <c r="BE985" s="236">
        <v>35</v>
      </c>
      <c r="BF985" s="237">
        <f t="shared" si="828"/>
        <v>52.55</v>
      </c>
      <c r="BG985" s="253">
        <f t="shared" si="829"/>
        <v>2.7676728869374316</v>
      </c>
      <c r="BH985" s="253" cm="1">
        <f t="array" ref="BH985">$BC985 * SUMPRODUCT(INDEX($AL$77:$AN$82,,$AE985),INDEX($AO$77:$AU$82,,$AD985), N($AK$77:$AK$82&gt;$AI985)) / BG985 / 1000</f>
        <v>0</v>
      </c>
      <c r="BI985" s="250">
        <f t="shared" si="853"/>
        <v>30</v>
      </c>
      <c r="BJ985" s="237">
        <f t="shared" si="830"/>
        <v>46.033333333333331</v>
      </c>
      <c r="BK985" s="253">
        <f t="shared" si="831"/>
        <v>3.2297395388556791</v>
      </c>
      <c r="BL985" s="253" cm="1">
        <f t="array" ref="BL985">$BC985 * IF($AD985&lt;=2,
SUMPRODUCT(INDEX($AL$72:$AN$76,,$AE985), INDEX($AO$72:$AU$76,,$AD985), 1 / ($AV$72:$AV$76*BK985 + (1-$AV$72:$AV$76)*BG985), N($AK$72:$AK$76&gt;$AI985)),
SUMPRODUCT(INDEX($AL$67:$AN$76,,$AE985), INDEX($AO$67:$AU$76,,$AD985), 1 / ($AW$67:$AW$76*BK985 + (1-$AW$67:$AW$76)*BG985), N($AK$67:$AK$76&gt;$AI985))
) / 1000</f>
        <v>0</v>
      </c>
      <c r="BM985" s="250">
        <f t="shared" si="854"/>
        <v>25</v>
      </c>
      <c r="BN985" s="237">
        <f t="shared" si="832"/>
        <v>39.516666666666666</v>
      </c>
      <c r="BO985" s="253">
        <f t="shared" si="833"/>
        <v>3.877011788826243</v>
      </c>
      <c r="BP985" s="253" cm="1">
        <f t="array" ref="BP985">$BC985 * IF($AD985&lt;=2,
SUMPRODUCT(INDEX($AL$67:$AN$71,,$AE985), INDEX($AO$67:$AU$71,,$AD985), 1 / ($AV$67:$AV$71*BO985 + (1-$AV$67:$AV$71)*BK985), N($AK$67:$AK$71&gt;$AI985)),
SUMPRODUCT(INDEX($AL$57:$AN$66,,$AE985), INDEX($AO$57:$AU$66,,$AD985), 1 / ($AW$57:$AW$66*BO985 + (1-$AW$57:$AW$66)*BK985), N($AK$57:$AK$66&gt;$AI985))
) / 1000</f>
        <v>0</v>
      </c>
      <c r="BQ985" s="250">
        <f t="shared" si="855"/>
        <v>20</v>
      </c>
      <c r="BR985" s="237">
        <f t="shared" si="834"/>
        <v>33</v>
      </c>
      <c r="BS985" s="253">
        <f t="shared" si="835"/>
        <v>4.8487499999999999</v>
      </c>
      <c r="BT985" s="253" cm="1">
        <f t="array" ref="BT985">$BC985 * IF($AD985&lt;=2,
SUMPRODUCT(INDEX($AL$62:$AN$66,,$AE985), INDEX($AO$62:$AU$66,,$AD985), 1 / ($AV$62:$AV$66*BS985 + (1-$AV$62:$AV$66)*BO985), N($AK$62:$AK$66&gt;$AI985)),
SUMPRODUCT(INDEX($AL$47:$AN$56,,$AE985), INDEX($AO$47:$AU$56,,$AD985), 1 / ($AW$47:$AW$56*BS985 + (1-$AW$47:$AW$56)*BO985), N($AK$47:$AK$56&gt;$AI985))
) / 1000</f>
        <v>0</v>
      </c>
      <c r="BU985" s="253" cm="1">
        <f t="array" ref="BU985">$BC985 * IF($AD985&lt;=2,
SUMPRODUCT(INDEX($AL$23:$AN$61,,$AE985), INDEX($AO$23:$AU$61,,$AD985), 1 / ($AV$23:$AV$61*BS985), N($AK$23:$AK$61&gt;$AI985)),
SUMPRODUCT(INDEX($AL$23:$AN$46,,$AE985), INDEX($AO$23:$AU$46,,$AD985), 1 / ($AW$23:$AW$46*BS985), N($AK$23:$AK$46&gt;$AI985))
) / 1000</f>
        <v>0</v>
      </c>
      <c r="BV985" s="237">
        <f t="shared" si="836"/>
        <v>0</v>
      </c>
      <c r="BW985" s="210"/>
      <c r="BX985" s="237">
        <f t="shared" si="837"/>
        <v>0</v>
      </c>
      <c r="BY985" s="236">
        <v>35</v>
      </c>
      <c r="BZ985" s="237">
        <f t="shared" si="838"/>
        <v>48</v>
      </c>
      <c r="CA985" s="253">
        <f t="shared" si="839"/>
        <v>3.0748170731707316</v>
      </c>
      <c r="CB985" s="253" cm="1">
        <f t="array" ref="CB985">$BC985 * SUMPRODUCT(INDEX($AL$77:$AN$82,,$AE985),INDEX($AO$77:$AU$82,,$AD985), N($AK$77:$AK$82&gt;$AI985)) / CA985 / 1000</f>
        <v>0</v>
      </c>
      <c r="CC985" s="250">
        <f t="shared" si="856"/>
        <v>30</v>
      </c>
      <c r="CD985" s="237">
        <f t="shared" si="840"/>
        <v>43</v>
      </c>
      <c r="CE985" s="253">
        <f t="shared" si="841"/>
        <v>3.5018750000000001</v>
      </c>
      <c r="CF985" s="253" cm="1">
        <f t="array" ref="CF985">$BC985 * IF($AD985&lt;=2,
SUMPRODUCT(INDEX($AL$72:$AN$76,,$AE985), INDEX($AO$72:$AU$76,,$AD985), 1 / ($AV$72:$AV$76*CE985 + (1-$AV$72:$AV$76)*CA985), N($AK$72:$AK$76&gt;$AI985)),
SUMPRODUCT(INDEX($AL$67:$AN$76,,$AE985), INDEX($AO$67:$AU$76,,$AD985), 1 / ($AW$67:$AW$76*CE985 + (1-$AW$67:$AW$76)*CA985), N($AK$67:$AK$76&gt;$AI985))
) / 1000</f>
        <v>0</v>
      </c>
      <c r="CG985" s="250">
        <f t="shared" si="857"/>
        <v>25</v>
      </c>
      <c r="CH985" s="237">
        <f t="shared" si="842"/>
        <v>38</v>
      </c>
      <c r="CI985" s="253">
        <f t="shared" si="843"/>
        <v>4.0666935483870965</v>
      </c>
      <c r="CJ985" s="253" cm="1">
        <f t="array" ref="CJ985">$BC985 * IF($AD985&lt;=2,
SUMPRODUCT(INDEX($AL$67:$AN$71,,$AE985), INDEX($AO$67:$AU$71,,$AD985), 1 / ($AV$67:$AV$71*CI985 + (1-$AV$67:$AV$71)*CE985), N($AK$67:$AK$71&gt;$AI985)),
SUMPRODUCT(INDEX($AL$57:$AN$66,,$AE985), INDEX($AO$57:$AU$66,,$AD985), 1 / ($AW$57:$AW$66*CI985 + (1-$AW$57:$AW$66)*CE985), N($AK$57:$AK$66&gt;$AI985))
) / 1000</f>
        <v>0</v>
      </c>
      <c r="CK985" s="250">
        <f t="shared" si="858"/>
        <v>20</v>
      </c>
      <c r="CL985" s="237">
        <f t="shared" si="844"/>
        <v>33</v>
      </c>
      <c r="CM985" s="253">
        <f t="shared" si="845"/>
        <v>4.8487499999999999</v>
      </c>
      <c r="CN985" s="253" cm="1">
        <f t="array" ref="CN985">$BC985 * IF($AD985&lt;=2,
SUMPRODUCT(INDEX($AL$62:$AN$66,,$AE985), INDEX($AO$62:$AU$66,,$AD985), 1 / ($AV$62:$AV$66*CM985 + (1-$AV$62:$AV$66)*CI985), N($AK$62:$AK$66&gt;$AI985)),
SUMPRODUCT(INDEX($AL$47:$AN$56,,$AE985), INDEX($AO$47:$AU$56,,$AD985), 1 / ($AW$47:$AW$56*CM985 + (1-$AW$47:$AW$56)*CI985), N($AK$47:$AK$56&gt;$AI985))
) / 1000</f>
        <v>0</v>
      </c>
      <c r="CO985" s="253" cm="1">
        <f t="array" ref="CO985">$BC985 * IF($AD985&lt;=2,
SUMPRODUCT(INDEX($AL$23:$AN$61,,$AE985), INDEX($AO$23:$AU$61,,$AD985), 1 / ($AV$23:$AV$61*CM985), N($AK$23:$AK$61&gt;$AI985)),
SUMPRODUCT(INDEX($AL$23:$AN$46,,$AE985), INDEX($AO$23:$AU$46,,$AD985), 1 / ($AW$23:$AW$46*CM985), N($AK$23:$AK$46&gt;$AI985))
) / 1000</f>
        <v>0</v>
      </c>
      <c r="CP985" s="237">
        <f t="shared" si="846"/>
        <v>0</v>
      </c>
      <c r="CQ985" s="210"/>
    </row>
    <row r="986" spans="1:95" s="76" customFormat="1" ht="14.25" customHeight="1" x14ac:dyDescent="0.2">
      <c r="A986" s="238" t="b">
        <f t="shared" si="850"/>
        <v>0</v>
      </c>
      <c r="B986" s="239">
        <v>964</v>
      </c>
      <c r="C986" s="258"/>
      <c r="D986" s="258"/>
      <c r="E986" s="240"/>
      <c r="F986" s="241" t="str">
        <f>IF(ISBLANK(E986), "", VLOOKUP(E986, Z!$A$2:$C$4127, 3, FALSE))</f>
        <v/>
      </c>
      <c r="G986" s="242"/>
      <c r="H986" s="242"/>
      <c r="I986" s="243"/>
      <c r="J986" s="244"/>
      <c r="K986" s="259"/>
      <c r="L986" s="260"/>
      <c r="M986" s="247" t="str" cm="1">
        <f t="array" ref="M986">IF($K986&gt;0, INDEX(Clean,1+AG986,$C$1), "")</f>
        <v/>
      </c>
      <c r="N986" s="245"/>
      <c r="O986" s="245"/>
      <c r="P986" s="246"/>
      <c r="Q986" s="248">
        <f t="shared" si="823"/>
        <v>0</v>
      </c>
      <c r="R986" s="247" t="str" cm="1">
        <f t="array" ref="R986">IF($K986&gt;0, INDEX(Clean,1+AH986,$C$1), "")</f>
        <v/>
      </c>
      <c r="S986" s="245"/>
      <c r="T986" s="245"/>
      <c r="U986" s="246"/>
      <c r="V986" s="248">
        <f t="shared" si="824"/>
        <v>0</v>
      </c>
      <c r="W986" s="261"/>
      <c r="X986" s="258"/>
      <c r="Y986" s="240"/>
      <c r="Z986" s="241" t="str">
        <f>IF(ISBLANK(Y986), "", VLOOKUP(Y986, Z!$A$2:$C$4127, 3, FALSE))</f>
        <v/>
      </c>
      <c r="AA986" s="262"/>
      <c r="AB986" s="249">
        <f t="shared" si="859"/>
        <v>0</v>
      </c>
      <c r="AC986" s="210"/>
      <c r="AD986" s="236">
        <f t="shared" si="847"/>
        <v>1</v>
      </c>
      <c r="AE986" s="236">
        <f t="shared" si="848"/>
        <v>1</v>
      </c>
      <c r="AF986" s="236">
        <f t="shared" si="849"/>
        <v>0</v>
      </c>
      <c r="AG986" s="236">
        <v>1</v>
      </c>
      <c r="AH986" s="236">
        <v>0</v>
      </c>
      <c r="AI986" s="236">
        <f t="shared" si="825"/>
        <v>-100</v>
      </c>
      <c r="AJ986" s="210"/>
      <c r="AK986" s="254"/>
      <c r="AL986" s="254"/>
      <c r="AM986" s="255"/>
      <c r="AN986" s="255"/>
      <c r="AO986" s="255"/>
      <c r="AP986" s="255"/>
      <c r="AQ986" s="255"/>
      <c r="AR986" s="255"/>
      <c r="AS986" s="255"/>
      <c r="AT986" s="255"/>
      <c r="AU986" s="255"/>
      <c r="AV986" s="255"/>
      <c r="AW986" s="255"/>
      <c r="AX986" s="210"/>
      <c r="AY986" s="236" cm="1">
        <f t="array" ref="AY986">INDEX(Use, $AD986, 4)</f>
        <v>7</v>
      </c>
      <c r="AZ986" s="236">
        <f t="shared" si="826"/>
        <v>32</v>
      </c>
      <c r="BA986" s="236">
        <f t="shared" si="851"/>
        <v>13</v>
      </c>
      <c r="BB986" s="236">
        <f t="shared" si="852"/>
        <v>0</v>
      </c>
      <c r="BC986" s="252" cm="1">
        <f t="array" ref="BC986">K986/IF($L986&gt;0, INDEX($AO$23:$AU$77, $L986+20, $AD986), 1)</f>
        <v>0</v>
      </c>
      <c r="BD986" s="237">
        <f t="shared" si="827"/>
        <v>0</v>
      </c>
      <c r="BE986" s="236">
        <v>35</v>
      </c>
      <c r="BF986" s="237">
        <f t="shared" si="828"/>
        <v>52.55</v>
      </c>
      <c r="BG986" s="253">
        <f t="shared" si="829"/>
        <v>2.7676728869374316</v>
      </c>
      <c r="BH986" s="253" cm="1">
        <f t="array" ref="BH986">$BC986 * SUMPRODUCT(INDEX($AL$77:$AN$82,,$AE986),INDEX($AO$77:$AU$82,,$AD986), N($AK$77:$AK$82&gt;$AI986)) / BG986 / 1000</f>
        <v>0</v>
      </c>
      <c r="BI986" s="250">
        <f t="shared" si="853"/>
        <v>30</v>
      </c>
      <c r="BJ986" s="237">
        <f t="shared" si="830"/>
        <v>46.033333333333331</v>
      </c>
      <c r="BK986" s="253">
        <f t="shared" si="831"/>
        <v>3.2297395388556791</v>
      </c>
      <c r="BL986" s="253" cm="1">
        <f t="array" ref="BL986">$BC986 * IF($AD986&lt;=2,
SUMPRODUCT(INDEX($AL$72:$AN$76,,$AE986), INDEX($AO$72:$AU$76,,$AD986), 1 / ($AV$72:$AV$76*BK986 + (1-$AV$72:$AV$76)*BG986), N($AK$72:$AK$76&gt;$AI986)),
SUMPRODUCT(INDEX($AL$67:$AN$76,,$AE986), INDEX($AO$67:$AU$76,,$AD986), 1 / ($AW$67:$AW$76*BK986 + (1-$AW$67:$AW$76)*BG986), N($AK$67:$AK$76&gt;$AI986))
) / 1000</f>
        <v>0</v>
      </c>
      <c r="BM986" s="250">
        <f t="shared" si="854"/>
        <v>25</v>
      </c>
      <c r="BN986" s="237">
        <f t="shared" si="832"/>
        <v>39.516666666666666</v>
      </c>
      <c r="BO986" s="253">
        <f t="shared" si="833"/>
        <v>3.877011788826243</v>
      </c>
      <c r="BP986" s="253" cm="1">
        <f t="array" ref="BP986">$BC986 * IF($AD986&lt;=2,
SUMPRODUCT(INDEX($AL$67:$AN$71,,$AE986), INDEX($AO$67:$AU$71,,$AD986), 1 / ($AV$67:$AV$71*BO986 + (1-$AV$67:$AV$71)*BK986), N($AK$67:$AK$71&gt;$AI986)),
SUMPRODUCT(INDEX($AL$57:$AN$66,,$AE986), INDEX($AO$57:$AU$66,,$AD986), 1 / ($AW$57:$AW$66*BO986 + (1-$AW$57:$AW$66)*BK986), N($AK$57:$AK$66&gt;$AI986))
) / 1000</f>
        <v>0</v>
      </c>
      <c r="BQ986" s="250">
        <f t="shared" si="855"/>
        <v>20</v>
      </c>
      <c r="BR986" s="237">
        <f t="shared" si="834"/>
        <v>33</v>
      </c>
      <c r="BS986" s="253">
        <f t="shared" si="835"/>
        <v>4.8487499999999999</v>
      </c>
      <c r="BT986" s="253" cm="1">
        <f t="array" ref="BT986">$BC986 * IF($AD986&lt;=2,
SUMPRODUCT(INDEX($AL$62:$AN$66,,$AE986), INDEX($AO$62:$AU$66,,$AD986), 1 / ($AV$62:$AV$66*BS986 + (1-$AV$62:$AV$66)*BO986), N($AK$62:$AK$66&gt;$AI986)),
SUMPRODUCT(INDEX($AL$47:$AN$56,,$AE986), INDEX($AO$47:$AU$56,,$AD986), 1 / ($AW$47:$AW$56*BS986 + (1-$AW$47:$AW$56)*BO986), N($AK$47:$AK$56&gt;$AI986))
) / 1000</f>
        <v>0</v>
      </c>
      <c r="BU986" s="253" cm="1">
        <f t="array" ref="BU986">$BC986 * IF($AD986&lt;=2,
SUMPRODUCT(INDEX($AL$23:$AN$61,,$AE986), INDEX($AO$23:$AU$61,,$AD986), 1 / ($AV$23:$AV$61*BS986), N($AK$23:$AK$61&gt;$AI986)),
SUMPRODUCT(INDEX($AL$23:$AN$46,,$AE986), INDEX($AO$23:$AU$46,,$AD986), 1 / ($AW$23:$AW$46*BS986), N($AK$23:$AK$46&gt;$AI986))
) / 1000</f>
        <v>0</v>
      </c>
      <c r="BV986" s="237">
        <f t="shared" si="836"/>
        <v>0</v>
      </c>
      <c r="BW986" s="210"/>
      <c r="BX986" s="237">
        <f t="shared" si="837"/>
        <v>0</v>
      </c>
      <c r="BY986" s="236">
        <v>35</v>
      </c>
      <c r="BZ986" s="237">
        <f t="shared" si="838"/>
        <v>48</v>
      </c>
      <c r="CA986" s="253">
        <f t="shared" si="839"/>
        <v>3.0748170731707316</v>
      </c>
      <c r="CB986" s="253" cm="1">
        <f t="array" ref="CB986">$BC986 * SUMPRODUCT(INDEX($AL$77:$AN$82,,$AE986),INDEX($AO$77:$AU$82,,$AD986), N($AK$77:$AK$82&gt;$AI986)) / CA986 / 1000</f>
        <v>0</v>
      </c>
      <c r="CC986" s="250">
        <f t="shared" si="856"/>
        <v>30</v>
      </c>
      <c r="CD986" s="237">
        <f t="shared" si="840"/>
        <v>43</v>
      </c>
      <c r="CE986" s="253">
        <f t="shared" si="841"/>
        <v>3.5018750000000001</v>
      </c>
      <c r="CF986" s="253" cm="1">
        <f t="array" ref="CF986">$BC986 * IF($AD986&lt;=2,
SUMPRODUCT(INDEX($AL$72:$AN$76,,$AE986), INDEX($AO$72:$AU$76,,$AD986), 1 / ($AV$72:$AV$76*CE986 + (1-$AV$72:$AV$76)*CA986), N($AK$72:$AK$76&gt;$AI986)),
SUMPRODUCT(INDEX($AL$67:$AN$76,,$AE986), INDEX($AO$67:$AU$76,,$AD986), 1 / ($AW$67:$AW$76*CE986 + (1-$AW$67:$AW$76)*CA986), N($AK$67:$AK$76&gt;$AI986))
) / 1000</f>
        <v>0</v>
      </c>
      <c r="CG986" s="250">
        <f t="shared" si="857"/>
        <v>25</v>
      </c>
      <c r="CH986" s="237">
        <f t="shared" si="842"/>
        <v>38</v>
      </c>
      <c r="CI986" s="253">
        <f t="shared" si="843"/>
        <v>4.0666935483870965</v>
      </c>
      <c r="CJ986" s="253" cm="1">
        <f t="array" ref="CJ986">$BC986 * IF($AD986&lt;=2,
SUMPRODUCT(INDEX($AL$67:$AN$71,,$AE986), INDEX($AO$67:$AU$71,,$AD986), 1 / ($AV$67:$AV$71*CI986 + (1-$AV$67:$AV$71)*CE986), N($AK$67:$AK$71&gt;$AI986)),
SUMPRODUCT(INDEX($AL$57:$AN$66,,$AE986), INDEX($AO$57:$AU$66,,$AD986), 1 / ($AW$57:$AW$66*CI986 + (1-$AW$57:$AW$66)*CE986), N($AK$57:$AK$66&gt;$AI986))
) / 1000</f>
        <v>0</v>
      </c>
      <c r="CK986" s="250">
        <f t="shared" si="858"/>
        <v>20</v>
      </c>
      <c r="CL986" s="237">
        <f t="shared" si="844"/>
        <v>33</v>
      </c>
      <c r="CM986" s="253">
        <f t="shared" si="845"/>
        <v>4.8487499999999999</v>
      </c>
      <c r="CN986" s="253" cm="1">
        <f t="array" ref="CN986">$BC986 * IF($AD986&lt;=2,
SUMPRODUCT(INDEX($AL$62:$AN$66,,$AE986), INDEX($AO$62:$AU$66,,$AD986), 1 / ($AV$62:$AV$66*CM986 + (1-$AV$62:$AV$66)*CI986), N($AK$62:$AK$66&gt;$AI986)),
SUMPRODUCT(INDEX($AL$47:$AN$56,,$AE986), INDEX($AO$47:$AU$56,,$AD986), 1 / ($AW$47:$AW$56*CM986 + (1-$AW$47:$AW$56)*CI986), N($AK$47:$AK$56&gt;$AI986))
) / 1000</f>
        <v>0</v>
      </c>
      <c r="CO986" s="253" cm="1">
        <f t="array" ref="CO986">$BC986 * IF($AD986&lt;=2,
SUMPRODUCT(INDEX($AL$23:$AN$61,,$AE986), INDEX($AO$23:$AU$61,,$AD986), 1 / ($AV$23:$AV$61*CM986), N($AK$23:$AK$61&gt;$AI986)),
SUMPRODUCT(INDEX($AL$23:$AN$46,,$AE986), INDEX($AO$23:$AU$46,,$AD986), 1 / ($AW$23:$AW$46*CM986), N($AK$23:$AK$46&gt;$AI986))
) / 1000</f>
        <v>0</v>
      </c>
      <c r="CP986" s="237">
        <f t="shared" si="846"/>
        <v>0</v>
      </c>
      <c r="CQ986" s="210"/>
    </row>
    <row r="987" spans="1:95" s="76" customFormat="1" ht="14.25" customHeight="1" x14ac:dyDescent="0.2">
      <c r="A987" s="238" t="b">
        <f t="shared" si="850"/>
        <v>0</v>
      </c>
      <c r="B987" s="239">
        <v>965</v>
      </c>
      <c r="C987" s="258"/>
      <c r="D987" s="258"/>
      <c r="E987" s="240"/>
      <c r="F987" s="241" t="str">
        <f>IF(ISBLANK(E987), "", VLOOKUP(E987, Z!$A$2:$C$4127, 3, FALSE))</f>
        <v/>
      </c>
      <c r="G987" s="242"/>
      <c r="H987" s="242"/>
      <c r="I987" s="243"/>
      <c r="J987" s="244"/>
      <c r="K987" s="259"/>
      <c r="L987" s="260"/>
      <c r="M987" s="247" t="str" cm="1">
        <f t="array" ref="M987">IF($K987&gt;0, INDEX(Clean,1+AG987,$C$1), "")</f>
        <v/>
      </c>
      <c r="N987" s="245"/>
      <c r="O987" s="245"/>
      <c r="P987" s="246"/>
      <c r="Q987" s="248">
        <f t="shared" si="823"/>
        <v>0</v>
      </c>
      <c r="R987" s="247" t="str" cm="1">
        <f t="array" ref="R987">IF($K987&gt;0, INDEX(Clean,1+AH987,$C$1), "")</f>
        <v/>
      </c>
      <c r="S987" s="245"/>
      <c r="T987" s="245"/>
      <c r="U987" s="246"/>
      <c r="V987" s="248">
        <f t="shared" si="824"/>
        <v>0</v>
      </c>
      <c r="W987" s="261"/>
      <c r="X987" s="258"/>
      <c r="Y987" s="240"/>
      <c r="Z987" s="241" t="str">
        <f>IF(ISBLANK(Y987), "", VLOOKUP(Y987, Z!$A$2:$C$4127, 3, FALSE))</f>
        <v/>
      </c>
      <c r="AA987" s="262"/>
      <c r="AB987" s="249">
        <f t="shared" si="859"/>
        <v>0</v>
      </c>
      <c r="AC987" s="210"/>
      <c r="AD987" s="236">
        <f t="shared" si="847"/>
        <v>1</v>
      </c>
      <c r="AE987" s="236">
        <f t="shared" si="848"/>
        <v>1</v>
      </c>
      <c r="AF987" s="236">
        <f t="shared" si="849"/>
        <v>0</v>
      </c>
      <c r="AG987" s="236">
        <v>1</v>
      </c>
      <c r="AH987" s="236">
        <v>0</v>
      </c>
      <c r="AI987" s="236">
        <f t="shared" si="825"/>
        <v>-100</v>
      </c>
      <c r="AJ987" s="210"/>
      <c r="AK987" s="254"/>
      <c r="AL987" s="254"/>
      <c r="AM987" s="255"/>
      <c r="AN987" s="255"/>
      <c r="AO987" s="255"/>
      <c r="AP987" s="255"/>
      <c r="AQ987" s="255"/>
      <c r="AR987" s="255"/>
      <c r="AS987" s="255"/>
      <c r="AT987" s="255"/>
      <c r="AU987" s="255"/>
      <c r="AV987" s="255"/>
      <c r="AW987" s="255"/>
      <c r="AX987" s="210"/>
      <c r="AY987" s="236" cm="1">
        <f t="array" ref="AY987">INDEX(Use, $AD987, 4)</f>
        <v>7</v>
      </c>
      <c r="AZ987" s="236">
        <f t="shared" si="826"/>
        <v>32</v>
      </c>
      <c r="BA987" s="236">
        <f t="shared" si="851"/>
        <v>13</v>
      </c>
      <c r="BB987" s="236">
        <f t="shared" si="852"/>
        <v>0</v>
      </c>
      <c r="BC987" s="252" cm="1">
        <f t="array" ref="BC987">K987/IF($L987&gt;0, INDEX($AO$23:$AU$77, $L987+20, $AD987), 1)</f>
        <v>0</v>
      </c>
      <c r="BD987" s="237">
        <f t="shared" si="827"/>
        <v>0</v>
      </c>
      <c r="BE987" s="236">
        <v>35</v>
      </c>
      <c r="BF987" s="237">
        <f t="shared" si="828"/>
        <v>52.55</v>
      </c>
      <c r="BG987" s="253">
        <f t="shared" si="829"/>
        <v>2.7676728869374316</v>
      </c>
      <c r="BH987" s="253" cm="1">
        <f t="array" ref="BH987">$BC987 * SUMPRODUCT(INDEX($AL$77:$AN$82,,$AE987),INDEX($AO$77:$AU$82,,$AD987), N($AK$77:$AK$82&gt;$AI987)) / BG987 / 1000</f>
        <v>0</v>
      </c>
      <c r="BI987" s="250">
        <f t="shared" si="853"/>
        <v>30</v>
      </c>
      <c r="BJ987" s="237">
        <f t="shared" si="830"/>
        <v>46.033333333333331</v>
      </c>
      <c r="BK987" s="253">
        <f t="shared" si="831"/>
        <v>3.2297395388556791</v>
      </c>
      <c r="BL987" s="253" cm="1">
        <f t="array" ref="BL987">$BC987 * IF($AD987&lt;=2,
SUMPRODUCT(INDEX($AL$72:$AN$76,,$AE987), INDEX($AO$72:$AU$76,,$AD987), 1 / ($AV$72:$AV$76*BK987 + (1-$AV$72:$AV$76)*BG987), N($AK$72:$AK$76&gt;$AI987)),
SUMPRODUCT(INDEX($AL$67:$AN$76,,$AE987), INDEX($AO$67:$AU$76,,$AD987), 1 / ($AW$67:$AW$76*BK987 + (1-$AW$67:$AW$76)*BG987), N($AK$67:$AK$76&gt;$AI987))
) / 1000</f>
        <v>0</v>
      </c>
      <c r="BM987" s="250">
        <f t="shared" si="854"/>
        <v>25</v>
      </c>
      <c r="BN987" s="237">
        <f t="shared" si="832"/>
        <v>39.516666666666666</v>
      </c>
      <c r="BO987" s="253">
        <f t="shared" si="833"/>
        <v>3.877011788826243</v>
      </c>
      <c r="BP987" s="253" cm="1">
        <f t="array" ref="BP987">$BC987 * IF($AD987&lt;=2,
SUMPRODUCT(INDEX($AL$67:$AN$71,,$AE987), INDEX($AO$67:$AU$71,,$AD987), 1 / ($AV$67:$AV$71*BO987 + (1-$AV$67:$AV$71)*BK987), N($AK$67:$AK$71&gt;$AI987)),
SUMPRODUCT(INDEX($AL$57:$AN$66,,$AE987), INDEX($AO$57:$AU$66,,$AD987), 1 / ($AW$57:$AW$66*BO987 + (1-$AW$57:$AW$66)*BK987), N($AK$57:$AK$66&gt;$AI987))
) / 1000</f>
        <v>0</v>
      </c>
      <c r="BQ987" s="250">
        <f t="shared" si="855"/>
        <v>20</v>
      </c>
      <c r="BR987" s="237">
        <f t="shared" si="834"/>
        <v>33</v>
      </c>
      <c r="BS987" s="253">
        <f t="shared" si="835"/>
        <v>4.8487499999999999</v>
      </c>
      <c r="BT987" s="253" cm="1">
        <f t="array" ref="BT987">$BC987 * IF($AD987&lt;=2,
SUMPRODUCT(INDEX($AL$62:$AN$66,,$AE987), INDEX($AO$62:$AU$66,,$AD987), 1 / ($AV$62:$AV$66*BS987 + (1-$AV$62:$AV$66)*BO987), N($AK$62:$AK$66&gt;$AI987)),
SUMPRODUCT(INDEX($AL$47:$AN$56,,$AE987), INDEX($AO$47:$AU$56,,$AD987), 1 / ($AW$47:$AW$56*BS987 + (1-$AW$47:$AW$56)*BO987), N($AK$47:$AK$56&gt;$AI987))
) / 1000</f>
        <v>0</v>
      </c>
      <c r="BU987" s="253" cm="1">
        <f t="array" ref="BU987">$BC987 * IF($AD987&lt;=2,
SUMPRODUCT(INDEX($AL$23:$AN$61,,$AE987), INDEX($AO$23:$AU$61,,$AD987), 1 / ($AV$23:$AV$61*BS987), N($AK$23:$AK$61&gt;$AI987)),
SUMPRODUCT(INDEX($AL$23:$AN$46,,$AE987), INDEX($AO$23:$AU$46,,$AD987), 1 / ($AW$23:$AW$46*BS987), N($AK$23:$AK$46&gt;$AI987))
) / 1000</f>
        <v>0</v>
      </c>
      <c r="BV987" s="237">
        <f t="shared" si="836"/>
        <v>0</v>
      </c>
      <c r="BW987" s="210"/>
      <c r="BX987" s="237">
        <f t="shared" si="837"/>
        <v>0</v>
      </c>
      <c r="BY987" s="236">
        <v>35</v>
      </c>
      <c r="BZ987" s="237">
        <f t="shared" si="838"/>
        <v>48</v>
      </c>
      <c r="CA987" s="253">
        <f t="shared" si="839"/>
        <v>3.0748170731707316</v>
      </c>
      <c r="CB987" s="253" cm="1">
        <f t="array" ref="CB987">$BC987 * SUMPRODUCT(INDEX($AL$77:$AN$82,,$AE987),INDEX($AO$77:$AU$82,,$AD987), N($AK$77:$AK$82&gt;$AI987)) / CA987 / 1000</f>
        <v>0</v>
      </c>
      <c r="CC987" s="250">
        <f t="shared" si="856"/>
        <v>30</v>
      </c>
      <c r="CD987" s="237">
        <f t="shared" si="840"/>
        <v>43</v>
      </c>
      <c r="CE987" s="253">
        <f t="shared" si="841"/>
        <v>3.5018750000000001</v>
      </c>
      <c r="CF987" s="253" cm="1">
        <f t="array" ref="CF987">$BC987 * IF($AD987&lt;=2,
SUMPRODUCT(INDEX($AL$72:$AN$76,,$AE987), INDEX($AO$72:$AU$76,,$AD987), 1 / ($AV$72:$AV$76*CE987 + (1-$AV$72:$AV$76)*CA987), N($AK$72:$AK$76&gt;$AI987)),
SUMPRODUCT(INDEX($AL$67:$AN$76,,$AE987), INDEX($AO$67:$AU$76,,$AD987), 1 / ($AW$67:$AW$76*CE987 + (1-$AW$67:$AW$76)*CA987), N($AK$67:$AK$76&gt;$AI987))
) / 1000</f>
        <v>0</v>
      </c>
      <c r="CG987" s="250">
        <f t="shared" si="857"/>
        <v>25</v>
      </c>
      <c r="CH987" s="237">
        <f t="shared" si="842"/>
        <v>38</v>
      </c>
      <c r="CI987" s="253">
        <f t="shared" si="843"/>
        <v>4.0666935483870965</v>
      </c>
      <c r="CJ987" s="253" cm="1">
        <f t="array" ref="CJ987">$BC987 * IF($AD987&lt;=2,
SUMPRODUCT(INDEX($AL$67:$AN$71,,$AE987), INDEX($AO$67:$AU$71,,$AD987), 1 / ($AV$67:$AV$71*CI987 + (1-$AV$67:$AV$71)*CE987), N($AK$67:$AK$71&gt;$AI987)),
SUMPRODUCT(INDEX($AL$57:$AN$66,,$AE987), INDEX($AO$57:$AU$66,,$AD987), 1 / ($AW$57:$AW$66*CI987 + (1-$AW$57:$AW$66)*CE987), N($AK$57:$AK$66&gt;$AI987))
) / 1000</f>
        <v>0</v>
      </c>
      <c r="CK987" s="250">
        <f t="shared" si="858"/>
        <v>20</v>
      </c>
      <c r="CL987" s="237">
        <f t="shared" si="844"/>
        <v>33</v>
      </c>
      <c r="CM987" s="253">
        <f t="shared" si="845"/>
        <v>4.8487499999999999</v>
      </c>
      <c r="CN987" s="253" cm="1">
        <f t="array" ref="CN987">$BC987 * IF($AD987&lt;=2,
SUMPRODUCT(INDEX($AL$62:$AN$66,,$AE987), INDEX($AO$62:$AU$66,,$AD987), 1 / ($AV$62:$AV$66*CM987 + (1-$AV$62:$AV$66)*CI987), N($AK$62:$AK$66&gt;$AI987)),
SUMPRODUCT(INDEX($AL$47:$AN$56,,$AE987), INDEX($AO$47:$AU$56,,$AD987), 1 / ($AW$47:$AW$56*CM987 + (1-$AW$47:$AW$56)*CI987), N($AK$47:$AK$56&gt;$AI987))
) / 1000</f>
        <v>0</v>
      </c>
      <c r="CO987" s="253" cm="1">
        <f t="array" ref="CO987">$BC987 * IF($AD987&lt;=2,
SUMPRODUCT(INDEX($AL$23:$AN$61,,$AE987), INDEX($AO$23:$AU$61,,$AD987), 1 / ($AV$23:$AV$61*CM987), N($AK$23:$AK$61&gt;$AI987)),
SUMPRODUCT(INDEX($AL$23:$AN$46,,$AE987), INDEX($AO$23:$AU$46,,$AD987), 1 / ($AW$23:$AW$46*CM987), N($AK$23:$AK$46&gt;$AI987))
) / 1000</f>
        <v>0</v>
      </c>
      <c r="CP987" s="237">
        <f t="shared" si="846"/>
        <v>0</v>
      </c>
      <c r="CQ987" s="210"/>
    </row>
    <row r="988" spans="1:95" s="76" customFormat="1" ht="14.25" customHeight="1" x14ac:dyDescent="0.2">
      <c r="A988" s="238" t="b">
        <f t="shared" si="850"/>
        <v>0</v>
      </c>
      <c r="B988" s="239">
        <v>966</v>
      </c>
      <c r="C988" s="258"/>
      <c r="D988" s="258"/>
      <c r="E988" s="240"/>
      <c r="F988" s="241" t="str">
        <f>IF(ISBLANK(E988), "", VLOOKUP(E988, Z!$A$2:$C$4127, 3, FALSE))</f>
        <v/>
      </c>
      <c r="G988" s="242"/>
      <c r="H988" s="242"/>
      <c r="I988" s="243"/>
      <c r="J988" s="244"/>
      <c r="K988" s="259"/>
      <c r="L988" s="260"/>
      <c r="M988" s="247" t="str" cm="1">
        <f t="array" ref="M988">IF($K988&gt;0, INDEX(Clean,1+AG988,$C$1), "")</f>
        <v/>
      </c>
      <c r="N988" s="245"/>
      <c r="O988" s="245"/>
      <c r="P988" s="246"/>
      <c r="Q988" s="248">
        <f t="shared" si="823"/>
        <v>0</v>
      </c>
      <c r="R988" s="247" t="str" cm="1">
        <f t="array" ref="R988">IF($K988&gt;0, INDEX(Clean,1+AH988,$C$1), "")</f>
        <v/>
      </c>
      <c r="S988" s="245"/>
      <c r="T988" s="245"/>
      <c r="U988" s="246"/>
      <c r="V988" s="248">
        <f t="shared" si="824"/>
        <v>0</v>
      </c>
      <c r="W988" s="261"/>
      <c r="X988" s="258"/>
      <c r="Y988" s="240"/>
      <c r="Z988" s="241" t="str">
        <f>IF(ISBLANK(Y988), "", VLOOKUP(Y988, Z!$A$2:$C$4127, 3, FALSE))</f>
        <v/>
      </c>
      <c r="AA988" s="262"/>
      <c r="AB988" s="249">
        <f t="shared" si="859"/>
        <v>0</v>
      </c>
      <c r="AC988" s="210"/>
      <c r="AD988" s="236">
        <f t="shared" si="847"/>
        <v>1</v>
      </c>
      <c r="AE988" s="236">
        <f t="shared" si="848"/>
        <v>1</v>
      </c>
      <c r="AF988" s="236">
        <f t="shared" si="849"/>
        <v>0</v>
      </c>
      <c r="AG988" s="236">
        <v>1</v>
      </c>
      <c r="AH988" s="236">
        <v>0</v>
      </c>
      <c r="AI988" s="236">
        <f t="shared" si="825"/>
        <v>-100</v>
      </c>
      <c r="AJ988" s="210"/>
      <c r="AK988" s="254"/>
      <c r="AL988" s="254"/>
      <c r="AM988" s="255"/>
      <c r="AN988" s="255"/>
      <c r="AO988" s="255"/>
      <c r="AP988" s="255"/>
      <c r="AQ988" s="255"/>
      <c r="AR988" s="255"/>
      <c r="AS988" s="255"/>
      <c r="AT988" s="255"/>
      <c r="AU988" s="255"/>
      <c r="AV988" s="255"/>
      <c r="AW988" s="255"/>
      <c r="AX988" s="210"/>
      <c r="AY988" s="236" cm="1">
        <f t="array" ref="AY988">INDEX(Use, $AD988, 4)</f>
        <v>7</v>
      </c>
      <c r="AZ988" s="236">
        <f t="shared" si="826"/>
        <v>32</v>
      </c>
      <c r="BA988" s="236">
        <f t="shared" si="851"/>
        <v>13</v>
      </c>
      <c r="BB988" s="236">
        <f t="shared" si="852"/>
        <v>0</v>
      </c>
      <c r="BC988" s="252" cm="1">
        <f t="array" ref="BC988">K988/IF($L988&gt;0, INDEX($AO$23:$AU$77, $L988+20, $AD988), 1)</f>
        <v>0</v>
      </c>
      <c r="BD988" s="237">
        <f t="shared" si="827"/>
        <v>0</v>
      </c>
      <c r="BE988" s="236">
        <v>35</v>
      </c>
      <c r="BF988" s="237">
        <f t="shared" si="828"/>
        <v>52.55</v>
      </c>
      <c r="BG988" s="253">
        <f t="shared" si="829"/>
        <v>2.7676728869374316</v>
      </c>
      <c r="BH988" s="253" cm="1">
        <f t="array" ref="BH988">$BC988 * SUMPRODUCT(INDEX($AL$77:$AN$82,,$AE988),INDEX($AO$77:$AU$82,,$AD988), N($AK$77:$AK$82&gt;$AI988)) / BG988 / 1000</f>
        <v>0</v>
      </c>
      <c r="BI988" s="250">
        <f t="shared" si="853"/>
        <v>30</v>
      </c>
      <c r="BJ988" s="237">
        <f t="shared" si="830"/>
        <v>46.033333333333331</v>
      </c>
      <c r="BK988" s="253">
        <f t="shared" si="831"/>
        <v>3.2297395388556791</v>
      </c>
      <c r="BL988" s="253" cm="1">
        <f t="array" ref="BL988">$BC988 * IF($AD988&lt;=2,
SUMPRODUCT(INDEX($AL$72:$AN$76,,$AE988), INDEX($AO$72:$AU$76,,$AD988), 1 / ($AV$72:$AV$76*BK988 + (1-$AV$72:$AV$76)*BG988), N($AK$72:$AK$76&gt;$AI988)),
SUMPRODUCT(INDEX($AL$67:$AN$76,,$AE988), INDEX($AO$67:$AU$76,,$AD988), 1 / ($AW$67:$AW$76*BK988 + (1-$AW$67:$AW$76)*BG988), N($AK$67:$AK$76&gt;$AI988))
) / 1000</f>
        <v>0</v>
      </c>
      <c r="BM988" s="250">
        <f t="shared" si="854"/>
        <v>25</v>
      </c>
      <c r="BN988" s="237">
        <f t="shared" si="832"/>
        <v>39.516666666666666</v>
      </c>
      <c r="BO988" s="253">
        <f t="shared" si="833"/>
        <v>3.877011788826243</v>
      </c>
      <c r="BP988" s="253" cm="1">
        <f t="array" ref="BP988">$BC988 * IF($AD988&lt;=2,
SUMPRODUCT(INDEX($AL$67:$AN$71,,$AE988), INDEX($AO$67:$AU$71,,$AD988), 1 / ($AV$67:$AV$71*BO988 + (1-$AV$67:$AV$71)*BK988), N($AK$67:$AK$71&gt;$AI988)),
SUMPRODUCT(INDEX($AL$57:$AN$66,,$AE988), INDEX($AO$57:$AU$66,,$AD988), 1 / ($AW$57:$AW$66*BO988 + (1-$AW$57:$AW$66)*BK988), N($AK$57:$AK$66&gt;$AI988))
) / 1000</f>
        <v>0</v>
      </c>
      <c r="BQ988" s="250">
        <f t="shared" si="855"/>
        <v>20</v>
      </c>
      <c r="BR988" s="237">
        <f t="shared" si="834"/>
        <v>33</v>
      </c>
      <c r="BS988" s="253">
        <f t="shared" si="835"/>
        <v>4.8487499999999999</v>
      </c>
      <c r="BT988" s="253" cm="1">
        <f t="array" ref="BT988">$BC988 * IF($AD988&lt;=2,
SUMPRODUCT(INDEX($AL$62:$AN$66,,$AE988), INDEX($AO$62:$AU$66,,$AD988), 1 / ($AV$62:$AV$66*BS988 + (1-$AV$62:$AV$66)*BO988), N($AK$62:$AK$66&gt;$AI988)),
SUMPRODUCT(INDEX($AL$47:$AN$56,,$AE988), INDEX($AO$47:$AU$56,,$AD988), 1 / ($AW$47:$AW$56*BS988 + (1-$AW$47:$AW$56)*BO988), N($AK$47:$AK$56&gt;$AI988))
) / 1000</f>
        <v>0</v>
      </c>
      <c r="BU988" s="253" cm="1">
        <f t="array" ref="BU988">$BC988 * IF($AD988&lt;=2,
SUMPRODUCT(INDEX($AL$23:$AN$61,,$AE988), INDEX($AO$23:$AU$61,,$AD988), 1 / ($AV$23:$AV$61*BS988), N($AK$23:$AK$61&gt;$AI988)),
SUMPRODUCT(INDEX($AL$23:$AN$46,,$AE988), INDEX($AO$23:$AU$46,,$AD988), 1 / ($AW$23:$AW$46*BS988), N($AK$23:$AK$46&gt;$AI988))
) / 1000</f>
        <v>0</v>
      </c>
      <c r="BV988" s="237">
        <f t="shared" si="836"/>
        <v>0</v>
      </c>
      <c r="BW988" s="210"/>
      <c r="BX988" s="237">
        <f t="shared" si="837"/>
        <v>0</v>
      </c>
      <c r="BY988" s="236">
        <v>35</v>
      </c>
      <c r="BZ988" s="237">
        <f t="shared" si="838"/>
        <v>48</v>
      </c>
      <c r="CA988" s="253">
        <f t="shared" si="839"/>
        <v>3.0748170731707316</v>
      </c>
      <c r="CB988" s="253" cm="1">
        <f t="array" ref="CB988">$BC988 * SUMPRODUCT(INDEX($AL$77:$AN$82,,$AE988),INDEX($AO$77:$AU$82,,$AD988), N($AK$77:$AK$82&gt;$AI988)) / CA988 / 1000</f>
        <v>0</v>
      </c>
      <c r="CC988" s="250">
        <f t="shared" si="856"/>
        <v>30</v>
      </c>
      <c r="CD988" s="237">
        <f t="shared" si="840"/>
        <v>43</v>
      </c>
      <c r="CE988" s="253">
        <f t="shared" si="841"/>
        <v>3.5018750000000001</v>
      </c>
      <c r="CF988" s="253" cm="1">
        <f t="array" ref="CF988">$BC988 * IF($AD988&lt;=2,
SUMPRODUCT(INDEX($AL$72:$AN$76,,$AE988), INDEX($AO$72:$AU$76,,$AD988), 1 / ($AV$72:$AV$76*CE988 + (1-$AV$72:$AV$76)*CA988), N($AK$72:$AK$76&gt;$AI988)),
SUMPRODUCT(INDEX($AL$67:$AN$76,,$AE988), INDEX($AO$67:$AU$76,,$AD988), 1 / ($AW$67:$AW$76*CE988 + (1-$AW$67:$AW$76)*CA988), N($AK$67:$AK$76&gt;$AI988))
) / 1000</f>
        <v>0</v>
      </c>
      <c r="CG988" s="250">
        <f t="shared" si="857"/>
        <v>25</v>
      </c>
      <c r="CH988" s="237">
        <f t="shared" si="842"/>
        <v>38</v>
      </c>
      <c r="CI988" s="253">
        <f t="shared" si="843"/>
        <v>4.0666935483870965</v>
      </c>
      <c r="CJ988" s="253" cm="1">
        <f t="array" ref="CJ988">$BC988 * IF($AD988&lt;=2,
SUMPRODUCT(INDEX($AL$67:$AN$71,,$AE988), INDEX($AO$67:$AU$71,,$AD988), 1 / ($AV$67:$AV$71*CI988 + (1-$AV$67:$AV$71)*CE988), N($AK$67:$AK$71&gt;$AI988)),
SUMPRODUCT(INDEX($AL$57:$AN$66,,$AE988), INDEX($AO$57:$AU$66,,$AD988), 1 / ($AW$57:$AW$66*CI988 + (1-$AW$57:$AW$66)*CE988), N($AK$57:$AK$66&gt;$AI988))
) / 1000</f>
        <v>0</v>
      </c>
      <c r="CK988" s="250">
        <f t="shared" si="858"/>
        <v>20</v>
      </c>
      <c r="CL988" s="237">
        <f t="shared" si="844"/>
        <v>33</v>
      </c>
      <c r="CM988" s="253">
        <f t="shared" si="845"/>
        <v>4.8487499999999999</v>
      </c>
      <c r="CN988" s="253" cm="1">
        <f t="array" ref="CN988">$BC988 * IF($AD988&lt;=2,
SUMPRODUCT(INDEX($AL$62:$AN$66,,$AE988), INDEX($AO$62:$AU$66,,$AD988), 1 / ($AV$62:$AV$66*CM988 + (1-$AV$62:$AV$66)*CI988), N($AK$62:$AK$66&gt;$AI988)),
SUMPRODUCT(INDEX($AL$47:$AN$56,,$AE988), INDEX($AO$47:$AU$56,,$AD988), 1 / ($AW$47:$AW$56*CM988 + (1-$AW$47:$AW$56)*CI988), N($AK$47:$AK$56&gt;$AI988))
) / 1000</f>
        <v>0</v>
      </c>
      <c r="CO988" s="253" cm="1">
        <f t="array" ref="CO988">$BC988 * IF($AD988&lt;=2,
SUMPRODUCT(INDEX($AL$23:$AN$61,,$AE988), INDEX($AO$23:$AU$61,,$AD988), 1 / ($AV$23:$AV$61*CM988), N($AK$23:$AK$61&gt;$AI988)),
SUMPRODUCT(INDEX($AL$23:$AN$46,,$AE988), INDEX($AO$23:$AU$46,,$AD988), 1 / ($AW$23:$AW$46*CM988), N($AK$23:$AK$46&gt;$AI988))
) / 1000</f>
        <v>0</v>
      </c>
      <c r="CP988" s="237">
        <f t="shared" si="846"/>
        <v>0</v>
      </c>
      <c r="CQ988" s="210"/>
    </row>
    <row r="989" spans="1:95" s="76" customFormat="1" ht="14.25" customHeight="1" x14ac:dyDescent="0.2">
      <c r="A989" s="238" t="b">
        <f t="shared" si="850"/>
        <v>0</v>
      </c>
      <c r="B989" s="239">
        <v>967</v>
      </c>
      <c r="C989" s="258"/>
      <c r="D989" s="258"/>
      <c r="E989" s="240"/>
      <c r="F989" s="241" t="str">
        <f>IF(ISBLANK(E989), "", VLOOKUP(E989, Z!$A$2:$C$4127, 3, FALSE))</f>
        <v/>
      </c>
      <c r="G989" s="242"/>
      <c r="H989" s="242"/>
      <c r="I989" s="243"/>
      <c r="J989" s="244"/>
      <c r="K989" s="259"/>
      <c r="L989" s="260"/>
      <c r="M989" s="247" t="str" cm="1">
        <f t="array" ref="M989">IF($K989&gt;0, INDEX(Clean,1+AG989,$C$1), "")</f>
        <v/>
      </c>
      <c r="N989" s="245"/>
      <c r="O989" s="245"/>
      <c r="P989" s="246"/>
      <c r="Q989" s="248">
        <f t="shared" si="823"/>
        <v>0</v>
      </c>
      <c r="R989" s="247" t="str" cm="1">
        <f t="array" ref="R989">IF($K989&gt;0, INDEX(Clean,1+AH989,$C$1), "")</f>
        <v/>
      </c>
      <c r="S989" s="245"/>
      <c r="T989" s="245"/>
      <c r="U989" s="246"/>
      <c r="V989" s="248">
        <f t="shared" si="824"/>
        <v>0</v>
      </c>
      <c r="W989" s="261"/>
      <c r="X989" s="258"/>
      <c r="Y989" s="240"/>
      <c r="Z989" s="241" t="str">
        <f>IF(ISBLANK(Y989), "", VLOOKUP(Y989, Z!$A$2:$C$4127, 3, FALSE))</f>
        <v/>
      </c>
      <c r="AA989" s="262"/>
      <c r="AB989" s="249">
        <f t="shared" si="859"/>
        <v>0</v>
      </c>
      <c r="AC989" s="210"/>
      <c r="AD989" s="236">
        <f t="shared" si="847"/>
        <v>1</v>
      </c>
      <c r="AE989" s="236">
        <f t="shared" si="848"/>
        <v>1</v>
      </c>
      <c r="AF989" s="236">
        <f t="shared" si="849"/>
        <v>0</v>
      </c>
      <c r="AG989" s="236">
        <v>1</v>
      </c>
      <c r="AH989" s="236">
        <v>0</v>
      </c>
      <c r="AI989" s="236">
        <f t="shared" si="825"/>
        <v>-100</v>
      </c>
      <c r="AJ989" s="210"/>
      <c r="AK989" s="254"/>
      <c r="AL989" s="254"/>
      <c r="AM989" s="255"/>
      <c r="AN989" s="255"/>
      <c r="AO989" s="255"/>
      <c r="AP989" s="255"/>
      <c r="AQ989" s="255"/>
      <c r="AR989" s="255"/>
      <c r="AS989" s="255"/>
      <c r="AT989" s="255"/>
      <c r="AU989" s="255"/>
      <c r="AV989" s="255"/>
      <c r="AW989" s="255"/>
      <c r="AX989" s="210"/>
      <c r="AY989" s="236" cm="1">
        <f t="array" ref="AY989">INDEX(Use, $AD989, 4)</f>
        <v>7</v>
      </c>
      <c r="AZ989" s="236">
        <f t="shared" si="826"/>
        <v>32</v>
      </c>
      <c r="BA989" s="236">
        <f t="shared" si="851"/>
        <v>13</v>
      </c>
      <c r="BB989" s="236">
        <f t="shared" si="852"/>
        <v>0</v>
      </c>
      <c r="BC989" s="252" cm="1">
        <f t="array" ref="BC989">K989/IF($L989&gt;0, INDEX($AO$23:$AU$77, $L989+20, $AD989), 1)</f>
        <v>0</v>
      </c>
      <c r="BD989" s="237">
        <f t="shared" si="827"/>
        <v>0</v>
      </c>
      <c r="BE989" s="236">
        <v>35</v>
      </c>
      <c r="BF989" s="237">
        <f t="shared" si="828"/>
        <v>52.55</v>
      </c>
      <c r="BG989" s="253">
        <f t="shared" si="829"/>
        <v>2.7676728869374316</v>
      </c>
      <c r="BH989" s="253" cm="1">
        <f t="array" ref="BH989">$BC989 * SUMPRODUCT(INDEX($AL$77:$AN$82,,$AE989),INDEX($AO$77:$AU$82,,$AD989), N($AK$77:$AK$82&gt;$AI989)) / BG989 / 1000</f>
        <v>0</v>
      </c>
      <c r="BI989" s="250">
        <f t="shared" si="853"/>
        <v>30</v>
      </c>
      <c r="BJ989" s="237">
        <f t="shared" si="830"/>
        <v>46.033333333333331</v>
      </c>
      <c r="BK989" s="253">
        <f t="shared" si="831"/>
        <v>3.2297395388556791</v>
      </c>
      <c r="BL989" s="253" cm="1">
        <f t="array" ref="BL989">$BC989 * IF($AD989&lt;=2,
SUMPRODUCT(INDEX($AL$72:$AN$76,,$AE989), INDEX($AO$72:$AU$76,,$AD989), 1 / ($AV$72:$AV$76*BK989 + (1-$AV$72:$AV$76)*BG989), N($AK$72:$AK$76&gt;$AI989)),
SUMPRODUCT(INDEX($AL$67:$AN$76,,$AE989), INDEX($AO$67:$AU$76,,$AD989), 1 / ($AW$67:$AW$76*BK989 + (1-$AW$67:$AW$76)*BG989), N($AK$67:$AK$76&gt;$AI989))
) / 1000</f>
        <v>0</v>
      </c>
      <c r="BM989" s="250">
        <f t="shared" si="854"/>
        <v>25</v>
      </c>
      <c r="BN989" s="237">
        <f t="shared" si="832"/>
        <v>39.516666666666666</v>
      </c>
      <c r="BO989" s="253">
        <f t="shared" si="833"/>
        <v>3.877011788826243</v>
      </c>
      <c r="BP989" s="253" cm="1">
        <f t="array" ref="BP989">$BC989 * IF($AD989&lt;=2,
SUMPRODUCT(INDEX($AL$67:$AN$71,,$AE989), INDEX($AO$67:$AU$71,,$AD989), 1 / ($AV$67:$AV$71*BO989 + (1-$AV$67:$AV$71)*BK989), N($AK$67:$AK$71&gt;$AI989)),
SUMPRODUCT(INDEX($AL$57:$AN$66,,$AE989), INDEX($AO$57:$AU$66,,$AD989), 1 / ($AW$57:$AW$66*BO989 + (1-$AW$57:$AW$66)*BK989), N($AK$57:$AK$66&gt;$AI989))
) / 1000</f>
        <v>0</v>
      </c>
      <c r="BQ989" s="250">
        <f t="shared" si="855"/>
        <v>20</v>
      </c>
      <c r="BR989" s="237">
        <f t="shared" si="834"/>
        <v>33</v>
      </c>
      <c r="BS989" s="253">
        <f t="shared" si="835"/>
        <v>4.8487499999999999</v>
      </c>
      <c r="BT989" s="253" cm="1">
        <f t="array" ref="BT989">$BC989 * IF($AD989&lt;=2,
SUMPRODUCT(INDEX($AL$62:$AN$66,,$AE989), INDEX($AO$62:$AU$66,,$AD989), 1 / ($AV$62:$AV$66*BS989 + (1-$AV$62:$AV$66)*BO989), N($AK$62:$AK$66&gt;$AI989)),
SUMPRODUCT(INDEX($AL$47:$AN$56,,$AE989), INDEX($AO$47:$AU$56,,$AD989), 1 / ($AW$47:$AW$56*BS989 + (1-$AW$47:$AW$56)*BO989), N($AK$47:$AK$56&gt;$AI989))
) / 1000</f>
        <v>0</v>
      </c>
      <c r="BU989" s="253" cm="1">
        <f t="array" ref="BU989">$BC989 * IF($AD989&lt;=2,
SUMPRODUCT(INDEX($AL$23:$AN$61,,$AE989), INDEX($AO$23:$AU$61,,$AD989), 1 / ($AV$23:$AV$61*BS989), N($AK$23:$AK$61&gt;$AI989)),
SUMPRODUCT(INDEX($AL$23:$AN$46,,$AE989), INDEX($AO$23:$AU$46,,$AD989), 1 / ($AW$23:$AW$46*BS989), N($AK$23:$AK$46&gt;$AI989))
) / 1000</f>
        <v>0</v>
      </c>
      <c r="BV989" s="237">
        <f t="shared" si="836"/>
        <v>0</v>
      </c>
      <c r="BW989" s="210"/>
      <c r="BX989" s="237">
        <f t="shared" si="837"/>
        <v>0</v>
      </c>
      <c r="BY989" s="236">
        <v>35</v>
      </c>
      <c r="BZ989" s="237">
        <f t="shared" si="838"/>
        <v>48</v>
      </c>
      <c r="CA989" s="253">
        <f t="shared" si="839"/>
        <v>3.0748170731707316</v>
      </c>
      <c r="CB989" s="253" cm="1">
        <f t="array" ref="CB989">$BC989 * SUMPRODUCT(INDEX($AL$77:$AN$82,,$AE989),INDEX($AO$77:$AU$82,,$AD989), N($AK$77:$AK$82&gt;$AI989)) / CA989 / 1000</f>
        <v>0</v>
      </c>
      <c r="CC989" s="250">
        <f t="shared" si="856"/>
        <v>30</v>
      </c>
      <c r="CD989" s="237">
        <f t="shared" si="840"/>
        <v>43</v>
      </c>
      <c r="CE989" s="253">
        <f t="shared" si="841"/>
        <v>3.5018750000000001</v>
      </c>
      <c r="CF989" s="253" cm="1">
        <f t="array" ref="CF989">$BC989 * IF($AD989&lt;=2,
SUMPRODUCT(INDEX($AL$72:$AN$76,,$AE989), INDEX($AO$72:$AU$76,,$AD989), 1 / ($AV$72:$AV$76*CE989 + (1-$AV$72:$AV$76)*CA989), N($AK$72:$AK$76&gt;$AI989)),
SUMPRODUCT(INDEX($AL$67:$AN$76,,$AE989), INDEX($AO$67:$AU$76,,$AD989), 1 / ($AW$67:$AW$76*CE989 + (1-$AW$67:$AW$76)*CA989), N($AK$67:$AK$76&gt;$AI989))
) / 1000</f>
        <v>0</v>
      </c>
      <c r="CG989" s="250">
        <f t="shared" si="857"/>
        <v>25</v>
      </c>
      <c r="CH989" s="237">
        <f t="shared" si="842"/>
        <v>38</v>
      </c>
      <c r="CI989" s="253">
        <f t="shared" si="843"/>
        <v>4.0666935483870965</v>
      </c>
      <c r="CJ989" s="253" cm="1">
        <f t="array" ref="CJ989">$BC989 * IF($AD989&lt;=2,
SUMPRODUCT(INDEX($AL$67:$AN$71,,$AE989), INDEX($AO$67:$AU$71,,$AD989), 1 / ($AV$67:$AV$71*CI989 + (1-$AV$67:$AV$71)*CE989), N($AK$67:$AK$71&gt;$AI989)),
SUMPRODUCT(INDEX($AL$57:$AN$66,,$AE989), INDEX($AO$57:$AU$66,,$AD989), 1 / ($AW$57:$AW$66*CI989 + (1-$AW$57:$AW$66)*CE989), N($AK$57:$AK$66&gt;$AI989))
) / 1000</f>
        <v>0</v>
      </c>
      <c r="CK989" s="250">
        <f t="shared" si="858"/>
        <v>20</v>
      </c>
      <c r="CL989" s="237">
        <f t="shared" si="844"/>
        <v>33</v>
      </c>
      <c r="CM989" s="253">
        <f t="shared" si="845"/>
        <v>4.8487499999999999</v>
      </c>
      <c r="CN989" s="253" cm="1">
        <f t="array" ref="CN989">$BC989 * IF($AD989&lt;=2,
SUMPRODUCT(INDEX($AL$62:$AN$66,,$AE989), INDEX($AO$62:$AU$66,,$AD989), 1 / ($AV$62:$AV$66*CM989 + (1-$AV$62:$AV$66)*CI989), N($AK$62:$AK$66&gt;$AI989)),
SUMPRODUCT(INDEX($AL$47:$AN$56,,$AE989), INDEX($AO$47:$AU$56,,$AD989), 1 / ($AW$47:$AW$56*CM989 + (1-$AW$47:$AW$56)*CI989), N($AK$47:$AK$56&gt;$AI989))
) / 1000</f>
        <v>0</v>
      </c>
      <c r="CO989" s="253" cm="1">
        <f t="array" ref="CO989">$BC989 * IF($AD989&lt;=2,
SUMPRODUCT(INDEX($AL$23:$AN$61,,$AE989), INDEX($AO$23:$AU$61,,$AD989), 1 / ($AV$23:$AV$61*CM989), N($AK$23:$AK$61&gt;$AI989)),
SUMPRODUCT(INDEX($AL$23:$AN$46,,$AE989), INDEX($AO$23:$AU$46,,$AD989), 1 / ($AW$23:$AW$46*CM989), N($AK$23:$AK$46&gt;$AI989))
) / 1000</f>
        <v>0</v>
      </c>
      <c r="CP989" s="237">
        <f t="shared" si="846"/>
        <v>0</v>
      </c>
      <c r="CQ989" s="210"/>
    </row>
    <row r="990" spans="1:95" s="76" customFormat="1" ht="14.25" customHeight="1" x14ac:dyDescent="0.2">
      <c r="A990" s="238" t="b">
        <f t="shared" si="850"/>
        <v>0</v>
      </c>
      <c r="B990" s="239">
        <v>968</v>
      </c>
      <c r="C990" s="258"/>
      <c r="D990" s="258"/>
      <c r="E990" s="240"/>
      <c r="F990" s="241" t="str">
        <f>IF(ISBLANK(E990), "", VLOOKUP(E990, Z!$A$2:$C$4127, 3, FALSE))</f>
        <v/>
      </c>
      <c r="G990" s="242"/>
      <c r="H990" s="242"/>
      <c r="I990" s="243"/>
      <c r="J990" s="244"/>
      <c r="K990" s="259"/>
      <c r="L990" s="260"/>
      <c r="M990" s="247" t="str" cm="1">
        <f t="array" ref="M990">IF($K990&gt;0, INDEX(Clean,1+AG990,$C$1), "")</f>
        <v/>
      </c>
      <c r="N990" s="245"/>
      <c r="O990" s="245"/>
      <c r="P990" s="246"/>
      <c r="Q990" s="248">
        <f t="shared" si="823"/>
        <v>0</v>
      </c>
      <c r="R990" s="247" t="str" cm="1">
        <f t="array" ref="R990">IF($K990&gt;0, INDEX(Clean,1+AH990,$C$1), "")</f>
        <v/>
      </c>
      <c r="S990" s="245"/>
      <c r="T990" s="245"/>
      <c r="U990" s="246"/>
      <c r="V990" s="248">
        <f t="shared" si="824"/>
        <v>0</v>
      </c>
      <c r="W990" s="261"/>
      <c r="X990" s="258"/>
      <c r="Y990" s="240"/>
      <c r="Z990" s="241" t="str">
        <f>IF(ISBLANK(Y990), "", VLOOKUP(Y990, Z!$A$2:$C$4127, 3, FALSE))</f>
        <v/>
      </c>
      <c r="AA990" s="262"/>
      <c r="AB990" s="249">
        <f t="shared" si="859"/>
        <v>0</v>
      </c>
      <c r="AC990" s="210"/>
      <c r="AD990" s="236">
        <f t="shared" si="847"/>
        <v>1</v>
      </c>
      <c r="AE990" s="236">
        <f t="shared" si="848"/>
        <v>1</v>
      </c>
      <c r="AF990" s="236">
        <f t="shared" si="849"/>
        <v>0</v>
      </c>
      <c r="AG990" s="236">
        <v>1</v>
      </c>
      <c r="AH990" s="236">
        <v>0</v>
      </c>
      <c r="AI990" s="236">
        <f t="shared" si="825"/>
        <v>-100</v>
      </c>
      <c r="AJ990" s="210"/>
      <c r="AK990" s="254"/>
      <c r="AL990" s="254"/>
      <c r="AM990" s="255"/>
      <c r="AN990" s="255"/>
      <c r="AO990" s="255"/>
      <c r="AP990" s="255"/>
      <c r="AQ990" s="255"/>
      <c r="AR990" s="255"/>
      <c r="AS990" s="255"/>
      <c r="AT990" s="255"/>
      <c r="AU990" s="255"/>
      <c r="AV990" s="255"/>
      <c r="AW990" s="255"/>
      <c r="AX990" s="210"/>
      <c r="AY990" s="236" cm="1">
        <f t="array" ref="AY990">INDEX(Use, $AD990, 4)</f>
        <v>7</v>
      </c>
      <c r="AZ990" s="236">
        <f t="shared" si="826"/>
        <v>32</v>
      </c>
      <c r="BA990" s="236">
        <f t="shared" si="851"/>
        <v>13</v>
      </c>
      <c r="BB990" s="236">
        <f t="shared" si="852"/>
        <v>0</v>
      </c>
      <c r="BC990" s="252" cm="1">
        <f t="array" ref="BC990">K990/IF($L990&gt;0, INDEX($AO$23:$AU$77, $L990+20, $AD990), 1)</f>
        <v>0</v>
      </c>
      <c r="BD990" s="237">
        <f t="shared" si="827"/>
        <v>0</v>
      </c>
      <c r="BE990" s="236">
        <v>35</v>
      </c>
      <c r="BF990" s="237">
        <f t="shared" si="828"/>
        <v>52.55</v>
      </c>
      <c r="BG990" s="253">
        <f t="shared" si="829"/>
        <v>2.7676728869374316</v>
      </c>
      <c r="BH990" s="253" cm="1">
        <f t="array" ref="BH990">$BC990 * SUMPRODUCT(INDEX($AL$77:$AN$82,,$AE990),INDEX($AO$77:$AU$82,,$AD990), N($AK$77:$AK$82&gt;$AI990)) / BG990 / 1000</f>
        <v>0</v>
      </c>
      <c r="BI990" s="250">
        <f t="shared" si="853"/>
        <v>30</v>
      </c>
      <c r="BJ990" s="237">
        <f t="shared" si="830"/>
        <v>46.033333333333331</v>
      </c>
      <c r="BK990" s="253">
        <f t="shared" si="831"/>
        <v>3.2297395388556791</v>
      </c>
      <c r="BL990" s="253" cm="1">
        <f t="array" ref="BL990">$BC990 * IF($AD990&lt;=2,
SUMPRODUCT(INDEX($AL$72:$AN$76,,$AE990), INDEX($AO$72:$AU$76,,$AD990), 1 / ($AV$72:$AV$76*BK990 + (1-$AV$72:$AV$76)*BG990), N($AK$72:$AK$76&gt;$AI990)),
SUMPRODUCT(INDEX($AL$67:$AN$76,,$AE990), INDEX($AO$67:$AU$76,,$AD990), 1 / ($AW$67:$AW$76*BK990 + (1-$AW$67:$AW$76)*BG990), N($AK$67:$AK$76&gt;$AI990))
) / 1000</f>
        <v>0</v>
      </c>
      <c r="BM990" s="250">
        <f t="shared" si="854"/>
        <v>25</v>
      </c>
      <c r="BN990" s="237">
        <f t="shared" si="832"/>
        <v>39.516666666666666</v>
      </c>
      <c r="BO990" s="253">
        <f t="shared" si="833"/>
        <v>3.877011788826243</v>
      </c>
      <c r="BP990" s="253" cm="1">
        <f t="array" ref="BP990">$BC990 * IF($AD990&lt;=2,
SUMPRODUCT(INDEX($AL$67:$AN$71,,$AE990), INDEX($AO$67:$AU$71,,$AD990), 1 / ($AV$67:$AV$71*BO990 + (1-$AV$67:$AV$71)*BK990), N($AK$67:$AK$71&gt;$AI990)),
SUMPRODUCT(INDEX($AL$57:$AN$66,,$AE990), INDEX($AO$57:$AU$66,,$AD990), 1 / ($AW$57:$AW$66*BO990 + (1-$AW$57:$AW$66)*BK990), N($AK$57:$AK$66&gt;$AI990))
) / 1000</f>
        <v>0</v>
      </c>
      <c r="BQ990" s="250">
        <f t="shared" si="855"/>
        <v>20</v>
      </c>
      <c r="BR990" s="237">
        <f t="shared" si="834"/>
        <v>33</v>
      </c>
      <c r="BS990" s="253">
        <f t="shared" si="835"/>
        <v>4.8487499999999999</v>
      </c>
      <c r="BT990" s="253" cm="1">
        <f t="array" ref="BT990">$BC990 * IF($AD990&lt;=2,
SUMPRODUCT(INDEX($AL$62:$AN$66,,$AE990), INDEX($AO$62:$AU$66,,$AD990), 1 / ($AV$62:$AV$66*BS990 + (1-$AV$62:$AV$66)*BO990), N($AK$62:$AK$66&gt;$AI990)),
SUMPRODUCT(INDEX($AL$47:$AN$56,,$AE990), INDEX($AO$47:$AU$56,,$AD990), 1 / ($AW$47:$AW$56*BS990 + (1-$AW$47:$AW$56)*BO990), N($AK$47:$AK$56&gt;$AI990))
) / 1000</f>
        <v>0</v>
      </c>
      <c r="BU990" s="253" cm="1">
        <f t="array" ref="BU990">$BC990 * IF($AD990&lt;=2,
SUMPRODUCT(INDEX($AL$23:$AN$61,,$AE990), INDEX($AO$23:$AU$61,,$AD990), 1 / ($AV$23:$AV$61*BS990), N($AK$23:$AK$61&gt;$AI990)),
SUMPRODUCT(INDEX($AL$23:$AN$46,,$AE990), INDEX($AO$23:$AU$46,,$AD990), 1 / ($AW$23:$AW$46*BS990), N($AK$23:$AK$46&gt;$AI990))
) / 1000</f>
        <v>0</v>
      </c>
      <c r="BV990" s="237">
        <f t="shared" si="836"/>
        <v>0</v>
      </c>
      <c r="BW990" s="210"/>
      <c r="BX990" s="237">
        <f t="shared" si="837"/>
        <v>0</v>
      </c>
      <c r="BY990" s="236">
        <v>35</v>
      </c>
      <c r="BZ990" s="237">
        <f t="shared" si="838"/>
        <v>48</v>
      </c>
      <c r="CA990" s="253">
        <f t="shared" si="839"/>
        <v>3.0748170731707316</v>
      </c>
      <c r="CB990" s="253" cm="1">
        <f t="array" ref="CB990">$BC990 * SUMPRODUCT(INDEX($AL$77:$AN$82,,$AE990),INDEX($AO$77:$AU$82,,$AD990), N($AK$77:$AK$82&gt;$AI990)) / CA990 / 1000</f>
        <v>0</v>
      </c>
      <c r="CC990" s="250">
        <f t="shared" si="856"/>
        <v>30</v>
      </c>
      <c r="CD990" s="237">
        <f t="shared" si="840"/>
        <v>43</v>
      </c>
      <c r="CE990" s="253">
        <f t="shared" si="841"/>
        <v>3.5018750000000001</v>
      </c>
      <c r="CF990" s="253" cm="1">
        <f t="array" ref="CF990">$BC990 * IF($AD990&lt;=2,
SUMPRODUCT(INDEX($AL$72:$AN$76,,$AE990), INDEX($AO$72:$AU$76,,$AD990), 1 / ($AV$72:$AV$76*CE990 + (1-$AV$72:$AV$76)*CA990), N($AK$72:$AK$76&gt;$AI990)),
SUMPRODUCT(INDEX($AL$67:$AN$76,,$AE990), INDEX($AO$67:$AU$76,,$AD990), 1 / ($AW$67:$AW$76*CE990 + (1-$AW$67:$AW$76)*CA990), N($AK$67:$AK$76&gt;$AI990))
) / 1000</f>
        <v>0</v>
      </c>
      <c r="CG990" s="250">
        <f t="shared" si="857"/>
        <v>25</v>
      </c>
      <c r="CH990" s="237">
        <f t="shared" si="842"/>
        <v>38</v>
      </c>
      <c r="CI990" s="253">
        <f t="shared" si="843"/>
        <v>4.0666935483870965</v>
      </c>
      <c r="CJ990" s="253" cm="1">
        <f t="array" ref="CJ990">$BC990 * IF($AD990&lt;=2,
SUMPRODUCT(INDEX($AL$67:$AN$71,,$AE990), INDEX($AO$67:$AU$71,,$AD990), 1 / ($AV$67:$AV$71*CI990 + (1-$AV$67:$AV$71)*CE990), N($AK$67:$AK$71&gt;$AI990)),
SUMPRODUCT(INDEX($AL$57:$AN$66,,$AE990), INDEX($AO$57:$AU$66,,$AD990), 1 / ($AW$57:$AW$66*CI990 + (1-$AW$57:$AW$66)*CE990), N($AK$57:$AK$66&gt;$AI990))
) / 1000</f>
        <v>0</v>
      </c>
      <c r="CK990" s="250">
        <f t="shared" si="858"/>
        <v>20</v>
      </c>
      <c r="CL990" s="237">
        <f t="shared" si="844"/>
        <v>33</v>
      </c>
      <c r="CM990" s="253">
        <f t="shared" si="845"/>
        <v>4.8487499999999999</v>
      </c>
      <c r="CN990" s="253" cm="1">
        <f t="array" ref="CN990">$BC990 * IF($AD990&lt;=2,
SUMPRODUCT(INDEX($AL$62:$AN$66,,$AE990), INDEX($AO$62:$AU$66,,$AD990), 1 / ($AV$62:$AV$66*CM990 + (1-$AV$62:$AV$66)*CI990), N($AK$62:$AK$66&gt;$AI990)),
SUMPRODUCT(INDEX($AL$47:$AN$56,,$AE990), INDEX($AO$47:$AU$56,,$AD990), 1 / ($AW$47:$AW$56*CM990 + (1-$AW$47:$AW$56)*CI990), N($AK$47:$AK$56&gt;$AI990))
) / 1000</f>
        <v>0</v>
      </c>
      <c r="CO990" s="253" cm="1">
        <f t="array" ref="CO990">$BC990 * IF($AD990&lt;=2,
SUMPRODUCT(INDEX($AL$23:$AN$61,,$AE990), INDEX($AO$23:$AU$61,,$AD990), 1 / ($AV$23:$AV$61*CM990), N($AK$23:$AK$61&gt;$AI990)),
SUMPRODUCT(INDEX($AL$23:$AN$46,,$AE990), INDEX($AO$23:$AU$46,,$AD990), 1 / ($AW$23:$AW$46*CM990), N($AK$23:$AK$46&gt;$AI990))
) / 1000</f>
        <v>0</v>
      </c>
      <c r="CP990" s="237">
        <f t="shared" si="846"/>
        <v>0</v>
      </c>
      <c r="CQ990" s="210"/>
    </row>
    <row r="991" spans="1:95" s="76" customFormat="1" ht="14.25" customHeight="1" x14ac:dyDescent="0.2">
      <c r="A991" s="238" t="b">
        <f t="shared" si="850"/>
        <v>0</v>
      </c>
      <c r="B991" s="239">
        <v>969</v>
      </c>
      <c r="C991" s="258"/>
      <c r="D991" s="258"/>
      <c r="E991" s="240"/>
      <c r="F991" s="241" t="str">
        <f>IF(ISBLANK(E991), "", VLOOKUP(E991, Z!$A$2:$C$4127, 3, FALSE))</f>
        <v/>
      </c>
      <c r="G991" s="242"/>
      <c r="H991" s="242"/>
      <c r="I991" s="243"/>
      <c r="J991" s="244"/>
      <c r="K991" s="259"/>
      <c r="L991" s="260"/>
      <c r="M991" s="247" t="str" cm="1">
        <f t="array" ref="M991">IF($K991&gt;0, INDEX(Clean,1+AG991,$C$1), "")</f>
        <v/>
      </c>
      <c r="N991" s="245"/>
      <c r="O991" s="245"/>
      <c r="P991" s="246"/>
      <c r="Q991" s="248">
        <f t="shared" si="823"/>
        <v>0</v>
      </c>
      <c r="R991" s="247" t="str" cm="1">
        <f t="array" ref="R991">IF($K991&gt;0, INDEX(Clean,1+AH991,$C$1), "")</f>
        <v/>
      </c>
      <c r="S991" s="245"/>
      <c r="T991" s="245"/>
      <c r="U991" s="246"/>
      <c r="V991" s="248">
        <f t="shared" si="824"/>
        <v>0</v>
      </c>
      <c r="W991" s="261"/>
      <c r="X991" s="258"/>
      <c r="Y991" s="240"/>
      <c r="Z991" s="241" t="str">
        <f>IF(ISBLANK(Y991), "", VLOOKUP(Y991, Z!$A$2:$C$4127, 3, FALSE))</f>
        <v/>
      </c>
      <c r="AA991" s="262"/>
      <c r="AB991" s="249">
        <f t="shared" si="859"/>
        <v>0</v>
      </c>
      <c r="AC991" s="210"/>
      <c r="AD991" s="236">
        <f t="shared" si="847"/>
        <v>1</v>
      </c>
      <c r="AE991" s="236">
        <f t="shared" si="848"/>
        <v>1</v>
      </c>
      <c r="AF991" s="236">
        <f t="shared" si="849"/>
        <v>0</v>
      </c>
      <c r="AG991" s="236">
        <v>1</v>
      </c>
      <c r="AH991" s="236">
        <v>0</v>
      </c>
      <c r="AI991" s="236">
        <f t="shared" si="825"/>
        <v>-100</v>
      </c>
      <c r="AJ991" s="210"/>
      <c r="AK991" s="254"/>
      <c r="AL991" s="254"/>
      <c r="AM991" s="255"/>
      <c r="AN991" s="255"/>
      <c r="AO991" s="255"/>
      <c r="AP991" s="255"/>
      <c r="AQ991" s="255"/>
      <c r="AR991" s="255"/>
      <c r="AS991" s="255"/>
      <c r="AT991" s="255"/>
      <c r="AU991" s="255"/>
      <c r="AV991" s="255"/>
      <c r="AW991" s="255"/>
      <c r="AX991" s="210"/>
      <c r="AY991" s="236" cm="1">
        <f t="array" ref="AY991">INDEX(Use, $AD991, 4)</f>
        <v>7</v>
      </c>
      <c r="AZ991" s="236">
        <f t="shared" si="826"/>
        <v>32</v>
      </c>
      <c r="BA991" s="236">
        <f t="shared" si="851"/>
        <v>13</v>
      </c>
      <c r="BB991" s="236">
        <f t="shared" si="852"/>
        <v>0</v>
      </c>
      <c r="BC991" s="252" cm="1">
        <f t="array" ref="BC991">K991/IF($L991&gt;0, INDEX($AO$23:$AU$77, $L991+20, $AD991), 1)</f>
        <v>0</v>
      </c>
      <c r="BD991" s="237">
        <f t="shared" si="827"/>
        <v>0</v>
      </c>
      <c r="BE991" s="236">
        <v>35</v>
      </c>
      <c r="BF991" s="237">
        <f t="shared" si="828"/>
        <v>52.55</v>
      </c>
      <c r="BG991" s="253">
        <f t="shared" si="829"/>
        <v>2.7676728869374316</v>
      </c>
      <c r="BH991" s="253" cm="1">
        <f t="array" ref="BH991">$BC991 * SUMPRODUCT(INDEX($AL$77:$AN$82,,$AE991),INDEX($AO$77:$AU$82,,$AD991), N($AK$77:$AK$82&gt;$AI991)) / BG991 / 1000</f>
        <v>0</v>
      </c>
      <c r="BI991" s="250">
        <f t="shared" si="853"/>
        <v>30</v>
      </c>
      <c r="BJ991" s="237">
        <f t="shared" si="830"/>
        <v>46.033333333333331</v>
      </c>
      <c r="BK991" s="253">
        <f t="shared" si="831"/>
        <v>3.2297395388556791</v>
      </c>
      <c r="BL991" s="253" cm="1">
        <f t="array" ref="BL991">$BC991 * IF($AD991&lt;=2,
SUMPRODUCT(INDEX($AL$72:$AN$76,,$AE991), INDEX($AO$72:$AU$76,,$AD991), 1 / ($AV$72:$AV$76*BK991 + (1-$AV$72:$AV$76)*BG991), N($AK$72:$AK$76&gt;$AI991)),
SUMPRODUCT(INDEX($AL$67:$AN$76,,$AE991), INDEX($AO$67:$AU$76,,$AD991), 1 / ($AW$67:$AW$76*BK991 + (1-$AW$67:$AW$76)*BG991), N($AK$67:$AK$76&gt;$AI991))
) / 1000</f>
        <v>0</v>
      </c>
      <c r="BM991" s="250">
        <f t="shared" si="854"/>
        <v>25</v>
      </c>
      <c r="BN991" s="237">
        <f t="shared" si="832"/>
        <v>39.516666666666666</v>
      </c>
      <c r="BO991" s="253">
        <f t="shared" si="833"/>
        <v>3.877011788826243</v>
      </c>
      <c r="BP991" s="253" cm="1">
        <f t="array" ref="BP991">$BC991 * IF($AD991&lt;=2,
SUMPRODUCT(INDEX($AL$67:$AN$71,,$AE991), INDEX($AO$67:$AU$71,,$AD991), 1 / ($AV$67:$AV$71*BO991 + (1-$AV$67:$AV$71)*BK991), N($AK$67:$AK$71&gt;$AI991)),
SUMPRODUCT(INDEX($AL$57:$AN$66,,$AE991), INDEX($AO$57:$AU$66,,$AD991), 1 / ($AW$57:$AW$66*BO991 + (1-$AW$57:$AW$66)*BK991), N($AK$57:$AK$66&gt;$AI991))
) / 1000</f>
        <v>0</v>
      </c>
      <c r="BQ991" s="250">
        <f t="shared" si="855"/>
        <v>20</v>
      </c>
      <c r="BR991" s="237">
        <f t="shared" si="834"/>
        <v>33</v>
      </c>
      <c r="BS991" s="253">
        <f t="shared" si="835"/>
        <v>4.8487499999999999</v>
      </c>
      <c r="BT991" s="253" cm="1">
        <f t="array" ref="BT991">$BC991 * IF($AD991&lt;=2,
SUMPRODUCT(INDEX($AL$62:$AN$66,,$AE991), INDEX($AO$62:$AU$66,,$AD991), 1 / ($AV$62:$AV$66*BS991 + (1-$AV$62:$AV$66)*BO991), N($AK$62:$AK$66&gt;$AI991)),
SUMPRODUCT(INDEX($AL$47:$AN$56,,$AE991), INDEX($AO$47:$AU$56,,$AD991), 1 / ($AW$47:$AW$56*BS991 + (1-$AW$47:$AW$56)*BO991), N($AK$47:$AK$56&gt;$AI991))
) / 1000</f>
        <v>0</v>
      </c>
      <c r="BU991" s="253" cm="1">
        <f t="array" ref="BU991">$BC991 * IF($AD991&lt;=2,
SUMPRODUCT(INDEX($AL$23:$AN$61,,$AE991), INDEX($AO$23:$AU$61,,$AD991), 1 / ($AV$23:$AV$61*BS991), N($AK$23:$AK$61&gt;$AI991)),
SUMPRODUCT(INDEX($AL$23:$AN$46,,$AE991), INDEX($AO$23:$AU$46,,$AD991), 1 / ($AW$23:$AW$46*BS991), N($AK$23:$AK$46&gt;$AI991))
) / 1000</f>
        <v>0</v>
      </c>
      <c r="BV991" s="237">
        <f t="shared" si="836"/>
        <v>0</v>
      </c>
      <c r="BW991" s="210"/>
      <c r="BX991" s="237">
        <f t="shared" si="837"/>
        <v>0</v>
      </c>
      <c r="BY991" s="236">
        <v>35</v>
      </c>
      <c r="BZ991" s="237">
        <f t="shared" si="838"/>
        <v>48</v>
      </c>
      <c r="CA991" s="253">
        <f t="shared" si="839"/>
        <v>3.0748170731707316</v>
      </c>
      <c r="CB991" s="253" cm="1">
        <f t="array" ref="CB991">$BC991 * SUMPRODUCT(INDEX($AL$77:$AN$82,,$AE991),INDEX($AO$77:$AU$82,,$AD991), N($AK$77:$AK$82&gt;$AI991)) / CA991 / 1000</f>
        <v>0</v>
      </c>
      <c r="CC991" s="250">
        <f t="shared" si="856"/>
        <v>30</v>
      </c>
      <c r="CD991" s="237">
        <f t="shared" si="840"/>
        <v>43</v>
      </c>
      <c r="CE991" s="253">
        <f t="shared" si="841"/>
        <v>3.5018750000000001</v>
      </c>
      <c r="CF991" s="253" cm="1">
        <f t="array" ref="CF991">$BC991 * IF($AD991&lt;=2,
SUMPRODUCT(INDEX($AL$72:$AN$76,,$AE991), INDEX($AO$72:$AU$76,,$AD991), 1 / ($AV$72:$AV$76*CE991 + (1-$AV$72:$AV$76)*CA991), N($AK$72:$AK$76&gt;$AI991)),
SUMPRODUCT(INDEX($AL$67:$AN$76,,$AE991), INDEX($AO$67:$AU$76,,$AD991), 1 / ($AW$67:$AW$76*CE991 + (1-$AW$67:$AW$76)*CA991), N($AK$67:$AK$76&gt;$AI991))
) / 1000</f>
        <v>0</v>
      </c>
      <c r="CG991" s="250">
        <f t="shared" si="857"/>
        <v>25</v>
      </c>
      <c r="CH991" s="237">
        <f t="shared" si="842"/>
        <v>38</v>
      </c>
      <c r="CI991" s="253">
        <f t="shared" si="843"/>
        <v>4.0666935483870965</v>
      </c>
      <c r="CJ991" s="253" cm="1">
        <f t="array" ref="CJ991">$BC991 * IF($AD991&lt;=2,
SUMPRODUCT(INDEX($AL$67:$AN$71,,$AE991), INDEX($AO$67:$AU$71,,$AD991), 1 / ($AV$67:$AV$71*CI991 + (1-$AV$67:$AV$71)*CE991), N($AK$67:$AK$71&gt;$AI991)),
SUMPRODUCT(INDEX($AL$57:$AN$66,,$AE991), INDEX($AO$57:$AU$66,,$AD991), 1 / ($AW$57:$AW$66*CI991 + (1-$AW$57:$AW$66)*CE991), N($AK$57:$AK$66&gt;$AI991))
) / 1000</f>
        <v>0</v>
      </c>
      <c r="CK991" s="250">
        <f t="shared" si="858"/>
        <v>20</v>
      </c>
      <c r="CL991" s="237">
        <f t="shared" si="844"/>
        <v>33</v>
      </c>
      <c r="CM991" s="253">
        <f t="shared" si="845"/>
        <v>4.8487499999999999</v>
      </c>
      <c r="CN991" s="253" cm="1">
        <f t="array" ref="CN991">$BC991 * IF($AD991&lt;=2,
SUMPRODUCT(INDEX($AL$62:$AN$66,,$AE991), INDEX($AO$62:$AU$66,,$AD991), 1 / ($AV$62:$AV$66*CM991 + (1-$AV$62:$AV$66)*CI991), N($AK$62:$AK$66&gt;$AI991)),
SUMPRODUCT(INDEX($AL$47:$AN$56,,$AE991), INDEX($AO$47:$AU$56,,$AD991), 1 / ($AW$47:$AW$56*CM991 + (1-$AW$47:$AW$56)*CI991), N($AK$47:$AK$56&gt;$AI991))
) / 1000</f>
        <v>0</v>
      </c>
      <c r="CO991" s="253" cm="1">
        <f t="array" ref="CO991">$BC991 * IF($AD991&lt;=2,
SUMPRODUCT(INDEX($AL$23:$AN$61,,$AE991), INDEX($AO$23:$AU$61,,$AD991), 1 / ($AV$23:$AV$61*CM991), N($AK$23:$AK$61&gt;$AI991)),
SUMPRODUCT(INDEX($AL$23:$AN$46,,$AE991), INDEX($AO$23:$AU$46,,$AD991), 1 / ($AW$23:$AW$46*CM991), N($AK$23:$AK$46&gt;$AI991))
) / 1000</f>
        <v>0</v>
      </c>
      <c r="CP991" s="237">
        <f t="shared" si="846"/>
        <v>0</v>
      </c>
      <c r="CQ991" s="210"/>
    </row>
    <row r="992" spans="1:95" s="76" customFormat="1" ht="14.25" customHeight="1" x14ac:dyDescent="0.2">
      <c r="A992" s="238" t="b">
        <f t="shared" si="850"/>
        <v>0</v>
      </c>
      <c r="B992" s="239">
        <v>970</v>
      </c>
      <c r="C992" s="258"/>
      <c r="D992" s="258"/>
      <c r="E992" s="240"/>
      <c r="F992" s="241" t="str">
        <f>IF(ISBLANK(E992), "", VLOOKUP(E992, Z!$A$2:$C$4127, 3, FALSE))</f>
        <v/>
      </c>
      <c r="G992" s="242"/>
      <c r="H992" s="242"/>
      <c r="I992" s="243"/>
      <c r="J992" s="244"/>
      <c r="K992" s="259"/>
      <c r="L992" s="260"/>
      <c r="M992" s="247" t="str" cm="1">
        <f t="array" ref="M992">IF($K992&gt;0, INDEX(Clean,1+AG992,$C$1), "")</f>
        <v/>
      </c>
      <c r="N992" s="245"/>
      <c r="O992" s="245"/>
      <c r="P992" s="246"/>
      <c r="Q992" s="248">
        <f t="shared" si="823"/>
        <v>0</v>
      </c>
      <c r="R992" s="247" t="str" cm="1">
        <f t="array" ref="R992">IF($K992&gt;0, INDEX(Clean,1+AH992,$C$1), "")</f>
        <v/>
      </c>
      <c r="S992" s="245"/>
      <c r="T992" s="245"/>
      <c r="U992" s="246"/>
      <c r="V992" s="248">
        <f t="shared" si="824"/>
        <v>0</v>
      </c>
      <c r="W992" s="261"/>
      <c r="X992" s="258"/>
      <c r="Y992" s="240"/>
      <c r="Z992" s="241" t="str">
        <f>IF(ISBLANK(Y992), "", VLOOKUP(Y992, Z!$A$2:$C$4127, 3, FALSE))</f>
        <v/>
      </c>
      <c r="AA992" s="262"/>
      <c r="AB992" s="249">
        <f t="shared" si="859"/>
        <v>0</v>
      </c>
      <c r="AC992" s="210"/>
      <c r="AD992" s="236">
        <f t="shared" si="847"/>
        <v>1</v>
      </c>
      <c r="AE992" s="236">
        <f t="shared" si="848"/>
        <v>1</v>
      </c>
      <c r="AF992" s="236">
        <f t="shared" si="849"/>
        <v>0</v>
      </c>
      <c r="AG992" s="236">
        <v>1</v>
      </c>
      <c r="AH992" s="236">
        <v>0</v>
      </c>
      <c r="AI992" s="236">
        <f t="shared" si="825"/>
        <v>-100</v>
      </c>
      <c r="AJ992" s="210"/>
      <c r="AK992" s="254"/>
      <c r="AL992" s="254"/>
      <c r="AM992" s="255"/>
      <c r="AN992" s="255"/>
      <c r="AO992" s="255"/>
      <c r="AP992" s="255"/>
      <c r="AQ992" s="255"/>
      <c r="AR992" s="255"/>
      <c r="AS992" s="255"/>
      <c r="AT992" s="255"/>
      <c r="AU992" s="255"/>
      <c r="AV992" s="255"/>
      <c r="AW992" s="255"/>
      <c r="AX992" s="210"/>
      <c r="AY992" s="236" cm="1">
        <f t="array" ref="AY992">INDEX(Use, $AD992, 4)</f>
        <v>7</v>
      </c>
      <c r="AZ992" s="236">
        <f t="shared" si="826"/>
        <v>32</v>
      </c>
      <c r="BA992" s="236">
        <f t="shared" si="851"/>
        <v>13</v>
      </c>
      <c r="BB992" s="236">
        <f t="shared" si="852"/>
        <v>0</v>
      </c>
      <c r="BC992" s="252" cm="1">
        <f t="array" ref="BC992">K992/IF($L992&gt;0, INDEX($AO$23:$AU$77, $L992+20, $AD992), 1)</f>
        <v>0</v>
      </c>
      <c r="BD992" s="237">
        <f t="shared" si="827"/>
        <v>0</v>
      </c>
      <c r="BE992" s="236">
        <v>35</v>
      </c>
      <c r="BF992" s="237">
        <f t="shared" si="828"/>
        <v>52.55</v>
      </c>
      <c r="BG992" s="253">
        <f t="shared" si="829"/>
        <v>2.7676728869374316</v>
      </c>
      <c r="BH992" s="253" cm="1">
        <f t="array" ref="BH992">$BC992 * SUMPRODUCT(INDEX($AL$77:$AN$82,,$AE992),INDEX($AO$77:$AU$82,,$AD992), N($AK$77:$AK$82&gt;$AI992)) / BG992 / 1000</f>
        <v>0</v>
      </c>
      <c r="BI992" s="250">
        <f t="shared" si="853"/>
        <v>30</v>
      </c>
      <c r="BJ992" s="237">
        <f t="shared" si="830"/>
        <v>46.033333333333331</v>
      </c>
      <c r="BK992" s="253">
        <f t="shared" si="831"/>
        <v>3.2297395388556791</v>
      </c>
      <c r="BL992" s="253" cm="1">
        <f t="array" ref="BL992">$BC992 * IF($AD992&lt;=2,
SUMPRODUCT(INDEX($AL$72:$AN$76,,$AE992), INDEX($AO$72:$AU$76,,$AD992), 1 / ($AV$72:$AV$76*BK992 + (1-$AV$72:$AV$76)*BG992), N($AK$72:$AK$76&gt;$AI992)),
SUMPRODUCT(INDEX($AL$67:$AN$76,,$AE992), INDEX($AO$67:$AU$76,,$AD992), 1 / ($AW$67:$AW$76*BK992 + (1-$AW$67:$AW$76)*BG992), N($AK$67:$AK$76&gt;$AI992))
) / 1000</f>
        <v>0</v>
      </c>
      <c r="BM992" s="250">
        <f t="shared" si="854"/>
        <v>25</v>
      </c>
      <c r="BN992" s="237">
        <f t="shared" si="832"/>
        <v>39.516666666666666</v>
      </c>
      <c r="BO992" s="253">
        <f t="shared" si="833"/>
        <v>3.877011788826243</v>
      </c>
      <c r="BP992" s="253" cm="1">
        <f t="array" ref="BP992">$BC992 * IF($AD992&lt;=2,
SUMPRODUCT(INDEX($AL$67:$AN$71,,$AE992), INDEX($AO$67:$AU$71,,$AD992), 1 / ($AV$67:$AV$71*BO992 + (1-$AV$67:$AV$71)*BK992), N($AK$67:$AK$71&gt;$AI992)),
SUMPRODUCT(INDEX($AL$57:$AN$66,,$AE992), INDEX($AO$57:$AU$66,,$AD992), 1 / ($AW$57:$AW$66*BO992 + (1-$AW$57:$AW$66)*BK992), N($AK$57:$AK$66&gt;$AI992))
) / 1000</f>
        <v>0</v>
      </c>
      <c r="BQ992" s="250">
        <f t="shared" si="855"/>
        <v>20</v>
      </c>
      <c r="BR992" s="237">
        <f t="shared" si="834"/>
        <v>33</v>
      </c>
      <c r="BS992" s="253">
        <f t="shared" si="835"/>
        <v>4.8487499999999999</v>
      </c>
      <c r="BT992" s="253" cm="1">
        <f t="array" ref="BT992">$BC992 * IF($AD992&lt;=2,
SUMPRODUCT(INDEX($AL$62:$AN$66,,$AE992), INDEX($AO$62:$AU$66,,$AD992), 1 / ($AV$62:$AV$66*BS992 + (1-$AV$62:$AV$66)*BO992), N($AK$62:$AK$66&gt;$AI992)),
SUMPRODUCT(INDEX($AL$47:$AN$56,,$AE992), INDEX($AO$47:$AU$56,,$AD992), 1 / ($AW$47:$AW$56*BS992 + (1-$AW$47:$AW$56)*BO992), N($AK$47:$AK$56&gt;$AI992))
) / 1000</f>
        <v>0</v>
      </c>
      <c r="BU992" s="253" cm="1">
        <f t="array" ref="BU992">$BC992 * IF($AD992&lt;=2,
SUMPRODUCT(INDEX($AL$23:$AN$61,,$AE992), INDEX($AO$23:$AU$61,,$AD992), 1 / ($AV$23:$AV$61*BS992), N($AK$23:$AK$61&gt;$AI992)),
SUMPRODUCT(INDEX($AL$23:$AN$46,,$AE992), INDEX($AO$23:$AU$46,,$AD992), 1 / ($AW$23:$AW$46*BS992), N($AK$23:$AK$46&gt;$AI992))
) / 1000</f>
        <v>0</v>
      </c>
      <c r="BV992" s="237">
        <f t="shared" si="836"/>
        <v>0</v>
      </c>
      <c r="BW992" s="210"/>
      <c r="BX992" s="237">
        <f t="shared" si="837"/>
        <v>0</v>
      </c>
      <c r="BY992" s="236">
        <v>35</v>
      </c>
      <c r="BZ992" s="237">
        <f t="shared" si="838"/>
        <v>48</v>
      </c>
      <c r="CA992" s="253">
        <f t="shared" si="839"/>
        <v>3.0748170731707316</v>
      </c>
      <c r="CB992" s="253" cm="1">
        <f t="array" ref="CB992">$BC992 * SUMPRODUCT(INDEX($AL$77:$AN$82,,$AE992),INDEX($AO$77:$AU$82,,$AD992), N($AK$77:$AK$82&gt;$AI992)) / CA992 / 1000</f>
        <v>0</v>
      </c>
      <c r="CC992" s="250">
        <f t="shared" si="856"/>
        <v>30</v>
      </c>
      <c r="CD992" s="237">
        <f t="shared" si="840"/>
        <v>43</v>
      </c>
      <c r="CE992" s="253">
        <f t="shared" si="841"/>
        <v>3.5018750000000001</v>
      </c>
      <c r="CF992" s="253" cm="1">
        <f t="array" ref="CF992">$BC992 * IF($AD992&lt;=2,
SUMPRODUCT(INDEX($AL$72:$AN$76,,$AE992), INDEX($AO$72:$AU$76,,$AD992), 1 / ($AV$72:$AV$76*CE992 + (1-$AV$72:$AV$76)*CA992), N($AK$72:$AK$76&gt;$AI992)),
SUMPRODUCT(INDEX($AL$67:$AN$76,,$AE992), INDEX($AO$67:$AU$76,,$AD992), 1 / ($AW$67:$AW$76*CE992 + (1-$AW$67:$AW$76)*CA992), N($AK$67:$AK$76&gt;$AI992))
) / 1000</f>
        <v>0</v>
      </c>
      <c r="CG992" s="250">
        <f t="shared" si="857"/>
        <v>25</v>
      </c>
      <c r="CH992" s="237">
        <f t="shared" si="842"/>
        <v>38</v>
      </c>
      <c r="CI992" s="253">
        <f t="shared" si="843"/>
        <v>4.0666935483870965</v>
      </c>
      <c r="CJ992" s="253" cm="1">
        <f t="array" ref="CJ992">$BC992 * IF($AD992&lt;=2,
SUMPRODUCT(INDEX($AL$67:$AN$71,,$AE992), INDEX($AO$67:$AU$71,,$AD992), 1 / ($AV$67:$AV$71*CI992 + (1-$AV$67:$AV$71)*CE992), N($AK$67:$AK$71&gt;$AI992)),
SUMPRODUCT(INDEX($AL$57:$AN$66,,$AE992), INDEX($AO$57:$AU$66,,$AD992), 1 / ($AW$57:$AW$66*CI992 + (1-$AW$57:$AW$66)*CE992), N($AK$57:$AK$66&gt;$AI992))
) / 1000</f>
        <v>0</v>
      </c>
      <c r="CK992" s="250">
        <f t="shared" si="858"/>
        <v>20</v>
      </c>
      <c r="CL992" s="237">
        <f t="shared" si="844"/>
        <v>33</v>
      </c>
      <c r="CM992" s="253">
        <f t="shared" si="845"/>
        <v>4.8487499999999999</v>
      </c>
      <c r="CN992" s="253" cm="1">
        <f t="array" ref="CN992">$BC992 * IF($AD992&lt;=2,
SUMPRODUCT(INDEX($AL$62:$AN$66,,$AE992), INDEX($AO$62:$AU$66,,$AD992), 1 / ($AV$62:$AV$66*CM992 + (1-$AV$62:$AV$66)*CI992), N($AK$62:$AK$66&gt;$AI992)),
SUMPRODUCT(INDEX($AL$47:$AN$56,,$AE992), INDEX($AO$47:$AU$56,,$AD992), 1 / ($AW$47:$AW$56*CM992 + (1-$AW$47:$AW$56)*CI992), N($AK$47:$AK$56&gt;$AI992))
) / 1000</f>
        <v>0</v>
      </c>
      <c r="CO992" s="253" cm="1">
        <f t="array" ref="CO992">$BC992 * IF($AD992&lt;=2,
SUMPRODUCT(INDEX($AL$23:$AN$61,,$AE992), INDEX($AO$23:$AU$61,,$AD992), 1 / ($AV$23:$AV$61*CM992), N($AK$23:$AK$61&gt;$AI992)),
SUMPRODUCT(INDEX($AL$23:$AN$46,,$AE992), INDEX($AO$23:$AU$46,,$AD992), 1 / ($AW$23:$AW$46*CM992), N($AK$23:$AK$46&gt;$AI992))
) / 1000</f>
        <v>0</v>
      </c>
      <c r="CP992" s="237">
        <f t="shared" si="846"/>
        <v>0</v>
      </c>
      <c r="CQ992" s="210"/>
    </row>
    <row r="993" spans="1:95" s="76" customFormat="1" ht="14.25" customHeight="1" x14ac:dyDescent="0.2">
      <c r="A993" s="238" t="b">
        <f t="shared" si="850"/>
        <v>0</v>
      </c>
      <c r="B993" s="239">
        <v>971</v>
      </c>
      <c r="C993" s="258"/>
      <c r="D993" s="258"/>
      <c r="E993" s="240"/>
      <c r="F993" s="241" t="str">
        <f>IF(ISBLANK(E993), "", VLOOKUP(E993, Z!$A$2:$C$4127, 3, FALSE))</f>
        <v/>
      </c>
      <c r="G993" s="242"/>
      <c r="H993" s="242"/>
      <c r="I993" s="243"/>
      <c r="J993" s="244"/>
      <c r="K993" s="259"/>
      <c r="L993" s="260"/>
      <c r="M993" s="247" t="str" cm="1">
        <f t="array" ref="M993">IF($K993&gt;0, INDEX(Clean,1+AG993,$C$1), "")</f>
        <v/>
      </c>
      <c r="N993" s="245"/>
      <c r="O993" s="245"/>
      <c r="P993" s="246"/>
      <c r="Q993" s="248">
        <f t="shared" si="823"/>
        <v>0</v>
      </c>
      <c r="R993" s="247" t="str" cm="1">
        <f t="array" ref="R993">IF($K993&gt;0, INDEX(Clean,1+AH993,$C$1), "")</f>
        <v/>
      </c>
      <c r="S993" s="245"/>
      <c r="T993" s="245"/>
      <c r="U993" s="246"/>
      <c r="V993" s="248">
        <f t="shared" si="824"/>
        <v>0</v>
      </c>
      <c r="W993" s="261"/>
      <c r="X993" s="258"/>
      <c r="Y993" s="240"/>
      <c r="Z993" s="241" t="str">
        <f>IF(ISBLANK(Y993), "", VLOOKUP(Y993, Z!$A$2:$C$4127, 3, FALSE))</f>
        <v/>
      </c>
      <c r="AA993" s="262"/>
      <c r="AB993" s="249">
        <f t="shared" si="859"/>
        <v>0</v>
      </c>
      <c r="AC993" s="210"/>
      <c r="AD993" s="236">
        <f t="shared" si="847"/>
        <v>1</v>
      </c>
      <c r="AE993" s="236">
        <f t="shared" si="848"/>
        <v>1</v>
      </c>
      <c r="AF993" s="236">
        <f t="shared" si="849"/>
        <v>0</v>
      </c>
      <c r="AG993" s="236">
        <v>1</v>
      </c>
      <c r="AH993" s="236">
        <v>0</v>
      </c>
      <c r="AI993" s="236">
        <f t="shared" si="825"/>
        <v>-100</v>
      </c>
      <c r="AJ993" s="210"/>
      <c r="AK993" s="254"/>
      <c r="AL993" s="254"/>
      <c r="AM993" s="255"/>
      <c r="AN993" s="255"/>
      <c r="AO993" s="255"/>
      <c r="AP993" s="255"/>
      <c r="AQ993" s="255"/>
      <c r="AR993" s="255"/>
      <c r="AS993" s="255"/>
      <c r="AT993" s="255"/>
      <c r="AU993" s="255"/>
      <c r="AV993" s="255"/>
      <c r="AW993" s="255"/>
      <c r="AX993" s="210"/>
      <c r="AY993" s="236" cm="1">
        <f t="array" ref="AY993">INDEX(Use, $AD993, 4)</f>
        <v>7</v>
      </c>
      <c r="AZ993" s="236">
        <f t="shared" si="826"/>
        <v>32</v>
      </c>
      <c r="BA993" s="236">
        <f t="shared" si="851"/>
        <v>13</v>
      </c>
      <c r="BB993" s="236">
        <f t="shared" si="852"/>
        <v>0</v>
      </c>
      <c r="BC993" s="252" cm="1">
        <f t="array" ref="BC993">K993/IF($L993&gt;0, INDEX($AO$23:$AU$77, $L993+20, $AD993), 1)</f>
        <v>0</v>
      </c>
      <c r="BD993" s="237">
        <f t="shared" si="827"/>
        <v>0</v>
      </c>
      <c r="BE993" s="236">
        <v>35</v>
      </c>
      <c r="BF993" s="237">
        <f t="shared" si="828"/>
        <v>52.55</v>
      </c>
      <c r="BG993" s="253">
        <f t="shared" si="829"/>
        <v>2.7676728869374316</v>
      </c>
      <c r="BH993" s="253" cm="1">
        <f t="array" ref="BH993">$BC993 * SUMPRODUCT(INDEX($AL$77:$AN$82,,$AE993),INDEX($AO$77:$AU$82,,$AD993), N($AK$77:$AK$82&gt;$AI993)) / BG993 / 1000</f>
        <v>0</v>
      </c>
      <c r="BI993" s="250">
        <f t="shared" si="853"/>
        <v>30</v>
      </c>
      <c r="BJ993" s="237">
        <f t="shared" si="830"/>
        <v>46.033333333333331</v>
      </c>
      <c r="BK993" s="253">
        <f t="shared" si="831"/>
        <v>3.2297395388556791</v>
      </c>
      <c r="BL993" s="253" cm="1">
        <f t="array" ref="BL993">$BC993 * IF($AD993&lt;=2,
SUMPRODUCT(INDEX($AL$72:$AN$76,,$AE993), INDEX($AO$72:$AU$76,,$AD993), 1 / ($AV$72:$AV$76*BK993 + (1-$AV$72:$AV$76)*BG993), N($AK$72:$AK$76&gt;$AI993)),
SUMPRODUCT(INDEX($AL$67:$AN$76,,$AE993), INDEX($AO$67:$AU$76,,$AD993), 1 / ($AW$67:$AW$76*BK993 + (1-$AW$67:$AW$76)*BG993), N($AK$67:$AK$76&gt;$AI993))
) / 1000</f>
        <v>0</v>
      </c>
      <c r="BM993" s="250">
        <f t="shared" si="854"/>
        <v>25</v>
      </c>
      <c r="BN993" s="237">
        <f t="shared" si="832"/>
        <v>39.516666666666666</v>
      </c>
      <c r="BO993" s="253">
        <f t="shared" si="833"/>
        <v>3.877011788826243</v>
      </c>
      <c r="BP993" s="253" cm="1">
        <f t="array" ref="BP993">$BC993 * IF($AD993&lt;=2,
SUMPRODUCT(INDEX($AL$67:$AN$71,,$AE993), INDEX($AO$67:$AU$71,,$AD993), 1 / ($AV$67:$AV$71*BO993 + (1-$AV$67:$AV$71)*BK993), N($AK$67:$AK$71&gt;$AI993)),
SUMPRODUCT(INDEX($AL$57:$AN$66,,$AE993), INDEX($AO$57:$AU$66,,$AD993), 1 / ($AW$57:$AW$66*BO993 + (1-$AW$57:$AW$66)*BK993), N($AK$57:$AK$66&gt;$AI993))
) / 1000</f>
        <v>0</v>
      </c>
      <c r="BQ993" s="250">
        <f t="shared" si="855"/>
        <v>20</v>
      </c>
      <c r="BR993" s="237">
        <f t="shared" si="834"/>
        <v>33</v>
      </c>
      <c r="BS993" s="253">
        <f t="shared" si="835"/>
        <v>4.8487499999999999</v>
      </c>
      <c r="BT993" s="253" cm="1">
        <f t="array" ref="BT993">$BC993 * IF($AD993&lt;=2,
SUMPRODUCT(INDEX($AL$62:$AN$66,,$AE993), INDEX($AO$62:$AU$66,,$AD993), 1 / ($AV$62:$AV$66*BS993 + (1-$AV$62:$AV$66)*BO993), N($AK$62:$AK$66&gt;$AI993)),
SUMPRODUCT(INDEX($AL$47:$AN$56,,$AE993), INDEX($AO$47:$AU$56,,$AD993), 1 / ($AW$47:$AW$56*BS993 + (1-$AW$47:$AW$56)*BO993), N($AK$47:$AK$56&gt;$AI993))
) / 1000</f>
        <v>0</v>
      </c>
      <c r="BU993" s="253" cm="1">
        <f t="array" ref="BU993">$BC993 * IF($AD993&lt;=2,
SUMPRODUCT(INDEX($AL$23:$AN$61,,$AE993), INDEX($AO$23:$AU$61,,$AD993), 1 / ($AV$23:$AV$61*BS993), N($AK$23:$AK$61&gt;$AI993)),
SUMPRODUCT(INDEX($AL$23:$AN$46,,$AE993), INDEX($AO$23:$AU$46,,$AD993), 1 / ($AW$23:$AW$46*BS993), N($AK$23:$AK$46&gt;$AI993))
) / 1000</f>
        <v>0</v>
      </c>
      <c r="BV993" s="237">
        <f t="shared" si="836"/>
        <v>0</v>
      </c>
      <c r="BW993" s="210"/>
      <c r="BX993" s="237">
        <f t="shared" si="837"/>
        <v>0</v>
      </c>
      <c r="BY993" s="236">
        <v>35</v>
      </c>
      <c r="BZ993" s="237">
        <f t="shared" si="838"/>
        <v>48</v>
      </c>
      <c r="CA993" s="253">
        <f t="shared" si="839"/>
        <v>3.0748170731707316</v>
      </c>
      <c r="CB993" s="253" cm="1">
        <f t="array" ref="CB993">$BC993 * SUMPRODUCT(INDEX($AL$77:$AN$82,,$AE993),INDEX($AO$77:$AU$82,,$AD993), N($AK$77:$AK$82&gt;$AI993)) / CA993 / 1000</f>
        <v>0</v>
      </c>
      <c r="CC993" s="250">
        <f t="shared" si="856"/>
        <v>30</v>
      </c>
      <c r="CD993" s="237">
        <f t="shared" si="840"/>
        <v>43</v>
      </c>
      <c r="CE993" s="253">
        <f t="shared" si="841"/>
        <v>3.5018750000000001</v>
      </c>
      <c r="CF993" s="253" cm="1">
        <f t="array" ref="CF993">$BC993 * IF($AD993&lt;=2,
SUMPRODUCT(INDEX($AL$72:$AN$76,,$AE993), INDEX($AO$72:$AU$76,,$AD993), 1 / ($AV$72:$AV$76*CE993 + (1-$AV$72:$AV$76)*CA993), N($AK$72:$AK$76&gt;$AI993)),
SUMPRODUCT(INDEX($AL$67:$AN$76,,$AE993), INDEX($AO$67:$AU$76,,$AD993), 1 / ($AW$67:$AW$76*CE993 + (1-$AW$67:$AW$76)*CA993), N($AK$67:$AK$76&gt;$AI993))
) / 1000</f>
        <v>0</v>
      </c>
      <c r="CG993" s="250">
        <f t="shared" si="857"/>
        <v>25</v>
      </c>
      <c r="CH993" s="237">
        <f t="shared" si="842"/>
        <v>38</v>
      </c>
      <c r="CI993" s="253">
        <f t="shared" si="843"/>
        <v>4.0666935483870965</v>
      </c>
      <c r="CJ993" s="253" cm="1">
        <f t="array" ref="CJ993">$BC993 * IF($AD993&lt;=2,
SUMPRODUCT(INDEX($AL$67:$AN$71,,$AE993), INDEX($AO$67:$AU$71,,$AD993), 1 / ($AV$67:$AV$71*CI993 + (1-$AV$67:$AV$71)*CE993), N($AK$67:$AK$71&gt;$AI993)),
SUMPRODUCT(INDEX($AL$57:$AN$66,,$AE993), INDEX($AO$57:$AU$66,,$AD993), 1 / ($AW$57:$AW$66*CI993 + (1-$AW$57:$AW$66)*CE993), N($AK$57:$AK$66&gt;$AI993))
) / 1000</f>
        <v>0</v>
      </c>
      <c r="CK993" s="250">
        <f t="shared" si="858"/>
        <v>20</v>
      </c>
      <c r="CL993" s="237">
        <f t="shared" si="844"/>
        <v>33</v>
      </c>
      <c r="CM993" s="253">
        <f t="shared" si="845"/>
        <v>4.8487499999999999</v>
      </c>
      <c r="CN993" s="253" cm="1">
        <f t="array" ref="CN993">$BC993 * IF($AD993&lt;=2,
SUMPRODUCT(INDEX($AL$62:$AN$66,,$AE993), INDEX($AO$62:$AU$66,,$AD993), 1 / ($AV$62:$AV$66*CM993 + (1-$AV$62:$AV$66)*CI993), N($AK$62:$AK$66&gt;$AI993)),
SUMPRODUCT(INDEX($AL$47:$AN$56,,$AE993), INDEX($AO$47:$AU$56,,$AD993), 1 / ($AW$47:$AW$56*CM993 + (1-$AW$47:$AW$56)*CI993), N($AK$47:$AK$56&gt;$AI993))
) / 1000</f>
        <v>0</v>
      </c>
      <c r="CO993" s="253" cm="1">
        <f t="array" ref="CO993">$BC993 * IF($AD993&lt;=2,
SUMPRODUCT(INDEX($AL$23:$AN$61,,$AE993), INDEX($AO$23:$AU$61,,$AD993), 1 / ($AV$23:$AV$61*CM993), N($AK$23:$AK$61&gt;$AI993)),
SUMPRODUCT(INDEX($AL$23:$AN$46,,$AE993), INDEX($AO$23:$AU$46,,$AD993), 1 / ($AW$23:$AW$46*CM993), N($AK$23:$AK$46&gt;$AI993))
) / 1000</f>
        <v>0</v>
      </c>
      <c r="CP993" s="237">
        <f t="shared" si="846"/>
        <v>0</v>
      </c>
      <c r="CQ993" s="210"/>
    </row>
    <row r="994" spans="1:95" s="76" customFormat="1" ht="14.25" customHeight="1" x14ac:dyDescent="0.2">
      <c r="A994" s="238" t="b">
        <f t="shared" si="850"/>
        <v>0</v>
      </c>
      <c r="B994" s="239">
        <v>972</v>
      </c>
      <c r="C994" s="258"/>
      <c r="D994" s="258"/>
      <c r="E994" s="240"/>
      <c r="F994" s="241" t="str">
        <f>IF(ISBLANK(E994), "", VLOOKUP(E994, Z!$A$2:$C$4127, 3, FALSE))</f>
        <v/>
      </c>
      <c r="G994" s="242"/>
      <c r="H994" s="242"/>
      <c r="I994" s="243"/>
      <c r="J994" s="244"/>
      <c r="K994" s="259"/>
      <c r="L994" s="260"/>
      <c r="M994" s="247" t="str" cm="1">
        <f t="array" ref="M994">IF($K994&gt;0, INDEX(Clean,1+AG994,$C$1), "")</f>
        <v/>
      </c>
      <c r="N994" s="245"/>
      <c r="O994" s="245"/>
      <c r="P994" s="246"/>
      <c r="Q994" s="248">
        <f t="shared" si="823"/>
        <v>0</v>
      </c>
      <c r="R994" s="247" t="str" cm="1">
        <f t="array" ref="R994">IF($K994&gt;0, INDEX(Clean,1+AH994,$C$1), "")</f>
        <v/>
      </c>
      <c r="S994" s="245"/>
      <c r="T994" s="245"/>
      <c r="U994" s="246"/>
      <c r="V994" s="248">
        <f t="shared" si="824"/>
        <v>0</v>
      </c>
      <c r="W994" s="261"/>
      <c r="X994" s="258"/>
      <c r="Y994" s="240"/>
      <c r="Z994" s="241" t="str">
        <f>IF(ISBLANK(Y994), "", VLOOKUP(Y994, Z!$A$2:$C$4127, 3, FALSE))</f>
        <v/>
      </c>
      <c r="AA994" s="262"/>
      <c r="AB994" s="249">
        <f t="shared" si="859"/>
        <v>0</v>
      </c>
      <c r="AC994" s="210"/>
      <c r="AD994" s="236">
        <f t="shared" si="847"/>
        <v>1</v>
      </c>
      <c r="AE994" s="236">
        <f t="shared" si="848"/>
        <v>1</v>
      </c>
      <c r="AF994" s="236">
        <f t="shared" si="849"/>
        <v>0</v>
      </c>
      <c r="AG994" s="236">
        <v>1</v>
      </c>
      <c r="AH994" s="236">
        <v>0</v>
      </c>
      <c r="AI994" s="236">
        <f t="shared" si="825"/>
        <v>-100</v>
      </c>
      <c r="AJ994" s="210"/>
      <c r="AK994" s="254"/>
      <c r="AL994" s="254"/>
      <c r="AM994" s="255"/>
      <c r="AN994" s="255"/>
      <c r="AO994" s="255"/>
      <c r="AP994" s="255"/>
      <c r="AQ994" s="255"/>
      <c r="AR994" s="255"/>
      <c r="AS994" s="255"/>
      <c r="AT994" s="255"/>
      <c r="AU994" s="255"/>
      <c r="AV994" s="255"/>
      <c r="AW994" s="255"/>
      <c r="AX994" s="210"/>
      <c r="AY994" s="236" cm="1">
        <f t="array" ref="AY994">INDEX(Use, $AD994, 4)</f>
        <v>7</v>
      </c>
      <c r="AZ994" s="236">
        <f t="shared" si="826"/>
        <v>32</v>
      </c>
      <c r="BA994" s="236">
        <f t="shared" si="851"/>
        <v>13</v>
      </c>
      <c r="BB994" s="236">
        <f t="shared" si="852"/>
        <v>0</v>
      </c>
      <c r="BC994" s="252" cm="1">
        <f t="array" ref="BC994">K994/IF($L994&gt;0, INDEX($AO$23:$AU$77, $L994+20, $AD994), 1)</f>
        <v>0</v>
      </c>
      <c r="BD994" s="237">
        <f t="shared" si="827"/>
        <v>0</v>
      </c>
      <c r="BE994" s="236">
        <v>35</v>
      </c>
      <c r="BF994" s="237">
        <f t="shared" si="828"/>
        <v>52.55</v>
      </c>
      <c r="BG994" s="253">
        <f t="shared" si="829"/>
        <v>2.7676728869374316</v>
      </c>
      <c r="BH994" s="253" cm="1">
        <f t="array" ref="BH994">$BC994 * SUMPRODUCT(INDEX($AL$77:$AN$82,,$AE994),INDEX($AO$77:$AU$82,,$AD994), N($AK$77:$AK$82&gt;$AI994)) / BG994 / 1000</f>
        <v>0</v>
      </c>
      <c r="BI994" s="250">
        <f t="shared" si="853"/>
        <v>30</v>
      </c>
      <c r="BJ994" s="237">
        <f t="shared" si="830"/>
        <v>46.033333333333331</v>
      </c>
      <c r="BK994" s="253">
        <f t="shared" si="831"/>
        <v>3.2297395388556791</v>
      </c>
      <c r="BL994" s="253" cm="1">
        <f t="array" ref="BL994">$BC994 * IF($AD994&lt;=2,
SUMPRODUCT(INDEX($AL$72:$AN$76,,$AE994), INDEX($AO$72:$AU$76,,$AD994), 1 / ($AV$72:$AV$76*BK994 + (1-$AV$72:$AV$76)*BG994), N($AK$72:$AK$76&gt;$AI994)),
SUMPRODUCT(INDEX($AL$67:$AN$76,,$AE994), INDEX($AO$67:$AU$76,,$AD994), 1 / ($AW$67:$AW$76*BK994 + (1-$AW$67:$AW$76)*BG994), N($AK$67:$AK$76&gt;$AI994))
) / 1000</f>
        <v>0</v>
      </c>
      <c r="BM994" s="250">
        <f t="shared" si="854"/>
        <v>25</v>
      </c>
      <c r="BN994" s="237">
        <f t="shared" si="832"/>
        <v>39.516666666666666</v>
      </c>
      <c r="BO994" s="253">
        <f t="shared" si="833"/>
        <v>3.877011788826243</v>
      </c>
      <c r="BP994" s="253" cm="1">
        <f t="array" ref="BP994">$BC994 * IF($AD994&lt;=2,
SUMPRODUCT(INDEX($AL$67:$AN$71,,$AE994), INDEX($AO$67:$AU$71,,$AD994), 1 / ($AV$67:$AV$71*BO994 + (1-$AV$67:$AV$71)*BK994), N($AK$67:$AK$71&gt;$AI994)),
SUMPRODUCT(INDEX($AL$57:$AN$66,,$AE994), INDEX($AO$57:$AU$66,,$AD994), 1 / ($AW$57:$AW$66*BO994 + (1-$AW$57:$AW$66)*BK994), N($AK$57:$AK$66&gt;$AI994))
) / 1000</f>
        <v>0</v>
      </c>
      <c r="BQ994" s="250">
        <f t="shared" si="855"/>
        <v>20</v>
      </c>
      <c r="BR994" s="237">
        <f t="shared" si="834"/>
        <v>33</v>
      </c>
      <c r="BS994" s="253">
        <f t="shared" si="835"/>
        <v>4.8487499999999999</v>
      </c>
      <c r="BT994" s="253" cm="1">
        <f t="array" ref="BT994">$BC994 * IF($AD994&lt;=2,
SUMPRODUCT(INDEX($AL$62:$AN$66,,$AE994), INDEX($AO$62:$AU$66,,$AD994), 1 / ($AV$62:$AV$66*BS994 + (1-$AV$62:$AV$66)*BO994), N($AK$62:$AK$66&gt;$AI994)),
SUMPRODUCT(INDEX($AL$47:$AN$56,,$AE994), INDEX($AO$47:$AU$56,,$AD994), 1 / ($AW$47:$AW$56*BS994 + (1-$AW$47:$AW$56)*BO994), N($AK$47:$AK$56&gt;$AI994))
) / 1000</f>
        <v>0</v>
      </c>
      <c r="BU994" s="253" cm="1">
        <f t="array" ref="BU994">$BC994 * IF($AD994&lt;=2,
SUMPRODUCT(INDEX($AL$23:$AN$61,,$AE994), INDEX($AO$23:$AU$61,,$AD994), 1 / ($AV$23:$AV$61*BS994), N($AK$23:$AK$61&gt;$AI994)),
SUMPRODUCT(INDEX($AL$23:$AN$46,,$AE994), INDEX($AO$23:$AU$46,,$AD994), 1 / ($AW$23:$AW$46*BS994), N($AK$23:$AK$46&gt;$AI994))
) / 1000</f>
        <v>0</v>
      </c>
      <c r="BV994" s="237">
        <f t="shared" si="836"/>
        <v>0</v>
      </c>
      <c r="BW994" s="210"/>
      <c r="BX994" s="237">
        <f t="shared" si="837"/>
        <v>0</v>
      </c>
      <c r="BY994" s="236">
        <v>35</v>
      </c>
      <c r="BZ994" s="237">
        <f t="shared" si="838"/>
        <v>48</v>
      </c>
      <c r="CA994" s="253">
        <f t="shared" si="839"/>
        <v>3.0748170731707316</v>
      </c>
      <c r="CB994" s="253" cm="1">
        <f t="array" ref="CB994">$BC994 * SUMPRODUCT(INDEX($AL$77:$AN$82,,$AE994),INDEX($AO$77:$AU$82,,$AD994), N($AK$77:$AK$82&gt;$AI994)) / CA994 / 1000</f>
        <v>0</v>
      </c>
      <c r="CC994" s="250">
        <f t="shared" si="856"/>
        <v>30</v>
      </c>
      <c r="CD994" s="237">
        <f t="shared" si="840"/>
        <v>43</v>
      </c>
      <c r="CE994" s="253">
        <f t="shared" si="841"/>
        <v>3.5018750000000001</v>
      </c>
      <c r="CF994" s="253" cm="1">
        <f t="array" ref="CF994">$BC994 * IF($AD994&lt;=2,
SUMPRODUCT(INDEX($AL$72:$AN$76,,$AE994), INDEX($AO$72:$AU$76,,$AD994), 1 / ($AV$72:$AV$76*CE994 + (1-$AV$72:$AV$76)*CA994), N($AK$72:$AK$76&gt;$AI994)),
SUMPRODUCT(INDEX($AL$67:$AN$76,,$AE994), INDEX($AO$67:$AU$76,,$AD994), 1 / ($AW$67:$AW$76*CE994 + (1-$AW$67:$AW$76)*CA994), N($AK$67:$AK$76&gt;$AI994))
) / 1000</f>
        <v>0</v>
      </c>
      <c r="CG994" s="250">
        <f t="shared" si="857"/>
        <v>25</v>
      </c>
      <c r="CH994" s="237">
        <f t="shared" si="842"/>
        <v>38</v>
      </c>
      <c r="CI994" s="253">
        <f t="shared" si="843"/>
        <v>4.0666935483870965</v>
      </c>
      <c r="CJ994" s="253" cm="1">
        <f t="array" ref="CJ994">$BC994 * IF($AD994&lt;=2,
SUMPRODUCT(INDEX($AL$67:$AN$71,,$AE994), INDEX($AO$67:$AU$71,,$AD994), 1 / ($AV$67:$AV$71*CI994 + (1-$AV$67:$AV$71)*CE994), N($AK$67:$AK$71&gt;$AI994)),
SUMPRODUCT(INDEX($AL$57:$AN$66,,$AE994), INDEX($AO$57:$AU$66,,$AD994), 1 / ($AW$57:$AW$66*CI994 + (1-$AW$57:$AW$66)*CE994), N($AK$57:$AK$66&gt;$AI994))
) / 1000</f>
        <v>0</v>
      </c>
      <c r="CK994" s="250">
        <f t="shared" si="858"/>
        <v>20</v>
      </c>
      <c r="CL994" s="237">
        <f t="shared" si="844"/>
        <v>33</v>
      </c>
      <c r="CM994" s="253">
        <f t="shared" si="845"/>
        <v>4.8487499999999999</v>
      </c>
      <c r="CN994" s="253" cm="1">
        <f t="array" ref="CN994">$BC994 * IF($AD994&lt;=2,
SUMPRODUCT(INDEX($AL$62:$AN$66,,$AE994), INDEX($AO$62:$AU$66,,$AD994), 1 / ($AV$62:$AV$66*CM994 + (1-$AV$62:$AV$66)*CI994), N($AK$62:$AK$66&gt;$AI994)),
SUMPRODUCT(INDEX($AL$47:$AN$56,,$AE994), INDEX($AO$47:$AU$56,,$AD994), 1 / ($AW$47:$AW$56*CM994 + (1-$AW$47:$AW$56)*CI994), N($AK$47:$AK$56&gt;$AI994))
) / 1000</f>
        <v>0</v>
      </c>
      <c r="CO994" s="253" cm="1">
        <f t="array" ref="CO994">$BC994 * IF($AD994&lt;=2,
SUMPRODUCT(INDEX($AL$23:$AN$61,,$AE994), INDEX($AO$23:$AU$61,,$AD994), 1 / ($AV$23:$AV$61*CM994), N($AK$23:$AK$61&gt;$AI994)),
SUMPRODUCT(INDEX($AL$23:$AN$46,,$AE994), INDEX($AO$23:$AU$46,,$AD994), 1 / ($AW$23:$AW$46*CM994), N($AK$23:$AK$46&gt;$AI994))
) / 1000</f>
        <v>0</v>
      </c>
      <c r="CP994" s="237">
        <f t="shared" si="846"/>
        <v>0</v>
      </c>
      <c r="CQ994" s="210"/>
    </row>
    <row r="995" spans="1:95" s="76" customFormat="1" ht="14.25" customHeight="1" x14ac:dyDescent="0.2">
      <c r="A995" s="238" t="b">
        <f t="shared" si="850"/>
        <v>0</v>
      </c>
      <c r="B995" s="239">
        <v>973</v>
      </c>
      <c r="C995" s="258"/>
      <c r="D995" s="258"/>
      <c r="E995" s="240"/>
      <c r="F995" s="241" t="str">
        <f>IF(ISBLANK(E995), "", VLOOKUP(E995, Z!$A$2:$C$4127, 3, FALSE))</f>
        <v/>
      </c>
      <c r="G995" s="242"/>
      <c r="H995" s="242"/>
      <c r="I995" s="243"/>
      <c r="J995" s="244"/>
      <c r="K995" s="259"/>
      <c r="L995" s="260"/>
      <c r="M995" s="247" t="str" cm="1">
        <f t="array" ref="M995">IF($K995&gt;0, INDEX(Clean,1+AG995,$C$1), "")</f>
        <v/>
      </c>
      <c r="N995" s="245"/>
      <c r="O995" s="245"/>
      <c r="P995" s="246"/>
      <c r="Q995" s="248">
        <f t="shared" si="823"/>
        <v>0</v>
      </c>
      <c r="R995" s="247" t="str" cm="1">
        <f t="array" ref="R995">IF($K995&gt;0, INDEX(Clean,1+AH995,$C$1), "")</f>
        <v/>
      </c>
      <c r="S995" s="245"/>
      <c r="T995" s="245"/>
      <c r="U995" s="246"/>
      <c r="V995" s="248">
        <f t="shared" si="824"/>
        <v>0</v>
      </c>
      <c r="W995" s="261"/>
      <c r="X995" s="258"/>
      <c r="Y995" s="240"/>
      <c r="Z995" s="241" t="str">
        <f>IF(ISBLANK(Y995), "", VLOOKUP(Y995, Z!$A$2:$C$4127, 3, FALSE))</f>
        <v/>
      </c>
      <c r="AA995" s="262"/>
      <c r="AB995" s="249">
        <f t="shared" si="859"/>
        <v>0</v>
      </c>
      <c r="AC995" s="210"/>
      <c r="AD995" s="236">
        <f t="shared" si="847"/>
        <v>1</v>
      </c>
      <c r="AE995" s="236">
        <f t="shared" si="848"/>
        <v>1</v>
      </c>
      <c r="AF995" s="236">
        <f t="shared" si="849"/>
        <v>0</v>
      </c>
      <c r="AG995" s="236">
        <v>1</v>
      </c>
      <c r="AH995" s="236">
        <v>0</v>
      </c>
      <c r="AI995" s="236">
        <f t="shared" si="825"/>
        <v>-100</v>
      </c>
      <c r="AJ995" s="210"/>
      <c r="AK995" s="254"/>
      <c r="AL995" s="254"/>
      <c r="AM995" s="255"/>
      <c r="AN995" s="255"/>
      <c r="AO995" s="255"/>
      <c r="AP995" s="255"/>
      <c r="AQ995" s="255"/>
      <c r="AR995" s="255"/>
      <c r="AS995" s="255"/>
      <c r="AT995" s="255"/>
      <c r="AU995" s="255"/>
      <c r="AV995" s="255"/>
      <c r="AW995" s="255"/>
      <c r="AX995" s="210"/>
      <c r="AY995" s="236" cm="1">
        <f t="array" ref="AY995">INDEX(Use, $AD995, 4)</f>
        <v>7</v>
      </c>
      <c r="AZ995" s="236">
        <f t="shared" si="826"/>
        <v>32</v>
      </c>
      <c r="BA995" s="236">
        <f t="shared" si="851"/>
        <v>13</v>
      </c>
      <c r="BB995" s="236">
        <f t="shared" si="852"/>
        <v>0</v>
      </c>
      <c r="BC995" s="252" cm="1">
        <f t="array" ref="BC995">K995/IF($L995&gt;0, INDEX($AO$23:$AU$77, $L995+20, $AD995), 1)</f>
        <v>0</v>
      </c>
      <c r="BD995" s="237">
        <f t="shared" si="827"/>
        <v>0</v>
      </c>
      <c r="BE995" s="236">
        <v>35</v>
      </c>
      <c r="BF995" s="237">
        <f t="shared" si="828"/>
        <v>52.55</v>
      </c>
      <c r="BG995" s="253">
        <f t="shared" si="829"/>
        <v>2.7676728869374316</v>
      </c>
      <c r="BH995" s="253" cm="1">
        <f t="array" ref="BH995">$BC995 * SUMPRODUCT(INDEX($AL$77:$AN$82,,$AE995),INDEX($AO$77:$AU$82,,$AD995), N($AK$77:$AK$82&gt;$AI995)) / BG995 / 1000</f>
        <v>0</v>
      </c>
      <c r="BI995" s="250">
        <f t="shared" si="853"/>
        <v>30</v>
      </c>
      <c r="BJ995" s="237">
        <f t="shared" si="830"/>
        <v>46.033333333333331</v>
      </c>
      <c r="BK995" s="253">
        <f t="shared" si="831"/>
        <v>3.2297395388556791</v>
      </c>
      <c r="BL995" s="253" cm="1">
        <f t="array" ref="BL995">$BC995 * IF($AD995&lt;=2,
SUMPRODUCT(INDEX($AL$72:$AN$76,,$AE995), INDEX($AO$72:$AU$76,,$AD995), 1 / ($AV$72:$AV$76*BK995 + (1-$AV$72:$AV$76)*BG995), N($AK$72:$AK$76&gt;$AI995)),
SUMPRODUCT(INDEX($AL$67:$AN$76,,$AE995), INDEX($AO$67:$AU$76,,$AD995), 1 / ($AW$67:$AW$76*BK995 + (1-$AW$67:$AW$76)*BG995), N($AK$67:$AK$76&gt;$AI995))
) / 1000</f>
        <v>0</v>
      </c>
      <c r="BM995" s="250">
        <f t="shared" si="854"/>
        <v>25</v>
      </c>
      <c r="BN995" s="237">
        <f t="shared" si="832"/>
        <v>39.516666666666666</v>
      </c>
      <c r="BO995" s="253">
        <f t="shared" si="833"/>
        <v>3.877011788826243</v>
      </c>
      <c r="BP995" s="253" cm="1">
        <f t="array" ref="BP995">$BC995 * IF($AD995&lt;=2,
SUMPRODUCT(INDEX($AL$67:$AN$71,,$AE995), INDEX($AO$67:$AU$71,,$AD995), 1 / ($AV$67:$AV$71*BO995 + (1-$AV$67:$AV$71)*BK995), N($AK$67:$AK$71&gt;$AI995)),
SUMPRODUCT(INDEX($AL$57:$AN$66,,$AE995), INDEX($AO$57:$AU$66,,$AD995), 1 / ($AW$57:$AW$66*BO995 + (1-$AW$57:$AW$66)*BK995), N($AK$57:$AK$66&gt;$AI995))
) / 1000</f>
        <v>0</v>
      </c>
      <c r="BQ995" s="250">
        <f t="shared" si="855"/>
        <v>20</v>
      </c>
      <c r="BR995" s="237">
        <f t="shared" si="834"/>
        <v>33</v>
      </c>
      <c r="BS995" s="253">
        <f t="shared" si="835"/>
        <v>4.8487499999999999</v>
      </c>
      <c r="BT995" s="253" cm="1">
        <f t="array" ref="BT995">$BC995 * IF($AD995&lt;=2,
SUMPRODUCT(INDEX($AL$62:$AN$66,,$AE995), INDEX($AO$62:$AU$66,,$AD995), 1 / ($AV$62:$AV$66*BS995 + (1-$AV$62:$AV$66)*BO995), N($AK$62:$AK$66&gt;$AI995)),
SUMPRODUCT(INDEX($AL$47:$AN$56,,$AE995), INDEX($AO$47:$AU$56,,$AD995), 1 / ($AW$47:$AW$56*BS995 + (1-$AW$47:$AW$56)*BO995), N($AK$47:$AK$56&gt;$AI995))
) / 1000</f>
        <v>0</v>
      </c>
      <c r="BU995" s="253" cm="1">
        <f t="array" ref="BU995">$BC995 * IF($AD995&lt;=2,
SUMPRODUCT(INDEX($AL$23:$AN$61,,$AE995), INDEX($AO$23:$AU$61,,$AD995), 1 / ($AV$23:$AV$61*BS995), N($AK$23:$AK$61&gt;$AI995)),
SUMPRODUCT(INDEX($AL$23:$AN$46,,$AE995), INDEX($AO$23:$AU$46,,$AD995), 1 / ($AW$23:$AW$46*BS995), N($AK$23:$AK$46&gt;$AI995))
) / 1000</f>
        <v>0</v>
      </c>
      <c r="BV995" s="237">
        <f t="shared" si="836"/>
        <v>0</v>
      </c>
      <c r="BW995" s="210"/>
      <c r="BX995" s="237">
        <f t="shared" si="837"/>
        <v>0</v>
      </c>
      <c r="BY995" s="236">
        <v>35</v>
      </c>
      <c r="BZ995" s="237">
        <f t="shared" si="838"/>
        <v>48</v>
      </c>
      <c r="CA995" s="253">
        <f t="shared" si="839"/>
        <v>3.0748170731707316</v>
      </c>
      <c r="CB995" s="253" cm="1">
        <f t="array" ref="CB995">$BC995 * SUMPRODUCT(INDEX($AL$77:$AN$82,,$AE995),INDEX($AO$77:$AU$82,,$AD995), N($AK$77:$AK$82&gt;$AI995)) / CA995 / 1000</f>
        <v>0</v>
      </c>
      <c r="CC995" s="250">
        <f t="shared" si="856"/>
        <v>30</v>
      </c>
      <c r="CD995" s="237">
        <f t="shared" si="840"/>
        <v>43</v>
      </c>
      <c r="CE995" s="253">
        <f t="shared" si="841"/>
        <v>3.5018750000000001</v>
      </c>
      <c r="CF995" s="253" cm="1">
        <f t="array" ref="CF995">$BC995 * IF($AD995&lt;=2,
SUMPRODUCT(INDEX($AL$72:$AN$76,,$AE995), INDEX($AO$72:$AU$76,,$AD995), 1 / ($AV$72:$AV$76*CE995 + (1-$AV$72:$AV$76)*CA995), N($AK$72:$AK$76&gt;$AI995)),
SUMPRODUCT(INDEX($AL$67:$AN$76,,$AE995), INDEX($AO$67:$AU$76,,$AD995), 1 / ($AW$67:$AW$76*CE995 + (1-$AW$67:$AW$76)*CA995), N($AK$67:$AK$76&gt;$AI995))
) / 1000</f>
        <v>0</v>
      </c>
      <c r="CG995" s="250">
        <f t="shared" si="857"/>
        <v>25</v>
      </c>
      <c r="CH995" s="237">
        <f t="shared" si="842"/>
        <v>38</v>
      </c>
      <c r="CI995" s="253">
        <f t="shared" si="843"/>
        <v>4.0666935483870965</v>
      </c>
      <c r="CJ995" s="253" cm="1">
        <f t="array" ref="CJ995">$BC995 * IF($AD995&lt;=2,
SUMPRODUCT(INDEX($AL$67:$AN$71,,$AE995), INDEX($AO$67:$AU$71,,$AD995), 1 / ($AV$67:$AV$71*CI995 + (1-$AV$67:$AV$71)*CE995), N($AK$67:$AK$71&gt;$AI995)),
SUMPRODUCT(INDEX($AL$57:$AN$66,,$AE995), INDEX($AO$57:$AU$66,,$AD995), 1 / ($AW$57:$AW$66*CI995 + (1-$AW$57:$AW$66)*CE995), N($AK$57:$AK$66&gt;$AI995))
) / 1000</f>
        <v>0</v>
      </c>
      <c r="CK995" s="250">
        <f t="shared" si="858"/>
        <v>20</v>
      </c>
      <c r="CL995" s="237">
        <f t="shared" si="844"/>
        <v>33</v>
      </c>
      <c r="CM995" s="253">
        <f t="shared" si="845"/>
        <v>4.8487499999999999</v>
      </c>
      <c r="CN995" s="253" cm="1">
        <f t="array" ref="CN995">$BC995 * IF($AD995&lt;=2,
SUMPRODUCT(INDEX($AL$62:$AN$66,,$AE995), INDEX($AO$62:$AU$66,,$AD995), 1 / ($AV$62:$AV$66*CM995 + (1-$AV$62:$AV$66)*CI995), N($AK$62:$AK$66&gt;$AI995)),
SUMPRODUCT(INDEX($AL$47:$AN$56,,$AE995), INDEX($AO$47:$AU$56,,$AD995), 1 / ($AW$47:$AW$56*CM995 + (1-$AW$47:$AW$56)*CI995), N($AK$47:$AK$56&gt;$AI995))
) / 1000</f>
        <v>0</v>
      </c>
      <c r="CO995" s="253" cm="1">
        <f t="array" ref="CO995">$BC995 * IF($AD995&lt;=2,
SUMPRODUCT(INDEX($AL$23:$AN$61,,$AE995), INDEX($AO$23:$AU$61,,$AD995), 1 / ($AV$23:$AV$61*CM995), N($AK$23:$AK$61&gt;$AI995)),
SUMPRODUCT(INDEX($AL$23:$AN$46,,$AE995), INDEX($AO$23:$AU$46,,$AD995), 1 / ($AW$23:$AW$46*CM995), N($AK$23:$AK$46&gt;$AI995))
) / 1000</f>
        <v>0</v>
      </c>
      <c r="CP995" s="237">
        <f t="shared" si="846"/>
        <v>0</v>
      </c>
      <c r="CQ995" s="210"/>
    </row>
    <row r="996" spans="1:95" s="76" customFormat="1" ht="14.25" customHeight="1" x14ac:dyDescent="0.2">
      <c r="A996" s="238" t="b">
        <f t="shared" si="850"/>
        <v>0</v>
      </c>
      <c r="B996" s="239">
        <v>974</v>
      </c>
      <c r="C996" s="258"/>
      <c r="D996" s="258"/>
      <c r="E996" s="240"/>
      <c r="F996" s="241" t="str">
        <f>IF(ISBLANK(E996), "", VLOOKUP(E996, Z!$A$2:$C$4127, 3, FALSE))</f>
        <v/>
      </c>
      <c r="G996" s="242"/>
      <c r="H996" s="242"/>
      <c r="I996" s="243"/>
      <c r="J996" s="244"/>
      <c r="K996" s="259"/>
      <c r="L996" s="260"/>
      <c r="M996" s="247" t="str" cm="1">
        <f t="array" ref="M996">IF($K996&gt;0, INDEX(Clean,1+AG996,$C$1), "")</f>
        <v/>
      </c>
      <c r="N996" s="245"/>
      <c r="O996" s="245"/>
      <c r="P996" s="246"/>
      <c r="Q996" s="248">
        <f t="shared" si="823"/>
        <v>0</v>
      </c>
      <c r="R996" s="247" t="str" cm="1">
        <f t="array" ref="R996">IF($K996&gt;0, INDEX(Clean,1+AH996,$C$1), "")</f>
        <v/>
      </c>
      <c r="S996" s="245"/>
      <c r="T996" s="245"/>
      <c r="U996" s="246"/>
      <c r="V996" s="248">
        <f t="shared" si="824"/>
        <v>0</v>
      </c>
      <c r="W996" s="261"/>
      <c r="X996" s="258"/>
      <c r="Y996" s="240"/>
      <c r="Z996" s="241" t="str">
        <f>IF(ISBLANK(Y996), "", VLOOKUP(Y996, Z!$A$2:$C$4127, 3, FALSE))</f>
        <v/>
      </c>
      <c r="AA996" s="262"/>
      <c r="AB996" s="249">
        <f t="shared" si="859"/>
        <v>0</v>
      </c>
      <c r="AC996" s="210"/>
      <c r="AD996" s="236">
        <f t="shared" si="847"/>
        <v>1</v>
      </c>
      <c r="AE996" s="236">
        <f t="shared" si="848"/>
        <v>1</v>
      </c>
      <c r="AF996" s="236">
        <f t="shared" si="849"/>
        <v>0</v>
      </c>
      <c r="AG996" s="236">
        <v>1</v>
      </c>
      <c r="AH996" s="236">
        <v>0</v>
      </c>
      <c r="AI996" s="236">
        <f t="shared" si="825"/>
        <v>-100</v>
      </c>
      <c r="AJ996" s="210"/>
      <c r="AK996" s="254"/>
      <c r="AL996" s="254"/>
      <c r="AM996" s="255"/>
      <c r="AN996" s="255"/>
      <c r="AO996" s="255"/>
      <c r="AP996" s="255"/>
      <c r="AQ996" s="255"/>
      <c r="AR996" s="255"/>
      <c r="AS996" s="255"/>
      <c r="AT996" s="255"/>
      <c r="AU996" s="255"/>
      <c r="AV996" s="255"/>
      <c r="AW996" s="255"/>
      <c r="AX996" s="210"/>
      <c r="AY996" s="236" cm="1">
        <f t="array" ref="AY996">INDEX(Use, $AD996, 4)</f>
        <v>7</v>
      </c>
      <c r="AZ996" s="236">
        <f t="shared" si="826"/>
        <v>32</v>
      </c>
      <c r="BA996" s="236">
        <f t="shared" si="851"/>
        <v>13</v>
      </c>
      <c r="BB996" s="236">
        <f t="shared" si="852"/>
        <v>0</v>
      </c>
      <c r="BC996" s="252" cm="1">
        <f t="array" ref="BC996">K996/IF($L996&gt;0, INDEX($AO$23:$AU$77, $L996+20, $AD996), 1)</f>
        <v>0</v>
      </c>
      <c r="BD996" s="237">
        <f t="shared" si="827"/>
        <v>0</v>
      </c>
      <c r="BE996" s="236">
        <v>35</v>
      </c>
      <c r="BF996" s="237">
        <f t="shared" si="828"/>
        <v>52.55</v>
      </c>
      <c r="BG996" s="253">
        <f t="shared" si="829"/>
        <v>2.7676728869374316</v>
      </c>
      <c r="BH996" s="253" cm="1">
        <f t="array" ref="BH996">$BC996 * SUMPRODUCT(INDEX($AL$77:$AN$82,,$AE996),INDEX($AO$77:$AU$82,,$AD996), N($AK$77:$AK$82&gt;$AI996)) / BG996 / 1000</f>
        <v>0</v>
      </c>
      <c r="BI996" s="250">
        <f t="shared" si="853"/>
        <v>30</v>
      </c>
      <c r="BJ996" s="237">
        <f t="shared" si="830"/>
        <v>46.033333333333331</v>
      </c>
      <c r="BK996" s="253">
        <f t="shared" si="831"/>
        <v>3.2297395388556791</v>
      </c>
      <c r="BL996" s="253" cm="1">
        <f t="array" ref="BL996">$BC996 * IF($AD996&lt;=2,
SUMPRODUCT(INDEX($AL$72:$AN$76,,$AE996), INDEX($AO$72:$AU$76,,$AD996), 1 / ($AV$72:$AV$76*BK996 + (1-$AV$72:$AV$76)*BG996), N($AK$72:$AK$76&gt;$AI996)),
SUMPRODUCT(INDEX($AL$67:$AN$76,,$AE996), INDEX($AO$67:$AU$76,,$AD996), 1 / ($AW$67:$AW$76*BK996 + (1-$AW$67:$AW$76)*BG996), N($AK$67:$AK$76&gt;$AI996))
) / 1000</f>
        <v>0</v>
      </c>
      <c r="BM996" s="250">
        <f t="shared" si="854"/>
        <v>25</v>
      </c>
      <c r="BN996" s="237">
        <f t="shared" si="832"/>
        <v>39.516666666666666</v>
      </c>
      <c r="BO996" s="253">
        <f t="shared" si="833"/>
        <v>3.877011788826243</v>
      </c>
      <c r="BP996" s="253" cm="1">
        <f t="array" ref="BP996">$BC996 * IF($AD996&lt;=2,
SUMPRODUCT(INDEX($AL$67:$AN$71,,$AE996), INDEX($AO$67:$AU$71,,$AD996), 1 / ($AV$67:$AV$71*BO996 + (1-$AV$67:$AV$71)*BK996), N($AK$67:$AK$71&gt;$AI996)),
SUMPRODUCT(INDEX($AL$57:$AN$66,,$AE996), INDEX($AO$57:$AU$66,,$AD996), 1 / ($AW$57:$AW$66*BO996 + (1-$AW$57:$AW$66)*BK996), N($AK$57:$AK$66&gt;$AI996))
) / 1000</f>
        <v>0</v>
      </c>
      <c r="BQ996" s="250">
        <f t="shared" si="855"/>
        <v>20</v>
      </c>
      <c r="BR996" s="237">
        <f t="shared" si="834"/>
        <v>33</v>
      </c>
      <c r="BS996" s="253">
        <f t="shared" si="835"/>
        <v>4.8487499999999999</v>
      </c>
      <c r="BT996" s="253" cm="1">
        <f t="array" ref="BT996">$BC996 * IF($AD996&lt;=2,
SUMPRODUCT(INDEX($AL$62:$AN$66,,$AE996), INDEX($AO$62:$AU$66,,$AD996), 1 / ($AV$62:$AV$66*BS996 + (1-$AV$62:$AV$66)*BO996), N($AK$62:$AK$66&gt;$AI996)),
SUMPRODUCT(INDEX($AL$47:$AN$56,,$AE996), INDEX($AO$47:$AU$56,,$AD996), 1 / ($AW$47:$AW$56*BS996 + (1-$AW$47:$AW$56)*BO996), N($AK$47:$AK$56&gt;$AI996))
) / 1000</f>
        <v>0</v>
      </c>
      <c r="BU996" s="253" cm="1">
        <f t="array" ref="BU996">$BC996 * IF($AD996&lt;=2,
SUMPRODUCT(INDEX($AL$23:$AN$61,,$AE996), INDEX($AO$23:$AU$61,,$AD996), 1 / ($AV$23:$AV$61*BS996), N($AK$23:$AK$61&gt;$AI996)),
SUMPRODUCT(INDEX($AL$23:$AN$46,,$AE996), INDEX($AO$23:$AU$46,,$AD996), 1 / ($AW$23:$AW$46*BS996), N($AK$23:$AK$46&gt;$AI996))
) / 1000</f>
        <v>0</v>
      </c>
      <c r="BV996" s="237">
        <f t="shared" si="836"/>
        <v>0</v>
      </c>
      <c r="BW996" s="210"/>
      <c r="BX996" s="237">
        <f t="shared" si="837"/>
        <v>0</v>
      </c>
      <c r="BY996" s="236">
        <v>35</v>
      </c>
      <c r="BZ996" s="237">
        <f t="shared" si="838"/>
        <v>48</v>
      </c>
      <c r="CA996" s="253">
        <f t="shared" si="839"/>
        <v>3.0748170731707316</v>
      </c>
      <c r="CB996" s="253" cm="1">
        <f t="array" ref="CB996">$BC996 * SUMPRODUCT(INDEX($AL$77:$AN$82,,$AE996),INDEX($AO$77:$AU$82,,$AD996), N($AK$77:$AK$82&gt;$AI996)) / CA996 / 1000</f>
        <v>0</v>
      </c>
      <c r="CC996" s="250">
        <f t="shared" si="856"/>
        <v>30</v>
      </c>
      <c r="CD996" s="237">
        <f t="shared" si="840"/>
        <v>43</v>
      </c>
      <c r="CE996" s="253">
        <f t="shared" si="841"/>
        <v>3.5018750000000001</v>
      </c>
      <c r="CF996" s="253" cm="1">
        <f t="array" ref="CF996">$BC996 * IF($AD996&lt;=2,
SUMPRODUCT(INDEX($AL$72:$AN$76,,$AE996), INDEX($AO$72:$AU$76,,$AD996), 1 / ($AV$72:$AV$76*CE996 + (1-$AV$72:$AV$76)*CA996), N($AK$72:$AK$76&gt;$AI996)),
SUMPRODUCT(INDEX($AL$67:$AN$76,,$AE996), INDEX($AO$67:$AU$76,,$AD996), 1 / ($AW$67:$AW$76*CE996 + (1-$AW$67:$AW$76)*CA996), N($AK$67:$AK$76&gt;$AI996))
) / 1000</f>
        <v>0</v>
      </c>
      <c r="CG996" s="250">
        <f t="shared" si="857"/>
        <v>25</v>
      </c>
      <c r="CH996" s="237">
        <f t="shared" si="842"/>
        <v>38</v>
      </c>
      <c r="CI996" s="253">
        <f t="shared" si="843"/>
        <v>4.0666935483870965</v>
      </c>
      <c r="CJ996" s="253" cm="1">
        <f t="array" ref="CJ996">$BC996 * IF($AD996&lt;=2,
SUMPRODUCT(INDEX($AL$67:$AN$71,,$AE996), INDEX($AO$67:$AU$71,,$AD996), 1 / ($AV$67:$AV$71*CI996 + (1-$AV$67:$AV$71)*CE996), N($AK$67:$AK$71&gt;$AI996)),
SUMPRODUCT(INDEX($AL$57:$AN$66,,$AE996), INDEX($AO$57:$AU$66,,$AD996), 1 / ($AW$57:$AW$66*CI996 + (1-$AW$57:$AW$66)*CE996), N($AK$57:$AK$66&gt;$AI996))
) / 1000</f>
        <v>0</v>
      </c>
      <c r="CK996" s="250">
        <f t="shared" si="858"/>
        <v>20</v>
      </c>
      <c r="CL996" s="237">
        <f t="shared" si="844"/>
        <v>33</v>
      </c>
      <c r="CM996" s="253">
        <f t="shared" si="845"/>
        <v>4.8487499999999999</v>
      </c>
      <c r="CN996" s="253" cm="1">
        <f t="array" ref="CN996">$BC996 * IF($AD996&lt;=2,
SUMPRODUCT(INDEX($AL$62:$AN$66,,$AE996), INDEX($AO$62:$AU$66,,$AD996), 1 / ($AV$62:$AV$66*CM996 + (1-$AV$62:$AV$66)*CI996), N($AK$62:$AK$66&gt;$AI996)),
SUMPRODUCT(INDEX($AL$47:$AN$56,,$AE996), INDEX($AO$47:$AU$56,,$AD996), 1 / ($AW$47:$AW$56*CM996 + (1-$AW$47:$AW$56)*CI996), N($AK$47:$AK$56&gt;$AI996))
) / 1000</f>
        <v>0</v>
      </c>
      <c r="CO996" s="253" cm="1">
        <f t="array" ref="CO996">$BC996 * IF($AD996&lt;=2,
SUMPRODUCT(INDEX($AL$23:$AN$61,,$AE996), INDEX($AO$23:$AU$61,,$AD996), 1 / ($AV$23:$AV$61*CM996), N($AK$23:$AK$61&gt;$AI996)),
SUMPRODUCT(INDEX($AL$23:$AN$46,,$AE996), INDEX($AO$23:$AU$46,,$AD996), 1 / ($AW$23:$AW$46*CM996), N($AK$23:$AK$46&gt;$AI996))
) / 1000</f>
        <v>0</v>
      </c>
      <c r="CP996" s="237">
        <f t="shared" si="846"/>
        <v>0</v>
      </c>
      <c r="CQ996" s="210"/>
    </row>
    <row r="997" spans="1:95" s="76" customFormat="1" ht="14.25" customHeight="1" x14ac:dyDescent="0.2">
      <c r="A997" s="238" t="b">
        <f t="shared" si="850"/>
        <v>0</v>
      </c>
      <c r="B997" s="239">
        <v>975</v>
      </c>
      <c r="C997" s="258"/>
      <c r="D997" s="258"/>
      <c r="E997" s="240"/>
      <c r="F997" s="241" t="str">
        <f>IF(ISBLANK(E997), "", VLOOKUP(E997, Z!$A$2:$C$4127, 3, FALSE))</f>
        <v/>
      </c>
      <c r="G997" s="242"/>
      <c r="H997" s="242"/>
      <c r="I997" s="243"/>
      <c r="J997" s="244"/>
      <c r="K997" s="259"/>
      <c r="L997" s="260"/>
      <c r="M997" s="247" t="str" cm="1">
        <f t="array" ref="M997">IF($K997&gt;0, INDEX(Clean,1+AG997,$C$1), "")</f>
        <v/>
      </c>
      <c r="N997" s="245"/>
      <c r="O997" s="245"/>
      <c r="P997" s="246"/>
      <c r="Q997" s="248">
        <f t="shared" si="823"/>
        <v>0</v>
      </c>
      <c r="R997" s="247" t="str" cm="1">
        <f t="array" ref="R997">IF($K997&gt;0, INDEX(Clean,1+AH997,$C$1), "")</f>
        <v/>
      </c>
      <c r="S997" s="245"/>
      <c r="T997" s="245"/>
      <c r="U997" s="246"/>
      <c r="V997" s="248">
        <f t="shared" si="824"/>
        <v>0</v>
      </c>
      <c r="W997" s="261"/>
      <c r="X997" s="258"/>
      <c r="Y997" s="240"/>
      <c r="Z997" s="241" t="str">
        <f>IF(ISBLANK(Y997), "", VLOOKUP(Y997, Z!$A$2:$C$4127, 3, FALSE))</f>
        <v/>
      </c>
      <c r="AA997" s="262"/>
      <c r="AB997" s="249">
        <f t="shared" si="859"/>
        <v>0</v>
      </c>
      <c r="AC997" s="210"/>
      <c r="AD997" s="236">
        <f t="shared" si="847"/>
        <v>1</v>
      </c>
      <c r="AE997" s="236">
        <f t="shared" si="848"/>
        <v>1</v>
      </c>
      <c r="AF997" s="236">
        <f t="shared" si="849"/>
        <v>0</v>
      </c>
      <c r="AG997" s="236">
        <v>1</v>
      </c>
      <c r="AH997" s="236">
        <v>0</v>
      </c>
      <c r="AI997" s="236">
        <f t="shared" si="825"/>
        <v>-100</v>
      </c>
      <c r="AJ997" s="210"/>
      <c r="AK997" s="254"/>
      <c r="AL997" s="254"/>
      <c r="AM997" s="255"/>
      <c r="AN997" s="255"/>
      <c r="AO997" s="255"/>
      <c r="AP997" s="255"/>
      <c r="AQ997" s="255"/>
      <c r="AR997" s="255"/>
      <c r="AS997" s="255"/>
      <c r="AT997" s="255"/>
      <c r="AU997" s="255"/>
      <c r="AV997" s="255"/>
      <c r="AW997" s="255"/>
      <c r="AX997" s="210"/>
      <c r="AY997" s="236" cm="1">
        <f t="array" ref="AY997">INDEX(Use, $AD997, 4)</f>
        <v>7</v>
      </c>
      <c r="AZ997" s="236">
        <f t="shared" si="826"/>
        <v>32</v>
      </c>
      <c r="BA997" s="236">
        <f t="shared" si="851"/>
        <v>13</v>
      </c>
      <c r="BB997" s="236">
        <f t="shared" si="852"/>
        <v>0</v>
      </c>
      <c r="BC997" s="252" cm="1">
        <f t="array" ref="BC997">K997/IF($L997&gt;0, INDEX($AO$23:$AU$77, $L997+20, $AD997), 1)</f>
        <v>0</v>
      </c>
      <c r="BD997" s="237">
        <f t="shared" si="827"/>
        <v>0</v>
      </c>
      <c r="BE997" s="236">
        <v>35</v>
      </c>
      <c r="BF997" s="237">
        <f t="shared" si="828"/>
        <v>52.55</v>
      </c>
      <c r="BG997" s="253">
        <f t="shared" si="829"/>
        <v>2.7676728869374316</v>
      </c>
      <c r="BH997" s="253" cm="1">
        <f t="array" ref="BH997">$BC997 * SUMPRODUCT(INDEX($AL$77:$AN$82,,$AE997),INDEX($AO$77:$AU$82,,$AD997), N($AK$77:$AK$82&gt;$AI997)) / BG997 / 1000</f>
        <v>0</v>
      </c>
      <c r="BI997" s="250">
        <f t="shared" si="853"/>
        <v>30</v>
      </c>
      <c r="BJ997" s="237">
        <f t="shared" si="830"/>
        <v>46.033333333333331</v>
      </c>
      <c r="BK997" s="253">
        <f t="shared" si="831"/>
        <v>3.2297395388556791</v>
      </c>
      <c r="BL997" s="253" cm="1">
        <f t="array" ref="BL997">$BC997 * IF($AD997&lt;=2,
SUMPRODUCT(INDEX($AL$72:$AN$76,,$AE997), INDEX($AO$72:$AU$76,,$AD997), 1 / ($AV$72:$AV$76*BK997 + (1-$AV$72:$AV$76)*BG997), N($AK$72:$AK$76&gt;$AI997)),
SUMPRODUCT(INDEX($AL$67:$AN$76,,$AE997), INDEX($AO$67:$AU$76,,$AD997), 1 / ($AW$67:$AW$76*BK997 + (1-$AW$67:$AW$76)*BG997), N($AK$67:$AK$76&gt;$AI997))
) / 1000</f>
        <v>0</v>
      </c>
      <c r="BM997" s="250">
        <f t="shared" si="854"/>
        <v>25</v>
      </c>
      <c r="BN997" s="237">
        <f t="shared" si="832"/>
        <v>39.516666666666666</v>
      </c>
      <c r="BO997" s="253">
        <f t="shared" si="833"/>
        <v>3.877011788826243</v>
      </c>
      <c r="BP997" s="253" cm="1">
        <f t="array" ref="BP997">$BC997 * IF($AD997&lt;=2,
SUMPRODUCT(INDEX($AL$67:$AN$71,,$AE997), INDEX($AO$67:$AU$71,,$AD997), 1 / ($AV$67:$AV$71*BO997 + (1-$AV$67:$AV$71)*BK997), N($AK$67:$AK$71&gt;$AI997)),
SUMPRODUCT(INDEX($AL$57:$AN$66,,$AE997), INDEX($AO$57:$AU$66,,$AD997), 1 / ($AW$57:$AW$66*BO997 + (1-$AW$57:$AW$66)*BK997), N($AK$57:$AK$66&gt;$AI997))
) / 1000</f>
        <v>0</v>
      </c>
      <c r="BQ997" s="250">
        <f t="shared" si="855"/>
        <v>20</v>
      </c>
      <c r="BR997" s="237">
        <f t="shared" si="834"/>
        <v>33</v>
      </c>
      <c r="BS997" s="253">
        <f t="shared" si="835"/>
        <v>4.8487499999999999</v>
      </c>
      <c r="BT997" s="253" cm="1">
        <f t="array" ref="BT997">$BC997 * IF($AD997&lt;=2,
SUMPRODUCT(INDEX($AL$62:$AN$66,,$AE997), INDEX($AO$62:$AU$66,,$AD997), 1 / ($AV$62:$AV$66*BS997 + (1-$AV$62:$AV$66)*BO997), N($AK$62:$AK$66&gt;$AI997)),
SUMPRODUCT(INDEX($AL$47:$AN$56,,$AE997), INDEX($AO$47:$AU$56,,$AD997), 1 / ($AW$47:$AW$56*BS997 + (1-$AW$47:$AW$56)*BO997), N($AK$47:$AK$56&gt;$AI997))
) / 1000</f>
        <v>0</v>
      </c>
      <c r="BU997" s="253" cm="1">
        <f t="array" ref="BU997">$BC997 * IF($AD997&lt;=2,
SUMPRODUCT(INDEX($AL$23:$AN$61,,$AE997), INDEX($AO$23:$AU$61,,$AD997), 1 / ($AV$23:$AV$61*BS997), N($AK$23:$AK$61&gt;$AI997)),
SUMPRODUCT(INDEX($AL$23:$AN$46,,$AE997), INDEX($AO$23:$AU$46,,$AD997), 1 / ($AW$23:$AW$46*BS997), N($AK$23:$AK$46&gt;$AI997))
) / 1000</f>
        <v>0</v>
      </c>
      <c r="BV997" s="237">
        <f t="shared" si="836"/>
        <v>0</v>
      </c>
      <c r="BW997" s="210"/>
      <c r="BX997" s="237">
        <f t="shared" si="837"/>
        <v>0</v>
      </c>
      <c r="BY997" s="236">
        <v>35</v>
      </c>
      <c r="BZ997" s="237">
        <f t="shared" si="838"/>
        <v>48</v>
      </c>
      <c r="CA997" s="253">
        <f t="shared" si="839"/>
        <v>3.0748170731707316</v>
      </c>
      <c r="CB997" s="253" cm="1">
        <f t="array" ref="CB997">$BC997 * SUMPRODUCT(INDEX($AL$77:$AN$82,,$AE997),INDEX($AO$77:$AU$82,,$AD997), N($AK$77:$AK$82&gt;$AI997)) / CA997 / 1000</f>
        <v>0</v>
      </c>
      <c r="CC997" s="250">
        <f t="shared" si="856"/>
        <v>30</v>
      </c>
      <c r="CD997" s="237">
        <f t="shared" si="840"/>
        <v>43</v>
      </c>
      <c r="CE997" s="253">
        <f t="shared" si="841"/>
        <v>3.5018750000000001</v>
      </c>
      <c r="CF997" s="253" cm="1">
        <f t="array" ref="CF997">$BC997 * IF($AD997&lt;=2,
SUMPRODUCT(INDEX($AL$72:$AN$76,,$AE997), INDEX($AO$72:$AU$76,,$AD997), 1 / ($AV$72:$AV$76*CE997 + (1-$AV$72:$AV$76)*CA997), N($AK$72:$AK$76&gt;$AI997)),
SUMPRODUCT(INDEX($AL$67:$AN$76,,$AE997), INDEX($AO$67:$AU$76,,$AD997), 1 / ($AW$67:$AW$76*CE997 + (1-$AW$67:$AW$76)*CA997), N($AK$67:$AK$76&gt;$AI997))
) / 1000</f>
        <v>0</v>
      </c>
      <c r="CG997" s="250">
        <f t="shared" si="857"/>
        <v>25</v>
      </c>
      <c r="CH997" s="237">
        <f t="shared" si="842"/>
        <v>38</v>
      </c>
      <c r="CI997" s="253">
        <f t="shared" si="843"/>
        <v>4.0666935483870965</v>
      </c>
      <c r="CJ997" s="253" cm="1">
        <f t="array" ref="CJ997">$BC997 * IF($AD997&lt;=2,
SUMPRODUCT(INDEX($AL$67:$AN$71,,$AE997), INDEX($AO$67:$AU$71,,$AD997), 1 / ($AV$67:$AV$71*CI997 + (1-$AV$67:$AV$71)*CE997), N($AK$67:$AK$71&gt;$AI997)),
SUMPRODUCT(INDEX($AL$57:$AN$66,,$AE997), INDEX($AO$57:$AU$66,,$AD997), 1 / ($AW$57:$AW$66*CI997 + (1-$AW$57:$AW$66)*CE997), N($AK$57:$AK$66&gt;$AI997))
) / 1000</f>
        <v>0</v>
      </c>
      <c r="CK997" s="250">
        <f t="shared" si="858"/>
        <v>20</v>
      </c>
      <c r="CL997" s="237">
        <f t="shared" si="844"/>
        <v>33</v>
      </c>
      <c r="CM997" s="253">
        <f t="shared" si="845"/>
        <v>4.8487499999999999</v>
      </c>
      <c r="CN997" s="253" cm="1">
        <f t="array" ref="CN997">$BC997 * IF($AD997&lt;=2,
SUMPRODUCT(INDEX($AL$62:$AN$66,,$AE997), INDEX($AO$62:$AU$66,,$AD997), 1 / ($AV$62:$AV$66*CM997 + (1-$AV$62:$AV$66)*CI997), N($AK$62:$AK$66&gt;$AI997)),
SUMPRODUCT(INDEX($AL$47:$AN$56,,$AE997), INDEX($AO$47:$AU$56,,$AD997), 1 / ($AW$47:$AW$56*CM997 + (1-$AW$47:$AW$56)*CI997), N($AK$47:$AK$56&gt;$AI997))
) / 1000</f>
        <v>0</v>
      </c>
      <c r="CO997" s="253" cm="1">
        <f t="array" ref="CO997">$BC997 * IF($AD997&lt;=2,
SUMPRODUCT(INDEX($AL$23:$AN$61,,$AE997), INDEX($AO$23:$AU$61,,$AD997), 1 / ($AV$23:$AV$61*CM997), N($AK$23:$AK$61&gt;$AI997)),
SUMPRODUCT(INDEX($AL$23:$AN$46,,$AE997), INDEX($AO$23:$AU$46,,$AD997), 1 / ($AW$23:$AW$46*CM997), N($AK$23:$AK$46&gt;$AI997))
) / 1000</f>
        <v>0</v>
      </c>
      <c r="CP997" s="237">
        <f t="shared" si="846"/>
        <v>0</v>
      </c>
      <c r="CQ997" s="210"/>
    </row>
    <row r="998" spans="1:95" s="76" customFormat="1" ht="14.25" customHeight="1" x14ac:dyDescent="0.2">
      <c r="A998" s="238" t="b">
        <f t="shared" si="850"/>
        <v>0</v>
      </c>
      <c r="B998" s="239">
        <v>976</v>
      </c>
      <c r="C998" s="258"/>
      <c r="D998" s="258"/>
      <c r="E998" s="240"/>
      <c r="F998" s="241" t="str">
        <f>IF(ISBLANK(E998), "", VLOOKUP(E998, Z!$A$2:$C$4127, 3, FALSE))</f>
        <v/>
      </c>
      <c r="G998" s="242"/>
      <c r="H998" s="242"/>
      <c r="I998" s="243"/>
      <c r="J998" s="244"/>
      <c r="K998" s="259"/>
      <c r="L998" s="260"/>
      <c r="M998" s="247" t="str" cm="1">
        <f t="array" ref="M998">IF($K998&gt;0, INDEX(Clean,1+AG998,$C$1), "")</f>
        <v/>
      </c>
      <c r="N998" s="245"/>
      <c r="O998" s="245"/>
      <c r="P998" s="246"/>
      <c r="Q998" s="248">
        <f t="shared" si="823"/>
        <v>0</v>
      </c>
      <c r="R998" s="247" t="str" cm="1">
        <f t="array" ref="R998">IF($K998&gt;0, INDEX(Clean,1+AH998,$C$1), "")</f>
        <v/>
      </c>
      <c r="S998" s="245"/>
      <c r="T998" s="245"/>
      <c r="U998" s="246"/>
      <c r="V998" s="248">
        <f t="shared" si="824"/>
        <v>0</v>
      </c>
      <c r="W998" s="261"/>
      <c r="X998" s="258"/>
      <c r="Y998" s="240"/>
      <c r="Z998" s="241" t="str">
        <f>IF(ISBLANK(Y998), "", VLOOKUP(Y998, Z!$A$2:$C$4127, 3, FALSE))</f>
        <v/>
      </c>
      <c r="AA998" s="262"/>
      <c r="AB998" s="249">
        <f t="shared" si="859"/>
        <v>0</v>
      </c>
      <c r="AC998" s="210"/>
      <c r="AD998" s="236">
        <f t="shared" si="847"/>
        <v>1</v>
      </c>
      <c r="AE998" s="236">
        <f t="shared" si="848"/>
        <v>1</v>
      </c>
      <c r="AF998" s="236">
        <f t="shared" si="849"/>
        <v>0</v>
      </c>
      <c r="AG998" s="236">
        <v>1</v>
      </c>
      <c r="AH998" s="236">
        <v>0</v>
      </c>
      <c r="AI998" s="236">
        <f t="shared" si="825"/>
        <v>-100</v>
      </c>
      <c r="AJ998" s="210"/>
      <c r="AK998" s="254"/>
      <c r="AL998" s="254"/>
      <c r="AM998" s="255"/>
      <c r="AN998" s="255"/>
      <c r="AO998" s="255"/>
      <c r="AP998" s="255"/>
      <c r="AQ998" s="255"/>
      <c r="AR998" s="255"/>
      <c r="AS998" s="255"/>
      <c r="AT998" s="255"/>
      <c r="AU998" s="255"/>
      <c r="AV998" s="255"/>
      <c r="AW998" s="255"/>
      <c r="AX998" s="210"/>
      <c r="AY998" s="236" cm="1">
        <f t="array" ref="AY998">INDEX(Use, $AD998, 4)</f>
        <v>7</v>
      </c>
      <c r="AZ998" s="236">
        <f t="shared" si="826"/>
        <v>32</v>
      </c>
      <c r="BA998" s="236">
        <f t="shared" si="851"/>
        <v>13</v>
      </c>
      <c r="BB998" s="236">
        <f t="shared" si="852"/>
        <v>0</v>
      </c>
      <c r="BC998" s="252" cm="1">
        <f t="array" ref="BC998">K998/IF($L998&gt;0, INDEX($AO$23:$AU$77, $L998+20, $AD998), 1)</f>
        <v>0</v>
      </c>
      <c r="BD998" s="237">
        <f t="shared" si="827"/>
        <v>0</v>
      </c>
      <c r="BE998" s="236">
        <v>35</v>
      </c>
      <c r="BF998" s="237">
        <f t="shared" si="828"/>
        <v>52.55</v>
      </c>
      <c r="BG998" s="253">
        <f t="shared" si="829"/>
        <v>2.7676728869374316</v>
      </c>
      <c r="BH998" s="253" cm="1">
        <f t="array" ref="BH998">$BC998 * SUMPRODUCT(INDEX($AL$77:$AN$82,,$AE998),INDEX($AO$77:$AU$82,,$AD998), N($AK$77:$AK$82&gt;$AI998)) / BG998 / 1000</f>
        <v>0</v>
      </c>
      <c r="BI998" s="250">
        <f t="shared" si="853"/>
        <v>30</v>
      </c>
      <c r="BJ998" s="237">
        <f t="shared" si="830"/>
        <v>46.033333333333331</v>
      </c>
      <c r="BK998" s="253">
        <f t="shared" si="831"/>
        <v>3.2297395388556791</v>
      </c>
      <c r="BL998" s="253" cm="1">
        <f t="array" ref="BL998">$BC998 * IF($AD998&lt;=2,
SUMPRODUCT(INDEX($AL$72:$AN$76,,$AE998), INDEX($AO$72:$AU$76,,$AD998), 1 / ($AV$72:$AV$76*BK998 + (1-$AV$72:$AV$76)*BG998), N($AK$72:$AK$76&gt;$AI998)),
SUMPRODUCT(INDEX($AL$67:$AN$76,,$AE998), INDEX($AO$67:$AU$76,,$AD998), 1 / ($AW$67:$AW$76*BK998 + (1-$AW$67:$AW$76)*BG998), N($AK$67:$AK$76&gt;$AI998))
) / 1000</f>
        <v>0</v>
      </c>
      <c r="BM998" s="250">
        <f t="shared" si="854"/>
        <v>25</v>
      </c>
      <c r="BN998" s="237">
        <f t="shared" si="832"/>
        <v>39.516666666666666</v>
      </c>
      <c r="BO998" s="253">
        <f t="shared" si="833"/>
        <v>3.877011788826243</v>
      </c>
      <c r="BP998" s="253" cm="1">
        <f t="array" ref="BP998">$BC998 * IF($AD998&lt;=2,
SUMPRODUCT(INDEX($AL$67:$AN$71,,$AE998), INDEX($AO$67:$AU$71,,$AD998), 1 / ($AV$67:$AV$71*BO998 + (1-$AV$67:$AV$71)*BK998), N($AK$67:$AK$71&gt;$AI998)),
SUMPRODUCT(INDEX($AL$57:$AN$66,,$AE998), INDEX($AO$57:$AU$66,,$AD998), 1 / ($AW$57:$AW$66*BO998 + (1-$AW$57:$AW$66)*BK998), N($AK$57:$AK$66&gt;$AI998))
) / 1000</f>
        <v>0</v>
      </c>
      <c r="BQ998" s="250">
        <f t="shared" si="855"/>
        <v>20</v>
      </c>
      <c r="BR998" s="237">
        <f t="shared" si="834"/>
        <v>33</v>
      </c>
      <c r="BS998" s="253">
        <f t="shared" si="835"/>
        <v>4.8487499999999999</v>
      </c>
      <c r="BT998" s="253" cm="1">
        <f t="array" ref="BT998">$BC998 * IF($AD998&lt;=2,
SUMPRODUCT(INDEX($AL$62:$AN$66,,$AE998), INDEX($AO$62:$AU$66,,$AD998), 1 / ($AV$62:$AV$66*BS998 + (1-$AV$62:$AV$66)*BO998), N($AK$62:$AK$66&gt;$AI998)),
SUMPRODUCT(INDEX($AL$47:$AN$56,,$AE998), INDEX($AO$47:$AU$56,,$AD998), 1 / ($AW$47:$AW$56*BS998 + (1-$AW$47:$AW$56)*BO998), N($AK$47:$AK$56&gt;$AI998))
) / 1000</f>
        <v>0</v>
      </c>
      <c r="BU998" s="253" cm="1">
        <f t="array" ref="BU998">$BC998 * IF($AD998&lt;=2,
SUMPRODUCT(INDEX($AL$23:$AN$61,,$AE998), INDEX($AO$23:$AU$61,,$AD998), 1 / ($AV$23:$AV$61*BS998), N($AK$23:$AK$61&gt;$AI998)),
SUMPRODUCT(INDEX($AL$23:$AN$46,,$AE998), INDEX($AO$23:$AU$46,,$AD998), 1 / ($AW$23:$AW$46*BS998), N($AK$23:$AK$46&gt;$AI998))
) / 1000</f>
        <v>0</v>
      </c>
      <c r="BV998" s="237">
        <f t="shared" si="836"/>
        <v>0</v>
      </c>
      <c r="BW998" s="210"/>
      <c r="BX998" s="237">
        <f t="shared" si="837"/>
        <v>0</v>
      </c>
      <c r="BY998" s="236">
        <v>35</v>
      </c>
      <c r="BZ998" s="237">
        <f t="shared" si="838"/>
        <v>48</v>
      </c>
      <c r="CA998" s="253">
        <f t="shared" si="839"/>
        <v>3.0748170731707316</v>
      </c>
      <c r="CB998" s="253" cm="1">
        <f t="array" ref="CB998">$BC998 * SUMPRODUCT(INDEX($AL$77:$AN$82,,$AE998),INDEX($AO$77:$AU$82,,$AD998), N($AK$77:$AK$82&gt;$AI998)) / CA998 / 1000</f>
        <v>0</v>
      </c>
      <c r="CC998" s="250">
        <f t="shared" si="856"/>
        <v>30</v>
      </c>
      <c r="CD998" s="237">
        <f t="shared" si="840"/>
        <v>43</v>
      </c>
      <c r="CE998" s="253">
        <f t="shared" si="841"/>
        <v>3.5018750000000001</v>
      </c>
      <c r="CF998" s="253" cm="1">
        <f t="array" ref="CF998">$BC998 * IF($AD998&lt;=2,
SUMPRODUCT(INDEX($AL$72:$AN$76,,$AE998), INDEX($AO$72:$AU$76,,$AD998), 1 / ($AV$72:$AV$76*CE998 + (1-$AV$72:$AV$76)*CA998), N($AK$72:$AK$76&gt;$AI998)),
SUMPRODUCT(INDEX($AL$67:$AN$76,,$AE998), INDEX($AO$67:$AU$76,,$AD998), 1 / ($AW$67:$AW$76*CE998 + (1-$AW$67:$AW$76)*CA998), N($AK$67:$AK$76&gt;$AI998))
) / 1000</f>
        <v>0</v>
      </c>
      <c r="CG998" s="250">
        <f t="shared" si="857"/>
        <v>25</v>
      </c>
      <c r="CH998" s="237">
        <f t="shared" si="842"/>
        <v>38</v>
      </c>
      <c r="CI998" s="253">
        <f t="shared" si="843"/>
        <v>4.0666935483870965</v>
      </c>
      <c r="CJ998" s="253" cm="1">
        <f t="array" ref="CJ998">$BC998 * IF($AD998&lt;=2,
SUMPRODUCT(INDEX($AL$67:$AN$71,,$AE998), INDEX($AO$67:$AU$71,,$AD998), 1 / ($AV$67:$AV$71*CI998 + (1-$AV$67:$AV$71)*CE998), N($AK$67:$AK$71&gt;$AI998)),
SUMPRODUCT(INDEX($AL$57:$AN$66,,$AE998), INDEX($AO$57:$AU$66,,$AD998), 1 / ($AW$57:$AW$66*CI998 + (1-$AW$57:$AW$66)*CE998), N($AK$57:$AK$66&gt;$AI998))
) / 1000</f>
        <v>0</v>
      </c>
      <c r="CK998" s="250">
        <f t="shared" si="858"/>
        <v>20</v>
      </c>
      <c r="CL998" s="237">
        <f t="shared" si="844"/>
        <v>33</v>
      </c>
      <c r="CM998" s="253">
        <f t="shared" si="845"/>
        <v>4.8487499999999999</v>
      </c>
      <c r="CN998" s="253" cm="1">
        <f t="array" ref="CN998">$BC998 * IF($AD998&lt;=2,
SUMPRODUCT(INDEX($AL$62:$AN$66,,$AE998), INDEX($AO$62:$AU$66,,$AD998), 1 / ($AV$62:$AV$66*CM998 + (1-$AV$62:$AV$66)*CI998), N($AK$62:$AK$66&gt;$AI998)),
SUMPRODUCT(INDEX($AL$47:$AN$56,,$AE998), INDEX($AO$47:$AU$56,,$AD998), 1 / ($AW$47:$AW$56*CM998 + (1-$AW$47:$AW$56)*CI998), N($AK$47:$AK$56&gt;$AI998))
) / 1000</f>
        <v>0</v>
      </c>
      <c r="CO998" s="253" cm="1">
        <f t="array" ref="CO998">$BC998 * IF($AD998&lt;=2,
SUMPRODUCT(INDEX($AL$23:$AN$61,,$AE998), INDEX($AO$23:$AU$61,,$AD998), 1 / ($AV$23:$AV$61*CM998), N($AK$23:$AK$61&gt;$AI998)),
SUMPRODUCT(INDEX($AL$23:$AN$46,,$AE998), INDEX($AO$23:$AU$46,,$AD998), 1 / ($AW$23:$AW$46*CM998), N($AK$23:$AK$46&gt;$AI998))
) / 1000</f>
        <v>0</v>
      </c>
      <c r="CP998" s="237">
        <f t="shared" si="846"/>
        <v>0</v>
      </c>
      <c r="CQ998" s="210"/>
    </row>
    <row r="999" spans="1:95" s="76" customFormat="1" ht="14.25" customHeight="1" x14ac:dyDescent="0.2">
      <c r="A999" s="238" t="b">
        <f t="shared" si="850"/>
        <v>0</v>
      </c>
      <c r="B999" s="239">
        <v>977</v>
      </c>
      <c r="C999" s="258"/>
      <c r="D999" s="258"/>
      <c r="E999" s="240"/>
      <c r="F999" s="241" t="str">
        <f>IF(ISBLANK(E999), "", VLOOKUP(E999, Z!$A$2:$C$4127, 3, FALSE))</f>
        <v/>
      </c>
      <c r="G999" s="242"/>
      <c r="H999" s="242"/>
      <c r="I999" s="243"/>
      <c r="J999" s="244"/>
      <c r="K999" s="259"/>
      <c r="L999" s="260"/>
      <c r="M999" s="247" t="str" cm="1">
        <f t="array" ref="M999">IF($K999&gt;0, INDEX(Clean,1+AG999,$C$1), "")</f>
        <v/>
      </c>
      <c r="N999" s="245"/>
      <c r="O999" s="245"/>
      <c r="P999" s="246"/>
      <c r="Q999" s="248">
        <f t="shared" si="823"/>
        <v>0</v>
      </c>
      <c r="R999" s="247" t="str" cm="1">
        <f t="array" ref="R999">IF($K999&gt;0, INDEX(Clean,1+AH999,$C$1), "")</f>
        <v/>
      </c>
      <c r="S999" s="245"/>
      <c r="T999" s="245"/>
      <c r="U999" s="246"/>
      <c r="V999" s="248">
        <f t="shared" si="824"/>
        <v>0</v>
      </c>
      <c r="W999" s="261"/>
      <c r="X999" s="258"/>
      <c r="Y999" s="240"/>
      <c r="Z999" s="241" t="str">
        <f>IF(ISBLANK(Y999), "", VLOOKUP(Y999, Z!$A$2:$C$4127, 3, FALSE))</f>
        <v/>
      </c>
      <c r="AA999" s="262"/>
      <c r="AB999" s="249">
        <f t="shared" si="859"/>
        <v>0</v>
      </c>
      <c r="AC999" s="210"/>
      <c r="AD999" s="236">
        <f t="shared" si="847"/>
        <v>1</v>
      </c>
      <c r="AE999" s="236">
        <f t="shared" si="848"/>
        <v>1</v>
      </c>
      <c r="AF999" s="236">
        <f t="shared" si="849"/>
        <v>0</v>
      </c>
      <c r="AG999" s="236">
        <v>1</v>
      </c>
      <c r="AH999" s="236">
        <v>0</v>
      </c>
      <c r="AI999" s="236">
        <f t="shared" si="825"/>
        <v>-100</v>
      </c>
      <c r="AJ999" s="210"/>
      <c r="AK999" s="254"/>
      <c r="AL999" s="254"/>
      <c r="AM999" s="255"/>
      <c r="AN999" s="255"/>
      <c r="AO999" s="255"/>
      <c r="AP999" s="255"/>
      <c r="AQ999" s="255"/>
      <c r="AR999" s="255"/>
      <c r="AS999" s="255"/>
      <c r="AT999" s="255"/>
      <c r="AU999" s="255"/>
      <c r="AV999" s="255"/>
      <c r="AW999" s="255"/>
      <c r="AX999" s="210"/>
      <c r="AY999" s="236" cm="1">
        <f t="array" ref="AY999">INDEX(Use, $AD999, 4)</f>
        <v>7</v>
      </c>
      <c r="AZ999" s="236">
        <f t="shared" si="826"/>
        <v>32</v>
      </c>
      <c r="BA999" s="236">
        <f t="shared" si="851"/>
        <v>13</v>
      </c>
      <c r="BB999" s="236">
        <f t="shared" si="852"/>
        <v>0</v>
      </c>
      <c r="BC999" s="252" cm="1">
        <f t="array" ref="BC999">K999/IF($L999&gt;0, INDEX($AO$23:$AU$77, $L999+20, $AD999), 1)</f>
        <v>0</v>
      </c>
      <c r="BD999" s="237">
        <f t="shared" si="827"/>
        <v>0</v>
      </c>
      <c r="BE999" s="236">
        <v>35</v>
      </c>
      <c r="BF999" s="237">
        <f t="shared" si="828"/>
        <v>52.55</v>
      </c>
      <c r="BG999" s="253">
        <f t="shared" si="829"/>
        <v>2.7676728869374316</v>
      </c>
      <c r="BH999" s="253" cm="1">
        <f t="array" ref="BH999">$BC999 * SUMPRODUCT(INDEX($AL$77:$AN$82,,$AE999),INDEX($AO$77:$AU$82,,$AD999), N($AK$77:$AK$82&gt;$AI999)) / BG999 / 1000</f>
        <v>0</v>
      </c>
      <c r="BI999" s="250">
        <f t="shared" si="853"/>
        <v>30</v>
      </c>
      <c r="BJ999" s="237">
        <f t="shared" si="830"/>
        <v>46.033333333333331</v>
      </c>
      <c r="BK999" s="253">
        <f t="shared" si="831"/>
        <v>3.2297395388556791</v>
      </c>
      <c r="BL999" s="253" cm="1">
        <f t="array" ref="BL999">$BC999 * IF($AD999&lt;=2,
SUMPRODUCT(INDEX($AL$72:$AN$76,,$AE999), INDEX($AO$72:$AU$76,,$AD999), 1 / ($AV$72:$AV$76*BK999 + (1-$AV$72:$AV$76)*BG999), N($AK$72:$AK$76&gt;$AI999)),
SUMPRODUCT(INDEX($AL$67:$AN$76,,$AE999), INDEX($AO$67:$AU$76,,$AD999), 1 / ($AW$67:$AW$76*BK999 + (1-$AW$67:$AW$76)*BG999), N($AK$67:$AK$76&gt;$AI999))
) / 1000</f>
        <v>0</v>
      </c>
      <c r="BM999" s="250">
        <f t="shared" si="854"/>
        <v>25</v>
      </c>
      <c r="BN999" s="237">
        <f t="shared" si="832"/>
        <v>39.516666666666666</v>
      </c>
      <c r="BO999" s="253">
        <f t="shared" si="833"/>
        <v>3.877011788826243</v>
      </c>
      <c r="BP999" s="253" cm="1">
        <f t="array" ref="BP999">$BC999 * IF($AD999&lt;=2,
SUMPRODUCT(INDEX($AL$67:$AN$71,,$AE999), INDEX($AO$67:$AU$71,,$AD999), 1 / ($AV$67:$AV$71*BO999 + (1-$AV$67:$AV$71)*BK999), N($AK$67:$AK$71&gt;$AI999)),
SUMPRODUCT(INDEX($AL$57:$AN$66,,$AE999), INDEX($AO$57:$AU$66,,$AD999), 1 / ($AW$57:$AW$66*BO999 + (1-$AW$57:$AW$66)*BK999), N($AK$57:$AK$66&gt;$AI999))
) / 1000</f>
        <v>0</v>
      </c>
      <c r="BQ999" s="250">
        <f t="shared" si="855"/>
        <v>20</v>
      </c>
      <c r="BR999" s="237">
        <f t="shared" si="834"/>
        <v>33</v>
      </c>
      <c r="BS999" s="253">
        <f t="shared" si="835"/>
        <v>4.8487499999999999</v>
      </c>
      <c r="BT999" s="253" cm="1">
        <f t="array" ref="BT999">$BC999 * IF($AD999&lt;=2,
SUMPRODUCT(INDEX($AL$62:$AN$66,,$AE999), INDEX($AO$62:$AU$66,,$AD999), 1 / ($AV$62:$AV$66*BS999 + (1-$AV$62:$AV$66)*BO999), N($AK$62:$AK$66&gt;$AI999)),
SUMPRODUCT(INDEX($AL$47:$AN$56,,$AE999), INDEX($AO$47:$AU$56,,$AD999), 1 / ($AW$47:$AW$56*BS999 + (1-$AW$47:$AW$56)*BO999), N($AK$47:$AK$56&gt;$AI999))
) / 1000</f>
        <v>0</v>
      </c>
      <c r="BU999" s="253" cm="1">
        <f t="array" ref="BU999">$BC999 * IF($AD999&lt;=2,
SUMPRODUCT(INDEX($AL$23:$AN$61,,$AE999), INDEX($AO$23:$AU$61,,$AD999), 1 / ($AV$23:$AV$61*BS999), N($AK$23:$AK$61&gt;$AI999)),
SUMPRODUCT(INDEX($AL$23:$AN$46,,$AE999), INDEX($AO$23:$AU$46,,$AD999), 1 / ($AW$23:$AW$46*BS999), N($AK$23:$AK$46&gt;$AI999))
) / 1000</f>
        <v>0</v>
      </c>
      <c r="BV999" s="237">
        <f t="shared" si="836"/>
        <v>0</v>
      </c>
      <c r="BW999" s="210"/>
      <c r="BX999" s="237">
        <f t="shared" si="837"/>
        <v>0</v>
      </c>
      <c r="BY999" s="236">
        <v>35</v>
      </c>
      <c r="BZ999" s="237">
        <f t="shared" si="838"/>
        <v>48</v>
      </c>
      <c r="CA999" s="253">
        <f t="shared" si="839"/>
        <v>3.0748170731707316</v>
      </c>
      <c r="CB999" s="253" cm="1">
        <f t="array" ref="CB999">$BC999 * SUMPRODUCT(INDEX($AL$77:$AN$82,,$AE999),INDEX($AO$77:$AU$82,,$AD999), N($AK$77:$AK$82&gt;$AI999)) / CA999 / 1000</f>
        <v>0</v>
      </c>
      <c r="CC999" s="250">
        <f t="shared" si="856"/>
        <v>30</v>
      </c>
      <c r="CD999" s="237">
        <f t="shared" si="840"/>
        <v>43</v>
      </c>
      <c r="CE999" s="253">
        <f t="shared" si="841"/>
        <v>3.5018750000000001</v>
      </c>
      <c r="CF999" s="253" cm="1">
        <f t="array" ref="CF999">$BC999 * IF($AD999&lt;=2,
SUMPRODUCT(INDEX($AL$72:$AN$76,,$AE999), INDEX($AO$72:$AU$76,,$AD999), 1 / ($AV$72:$AV$76*CE999 + (1-$AV$72:$AV$76)*CA999), N($AK$72:$AK$76&gt;$AI999)),
SUMPRODUCT(INDEX($AL$67:$AN$76,,$AE999), INDEX($AO$67:$AU$76,,$AD999), 1 / ($AW$67:$AW$76*CE999 + (1-$AW$67:$AW$76)*CA999), N($AK$67:$AK$76&gt;$AI999))
) / 1000</f>
        <v>0</v>
      </c>
      <c r="CG999" s="250">
        <f t="shared" si="857"/>
        <v>25</v>
      </c>
      <c r="CH999" s="237">
        <f t="shared" si="842"/>
        <v>38</v>
      </c>
      <c r="CI999" s="253">
        <f t="shared" si="843"/>
        <v>4.0666935483870965</v>
      </c>
      <c r="CJ999" s="253" cm="1">
        <f t="array" ref="CJ999">$BC999 * IF($AD999&lt;=2,
SUMPRODUCT(INDEX($AL$67:$AN$71,,$AE999), INDEX($AO$67:$AU$71,,$AD999), 1 / ($AV$67:$AV$71*CI999 + (1-$AV$67:$AV$71)*CE999), N($AK$67:$AK$71&gt;$AI999)),
SUMPRODUCT(INDEX($AL$57:$AN$66,,$AE999), INDEX($AO$57:$AU$66,,$AD999), 1 / ($AW$57:$AW$66*CI999 + (1-$AW$57:$AW$66)*CE999), N($AK$57:$AK$66&gt;$AI999))
) / 1000</f>
        <v>0</v>
      </c>
      <c r="CK999" s="250">
        <f t="shared" si="858"/>
        <v>20</v>
      </c>
      <c r="CL999" s="237">
        <f t="shared" si="844"/>
        <v>33</v>
      </c>
      <c r="CM999" s="253">
        <f t="shared" si="845"/>
        <v>4.8487499999999999</v>
      </c>
      <c r="CN999" s="253" cm="1">
        <f t="array" ref="CN999">$BC999 * IF($AD999&lt;=2,
SUMPRODUCT(INDEX($AL$62:$AN$66,,$AE999), INDEX($AO$62:$AU$66,,$AD999), 1 / ($AV$62:$AV$66*CM999 + (1-$AV$62:$AV$66)*CI999), N($AK$62:$AK$66&gt;$AI999)),
SUMPRODUCT(INDEX($AL$47:$AN$56,,$AE999), INDEX($AO$47:$AU$56,,$AD999), 1 / ($AW$47:$AW$56*CM999 + (1-$AW$47:$AW$56)*CI999), N($AK$47:$AK$56&gt;$AI999))
) / 1000</f>
        <v>0</v>
      </c>
      <c r="CO999" s="253" cm="1">
        <f t="array" ref="CO999">$BC999 * IF($AD999&lt;=2,
SUMPRODUCT(INDEX($AL$23:$AN$61,,$AE999), INDEX($AO$23:$AU$61,,$AD999), 1 / ($AV$23:$AV$61*CM999), N($AK$23:$AK$61&gt;$AI999)),
SUMPRODUCT(INDEX($AL$23:$AN$46,,$AE999), INDEX($AO$23:$AU$46,,$AD999), 1 / ($AW$23:$AW$46*CM999), N($AK$23:$AK$46&gt;$AI999))
) / 1000</f>
        <v>0</v>
      </c>
      <c r="CP999" s="237">
        <f t="shared" si="846"/>
        <v>0</v>
      </c>
      <c r="CQ999" s="210"/>
    </row>
    <row r="1000" spans="1:95" s="76" customFormat="1" ht="14.25" customHeight="1" x14ac:dyDescent="0.2">
      <c r="A1000" s="238" t="b">
        <f t="shared" si="850"/>
        <v>0</v>
      </c>
      <c r="B1000" s="239">
        <v>978</v>
      </c>
      <c r="C1000" s="258"/>
      <c r="D1000" s="258"/>
      <c r="E1000" s="240"/>
      <c r="F1000" s="241" t="str">
        <f>IF(ISBLANK(E1000), "", VLOOKUP(E1000, Z!$A$2:$C$4127, 3, FALSE))</f>
        <v/>
      </c>
      <c r="G1000" s="242"/>
      <c r="H1000" s="242"/>
      <c r="I1000" s="243"/>
      <c r="J1000" s="244"/>
      <c r="K1000" s="259"/>
      <c r="L1000" s="260"/>
      <c r="M1000" s="247" t="str" cm="1">
        <f t="array" ref="M1000">IF($K1000&gt;0, INDEX(Clean,1+AG1000,$C$1), "")</f>
        <v/>
      </c>
      <c r="N1000" s="245"/>
      <c r="O1000" s="245"/>
      <c r="P1000" s="246"/>
      <c r="Q1000" s="248">
        <f t="shared" si="823"/>
        <v>0</v>
      </c>
      <c r="R1000" s="247" t="str" cm="1">
        <f t="array" ref="R1000">IF($K1000&gt;0, INDEX(Clean,1+AH1000,$C$1), "")</f>
        <v/>
      </c>
      <c r="S1000" s="245"/>
      <c r="T1000" s="245"/>
      <c r="U1000" s="246"/>
      <c r="V1000" s="248">
        <f t="shared" si="824"/>
        <v>0</v>
      </c>
      <c r="W1000" s="261"/>
      <c r="X1000" s="258"/>
      <c r="Y1000" s="240"/>
      <c r="Z1000" s="241" t="str">
        <f>IF(ISBLANK(Y1000), "", VLOOKUP(Y1000, Z!$A$2:$C$4127, 3, FALSE))</f>
        <v/>
      </c>
      <c r="AA1000" s="262"/>
      <c r="AB1000" s="249">
        <f t="shared" si="859"/>
        <v>0</v>
      </c>
      <c r="AC1000" s="210"/>
      <c r="AD1000" s="236">
        <f t="shared" si="847"/>
        <v>1</v>
      </c>
      <c r="AE1000" s="236">
        <f t="shared" si="848"/>
        <v>1</v>
      </c>
      <c r="AF1000" s="236">
        <f t="shared" si="849"/>
        <v>0</v>
      </c>
      <c r="AG1000" s="236">
        <v>1</v>
      </c>
      <c r="AH1000" s="236">
        <v>0</v>
      </c>
      <c r="AI1000" s="236">
        <f t="shared" si="825"/>
        <v>-100</v>
      </c>
      <c r="AJ1000" s="210"/>
      <c r="AK1000" s="254"/>
      <c r="AL1000" s="254"/>
      <c r="AM1000" s="255"/>
      <c r="AN1000" s="255"/>
      <c r="AO1000" s="255"/>
      <c r="AP1000" s="255"/>
      <c r="AQ1000" s="255"/>
      <c r="AR1000" s="255"/>
      <c r="AS1000" s="255"/>
      <c r="AT1000" s="255"/>
      <c r="AU1000" s="255"/>
      <c r="AV1000" s="255"/>
      <c r="AW1000" s="255"/>
      <c r="AX1000" s="210"/>
      <c r="AY1000" s="236" cm="1">
        <f t="array" ref="AY1000">INDEX(Use, $AD1000, 4)</f>
        <v>7</v>
      </c>
      <c r="AZ1000" s="236">
        <f t="shared" si="826"/>
        <v>32</v>
      </c>
      <c r="BA1000" s="236">
        <f t="shared" si="851"/>
        <v>13</v>
      </c>
      <c r="BB1000" s="236">
        <f t="shared" si="852"/>
        <v>0</v>
      </c>
      <c r="BC1000" s="252" cm="1">
        <f t="array" ref="BC1000">K1000/IF($L1000&gt;0, INDEX($AO$23:$AU$77, $L1000+20, $AD1000), 1)</f>
        <v>0</v>
      </c>
      <c r="BD1000" s="237">
        <f t="shared" si="827"/>
        <v>0</v>
      </c>
      <c r="BE1000" s="236">
        <v>35</v>
      </c>
      <c r="BF1000" s="237">
        <f t="shared" si="828"/>
        <v>52.55</v>
      </c>
      <c r="BG1000" s="253">
        <f t="shared" si="829"/>
        <v>2.7676728869374316</v>
      </c>
      <c r="BH1000" s="253" cm="1">
        <f t="array" ref="BH1000">$BC1000 * SUMPRODUCT(INDEX($AL$77:$AN$82,,$AE1000),INDEX($AO$77:$AU$82,,$AD1000), N($AK$77:$AK$82&gt;$AI1000)) / BG1000 / 1000</f>
        <v>0</v>
      </c>
      <c r="BI1000" s="250">
        <f t="shared" si="853"/>
        <v>30</v>
      </c>
      <c r="BJ1000" s="237">
        <f t="shared" si="830"/>
        <v>46.033333333333331</v>
      </c>
      <c r="BK1000" s="253">
        <f t="shared" si="831"/>
        <v>3.2297395388556791</v>
      </c>
      <c r="BL1000" s="253" cm="1">
        <f t="array" ref="BL1000">$BC1000 * IF($AD1000&lt;=2,
SUMPRODUCT(INDEX($AL$72:$AN$76,,$AE1000), INDEX($AO$72:$AU$76,,$AD1000), 1 / ($AV$72:$AV$76*BK1000 + (1-$AV$72:$AV$76)*BG1000), N($AK$72:$AK$76&gt;$AI1000)),
SUMPRODUCT(INDEX($AL$67:$AN$76,,$AE1000), INDEX($AO$67:$AU$76,,$AD1000), 1 / ($AW$67:$AW$76*BK1000 + (1-$AW$67:$AW$76)*BG1000), N($AK$67:$AK$76&gt;$AI1000))
) / 1000</f>
        <v>0</v>
      </c>
      <c r="BM1000" s="250">
        <f t="shared" si="854"/>
        <v>25</v>
      </c>
      <c r="BN1000" s="237">
        <f t="shared" si="832"/>
        <v>39.516666666666666</v>
      </c>
      <c r="BO1000" s="253">
        <f t="shared" si="833"/>
        <v>3.877011788826243</v>
      </c>
      <c r="BP1000" s="253" cm="1">
        <f t="array" ref="BP1000">$BC1000 * IF($AD1000&lt;=2,
SUMPRODUCT(INDEX($AL$67:$AN$71,,$AE1000), INDEX($AO$67:$AU$71,,$AD1000), 1 / ($AV$67:$AV$71*BO1000 + (1-$AV$67:$AV$71)*BK1000), N($AK$67:$AK$71&gt;$AI1000)),
SUMPRODUCT(INDEX($AL$57:$AN$66,,$AE1000), INDEX($AO$57:$AU$66,,$AD1000), 1 / ($AW$57:$AW$66*BO1000 + (1-$AW$57:$AW$66)*BK1000), N($AK$57:$AK$66&gt;$AI1000))
) / 1000</f>
        <v>0</v>
      </c>
      <c r="BQ1000" s="250">
        <f t="shared" si="855"/>
        <v>20</v>
      </c>
      <c r="BR1000" s="237">
        <f t="shared" si="834"/>
        <v>33</v>
      </c>
      <c r="BS1000" s="253">
        <f t="shared" si="835"/>
        <v>4.8487499999999999</v>
      </c>
      <c r="BT1000" s="253" cm="1">
        <f t="array" ref="BT1000">$BC1000 * IF($AD1000&lt;=2,
SUMPRODUCT(INDEX($AL$62:$AN$66,,$AE1000), INDEX($AO$62:$AU$66,,$AD1000), 1 / ($AV$62:$AV$66*BS1000 + (1-$AV$62:$AV$66)*BO1000), N($AK$62:$AK$66&gt;$AI1000)),
SUMPRODUCT(INDEX($AL$47:$AN$56,,$AE1000), INDEX($AO$47:$AU$56,,$AD1000), 1 / ($AW$47:$AW$56*BS1000 + (1-$AW$47:$AW$56)*BO1000), N($AK$47:$AK$56&gt;$AI1000))
) / 1000</f>
        <v>0</v>
      </c>
      <c r="BU1000" s="253" cm="1">
        <f t="array" ref="BU1000">$BC1000 * IF($AD1000&lt;=2,
SUMPRODUCT(INDEX($AL$23:$AN$61,,$AE1000), INDEX($AO$23:$AU$61,,$AD1000), 1 / ($AV$23:$AV$61*BS1000), N($AK$23:$AK$61&gt;$AI1000)),
SUMPRODUCT(INDEX($AL$23:$AN$46,,$AE1000), INDEX($AO$23:$AU$46,,$AD1000), 1 / ($AW$23:$AW$46*BS1000), N($AK$23:$AK$46&gt;$AI1000))
) / 1000</f>
        <v>0</v>
      </c>
      <c r="BV1000" s="237">
        <f t="shared" si="836"/>
        <v>0</v>
      </c>
      <c r="BW1000" s="210"/>
      <c r="BX1000" s="237">
        <f t="shared" si="837"/>
        <v>0</v>
      </c>
      <c r="BY1000" s="236">
        <v>35</v>
      </c>
      <c r="BZ1000" s="237">
        <f t="shared" si="838"/>
        <v>48</v>
      </c>
      <c r="CA1000" s="253">
        <f t="shared" si="839"/>
        <v>3.0748170731707316</v>
      </c>
      <c r="CB1000" s="253" cm="1">
        <f t="array" ref="CB1000">$BC1000 * SUMPRODUCT(INDEX($AL$77:$AN$82,,$AE1000),INDEX($AO$77:$AU$82,,$AD1000), N($AK$77:$AK$82&gt;$AI1000)) / CA1000 / 1000</f>
        <v>0</v>
      </c>
      <c r="CC1000" s="250">
        <f t="shared" si="856"/>
        <v>30</v>
      </c>
      <c r="CD1000" s="237">
        <f t="shared" si="840"/>
        <v>43</v>
      </c>
      <c r="CE1000" s="253">
        <f t="shared" si="841"/>
        <v>3.5018750000000001</v>
      </c>
      <c r="CF1000" s="253" cm="1">
        <f t="array" ref="CF1000">$BC1000 * IF($AD1000&lt;=2,
SUMPRODUCT(INDEX($AL$72:$AN$76,,$AE1000), INDEX($AO$72:$AU$76,,$AD1000), 1 / ($AV$72:$AV$76*CE1000 + (1-$AV$72:$AV$76)*CA1000), N($AK$72:$AK$76&gt;$AI1000)),
SUMPRODUCT(INDEX($AL$67:$AN$76,,$AE1000), INDEX($AO$67:$AU$76,,$AD1000), 1 / ($AW$67:$AW$76*CE1000 + (1-$AW$67:$AW$76)*CA1000), N($AK$67:$AK$76&gt;$AI1000))
) / 1000</f>
        <v>0</v>
      </c>
      <c r="CG1000" s="250">
        <f t="shared" si="857"/>
        <v>25</v>
      </c>
      <c r="CH1000" s="237">
        <f t="shared" si="842"/>
        <v>38</v>
      </c>
      <c r="CI1000" s="253">
        <f t="shared" si="843"/>
        <v>4.0666935483870965</v>
      </c>
      <c r="CJ1000" s="253" cm="1">
        <f t="array" ref="CJ1000">$BC1000 * IF($AD1000&lt;=2,
SUMPRODUCT(INDEX($AL$67:$AN$71,,$AE1000), INDEX($AO$67:$AU$71,,$AD1000), 1 / ($AV$67:$AV$71*CI1000 + (1-$AV$67:$AV$71)*CE1000), N($AK$67:$AK$71&gt;$AI1000)),
SUMPRODUCT(INDEX($AL$57:$AN$66,,$AE1000), INDEX($AO$57:$AU$66,,$AD1000), 1 / ($AW$57:$AW$66*CI1000 + (1-$AW$57:$AW$66)*CE1000), N($AK$57:$AK$66&gt;$AI1000))
) / 1000</f>
        <v>0</v>
      </c>
      <c r="CK1000" s="250">
        <f t="shared" si="858"/>
        <v>20</v>
      </c>
      <c r="CL1000" s="237">
        <f t="shared" si="844"/>
        <v>33</v>
      </c>
      <c r="CM1000" s="253">
        <f t="shared" si="845"/>
        <v>4.8487499999999999</v>
      </c>
      <c r="CN1000" s="253" cm="1">
        <f t="array" ref="CN1000">$BC1000 * IF($AD1000&lt;=2,
SUMPRODUCT(INDEX($AL$62:$AN$66,,$AE1000), INDEX($AO$62:$AU$66,,$AD1000), 1 / ($AV$62:$AV$66*CM1000 + (1-$AV$62:$AV$66)*CI1000), N($AK$62:$AK$66&gt;$AI1000)),
SUMPRODUCT(INDEX($AL$47:$AN$56,,$AE1000), INDEX($AO$47:$AU$56,,$AD1000), 1 / ($AW$47:$AW$56*CM1000 + (1-$AW$47:$AW$56)*CI1000), N($AK$47:$AK$56&gt;$AI1000))
) / 1000</f>
        <v>0</v>
      </c>
      <c r="CO1000" s="253" cm="1">
        <f t="array" ref="CO1000">$BC1000 * IF($AD1000&lt;=2,
SUMPRODUCT(INDEX($AL$23:$AN$61,,$AE1000), INDEX($AO$23:$AU$61,,$AD1000), 1 / ($AV$23:$AV$61*CM1000), N($AK$23:$AK$61&gt;$AI1000)),
SUMPRODUCT(INDEX($AL$23:$AN$46,,$AE1000), INDEX($AO$23:$AU$46,,$AD1000), 1 / ($AW$23:$AW$46*CM1000), N($AK$23:$AK$46&gt;$AI1000))
) / 1000</f>
        <v>0</v>
      </c>
      <c r="CP1000" s="237">
        <f t="shared" si="846"/>
        <v>0</v>
      </c>
      <c r="CQ1000" s="210"/>
    </row>
    <row r="1001" spans="1:95" s="76" customFormat="1" ht="14.25" customHeight="1" x14ac:dyDescent="0.2">
      <c r="A1001" s="238" t="b">
        <f t="shared" si="850"/>
        <v>0</v>
      </c>
      <c r="B1001" s="239">
        <v>979</v>
      </c>
      <c r="C1001" s="258"/>
      <c r="D1001" s="258"/>
      <c r="E1001" s="240"/>
      <c r="F1001" s="241" t="str">
        <f>IF(ISBLANK(E1001), "", VLOOKUP(E1001, Z!$A$2:$C$4127, 3, FALSE))</f>
        <v/>
      </c>
      <c r="G1001" s="242"/>
      <c r="H1001" s="242"/>
      <c r="I1001" s="243"/>
      <c r="J1001" s="244"/>
      <c r="K1001" s="259"/>
      <c r="L1001" s="260"/>
      <c r="M1001" s="247" t="str" cm="1">
        <f t="array" ref="M1001">IF($K1001&gt;0, INDEX(Clean,1+AG1001,$C$1), "")</f>
        <v/>
      </c>
      <c r="N1001" s="245"/>
      <c r="O1001" s="245"/>
      <c r="P1001" s="246"/>
      <c r="Q1001" s="248">
        <f t="shared" si="823"/>
        <v>0</v>
      </c>
      <c r="R1001" s="247" t="str" cm="1">
        <f t="array" ref="R1001">IF($K1001&gt;0, INDEX(Clean,1+AH1001,$C$1), "")</f>
        <v/>
      </c>
      <c r="S1001" s="245"/>
      <c r="T1001" s="245"/>
      <c r="U1001" s="246"/>
      <c r="V1001" s="248">
        <f t="shared" si="824"/>
        <v>0</v>
      </c>
      <c r="W1001" s="261"/>
      <c r="X1001" s="258"/>
      <c r="Y1001" s="240"/>
      <c r="Z1001" s="241" t="str">
        <f>IF(ISBLANK(Y1001), "", VLOOKUP(Y1001, Z!$A$2:$C$4127, 3, FALSE))</f>
        <v/>
      </c>
      <c r="AA1001" s="262"/>
      <c r="AB1001" s="249">
        <f t="shared" si="859"/>
        <v>0</v>
      </c>
      <c r="AC1001" s="210"/>
      <c r="AD1001" s="236">
        <f t="shared" si="847"/>
        <v>1</v>
      </c>
      <c r="AE1001" s="236">
        <f t="shared" si="848"/>
        <v>1</v>
      </c>
      <c r="AF1001" s="236">
        <f t="shared" si="849"/>
        <v>0</v>
      </c>
      <c r="AG1001" s="236">
        <v>1</v>
      </c>
      <c r="AH1001" s="236">
        <v>0</v>
      </c>
      <c r="AI1001" s="236">
        <f t="shared" si="825"/>
        <v>-100</v>
      </c>
      <c r="AJ1001" s="210"/>
      <c r="AK1001" s="254"/>
      <c r="AL1001" s="254"/>
      <c r="AM1001" s="255"/>
      <c r="AN1001" s="255"/>
      <c r="AO1001" s="255"/>
      <c r="AP1001" s="255"/>
      <c r="AQ1001" s="255"/>
      <c r="AR1001" s="255"/>
      <c r="AS1001" s="255"/>
      <c r="AT1001" s="255"/>
      <c r="AU1001" s="255"/>
      <c r="AV1001" s="255"/>
      <c r="AW1001" s="255"/>
      <c r="AX1001" s="210"/>
      <c r="AY1001" s="236" cm="1">
        <f t="array" ref="AY1001">INDEX(Use, $AD1001, 4)</f>
        <v>7</v>
      </c>
      <c r="AZ1001" s="236">
        <f t="shared" si="826"/>
        <v>32</v>
      </c>
      <c r="BA1001" s="236">
        <f t="shared" si="851"/>
        <v>13</v>
      </c>
      <c r="BB1001" s="236">
        <f t="shared" si="852"/>
        <v>0</v>
      </c>
      <c r="BC1001" s="252" cm="1">
        <f t="array" ref="BC1001">K1001/IF($L1001&gt;0, INDEX($AO$23:$AU$77, $L1001+20, $AD1001), 1)</f>
        <v>0</v>
      </c>
      <c r="BD1001" s="237">
        <f t="shared" si="827"/>
        <v>0</v>
      </c>
      <c r="BE1001" s="236">
        <v>35</v>
      </c>
      <c r="BF1001" s="237">
        <f t="shared" si="828"/>
        <v>52.55</v>
      </c>
      <c r="BG1001" s="253">
        <f t="shared" si="829"/>
        <v>2.7676728869374316</v>
      </c>
      <c r="BH1001" s="253" cm="1">
        <f t="array" ref="BH1001">$BC1001 * SUMPRODUCT(INDEX($AL$77:$AN$82,,$AE1001),INDEX($AO$77:$AU$82,,$AD1001), N($AK$77:$AK$82&gt;$AI1001)) / BG1001 / 1000</f>
        <v>0</v>
      </c>
      <c r="BI1001" s="250">
        <f t="shared" si="853"/>
        <v>30</v>
      </c>
      <c r="BJ1001" s="237">
        <f t="shared" si="830"/>
        <v>46.033333333333331</v>
      </c>
      <c r="BK1001" s="253">
        <f t="shared" si="831"/>
        <v>3.2297395388556791</v>
      </c>
      <c r="BL1001" s="253" cm="1">
        <f t="array" ref="BL1001">$BC1001 * IF($AD1001&lt;=2,
SUMPRODUCT(INDEX($AL$72:$AN$76,,$AE1001), INDEX($AO$72:$AU$76,,$AD1001), 1 / ($AV$72:$AV$76*BK1001 + (1-$AV$72:$AV$76)*BG1001), N($AK$72:$AK$76&gt;$AI1001)),
SUMPRODUCT(INDEX($AL$67:$AN$76,,$AE1001), INDEX($AO$67:$AU$76,,$AD1001), 1 / ($AW$67:$AW$76*BK1001 + (1-$AW$67:$AW$76)*BG1001), N($AK$67:$AK$76&gt;$AI1001))
) / 1000</f>
        <v>0</v>
      </c>
      <c r="BM1001" s="250">
        <f t="shared" si="854"/>
        <v>25</v>
      </c>
      <c r="BN1001" s="237">
        <f t="shared" si="832"/>
        <v>39.516666666666666</v>
      </c>
      <c r="BO1001" s="253">
        <f t="shared" si="833"/>
        <v>3.877011788826243</v>
      </c>
      <c r="BP1001" s="253" cm="1">
        <f t="array" ref="BP1001">$BC1001 * IF($AD1001&lt;=2,
SUMPRODUCT(INDEX($AL$67:$AN$71,,$AE1001), INDEX($AO$67:$AU$71,,$AD1001), 1 / ($AV$67:$AV$71*BO1001 + (1-$AV$67:$AV$71)*BK1001), N($AK$67:$AK$71&gt;$AI1001)),
SUMPRODUCT(INDEX($AL$57:$AN$66,,$AE1001), INDEX($AO$57:$AU$66,,$AD1001), 1 / ($AW$57:$AW$66*BO1001 + (1-$AW$57:$AW$66)*BK1001), N($AK$57:$AK$66&gt;$AI1001))
) / 1000</f>
        <v>0</v>
      </c>
      <c r="BQ1001" s="250">
        <f t="shared" si="855"/>
        <v>20</v>
      </c>
      <c r="BR1001" s="237">
        <f t="shared" si="834"/>
        <v>33</v>
      </c>
      <c r="BS1001" s="253">
        <f t="shared" si="835"/>
        <v>4.8487499999999999</v>
      </c>
      <c r="BT1001" s="253" cm="1">
        <f t="array" ref="BT1001">$BC1001 * IF($AD1001&lt;=2,
SUMPRODUCT(INDEX($AL$62:$AN$66,,$AE1001), INDEX($AO$62:$AU$66,,$AD1001), 1 / ($AV$62:$AV$66*BS1001 + (1-$AV$62:$AV$66)*BO1001), N($AK$62:$AK$66&gt;$AI1001)),
SUMPRODUCT(INDEX($AL$47:$AN$56,,$AE1001), INDEX($AO$47:$AU$56,,$AD1001), 1 / ($AW$47:$AW$56*BS1001 + (1-$AW$47:$AW$56)*BO1001), N($AK$47:$AK$56&gt;$AI1001))
) / 1000</f>
        <v>0</v>
      </c>
      <c r="BU1001" s="253" cm="1">
        <f t="array" ref="BU1001">$BC1001 * IF($AD1001&lt;=2,
SUMPRODUCT(INDEX($AL$23:$AN$61,,$AE1001), INDEX($AO$23:$AU$61,,$AD1001), 1 / ($AV$23:$AV$61*BS1001), N($AK$23:$AK$61&gt;$AI1001)),
SUMPRODUCT(INDEX($AL$23:$AN$46,,$AE1001), INDEX($AO$23:$AU$46,,$AD1001), 1 / ($AW$23:$AW$46*BS1001), N($AK$23:$AK$46&gt;$AI1001))
) / 1000</f>
        <v>0</v>
      </c>
      <c r="BV1001" s="237">
        <f t="shared" si="836"/>
        <v>0</v>
      </c>
      <c r="BW1001" s="210"/>
      <c r="BX1001" s="237">
        <f t="shared" si="837"/>
        <v>0</v>
      </c>
      <c r="BY1001" s="236">
        <v>35</v>
      </c>
      <c r="BZ1001" s="237">
        <f t="shared" si="838"/>
        <v>48</v>
      </c>
      <c r="CA1001" s="253">
        <f t="shared" si="839"/>
        <v>3.0748170731707316</v>
      </c>
      <c r="CB1001" s="253" cm="1">
        <f t="array" ref="CB1001">$BC1001 * SUMPRODUCT(INDEX($AL$77:$AN$82,,$AE1001),INDEX($AO$77:$AU$82,,$AD1001), N($AK$77:$AK$82&gt;$AI1001)) / CA1001 / 1000</f>
        <v>0</v>
      </c>
      <c r="CC1001" s="250">
        <f t="shared" si="856"/>
        <v>30</v>
      </c>
      <c r="CD1001" s="237">
        <f t="shared" si="840"/>
        <v>43</v>
      </c>
      <c r="CE1001" s="253">
        <f t="shared" si="841"/>
        <v>3.5018750000000001</v>
      </c>
      <c r="CF1001" s="253" cm="1">
        <f t="array" ref="CF1001">$BC1001 * IF($AD1001&lt;=2,
SUMPRODUCT(INDEX($AL$72:$AN$76,,$AE1001), INDEX($AO$72:$AU$76,,$AD1001), 1 / ($AV$72:$AV$76*CE1001 + (1-$AV$72:$AV$76)*CA1001), N($AK$72:$AK$76&gt;$AI1001)),
SUMPRODUCT(INDEX($AL$67:$AN$76,,$AE1001), INDEX($AO$67:$AU$76,,$AD1001), 1 / ($AW$67:$AW$76*CE1001 + (1-$AW$67:$AW$76)*CA1001), N($AK$67:$AK$76&gt;$AI1001))
) / 1000</f>
        <v>0</v>
      </c>
      <c r="CG1001" s="250">
        <f t="shared" si="857"/>
        <v>25</v>
      </c>
      <c r="CH1001" s="237">
        <f t="shared" si="842"/>
        <v>38</v>
      </c>
      <c r="CI1001" s="253">
        <f t="shared" si="843"/>
        <v>4.0666935483870965</v>
      </c>
      <c r="CJ1001" s="253" cm="1">
        <f t="array" ref="CJ1001">$BC1001 * IF($AD1001&lt;=2,
SUMPRODUCT(INDEX($AL$67:$AN$71,,$AE1001), INDEX($AO$67:$AU$71,,$AD1001), 1 / ($AV$67:$AV$71*CI1001 + (1-$AV$67:$AV$71)*CE1001), N($AK$67:$AK$71&gt;$AI1001)),
SUMPRODUCT(INDEX($AL$57:$AN$66,,$AE1001), INDEX($AO$57:$AU$66,,$AD1001), 1 / ($AW$57:$AW$66*CI1001 + (1-$AW$57:$AW$66)*CE1001), N($AK$57:$AK$66&gt;$AI1001))
) / 1000</f>
        <v>0</v>
      </c>
      <c r="CK1001" s="250">
        <f t="shared" si="858"/>
        <v>20</v>
      </c>
      <c r="CL1001" s="237">
        <f t="shared" si="844"/>
        <v>33</v>
      </c>
      <c r="CM1001" s="253">
        <f t="shared" si="845"/>
        <v>4.8487499999999999</v>
      </c>
      <c r="CN1001" s="253" cm="1">
        <f t="array" ref="CN1001">$BC1001 * IF($AD1001&lt;=2,
SUMPRODUCT(INDEX($AL$62:$AN$66,,$AE1001), INDEX($AO$62:$AU$66,,$AD1001), 1 / ($AV$62:$AV$66*CM1001 + (1-$AV$62:$AV$66)*CI1001), N($AK$62:$AK$66&gt;$AI1001)),
SUMPRODUCT(INDEX($AL$47:$AN$56,,$AE1001), INDEX($AO$47:$AU$56,,$AD1001), 1 / ($AW$47:$AW$56*CM1001 + (1-$AW$47:$AW$56)*CI1001), N($AK$47:$AK$56&gt;$AI1001))
) / 1000</f>
        <v>0</v>
      </c>
      <c r="CO1001" s="253" cm="1">
        <f t="array" ref="CO1001">$BC1001 * IF($AD1001&lt;=2,
SUMPRODUCT(INDEX($AL$23:$AN$61,,$AE1001), INDEX($AO$23:$AU$61,,$AD1001), 1 / ($AV$23:$AV$61*CM1001), N($AK$23:$AK$61&gt;$AI1001)),
SUMPRODUCT(INDEX($AL$23:$AN$46,,$AE1001), INDEX($AO$23:$AU$46,,$AD1001), 1 / ($AW$23:$AW$46*CM1001), N($AK$23:$AK$46&gt;$AI1001))
) / 1000</f>
        <v>0</v>
      </c>
      <c r="CP1001" s="237">
        <f t="shared" si="846"/>
        <v>0</v>
      </c>
      <c r="CQ1001" s="210"/>
    </row>
    <row r="1002" spans="1:95" s="76" customFormat="1" ht="14.25" customHeight="1" x14ac:dyDescent="0.2">
      <c r="A1002" s="238" t="b">
        <f t="shared" si="850"/>
        <v>0</v>
      </c>
      <c r="B1002" s="239">
        <v>980</v>
      </c>
      <c r="C1002" s="258"/>
      <c r="D1002" s="258"/>
      <c r="E1002" s="240"/>
      <c r="F1002" s="241" t="str">
        <f>IF(ISBLANK(E1002), "", VLOOKUP(E1002, Z!$A$2:$C$4127, 3, FALSE))</f>
        <v/>
      </c>
      <c r="G1002" s="242"/>
      <c r="H1002" s="242"/>
      <c r="I1002" s="243"/>
      <c r="J1002" s="244"/>
      <c r="K1002" s="259"/>
      <c r="L1002" s="260"/>
      <c r="M1002" s="247" t="str" cm="1">
        <f t="array" ref="M1002">IF($K1002&gt;0, INDEX(Clean,1+AG1002,$C$1), "")</f>
        <v/>
      </c>
      <c r="N1002" s="245"/>
      <c r="O1002" s="245"/>
      <c r="P1002" s="246"/>
      <c r="Q1002" s="248">
        <f t="shared" si="823"/>
        <v>0</v>
      </c>
      <c r="R1002" s="247" t="str" cm="1">
        <f t="array" ref="R1002">IF($K1002&gt;0, INDEX(Clean,1+AH1002,$C$1), "")</f>
        <v/>
      </c>
      <c r="S1002" s="245"/>
      <c r="T1002" s="245"/>
      <c r="U1002" s="246"/>
      <c r="V1002" s="248">
        <f t="shared" si="824"/>
        <v>0</v>
      </c>
      <c r="W1002" s="261"/>
      <c r="X1002" s="258"/>
      <c r="Y1002" s="240"/>
      <c r="Z1002" s="241" t="str">
        <f>IF(ISBLANK(Y1002), "", VLOOKUP(Y1002, Z!$A$2:$C$4127, 3, FALSE))</f>
        <v/>
      </c>
      <c r="AA1002" s="262"/>
      <c r="AB1002" s="249">
        <f t="shared" si="859"/>
        <v>0</v>
      </c>
      <c r="AC1002" s="210"/>
      <c r="AD1002" s="236">
        <f t="shared" si="847"/>
        <v>1</v>
      </c>
      <c r="AE1002" s="236">
        <f t="shared" si="848"/>
        <v>1</v>
      </c>
      <c r="AF1002" s="236">
        <f t="shared" si="849"/>
        <v>0</v>
      </c>
      <c r="AG1002" s="236">
        <v>1</v>
      </c>
      <c r="AH1002" s="236">
        <v>0</v>
      </c>
      <c r="AI1002" s="236">
        <f t="shared" si="825"/>
        <v>-100</v>
      </c>
      <c r="AJ1002" s="210"/>
      <c r="AK1002" s="254"/>
      <c r="AL1002" s="254"/>
      <c r="AM1002" s="255"/>
      <c r="AN1002" s="255"/>
      <c r="AO1002" s="255"/>
      <c r="AP1002" s="255"/>
      <c r="AQ1002" s="255"/>
      <c r="AR1002" s="255"/>
      <c r="AS1002" s="255"/>
      <c r="AT1002" s="255"/>
      <c r="AU1002" s="255"/>
      <c r="AV1002" s="255"/>
      <c r="AW1002" s="255"/>
      <c r="AX1002" s="210"/>
      <c r="AY1002" s="236" cm="1">
        <f t="array" ref="AY1002">INDEX(Use, $AD1002, 4)</f>
        <v>7</v>
      </c>
      <c r="AZ1002" s="236">
        <f t="shared" si="826"/>
        <v>32</v>
      </c>
      <c r="BA1002" s="236">
        <f t="shared" si="851"/>
        <v>13</v>
      </c>
      <c r="BB1002" s="236">
        <f t="shared" si="852"/>
        <v>0</v>
      </c>
      <c r="BC1002" s="252" cm="1">
        <f t="array" ref="BC1002">K1002/IF($L1002&gt;0, INDEX($AO$23:$AU$77, $L1002+20, $AD1002), 1)</f>
        <v>0</v>
      </c>
      <c r="BD1002" s="237">
        <f t="shared" si="827"/>
        <v>0</v>
      </c>
      <c r="BE1002" s="236">
        <v>35</v>
      </c>
      <c r="BF1002" s="237">
        <f t="shared" si="828"/>
        <v>52.55</v>
      </c>
      <c r="BG1002" s="253">
        <f t="shared" si="829"/>
        <v>2.7676728869374316</v>
      </c>
      <c r="BH1002" s="253" cm="1">
        <f t="array" ref="BH1002">$BC1002 * SUMPRODUCT(INDEX($AL$77:$AN$82,,$AE1002),INDEX($AO$77:$AU$82,,$AD1002), N($AK$77:$AK$82&gt;$AI1002)) / BG1002 / 1000</f>
        <v>0</v>
      </c>
      <c r="BI1002" s="250">
        <f t="shared" si="853"/>
        <v>30</v>
      </c>
      <c r="BJ1002" s="237">
        <f t="shared" si="830"/>
        <v>46.033333333333331</v>
      </c>
      <c r="BK1002" s="253">
        <f t="shared" si="831"/>
        <v>3.2297395388556791</v>
      </c>
      <c r="BL1002" s="253" cm="1">
        <f t="array" ref="BL1002">$BC1002 * IF($AD1002&lt;=2,
SUMPRODUCT(INDEX($AL$72:$AN$76,,$AE1002), INDEX($AO$72:$AU$76,,$AD1002), 1 / ($AV$72:$AV$76*BK1002 + (1-$AV$72:$AV$76)*BG1002), N($AK$72:$AK$76&gt;$AI1002)),
SUMPRODUCT(INDEX($AL$67:$AN$76,,$AE1002), INDEX($AO$67:$AU$76,,$AD1002), 1 / ($AW$67:$AW$76*BK1002 + (1-$AW$67:$AW$76)*BG1002), N($AK$67:$AK$76&gt;$AI1002))
) / 1000</f>
        <v>0</v>
      </c>
      <c r="BM1002" s="250">
        <f t="shared" si="854"/>
        <v>25</v>
      </c>
      <c r="BN1002" s="237">
        <f t="shared" si="832"/>
        <v>39.516666666666666</v>
      </c>
      <c r="BO1002" s="253">
        <f t="shared" si="833"/>
        <v>3.877011788826243</v>
      </c>
      <c r="BP1002" s="253" cm="1">
        <f t="array" ref="BP1002">$BC1002 * IF($AD1002&lt;=2,
SUMPRODUCT(INDEX($AL$67:$AN$71,,$AE1002), INDEX($AO$67:$AU$71,,$AD1002), 1 / ($AV$67:$AV$71*BO1002 + (1-$AV$67:$AV$71)*BK1002), N($AK$67:$AK$71&gt;$AI1002)),
SUMPRODUCT(INDEX($AL$57:$AN$66,,$AE1002), INDEX($AO$57:$AU$66,,$AD1002), 1 / ($AW$57:$AW$66*BO1002 + (1-$AW$57:$AW$66)*BK1002), N($AK$57:$AK$66&gt;$AI1002))
) / 1000</f>
        <v>0</v>
      </c>
      <c r="BQ1002" s="250">
        <f t="shared" si="855"/>
        <v>20</v>
      </c>
      <c r="BR1002" s="237">
        <f t="shared" si="834"/>
        <v>33</v>
      </c>
      <c r="BS1002" s="253">
        <f t="shared" si="835"/>
        <v>4.8487499999999999</v>
      </c>
      <c r="BT1002" s="253" cm="1">
        <f t="array" ref="BT1002">$BC1002 * IF($AD1002&lt;=2,
SUMPRODUCT(INDEX($AL$62:$AN$66,,$AE1002), INDEX($AO$62:$AU$66,,$AD1002), 1 / ($AV$62:$AV$66*BS1002 + (1-$AV$62:$AV$66)*BO1002), N($AK$62:$AK$66&gt;$AI1002)),
SUMPRODUCT(INDEX($AL$47:$AN$56,,$AE1002), INDEX($AO$47:$AU$56,,$AD1002), 1 / ($AW$47:$AW$56*BS1002 + (1-$AW$47:$AW$56)*BO1002), N($AK$47:$AK$56&gt;$AI1002))
) / 1000</f>
        <v>0</v>
      </c>
      <c r="BU1002" s="253" cm="1">
        <f t="array" ref="BU1002">$BC1002 * IF($AD1002&lt;=2,
SUMPRODUCT(INDEX($AL$23:$AN$61,,$AE1002), INDEX($AO$23:$AU$61,,$AD1002), 1 / ($AV$23:$AV$61*BS1002), N($AK$23:$AK$61&gt;$AI1002)),
SUMPRODUCT(INDEX($AL$23:$AN$46,,$AE1002), INDEX($AO$23:$AU$46,,$AD1002), 1 / ($AW$23:$AW$46*BS1002), N($AK$23:$AK$46&gt;$AI1002))
) / 1000</f>
        <v>0</v>
      </c>
      <c r="BV1002" s="237">
        <f t="shared" si="836"/>
        <v>0</v>
      </c>
      <c r="BW1002" s="210"/>
      <c r="BX1002" s="237">
        <f t="shared" si="837"/>
        <v>0</v>
      </c>
      <c r="BY1002" s="236">
        <v>35</v>
      </c>
      <c r="BZ1002" s="237">
        <f t="shared" si="838"/>
        <v>48</v>
      </c>
      <c r="CA1002" s="253">
        <f t="shared" si="839"/>
        <v>3.0748170731707316</v>
      </c>
      <c r="CB1002" s="253" cm="1">
        <f t="array" ref="CB1002">$BC1002 * SUMPRODUCT(INDEX($AL$77:$AN$82,,$AE1002),INDEX($AO$77:$AU$82,,$AD1002), N($AK$77:$AK$82&gt;$AI1002)) / CA1002 / 1000</f>
        <v>0</v>
      </c>
      <c r="CC1002" s="250">
        <f t="shared" si="856"/>
        <v>30</v>
      </c>
      <c r="CD1002" s="237">
        <f t="shared" si="840"/>
        <v>43</v>
      </c>
      <c r="CE1002" s="253">
        <f t="shared" si="841"/>
        <v>3.5018750000000001</v>
      </c>
      <c r="CF1002" s="253" cm="1">
        <f t="array" ref="CF1002">$BC1002 * IF($AD1002&lt;=2,
SUMPRODUCT(INDEX($AL$72:$AN$76,,$AE1002), INDEX($AO$72:$AU$76,,$AD1002), 1 / ($AV$72:$AV$76*CE1002 + (1-$AV$72:$AV$76)*CA1002), N($AK$72:$AK$76&gt;$AI1002)),
SUMPRODUCT(INDEX($AL$67:$AN$76,,$AE1002), INDEX($AO$67:$AU$76,,$AD1002), 1 / ($AW$67:$AW$76*CE1002 + (1-$AW$67:$AW$76)*CA1002), N($AK$67:$AK$76&gt;$AI1002))
) / 1000</f>
        <v>0</v>
      </c>
      <c r="CG1002" s="250">
        <f t="shared" si="857"/>
        <v>25</v>
      </c>
      <c r="CH1002" s="237">
        <f t="shared" si="842"/>
        <v>38</v>
      </c>
      <c r="CI1002" s="253">
        <f t="shared" si="843"/>
        <v>4.0666935483870965</v>
      </c>
      <c r="CJ1002" s="253" cm="1">
        <f t="array" ref="CJ1002">$BC1002 * IF($AD1002&lt;=2,
SUMPRODUCT(INDEX($AL$67:$AN$71,,$AE1002), INDEX($AO$67:$AU$71,,$AD1002), 1 / ($AV$67:$AV$71*CI1002 + (1-$AV$67:$AV$71)*CE1002), N($AK$67:$AK$71&gt;$AI1002)),
SUMPRODUCT(INDEX($AL$57:$AN$66,,$AE1002), INDEX($AO$57:$AU$66,,$AD1002), 1 / ($AW$57:$AW$66*CI1002 + (1-$AW$57:$AW$66)*CE1002), N($AK$57:$AK$66&gt;$AI1002))
) / 1000</f>
        <v>0</v>
      </c>
      <c r="CK1002" s="250">
        <f t="shared" si="858"/>
        <v>20</v>
      </c>
      <c r="CL1002" s="237">
        <f t="shared" si="844"/>
        <v>33</v>
      </c>
      <c r="CM1002" s="253">
        <f t="shared" si="845"/>
        <v>4.8487499999999999</v>
      </c>
      <c r="CN1002" s="253" cm="1">
        <f t="array" ref="CN1002">$BC1002 * IF($AD1002&lt;=2,
SUMPRODUCT(INDEX($AL$62:$AN$66,,$AE1002), INDEX($AO$62:$AU$66,,$AD1002), 1 / ($AV$62:$AV$66*CM1002 + (1-$AV$62:$AV$66)*CI1002), N($AK$62:$AK$66&gt;$AI1002)),
SUMPRODUCT(INDEX($AL$47:$AN$56,,$AE1002), INDEX($AO$47:$AU$56,,$AD1002), 1 / ($AW$47:$AW$56*CM1002 + (1-$AW$47:$AW$56)*CI1002), N($AK$47:$AK$56&gt;$AI1002))
) / 1000</f>
        <v>0</v>
      </c>
      <c r="CO1002" s="253" cm="1">
        <f t="array" ref="CO1002">$BC1002 * IF($AD1002&lt;=2,
SUMPRODUCT(INDEX($AL$23:$AN$61,,$AE1002), INDEX($AO$23:$AU$61,,$AD1002), 1 / ($AV$23:$AV$61*CM1002), N($AK$23:$AK$61&gt;$AI1002)),
SUMPRODUCT(INDEX($AL$23:$AN$46,,$AE1002), INDEX($AO$23:$AU$46,,$AD1002), 1 / ($AW$23:$AW$46*CM1002), N($AK$23:$AK$46&gt;$AI1002))
) / 1000</f>
        <v>0</v>
      </c>
      <c r="CP1002" s="237">
        <f t="shared" si="846"/>
        <v>0</v>
      </c>
      <c r="CQ1002" s="210"/>
    </row>
    <row r="1003" spans="1:95" s="76" customFormat="1" ht="14.25" customHeight="1" x14ac:dyDescent="0.2">
      <c r="A1003" s="238" t="b">
        <f t="shared" si="850"/>
        <v>0</v>
      </c>
      <c r="B1003" s="239">
        <v>981</v>
      </c>
      <c r="C1003" s="258"/>
      <c r="D1003" s="258"/>
      <c r="E1003" s="240"/>
      <c r="F1003" s="241" t="str">
        <f>IF(ISBLANK(E1003), "", VLOOKUP(E1003, Z!$A$2:$C$4127, 3, FALSE))</f>
        <v/>
      </c>
      <c r="G1003" s="242"/>
      <c r="H1003" s="242"/>
      <c r="I1003" s="243"/>
      <c r="J1003" s="244"/>
      <c r="K1003" s="259"/>
      <c r="L1003" s="260"/>
      <c r="M1003" s="247" t="str" cm="1">
        <f t="array" ref="M1003">IF($K1003&gt;0, INDEX(Clean,1+AG1003,$C$1), "")</f>
        <v/>
      </c>
      <c r="N1003" s="245"/>
      <c r="O1003" s="245"/>
      <c r="P1003" s="246"/>
      <c r="Q1003" s="248">
        <f t="shared" si="823"/>
        <v>0</v>
      </c>
      <c r="R1003" s="247" t="str" cm="1">
        <f t="array" ref="R1003">IF($K1003&gt;0, INDEX(Clean,1+AH1003,$C$1), "")</f>
        <v/>
      </c>
      <c r="S1003" s="245"/>
      <c r="T1003" s="245"/>
      <c r="U1003" s="246"/>
      <c r="V1003" s="248">
        <f t="shared" si="824"/>
        <v>0</v>
      </c>
      <c r="W1003" s="261"/>
      <c r="X1003" s="258"/>
      <c r="Y1003" s="240"/>
      <c r="Z1003" s="241" t="str">
        <f>IF(ISBLANK(Y1003), "", VLOOKUP(Y1003, Z!$A$2:$C$4127, 3, FALSE))</f>
        <v/>
      </c>
      <c r="AA1003" s="262"/>
      <c r="AB1003" s="249">
        <f t="shared" si="859"/>
        <v>0</v>
      </c>
      <c r="AC1003" s="210"/>
      <c r="AD1003" s="236">
        <f t="shared" si="847"/>
        <v>1</v>
      </c>
      <c r="AE1003" s="236">
        <f t="shared" si="848"/>
        <v>1</v>
      </c>
      <c r="AF1003" s="236">
        <f t="shared" si="849"/>
        <v>0</v>
      </c>
      <c r="AG1003" s="236">
        <v>1</v>
      </c>
      <c r="AH1003" s="236">
        <v>0</v>
      </c>
      <c r="AI1003" s="236">
        <f t="shared" si="825"/>
        <v>-100</v>
      </c>
      <c r="AJ1003" s="210"/>
      <c r="AK1003" s="254"/>
      <c r="AL1003" s="254"/>
      <c r="AM1003" s="255"/>
      <c r="AN1003" s="255"/>
      <c r="AO1003" s="255"/>
      <c r="AP1003" s="255"/>
      <c r="AQ1003" s="255"/>
      <c r="AR1003" s="255"/>
      <c r="AS1003" s="255"/>
      <c r="AT1003" s="255"/>
      <c r="AU1003" s="255"/>
      <c r="AV1003" s="255"/>
      <c r="AW1003" s="255"/>
      <c r="AX1003" s="210"/>
      <c r="AY1003" s="236" cm="1">
        <f t="array" ref="AY1003">INDEX(Use, $AD1003, 4)</f>
        <v>7</v>
      </c>
      <c r="AZ1003" s="236">
        <f t="shared" si="826"/>
        <v>32</v>
      </c>
      <c r="BA1003" s="236">
        <f t="shared" si="851"/>
        <v>13</v>
      </c>
      <c r="BB1003" s="236">
        <f t="shared" si="852"/>
        <v>0</v>
      </c>
      <c r="BC1003" s="252" cm="1">
        <f t="array" ref="BC1003">K1003/IF($L1003&gt;0, INDEX($AO$23:$AU$77, $L1003+20, $AD1003), 1)</f>
        <v>0</v>
      </c>
      <c r="BD1003" s="237">
        <f t="shared" si="827"/>
        <v>0</v>
      </c>
      <c r="BE1003" s="236">
        <v>35</v>
      </c>
      <c r="BF1003" s="237">
        <f t="shared" si="828"/>
        <v>52.55</v>
      </c>
      <c r="BG1003" s="253">
        <f t="shared" si="829"/>
        <v>2.7676728869374316</v>
      </c>
      <c r="BH1003" s="253" cm="1">
        <f t="array" ref="BH1003">$BC1003 * SUMPRODUCT(INDEX($AL$77:$AN$82,,$AE1003),INDEX($AO$77:$AU$82,,$AD1003), N($AK$77:$AK$82&gt;$AI1003)) / BG1003 / 1000</f>
        <v>0</v>
      </c>
      <c r="BI1003" s="250">
        <f t="shared" si="853"/>
        <v>30</v>
      </c>
      <c r="BJ1003" s="237">
        <f t="shared" si="830"/>
        <v>46.033333333333331</v>
      </c>
      <c r="BK1003" s="253">
        <f t="shared" si="831"/>
        <v>3.2297395388556791</v>
      </c>
      <c r="BL1003" s="253" cm="1">
        <f t="array" ref="BL1003">$BC1003 * IF($AD1003&lt;=2,
SUMPRODUCT(INDEX($AL$72:$AN$76,,$AE1003), INDEX($AO$72:$AU$76,,$AD1003), 1 / ($AV$72:$AV$76*BK1003 + (1-$AV$72:$AV$76)*BG1003), N($AK$72:$AK$76&gt;$AI1003)),
SUMPRODUCT(INDEX($AL$67:$AN$76,,$AE1003), INDEX($AO$67:$AU$76,,$AD1003), 1 / ($AW$67:$AW$76*BK1003 + (1-$AW$67:$AW$76)*BG1003), N($AK$67:$AK$76&gt;$AI1003))
) / 1000</f>
        <v>0</v>
      </c>
      <c r="BM1003" s="250">
        <f t="shared" si="854"/>
        <v>25</v>
      </c>
      <c r="BN1003" s="237">
        <f t="shared" si="832"/>
        <v>39.516666666666666</v>
      </c>
      <c r="BO1003" s="253">
        <f t="shared" si="833"/>
        <v>3.877011788826243</v>
      </c>
      <c r="BP1003" s="253" cm="1">
        <f t="array" ref="BP1003">$BC1003 * IF($AD1003&lt;=2,
SUMPRODUCT(INDEX($AL$67:$AN$71,,$AE1003), INDEX($AO$67:$AU$71,,$AD1003), 1 / ($AV$67:$AV$71*BO1003 + (1-$AV$67:$AV$71)*BK1003), N($AK$67:$AK$71&gt;$AI1003)),
SUMPRODUCT(INDEX($AL$57:$AN$66,,$AE1003), INDEX($AO$57:$AU$66,,$AD1003), 1 / ($AW$57:$AW$66*BO1003 + (1-$AW$57:$AW$66)*BK1003), N($AK$57:$AK$66&gt;$AI1003))
) / 1000</f>
        <v>0</v>
      </c>
      <c r="BQ1003" s="250">
        <f t="shared" si="855"/>
        <v>20</v>
      </c>
      <c r="BR1003" s="237">
        <f t="shared" si="834"/>
        <v>33</v>
      </c>
      <c r="BS1003" s="253">
        <f t="shared" si="835"/>
        <v>4.8487499999999999</v>
      </c>
      <c r="BT1003" s="253" cm="1">
        <f t="array" ref="BT1003">$BC1003 * IF($AD1003&lt;=2,
SUMPRODUCT(INDEX($AL$62:$AN$66,,$AE1003), INDEX($AO$62:$AU$66,,$AD1003), 1 / ($AV$62:$AV$66*BS1003 + (1-$AV$62:$AV$66)*BO1003), N($AK$62:$AK$66&gt;$AI1003)),
SUMPRODUCT(INDEX($AL$47:$AN$56,,$AE1003), INDEX($AO$47:$AU$56,,$AD1003), 1 / ($AW$47:$AW$56*BS1003 + (1-$AW$47:$AW$56)*BO1003), N($AK$47:$AK$56&gt;$AI1003))
) / 1000</f>
        <v>0</v>
      </c>
      <c r="BU1003" s="253" cm="1">
        <f t="array" ref="BU1003">$BC1003 * IF($AD1003&lt;=2,
SUMPRODUCT(INDEX($AL$23:$AN$61,,$AE1003), INDEX($AO$23:$AU$61,,$AD1003), 1 / ($AV$23:$AV$61*BS1003), N($AK$23:$AK$61&gt;$AI1003)),
SUMPRODUCT(INDEX($AL$23:$AN$46,,$AE1003), INDEX($AO$23:$AU$46,,$AD1003), 1 / ($AW$23:$AW$46*BS1003), N($AK$23:$AK$46&gt;$AI1003))
) / 1000</f>
        <v>0</v>
      </c>
      <c r="BV1003" s="237">
        <f t="shared" si="836"/>
        <v>0</v>
      </c>
      <c r="BW1003" s="210"/>
      <c r="BX1003" s="237">
        <f t="shared" si="837"/>
        <v>0</v>
      </c>
      <c r="BY1003" s="236">
        <v>35</v>
      </c>
      <c r="BZ1003" s="237">
        <f t="shared" si="838"/>
        <v>48</v>
      </c>
      <c r="CA1003" s="253">
        <f t="shared" si="839"/>
        <v>3.0748170731707316</v>
      </c>
      <c r="CB1003" s="253" cm="1">
        <f t="array" ref="CB1003">$BC1003 * SUMPRODUCT(INDEX($AL$77:$AN$82,,$AE1003),INDEX($AO$77:$AU$82,,$AD1003), N($AK$77:$AK$82&gt;$AI1003)) / CA1003 / 1000</f>
        <v>0</v>
      </c>
      <c r="CC1003" s="250">
        <f t="shared" si="856"/>
        <v>30</v>
      </c>
      <c r="CD1003" s="237">
        <f t="shared" si="840"/>
        <v>43</v>
      </c>
      <c r="CE1003" s="253">
        <f t="shared" si="841"/>
        <v>3.5018750000000001</v>
      </c>
      <c r="CF1003" s="253" cm="1">
        <f t="array" ref="CF1003">$BC1003 * IF($AD1003&lt;=2,
SUMPRODUCT(INDEX($AL$72:$AN$76,,$AE1003), INDEX($AO$72:$AU$76,,$AD1003), 1 / ($AV$72:$AV$76*CE1003 + (1-$AV$72:$AV$76)*CA1003), N($AK$72:$AK$76&gt;$AI1003)),
SUMPRODUCT(INDEX($AL$67:$AN$76,,$AE1003), INDEX($AO$67:$AU$76,,$AD1003), 1 / ($AW$67:$AW$76*CE1003 + (1-$AW$67:$AW$76)*CA1003), N($AK$67:$AK$76&gt;$AI1003))
) / 1000</f>
        <v>0</v>
      </c>
      <c r="CG1003" s="250">
        <f t="shared" si="857"/>
        <v>25</v>
      </c>
      <c r="CH1003" s="237">
        <f t="shared" si="842"/>
        <v>38</v>
      </c>
      <c r="CI1003" s="253">
        <f t="shared" si="843"/>
        <v>4.0666935483870965</v>
      </c>
      <c r="CJ1003" s="253" cm="1">
        <f t="array" ref="CJ1003">$BC1003 * IF($AD1003&lt;=2,
SUMPRODUCT(INDEX($AL$67:$AN$71,,$AE1003), INDEX($AO$67:$AU$71,,$AD1003), 1 / ($AV$67:$AV$71*CI1003 + (1-$AV$67:$AV$71)*CE1003), N($AK$67:$AK$71&gt;$AI1003)),
SUMPRODUCT(INDEX($AL$57:$AN$66,,$AE1003), INDEX($AO$57:$AU$66,,$AD1003), 1 / ($AW$57:$AW$66*CI1003 + (1-$AW$57:$AW$66)*CE1003), N($AK$57:$AK$66&gt;$AI1003))
) / 1000</f>
        <v>0</v>
      </c>
      <c r="CK1003" s="250">
        <f t="shared" si="858"/>
        <v>20</v>
      </c>
      <c r="CL1003" s="237">
        <f t="shared" si="844"/>
        <v>33</v>
      </c>
      <c r="CM1003" s="253">
        <f t="shared" si="845"/>
        <v>4.8487499999999999</v>
      </c>
      <c r="CN1003" s="253" cm="1">
        <f t="array" ref="CN1003">$BC1003 * IF($AD1003&lt;=2,
SUMPRODUCT(INDEX($AL$62:$AN$66,,$AE1003), INDEX($AO$62:$AU$66,,$AD1003), 1 / ($AV$62:$AV$66*CM1003 + (1-$AV$62:$AV$66)*CI1003), N($AK$62:$AK$66&gt;$AI1003)),
SUMPRODUCT(INDEX($AL$47:$AN$56,,$AE1003), INDEX($AO$47:$AU$56,,$AD1003), 1 / ($AW$47:$AW$56*CM1003 + (1-$AW$47:$AW$56)*CI1003), N($AK$47:$AK$56&gt;$AI1003))
) / 1000</f>
        <v>0</v>
      </c>
      <c r="CO1003" s="253" cm="1">
        <f t="array" ref="CO1003">$BC1003 * IF($AD1003&lt;=2,
SUMPRODUCT(INDEX($AL$23:$AN$61,,$AE1003), INDEX($AO$23:$AU$61,,$AD1003), 1 / ($AV$23:$AV$61*CM1003), N($AK$23:$AK$61&gt;$AI1003)),
SUMPRODUCT(INDEX($AL$23:$AN$46,,$AE1003), INDEX($AO$23:$AU$46,,$AD1003), 1 / ($AW$23:$AW$46*CM1003), N($AK$23:$AK$46&gt;$AI1003))
) / 1000</f>
        <v>0</v>
      </c>
      <c r="CP1003" s="237">
        <f t="shared" si="846"/>
        <v>0</v>
      </c>
      <c r="CQ1003" s="210"/>
    </row>
    <row r="1004" spans="1:95" s="76" customFormat="1" ht="14.25" customHeight="1" x14ac:dyDescent="0.2">
      <c r="A1004" s="238" t="b">
        <f t="shared" si="850"/>
        <v>0</v>
      </c>
      <c r="B1004" s="239">
        <v>982</v>
      </c>
      <c r="C1004" s="258"/>
      <c r="D1004" s="258"/>
      <c r="E1004" s="240"/>
      <c r="F1004" s="241" t="str">
        <f>IF(ISBLANK(E1004), "", VLOOKUP(E1004, Z!$A$2:$C$4127, 3, FALSE))</f>
        <v/>
      </c>
      <c r="G1004" s="242"/>
      <c r="H1004" s="242"/>
      <c r="I1004" s="243"/>
      <c r="J1004" s="244"/>
      <c r="K1004" s="259"/>
      <c r="L1004" s="260"/>
      <c r="M1004" s="247" t="str" cm="1">
        <f t="array" ref="M1004">IF($K1004&gt;0, INDEX(Clean,1+AG1004,$C$1), "")</f>
        <v/>
      </c>
      <c r="N1004" s="245"/>
      <c r="O1004" s="245"/>
      <c r="P1004" s="246"/>
      <c r="Q1004" s="248">
        <f t="shared" si="823"/>
        <v>0</v>
      </c>
      <c r="R1004" s="247" t="str" cm="1">
        <f t="array" ref="R1004">IF($K1004&gt;0, INDEX(Clean,1+AH1004,$C$1), "")</f>
        <v/>
      </c>
      <c r="S1004" s="245"/>
      <c r="T1004" s="245"/>
      <c r="U1004" s="246"/>
      <c r="V1004" s="248">
        <f t="shared" si="824"/>
        <v>0</v>
      </c>
      <c r="W1004" s="261"/>
      <c r="X1004" s="258"/>
      <c r="Y1004" s="240"/>
      <c r="Z1004" s="241" t="str">
        <f>IF(ISBLANK(Y1004), "", VLOOKUP(Y1004, Z!$A$2:$C$4127, 3, FALSE))</f>
        <v/>
      </c>
      <c r="AA1004" s="262"/>
      <c r="AB1004" s="249">
        <f t="shared" si="859"/>
        <v>0</v>
      </c>
      <c r="AC1004" s="210"/>
      <c r="AD1004" s="236">
        <f t="shared" si="847"/>
        <v>1</v>
      </c>
      <c r="AE1004" s="236">
        <f t="shared" si="848"/>
        <v>1</v>
      </c>
      <c r="AF1004" s="236">
        <f t="shared" si="849"/>
        <v>0</v>
      </c>
      <c r="AG1004" s="236">
        <v>1</v>
      </c>
      <c r="AH1004" s="236">
        <v>0</v>
      </c>
      <c r="AI1004" s="236">
        <f t="shared" si="825"/>
        <v>-100</v>
      </c>
      <c r="AJ1004" s="210"/>
      <c r="AK1004" s="254"/>
      <c r="AL1004" s="254"/>
      <c r="AM1004" s="255"/>
      <c r="AN1004" s="255"/>
      <c r="AO1004" s="255"/>
      <c r="AP1004" s="255"/>
      <c r="AQ1004" s="255"/>
      <c r="AR1004" s="255"/>
      <c r="AS1004" s="255"/>
      <c r="AT1004" s="255"/>
      <c r="AU1004" s="255"/>
      <c r="AV1004" s="255"/>
      <c r="AW1004" s="255"/>
      <c r="AX1004" s="210"/>
      <c r="AY1004" s="236" cm="1">
        <f t="array" ref="AY1004">INDEX(Use, $AD1004, 4)</f>
        <v>7</v>
      </c>
      <c r="AZ1004" s="236">
        <f t="shared" si="826"/>
        <v>32</v>
      </c>
      <c r="BA1004" s="236">
        <f t="shared" si="851"/>
        <v>13</v>
      </c>
      <c r="BB1004" s="236">
        <f t="shared" si="852"/>
        <v>0</v>
      </c>
      <c r="BC1004" s="252" cm="1">
        <f t="array" ref="BC1004">K1004/IF($L1004&gt;0, INDEX($AO$23:$AU$77, $L1004+20, $AD1004), 1)</f>
        <v>0</v>
      </c>
      <c r="BD1004" s="237">
        <f t="shared" si="827"/>
        <v>0</v>
      </c>
      <c r="BE1004" s="236">
        <v>35</v>
      </c>
      <c r="BF1004" s="237">
        <f t="shared" si="828"/>
        <v>52.55</v>
      </c>
      <c r="BG1004" s="253">
        <f t="shared" si="829"/>
        <v>2.7676728869374316</v>
      </c>
      <c r="BH1004" s="253" cm="1">
        <f t="array" ref="BH1004">$BC1004 * SUMPRODUCT(INDEX($AL$77:$AN$82,,$AE1004),INDEX($AO$77:$AU$82,,$AD1004), N($AK$77:$AK$82&gt;$AI1004)) / BG1004 / 1000</f>
        <v>0</v>
      </c>
      <c r="BI1004" s="250">
        <f t="shared" si="853"/>
        <v>30</v>
      </c>
      <c r="BJ1004" s="237">
        <f t="shared" si="830"/>
        <v>46.033333333333331</v>
      </c>
      <c r="BK1004" s="253">
        <f t="shared" si="831"/>
        <v>3.2297395388556791</v>
      </c>
      <c r="BL1004" s="253" cm="1">
        <f t="array" ref="BL1004">$BC1004 * IF($AD1004&lt;=2,
SUMPRODUCT(INDEX($AL$72:$AN$76,,$AE1004), INDEX($AO$72:$AU$76,,$AD1004), 1 / ($AV$72:$AV$76*BK1004 + (1-$AV$72:$AV$76)*BG1004), N($AK$72:$AK$76&gt;$AI1004)),
SUMPRODUCT(INDEX($AL$67:$AN$76,,$AE1004), INDEX($AO$67:$AU$76,,$AD1004), 1 / ($AW$67:$AW$76*BK1004 + (1-$AW$67:$AW$76)*BG1004), N($AK$67:$AK$76&gt;$AI1004))
) / 1000</f>
        <v>0</v>
      </c>
      <c r="BM1004" s="250">
        <f t="shared" si="854"/>
        <v>25</v>
      </c>
      <c r="BN1004" s="237">
        <f t="shared" si="832"/>
        <v>39.516666666666666</v>
      </c>
      <c r="BO1004" s="253">
        <f t="shared" si="833"/>
        <v>3.877011788826243</v>
      </c>
      <c r="BP1004" s="253" cm="1">
        <f t="array" ref="BP1004">$BC1004 * IF($AD1004&lt;=2,
SUMPRODUCT(INDEX($AL$67:$AN$71,,$AE1004), INDEX($AO$67:$AU$71,,$AD1004), 1 / ($AV$67:$AV$71*BO1004 + (1-$AV$67:$AV$71)*BK1004), N($AK$67:$AK$71&gt;$AI1004)),
SUMPRODUCT(INDEX($AL$57:$AN$66,,$AE1004), INDEX($AO$57:$AU$66,,$AD1004), 1 / ($AW$57:$AW$66*BO1004 + (1-$AW$57:$AW$66)*BK1004), N($AK$57:$AK$66&gt;$AI1004))
) / 1000</f>
        <v>0</v>
      </c>
      <c r="BQ1004" s="250">
        <f t="shared" si="855"/>
        <v>20</v>
      </c>
      <c r="BR1004" s="237">
        <f t="shared" si="834"/>
        <v>33</v>
      </c>
      <c r="BS1004" s="253">
        <f t="shared" si="835"/>
        <v>4.8487499999999999</v>
      </c>
      <c r="BT1004" s="253" cm="1">
        <f t="array" ref="BT1004">$BC1004 * IF($AD1004&lt;=2,
SUMPRODUCT(INDEX($AL$62:$AN$66,,$AE1004), INDEX($AO$62:$AU$66,,$AD1004), 1 / ($AV$62:$AV$66*BS1004 + (1-$AV$62:$AV$66)*BO1004), N($AK$62:$AK$66&gt;$AI1004)),
SUMPRODUCT(INDEX($AL$47:$AN$56,,$AE1004), INDEX($AO$47:$AU$56,,$AD1004), 1 / ($AW$47:$AW$56*BS1004 + (1-$AW$47:$AW$56)*BO1004), N($AK$47:$AK$56&gt;$AI1004))
) / 1000</f>
        <v>0</v>
      </c>
      <c r="BU1004" s="253" cm="1">
        <f t="array" ref="BU1004">$BC1004 * IF($AD1004&lt;=2,
SUMPRODUCT(INDEX($AL$23:$AN$61,,$AE1004), INDEX($AO$23:$AU$61,,$AD1004), 1 / ($AV$23:$AV$61*BS1004), N($AK$23:$AK$61&gt;$AI1004)),
SUMPRODUCT(INDEX($AL$23:$AN$46,,$AE1004), INDEX($AO$23:$AU$46,,$AD1004), 1 / ($AW$23:$AW$46*BS1004), N($AK$23:$AK$46&gt;$AI1004))
) / 1000</f>
        <v>0</v>
      </c>
      <c r="BV1004" s="237">
        <f t="shared" si="836"/>
        <v>0</v>
      </c>
      <c r="BW1004" s="210"/>
      <c r="BX1004" s="237">
        <f t="shared" si="837"/>
        <v>0</v>
      </c>
      <c r="BY1004" s="236">
        <v>35</v>
      </c>
      <c r="BZ1004" s="237">
        <f t="shared" si="838"/>
        <v>48</v>
      </c>
      <c r="CA1004" s="253">
        <f t="shared" si="839"/>
        <v>3.0748170731707316</v>
      </c>
      <c r="CB1004" s="253" cm="1">
        <f t="array" ref="CB1004">$BC1004 * SUMPRODUCT(INDEX($AL$77:$AN$82,,$AE1004),INDEX($AO$77:$AU$82,,$AD1004), N($AK$77:$AK$82&gt;$AI1004)) / CA1004 / 1000</f>
        <v>0</v>
      </c>
      <c r="CC1004" s="250">
        <f t="shared" si="856"/>
        <v>30</v>
      </c>
      <c r="CD1004" s="237">
        <f t="shared" si="840"/>
        <v>43</v>
      </c>
      <c r="CE1004" s="253">
        <f t="shared" si="841"/>
        <v>3.5018750000000001</v>
      </c>
      <c r="CF1004" s="253" cm="1">
        <f t="array" ref="CF1004">$BC1004 * IF($AD1004&lt;=2,
SUMPRODUCT(INDEX($AL$72:$AN$76,,$AE1004), INDEX($AO$72:$AU$76,,$AD1004), 1 / ($AV$72:$AV$76*CE1004 + (1-$AV$72:$AV$76)*CA1004), N($AK$72:$AK$76&gt;$AI1004)),
SUMPRODUCT(INDEX($AL$67:$AN$76,,$AE1004), INDEX($AO$67:$AU$76,,$AD1004), 1 / ($AW$67:$AW$76*CE1004 + (1-$AW$67:$AW$76)*CA1004), N($AK$67:$AK$76&gt;$AI1004))
) / 1000</f>
        <v>0</v>
      </c>
      <c r="CG1004" s="250">
        <f t="shared" si="857"/>
        <v>25</v>
      </c>
      <c r="CH1004" s="237">
        <f t="shared" si="842"/>
        <v>38</v>
      </c>
      <c r="CI1004" s="253">
        <f t="shared" si="843"/>
        <v>4.0666935483870965</v>
      </c>
      <c r="CJ1004" s="253" cm="1">
        <f t="array" ref="CJ1004">$BC1004 * IF($AD1004&lt;=2,
SUMPRODUCT(INDEX($AL$67:$AN$71,,$AE1004), INDEX($AO$67:$AU$71,,$AD1004), 1 / ($AV$67:$AV$71*CI1004 + (1-$AV$67:$AV$71)*CE1004), N($AK$67:$AK$71&gt;$AI1004)),
SUMPRODUCT(INDEX($AL$57:$AN$66,,$AE1004), INDEX($AO$57:$AU$66,,$AD1004), 1 / ($AW$57:$AW$66*CI1004 + (1-$AW$57:$AW$66)*CE1004), N($AK$57:$AK$66&gt;$AI1004))
) / 1000</f>
        <v>0</v>
      </c>
      <c r="CK1004" s="250">
        <f t="shared" si="858"/>
        <v>20</v>
      </c>
      <c r="CL1004" s="237">
        <f t="shared" si="844"/>
        <v>33</v>
      </c>
      <c r="CM1004" s="253">
        <f t="shared" si="845"/>
        <v>4.8487499999999999</v>
      </c>
      <c r="CN1004" s="253" cm="1">
        <f t="array" ref="CN1004">$BC1004 * IF($AD1004&lt;=2,
SUMPRODUCT(INDEX($AL$62:$AN$66,,$AE1004), INDEX($AO$62:$AU$66,,$AD1004), 1 / ($AV$62:$AV$66*CM1004 + (1-$AV$62:$AV$66)*CI1004), N($AK$62:$AK$66&gt;$AI1004)),
SUMPRODUCT(INDEX($AL$47:$AN$56,,$AE1004), INDEX($AO$47:$AU$56,,$AD1004), 1 / ($AW$47:$AW$56*CM1004 + (1-$AW$47:$AW$56)*CI1004), N($AK$47:$AK$56&gt;$AI1004))
) / 1000</f>
        <v>0</v>
      </c>
      <c r="CO1004" s="253" cm="1">
        <f t="array" ref="CO1004">$BC1004 * IF($AD1004&lt;=2,
SUMPRODUCT(INDEX($AL$23:$AN$61,,$AE1004), INDEX($AO$23:$AU$61,,$AD1004), 1 / ($AV$23:$AV$61*CM1004), N($AK$23:$AK$61&gt;$AI1004)),
SUMPRODUCT(INDEX($AL$23:$AN$46,,$AE1004), INDEX($AO$23:$AU$46,,$AD1004), 1 / ($AW$23:$AW$46*CM1004), N($AK$23:$AK$46&gt;$AI1004))
) / 1000</f>
        <v>0</v>
      </c>
      <c r="CP1004" s="237">
        <f t="shared" si="846"/>
        <v>0</v>
      </c>
      <c r="CQ1004" s="210"/>
    </row>
    <row r="1005" spans="1:95" s="76" customFormat="1" ht="14.25" customHeight="1" x14ac:dyDescent="0.2">
      <c r="A1005" s="238" t="b">
        <f t="shared" si="850"/>
        <v>0</v>
      </c>
      <c r="B1005" s="239">
        <v>983</v>
      </c>
      <c r="C1005" s="258"/>
      <c r="D1005" s="258"/>
      <c r="E1005" s="240"/>
      <c r="F1005" s="241" t="str">
        <f>IF(ISBLANK(E1005), "", VLOOKUP(E1005, Z!$A$2:$C$4127, 3, FALSE))</f>
        <v/>
      </c>
      <c r="G1005" s="242"/>
      <c r="H1005" s="242"/>
      <c r="I1005" s="243"/>
      <c r="J1005" s="244"/>
      <c r="K1005" s="259"/>
      <c r="L1005" s="260"/>
      <c r="M1005" s="247" t="str" cm="1">
        <f t="array" ref="M1005">IF($K1005&gt;0, INDEX(Clean,1+AG1005,$C$1), "")</f>
        <v/>
      </c>
      <c r="N1005" s="245"/>
      <c r="O1005" s="245"/>
      <c r="P1005" s="246"/>
      <c r="Q1005" s="248">
        <f t="shared" si="823"/>
        <v>0</v>
      </c>
      <c r="R1005" s="247" t="str" cm="1">
        <f t="array" ref="R1005">IF($K1005&gt;0, INDEX(Clean,1+AH1005,$C$1), "")</f>
        <v/>
      </c>
      <c r="S1005" s="245"/>
      <c r="T1005" s="245"/>
      <c r="U1005" s="246"/>
      <c r="V1005" s="248">
        <f t="shared" si="824"/>
        <v>0</v>
      </c>
      <c r="W1005" s="261"/>
      <c r="X1005" s="258"/>
      <c r="Y1005" s="240"/>
      <c r="Z1005" s="241" t="str">
        <f>IF(ISBLANK(Y1005), "", VLOOKUP(Y1005, Z!$A$2:$C$4127, 3, FALSE))</f>
        <v/>
      </c>
      <c r="AA1005" s="262"/>
      <c r="AB1005" s="249">
        <f t="shared" si="859"/>
        <v>0</v>
      </c>
      <c r="AC1005" s="210"/>
      <c r="AD1005" s="236">
        <f t="shared" si="847"/>
        <v>1</v>
      </c>
      <c r="AE1005" s="236">
        <f t="shared" si="848"/>
        <v>1</v>
      </c>
      <c r="AF1005" s="236">
        <f t="shared" si="849"/>
        <v>0</v>
      </c>
      <c r="AG1005" s="236">
        <v>1</v>
      </c>
      <c r="AH1005" s="236">
        <v>0</v>
      </c>
      <c r="AI1005" s="236">
        <f t="shared" si="825"/>
        <v>-100</v>
      </c>
      <c r="AJ1005" s="210"/>
      <c r="AK1005" s="254"/>
      <c r="AL1005" s="254"/>
      <c r="AM1005" s="255"/>
      <c r="AN1005" s="255"/>
      <c r="AO1005" s="255"/>
      <c r="AP1005" s="255"/>
      <c r="AQ1005" s="255"/>
      <c r="AR1005" s="255"/>
      <c r="AS1005" s="255"/>
      <c r="AT1005" s="255"/>
      <c r="AU1005" s="255"/>
      <c r="AV1005" s="255"/>
      <c r="AW1005" s="255"/>
      <c r="AX1005" s="210"/>
      <c r="AY1005" s="236" cm="1">
        <f t="array" ref="AY1005">INDEX(Use, $AD1005, 4)</f>
        <v>7</v>
      </c>
      <c r="AZ1005" s="236">
        <f t="shared" si="826"/>
        <v>32</v>
      </c>
      <c r="BA1005" s="236">
        <f t="shared" si="851"/>
        <v>13</v>
      </c>
      <c r="BB1005" s="236">
        <f t="shared" si="852"/>
        <v>0</v>
      </c>
      <c r="BC1005" s="252" cm="1">
        <f t="array" ref="BC1005">K1005/IF($L1005&gt;0, INDEX($AO$23:$AU$77, $L1005+20, $AD1005), 1)</f>
        <v>0</v>
      </c>
      <c r="BD1005" s="237">
        <f t="shared" si="827"/>
        <v>0</v>
      </c>
      <c r="BE1005" s="236">
        <v>35</v>
      </c>
      <c r="BF1005" s="237">
        <f t="shared" si="828"/>
        <v>52.55</v>
      </c>
      <c r="BG1005" s="253">
        <f t="shared" si="829"/>
        <v>2.7676728869374316</v>
      </c>
      <c r="BH1005" s="253" cm="1">
        <f t="array" ref="BH1005">$BC1005 * SUMPRODUCT(INDEX($AL$77:$AN$82,,$AE1005),INDEX($AO$77:$AU$82,,$AD1005), N($AK$77:$AK$82&gt;$AI1005)) / BG1005 / 1000</f>
        <v>0</v>
      </c>
      <c r="BI1005" s="250">
        <f t="shared" si="853"/>
        <v>30</v>
      </c>
      <c r="BJ1005" s="237">
        <f t="shared" si="830"/>
        <v>46.033333333333331</v>
      </c>
      <c r="BK1005" s="253">
        <f t="shared" si="831"/>
        <v>3.2297395388556791</v>
      </c>
      <c r="BL1005" s="253" cm="1">
        <f t="array" ref="BL1005">$BC1005 * IF($AD1005&lt;=2,
SUMPRODUCT(INDEX($AL$72:$AN$76,,$AE1005), INDEX($AO$72:$AU$76,,$AD1005), 1 / ($AV$72:$AV$76*BK1005 + (1-$AV$72:$AV$76)*BG1005), N($AK$72:$AK$76&gt;$AI1005)),
SUMPRODUCT(INDEX($AL$67:$AN$76,,$AE1005), INDEX($AO$67:$AU$76,,$AD1005), 1 / ($AW$67:$AW$76*BK1005 + (1-$AW$67:$AW$76)*BG1005), N($AK$67:$AK$76&gt;$AI1005))
) / 1000</f>
        <v>0</v>
      </c>
      <c r="BM1005" s="250">
        <f t="shared" si="854"/>
        <v>25</v>
      </c>
      <c r="BN1005" s="237">
        <f t="shared" si="832"/>
        <v>39.516666666666666</v>
      </c>
      <c r="BO1005" s="253">
        <f t="shared" si="833"/>
        <v>3.877011788826243</v>
      </c>
      <c r="BP1005" s="253" cm="1">
        <f t="array" ref="BP1005">$BC1005 * IF($AD1005&lt;=2,
SUMPRODUCT(INDEX($AL$67:$AN$71,,$AE1005), INDEX($AO$67:$AU$71,,$AD1005), 1 / ($AV$67:$AV$71*BO1005 + (1-$AV$67:$AV$71)*BK1005), N($AK$67:$AK$71&gt;$AI1005)),
SUMPRODUCT(INDEX($AL$57:$AN$66,,$AE1005), INDEX($AO$57:$AU$66,,$AD1005), 1 / ($AW$57:$AW$66*BO1005 + (1-$AW$57:$AW$66)*BK1005), N($AK$57:$AK$66&gt;$AI1005))
) / 1000</f>
        <v>0</v>
      </c>
      <c r="BQ1005" s="250">
        <f t="shared" si="855"/>
        <v>20</v>
      </c>
      <c r="BR1005" s="237">
        <f t="shared" si="834"/>
        <v>33</v>
      </c>
      <c r="BS1005" s="253">
        <f t="shared" si="835"/>
        <v>4.8487499999999999</v>
      </c>
      <c r="BT1005" s="253" cm="1">
        <f t="array" ref="BT1005">$BC1005 * IF($AD1005&lt;=2,
SUMPRODUCT(INDEX($AL$62:$AN$66,,$AE1005), INDEX($AO$62:$AU$66,,$AD1005), 1 / ($AV$62:$AV$66*BS1005 + (1-$AV$62:$AV$66)*BO1005), N($AK$62:$AK$66&gt;$AI1005)),
SUMPRODUCT(INDEX($AL$47:$AN$56,,$AE1005), INDEX($AO$47:$AU$56,,$AD1005), 1 / ($AW$47:$AW$56*BS1005 + (1-$AW$47:$AW$56)*BO1005), N($AK$47:$AK$56&gt;$AI1005))
) / 1000</f>
        <v>0</v>
      </c>
      <c r="BU1005" s="253" cm="1">
        <f t="array" ref="BU1005">$BC1005 * IF($AD1005&lt;=2,
SUMPRODUCT(INDEX($AL$23:$AN$61,,$AE1005), INDEX($AO$23:$AU$61,,$AD1005), 1 / ($AV$23:$AV$61*BS1005), N($AK$23:$AK$61&gt;$AI1005)),
SUMPRODUCT(INDEX($AL$23:$AN$46,,$AE1005), INDEX($AO$23:$AU$46,,$AD1005), 1 / ($AW$23:$AW$46*BS1005), N($AK$23:$AK$46&gt;$AI1005))
) / 1000</f>
        <v>0</v>
      </c>
      <c r="BV1005" s="237">
        <f t="shared" si="836"/>
        <v>0</v>
      </c>
      <c r="BW1005" s="210"/>
      <c r="BX1005" s="237">
        <f t="shared" si="837"/>
        <v>0</v>
      </c>
      <c r="BY1005" s="236">
        <v>35</v>
      </c>
      <c r="BZ1005" s="237">
        <f t="shared" si="838"/>
        <v>48</v>
      </c>
      <c r="CA1005" s="253">
        <f t="shared" si="839"/>
        <v>3.0748170731707316</v>
      </c>
      <c r="CB1005" s="253" cm="1">
        <f t="array" ref="CB1005">$BC1005 * SUMPRODUCT(INDEX($AL$77:$AN$82,,$AE1005),INDEX($AO$77:$AU$82,,$AD1005), N($AK$77:$AK$82&gt;$AI1005)) / CA1005 / 1000</f>
        <v>0</v>
      </c>
      <c r="CC1005" s="250">
        <f t="shared" si="856"/>
        <v>30</v>
      </c>
      <c r="CD1005" s="237">
        <f t="shared" si="840"/>
        <v>43</v>
      </c>
      <c r="CE1005" s="253">
        <f t="shared" si="841"/>
        <v>3.5018750000000001</v>
      </c>
      <c r="CF1005" s="253" cm="1">
        <f t="array" ref="CF1005">$BC1005 * IF($AD1005&lt;=2,
SUMPRODUCT(INDEX($AL$72:$AN$76,,$AE1005), INDEX($AO$72:$AU$76,,$AD1005), 1 / ($AV$72:$AV$76*CE1005 + (1-$AV$72:$AV$76)*CA1005), N($AK$72:$AK$76&gt;$AI1005)),
SUMPRODUCT(INDEX($AL$67:$AN$76,,$AE1005), INDEX($AO$67:$AU$76,,$AD1005), 1 / ($AW$67:$AW$76*CE1005 + (1-$AW$67:$AW$76)*CA1005), N($AK$67:$AK$76&gt;$AI1005))
) / 1000</f>
        <v>0</v>
      </c>
      <c r="CG1005" s="250">
        <f t="shared" si="857"/>
        <v>25</v>
      </c>
      <c r="CH1005" s="237">
        <f t="shared" si="842"/>
        <v>38</v>
      </c>
      <c r="CI1005" s="253">
        <f t="shared" si="843"/>
        <v>4.0666935483870965</v>
      </c>
      <c r="CJ1005" s="253" cm="1">
        <f t="array" ref="CJ1005">$BC1005 * IF($AD1005&lt;=2,
SUMPRODUCT(INDEX($AL$67:$AN$71,,$AE1005), INDEX($AO$67:$AU$71,,$AD1005), 1 / ($AV$67:$AV$71*CI1005 + (1-$AV$67:$AV$71)*CE1005), N($AK$67:$AK$71&gt;$AI1005)),
SUMPRODUCT(INDEX($AL$57:$AN$66,,$AE1005), INDEX($AO$57:$AU$66,,$AD1005), 1 / ($AW$57:$AW$66*CI1005 + (1-$AW$57:$AW$66)*CE1005), N($AK$57:$AK$66&gt;$AI1005))
) / 1000</f>
        <v>0</v>
      </c>
      <c r="CK1005" s="250">
        <f t="shared" si="858"/>
        <v>20</v>
      </c>
      <c r="CL1005" s="237">
        <f t="shared" si="844"/>
        <v>33</v>
      </c>
      <c r="CM1005" s="253">
        <f t="shared" si="845"/>
        <v>4.8487499999999999</v>
      </c>
      <c r="CN1005" s="253" cm="1">
        <f t="array" ref="CN1005">$BC1005 * IF($AD1005&lt;=2,
SUMPRODUCT(INDEX($AL$62:$AN$66,,$AE1005), INDEX($AO$62:$AU$66,,$AD1005), 1 / ($AV$62:$AV$66*CM1005 + (1-$AV$62:$AV$66)*CI1005), N($AK$62:$AK$66&gt;$AI1005)),
SUMPRODUCT(INDEX($AL$47:$AN$56,,$AE1005), INDEX($AO$47:$AU$56,,$AD1005), 1 / ($AW$47:$AW$56*CM1005 + (1-$AW$47:$AW$56)*CI1005), N($AK$47:$AK$56&gt;$AI1005))
) / 1000</f>
        <v>0</v>
      </c>
      <c r="CO1005" s="253" cm="1">
        <f t="array" ref="CO1005">$BC1005 * IF($AD1005&lt;=2,
SUMPRODUCT(INDEX($AL$23:$AN$61,,$AE1005), INDEX($AO$23:$AU$61,,$AD1005), 1 / ($AV$23:$AV$61*CM1005), N($AK$23:$AK$61&gt;$AI1005)),
SUMPRODUCT(INDEX($AL$23:$AN$46,,$AE1005), INDEX($AO$23:$AU$46,,$AD1005), 1 / ($AW$23:$AW$46*CM1005), N($AK$23:$AK$46&gt;$AI1005))
) / 1000</f>
        <v>0</v>
      </c>
      <c r="CP1005" s="237">
        <f t="shared" si="846"/>
        <v>0</v>
      </c>
      <c r="CQ1005" s="210"/>
    </row>
    <row r="1006" spans="1:95" s="76" customFormat="1" ht="14.25" customHeight="1" x14ac:dyDescent="0.2">
      <c r="A1006" s="238" t="b">
        <f t="shared" si="850"/>
        <v>0</v>
      </c>
      <c r="B1006" s="239">
        <v>984</v>
      </c>
      <c r="C1006" s="258"/>
      <c r="D1006" s="258"/>
      <c r="E1006" s="240"/>
      <c r="F1006" s="241" t="str">
        <f>IF(ISBLANK(E1006), "", VLOOKUP(E1006, Z!$A$2:$C$4127, 3, FALSE))</f>
        <v/>
      </c>
      <c r="G1006" s="242"/>
      <c r="H1006" s="242"/>
      <c r="I1006" s="243"/>
      <c r="J1006" s="244"/>
      <c r="K1006" s="259"/>
      <c r="L1006" s="260"/>
      <c r="M1006" s="247" t="str" cm="1">
        <f t="array" ref="M1006">IF($K1006&gt;0, INDEX(Clean,1+AG1006,$C$1), "")</f>
        <v/>
      </c>
      <c r="N1006" s="245"/>
      <c r="O1006" s="245"/>
      <c r="P1006" s="246"/>
      <c r="Q1006" s="248">
        <f t="shared" si="823"/>
        <v>0</v>
      </c>
      <c r="R1006" s="247" t="str" cm="1">
        <f t="array" ref="R1006">IF($K1006&gt;0, INDEX(Clean,1+AH1006,$C$1), "")</f>
        <v/>
      </c>
      <c r="S1006" s="245"/>
      <c r="T1006" s="245"/>
      <c r="U1006" s="246"/>
      <c r="V1006" s="248">
        <f t="shared" si="824"/>
        <v>0</v>
      </c>
      <c r="W1006" s="261"/>
      <c r="X1006" s="258"/>
      <c r="Y1006" s="240"/>
      <c r="Z1006" s="241" t="str">
        <f>IF(ISBLANK(Y1006), "", VLOOKUP(Y1006, Z!$A$2:$C$4127, 3, FALSE))</f>
        <v/>
      </c>
      <c r="AA1006" s="262"/>
      <c r="AB1006" s="249">
        <f t="shared" si="859"/>
        <v>0</v>
      </c>
      <c r="AC1006" s="210"/>
      <c r="AD1006" s="236">
        <f t="shared" si="847"/>
        <v>1</v>
      </c>
      <c r="AE1006" s="236">
        <f t="shared" si="848"/>
        <v>1</v>
      </c>
      <c r="AF1006" s="236">
        <f t="shared" si="849"/>
        <v>0</v>
      </c>
      <c r="AG1006" s="236">
        <v>1</v>
      </c>
      <c r="AH1006" s="236">
        <v>0</v>
      </c>
      <c r="AI1006" s="236">
        <f t="shared" si="825"/>
        <v>-100</v>
      </c>
      <c r="AJ1006" s="210"/>
      <c r="AK1006" s="254"/>
      <c r="AL1006" s="254"/>
      <c r="AM1006" s="255"/>
      <c r="AN1006" s="255"/>
      <c r="AO1006" s="255"/>
      <c r="AP1006" s="255"/>
      <c r="AQ1006" s="255"/>
      <c r="AR1006" s="255"/>
      <c r="AS1006" s="255"/>
      <c r="AT1006" s="255"/>
      <c r="AU1006" s="255"/>
      <c r="AV1006" s="255"/>
      <c r="AW1006" s="255"/>
      <c r="AX1006" s="210"/>
      <c r="AY1006" s="236" cm="1">
        <f t="array" ref="AY1006">INDEX(Use, $AD1006, 4)</f>
        <v>7</v>
      </c>
      <c r="AZ1006" s="236">
        <f t="shared" si="826"/>
        <v>32</v>
      </c>
      <c r="BA1006" s="236">
        <f t="shared" si="851"/>
        <v>13</v>
      </c>
      <c r="BB1006" s="236">
        <f t="shared" si="852"/>
        <v>0</v>
      </c>
      <c r="BC1006" s="252" cm="1">
        <f t="array" ref="BC1006">K1006/IF($L1006&gt;0, INDEX($AO$23:$AU$77, $L1006+20, $AD1006), 1)</f>
        <v>0</v>
      </c>
      <c r="BD1006" s="237">
        <f t="shared" si="827"/>
        <v>0</v>
      </c>
      <c r="BE1006" s="236">
        <v>35</v>
      </c>
      <c r="BF1006" s="237">
        <f t="shared" si="828"/>
        <v>52.55</v>
      </c>
      <c r="BG1006" s="253">
        <f t="shared" si="829"/>
        <v>2.7676728869374316</v>
      </c>
      <c r="BH1006" s="253" cm="1">
        <f t="array" ref="BH1006">$BC1006 * SUMPRODUCT(INDEX($AL$77:$AN$82,,$AE1006),INDEX($AO$77:$AU$82,,$AD1006), N($AK$77:$AK$82&gt;$AI1006)) / BG1006 / 1000</f>
        <v>0</v>
      </c>
      <c r="BI1006" s="250">
        <f t="shared" si="853"/>
        <v>30</v>
      </c>
      <c r="BJ1006" s="237">
        <f t="shared" si="830"/>
        <v>46.033333333333331</v>
      </c>
      <c r="BK1006" s="253">
        <f t="shared" si="831"/>
        <v>3.2297395388556791</v>
      </c>
      <c r="BL1006" s="253" cm="1">
        <f t="array" ref="BL1006">$BC1006 * IF($AD1006&lt;=2,
SUMPRODUCT(INDEX($AL$72:$AN$76,,$AE1006), INDEX($AO$72:$AU$76,,$AD1006), 1 / ($AV$72:$AV$76*BK1006 + (1-$AV$72:$AV$76)*BG1006), N($AK$72:$AK$76&gt;$AI1006)),
SUMPRODUCT(INDEX($AL$67:$AN$76,,$AE1006), INDEX($AO$67:$AU$76,,$AD1006), 1 / ($AW$67:$AW$76*BK1006 + (1-$AW$67:$AW$76)*BG1006), N($AK$67:$AK$76&gt;$AI1006))
) / 1000</f>
        <v>0</v>
      </c>
      <c r="BM1006" s="250">
        <f t="shared" si="854"/>
        <v>25</v>
      </c>
      <c r="BN1006" s="237">
        <f t="shared" si="832"/>
        <v>39.516666666666666</v>
      </c>
      <c r="BO1006" s="253">
        <f t="shared" si="833"/>
        <v>3.877011788826243</v>
      </c>
      <c r="BP1006" s="253" cm="1">
        <f t="array" ref="BP1006">$BC1006 * IF($AD1006&lt;=2,
SUMPRODUCT(INDEX($AL$67:$AN$71,,$AE1006), INDEX($AO$67:$AU$71,,$AD1006), 1 / ($AV$67:$AV$71*BO1006 + (1-$AV$67:$AV$71)*BK1006), N($AK$67:$AK$71&gt;$AI1006)),
SUMPRODUCT(INDEX($AL$57:$AN$66,,$AE1006), INDEX($AO$57:$AU$66,,$AD1006), 1 / ($AW$57:$AW$66*BO1006 + (1-$AW$57:$AW$66)*BK1006), N($AK$57:$AK$66&gt;$AI1006))
) / 1000</f>
        <v>0</v>
      </c>
      <c r="BQ1006" s="250">
        <f t="shared" si="855"/>
        <v>20</v>
      </c>
      <c r="BR1006" s="237">
        <f t="shared" si="834"/>
        <v>33</v>
      </c>
      <c r="BS1006" s="253">
        <f t="shared" si="835"/>
        <v>4.8487499999999999</v>
      </c>
      <c r="BT1006" s="253" cm="1">
        <f t="array" ref="BT1006">$BC1006 * IF($AD1006&lt;=2,
SUMPRODUCT(INDEX($AL$62:$AN$66,,$AE1006), INDEX($AO$62:$AU$66,,$AD1006), 1 / ($AV$62:$AV$66*BS1006 + (1-$AV$62:$AV$66)*BO1006), N($AK$62:$AK$66&gt;$AI1006)),
SUMPRODUCT(INDEX($AL$47:$AN$56,,$AE1006), INDEX($AO$47:$AU$56,,$AD1006), 1 / ($AW$47:$AW$56*BS1006 + (1-$AW$47:$AW$56)*BO1006), N($AK$47:$AK$56&gt;$AI1006))
) / 1000</f>
        <v>0</v>
      </c>
      <c r="BU1006" s="253" cm="1">
        <f t="array" ref="BU1006">$BC1006 * IF($AD1006&lt;=2,
SUMPRODUCT(INDEX($AL$23:$AN$61,,$AE1006), INDEX($AO$23:$AU$61,,$AD1006), 1 / ($AV$23:$AV$61*BS1006), N($AK$23:$AK$61&gt;$AI1006)),
SUMPRODUCT(INDEX($AL$23:$AN$46,,$AE1006), INDEX($AO$23:$AU$46,,$AD1006), 1 / ($AW$23:$AW$46*BS1006), N($AK$23:$AK$46&gt;$AI1006))
) / 1000</f>
        <v>0</v>
      </c>
      <c r="BV1006" s="237">
        <f t="shared" si="836"/>
        <v>0</v>
      </c>
      <c r="BW1006" s="210"/>
      <c r="BX1006" s="237">
        <f t="shared" si="837"/>
        <v>0</v>
      </c>
      <c r="BY1006" s="236">
        <v>35</v>
      </c>
      <c r="BZ1006" s="237">
        <f t="shared" si="838"/>
        <v>48</v>
      </c>
      <c r="CA1006" s="253">
        <f t="shared" si="839"/>
        <v>3.0748170731707316</v>
      </c>
      <c r="CB1006" s="253" cm="1">
        <f t="array" ref="CB1006">$BC1006 * SUMPRODUCT(INDEX($AL$77:$AN$82,,$AE1006),INDEX($AO$77:$AU$82,,$AD1006), N($AK$77:$AK$82&gt;$AI1006)) / CA1006 / 1000</f>
        <v>0</v>
      </c>
      <c r="CC1006" s="250">
        <f t="shared" si="856"/>
        <v>30</v>
      </c>
      <c r="CD1006" s="237">
        <f t="shared" si="840"/>
        <v>43</v>
      </c>
      <c r="CE1006" s="253">
        <f t="shared" si="841"/>
        <v>3.5018750000000001</v>
      </c>
      <c r="CF1006" s="253" cm="1">
        <f t="array" ref="CF1006">$BC1006 * IF($AD1006&lt;=2,
SUMPRODUCT(INDEX($AL$72:$AN$76,,$AE1006), INDEX($AO$72:$AU$76,,$AD1006), 1 / ($AV$72:$AV$76*CE1006 + (1-$AV$72:$AV$76)*CA1006), N($AK$72:$AK$76&gt;$AI1006)),
SUMPRODUCT(INDEX($AL$67:$AN$76,,$AE1006), INDEX($AO$67:$AU$76,,$AD1006), 1 / ($AW$67:$AW$76*CE1006 + (1-$AW$67:$AW$76)*CA1006), N($AK$67:$AK$76&gt;$AI1006))
) / 1000</f>
        <v>0</v>
      </c>
      <c r="CG1006" s="250">
        <f t="shared" si="857"/>
        <v>25</v>
      </c>
      <c r="CH1006" s="237">
        <f t="shared" si="842"/>
        <v>38</v>
      </c>
      <c r="CI1006" s="253">
        <f t="shared" si="843"/>
        <v>4.0666935483870965</v>
      </c>
      <c r="CJ1006" s="253" cm="1">
        <f t="array" ref="CJ1006">$BC1006 * IF($AD1006&lt;=2,
SUMPRODUCT(INDEX($AL$67:$AN$71,,$AE1006), INDEX($AO$67:$AU$71,,$AD1006), 1 / ($AV$67:$AV$71*CI1006 + (1-$AV$67:$AV$71)*CE1006), N($AK$67:$AK$71&gt;$AI1006)),
SUMPRODUCT(INDEX($AL$57:$AN$66,,$AE1006), INDEX($AO$57:$AU$66,,$AD1006), 1 / ($AW$57:$AW$66*CI1006 + (1-$AW$57:$AW$66)*CE1006), N($AK$57:$AK$66&gt;$AI1006))
) / 1000</f>
        <v>0</v>
      </c>
      <c r="CK1006" s="250">
        <f t="shared" si="858"/>
        <v>20</v>
      </c>
      <c r="CL1006" s="237">
        <f t="shared" si="844"/>
        <v>33</v>
      </c>
      <c r="CM1006" s="253">
        <f t="shared" si="845"/>
        <v>4.8487499999999999</v>
      </c>
      <c r="CN1006" s="253" cm="1">
        <f t="array" ref="CN1006">$BC1006 * IF($AD1006&lt;=2,
SUMPRODUCT(INDEX($AL$62:$AN$66,,$AE1006), INDEX($AO$62:$AU$66,,$AD1006), 1 / ($AV$62:$AV$66*CM1006 + (1-$AV$62:$AV$66)*CI1006), N($AK$62:$AK$66&gt;$AI1006)),
SUMPRODUCT(INDEX($AL$47:$AN$56,,$AE1006), INDEX($AO$47:$AU$56,,$AD1006), 1 / ($AW$47:$AW$56*CM1006 + (1-$AW$47:$AW$56)*CI1006), N($AK$47:$AK$56&gt;$AI1006))
) / 1000</f>
        <v>0</v>
      </c>
      <c r="CO1006" s="253" cm="1">
        <f t="array" ref="CO1006">$BC1006 * IF($AD1006&lt;=2,
SUMPRODUCT(INDEX($AL$23:$AN$61,,$AE1006), INDEX($AO$23:$AU$61,,$AD1006), 1 / ($AV$23:$AV$61*CM1006), N($AK$23:$AK$61&gt;$AI1006)),
SUMPRODUCT(INDEX($AL$23:$AN$46,,$AE1006), INDEX($AO$23:$AU$46,,$AD1006), 1 / ($AW$23:$AW$46*CM1006), N($AK$23:$AK$46&gt;$AI1006))
) / 1000</f>
        <v>0</v>
      </c>
      <c r="CP1006" s="237">
        <f t="shared" si="846"/>
        <v>0</v>
      </c>
      <c r="CQ1006" s="210"/>
    </row>
    <row r="1007" spans="1:95" s="76" customFormat="1" ht="14.25" customHeight="1" x14ac:dyDescent="0.2">
      <c r="A1007" s="238" t="b">
        <f t="shared" si="850"/>
        <v>0</v>
      </c>
      <c r="B1007" s="239">
        <v>985</v>
      </c>
      <c r="C1007" s="258"/>
      <c r="D1007" s="258"/>
      <c r="E1007" s="240"/>
      <c r="F1007" s="241" t="str">
        <f>IF(ISBLANK(E1007), "", VLOOKUP(E1007, Z!$A$2:$C$4127, 3, FALSE))</f>
        <v/>
      </c>
      <c r="G1007" s="242"/>
      <c r="H1007" s="242"/>
      <c r="I1007" s="243"/>
      <c r="J1007" s="244"/>
      <c r="K1007" s="259"/>
      <c r="L1007" s="260"/>
      <c r="M1007" s="247" t="str" cm="1">
        <f t="array" ref="M1007">IF($K1007&gt;0, INDEX(Clean,1+AG1007,$C$1), "")</f>
        <v/>
      </c>
      <c r="N1007" s="245"/>
      <c r="O1007" s="245"/>
      <c r="P1007" s="246"/>
      <c r="Q1007" s="248">
        <f t="shared" si="823"/>
        <v>0</v>
      </c>
      <c r="R1007" s="247" t="str" cm="1">
        <f t="array" ref="R1007">IF($K1007&gt;0, INDEX(Clean,1+AH1007,$C$1), "")</f>
        <v/>
      </c>
      <c r="S1007" s="245"/>
      <c r="T1007" s="245"/>
      <c r="U1007" s="246"/>
      <c r="V1007" s="248">
        <f t="shared" si="824"/>
        <v>0</v>
      </c>
      <c r="W1007" s="261"/>
      <c r="X1007" s="258"/>
      <c r="Y1007" s="240"/>
      <c r="Z1007" s="241" t="str">
        <f>IF(ISBLANK(Y1007), "", VLOOKUP(Y1007, Z!$A$2:$C$4127, 3, FALSE))</f>
        <v/>
      </c>
      <c r="AA1007" s="262"/>
      <c r="AB1007" s="249">
        <f t="shared" si="859"/>
        <v>0</v>
      </c>
      <c r="AC1007" s="210"/>
      <c r="AD1007" s="236">
        <f t="shared" si="847"/>
        <v>1</v>
      </c>
      <c r="AE1007" s="236">
        <f t="shared" si="848"/>
        <v>1</v>
      </c>
      <c r="AF1007" s="236">
        <f t="shared" si="849"/>
        <v>0</v>
      </c>
      <c r="AG1007" s="236">
        <v>1</v>
      </c>
      <c r="AH1007" s="236">
        <v>0</v>
      </c>
      <c r="AI1007" s="236">
        <f t="shared" si="825"/>
        <v>-100</v>
      </c>
      <c r="AJ1007" s="210"/>
      <c r="AK1007" s="254"/>
      <c r="AL1007" s="254"/>
      <c r="AM1007" s="255"/>
      <c r="AN1007" s="255"/>
      <c r="AO1007" s="255"/>
      <c r="AP1007" s="255"/>
      <c r="AQ1007" s="255"/>
      <c r="AR1007" s="255"/>
      <c r="AS1007" s="255"/>
      <c r="AT1007" s="255"/>
      <c r="AU1007" s="255"/>
      <c r="AV1007" s="255"/>
      <c r="AW1007" s="255"/>
      <c r="AX1007" s="210"/>
      <c r="AY1007" s="236" cm="1">
        <f t="array" ref="AY1007">INDEX(Use, $AD1007, 4)</f>
        <v>7</v>
      </c>
      <c r="AZ1007" s="236">
        <f t="shared" si="826"/>
        <v>32</v>
      </c>
      <c r="BA1007" s="236">
        <f t="shared" si="851"/>
        <v>13</v>
      </c>
      <c r="BB1007" s="236">
        <f t="shared" si="852"/>
        <v>0</v>
      </c>
      <c r="BC1007" s="252" cm="1">
        <f t="array" ref="BC1007">K1007/IF($L1007&gt;0, INDEX($AO$23:$AU$77, $L1007+20, $AD1007), 1)</f>
        <v>0</v>
      </c>
      <c r="BD1007" s="237">
        <f t="shared" si="827"/>
        <v>0</v>
      </c>
      <c r="BE1007" s="236">
        <v>35</v>
      </c>
      <c r="BF1007" s="237">
        <f t="shared" si="828"/>
        <v>52.55</v>
      </c>
      <c r="BG1007" s="253">
        <f t="shared" si="829"/>
        <v>2.7676728869374316</v>
      </c>
      <c r="BH1007" s="253" cm="1">
        <f t="array" ref="BH1007">$BC1007 * SUMPRODUCT(INDEX($AL$77:$AN$82,,$AE1007),INDEX($AO$77:$AU$82,,$AD1007), N($AK$77:$AK$82&gt;$AI1007)) / BG1007 / 1000</f>
        <v>0</v>
      </c>
      <c r="BI1007" s="250">
        <f t="shared" si="853"/>
        <v>30</v>
      </c>
      <c r="BJ1007" s="237">
        <f t="shared" si="830"/>
        <v>46.033333333333331</v>
      </c>
      <c r="BK1007" s="253">
        <f t="shared" si="831"/>
        <v>3.2297395388556791</v>
      </c>
      <c r="BL1007" s="253" cm="1">
        <f t="array" ref="BL1007">$BC1007 * IF($AD1007&lt;=2,
SUMPRODUCT(INDEX($AL$72:$AN$76,,$AE1007), INDEX($AO$72:$AU$76,,$AD1007), 1 / ($AV$72:$AV$76*BK1007 + (1-$AV$72:$AV$76)*BG1007), N($AK$72:$AK$76&gt;$AI1007)),
SUMPRODUCT(INDEX($AL$67:$AN$76,,$AE1007), INDEX($AO$67:$AU$76,,$AD1007), 1 / ($AW$67:$AW$76*BK1007 + (1-$AW$67:$AW$76)*BG1007), N($AK$67:$AK$76&gt;$AI1007))
) / 1000</f>
        <v>0</v>
      </c>
      <c r="BM1007" s="250">
        <f t="shared" si="854"/>
        <v>25</v>
      </c>
      <c r="BN1007" s="237">
        <f t="shared" si="832"/>
        <v>39.516666666666666</v>
      </c>
      <c r="BO1007" s="253">
        <f t="shared" si="833"/>
        <v>3.877011788826243</v>
      </c>
      <c r="BP1007" s="253" cm="1">
        <f t="array" ref="BP1007">$BC1007 * IF($AD1007&lt;=2,
SUMPRODUCT(INDEX($AL$67:$AN$71,,$AE1007), INDEX($AO$67:$AU$71,,$AD1007), 1 / ($AV$67:$AV$71*BO1007 + (1-$AV$67:$AV$71)*BK1007), N($AK$67:$AK$71&gt;$AI1007)),
SUMPRODUCT(INDEX($AL$57:$AN$66,,$AE1007), INDEX($AO$57:$AU$66,,$AD1007), 1 / ($AW$57:$AW$66*BO1007 + (1-$AW$57:$AW$66)*BK1007), N($AK$57:$AK$66&gt;$AI1007))
) / 1000</f>
        <v>0</v>
      </c>
      <c r="BQ1007" s="250">
        <f t="shared" si="855"/>
        <v>20</v>
      </c>
      <c r="BR1007" s="237">
        <f t="shared" si="834"/>
        <v>33</v>
      </c>
      <c r="BS1007" s="253">
        <f t="shared" si="835"/>
        <v>4.8487499999999999</v>
      </c>
      <c r="BT1007" s="253" cm="1">
        <f t="array" ref="BT1007">$BC1007 * IF($AD1007&lt;=2,
SUMPRODUCT(INDEX($AL$62:$AN$66,,$AE1007), INDEX($AO$62:$AU$66,,$AD1007), 1 / ($AV$62:$AV$66*BS1007 + (1-$AV$62:$AV$66)*BO1007), N($AK$62:$AK$66&gt;$AI1007)),
SUMPRODUCT(INDEX($AL$47:$AN$56,,$AE1007), INDEX($AO$47:$AU$56,,$AD1007), 1 / ($AW$47:$AW$56*BS1007 + (1-$AW$47:$AW$56)*BO1007), N($AK$47:$AK$56&gt;$AI1007))
) / 1000</f>
        <v>0</v>
      </c>
      <c r="BU1007" s="253" cm="1">
        <f t="array" ref="BU1007">$BC1007 * IF($AD1007&lt;=2,
SUMPRODUCT(INDEX($AL$23:$AN$61,,$AE1007), INDEX($AO$23:$AU$61,,$AD1007), 1 / ($AV$23:$AV$61*BS1007), N($AK$23:$AK$61&gt;$AI1007)),
SUMPRODUCT(INDEX($AL$23:$AN$46,,$AE1007), INDEX($AO$23:$AU$46,,$AD1007), 1 / ($AW$23:$AW$46*BS1007), N($AK$23:$AK$46&gt;$AI1007))
) / 1000</f>
        <v>0</v>
      </c>
      <c r="BV1007" s="237">
        <f t="shared" si="836"/>
        <v>0</v>
      </c>
      <c r="BW1007" s="210"/>
      <c r="BX1007" s="237">
        <f t="shared" si="837"/>
        <v>0</v>
      </c>
      <c r="BY1007" s="236">
        <v>35</v>
      </c>
      <c r="BZ1007" s="237">
        <f t="shared" si="838"/>
        <v>48</v>
      </c>
      <c r="CA1007" s="253">
        <f t="shared" si="839"/>
        <v>3.0748170731707316</v>
      </c>
      <c r="CB1007" s="253" cm="1">
        <f t="array" ref="CB1007">$BC1007 * SUMPRODUCT(INDEX($AL$77:$AN$82,,$AE1007),INDEX($AO$77:$AU$82,,$AD1007), N($AK$77:$AK$82&gt;$AI1007)) / CA1007 / 1000</f>
        <v>0</v>
      </c>
      <c r="CC1007" s="250">
        <f t="shared" si="856"/>
        <v>30</v>
      </c>
      <c r="CD1007" s="237">
        <f t="shared" si="840"/>
        <v>43</v>
      </c>
      <c r="CE1007" s="253">
        <f t="shared" si="841"/>
        <v>3.5018750000000001</v>
      </c>
      <c r="CF1007" s="253" cm="1">
        <f t="array" ref="CF1007">$BC1007 * IF($AD1007&lt;=2,
SUMPRODUCT(INDEX($AL$72:$AN$76,,$AE1007), INDEX($AO$72:$AU$76,,$AD1007), 1 / ($AV$72:$AV$76*CE1007 + (1-$AV$72:$AV$76)*CA1007), N($AK$72:$AK$76&gt;$AI1007)),
SUMPRODUCT(INDEX($AL$67:$AN$76,,$AE1007), INDEX($AO$67:$AU$76,,$AD1007), 1 / ($AW$67:$AW$76*CE1007 + (1-$AW$67:$AW$76)*CA1007), N($AK$67:$AK$76&gt;$AI1007))
) / 1000</f>
        <v>0</v>
      </c>
      <c r="CG1007" s="250">
        <f t="shared" si="857"/>
        <v>25</v>
      </c>
      <c r="CH1007" s="237">
        <f t="shared" si="842"/>
        <v>38</v>
      </c>
      <c r="CI1007" s="253">
        <f t="shared" si="843"/>
        <v>4.0666935483870965</v>
      </c>
      <c r="CJ1007" s="253" cm="1">
        <f t="array" ref="CJ1007">$BC1007 * IF($AD1007&lt;=2,
SUMPRODUCT(INDEX($AL$67:$AN$71,,$AE1007), INDEX($AO$67:$AU$71,,$AD1007), 1 / ($AV$67:$AV$71*CI1007 + (1-$AV$67:$AV$71)*CE1007), N($AK$67:$AK$71&gt;$AI1007)),
SUMPRODUCT(INDEX($AL$57:$AN$66,,$AE1007), INDEX($AO$57:$AU$66,,$AD1007), 1 / ($AW$57:$AW$66*CI1007 + (1-$AW$57:$AW$66)*CE1007), N($AK$57:$AK$66&gt;$AI1007))
) / 1000</f>
        <v>0</v>
      </c>
      <c r="CK1007" s="250">
        <f t="shared" si="858"/>
        <v>20</v>
      </c>
      <c r="CL1007" s="237">
        <f t="shared" si="844"/>
        <v>33</v>
      </c>
      <c r="CM1007" s="253">
        <f t="shared" si="845"/>
        <v>4.8487499999999999</v>
      </c>
      <c r="CN1007" s="253" cm="1">
        <f t="array" ref="CN1007">$BC1007 * IF($AD1007&lt;=2,
SUMPRODUCT(INDEX($AL$62:$AN$66,,$AE1007), INDEX($AO$62:$AU$66,,$AD1007), 1 / ($AV$62:$AV$66*CM1007 + (1-$AV$62:$AV$66)*CI1007), N($AK$62:$AK$66&gt;$AI1007)),
SUMPRODUCT(INDEX($AL$47:$AN$56,,$AE1007), INDEX($AO$47:$AU$56,,$AD1007), 1 / ($AW$47:$AW$56*CM1007 + (1-$AW$47:$AW$56)*CI1007), N($AK$47:$AK$56&gt;$AI1007))
) / 1000</f>
        <v>0</v>
      </c>
      <c r="CO1007" s="253" cm="1">
        <f t="array" ref="CO1007">$BC1007 * IF($AD1007&lt;=2,
SUMPRODUCT(INDEX($AL$23:$AN$61,,$AE1007), INDEX($AO$23:$AU$61,,$AD1007), 1 / ($AV$23:$AV$61*CM1007), N($AK$23:$AK$61&gt;$AI1007)),
SUMPRODUCT(INDEX($AL$23:$AN$46,,$AE1007), INDEX($AO$23:$AU$46,,$AD1007), 1 / ($AW$23:$AW$46*CM1007), N($AK$23:$AK$46&gt;$AI1007))
) / 1000</f>
        <v>0</v>
      </c>
      <c r="CP1007" s="237">
        <f t="shared" si="846"/>
        <v>0</v>
      </c>
      <c r="CQ1007" s="210"/>
    </row>
    <row r="1008" spans="1:95" s="76" customFormat="1" ht="14.25" customHeight="1" x14ac:dyDescent="0.2">
      <c r="A1008" s="238" t="b">
        <f t="shared" si="850"/>
        <v>0</v>
      </c>
      <c r="B1008" s="239">
        <v>986</v>
      </c>
      <c r="C1008" s="258"/>
      <c r="D1008" s="258"/>
      <c r="E1008" s="240"/>
      <c r="F1008" s="241" t="str">
        <f>IF(ISBLANK(E1008), "", VLOOKUP(E1008, Z!$A$2:$C$4127, 3, FALSE))</f>
        <v/>
      </c>
      <c r="G1008" s="242"/>
      <c r="H1008" s="242"/>
      <c r="I1008" s="243"/>
      <c r="J1008" s="244"/>
      <c r="K1008" s="259"/>
      <c r="L1008" s="260"/>
      <c r="M1008" s="247" t="str" cm="1">
        <f t="array" ref="M1008">IF($K1008&gt;0, INDEX(Clean,1+AG1008,$C$1), "")</f>
        <v/>
      </c>
      <c r="N1008" s="245"/>
      <c r="O1008" s="245"/>
      <c r="P1008" s="246"/>
      <c r="Q1008" s="248">
        <f t="shared" si="823"/>
        <v>0</v>
      </c>
      <c r="R1008" s="247" t="str" cm="1">
        <f t="array" ref="R1008">IF($K1008&gt;0, INDEX(Clean,1+AH1008,$C$1), "")</f>
        <v/>
      </c>
      <c r="S1008" s="245"/>
      <c r="T1008" s="245"/>
      <c r="U1008" s="246"/>
      <c r="V1008" s="248">
        <f t="shared" si="824"/>
        <v>0</v>
      </c>
      <c r="W1008" s="261"/>
      <c r="X1008" s="258"/>
      <c r="Y1008" s="240"/>
      <c r="Z1008" s="241" t="str">
        <f>IF(ISBLANK(Y1008), "", VLOOKUP(Y1008, Z!$A$2:$C$4127, 3, FALSE))</f>
        <v/>
      </c>
      <c r="AA1008" s="262"/>
      <c r="AB1008" s="249">
        <f t="shared" si="859"/>
        <v>0</v>
      </c>
      <c r="AC1008" s="210"/>
      <c r="AD1008" s="236">
        <f t="shared" si="847"/>
        <v>1</v>
      </c>
      <c r="AE1008" s="236">
        <f t="shared" si="848"/>
        <v>1</v>
      </c>
      <c r="AF1008" s="236">
        <f t="shared" si="849"/>
        <v>0</v>
      </c>
      <c r="AG1008" s="236">
        <v>1</v>
      </c>
      <c r="AH1008" s="236">
        <v>0</v>
      </c>
      <c r="AI1008" s="236">
        <f t="shared" si="825"/>
        <v>-100</v>
      </c>
      <c r="AJ1008" s="210"/>
      <c r="AK1008" s="254"/>
      <c r="AL1008" s="254"/>
      <c r="AM1008" s="255"/>
      <c r="AN1008" s="255"/>
      <c r="AO1008" s="255"/>
      <c r="AP1008" s="255"/>
      <c r="AQ1008" s="255"/>
      <c r="AR1008" s="255"/>
      <c r="AS1008" s="255"/>
      <c r="AT1008" s="255"/>
      <c r="AU1008" s="255"/>
      <c r="AV1008" s="255"/>
      <c r="AW1008" s="255"/>
      <c r="AX1008" s="210"/>
      <c r="AY1008" s="236" cm="1">
        <f t="array" ref="AY1008">INDEX(Use, $AD1008, 4)</f>
        <v>7</v>
      </c>
      <c r="AZ1008" s="236">
        <f t="shared" si="826"/>
        <v>32</v>
      </c>
      <c r="BA1008" s="236">
        <f t="shared" si="851"/>
        <v>13</v>
      </c>
      <c r="BB1008" s="236">
        <f t="shared" si="852"/>
        <v>0</v>
      </c>
      <c r="BC1008" s="252" cm="1">
        <f t="array" ref="BC1008">K1008/IF($L1008&gt;0, INDEX($AO$23:$AU$77, $L1008+20, $AD1008), 1)</f>
        <v>0</v>
      </c>
      <c r="BD1008" s="237">
        <f t="shared" si="827"/>
        <v>0</v>
      </c>
      <c r="BE1008" s="236">
        <v>35</v>
      </c>
      <c r="BF1008" s="237">
        <f t="shared" si="828"/>
        <v>52.55</v>
      </c>
      <c r="BG1008" s="253">
        <f t="shared" si="829"/>
        <v>2.7676728869374316</v>
      </c>
      <c r="BH1008" s="253" cm="1">
        <f t="array" ref="BH1008">$BC1008 * SUMPRODUCT(INDEX($AL$77:$AN$82,,$AE1008),INDEX($AO$77:$AU$82,,$AD1008), N($AK$77:$AK$82&gt;$AI1008)) / BG1008 / 1000</f>
        <v>0</v>
      </c>
      <c r="BI1008" s="250">
        <f t="shared" si="853"/>
        <v>30</v>
      </c>
      <c r="BJ1008" s="237">
        <f t="shared" si="830"/>
        <v>46.033333333333331</v>
      </c>
      <c r="BK1008" s="253">
        <f t="shared" si="831"/>
        <v>3.2297395388556791</v>
      </c>
      <c r="BL1008" s="253" cm="1">
        <f t="array" ref="BL1008">$BC1008 * IF($AD1008&lt;=2,
SUMPRODUCT(INDEX($AL$72:$AN$76,,$AE1008), INDEX($AO$72:$AU$76,,$AD1008), 1 / ($AV$72:$AV$76*BK1008 + (1-$AV$72:$AV$76)*BG1008), N($AK$72:$AK$76&gt;$AI1008)),
SUMPRODUCT(INDEX($AL$67:$AN$76,,$AE1008), INDEX($AO$67:$AU$76,,$AD1008), 1 / ($AW$67:$AW$76*BK1008 + (1-$AW$67:$AW$76)*BG1008), N($AK$67:$AK$76&gt;$AI1008))
) / 1000</f>
        <v>0</v>
      </c>
      <c r="BM1008" s="250">
        <f t="shared" si="854"/>
        <v>25</v>
      </c>
      <c r="BN1008" s="237">
        <f t="shared" si="832"/>
        <v>39.516666666666666</v>
      </c>
      <c r="BO1008" s="253">
        <f t="shared" si="833"/>
        <v>3.877011788826243</v>
      </c>
      <c r="BP1008" s="253" cm="1">
        <f t="array" ref="BP1008">$BC1008 * IF($AD1008&lt;=2,
SUMPRODUCT(INDEX($AL$67:$AN$71,,$AE1008), INDEX($AO$67:$AU$71,,$AD1008), 1 / ($AV$67:$AV$71*BO1008 + (1-$AV$67:$AV$71)*BK1008), N($AK$67:$AK$71&gt;$AI1008)),
SUMPRODUCT(INDEX($AL$57:$AN$66,,$AE1008), INDEX($AO$57:$AU$66,,$AD1008), 1 / ($AW$57:$AW$66*BO1008 + (1-$AW$57:$AW$66)*BK1008), N($AK$57:$AK$66&gt;$AI1008))
) / 1000</f>
        <v>0</v>
      </c>
      <c r="BQ1008" s="250">
        <f t="shared" si="855"/>
        <v>20</v>
      </c>
      <c r="BR1008" s="237">
        <f t="shared" si="834"/>
        <v>33</v>
      </c>
      <c r="BS1008" s="253">
        <f t="shared" si="835"/>
        <v>4.8487499999999999</v>
      </c>
      <c r="BT1008" s="253" cm="1">
        <f t="array" ref="BT1008">$BC1008 * IF($AD1008&lt;=2,
SUMPRODUCT(INDEX($AL$62:$AN$66,,$AE1008), INDEX($AO$62:$AU$66,,$AD1008), 1 / ($AV$62:$AV$66*BS1008 + (1-$AV$62:$AV$66)*BO1008), N($AK$62:$AK$66&gt;$AI1008)),
SUMPRODUCT(INDEX($AL$47:$AN$56,,$AE1008), INDEX($AO$47:$AU$56,,$AD1008), 1 / ($AW$47:$AW$56*BS1008 + (1-$AW$47:$AW$56)*BO1008), N($AK$47:$AK$56&gt;$AI1008))
) / 1000</f>
        <v>0</v>
      </c>
      <c r="BU1008" s="253" cm="1">
        <f t="array" ref="BU1008">$BC1008 * IF($AD1008&lt;=2,
SUMPRODUCT(INDEX($AL$23:$AN$61,,$AE1008), INDEX($AO$23:$AU$61,,$AD1008), 1 / ($AV$23:$AV$61*BS1008), N($AK$23:$AK$61&gt;$AI1008)),
SUMPRODUCT(INDEX($AL$23:$AN$46,,$AE1008), INDEX($AO$23:$AU$46,,$AD1008), 1 / ($AW$23:$AW$46*BS1008), N($AK$23:$AK$46&gt;$AI1008))
) / 1000</f>
        <v>0</v>
      </c>
      <c r="BV1008" s="237">
        <f t="shared" si="836"/>
        <v>0</v>
      </c>
      <c r="BW1008" s="210"/>
      <c r="BX1008" s="237">
        <f t="shared" si="837"/>
        <v>0</v>
      </c>
      <c r="BY1008" s="236">
        <v>35</v>
      </c>
      <c r="BZ1008" s="237">
        <f t="shared" si="838"/>
        <v>48</v>
      </c>
      <c r="CA1008" s="253">
        <f t="shared" si="839"/>
        <v>3.0748170731707316</v>
      </c>
      <c r="CB1008" s="253" cm="1">
        <f t="array" ref="CB1008">$BC1008 * SUMPRODUCT(INDEX($AL$77:$AN$82,,$AE1008),INDEX($AO$77:$AU$82,,$AD1008), N($AK$77:$AK$82&gt;$AI1008)) / CA1008 / 1000</f>
        <v>0</v>
      </c>
      <c r="CC1008" s="250">
        <f t="shared" si="856"/>
        <v>30</v>
      </c>
      <c r="CD1008" s="237">
        <f t="shared" si="840"/>
        <v>43</v>
      </c>
      <c r="CE1008" s="253">
        <f t="shared" si="841"/>
        <v>3.5018750000000001</v>
      </c>
      <c r="CF1008" s="253" cm="1">
        <f t="array" ref="CF1008">$BC1008 * IF($AD1008&lt;=2,
SUMPRODUCT(INDEX($AL$72:$AN$76,,$AE1008), INDEX($AO$72:$AU$76,,$AD1008), 1 / ($AV$72:$AV$76*CE1008 + (1-$AV$72:$AV$76)*CA1008), N($AK$72:$AK$76&gt;$AI1008)),
SUMPRODUCT(INDEX($AL$67:$AN$76,,$AE1008), INDEX($AO$67:$AU$76,,$AD1008), 1 / ($AW$67:$AW$76*CE1008 + (1-$AW$67:$AW$76)*CA1008), N($AK$67:$AK$76&gt;$AI1008))
) / 1000</f>
        <v>0</v>
      </c>
      <c r="CG1008" s="250">
        <f t="shared" si="857"/>
        <v>25</v>
      </c>
      <c r="CH1008" s="237">
        <f t="shared" si="842"/>
        <v>38</v>
      </c>
      <c r="CI1008" s="253">
        <f t="shared" si="843"/>
        <v>4.0666935483870965</v>
      </c>
      <c r="CJ1008" s="253" cm="1">
        <f t="array" ref="CJ1008">$BC1008 * IF($AD1008&lt;=2,
SUMPRODUCT(INDEX($AL$67:$AN$71,,$AE1008), INDEX($AO$67:$AU$71,,$AD1008), 1 / ($AV$67:$AV$71*CI1008 + (1-$AV$67:$AV$71)*CE1008), N($AK$67:$AK$71&gt;$AI1008)),
SUMPRODUCT(INDEX($AL$57:$AN$66,,$AE1008), INDEX($AO$57:$AU$66,,$AD1008), 1 / ($AW$57:$AW$66*CI1008 + (1-$AW$57:$AW$66)*CE1008), N($AK$57:$AK$66&gt;$AI1008))
) / 1000</f>
        <v>0</v>
      </c>
      <c r="CK1008" s="250">
        <f t="shared" si="858"/>
        <v>20</v>
      </c>
      <c r="CL1008" s="237">
        <f t="shared" si="844"/>
        <v>33</v>
      </c>
      <c r="CM1008" s="253">
        <f t="shared" si="845"/>
        <v>4.8487499999999999</v>
      </c>
      <c r="CN1008" s="253" cm="1">
        <f t="array" ref="CN1008">$BC1008 * IF($AD1008&lt;=2,
SUMPRODUCT(INDEX($AL$62:$AN$66,,$AE1008), INDEX($AO$62:$AU$66,,$AD1008), 1 / ($AV$62:$AV$66*CM1008 + (1-$AV$62:$AV$66)*CI1008), N($AK$62:$AK$66&gt;$AI1008)),
SUMPRODUCT(INDEX($AL$47:$AN$56,,$AE1008), INDEX($AO$47:$AU$56,,$AD1008), 1 / ($AW$47:$AW$56*CM1008 + (1-$AW$47:$AW$56)*CI1008), N($AK$47:$AK$56&gt;$AI1008))
) / 1000</f>
        <v>0</v>
      </c>
      <c r="CO1008" s="253" cm="1">
        <f t="array" ref="CO1008">$BC1008 * IF($AD1008&lt;=2,
SUMPRODUCT(INDEX($AL$23:$AN$61,,$AE1008), INDEX($AO$23:$AU$61,,$AD1008), 1 / ($AV$23:$AV$61*CM1008), N($AK$23:$AK$61&gt;$AI1008)),
SUMPRODUCT(INDEX($AL$23:$AN$46,,$AE1008), INDEX($AO$23:$AU$46,,$AD1008), 1 / ($AW$23:$AW$46*CM1008), N($AK$23:$AK$46&gt;$AI1008))
) / 1000</f>
        <v>0</v>
      </c>
      <c r="CP1008" s="237">
        <f t="shared" si="846"/>
        <v>0</v>
      </c>
      <c r="CQ1008" s="210"/>
    </row>
    <row r="1009" spans="1:95" s="76" customFormat="1" ht="14.25" customHeight="1" x14ac:dyDescent="0.2">
      <c r="A1009" s="238" t="b">
        <f t="shared" si="850"/>
        <v>0</v>
      </c>
      <c r="B1009" s="239">
        <v>987</v>
      </c>
      <c r="C1009" s="258"/>
      <c r="D1009" s="258"/>
      <c r="E1009" s="240"/>
      <c r="F1009" s="241" t="str">
        <f>IF(ISBLANK(E1009), "", VLOOKUP(E1009, Z!$A$2:$C$4127, 3, FALSE))</f>
        <v/>
      </c>
      <c r="G1009" s="242"/>
      <c r="H1009" s="242"/>
      <c r="I1009" s="243"/>
      <c r="J1009" s="244"/>
      <c r="K1009" s="259"/>
      <c r="L1009" s="260"/>
      <c r="M1009" s="247" t="str" cm="1">
        <f t="array" ref="M1009">IF($K1009&gt;0, INDEX(Clean,1+AG1009,$C$1), "")</f>
        <v/>
      </c>
      <c r="N1009" s="245"/>
      <c r="O1009" s="245"/>
      <c r="P1009" s="246"/>
      <c r="Q1009" s="248">
        <f t="shared" si="823"/>
        <v>0</v>
      </c>
      <c r="R1009" s="247" t="str" cm="1">
        <f t="array" ref="R1009">IF($K1009&gt;0, INDEX(Clean,1+AH1009,$C$1), "")</f>
        <v/>
      </c>
      <c r="S1009" s="245"/>
      <c r="T1009" s="245"/>
      <c r="U1009" s="246"/>
      <c r="V1009" s="248">
        <f t="shared" si="824"/>
        <v>0</v>
      </c>
      <c r="W1009" s="261"/>
      <c r="X1009" s="258"/>
      <c r="Y1009" s="240"/>
      <c r="Z1009" s="241" t="str">
        <f>IF(ISBLANK(Y1009), "", VLOOKUP(Y1009, Z!$A$2:$C$4127, 3, FALSE))</f>
        <v/>
      </c>
      <c r="AA1009" s="262"/>
      <c r="AB1009" s="249">
        <f t="shared" si="859"/>
        <v>0</v>
      </c>
      <c r="AC1009" s="210"/>
      <c r="AD1009" s="236">
        <f t="shared" si="847"/>
        <v>1</v>
      </c>
      <c r="AE1009" s="236">
        <f t="shared" si="848"/>
        <v>1</v>
      </c>
      <c r="AF1009" s="236">
        <f t="shared" si="849"/>
        <v>0</v>
      </c>
      <c r="AG1009" s="236">
        <v>1</v>
      </c>
      <c r="AH1009" s="236">
        <v>0</v>
      </c>
      <c r="AI1009" s="236">
        <f t="shared" si="825"/>
        <v>-100</v>
      </c>
      <c r="AJ1009" s="210"/>
      <c r="AK1009" s="254"/>
      <c r="AL1009" s="254"/>
      <c r="AM1009" s="255"/>
      <c r="AN1009" s="255"/>
      <c r="AO1009" s="255"/>
      <c r="AP1009" s="255"/>
      <c r="AQ1009" s="255"/>
      <c r="AR1009" s="255"/>
      <c r="AS1009" s="255"/>
      <c r="AT1009" s="255"/>
      <c r="AU1009" s="255"/>
      <c r="AV1009" s="255"/>
      <c r="AW1009" s="255"/>
      <c r="AX1009" s="210"/>
      <c r="AY1009" s="236" cm="1">
        <f t="array" ref="AY1009">INDEX(Use, $AD1009, 4)</f>
        <v>7</v>
      </c>
      <c r="AZ1009" s="236">
        <f t="shared" si="826"/>
        <v>32</v>
      </c>
      <c r="BA1009" s="236">
        <f t="shared" si="851"/>
        <v>13</v>
      </c>
      <c r="BB1009" s="236">
        <f t="shared" si="852"/>
        <v>0</v>
      </c>
      <c r="BC1009" s="252" cm="1">
        <f t="array" ref="BC1009">K1009/IF($L1009&gt;0, INDEX($AO$23:$AU$77, $L1009+20, $AD1009), 1)</f>
        <v>0</v>
      </c>
      <c r="BD1009" s="237">
        <f t="shared" si="827"/>
        <v>0</v>
      </c>
      <c r="BE1009" s="236">
        <v>35</v>
      </c>
      <c r="BF1009" s="237">
        <f t="shared" si="828"/>
        <v>52.55</v>
      </c>
      <c r="BG1009" s="253">
        <f t="shared" si="829"/>
        <v>2.7676728869374316</v>
      </c>
      <c r="BH1009" s="253" cm="1">
        <f t="array" ref="BH1009">$BC1009 * SUMPRODUCT(INDEX($AL$77:$AN$82,,$AE1009),INDEX($AO$77:$AU$82,,$AD1009), N($AK$77:$AK$82&gt;$AI1009)) / BG1009 / 1000</f>
        <v>0</v>
      </c>
      <c r="BI1009" s="250">
        <f t="shared" si="853"/>
        <v>30</v>
      </c>
      <c r="BJ1009" s="237">
        <f t="shared" si="830"/>
        <v>46.033333333333331</v>
      </c>
      <c r="BK1009" s="253">
        <f t="shared" si="831"/>
        <v>3.2297395388556791</v>
      </c>
      <c r="BL1009" s="253" cm="1">
        <f t="array" ref="BL1009">$BC1009 * IF($AD1009&lt;=2,
SUMPRODUCT(INDEX($AL$72:$AN$76,,$AE1009), INDEX($AO$72:$AU$76,,$AD1009), 1 / ($AV$72:$AV$76*BK1009 + (1-$AV$72:$AV$76)*BG1009), N($AK$72:$AK$76&gt;$AI1009)),
SUMPRODUCT(INDEX($AL$67:$AN$76,,$AE1009), INDEX($AO$67:$AU$76,,$AD1009), 1 / ($AW$67:$AW$76*BK1009 + (1-$AW$67:$AW$76)*BG1009), N($AK$67:$AK$76&gt;$AI1009))
) / 1000</f>
        <v>0</v>
      </c>
      <c r="BM1009" s="250">
        <f t="shared" si="854"/>
        <v>25</v>
      </c>
      <c r="BN1009" s="237">
        <f t="shared" si="832"/>
        <v>39.516666666666666</v>
      </c>
      <c r="BO1009" s="253">
        <f t="shared" si="833"/>
        <v>3.877011788826243</v>
      </c>
      <c r="BP1009" s="253" cm="1">
        <f t="array" ref="BP1009">$BC1009 * IF($AD1009&lt;=2,
SUMPRODUCT(INDEX($AL$67:$AN$71,,$AE1009), INDEX($AO$67:$AU$71,,$AD1009), 1 / ($AV$67:$AV$71*BO1009 + (1-$AV$67:$AV$71)*BK1009), N($AK$67:$AK$71&gt;$AI1009)),
SUMPRODUCT(INDEX($AL$57:$AN$66,,$AE1009), INDEX($AO$57:$AU$66,,$AD1009), 1 / ($AW$57:$AW$66*BO1009 + (1-$AW$57:$AW$66)*BK1009), N($AK$57:$AK$66&gt;$AI1009))
) / 1000</f>
        <v>0</v>
      </c>
      <c r="BQ1009" s="250">
        <f t="shared" si="855"/>
        <v>20</v>
      </c>
      <c r="BR1009" s="237">
        <f t="shared" si="834"/>
        <v>33</v>
      </c>
      <c r="BS1009" s="253">
        <f t="shared" si="835"/>
        <v>4.8487499999999999</v>
      </c>
      <c r="BT1009" s="253" cm="1">
        <f t="array" ref="BT1009">$BC1009 * IF($AD1009&lt;=2,
SUMPRODUCT(INDEX($AL$62:$AN$66,,$AE1009), INDEX($AO$62:$AU$66,,$AD1009), 1 / ($AV$62:$AV$66*BS1009 + (1-$AV$62:$AV$66)*BO1009), N($AK$62:$AK$66&gt;$AI1009)),
SUMPRODUCT(INDEX($AL$47:$AN$56,,$AE1009), INDEX($AO$47:$AU$56,,$AD1009), 1 / ($AW$47:$AW$56*BS1009 + (1-$AW$47:$AW$56)*BO1009), N($AK$47:$AK$56&gt;$AI1009))
) / 1000</f>
        <v>0</v>
      </c>
      <c r="BU1009" s="253" cm="1">
        <f t="array" ref="BU1009">$BC1009 * IF($AD1009&lt;=2,
SUMPRODUCT(INDEX($AL$23:$AN$61,,$AE1009), INDEX($AO$23:$AU$61,,$AD1009), 1 / ($AV$23:$AV$61*BS1009), N($AK$23:$AK$61&gt;$AI1009)),
SUMPRODUCT(INDEX($AL$23:$AN$46,,$AE1009), INDEX($AO$23:$AU$46,,$AD1009), 1 / ($AW$23:$AW$46*BS1009), N($AK$23:$AK$46&gt;$AI1009))
) / 1000</f>
        <v>0</v>
      </c>
      <c r="BV1009" s="237">
        <f t="shared" si="836"/>
        <v>0</v>
      </c>
      <c r="BW1009" s="210"/>
      <c r="BX1009" s="237">
        <f t="shared" si="837"/>
        <v>0</v>
      </c>
      <c r="BY1009" s="236">
        <v>35</v>
      </c>
      <c r="BZ1009" s="237">
        <f t="shared" si="838"/>
        <v>48</v>
      </c>
      <c r="CA1009" s="253">
        <f t="shared" si="839"/>
        <v>3.0748170731707316</v>
      </c>
      <c r="CB1009" s="253" cm="1">
        <f t="array" ref="CB1009">$BC1009 * SUMPRODUCT(INDEX($AL$77:$AN$82,,$AE1009),INDEX($AO$77:$AU$82,,$AD1009), N($AK$77:$AK$82&gt;$AI1009)) / CA1009 / 1000</f>
        <v>0</v>
      </c>
      <c r="CC1009" s="250">
        <f t="shared" si="856"/>
        <v>30</v>
      </c>
      <c r="CD1009" s="237">
        <f t="shared" si="840"/>
        <v>43</v>
      </c>
      <c r="CE1009" s="253">
        <f t="shared" si="841"/>
        <v>3.5018750000000001</v>
      </c>
      <c r="CF1009" s="253" cm="1">
        <f t="array" ref="CF1009">$BC1009 * IF($AD1009&lt;=2,
SUMPRODUCT(INDEX($AL$72:$AN$76,,$AE1009), INDEX($AO$72:$AU$76,,$AD1009), 1 / ($AV$72:$AV$76*CE1009 + (1-$AV$72:$AV$76)*CA1009), N($AK$72:$AK$76&gt;$AI1009)),
SUMPRODUCT(INDEX($AL$67:$AN$76,,$AE1009), INDEX($AO$67:$AU$76,,$AD1009), 1 / ($AW$67:$AW$76*CE1009 + (1-$AW$67:$AW$76)*CA1009), N($AK$67:$AK$76&gt;$AI1009))
) / 1000</f>
        <v>0</v>
      </c>
      <c r="CG1009" s="250">
        <f t="shared" si="857"/>
        <v>25</v>
      </c>
      <c r="CH1009" s="237">
        <f t="shared" si="842"/>
        <v>38</v>
      </c>
      <c r="CI1009" s="253">
        <f t="shared" si="843"/>
        <v>4.0666935483870965</v>
      </c>
      <c r="CJ1009" s="253" cm="1">
        <f t="array" ref="CJ1009">$BC1009 * IF($AD1009&lt;=2,
SUMPRODUCT(INDEX($AL$67:$AN$71,,$AE1009), INDEX($AO$67:$AU$71,,$AD1009), 1 / ($AV$67:$AV$71*CI1009 + (1-$AV$67:$AV$71)*CE1009), N($AK$67:$AK$71&gt;$AI1009)),
SUMPRODUCT(INDEX($AL$57:$AN$66,,$AE1009), INDEX($AO$57:$AU$66,,$AD1009), 1 / ($AW$57:$AW$66*CI1009 + (1-$AW$57:$AW$66)*CE1009), N($AK$57:$AK$66&gt;$AI1009))
) / 1000</f>
        <v>0</v>
      </c>
      <c r="CK1009" s="250">
        <f t="shared" si="858"/>
        <v>20</v>
      </c>
      <c r="CL1009" s="237">
        <f t="shared" si="844"/>
        <v>33</v>
      </c>
      <c r="CM1009" s="253">
        <f t="shared" si="845"/>
        <v>4.8487499999999999</v>
      </c>
      <c r="CN1009" s="253" cm="1">
        <f t="array" ref="CN1009">$BC1009 * IF($AD1009&lt;=2,
SUMPRODUCT(INDEX($AL$62:$AN$66,,$AE1009), INDEX($AO$62:$AU$66,,$AD1009), 1 / ($AV$62:$AV$66*CM1009 + (1-$AV$62:$AV$66)*CI1009), N($AK$62:$AK$66&gt;$AI1009)),
SUMPRODUCT(INDEX($AL$47:$AN$56,,$AE1009), INDEX($AO$47:$AU$56,,$AD1009), 1 / ($AW$47:$AW$56*CM1009 + (1-$AW$47:$AW$56)*CI1009), N($AK$47:$AK$56&gt;$AI1009))
) / 1000</f>
        <v>0</v>
      </c>
      <c r="CO1009" s="253" cm="1">
        <f t="array" ref="CO1009">$BC1009 * IF($AD1009&lt;=2,
SUMPRODUCT(INDEX($AL$23:$AN$61,,$AE1009), INDEX($AO$23:$AU$61,,$AD1009), 1 / ($AV$23:$AV$61*CM1009), N($AK$23:$AK$61&gt;$AI1009)),
SUMPRODUCT(INDEX($AL$23:$AN$46,,$AE1009), INDEX($AO$23:$AU$46,,$AD1009), 1 / ($AW$23:$AW$46*CM1009), N($AK$23:$AK$46&gt;$AI1009))
) / 1000</f>
        <v>0</v>
      </c>
      <c r="CP1009" s="237">
        <f t="shared" si="846"/>
        <v>0</v>
      </c>
      <c r="CQ1009" s="210"/>
    </row>
    <row r="1010" spans="1:95" s="76" customFormat="1" ht="14.25" customHeight="1" x14ac:dyDescent="0.2">
      <c r="A1010" s="238" t="b">
        <f t="shared" si="850"/>
        <v>0</v>
      </c>
      <c r="B1010" s="239">
        <v>988</v>
      </c>
      <c r="C1010" s="258"/>
      <c r="D1010" s="258"/>
      <c r="E1010" s="240"/>
      <c r="F1010" s="241" t="str">
        <f>IF(ISBLANK(E1010), "", VLOOKUP(E1010, Z!$A$2:$C$4127, 3, FALSE))</f>
        <v/>
      </c>
      <c r="G1010" s="242"/>
      <c r="H1010" s="242"/>
      <c r="I1010" s="243"/>
      <c r="J1010" s="244"/>
      <c r="K1010" s="259"/>
      <c r="L1010" s="260"/>
      <c r="M1010" s="247" t="str" cm="1">
        <f t="array" ref="M1010">IF($K1010&gt;0, INDEX(Clean,1+AG1010,$C$1), "")</f>
        <v/>
      </c>
      <c r="N1010" s="245"/>
      <c r="O1010" s="245"/>
      <c r="P1010" s="246"/>
      <c r="Q1010" s="248">
        <f t="shared" si="823"/>
        <v>0</v>
      </c>
      <c r="R1010" s="247" t="str" cm="1">
        <f t="array" ref="R1010">IF($K1010&gt;0, INDEX(Clean,1+AH1010,$C$1), "")</f>
        <v/>
      </c>
      <c r="S1010" s="245"/>
      <c r="T1010" s="245"/>
      <c r="U1010" s="246"/>
      <c r="V1010" s="248">
        <f t="shared" si="824"/>
        <v>0</v>
      </c>
      <c r="W1010" s="261"/>
      <c r="X1010" s="258"/>
      <c r="Y1010" s="240"/>
      <c r="Z1010" s="241" t="str">
        <f>IF(ISBLANK(Y1010), "", VLOOKUP(Y1010, Z!$A$2:$C$4127, 3, FALSE))</f>
        <v/>
      </c>
      <c r="AA1010" s="262"/>
      <c r="AB1010" s="249">
        <f t="shared" si="859"/>
        <v>0</v>
      </c>
      <c r="AC1010" s="210"/>
      <c r="AD1010" s="236">
        <f t="shared" si="847"/>
        <v>1</v>
      </c>
      <c r="AE1010" s="236">
        <f t="shared" si="848"/>
        <v>1</v>
      </c>
      <c r="AF1010" s="236">
        <f t="shared" si="849"/>
        <v>0</v>
      </c>
      <c r="AG1010" s="236">
        <v>1</v>
      </c>
      <c r="AH1010" s="236">
        <v>0</v>
      </c>
      <c r="AI1010" s="236">
        <f t="shared" si="825"/>
        <v>-100</v>
      </c>
      <c r="AJ1010" s="210"/>
      <c r="AK1010" s="254"/>
      <c r="AL1010" s="254"/>
      <c r="AM1010" s="255"/>
      <c r="AN1010" s="255"/>
      <c r="AO1010" s="255"/>
      <c r="AP1010" s="255"/>
      <c r="AQ1010" s="255"/>
      <c r="AR1010" s="255"/>
      <c r="AS1010" s="255"/>
      <c r="AT1010" s="255"/>
      <c r="AU1010" s="255"/>
      <c r="AV1010" s="255"/>
      <c r="AW1010" s="255"/>
      <c r="AX1010" s="210"/>
      <c r="AY1010" s="236" cm="1">
        <f t="array" ref="AY1010">INDEX(Use, $AD1010, 4)</f>
        <v>7</v>
      </c>
      <c r="AZ1010" s="236">
        <f t="shared" si="826"/>
        <v>32</v>
      </c>
      <c r="BA1010" s="236">
        <f t="shared" si="851"/>
        <v>13</v>
      </c>
      <c r="BB1010" s="236">
        <f t="shared" si="852"/>
        <v>0</v>
      </c>
      <c r="BC1010" s="252" cm="1">
        <f t="array" ref="BC1010">K1010/IF($L1010&gt;0, INDEX($AO$23:$AU$77, $L1010+20, $AD1010), 1)</f>
        <v>0</v>
      </c>
      <c r="BD1010" s="237">
        <f t="shared" si="827"/>
        <v>0</v>
      </c>
      <c r="BE1010" s="236">
        <v>35</v>
      </c>
      <c r="BF1010" s="237">
        <f t="shared" si="828"/>
        <v>52.55</v>
      </c>
      <c r="BG1010" s="253">
        <f t="shared" si="829"/>
        <v>2.7676728869374316</v>
      </c>
      <c r="BH1010" s="253" cm="1">
        <f t="array" ref="BH1010">$BC1010 * SUMPRODUCT(INDEX($AL$77:$AN$82,,$AE1010),INDEX($AO$77:$AU$82,,$AD1010), N($AK$77:$AK$82&gt;$AI1010)) / BG1010 / 1000</f>
        <v>0</v>
      </c>
      <c r="BI1010" s="250">
        <f t="shared" si="853"/>
        <v>30</v>
      </c>
      <c r="BJ1010" s="237">
        <f t="shared" si="830"/>
        <v>46.033333333333331</v>
      </c>
      <c r="BK1010" s="253">
        <f t="shared" si="831"/>
        <v>3.2297395388556791</v>
      </c>
      <c r="BL1010" s="253" cm="1">
        <f t="array" ref="BL1010">$BC1010 * IF($AD1010&lt;=2,
SUMPRODUCT(INDEX($AL$72:$AN$76,,$AE1010), INDEX($AO$72:$AU$76,,$AD1010), 1 / ($AV$72:$AV$76*BK1010 + (1-$AV$72:$AV$76)*BG1010), N($AK$72:$AK$76&gt;$AI1010)),
SUMPRODUCT(INDEX($AL$67:$AN$76,,$AE1010), INDEX($AO$67:$AU$76,,$AD1010), 1 / ($AW$67:$AW$76*BK1010 + (1-$AW$67:$AW$76)*BG1010), N($AK$67:$AK$76&gt;$AI1010))
) / 1000</f>
        <v>0</v>
      </c>
      <c r="BM1010" s="250">
        <f t="shared" si="854"/>
        <v>25</v>
      </c>
      <c r="BN1010" s="237">
        <f t="shared" si="832"/>
        <v>39.516666666666666</v>
      </c>
      <c r="BO1010" s="253">
        <f t="shared" si="833"/>
        <v>3.877011788826243</v>
      </c>
      <c r="BP1010" s="253" cm="1">
        <f t="array" ref="BP1010">$BC1010 * IF($AD1010&lt;=2,
SUMPRODUCT(INDEX($AL$67:$AN$71,,$AE1010), INDEX($AO$67:$AU$71,,$AD1010), 1 / ($AV$67:$AV$71*BO1010 + (1-$AV$67:$AV$71)*BK1010), N($AK$67:$AK$71&gt;$AI1010)),
SUMPRODUCT(INDEX($AL$57:$AN$66,,$AE1010), INDEX($AO$57:$AU$66,,$AD1010), 1 / ($AW$57:$AW$66*BO1010 + (1-$AW$57:$AW$66)*BK1010), N($AK$57:$AK$66&gt;$AI1010))
) / 1000</f>
        <v>0</v>
      </c>
      <c r="BQ1010" s="250">
        <f t="shared" si="855"/>
        <v>20</v>
      </c>
      <c r="BR1010" s="237">
        <f t="shared" si="834"/>
        <v>33</v>
      </c>
      <c r="BS1010" s="253">
        <f t="shared" si="835"/>
        <v>4.8487499999999999</v>
      </c>
      <c r="BT1010" s="253" cm="1">
        <f t="array" ref="BT1010">$BC1010 * IF($AD1010&lt;=2,
SUMPRODUCT(INDEX($AL$62:$AN$66,,$AE1010), INDEX($AO$62:$AU$66,,$AD1010), 1 / ($AV$62:$AV$66*BS1010 + (1-$AV$62:$AV$66)*BO1010), N($AK$62:$AK$66&gt;$AI1010)),
SUMPRODUCT(INDEX($AL$47:$AN$56,,$AE1010), INDEX($AO$47:$AU$56,,$AD1010), 1 / ($AW$47:$AW$56*BS1010 + (1-$AW$47:$AW$56)*BO1010), N($AK$47:$AK$56&gt;$AI1010))
) / 1000</f>
        <v>0</v>
      </c>
      <c r="BU1010" s="253" cm="1">
        <f t="array" ref="BU1010">$BC1010 * IF($AD1010&lt;=2,
SUMPRODUCT(INDEX($AL$23:$AN$61,,$AE1010), INDEX($AO$23:$AU$61,,$AD1010), 1 / ($AV$23:$AV$61*BS1010), N($AK$23:$AK$61&gt;$AI1010)),
SUMPRODUCT(INDEX($AL$23:$AN$46,,$AE1010), INDEX($AO$23:$AU$46,,$AD1010), 1 / ($AW$23:$AW$46*BS1010), N($AK$23:$AK$46&gt;$AI1010))
) / 1000</f>
        <v>0</v>
      </c>
      <c r="BV1010" s="237">
        <f t="shared" si="836"/>
        <v>0</v>
      </c>
      <c r="BW1010" s="210"/>
      <c r="BX1010" s="237">
        <f t="shared" si="837"/>
        <v>0</v>
      </c>
      <c r="BY1010" s="236">
        <v>35</v>
      </c>
      <c r="BZ1010" s="237">
        <f t="shared" si="838"/>
        <v>48</v>
      </c>
      <c r="CA1010" s="253">
        <f t="shared" si="839"/>
        <v>3.0748170731707316</v>
      </c>
      <c r="CB1010" s="253" cm="1">
        <f t="array" ref="CB1010">$BC1010 * SUMPRODUCT(INDEX($AL$77:$AN$82,,$AE1010),INDEX($AO$77:$AU$82,,$AD1010), N($AK$77:$AK$82&gt;$AI1010)) / CA1010 / 1000</f>
        <v>0</v>
      </c>
      <c r="CC1010" s="250">
        <f t="shared" si="856"/>
        <v>30</v>
      </c>
      <c r="CD1010" s="237">
        <f t="shared" si="840"/>
        <v>43</v>
      </c>
      <c r="CE1010" s="253">
        <f t="shared" si="841"/>
        <v>3.5018750000000001</v>
      </c>
      <c r="CF1010" s="253" cm="1">
        <f t="array" ref="CF1010">$BC1010 * IF($AD1010&lt;=2,
SUMPRODUCT(INDEX($AL$72:$AN$76,,$AE1010), INDEX($AO$72:$AU$76,,$AD1010), 1 / ($AV$72:$AV$76*CE1010 + (1-$AV$72:$AV$76)*CA1010), N($AK$72:$AK$76&gt;$AI1010)),
SUMPRODUCT(INDEX($AL$67:$AN$76,,$AE1010), INDEX($AO$67:$AU$76,,$AD1010), 1 / ($AW$67:$AW$76*CE1010 + (1-$AW$67:$AW$76)*CA1010), N($AK$67:$AK$76&gt;$AI1010))
) / 1000</f>
        <v>0</v>
      </c>
      <c r="CG1010" s="250">
        <f t="shared" si="857"/>
        <v>25</v>
      </c>
      <c r="CH1010" s="237">
        <f t="shared" si="842"/>
        <v>38</v>
      </c>
      <c r="CI1010" s="253">
        <f t="shared" si="843"/>
        <v>4.0666935483870965</v>
      </c>
      <c r="CJ1010" s="253" cm="1">
        <f t="array" ref="CJ1010">$BC1010 * IF($AD1010&lt;=2,
SUMPRODUCT(INDEX($AL$67:$AN$71,,$AE1010), INDEX($AO$67:$AU$71,,$AD1010), 1 / ($AV$67:$AV$71*CI1010 + (1-$AV$67:$AV$71)*CE1010), N($AK$67:$AK$71&gt;$AI1010)),
SUMPRODUCT(INDEX($AL$57:$AN$66,,$AE1010), INDEX($AO$57:$AU$66,,$AD1010), 1 / ($AW$57:$AW$66*CI1010 + (1-$AW$57:$AW$66)*CE1010), N($AK$57:$AK$66&gt;$AI1010))
) / 1000</f>
        <v>0</v>
      </c>
      <c r="CK1010" s="250">
        <f t="shared" si="858"/>
        <v>20</v>
      </c>
      <c r="CL1010" s="237">
        <f t="shared" si="844"/>
        <v>33</v>
      </c>
      <c r="CM1010" s="253">
        <f t="shared" si="845"/>
        <v>4.8487499999999999</v>
      </c>
      <c r="CN1010" s="253" cm="1">
        <f t="array" ref="CN1010">$BC1010 * IF($AD1010&lt;=2,
SUMPRODUCT(INDEX($AL$62:$AN$66,,$AE1010), INDEX($AO$62:$AU$66,,$AD1010), 1 / ($AV$62:$AV$66*CM1010 + (1-$AV$62:$AV$66)*CI1010), N($AK$62:$AK$66&gt;$AI1010)),
SUMPRODUCT(INDEX($AL$47:$AN$56,,$AE1010), INDEX($AO$47:$AU$56,,$AD1010), 1 / ($AW$47:$AW$56*CM1010 + (1-$AW$47:$AW$56)*CI1010), N($AK$47:$AK$56&gt;$AI1010))
) / 1000</f>
        <v>0</v>
      </c>
      <c r="CO1010" s="253" cm="1">
        <f t="array" ref="CO1010">$BC1010 * IF($AD1010&lt;=2,
SUMPRODUCT(INDEX($AL$23:$AN$61,,$AE1010), INDEX($AO$23:$AU$61,,$AD1010), 1 / ($AV$23:$AV$61*CM1010), N($AK$23:$AK$61&gt;$AI1010)),
SUMPRODUCT(INDEX($AL$23:$AN$46,,$AE1010), INDEX($AO$23:$AU$46,,$AD1010), 1 / ($AW$23:$AW$46*CM1010), N($AK$23:$AK$46&gt;$AI1010))
) / 1000</f>
        <v>0</v>
      </c>
      <c r="CP1010" s="237">
        <f t="shared" si="846"/>
        <v>0</v>
      </c>
      <c r="CQ1010" s="210"/>
    </row>
    <row r="1011" spans="1:95" s="76" customFormat="1" ht="14.25" customHeight="1" x14ac:dyDescent="0.2">
      <c r="A1011" s="238" t="b">
        <f t="shared" si="850"/>
        <v>0</v>
      </c>
      <c r="B1011" s="239">
        <v>989</v>
      </c>
      <c r="C1011" s="258"/>
      <c r="D1011" s="258"/>
      <c r="E1011" s="240"/>
      <c r="F1011" s="241" t="str">
        <f>IF(ISBLANK(E1011), "", VLOOKUP(E1011, Z!$A$2:$C$4127, 3, FALSE))</f>
        <v/>
      </c>
      <c r="G1011" s="242"/>
      <c r="H1011" s="242"/>
      <c r="I1011" s="243"/>
      <c r="J1011" s="244"/>
      <c r="K1011" s="259"/>
      <c r="L1011" s="260"/>
      <c r="M1011" s="247" t="str" cm="1">
        <f t="array" ref="M1011">IF($K1011&gt;0, INDEX(Clean,1+AG1011,$C$1), "")</f>
        <v/>
      </c>
      <c r="N1011" s="245"/>
      <c r="O1011" s="245"/>
      <c r="P1011" s="246"/>
      <c r="Q1011" s="248">
        <f t="shared" si="823"/>
        <v>0</v>
      </c>
      <c r="R1011" s="247" t="str" cm="1">
        <f t="array" ref="R1011">IF($K1011&gt;0, INDEX(Clean,1+AH1011,$C$1), "")</f>
        <v/>
      </c>
      <c r="S1011" s="245"/>
      <c r="T1011" s="245"/>
      <c r="U1011" s="246"/>
      <c r="V1011" s="248">
        <f t="shared" si="824"/>
        <v>0</v>
      </c>
      <c r="W1011" s="261"/>
      <c r="X1011" s="258"/>
      <c r="Y1011" s="240"/>
      <c r="Z1011" s="241" t="str">
        <f>IF(ISBLANK(Y1011), "", VLOOKUP(Y1011, Z!$A$2:$C$4127, 3, FALSE))</f>
        <v/>
      </c>
      <c r="AA1011" s="262"/>
      <c r="AB1011" s="249">
        <f t="shared" si="859"/>
        <v>0</v>
      </c>
      <c r="AC1011" s="210"/>
      <c r="AD1011" s="236">
        <f t="shared" si="847"/>
        <v>1</v>
      </c>
      <c r="AE1011" s="236">
        <f t="shared" si="848"/>
        <v>1</v>
      </c>
      <c r="AF1011" s="236">
        <f t="shared" si="849"/>
        <v>0</v>
      </c>
      <c r="AG1011" s="236">
        <v>1</v>
      </c>
      <c r="AH1011" s="236">
        <v>0</v>
      </c>
      <c r="AI1011" s="236">
        <f t="shared" si="825"/>
        <v>-100</v>
      </c>
      <c r="AJ1011" s="210"/>
      <c r="AK1011" s="254"/>
      <c r="AL1011" s="254"/>
      <c r="AM1011" s="255"/>
      <c r="AN1011" s="255"/>
      <c r="AO1011" s="255"/>
      <c r="AP1011" s="255"/>
      <c r="AQ1011" s="255"/>
      <c r="AR1011" s="255"/>
      <c r="AS1011" s="255"/>
      <c r="AT1011" s="255"/>
      <c r="AU1011" s="255"/>
      <c r="AV1011" s="255"/>
      <c r="AW1011" s="255"/>
      <c r="AX1011" s="210"/>
      <c r="AY1011" s="236" cm="1">
        <f t="array" ref="AY1011">INDEX(Use, $AD1011, 4)</f>
        <v>7</v>
      </c>
      <c r="AZ1011" s="236">
        <f t="shared" si="826"/>
        <v>32</v>
      </c>
      <c r="BA1011" s="236">
        <f t="shared" si="851"/>
        <v>13</v>
      </c>
      <c r="BB1011" s="236">
        <f t="shared" si="852"/>
        <v>0</v>
      </c>
      <c r="BC1011" s="252" cm="1">
        <f t="array" ref="BC1011">K1011/IF($L1011&gt;0, INDEX($AO$23:$AU$77, $L1011+20, $AD1011), 1)</f>
        <v>0</v>
      </c>
      <c r="BD1011" s="237">
        <f t="shared" si="827"/>
        <v>0</v>
      </c>
      <c r="BE1011" s="236">
        <v>35</v>
      </c>
      <c r="BF1011" s="237">
        <f t="shared" si="828"/>
        <v>52.55</v>
      </c>
      <c r="BG1011" s="253">
        <f t="shared" si="829"/>
        <v>2.7676728869374316</v>
      </c>
      <c r="BH1011" s="253" cm="1">
        <f t="array" ref="BH1011">$BC1011 * SUMPRODUCT(INDEX($AL$77:$AN$82,,$AE1011),INDEX($AO$77:$AU$82,,$AD1011), N($AK$77:$AK$82&gt;$AI1011)) / BG1011 / 1000</f>
        <v>0</v>
      </c>
      <c r="BI1011" s="250">
        <f t="shared" si="853"/>
        <v>30</v>
      </c>
      <c r="BJ1011" s="237">
        <f t="shared" si="830"/>
        <v>46.033333333333331</v>
      </c>
      <c r="BK1011" s="253">
        <f t="shared" si="831"/>
        <v>3.2297395388556791</v>
      </c>
      <c r="BL1011" s="253" cm="1">
        <f t="array" ref="BL1011">$BC1011 * IF($AD1011&lt;=2,
SUMPRODUCT(INDEX($AL$72:$AN$76,,$AE1011), INDEX($AO$72:$AU$76,,$AD1011), 1 / ($AV$72:$AV$76*BK1011 + (1-$AV$72:$AV$76)*BG1011), N($AK$72:$AK$76&gt;$AI1011)),
SUMPRODUCT(INDEX($AL$67:$AN$76,,$AE1011), INDEX($AO$67:$AU$76,,$AD1011), 1 / ($AW$67:$AW$76*BK1011 + (1-$AW$67:$AW$76)*BG1011), N($AK$67:$AK$76&gt;$AI1011))
) / 1000</f>
        <v>0</v>
      </c>
      <c r="BM1011" s="250">
        <f t="shared" si="854"/>
        <v>25</v>
      </c>
      <c r="BN1011" s="237">
        <f t="shared" si="832"/>
        <v>39.516666666666666</v>
      </c>
      <c r="BO1011" s="253">
        <f t="shared" si="833"/>
        <v>3.877011788826243</v>
      </c>
      <c r="BP1011" s="253" cm="1">
        <f t="array" ref="BP1011">$BC1011 * IF($AD1011&lt;=2,
SUMPRODUCT(INDEX($AL$67:$AN$71,,$AE1011), INDEX($AO$67:$AU$71,,$AD1011), 1 / ($AV$67:$AV$71*BO1011 + (1-$AV$67:$AV$71)*BK1011), N($AK$67:$AK$71&gt;$AI1011)),
SUMPRODUCT(INDEX($AL$57:$AN$66,,$AE1011), INDEX($AO$57:$AU$66,,$AD1011), 1 / ($AW$57:$AW$66*BO1011 + (1-$AW$57:$AW$66)*BK1011), N($AK$57:$AK$66&gt;$AI1011))
) / 1000</f>
        <v>0</v>
      </c>
      <c r="BQ1011" s="250">
        <f t="shared" si="855"/>
        <v>20</v>
      </c>
      <c r="BR1011" s="237">
        <f t="shared" si="834"/>
        <v>33</v>
      </c>
      <c r="BS1011" s="253">
        <f t="shared" si="835"/>
        <v>4.8487499999999999</v>
      </c>
      <c r="BT1011" s="253" cm="1">
        <f t="array" ref="BT1011">$BC1011 * IF($AD1011&lt;=2,
SUMPRODUCT(INDEX($AL$62:$AN$66,,$AE1011), INDEX($AO$62:$AU$66,,$AD1011), 1 / ($AV$62:$AV$66*BS1011 + (1-$AV$62:$AV$66)*BO1011), N($AK$62:$AK$66&gt;$AI1011)),
SUMPRODUCT(INDEX($AL$47:$AN$56,,$AE1011), INDEX($AO$47:$AU$56,,$AD1011), 1 / ($AW$47:$AW$56*BS1011 + (1-$AW$47:$AW$56)*BO1011), N($AK$47:$AK$56&gt;$AI1011))
) / 1000</f>
        <v>0</v>
      </c>
      <c r="BU1011" s="253" cm="1">
        <f t="array" ref="BU1011">$BC1011 * IF($AD1011&lt;=2,
SUMPRODUCT(INDEX($AL$23:$AN$61,,$AE1011), INDEX($AO$23:$AU$61,,$AD1011), 1 / ($AV$23:$AV$61*BS1011), N($AK$23:$AK$61&gt;$AI1011)),
SUMPRODUCT(INDEX($AL$23:$AN$46,,$AE1011), INDEX($AO$23:$AU$46,,$AD1011), 1 / ($AW$23:$AW$46*BS1011), N($AK$23:$AK$46&gt;$AI1011))
) / 1000</f>
        <v>0</v>
      </c>
      <c r="BV1011" s="237">
        <f t="shared" si="836"/>
        <v>0</v>
      </c>
      <c r="BW1011" s="210"/>
      <c r="BX1011" s="237">
        <f t="shared" si="837"/>
        <v>0</v>
      </c>
      <c r="BY1011" s="236">
        <v>35</v>
      </c>
      <c r="BZ1011" s="237">
        <f t="shared" si="838"/>
        <v>48</v>
      </c>
      <c r="CA1011" s="253">
        <f t="shared" si="839"/>
        <v>3.0748170731707316</v>
      </c>
      <c r="CB1011" s="253" cm="1">
        <f t="array" ref="CB1011">$BC1011 * SUMPRODUCT(INDEX($AL$77:$AN$82,,$AE1011),INDEX($AO$77:$AU$82,,$AD1011), N($AK$77:$AK$82&gt;$AI1011)) / CA1011 / 1000</f>
        <v>0</v>
      </c>
      <c r="CC1011" s="250">
        <f t="shared" si="856"/>
        <v>30</v>
      </c>
      <c r="CD1011" s="237">
        <f t="shared" si="840"/>
        <v>43</v>
      </c>
      <c r="CE1011" s="253">
        <f t="shared" si="841"/>
        <v>3.5018750000000001</v>
      </c>
      <c r="CF1011" s="253" cm="1">
        <f t="array" ref="CF1011">$BC1011 * IF($AD1011&lt;=2,
SUMPRODUCT(INDEX($AL$72:$AN$76,,$AE1011), INDEX($AO$72:$AU$76,,$AD1011), 1 / ($AV$72:$AV$76*CE1011 + (1-$AV$72:$AV$76)*CA1011), N($AK$72:$AK$76&gt;$AI1011)),
SUMPRODUCT(INDEX($AL$67:$AN$76,,$AE1011), INDEX($AO$67:$AU$76,,$AD1011), 1 / ($AW$67:$AW$76*CE1011 + (1-$AW$67:$AW$76)*CA1011), N($AK$67:$AK$76&gt;$AI1011))
) / 1000</f>
        <v>0</v>
      </c>
      <c r="CG1011" s="250">
        <f t="shared" si="857"/>
        <v>25</v>
      </c>
      <c r="CH1011" s="237">
        <f t="shared" si="842"/>
        <v>38</v>
      </c>
      <c r="CI1011" s="253">
        <f t="shared" si="843"/>
        <v>4.0666935483870965</v>
      </c>
      <c r="CJ1011" s="253" cm="1">
        <f t="array" ref="CJ1011">$BC1011 * IF($AD1011&lt;=2,
SUMPRODUCT(INDEX($AL$67:$AN$71,,$AE1011), INDEX($AO$67:$AU$71,,$AD1011), 1 / ($AV$67:$AV$71*CI1011 + (1-$AV$67:$AV$71)*CE1011), N($AK$67:$AK$71&gt;$AI1011)),
SUMPRODUCT(INDEX($AL$57:$AN$66,,$AE1011), INDEX($AO$57:$AU$66,,$AD1011), 1 / ($AW$57:$AW$66*CI1011 + (1-$AW$57:$AW$66)*CE1011), N($AK$57:$AK$66&gt;$AI1011))
) / 1000</f>
        <v>0</v>
      </c>
      <c r="CK1011" s="250">
        <f t="shared" si="858"/>
        <v>20</v>
      </c>
      <c r="CL1011" s="237">
        <f t="shared" si="844"/>
        <v>33</v>
      </c>
      <c r="CM1011" s="253">
        <f t="shared" si="845"/>
        <v>4.8487499999999999</v>
      </c>
      <c r="CN1011" s="253" cm="1">
        <f t="array" ref="CN1011">$BC1011 * IF($AD1011&lt;=2,
SUMPRODUCT(INDEX($AL$62:$AN$66,,$AE1011), INDEX($AO$62:$AU$66,,$AD1011), 1 / ($AV$62:$AV$66*CM1011 + (1-$AV$62:$AV$66)*CI1011), N($AK$62:$AK$66&gt;$AI1011)),
SUMPRODUCT(INDEX($AL$47:$AN$56,,$AE1011), INDEX($AO$47:$AU$56,,$AD1011), 1 / ($AW$47:$AW$56*CM1011 + (1-$AW$47:$AW$56)*CI1011), N($AK$47:$AK$56&gt;$AI1011))
) / 1000</f>
        <v>0</v>
      </c>
      <c r="CO1011" s="253" cm="1">
        <f t="array" ref="CO1011">$BC1011 * IF($AD1011&lt;=2,
SUMPRODUCT(INDEX($AL$23:$AN$61,,$AE1011), INDEX($AO$23:$AU$61,,$AD1011), 1 / ($AV$23:$AV$61*CM1011), N($AK$23:$AK$61&gt;$AI1011)),
SUMPRODUCT(INDEX($AL$23:$AN$46,,$AE1011), INDEX($AO$23:$AU$46,,$AD1011), 1 / ($AW$23:$AW$46*CM1011), N($AK$23:$AK$46&gt;$AI1011))
) / 1000</f>
        <v>0</v>
      </c>
      <c r="CP1011" s="237">
        <f t="shared" si="846"/>
        <v>0</v>
      </c>
      <c r="CQ1011" s="210"/>
    </row>
    <row r="1012" spans="1:95" s="76" customFormat="1" ht="14.25" customHeight="1" x14ac:dyDescent="0.2">
      <c r="A1012" s="238" t="b">
        <f t="shared" si="850"/>
        <v>0</v>
      </c>
      <c r="B1012" s="239">
        <v>990</v>
      </c>
      <c r="C1012" s="258"/>
      <c r="D1012" s="258"/>
      <c r="E1012" s="240"/>
      <c r="F1012" s="241" t="str">
        <f>IF(ISBLANK(E1012), "", VLOOKUP(E1012, Z!$A$2:$C$4127, 3, FALSE))</f>
        <v/>
      </c>
      <c r="G1012" s="242"/>
      <c r="H1012" s="242"/>
      <c r="I1012" s="243"/>
      <c r="J1012" s="244"/>
      <c r="K1012" s="259"/>
      <c r="L1012" s="260"/>
      <c r="M1012" s="247" t="str" cm="1">
        <f t="array" ref="M1012">IF($K1012&gt;0, INDEX(Clean,1+AG1012,$C$1), "")</f>
        <v/>
      </c>
      <c r="N1012" s="245"/>
      <c r="O1012" s="245"/>
      <c r="P1012" s="246"/>
      <c r="Q1012" s="248">
        <f t="shared" si="823"/>
        <v>0</v>
      </c>
      <c r="R1012" s="247" t="str" cm="1">
        <f t="array" ref="R1012">IF($K1012&gt;0, INDEX(Clean,1+AH1012,$C$1), "")</f>
        <v/>
      </c>
      <c r="S1012" s="245"/>
      <c r="T1012" s="245"/>
      <c r="U1012" s="246"/>
      <c r="V1012" s="248">
        <f t="shared" si="824"/>
        <v>0</v>
      </c>
      <c r="W1012" s="261"/>
      <c r="X1012" s="258"/>
      <c r="Y1012" s="240"/>
      <c r="Z1012" s="241" t="str">
        <f>IF(ISBLANK(Y1012), "", VLOOKUP(Y1012, Z!$A$2:$C$4127, 3, FALSE))</f>
        <v/>
      </c>
      <c r="AA1012" s="262"/>
      <c r="AB1012" s="249">
        <f t="shared" si="859"/>
        <v>0</v>
      </c>
      <c r="AC1012" s="210"/>
      <c r="AD1012" s="236">
        <f t="shared" si="847"/>
        <v>1</v>
      </c>
      <c r="AE1012" s="236">
        <f t="shared" si="848"/>
        <v>1</v>
      </c>
      <c r="AF1012" s="236">
        <f t="shared" si="849"/>
        <v>0</v>
      </c>
      <c r="AG1012" s="236">
        <v>1</v>
      </c>
      <c r="AH1012" s="236">
        <v>0</v>
      </c>
      <c r="AI1012" s="236">
        <f t="shared" si="825"/>
        <v>-100</v>
      </c>
      <c r="AJ1012" s="210"/>
      <c r="AK1012" s="254"/>
      <c r="AL1012" s="254"/>
      <c r="AM1012" s="255"/>
      <c r="AN1012" s="255"/>
      <c r="AO1012" s="255"/>
      <c r="AP1012" s="255"/>
      <c r="AQ1012" s="255"/>
      <c r="AR1012" s="255"/>
      <c r="AS1012" s="255"/>
      <c r="AT1012" s="255"/>
      <c r="AU1012" s="255"/>
      <c r="AV1012" s="255"/>
      <c r="AW1012" s="255"/>
      <c r="AX1012" s="210"/>
      <c r="AY1012" s="236" cm="1">
        <f t="array" ref="AY1012">INDEX(Use, $AD1012, 4)</f>
        <v>7</v>
      </c>
      <c r="AZ1012" s="236">
        <f t="shared" si="826"/>
        <v>32</v>
      </c>
      <c r="BA1012" s="236">
        <f t="shared" si="851"/>
        <v>13</v>
      </c>
      <c r="BB1012" s="236">
        <f t="shared" si="852"/>
        <v>0</v>
      </c>
      <c r="BC1012" s="252" cm="1">
        <f t="array" ref="BC1012">K1012/IF($L1012&gt;0, INDEX($AO$23:$AU$77, $L1012+20, $AD1012), 1)</f>
        <v>0</v>
      </c>
      <c r="BD1012" s="237">
        <f t="shared" si="827"/>
        <v>0</v>
      </c>
      <c r="BE1012" s="236">
        <v>35</v>
      </c>
      <c r="BF1012" s="237">
        <f t="shared" si="828"/>
        <v>52.55</v>
      </c>
      <c r="BG1012" s="253">
        <f t="shared" si="829"/>
        <v>2.7676728869374316</v>
      </c>
      <c r="BH1012" s="253" cm="1">
        <f t="array" ref="BH1012">$BC1012 * SUMPRODUCT(INDEX($AL$77:$AN$82,,$AE1012),INDEX($AO$77:$AU$82,,$AD1012), N($AK$77:$AK$82&gt;$AI1012)) / BG1012 / 1000</f>
        <v>0</v>
      </c>
      <c r="BI1012" s="250">
        <f t="shared" si="853"/>
        <v>30</v>
      </c>
      <c r="BJ1012" s="237">
        <f t="shared" si="830"/>
        <v>46.033333333333331</v>
      </c>
      <c r="BK1012" s="253">
        <f t="shared" si="831"/>
        <v>3.2297395388556791</v>
      </c>
      <c r="BL1012" s="253" cm="1">
        <f t="array" ref="BL1012">$BC1012 * IF($AD1012&lt;=2,
SUMPRODUCT(INDEX($AL$72:$AN$76,,$AE1012), INDEX($AO$72:$AU$76,,$AD1012), 1 / ($AV$72:$AV$76*BK1012 + (1-$AV$72:$AV$76)*BG1012), N($AK$72:$AK$76&gt;$AI1012)),
SUMPRODUCT(INDEX($AL$67:$AN$76,,$AE1012), INDEX($AO$67:$AU$76,,$AD1012), 1 / ($AW$67:$AW$76*BK1012 + (1-$AW$67:$AW$76)*BG1012), N($AK$67:$AK$76&gt;$AI1012))
) / 1000</f>
        <v>0</v>
      </c>
      <c r="BM1012" s="250">
        <f t="shared" si="854"/>
        <v>25</v>
      </c>
      <c r="BN1012" s="237">
        <f t="shared" si="832"/>
        <v>39.516666666666666</v>
      </c>
      <c r="BO1012" s="253">
        <f t="shared" si="833"/>
        <v>3.877011788826243</v>
      </c>
      <c r="BP1012" s="253" cm="1">
        <f t="array" ref="BP1012">$BC1012 * IF($AD1012&lt;=2,
SUMPRODUCT(INDEX($AL$67:$AN$71,,$AE1012), INDEX($AO$67:$AU$71,,$AD1012), 1 / ($AV$67:$AV$71*BO1012 + (1-$AV$67:$AV$71)*BK1012), N($AK$67:$AK$71&gt;$AI1012)),
SUMPRODUCT(INDEX($AL$57:$AN$66,,$AE1012), INDEX($AO$57:$AU$66,,$AD1012), 1 / ($AW$57:$AW$66*BO1012 + (1-$AW$57:$AW$66)*BK1012), N($AK$57:$AK$66&gt;$AI1012))
) / 1000</f>
        <v>0</v>
      </c>
      <c r="BQ1012" s="250">
        <f t="shared" si="855"/>
        <v>20</v>
      </c>
      <c r="BR1012" s="237">
        <f t="shared" si="834"/>
        <v>33</v>
      </c>
      <c r="BS1012" s="253">
        <f t="shared" si="835"/>
        <v>4.8487499999999999</v>
      </c>
      <c r="BT1012" s="253" cm="1">
        <f t="array" ref="BT1012">$BC1012 * IF($AD1012&lt;=2,
SUMPRODUCT(INDEX($AL$62:$AN$66,,$AE1012), INDEX($AO$62:$AU$66,,$AD1012), 1 / ($AV$62:$AV$66*BS1012 + (1-$AV$62:$AV$66)*BO1012), N($AK$62:$AK$66&gt;$AI1012)),
SUMPRODUCT(INDEX($AL$47:$AN$56,,$AE1012), INDEX($AO$47:$AU$56,,$AD1012), 1 / ($AW$47:$AW$56*BS1012 + (1-$AW$47:$AW$56)*BO1012), N($AK$47:$AK$56&gt;$AI1012))
) / 1000</f>
        <v>0</v>
      </c>
      <c r="BU1012" s="253" cm="1">
        <f t="array" ref="BU1012">$BC1012 * IF($AD1012&lt;=2,
SUMPRODUCT(INDEX($AL$23:$AN$61,,$AE1012), INDEX($AO$23:$AU$61,,$AD1012), 1 / ($AV$23:$AV$61*BS1012), N($AK$23:$AK$61&gt;$AI1012)),
SUMPRODUCT(INDEX($AL$23:$AN$46,,$AE1012), INDEX($AO$23:$AU$46,,$AD1012), 1 / ($AW$23:$AW$46*BS1012), N($AK$23:$AK$46&gt;$AI1012))
) / 1000</f>
        <v>0</v>
      </c>
      <c r="BV1012" s="237">
        <f t="shared" si="836"/>
        <v>0</v>
      </c>
      <c r="BW1012" s="210"/>
      <c r="BX1012" s="237">
        <f t="shared" si="837"/>
        <v>0</v>
      </c>
      <c r="BY1012" s="236">
        <v>35</v>
      </c>
      <c r="BZ1012" s="237">
        <f t="shared" si="838"/>
        <v>48</v>
      </c>
      <c r="CA1012" s="253">
        <f t="shared" si="839"/>
        <v>3.0748170731707316</v>
      </c>
      <c r="CB1012" s="253" cm="1">
        <f t="array" ref="CB1012">$BC1012 * SUMPRODUCT(INDEX($AL$77:$AN$82,,$AE1012),INDEX($AO$77:$AU$82,,$AD1012), N($AK$77:$AK$82&gt;$AI1012)) / CA1012 / 1000</f>
        <v>0</v>
      </c>
      <c r="CC1012" s="250">
        <f t="shared" si="856"/>
        <v>30</v>
      </c>
      <c r="CD1012" s="237">
        <f t="shared" si="840"/>
        <v>43</v>
      </c>
      <c r="CE1012" s="253">
        <f t="shared" si="841"/>
        <v>3.5018750000000001</v>
      </c>
      <c r="CF1012" s="253" cm="1">
        <f t="array" ref="CF1012">$BC1012 * IF($AD1012&lt;=2,
SUMPRODUCT(INDEX($AL$72:$AN$76,,$AE1012), INDEX($AO$72:$AU$76,,$AD1012), 1 / ($AV$72:$AV$76*CE1012 + (1-$AV$72:$AV$76)*CA1012), N($AK$72:$AK$76&gt;$AI1012)),
SUMPRODUCT(INDEX($AL$67:$AN$76,,$AE1012), INDEX($AO$67:$AU$76,,$AD1012), 1 / ($AW$67:$AW$76*CE1012 + (1-$AW$67:$AW$76)*CA1012), N($AK$67:$AK$76&gt;$AI1012))
) / 1000</f>
        <v>0</v>
      </c>
      <c r="CG1012" s="250">
        <f t="shared" si="857"/>
        <v>25</v>
      </c>
      <c r="CH1012" s="237">
        <f t="shared" si="842"/>
        <v>38</v>
      </c>
      <c r="CI1012" s="253">
        <f t="shared" si="843"/>
        <v>4.0666935483870965</v>
      </c>
      <c r="CJ1012" s="253" cm="1">
        <f t="array" ref="CJ1012">$BC1012 * IF($AD1012&lt;=2,
SUMPRODUCT(INDEX($AL$67:$AN$71,,$AE1012), INDEX($AO$67:$AU$71,,$AD1012), 1 / ($AV$67:$AV$71*CI1012 + (1-$AV$67:$AV$71)*CE1012), N($AK$67:$AK$71&gt;$AI1012)),
SUMPRODUCT(INDEX($AL$57:$AN$66,,$AE1012), INDEX($AO$57:$AU$66,,$AD1012), 1 / ($AW$57:$AW$66*CI1012 + (1-$AW$57:$AW$66)*CE1012), N($AK$57:$AK$66&gt;$AI1012))
) / 1000</f>
        <v>0</v>
      </c>
      <c r="CK1012" s="250">
        <f t="shared" si="858"/>
        <v>20</v>
      </c>
      <c r="CL1012" s="237">
        <f t="shared" si="844"/>
        <v>33</v>
      </c>
      <c r="CM1012" s="253">
        <f t="shared" si="845"/>
        <v>4.8487499999999999</v>
      </c>
      <c r="CN1012" s="253" cm="1">
        <f t="array" ref="CN1012">$BC1012 * IF($AD1012&lt;=2,
SUMPRODUCT(INDEX($AL$62:$AN$66,,$AE1012), INDEX($AO$62:$AU$66,,$AD1012), 1 / ($AV$62:$AV$66*CM1012 + (1-$AV$62:$AV$66)*CI1012), N($AK$62:$AK$66&gt;$AI1012)),
SUMPRODUCT(INDEX($AL$47:$AN$56,,$AE1012), INDEX($AO$47:$AU$56,,$AD1012), 1 / ($AW$47:$AW$56*CM1012 + (1-$AW$47:$AW$56)*CI1012), N($AK$47:$AK$56&gt;$AI1012))
) / 1000</f>
        <v>0</v>
      </c>
      <c r="CO1012" s="253" cm="1">
        <f t="array" ref="CO1012">$BC1012 * IF($AD1012&lt;=2,
SUMPRODUCT(INDEX($AL$23:$AN$61,,$AE1012), INDEX($AO$23:$AU$61,,$AD1012), 1 / ($AV$23:$AV$61*CM1012), N($AK$23:$AK$61&gt;$AI1012)),
SUMPRODUCT(INDEX($AL$23:$AN$46,,$AE1012), INDEX($AO$23:$AU$46,,$AD1012), 1 / ($AW$23:$AW$46*CM1012), N($AK$23:$AK$46&gt;$AI1012))
) / 1000</f>
        <v>0</v>
      </c>
      <c r="CP1012" s="237">
        <f t="shared" si="846"/>
        <v>0</v>
      </c>
      <c r="CQ1012" s="210"/>
    </row>
    <row r="1013" spans="1:95" s="76" customFormat="1" ht="14.25" customHeight="1" x14ac:dyDescent="0.2">
      <c r="A1013" s="238" t="b">
        <f t="shared" si="850"/>
        <v>0</v>
      </c>
      <c r="B1013" s="239">
        <v>991</v>
      </c>
      <c r="C1013" s="258"/>
      <c r="D1013" s="258"/>
      <c r="E1013" s="240"/>
      <c r="F1013" s="241" t="str">
        <f>IF(ISBLANK(E1013), "", VLOOKUP(E1013, Z!$A$2:$C$4127, 3, FALSE))</f>
        <v/>
      </c>
      <c r="G1013" s="242"/>
      <c r="H1013" s="242"/>
      <c r="I1013" s="243"/>
      <c r="J1013" s="244"/>
      <c r="K1013" s="259"/>
      <c r="L1013" s="260"/>
      <c r="M1013" s="247" t="str" cm="1">
        <f t="array" ref="M1013">IF($K1013&gt;0, INDEX(Clean,1+AG1013,$C$1), "")</f>
        <v/>
      </c>
      <c r="N1013" s="245"/>
      <c r="O1013" s="245"/>
      <c r="P1013" s="246"/>
      <c r="Q1013" s="248">
        <f t="shared" si="823"/>
        <v>0</v>
      </c>
      <c r="R1013" s="247" t="str" cm="1">
        <f t="array" ref="R1013">IF($K1013&gt;0, INDEX(Clean,1+AH1013,$C$1), "")</f>
        <v/>
      </c>
      <c r="S1013" s="245"/>
      <c r="T1013" s="245"/>
      <c r="U1013" s="246"/>
      <c r="V1013" s="248">
        <f t="shared" si="824"/>
        <v>0</v>
      </c>
      <c r="W1013" s="261"/>
      <c r="X1013" s="258"/>
      <c r="Y1013" s="240"/>
      <c r="Z1013" s="241" t="str">
        <f>IF(ISBLANK(Y1013), "", VLOOKUP(Y1013, Z!$A$2:$C$4127, 3, FALSE))</f>
        <v/>
      </c>
      <c r="AA1013" s="262"/>
      <c r="AB1013" s="249">
        <f t="shared" si="859"/>
        <v>0</v>
      </c>
      <c r="AC1013" s="210"/>
      <c r="AD1013" s="236">
        <f t="shared" si="847"/>
        <v>1</v>
      </c>
      <c r="AE1013" s="236">
        <f t="shared" si="848"/>
        <v>1</v>
      </c>
      <c r="AF1013" s="236">
        <f t="shared" si="849"/>
        <v>0</v>
      </c>
      <c r="AG1013" s="236">
        <v>1</v>
      </c>
      <c r="AH1013" s="236">
        <v>0</v>
      </c>
      <c r="AI1013" s="236">
        <f t="shared" si="825"/>
        <v>-100</v>
      </c>
      <c r="AJ1013" s="210"/>
      <c r="AK1013" s="254"/>
      <c r="AL1013" s="254"/>
      <c r="AM1013" s="255"/>
      <c r="AN1013" s="255"/>
      <c r="AO1013" s="255"/>
      <c r="AP1013" s="255"/>
      <c r="AQ1013" s="255"/>
      <c r="AR1013" s="255"/>
      <c r="AS1013" s="255"/>
      <c r="AT1013" s="255"/>
      <c r="AU1013" s="255"/>
      <c r="AV1013" s="255"/>
      <c r="AW1013" s="255"/>
      <c r="AX1013" s="210"/>
      <c r="AY1013" s="236" cm="1">
        <f t="array" ref="AY1013">INDEX(Use, $AD1013, 4)</f>
        <v>7</v>
      </c>
      <c r="AZ1013" s="236">
        <f t="shared" si="826"/>
        <v>32</v>
      </c>
      <c r="BA1013" s="236">
        <f t="shared" si="851"/>
        <v>13</v>
      </c>
      <c r="BB1013" s="236">
        <f t="shared" si="852"/>
        <v>0</v>
      </c>
      <c r="BC1013" s="252" cm="1">
        <f t="array" ref="BC1013">K1013/IF($L1013&gt;0, INDEX($AO$23:$AU$77, $L1013+20, $AD1013), 1)</f>
        <v>0</v>
      </c>
      <c r="BD1013" s="237">
        <f t="shared" si="827"/>
        <v>0</v>
      </c>
      <c r="BE1013" s="236">
        <v>35</v>
      </c>
      <c r="BF1013" s="237">
        <f t="shared" si="828"/>
        <v>52.55</v>
      </c>
      <c r="BG1013" s="253">
        <f t="shared" si="829"/>
        <v>2.7676728869374316</v>
      </c>
      <c r="BH1013" s="253" cm="1">
        <f t="array" ref="BH1013">$BC1013 * SUMPRODUCT(INDEX($AL$77:$AN$82,,$AE1013),INDEX($AO$77:$AU$82,,$AD1013), N($AK$77:$AK$82&gt;$AI1013)) / BG1013 / 1000</f>
        <v>0</v>
      </c>
      <c r="BI1013" s="250">
        <f t="shared" si="853"/>
        <v>30</v>
      </c>
      <c r="BJ1013" s="237">
        <f t="shared" si="830"/>
        <v>46.033333333333331</v>
      </c>
      <c r="BK1013" s="253">
        <f t="shared" si="831"/>
        <v>3.2297395388556791</v>
      </c>
      <c r="BL1013" s="253" cm="1">
        <f t="array" ref="BL1013">$BC1013 * IF($AD1013&lt;=2,
SUMPRODUCT(INDEX($AL$72:$AN$76,,$AE1013), INDEX($AO$72:$AU$76,,$AD1013), 1 / ($AV$72:$AV$76*BK1013 + (1-$AV$72:$AV$76)*BG1013), N($AK$72:$AK$76&gt;$AI1013)),
SUMPRODUCT(INDEX($AL$67:$AN$76,,$AE1013), INDEX($AO$67:$AU$76,,$AD1013), 1 / ($AW$67:$AW$76*BK1013 + (1-$AW$67:$AW$76)*BG1013), N($AK$67:$AK$76&gt;$AI1013))
) / 1000</f>
        <v>0</v>
      </c>
      <c r="BM1013" s="250">
        <f t="shared" si="854"/>
        <v>25</v>
      </c>
      <c r="BN1013" s="237">
        <f t="shared" si="832"/>
        <v>39.516666666666666</v>
      </c>
      <c r="BO1013" s="253">
        <f t="shared" si="833"/>
        <v>3.877011788826243</v>
      </c>
      <c r="BP1013" s="253" cm="1">
        <f t="array" ref="BP1013">$BC1013 * IF($AD1013&lt;=2,
SUMPRODUCT(INDEX($AL$67:$AN$71,,$AE1013), INDEX($AO$67:$AU$71,,$AD1013), 1 / ($AV$67:$AV$71*BO1013 + (1-$AV$67:$AV$71)*BK1013), N($AK$67:$AK$71&gt;$AI1013)),
SUMPRODUCT(INDEX($AL$57:$AN$66,,$AE1013), INDEX($AO$57:$AU$66,,$AD1013), 1 / ($AW$57:$AW$66*BO1013 + (1-$AW$57:$AW$66)*BK1013), N($AK$57:$AK$66&gt;$AI1013))
) / 1000</f>
        <v>0</v>
      </c>
      <c r="BQ1013" s="250">
        <f t="shared" si="855"/>
        <v>20</v>
      </c>
      <c r="BR1013" s="237">
        <f t="shared" si="834"/>
        <v>33</v>
      </c>
      <c r="BS1013" s="253">
        <f t="shared" si="835"/>
        <v>4.8487499999999999</v>
      </c>
      <c r="BT1013" s="253" cm="1">
        <f t="array" ref="BT1013">$BC1013 * IF($AD1013&lt;=2,
SUMPRODUCT(INDEX($AL$62:$AN$66,,$AE1013), INDEX($AO$62:$AU$66,,$AD1013), 1 / ($AV$62:$AV$66*BS1013 + (1-$AV$62:$AV$66)*BO1013), N($AK$62:$AK$66&gt;$AI1013)),
SUMPRODUCT(INDEX($AL$47:$AN$56,,$AE1013), INDEX($AO$47:$AU$56,,$AD1013), 1 / ($AW$47:$AW$56*BS1013 + (1-$AW$47:$AW$56)*BO1013), N($AK$47:$AK$56&gt;$AI1013))
) / 1000</f>
        <v>0</v>
      </c>
      <c r="BU1013" s="253" cm="1">
        <f t="array" ref="BU1013">$BC1013 * IF($AD1013&lt;=2,
SUMPRODUCT(INDEX($AL$23:$AN$61,,$AE1013), INDEX($AO$23:$AU$61,,$AD1013), 1 / ($AV$23:$AV$61*BS1013), N($AK$23:$AK$61&gt;$AI1013)),
SUMPRODUCT(INDEX($AL$23:$AN$46,,$AE1013), INDEX($AO$23:$AU$46,,$AD1013), 1 / ($AW$23:$AW$46*BS1013), N($AK$23:$AK$46&gt;$AI1013))
) / 1000</f>
        <v>0</v>
      </c>
      <c r="BV1013" s="237">
        <f t="shared" si="836"/>
        <v>0</v>
      </c>
      <c r="BW1013" s="210"/>
      <c r="BX1013" s="237">
        <f t="shared" si="837"/>
        <v>0</v>
      </c>
      <c r="BY1013" s="236">
        <v>35</v>
      </c>
      <c r="BZ1013" s="237">
        <f t="shared" si="838"/>
        <v>48</v>
      </c>
      <c r="CA1013" s="253">
        <f t="shared" si="839"/>
        <v>3.0748170731707316</v>
      </c>
      <c r="CB1013" s="253" cm="1">
        <f t="array" ref="CB1013">$BC1013 * SUMPRODUCT(INDEX($AL$77:$AN$82,,$AE1013),INDEX($AO$77:$AU$82,,$AD1013), N($AK$77:$AK$82&gt;$AI1013)) / CA1013 / 1000</f>
        <v>0</v>
      </c>
      <c r="CC1013" s="250">
        <f t="shared" si="856"/>
        <v>30</v>
      </c>
      <c r="CD1013" s="237">
        <f t="shared" si="840"/>
        <v>43</v>
      </c>
      <c r="CE1013" s="253">
        <f t="shared" si="841"/>
        <v>3.5018750000000001</v>
      </c>
      <c r="CF1013" s="253" cm="1">
        <f t="array" ref="CF1013">$BC1013 * IF($AD1013&lt;=2,
SUMPRODUCT(INDEX($AL$72:$AN$76,,$AE1013), INDEX($AO$72:$AU$76,,$AD1013), 1 / ($AV$72:$AV$76*CE1013 + (1-$AV$72:$AV$76)*CA1013), N($AK$72:$AK$76&gt;$AI1013)),
SUMPRODUCT(INDEX($AL$67:$AN$76,,$AE1013), INDEX($AO$67:$AU$76,,$AD1013), 1 / ($AW$67:$AW$76*CE1013 + (1-$AW$67:$AW$76)*CA1013), N($AK$67:$AK$76&gt;$AI1013))
) / 1000</f>
        <v>0</v>
      </c>
      <c r="CG1013" s="250">
        <f t="shared" si="857"/>
        <v>25</v>
      </c>
      <c r="CH1013" s="237">
        <f t="shared" si="842"/>
        <v>38</v>
      </c>
      <c r="CI1013" s="253">
        <f t="shared" si="843"/>
        <v>4.0666935483870965</v>
      </c>
      <c r="CJ1013" s="253" cm="1">
        <f t="array" ref="CJ1013">$BC1013 * IF($AD1013&lt;=2,
SUMPRODUCT(INDEX($AL$67:$AN$71,,$AE1013), INDEX($AO$67:$AU$71,,$AD1013), 1 / ($AV$67:$AV$71*CI1013 + (1-$AV$67:$AV$71)*CE1013), N($AK$67:$AK$71&gt;$AI1013)),
SUMPRODUCT(INDEX($AL$57:$AN$66,,$AE1013), INDEX($AO$57:$AU$66,,$AD1013), 1 / ($AW$57:$AW$66*CI1013 + (1-$AW$57:$AW$66)*CE1013), N($AK$57:$AK$66&gt;$AI1013))
) / 1000</f>
        <v>0</v>
      </c>
      <c r="CK1013" s="250">
        <f t="shared" si="858"/>
        <v>20</v>
      </c>
      <c r="CL1013" s="237">
        <f t="shared" si="844"/>
        <v>33</v>
      </c>
      <c r="CM1013" s="253">
        <f t="shared" si="845"/>
        <v>4.8487499999999999</v>
      </c>
      <c r="CN1013" s="253" cm="1">
        <f t="array" ref="CN1013">$BC1013 * IF($AD1013&lt;=2,
SUMPRODUCT(INDEX($AL$62:$AN$66,,$AE1013), INDEX($AO$62:$AU$66,,$AD1013), 1 / ($AV$62:$AV$66*CM1013 + (1-$AV$62:$AV$66)*CI1013), N($AK$62:$AK$66&gt;$AI1013)),
SUMPRODUCT(INDEX($AL$47:$AN$56,,$AE1013), INDEX($AO$47:$AU$56,,$AD1013), 1 / ($AW$47:$AW$56*CM1013 + (1-$AW$47:$AW$56)*CI1013), N($AK$47:$AK$56&gt;$AI1013))
) / 1000</f>
        <v>0</v>
      </c>
      <c r="CO1013" s="253" cm="1">
        <f t="array" ref="CO1013">$BC1013 * IF($AD1013&lt;=2,
SUMPRODUCT(INDEX($AL$23:$AN$61,,$AE1013), INDEX($AO$23:$AU$61,,$AD1013), 1 / ($AV$23:$AV$61*CM1013), N($AK$23:$AK$61&gt;$AI1013)),
SUMPRODUCT(INDEX($AL$23:$AN$46,,$AE1013), INDEX($AO$23:$AU$46,,$AD1013), 1 / ($AW$23:$AW$46*CM1013), N($AK$23:$AK$46&gt;$AI1013))
) / 1000</f>
        <v>0</v>
      </c>
      <c r="CP1013" s="237">
        <f t="shared" si="846"/>
        <v>0</v>
      </c>
      <c r="CQ1013" s="210"/>
    </row>
    <row r="1014" spans="1:95" s="76" customFormat="1" ht="14.25" customHeight="1" x14ac:dyDescent="0.2">
      <c r="A1014" s="238" t="b">
        <f t="shared" si="850"/>
        <v>0</v>
      </c>
      <c r="B1014" s="239">
        <v>992</v>
      </c>
      <c r="C1014" s="258"/>
      <c r="D1014" s="258"/>
      <c r="E1014" s="240"/>
      <c r="F1014" s="241" t="str">
        <f>IF(ISBLANK(E1014), "", VLOOKUP(E1014, Z!$A$2:$C$4127, 3, FALSE))</f>
        <v/>
      </c>
      <c r="G1014" s="242"/>
      <c r="H1014" s="242"/>
      <c r="I1014" s="243"/>
      <c r="J1014" s="244"/>
      <c r="K1014" s="259"/>
      <c r="L1014" s="260"/>
      <c r="M1014" s="247" t="str" cm="1">
        <f t="array" ref="M1014">IF($K1014&gt;0, INDEX(Clean,1+AG1014,$C$1), "")</f>
        <v/>
      </c>
      <c r="N1014" s="245"/>
      <c r="O1014" s="245"/>
      <c r="P1014" s="246"/>
      <c r="Q1014" s="248">
        <f t="shared" si="823"/>
        <v>0</v>
      </c>
      <c r="R1014" s="247" t="str" cm="1">
        <f t="array" ref="R1014">IF($K1014&gt;0, INDEX(Clean,1+AH1014,$C$1), "")</f>
        <v/>
      </c>
      <c r="S1014" s="245"/>
      <c r="T1014" s="245"/>
      <c r="U1014" s="246"/>
      <c r="V1014" s="248">
        <f t="shared" si="824"/>
        <v>0</v>
      </c>
      <c r="W1014" s="261"/>
      <c r="X1014" s="258"/>
      <c r="Y1014" s="240"/>
      <c r="Z1014" s="241" t="str">
        <f>IF(ISBLANK(Y1014), "", VLOOKUP(Y1014, Z!$A$2:$C$4127, 3, FALSE))</f>
        <v/>
      </c>
      <c r="AA1014" s="262"/>
      <c r="AB1014" s="249">
        <f t="shared" si="859"/>
        <v>0</v>
      </c>
      <c r="AC1014" s="210"/>
      <c r="AD1014" s="236">
        <f t="shared" si="847"/>
        <v>1</v>
      </c>
      <c r="AE1014" s="236">
        <f t="shared" si="848"/>
        <v>1</v>
      </c>
      <c r="AF1014" s="236">
        <f t="shared" si="849"/>
        <v>0</v>
      </c>
      <c r="AG1014" s="236">
        <v>1</v>
      </c>
      <c r="AH1014" s="236">
        <v>0</v>
      </c>
      <c r="AI1014" s="236">
        <f t="shared" si="825"/>
        <v>-100</v>
      </c>
      <c r="AJ1014" s="210"/>
      <c r="AK1014" s="254"/>
      <c r="AL1014" s="254"/>
      <c r="AM1014" s="255"/>
      <c r="AN1014" s="255"/>
      <c r="AO1014" s="255"/>
      <c r="AP1014" s="255"/>
      <c r="AQ1014" s="255"/>
      <c r="AR1014" s="255"/>
      <c r="AS1014" s="255"/>
      <c r="AT1014" s="255"/>
      <c r="AU1014" s="255"/>
      <c r="AV1014" s="255"/>
      <c r="AW1014" s="255"/>
      <c r="AX1014" s="210"/>
      <c r="AY1014" s="236" cm="1">
        <f t="array" ref="AY1014">INDEX(Use, $AD1014, 4)</f>
        <v>7</v>
      </c>
      <c r="AZ1014" s="236">
        <f t="shared" si="826"/>
        <v>32</v>
      </c>
      <c r="BA1014" s="236">
        <f t="shared" si="851"/>
        <v>13</v>
      </c>
      <c r="BB1014" s="236">
        <f t="shared" si="852"/>
        <v>0</v>
      </c>
      <c r="BC1014" s="252" cm="1">
        <f t="array" ref="BC1014">K1014/IF($L1014&gt;0, INDEX($AO$23:$AU$77, $L1014+20, $AD1014), 1)</f>
        <v>0</v>
      </c>
      <c r="BD1014" s="237">
        <f t="shared" si="827"/>
        <v>0</v>
      </c>
      <c r="BE1014" s="236">
        <v>35</v>
      </c>
      <c r="BF1014" s="237">
        <f t="shared" si="828"/>
        <v>52.55</v>
      </c>
      <c r="BG1014" s="253">
        <f t="shared" si="829"/>
        <v>2.7676728869374316</v>
      </c>
      <c r="BH1014" s="253" cm="1">
        <f t="array" ref="BH1014">$BC1014 * SUMPRODUCT(INDEX($AL$77:$AN$82,,$AE1014),INDEX($AO$77:$AU$82,,$AD1014), N($AK$77:$AK$82&gt;$AI1014)) / BG1014 / 1000</f>
        <v>0</v>
      </c>
      <c r="BI1014" s="250">
        <f t="shared" si="853"/>
        <v>30</v>
      </c>
      <c r="BJ1014" s="237">
        <f t="shared" si="830"/>
        <v>46.033333333333331</v>
      </c>
      <c r="BK1014" s="253">
        <f t="shared" si="831"/>
        <v>3.2297395388556791</v>
      </c>
      <c r="BL1014" s="253" cm="1">
        <f t="array" ref="BL1014">$BC1014 * IF($AD1014&lt;=2,
SUMPRODUCT(INDEX($AL$72:$AN$76,,$AE1014), INDEX($AO$72:$AU$76,,$AD1014), 1 / ($AV$72:$AV$76*BK1014 + (1-$AV$72:$AV$76)*BG1014), N($AK$72:$AK$76&gt;$AI1014)),
SUMPRODUCT(INDEX($AL$67:$AN$76,,$AE1014), INDEX($AO$67:$AU$76,,$AD1014), 1 / ($AW$67:$AW$76*BK1014 + (1-$AW$67:$AW$76)*BG1014), N($AK$67:$AK$76&gt;$AI1014))
) / 1000</f>
        <v>0</v>
      </c>
      <c r="BM1014" s="250">
        <f t="shared" si="854"/>
        <v>25</v>
      </c>
      <c r="BN1014" s="237">
        <f t="shared" si="832"/>
        <v>39.516666666666666</v>
      </c>
      <c r="BO1014" s="253">
        <f t="shared" si="833"/>
        <v>3.877011788826243</v>
      </c>
      <c r="BP1014" s="253" cm="1">
        <f t="array" ref="BP1014">$BC1014 * IF($AD1014&lt;=2,
SUMPRODUCT(INDEX($AL$67:$AN$71,,$AE1014), INDEX($AO$67:$AU$71,,$AD1014), 1 / ($AV$67:$AV$71*BO1014 + (1-$AV$67:$AV$71)*BK1014), N($AK$67:$AK$71&gt;$AI1014)),
SUMPRODUCT(INDEX($AL$57:$AN$66,,$AE1014), INDEX($AO$57:$AU$66,,$AD1014), 1 / ($AW$57:$AW$66*BO1014 + (1-$AW$57:$AW$66)*BK1014), N($AK$57:$AK$66&gt;$AI1014))
) / 1000</f>
        <v>0</v>
      </c>
      <c r="BQ1014" s="250">
        <f t="shared" si="855"/>
        <v>20</v>
      </c>
      <c r="BR1014" s="237">
        <f t="shared" si="834"/>
        <v>33</v>
      </c>
      <c r="BS1014" s="253">
        <f t="shared" si="835"/>
        <v>4.8487499999999999</v>
      </c>
      <c r="BT1014" s="253" cm="1">
        <f t="array" ref="BT1014">$BC1014 * IF($AD1014&lt;=2,
SUMPRODUCT(INDEX($AL$62:$AN$66,,$AE1014), INDEX($AO$62:$AU$66,,$AD1014), 1 / ($AV$62:$AV$66*BS1014 + (1-$AV$62:$AV$66)*BO1014), N($AK$62:$AK$66&gt;$AI1014)),
SUMPRODUCT(INDEX($AL$47:$AN$56,,$AE1014), INDEX($AO$47:$AU$56,,$AD1014), 1 / ($AW$47:$AW$56*BS1014 + (1-$AW$47:$AW$56)*BO1014), N($AK$47:$AK$56&gt;$AI1014))
) / 1000</f>
        <v>0</v>
      </c>
      <c r="BU1014" s="253" cm="1">
        <f t="array" ref="BU1014">$BC1014 * IF($AD1014&lt;=2,
SUMPRODUCT(INDEX($AL$23:$AN$61,,$AE1014), INDEX($AO$23:$AU$61,,$AD1014), 1 / ($AV$23:$AV$61*BS1014), N($AK$23:$AK$61&gt;$AI1014)),
SUMPRODUCT(INDEX($AL$23:$AN$46,,$AE1014), INDEX($AO$23:$AU$46,,$AD1014), 1 / ($AW$23:$AW$46*BS1014), N($AK$23:$AK$46&gt;$AI1014))
) / 1000</f>
        <v>0</v>
      </c>
      <c r="BV1014" s="237">
        <f t="shared" si="836"/>
        <v>0</v>
      </c>
      <c r="BW1014" s="210"/>
      <c r="BX1014" s="237">
        <f t="shared" si="837"/>
        <v>0</v>
      </c>
      <c r="BY1014" s="236">
        <v>35</v>
      </c>
      <c r="BZ1014" s="237">
        <f t="shared" si="838"/>
        <v>48</v>
      </c>
      <c r="CA1014" s="253">
        <f t="shared" si="839"/>
        <v>3.0748170731707316</v>
      </c>
      <c r="CB1014" s="253" cm="1">
        <f t="array" ref="CB1014">$BC1014 * SUMPRODUCT(INDEX($AL$77:$AN$82,,$AE1014),INDEX($AO$77:$AU$82,,$AD1014), N($AK$77:$AK$82&gt;$AI1014)) / CA1014 / 1000</f>
        <v>0</v>
      </c>
      <c r="CC1014" s="250">
        <f t="shared" si="856"/>
        <v>30</v>
      </c>
      <c r="CD1014" s="237">
        <f t="shared" si="840"/>
        <v>43</v>
      </c>
      <c r="CE1014" s="253">
        <f t="shared" si="841"/>
        <v>3.5018750000000001</v>
      </c>
      <c r="CF1014" s="253" cm="1">
        <f t="array" ref="CF1014">$BC1014 * IF($AD1014&lt;=2,
SUMPRODUCT(INDEX($AL$72:$AN$76,,$AE1014), INDEX($AO$72:$AU$76,,$AD1014), 1 / ($AV$72:$AV$76*CE1014 + (1-$AV$72:$AV$76)*CA1014), N($AK$72:$AK$76&gt;$AI1014)),
SUMPRODUCT(INDEX($AL$67:$AN$76,,$AE1014), INDEX($AO$67:$AU$76,,$AD1014), 1 / ($AW$67:$AW$76*CE1014 + (1-$AW$67:$AW$76)*CA1014), N($AK$67:$AK$76&gt;$AI1014))
) / 1000</f>
        <v>0</v>
      </c>
      <c r="CG1014" s="250">
        <f t="shared" si="857"/>
        <v>25</v>
      </c>
      <c r="CH1014" s="237">
        <f t="shared" si="842"/>
        <v>38</v>
      </c>
      <c r="CI1014" s="253">
        <f t="shared" si="843"/>
        <v>4.0666935483870965</v>
      </c>
      <c r="CJ1014" s="253" cm="1">
        <f t="array" ref="CJ1014">$BC1014 * IF($AD1014&lt;=2,
SUMPRODUCT(INDEX($AL$67:$AN$71,,$AE1014), INDEX($AO$67:$AU$71,,$AD1014), 1 / ($AV$67:$AV$71*CI1014 + (1-$AV$67:$AV$71)*CE1014), N($AK$67:$AK$71&gt;$AI1014)),
SUMPRODUCT(INDEX($AL$57:$AN$66,,$AE1014), INDEX($AO$57:$AU$66,,$AD1014), 1 / ($AW$57:$AW$66*CI1014 + (1-$AW$57:$AW$66)*CE1014), N($AK$57:$AK$66&gt;$AI1014))
) / 1000</f>
        <v>0</v>
      </c>
      <c r="CK1014" s="250">
        <f t="shared" si="858"/>
        <v>20</v>
      </c>
      <c r="CL1014" s="237">
        <f t="shared" si="844"/>
        <v>33</v>
      </c>
      <c r="CM1014" s="253">
        <f t="shared" si="845"/>
        <v>4.8487499999999999</v>
      </c>
      <c r="CN1014" s="253" cm="1">
        <f t="array" ref="CN1014">$BC1014 * IF($AD1014&lt;=2,
SUMPRODUCT(INDEX($AL$62:$AN$66,,$AE1014), INDEX($AO$62:$AU$66,,$AD1014), 1 / ($AV$62:$AV$66*CM1014 + (1-$AV$62:$AV$66)*CI1014), N($AK$62:$AK$66&gt;$AI1014)),
SUMPRODUCT(INDEX($AL$47:$AN$56,,$AE1014), INDEX($AO$47:$AU$56,,$AD1014), 1 / ($AW$47:$AW$56*CM1014 + (1-$AW$47:$AW$56)*CI1014), N($AK$47:$AK$56&gt;$AI1014))
) / 1000</f>
        <v>0</v>
      </c>
      <c r="CO1014" s="253" cm="1">
        <f t="array" ref="CO1014">$BC1014 * IF($AD1014&lt;=2,
SUMPRODUCT(INDEX($AL$23:$AN$61,,$AE1014), INDEX($AO$23:$AU$61,,$AD1014), 1 / ($AV$23:$AV$61*CM1014), N($AK$23:$AK$61&gt;$AI1014)),
SUMPRODUCT(INDEX($AL$23:$AN$46,,$AE1014), INDEX($AO$23:$AU$46,,$AD1014), 1 / ($AW$23:$AW$46*CM1014), N($AK$23:$AK$46&gt;$AI1014))
) / 1000</f>
        <v>0</v>
      </c>
      <c r="CP1014" s="237">
        <f t="shared" si="846"/>
        <v>0</v>
      </c>
      <c r="CQ1014" s="210"/>
    </row>
    <row r="1015" spans="1:95" s="76" customFormat="1" ht="14.25" customHeight="1" x14ac:dyDescent="0.2">
      <c r="A1015" s="238" t="b">
        <f t="shared" si="850"/>
        <v>0</v>
      </c>
      <c r="B1015" s="239">
        <v>993</v>
      </c>
      <c r="C1015" s="258"/>
      <c r="D1015" s="258"/>
      <c r="E1015" s="240"/>
      <c r="F1015" s="241" t="str">
        <f>IF(ISBLANK(E1015), "", VLOOKUP(E1015, Z!$A$2:$C$4127, 3, FALSE))</f>
        <v/>
      </c>
      <c r="G1015" s="242"/>
      <c r="H1015" s="242"/>
      <c r="I1015" s="243"/>
      <c r="J1015" s="244"/>
      <c r="K1015" s="259"/>
      <c r="L1015" s="260"/>
      <c r="M1015" s="247" t="str" cm="1">
        <f t="array" ref="M1015">IF($K1015&gt;0, INDEX(Clean,1+AG1015,$C$1), "")</f>
        <v/>
      </c>
      <c r="N1015" s="245"/>
      <c r="O1015" s="245"/>
      <c r="P1015" s="246"/>
      <c r="Q1015" s="248">
        <f t="shared" si="823"/>
        <v>0</v>
      </c>
      <c r="R1015" s="247" t="str" cm="1">
        <f t="array" ref="R1015">IF($K1015&gt;0, INDEX(Clean,1+AH1015,$C$1), "")</f>
        <v/>
      </c>
      <c r="S1015" s="245"/>
      <c r="T1015" s="245"/>
      <c r="U1015" s="246"/>
      <c r="V1015" s="248">
        <f t="shared" si="824"/>
        <v>0</v>
      </c>
      <c r="W1015" s="261"/>
      <c r="X1015" s="258"/>
      <c r="Y1015" s="240"/>
      <c r="Z1015" s="241" t="str">
        <f>IF(ISBLANK(Y1015), "", VLOOKUP(Y1015, Z!$A$2:$C$4127, 3, FALSE))</f>
        <v/>
      </c>
      <c r="AA1015" s="262"/>
      <c r="AB1015" s="249">
        <f t="shared" si="859"/>
        <v>0</v>
      </c>
      <c r="AC1015" s="210"/>
      <c r="AD1015" s="236">
        <f t="shared" si="847"/>
        <v>1</v>
      </c>
      <c r="AE1015" s="236">
        <f t="shared" si="848"/>
        <v>1</v>
      </c>
      <c r="AF1015" s="236">
        <f t="shared" si="849"/>
        <v>0</v>
      </c>
      <c r="AG1015" s="236">
        <v>1</v>
      </c>
      <c r="AH1015" s="236">
        <v>0</v>
      </c>
      <c r="AI1015" s="236">
        <f t="shared" si="825"/>
        <v>-100</v>
      </c>
      <c r="AJ1015" s="210"/>
      <c r="AK1015" s="254"/>
      <c r="AL1015" s="254"/>
      <c r="AM1015" s="255"/>
      <c r="AN1015" s="255"/>
      <c r="AO1015" s="255"/>
      <c r="AP1015" s="255"/>
      <c r="AQ1015" s="255"/>
      <c r="AR1015" s="255"/>
      <c r="AS1015" s="255"/>
      <c r="AT1015" s="255"/>
      <c r="AU1015" s="255"/>
      <c r="AV1015" s="255"/>
      <c r="AW1015" s="255"/>
      <c r="AX1015" s="210"/>
      <c r="AY1015" s="236" cm="1">
        <f t="array" ref="AY1015">INDEX(Use, $AD1015, 4)</f>
        <v>7</v>
      </c>
      <c r="AZ1015" s="236">
        <f t="shared" si="826"/>
        <v>32</v>
      </c>
      <c r="BA1015" s="236">
        <f t="shared" si="851"/>
        <v>13</v>
      </c>
      <c r="BB1015" s="236">
        <f t="shared" si="852"/>
        <v>0</v>
      </c>
      <c r="BC1015" s="252" cm="1">
        <f t="array" ref="BC1015">K1015/IF($L1015&gt;0, INDEX($AO$23:$AU$77, $L1015+20, $AD1015), 1)</f>
        <v>0</v>
      </c>
      <c r="BD1015" s="237">
        <f t="shared" si="827"/>
        <v>0</v>
      </c>
      <c r="BE1015" s="236">
        <v>35</v>
      </c>
      <c r="BF1015" s="237">
        <f t="shared" si="828"/>
        <v>52.55</v>
      </c>
      <c r="BG1015" s="253">
        <f t="shared" si="829"/>
        <v>2.7676728869374316</v>
      </c>
      <c r="BH1015" s="253" cm="1">
        <f t="array" ref="BH1015">$BC1015 * SUMPRODUCT(INDEX($AL$77:$AN$82,,$AE1015),INDEX($AO$77:$AU$82,,$AD1015), N($AK$77:$AK$82&gt;$AI1015)) / BG1015 / 1000</f>
        <v>0</v>
      </c>
      <c r="BI1015" s="250">
        <f t="shared" si="853"/>
        <v>30</v>
      </c>
      <c r="BJ1015" s="237">
        <f t="shared" si="830"/>
        <v>46.033333333333331</v>
      </c>
      <c r="BK1015" s="253">
        <f t="shared" si="831"/>
        <v>3.2297395388556791</v>
      </c>
      <c r="BL1015" s="253" cm="1">
        <f t="array" ref="BL1015">$BC1015 * IF($AD1015&lt;=2,
SUMPRODUCT(INDEX($AL$72:$AN$76,,$AE1015), INDEX($AO$72:$AU$76,,$AD1015), 1 / ($AV$72:$AV$76*BK1015 + (1-$AV$72:$AV$76)*BG1015), N($AK$72:$AK$76&gt;$AI1015)),
SUMPRODUCT(INDEX($AL$67:$AN$76,,$AE1015), INDEX($AO$67:$AU$76,,$AD1015), 1 / ($AW$67:$AW$76*BK1015 + (1-$AW$67:$AW$76)*BG1015), N($AK$67:$AK$76&gt;$AI1015))
) / 1000</f>
        <v>0</v>
      </c>
      <c r="BM1015" s="250">
        <f t="shared" si="854"/>
        <v>25</v>
      </c>
      <c r="BN1015" s="237">
        <f t="shared" si="832"/>
        <v>39.516666666666666</v>
      </c>
      <c r="BO1015" s="253">
        <f t="shared" si="833"/>
        <v>3.877011788826243</v>
      </c>
      <c r="BP1015" s="253" cm="1">
        <f t="array" ref="BP1015">$BC1015 * IF($AD1015&lt;=2,
SUMPRODUCT(INDEX($AL$67:$AN$71,,$AE1015), INDEX($AO$67:$AU$71,,$AD1015), 1 / ($AV$67:$AV$71*BO1015 + (1-$AV$67:$AV$71)*BK1015), N($AK$67:$AK$71&gt;$AI1015)),
SUMPRODUCT(INDEX($AL$57:$AN$66,,$AE1015), INDEX($AO$57:$AU$66,,$AD1015), 1 / ($AW$57:$AW$66*BO1015 + (1-$AW$57:$AW$66)*BK1015), N($AK$57:$AK$66&gt;$AI1015))
) / 1000</f>
        <v>0</v>
      </c>
      <c r="BQ1015" s="250">
        <f t="shared" si="855"/>
        <v>20</v>
      </c>
      <c r="BR1015" s="237">
        <f t="shared" si="834"/>
        <v>33</v>
      </c>
      <c r="BS1015" s="253">
        <f t="shared" si="835"/>
        <v>4.8487499999999999</v>
      </c>
      <c r="BT1015" s="253" cm="1">
        <f t="array" ref="BT1015">$BC1015 * IF($AD1015&lt;=2,
SUMPRODUCT(INDEX($AL$62:$AN$66,,$AE1015), INDEX($AO$62:$AU$66,,$AD1015), 1 / ($AV$62:$AV$66*BS1015 + (1-$AV$62:$AV$66)*BO1015), N($AK$62:$AK$66&gt;$AI1015)),
SUMPRODUCT(INDEX($AL$47:$AN$56,,$AE1015), INDEX($AO$47:$AU$56,,$AD1015), 1 / ($AW$47:$AW$56*BS1015 + (1-$AW$47:$AW$56)*BO1015), N($AK$47:$AK$56&gt;$AI1015))
) / 1000</f>
        <v>0</v>
      </c>
      <c r="BU1015" s="253" cm="1">
        <f t="array" ref="BU1015">$BC1015 * IF($AD1015&lt;=2,
SUMPRODUCT(INDEX($AL$23:$AN$61,,$AE1015), INDEX($AO$23:$AU$61,,$AD1015), 1 / ($AV$23:$AV$61*BS1015), N($AK$23:$AK$61&gt;$AI1015)),
SUMPRODUCT(INDEX($AL$23:$AN$46,,$AE1015), INDEX($AO$23:$AU$46,,$AD1015), 1 / ($AW$23:$AW$46*BS1015), N($AK$23:$AK$46&gt;$AI1015))
) / 1000</f>
        <v>0</v>
      </c>
      <c r="BV1015" s="237">
        <f t="shared" si="836"/>
        <v>0</v>
      </c>
      <c r="BW1015" s="210"/>
      <c r="BX1015" s="237">
        <f t="shared" si="837"/>
        <v>0</v>
      </c>
      <c r="BY1015" s="236">
        <v>35</v>
      </c>
      <c r="BZ1015" s="237">
        <f t="shared" si="838"/>
        <v>48</v>
      </c>
      <c r="CA1015" s="253">
        <f t="shared" si="839"/>
        <v>3.0748170731707316</v>
      </c>
      <c r="CB1015" s="253" cm="1">
        <f t="array" ref="CB1015">$BC1015 * SUMPRODUCT(INDEX($AL$77:$AN$82,,$AE1015),INDEX($AO$77:$AU$82,,$AD1015), N($AK$77:$AK$82&gt;$AI1015)) / CA1015 / 1000</f>
        <v>0</v>
      </c>
      <c r="CC1015" s="250">
        <f t="shared" si="856"/>
        <v>30</v>
      </c>
      <c r="CD1015" s="237">
        <f t="shared" si="840"/>
        <v>43</v>
      </c>
      <c r="CE1015" s="253">
        <f t="shared" si="841"/>
        <v>3.5018750000000001</v>
      </c>
      <c r="CF1015" s="253" cm="1">
        <f t="array" ref="CF1015">$BC1015 * IF($AD1015&lt;=2,
SUMPRODUCT(INDEX($AL$72:$AN$76,,$AE1015), INDEX($AO$72:$AU$76,,$AD1015), 1 / ($AV$72:$AV$76*CE1015 + (1-$AV$72:$AV$76)*CA1015), N($AK$72:$AK$76&gt;$AI1015)),
SUMPRODUCT(INDEX($AL$67:$AN$76,,$AE1015), INDEX($AO$67:$AU$76,,$AD1015), 1 / ($AW$67:$AW$76*CE1015 + (1-$AW$67:$AW$76)*CA1015), N($AK$67:$AK$76&gt;$AI1015))
) / 1000</f>
        <v>0</v>
      </c>
      <c r="CG1015" s="250">
        <f t="shared" si="857"/>
        <v>25</v>
      </c>
      <c r="CH1015" s="237">
        <f t="shared" si="842"/>
        <v>38</v>
      </c>
      <c r="CI1015" s="253">
        <f t="shared" si="843"/>
        <v>4.0666935483870965</v>
      </c>
      <c r="CJ1015" s="253" cm="1">
        <f t="array" ref="CJ1015">$BC1015 * IF($AD1015&lt;=2,
SUMPRODUCT(INDEX($AL$67:$AN$71,,$AE1015), INDEX($AO$67:$AU$71,,$AD1015), 1 / ($AV$67:$AV$71*CI1015 + (1-$AV$67:$AV$71)*CE1015), N($AK$67:$AK$71&gt;$AI1015)),
SUMPRODUCT(INDEX($AL$57:$AN$66,,$AE1015), INDEX($AO$57:$AU$66,,$AD1015), 1 / ($AW$57:$AW$66*CI1015 + (1-$AW$57:$AW$66)*CE1015), N($AK$57:$AK$66&gt;$AI1015))
) / 1000</f>
        <v>0</v>
      </c>
      <c r="CK1015" s="250">
        <f t="shared" si="858"/>
        <v>20</v>
      </c>
      <c r="CL1015" s="237">
        <f t="shared" si="844"/>
        <v>33</v>
      </c>
      <c r="CM1015" s="253">
        <f t="shared" si="845"/>
        <v>4.8487499999999999</v>
      </c>
      <c r="CN1015" s="253" cm="1">
        <f t="array" ref="CN1015">$BC1015 * IF($AD1015&lt;=2,
SUMPRODUCT(INDEX($AL$62:$AN$66,,$AE1015), INDEX($AO$62:$AU$66,,$AD1015), 1 / ($AV$62:$AV$66*CM1015 + (1-$AV$62:$AV$66)*CI1015), N($AK$62:$AK$66&gt;$AI1015)),
SUMPRODUCT(INDEX($AL$47:$AN$56,,$AE1015), INDEX($AO$47:$AU$56,,$AD1015), 1 / ($AW$47:$AW$56*CM1015 + (1-$AW$47:$AW$56)*CI1015), N($AK$47:$AK$56&gt;$AI1015))
) / 1000</f>
        <v>0</v>
      </c>
      <c r="CO1015" s="253" cm="1">
        <f t="array" ref="CO1015">$BC1015 * IF($AD1015&lt;=2,
SUMPRODUCT(INDEX($AL$23:$AN$61,,$AE1015), INDEX($AO$23:$AU$61,,$AD1015), 1 / ($AV$23:$AV$61*CM1015), N($AK$23:$AK$61&gt;$AI1015)),
SUMPRODUCT(INDEX($AL$23:$AN$46,,$AE1015), INDEX($AO$23:$AU$46,,$AD1015), 1 / ($AW$23:$AW$46*CM1015), N($AK$23:$AK$46&gt;$AI1015))
) / 1000</f>
        <v>0</v>
      </c>
      <c r="CP1015" s="237">
        <f t="shared" si="846"/>
        <v>0</v>
      </c>
      <c r="CQ1015" s="210"/>
    </row>
    <row r="1016" spans="1:95" s="76" customFormat="1" ht="14.25" customHeight="1" x14ac:dyDescent="0.2">
      <c r="A1016" s="238" t="b">
        <f t="shared" si="850"/>
        <v>0</v>
      </c>
      <c r="B1016" s="239">
        <v>994</v>
      </c>
      <c r="C1016" s="258"/>
      <c r="D1016" s="258"/>
      <c r="E1016" s="240"/>
      <c r="F1016" s="241" t="str">
        <f>IF(ISBLANK(E1016), "", VLOOKUP(E1016, Z!$A$2:$C$4127, 3, FALSE))</f>
        <v/>
      </c>
      <c r="G1016" s="242"/>
      <c r="H1016" s="242"/>
      <c r="I1016" s="243"/>
      <c r="J1016" s="244"/>
      <c r="K1016" s="259"/>
      <c r="L1016" s="260"/>
      <c r="M1016" s="247" t="str" cm="1">
        <f t="array" ref="M1016">IF($K1016&gt;0, INDEX(Clean,1+AG1016,$C$1), "")</f>
        <v/>
      </c>
      <c r="N1016" s="245"/>
      <c r="O1016" s="245"/>
      <c r="P1016" s="246"/>
      <c r="Q1016" s="248">
        <f t="shared" si="823"/>
        <v>0</v>
      </c>
      <c r="R1016" s="247" t="str" cm="1">
        <f t="array" ref="R1016">IF($K1016&gt;0, INDEX(Clean,1+AH1016,$C$1), "")</f>
        <v/>
      </c>
      <c r="S1016" s="245"/>
      <c r="T1016" s="245"/>
      <c r="U1016" s="246"/>
      <c r="V1016" s="248">
        <f t="shared" si="824"/>
        <v>0</v>
      </c>
      <c r="W1016" s="261"/>
      <c r="X1016" s="258"/>
      <c r="Y1016" s="240"/>
      <c r="Z1016" s="241" t="str">
        <f>IF(ISBLANK(Y1016), "", VLOOKUP(Y1016, Z!$A$2:$C$4127, 3, FALSE))</f>
        <v/>
      </c>
      <c r="AA1016" s="262"/>
      <c r="AB1016" s="249">
        <f t="shared" si="859"/>
        <v>0</v>
      </c>
      <c r="AC1016" s="210"/>
      <c r="AD1016" s="236">
        <f t="shared" si="847"/>
        <v>1</v>
      </c>
      <c r="AE1016" s="236">
        <f t="shared" si="848"/>
        <v>1</v>
      </c>
      <c r="AF1016" s="236">
        <f t="shared" si="849"/>
        <v>0</v>
      </c>
      <c r="AG1016" s="236">
        <v>1</v>
      </c>
      <c r="AH1016" s="236">
        <v>0</v>
      </c>
      <c r="AI1016" s="236">
        <f t="shared" si="825"/>
        <v>-100</v>
      </c>
      <c r="AJ1016" s="210"/>
      <c r="AK1016" s="254"/>
      <c r="AL1016" s="254"/>
      <c r="AM1016" s="255"/>
      <c r="AN1016" s="255"/>
      <c r="AO1016" s="255"/>
      <c r="AP1016" s="255"/>
      <c r="AQ1016" s="255"/>
      <c r="AR1016" s="255"/>
      <c r="AS1016" s="255"/>
      <c r="AT1016" s="255"/>
      <c r="AU1016" s="255"/>
      <c r="AV1016" s="255"/>
      <c r="AW1016" s="255"/>
      <c r="AX1016" s="210"/>
      <c r="AY1016" s="236" cm="1">
        <f t="array" ref="AY1016">INDEX(Use, $AD1016, 4)</f>
        <v>7</v>
      </c>
      <c r="AZ1016" s="236">
        <f t="shared" si="826"/>
        <v>32</v>
      </c>
      <c r="BA1016" s="236">
        <f t="shared" si="851"/>
        <v>13</v>
      </c>
      <c r="BB1016" s="236">
        <f t="shared" si="852"/>
        <v>0</v>
      </c>
      <c r="BC1016" s="252" cm="1">
        <f t="array" ref="BC1016">K1016/IF($L1016&gt;0, INDEX($AO$23:$AU$77, $L1016+20, $AD1016), 1)</f>
        <v>0</v>
      </c>
      <c r="BD1016" s="237">
        <f t="shared" si="827"/>
        <v>0</v>
      </c>
      <c r="BE1016" s="236">
        <v>35</v>
      </c>
      <c r="BF1016" s="237">
        <f t="shared" si="828"/>
        <v>52.55</v>
      </c>
      <c r="BG1016" s="253">
        <f t="shared" si="829"/>
        <v>2.7676728869374316</v>
      </c>
      <c r="BH1016" s="253" cm="1">
        <f t="array" ref="BH1016">$BC1016 * SUMPRODUCT(INDEX($AL$77:$AN$82,,$AE1016),INDEX($AO$77:$AU$82,,$AD1016), N($AK$77:$AK$82&gt;$AI1016)) / BG1016 / 1000</f>
        <v>0</v>
      </c>
      <c r="BI1016" s="250">
        <f t="shared" si="853"/>
        <v>30</v>
      </c>
      <c r="BJ1016" s="237">
        <f t="shared" si="830"/>
        <v>46.033333333333331</v>
      </c>
      <c r="BK1016" s="253">
        <f t="shared" si="831"/>
        <v>3.2297395388556791</v>
      </c>
      <c r="BL1016" s="253" cm="1">
        <f t="array" ref="BL1016">$BC1016 * IF($AD1016&lt;=2,
SUMPRODUCT(INDEX($AL$72:$AN$76,,$AE1016), INDEX($AO$72:$AU$76,,$AD1016), 1 / ($AV$72:$AV$76*BK1016 + (1-$AV$72:$AV$76)*BG1016), N($AK$72:$AK$76&gt;$AI1016)),
SUMPRODUCT(INDEX($AL$67:$AN$76,,$AE1016), INDEX($AO$67:$AU$76,,$AD1016), 1 / ($AW$67:$AW$76*BK1016 + (1-$AW$67:$AW$76)*BG1016), N($AK$67:$AK$76&gt;$AI1016))
) / 1000</f>
        <v>0</v>
      </c>
      <c r="BM1016" s="250">
        <f t="shared" si="854"/>
        <v>25</v>
      </c>
      <c r="BN1016" s="237">
        <f t="shared" si="832"/>
        <v>39.516666666666666</v>
      </c>
      <c r="BO1016" s="253">
        <f t="shared" si="833"/>
        <v>3.877011788826243</v>
      </c>
      <c r="BP1016" s="253" cm="1">
        <f t="array" ref="BP1016">$BC1016 * IF($AD1016&lt;=2,
SUMPRODUCT(INDEX($AL$67:$AN$71,,$AE1016), INDEX($AO$67:$AU$71,,$AD1016), 1 / ($AV$67:$AV$71*BO1016 + (1-$AV$67:$AV$71)*BK1016), N($AK$67:$AK$71&gt;$AI1016)),
SUMPRODUCT(INDEX($AL$57:$AN$66,,$AE1016), INDEX($AO$57:$AU$66,,$AD1016), 1 / ($AW$57:$AW$66*BO1016 + (1-$AW$57:$AW$66)*BK1016), N($AK$57:$AK$66&gt;$AI1016))
) / 1000</f>
        <v>0</v>
      </c>
      <c r="BQ1016" s="250">
        <f t="shared" si="855"/>
        <v>20</v>
      </c>
      <c r="BR1016" s="237">
        <f t="shared" si="834"/>
        <v>33</v>
      </c>
      <c r="BS1016" s="253">
        <f t="shared" si="835"/>
        <v>4.8487499999999999</v>
      </c>
      <c r="BT1016" s="253" cm="1">
        <f t="array" ref="BT1016">$BC1016 * IF($AD1016&lt;=2,
SUMPRODUCT(INDEX($AL$62:$AN$66,,$AE1016), INDEX($AO$62:$AU$66,,$AD1016), 1 / ($AV$62:$AV$66*BS1016 + (1-$AV$62:$AV$66)*BO1016), N($AK$62:$AK$66&gt;$AI1016)),
SUMPRODUCT(INDEX($AL$47:$AN$56,,$AE1016), INDEX($AO$47:$AU$56,,$AD1016), 1 / ($AW$47:$AW$56*BS1016 + (1-$AW$47:$AW$56)*BO1016), N($AK$47:$AK$56&gt;$AI1016))
) / 1000</f>
        <v>0</v>
      </c>
      <c r="BU1016" s="253" cm="1">
        <f t="array" ref="BU1016">$BC1016 * IF($AD1016&lt;=2,
SUMPRODUCT(INDEX($AL$23:$AN$61,,$AE1016), INDEX($AO$23:$AU$61,,$AD1016), 1 / ($AV$23:$AV$61*BS1016), N($AK$23:$AK$61&gt;$AI1016)),
SUMPRODUCT(INDEX($AL$23:$AN$46,,$AE1016), INDEX($AO$23:$AU$46,,$AD1016), 1 / ($AW$23:$AW$46*BS1016), N($AK$23:$AK$46&gt;$AI1016))
) / 1000</f>
        <v>0</v>
      </c>
      <c r="BV1016" s="237">
        <f t="shared" si="836"/>
        <v>0</v>
      </c>
      <c r="BW1016" s="210"/>
      <c r="BX1016" s="237">
        <f t="shared" si="837"/>
        <v>0</v>
      </c>
      <c r="BY1016" s="236">
        <v>35</v>
      </c>
      <c r="BZ1016" s="237">
        <f t="shared" si="838"/>
        <v>48</v>
      </c>
      <c r="CA1016" s="253">
        <f t="shared" si="839"/>
        <v>3.0748170731707316</v>
      </c>
      <c r="CB1016" s="253" cm="1">
        <f t="array" ref="CB1016">$BC1016 * SUMPRODUCT(INDEX($AL$77:$AN$82,,$AE1016),INDEX($AO$77:$AU$82,,$AD1016), N($AK$77:$AK$82&gt;$AI1016)) / CA1016 / 1000</f>
        <v>0</v>
      </c>
      <c r="CC1016" s="250">
        <f t="shared" si="856"/>
        <v>30</v>
      </c>
      <c r="CD1016" s="237">
        <f t="shared" si="840"/>
        <v>43</v>
      </c>
      <c r="CE1016" s="253">
        <f t="shared" si="841"/>
        <v>3.5018750000000001</v>
      </c>
      <c r="CF1016" s="253" cm="1">
        <f t="array" ref="CF1016">$BC1016 * IF($AD1016&lt;=2,
SUMPRODUCT(INDEX($AL$72:$AN$76,,$AE1016), INDEX($AO$72:$AU$76,,$AD1016), 1 / ($AV$72:$AV$76*CE1016 + (1-$AV$72:$AV$76)*CA1016), N($AK$72:$AK$76&gt;$AI1016)),
SUMPRODUCT(INDEX($AL$67:$AN$76,,$AE1016), INDEX($AO$67:$AU$76,,$AD1016), 1 / ($AW$67:$AW$76*CE1016 + (1-$AW$67:$AW$76)*CA1016), N($AK$67:$AK$76&gt;$AI1016))
) / 1000</f>
        <v>0</v>
      </c>
      <c r="CG1016" s="250">
        <f t="shared" si="857"/>
        <v>25</v>
      </c>
      <c r="CH1016" s="237">
        <f t="shared" si="842"/>
        <v>38</v>
      </c>
      <c r="CI1016" s="253">
        <f t="shared" si="843"/>
        <v>4.0666935483870965</v>
      </c>
      <c r="CJ1016" s="253" cm="1">
        <f t="array" ref="CJ1016">$BC1016 * IF($AD1016&lt;=2,
SUMPRODUCT(INDEX($AL$67:$AN$71,,$AE1016), INDEX($AO$67:$AU$71,,$AD1016), 1 / ($AV$67:$AV$71*CI1016 + (1-$AV$67:$AV$71)*CE1016), N($AK$67:$AK$71&gt;$AI1016)),
SUMPRODUCT(INDEX($AL$57:$AN$66,,$AE1016), INDEX($AO$57:$AU$66,,$AD1016), 1 / ($AW$57:$AW$66*CI1016 + (1-$AW$57:$AW$66)*CE1016), N($AK$57:$AK$66&gt;$AI1016))
) / 1000</f>
        <v>0</v>
      </c>
      <c r="CK1016" s="250">
        <f t="shared" si="858"/>
        <v>20</v>
      </c>
      <c r="CL1016" s="237">
        <f t="shared" si="844"/>
        <v>33</v>
      </c>
      <c r="CM1016" s="253">
        <f t="shared" si="845"/>
        <v>4.8487499999999999</v>
      </c>
      <c r="CN1016" s="253" cm="1">
        <f t="array" ref="CN1016">$BC1016 * IF($AD1016&lt;=2,
SUMPRODUCT(INDEX($AL$62:$AN$66,,$AE1016), INDEX($AO$62:$AU$66,,$AD1016), 1 / ($AV$62:$AV$66*CM1016 + (1-$AV$62:$AV$66)*CI1016), N($AK$62:$AK$66&gt;$AI1016)),
SUMPRODUCT(INDEX($AL$47:$AN$56,,$AE1016), INDEX($AO$47:$AU$56,,$AD1016), 1 / ($AW$47:$AW$56*CM1016 + (1-$AW$47:$AW$56)*CI1016), N($AK$47:$AK$56&gt;$AI1016))
) / 1000</f>
        <v>0</v>
      </c>
      <c r="CO1016" s="253" cm="1">
        <f t="array" ref="CO1016">$BC1016 * IF($AD1016&lt;=2,
SUMPRODUCT(INDEX($AL$23:$AN$61,,$AE1016), INDEX($AO$23:$AU$61,,$AD1016), 1 / ($AV$23:$AV$61*CM1016), N($AK$23:$AK$61&gt;$AI1016)),
SUMPRODUCT(INDEX($AL$23:$AN$46,,$AE1016), INDEX($AO$23:$AU$46,,$AD1016), 1 / ($AW$23:$AW$46*CM1016), N($AK$23:$AK$46&gt;$AI1016))
) / 1000</f>
        <v>0</v>
      </c>
      <c r="CP1016" s="237">
        <f t="shared" si="846"/>
        <v>0</v>
      </c>
      <c r="CQ1016" s="210"/>
    </row>
    <row r="1017" spans="1:95" s="76" customFormat="1" ht="14.25" customHeight="1" x14ac:dyDescent="0.2">
      <c r="A1017" s="238" t="b">
        <f t="shared" si="850"/>
        <v>0</v>
      </c>
      <c r="B1017" s="239">
        <v>995</v>
      </c>
      <c r="C1017" s="258"/>
      <c r="D1017" s="258"/>
      <c r="E1017" s="240"/>
      <c r="F1017" s="241" t="str">
        <f>IF(ISBLANK(E1017), "", VLOOKUP(E1017, Z!$A$2:$C$4127, 3, FALSE))</f>
        <v/>
      </c>
      <c r="G1017" s="242"/>
      <c r="H1017" s="242"/>
      <c r="I1017" s="243"/>
      <c r="J1017" s="244"/>
      <c r="K1017" s="259"/>
      <c r="L1017" s="260"/>
      <c r="M1017" s="247" t="str" cm="1">
        <f t="array" ref="M1017">IF($K1017&gt;0, INDEX(Clean,1+AG1017,$C$1), "")</f>
        <v/>
      </c>
      <c r="N1017" s="245"/>
      <c r="O1017" s="245"/>
      <c r="P1017" s="246"/>
      <c r="Q1017" s="248">
        <f t="shared" si="823"/>
        <v>0</v>
      </c>
      <c r="R1017" s="247" t="str" cm="1">
        <f t="array" ref="R1017">IF($K1017&gt;0, INDEX(Clean,1+AH1017,$C$1), "")</f>
        <v/>
      </c>
      <c r="S1017" s="245"/>
      <c r="T1017" s="245"/>
      <c r="U1017" s="246"/>
      <c r="V1017" s="248">
        <f t="shared" si="824"/>
        <v>0</v>
      </c>
      <c r="W1017" s="261"/>
      <c r="X1017" s="258"/>
      <c r="Y1017" s="240"/>
      <c r="Z1017" s="241" t="str">
        <f>IF(ISBLANK(Y1017), "", VLOOKUP(Y1017, Z!$A$2:$C$4127, 3, FALSE))</f>
        <v/>
      </c>
      <c r="AA1017" s="262"/>
      <c r="AB1017" s="249">
        <f t="shared" si="859"/>
        <v>0</v>
      </c>
      <c r="AC1017" s="210"/>
      <c r="AD1017" s="236">
        <f t="shared" si="847"/>
        <v>1</v>
      </c>
      <c r="AE1017" s="236">
        <f t="shared" si="848"/>
        <v>1</v>
      </c>
      <c r="AF1017" s="236">
        <f t="shared" si="849"/>
        <v>0</v>
      </c>
      <c r="AG1017" s="236">
        <v>1</v>
      </c>
      <c r="AH1017" s="236">
        <v>0</v>
      </c>
      <c r="AI1017" s="236">
        <f t="shared" si="825"/>
        <v>-100</v>
      </c>
      <c r="AJ1017" s="210"/>
      <c r="AK1017" s="254"/>
      <c r="AL1017" s="254"/>
      <c r="AM1017" s="255"/>
      <c r="AN1017" s="255"/>
      <c r="AO1017" s="255"/>
      <c r="AP1017" s="255"/>
      <c r="AQ1017" s="255"/>
      <c r="AR1017" s="255"/>
      <c r="AS1017" s="255"/>
      <c r="AT1017" s="255"/>
      <c r="AU1017" s="255"/>
      <c r="AV1017" s="255"/>
      <c r="AW1017" s="255"/>
      <c r="AX1017" s="210"/>
      <c r="AY1017" s="236" cm="1">
        <f t="array" ref="AY1017">INDEX(Use, $AD1017, 4)</f>
        <v>7</v>
      </c>
      <c r="AZ1017" s="236">
        <f t="shared" si="826"/>
        <v>32</v>
      </c>
      <c r="BA1017" s="236">
        <f t="shared" si="851"/>
        <v>13</v>
      </c>
      <c r="BB1017" s="236">
        <f t="shared" si="852"/>
        <v>0</v>
      </c>
      <c r="BC1017" s="252" cm="1">
        <f t="array" ref="BC1017">K1017/IF($L1017&gt;0, INDEX($AO$23:$AU$77, $L1017+20, $AD1017), 1)</f>
        <v>0</v>
      </c>
      <c r="BD1017" s="237">
        <f t="shared" si="827"/>
        <v>0</v>
      </c>
      <c r="BE1017" s="236">
        <v>35</v>
      </c>
      <c r="BF1017" s="237">
        <f t="shared" si="828"/>
        <v>52.55</v>
      </c>
      <c r="BG1017" s="253">
        <f t="shared" si="829"/>
        <v>2.7676728869374316</v>
      </c>
      <c r="BH1017" s="253" cm="1">
        <f t="array" ref="BH1017">$BC1017 * SUMPRODUCT(INDEX($AL$77:$AN$82,,$AE1017),INDEX($AO$77:$AU$82,,$AD1017), N($AK$77:$AK$82&gt;$AI1017)) / BG1017 / 1000</f>
        <v>0</v>
      </c>
      <c r="BI1017" s="250">
        <f t="shared" si="853"/>
        <v>30</v>
      </c>
      <c r="BJ1017" s="237">
        <f t="shared" si="830"/>
        <v>46.033333333333331</v>
      </c>
      <c r="BK1017" s="253">
        <f t="shared" si="831"/>
        <v>3.2297395388556791</v>
      </c>
      <c r="BL1017" s="253" cm="1">
        <f t="array" ref="BL1017">$BC1017 * IF($AD1017&lt;=2,
SUMPRODUCT(INDEX($AL$72:$AN$76,,$AE1017), INDEX($AO$72:$AU$76,,$AD1017), 1 / ($AV$72:$AV$76*BK1017 + (1-$AV$72:$AV$76)*BG1017), N($AK$72:$AK$76&gt;$AI1017)),
SUMPRODUCT(INDEX($AL$67:$AN$76,,$AE1017), INDEX($AO$67:$AU$76,,$AD1017), 1 / ($AW$67:$AW$76*BK1017 + (1-$AW$67:$AW$76)*BG1017), N($AK$67:$AK$76&gt;$AI1017))
) / 1000</f>
        <v>0</v>
      </c>
      <c r="BM1017" s="250">
        <f t="shared" si="854"/>
        <v>25</v>
      </c>
      <c r="BN1017" s="237">
        <f t="shared" si="832"/>
        <v>39.516666666666666</v>
      </c>
      <c r="BO1017" s="253">
        <f t="shared" si="833"/>
        <v>3.877011788826243</v>
      </c>
      <c r="BP1017" s="253" cm="1">
        <f t="array" ref="BP1017">$BC1017 * IF($AD1017&lt;=2,
SUMPRODUCT(INDEX($AL$67:$AN$71,,$AE1017), INDEX($AO$67:$AU$71,,$AD1017), 1 / ($AV$67:$AV$71*BO1017 + (1-$AV$67:$AV$71)*BK1017), N($AK$67:$AK$71&gt;$AI1017)),
SUMPRODUCT(INDEX($AL$57:$AN$66,,$AE1017), INDEX($AO$57:$AU$66,,$AD1017), 1 / ($AW$57:$AW$66*BO1017 + (1-$AW$57:$AW$66)*BK1017), N($AK$57:$AK$66&gt;$AI1017))
) / 1000</f>
        <v>0</v>
      </c>
      <c r="BQ1017" s="250">
        <f t="shared" si="855"/>
        <v>20</v>
      </c>
      <c r="BR1017" s="237">
        <f t="shared" si="834"/>
        <v>33</v>
      </c>
      <c r="BS1017" s="253">
        <f t="shared" si="835"/>
        <v>4.8487499999999999</v>
      </c>
      <c r="BT1017" s="253" cm="1">
        <f t="array" ref="BT1017">$BC1017 * IF($AD1017&lt;=2,
SUMPRODUCT(INDEX($AL$62:$AN$66,,$AE1017), INDEX($AO$62:$AU$66,,$AD1017), 1 / ($AV$62:$AV$66*BS1017 + (1-$AV$62:$AV$66)*BO1017), N($AK$62:$AK$66&gt;$AI1017)),
SUMPRODUCT(INDEX($AL$47:$AN$56,,$AE1017), INDEX($AO$47:$AU$56,,$AD1017), 1 / ($AW$47:$AW$56*BS1017 + (1-$AW$47:$AW$56)*BO1017), N($AK$47:$AK$56&gt;$AI1017))
) / 1000</f>
        <v>0</v>
      </c>
      <c r="BU1017" s="253" cm="1">
        <f t="array" ref="BU1017">$BC1017 * IF($AD1017&lt;=2,
SUMPRODUCT(INDEX($AL$23:$AN$61,,$AE1017), INDEX($AO$23:$AU$61,,$AD1017), 1 / ($AV$23:$AV$61*BS1017), N($AK$23:$AK$61&gt;$AI1017)),
SUMPRODUCT(INDEX($AL$23:$AN$46,,$AE1017), INDEX($AO$23:$AU$46,,$AD1017), 1 / ($AW$23:$AW$46*BS1017), N($AK$23:$AK$46&gt;$AI1017))
) / 1000</f>
        <v>0</v>
      </c>
      <c r="BV1017" s="237">
        <f t="shared" si="836"/>
        <v>0</v>
      </c>
      <c r="BW1017" s="210"/>
      <c r="BX1017" s="237">
        <f t="shared" si="837"/>
        <v>0</v>
      </c>
      <c r="BY1017" s="236">
        <v>35</v>
      </c>
      <c r="BZ1017" s="237">
        <f t="shared" si="838"/>
        <v>48</v>
      </c>
      <c r="CA1017" s="253">
        <f t="shared" si="839"/>
        <v>3.0748170731707316</v>
      </c>
      <c r="CB1017" s="253" cm="1">
        <f t="array" ref="CB1017">$BC1017 * SUMPRODUCT(INDEX($AL$77:$AN$82,,$AE1017),INDEX($AO$77:$AU$82,,$AD1017), N($AK$77:$AK$82&gt;$AI1017)) / CA1017 / 1000</f>
        <v>0</v>
      </c>
      <c r="CC1017" s="250">
        <f t="shared" si="856"/>
        <v>30</v>
      </c>
      <c r="CD1017" s="237">
        <f t="shared" si="840"/>
        <v>43</v>
      </c>
      <c r="CE1017" s="253">
        <f t="shared" si="841"/>
        <v>3.5018750000000001</v>
      </c>
      <c r="CF1017" s="253" cm="1">
        <f t="array" ref="CF1017">$BC1017 * IF($AD1017&lt;=2,
SUMPRODUCT(INDEX($AL$72:$AN$76,,$AE1017), INDEX($AO$72:$AU$76,,$AD1017), 1 / ($AV$72:$AV$76*CE1017 + (1-$AV$72:$AV$76)*CA1017), N($AK$72:$AK$76&gt;$AI1017)),
SUMPRODUCT(INDEX($AL$67:$AN$76,,$AE1017), INDEX($AO$67:$AU$76,,$AD1017), 1 / ($AW$67:$AW$76*CE1017 + (1-$AW$67:$AW$76)*CA1017), N($AK$67:$AK$76&gt;$AI1017))
) / 1000</f>
        <v>0</v>
      </c>
      <c r="CG1017" s="250">
        <f t="shared" si="857"/>
        <v>25</v>
      </c>
      <c r="CH1017" s="237">
        <f t="shared" si="842"/>
        <v>38</v>
      </c>
      <c r="CI1017" s="253">
        <f t="shared" si="843"/>
        <v>4.0666935483870965</v>
      </c>
      <c r="CJ1017" s="253" cm="1">
        <f t="array" ref="CJ1017">$BC1017 * IF($AD1017&lt;=2,
SUMPRODUCT(INDEX($AL$67:$AN$71,,$AE1017), INDEX($AO$67:$AU$71,,$AD1017), 1 / ($AV$67:$AV$71*CI1017 + (1-$AV$67:$AV$71)*CE1017), N($AK$67:$AK$71&gt;$AI1017)),
SUMPRODUCT(INDEX($AL$57:$AN$66,,$AE1017), INDEX($AO$57:$AU$66,,$AD1017), 1 / ($AW$57:$AW$66*CI1017 + (1-$AW$57:$AW$66)*CE1017), N($AK$57:$AK$66&gt;$AI1017))
) / 1000</f>
        <v>0</v>
      </c>
      <c r="CK1017" s="250">
        <f t="shared" si="858"/>
        <v>20</v>
      </c>
      <c r="CL1017" s="237">
        <f t="shared" si="844"/>
        <v>33</v>
      </c>
      <c r="CM1017" s="253">
        <f t="shared" si="845"/>
        <v>4.8487499999999999</v>
      </c>
      <c r="CN1017" s="253" cm="1">
        <f t="array" ref="CN1017">$BC1017 * IF($AD1017&lt;=2,
SUMPRODUCT(INDEX($AL$62:$AN$66,,$AE1017), INDEX($AO$62:$AU$66,,$AD1017), 1 / ($AV$62:$AV$66*CM1017 + (1-$AV$62:$AV$66)*CI1017), N($AK$62:$AK$66&gt;$AI1017)),
SUMPRODUCT(INDEX($AL$47:$AN$56,,$AE1017), INDEX($AO$47:$AU$56,,$AD1017), 1 / ($AW$47:$AW$56*CM1017 + (1-$AW$47:$AW$56)*CI1017), N($AK$47:$AK$56&gt;$AI1017))
) / 1000</f>
        <v>0</v>
      </c>
      <c r="CO1017" s="253" cm="1">
        <f t="array" ref="CO1017">$BC1017 * IF($AD1017&lt;=2,
SUMPRODUCT(INDEX($AL$23:$AN$61,,$AE1017), INDEX($AO$23:$AU$61,,$AD1017), 1 / ($AV$23:$AV$61*CM1017), N($AK$23:$AK$61&gt;$AI1017)),
SUMPRODUCT(INDEX($AL$23:$AN$46,,$AE1017), INDEX($AO$23:$AU$46,,$AD1017), 1 / ($AW$23:$AW$46*CM1017), N($AK$23:$AK$46&gt;$AI1017))
) / 1000</f>
        <v>0</v>
      </c>
      <c r="CP1017" s="237">
        <f t="shared" si="846"/>
        <v>0</v>
      </c>
      <c r="CQ1017" s="210"/>
    </row>
    <row r="1018" spans="1:95" s="76" customFormat="1" ht="14.25" customHeight="1" x14ac:dyDescent="0.2">
      <c r="A1018" s="238" t="b">
        <f t="shared" si="850"/>
        <v>0</v>
      </c>
      <c r="B1018" s="239">
        <v>996</v>
      </c>
      <c r="C1018" s="258"/>
      <c r="D1018" s="258"/>
      <c r="E1018" s="240"/>
      <c r="F1018" s="241" t="str">
        <f>IF(ISBLANK(E1018), "", VLOOKUP(E1018, Z!$A$2:$C$4127, 3, FALSE))</f>
        <v/>
      </c>
      <c r="G1018" s="242"/>
      <c r="H1018" s="242"/>
      <c r="I1018" s="243"/>
      <c r="J1018" s="244"/>
      <c r="K1018" s="259"/>
      <c r="L1018" s="260"/>
      <c r="M1018" s="247" t="str" cm="1">
        <f t="array" ref="M1018">IF($K1018&gt;0, INDEX(Clean,1+AG1018,$C$1), "")</f>
        <v/>
      </c>
      <c r="N1018" s="245"/>
      <c r="O1018" s="245"/>
      <c r="P1018" s="246"/>
      <c r="Q1018" s="248">
        <f t="shared" si="823"/>
        <v>0</v>
      </c>
      <c r="R1018" s="247" t="str" cm="1">
        <f t="array" ref="R1018">IF($K1018&gt;0, INDEX(Clean,1+AH1018,$C$1), "")</f>
        <v/>
      </c>
      <c r="S1018" s="245"/>
      <c r="T1018" s="245"/>
      <c r="U1018" s="246"/>
      <c r="V1018" s="248">
        <f t="shared" si="824"/>
        <v>0</v>
      </c>
      <c r="W1018" s="261"/>
      <c r="X1018" s="258"/>
      <c r="Y1018" s="240"/>
      <c r="Z1018" s="241" t="str">
        <f>IF(ISBLANK(Y1018), "", VLOOKUP(Y1018, Z!$A$2:$C$4127, 3, FALSE))</f>
        <v/>
      </c>
      <c r="AA1018" s="262"/>
      <c r="AB1018" s="249">
        <f t="shared" si="859"/>
        <v>0</v>
      </c>
      <c r="AC1018" s="210"/>
      <c r="AD1018" s="236">
        <f t="shared" si="847"/>
        <v>1</v>
      </c>
      <c r="AE1018" s="236">
        <f t="shared" si="848"/>
        <v>1</v>
      </c>
      <c r="AF1018" s="236">
        <f t="shared" si="849"/>
        <v>0</v>
      </c>
      <c r="AG1018" s="236">
        <v>1</v>
      </c>
      <c r="AH1018" s="236">
        <v>0</v>
      </c>
      <c r="AI1018" s="236">
        <f t="shared" si="825"/>
        <v>-100</v>
      </c>
      <c r="AJ1018" s="210"/>
      <c r="AK1018" s="254"/>
      <c r="AL1018" s="254"/>
      <c r="AM1018" s="255"/>
      <c r="AN1018" s="255"/>
      <c r="AO1018" s="255"/>
      <c r="AP1018" s="255"/>
      <c r="AQ1018" s="255"/>
      <c r="AR1018" s="255"/>
      <c r="AS1018" s="255"/>
      <c r="AT1018" s="255"/>
      <c r="AU1018" s="255"/>
      <c r="AV1018" s="255"/>
      <c r="AW1018" s="255"/>
      <c r="AX1018" s="210"/>
      <c r="AY1018" s="236" cm="1">
        <f t="array" ref="AY1018">INDEX(Use, $AD1018, 4)</f>
        <v>7</v>
      </c>
      <c r="AZ1018" s="236">
        <f t="shared" si="826"/>
        <v>32</v>
      </c>
      <c r="BA1018" s="236">
        <f t="shared" si="851"/>
        <v>13</v>
      </c>
      <c r="BB1018" s="236">
        <f t="shared" si="852"/>
        <v>0</v>
      </c>
      <c r="BC1018" s="252" cm="1">
        <f t="array" ref="BC1018">K1018/IF($L1018&gt;0, INDEX($AO$23:$AU$77, $L1018+20, $AD1018), 1)</f>
        <v>0</v>
      </c>
      <c r="BD1018" s="237">
        <f t="shared" si="827"/>
        <v>0</v>
      </c>
      <c r="BE1018" s="236">
        <v>35</v>
      </c>
      <c r="BF1018" s="237">
        <f t="shared" si="828"/>
        <v>52.55</v>
      </c>
      <c r="BG1018" s="253">
        <f t="shared" si="829"/>
        <v>2.7676728869374316</v>
      </c>
      <c r="BH1018" s="253" cm="1">
        <f t="array" ref="BH1018">$BC1018 * SUMPRODUCT(INDEX($AL$77:$AN$82,,$AE1018),INDEX($AO$77:$AU$82,,$AD1018), N($AK$77:$AK$82&gt;$AI1018)) / BG1018 / 1000</f>
        <v>0</v>
      </c>
      <c r="BI1018" s="250">
        <f t="shared" si="853"/>
        <v>30</v>
      </c>
      <c r="BJ1018" s="237">
        <f t="shared" si="830"/>
        <v>46.033333333333331</v>
      </c>
      <c r="BK1018" s="253">
        <f t="shared" si="831"/>
        <v>3.2297395388556791</v>
      </c>
      <c r="BL1018" s="253" cm="1">
        <f t="array" ref="BL1018">$BC1018 * IF($AD1018&lt;=2,
SUMPRODUCT(INDEX($AL$72:$AN$76,,$AE1018), INDEX($AO$72:$AU$76,,$AD1018), 1 / ($AV$72:$AV$76*BK1018 + (1-$AV$72:$AV$76)*BG1018), N($AK$72:$AK$76&gt;$AI1018)),
SUMPRODUCT(INDEX($AL$67:$AN$76,,$AE1018), INDEX($AO$67:$AU$76,,$AD1018), 1 / ($AW$67:$AW$76*BK1018 + (1-$AW$67:$AW$76)*BG1018), N($AK$67:$AK$76&gt;$AI1018))
) / 1000</f>
        <v>0</v>
      </c>
      <c r="BM1018" s="250">
        <f t="shared" si="854"/>
        <v>25</v>
      </c>
      <c r="BN1018" s="237">
        <f t="shared" si="832"/>
        <v>39.516666666666666</v>
      </c>
      <c r="BO1018" s="253">
        <f t="shared" si="833"/>
        <v>3.877011788826243</v>
      </c>
      <c r="BP1018" s="253" cm="1">
        <f t="array" ref="BP1018">$BC1018 * IF($AD1018&lt;=2,
SUMPRODUCT(INDEX($AL$67:$AN$71,,$AE1018), INDEX($AO$67:$AU$71,,$AD1018), 1 / ($AV$67:$AV$71*BO1018 + (1-$AV$67:$AV$71)*BK1018), N($AK$67:$AK$71&gt;$AI1018)),
SUMPRODUCT(INDEX($AL$57:$AN$66,,$AE1018), INDEX($AO$57:$AU$66,,$AD1018), 1 / ($AW$57:$AW$66*BO1018 + (1-$AW$57:$AW$66)*BK1018), N($AK$57:$AK$66&gt;$AI1018))
) / 1000</f>
        <v>0</v>
      </c>
      <c r="BQ1018" s="250">
        <f t="shared" si="855"/>
        <v>20</v>
      </c>
      <c r="BR1018" s="237">
        <f t="shared" si="834"/>
        <v>33</v>
      </c>
      <c r="BS1018" s="253">
        <f t="shared" si="835"/>
        <v>4.8487499999999999</v>
      </c>
      <c r="BT1018" s="253" cm="1">
        <f t="array" ref="BT1018">$BC1018 * IF($AD1018&lt;=2,
SUMPRODUCT(INDEX($AL$62:$AN$66,,$AE1018), INDEX($AO$62:$AU$66,,$AD1018), 1 / ($AV$62:$AV$66*BS1018 + (1-$AV$62:$AV$66)*BO1018), N($AK$62:$AK$66&gt;$AI1018)),
SUMPRODUCT(INDEX($AL$47:$AN$56,,$AE1018), INDEX($AO$47:$AU$56,,$AD1018), 1 / ($AW$47:$AW$56*BS1018 + (1-$AW$47:$AW$56)*BO1018), N($AK$47:$AK$56&gt;$AI1018))
) / 1000</f>
        <v>0</v>
      </c>
      <c r="BU1018" s="253" cm="1">
        <f t="array" ref="BU1018">$BC1018 * IF($AD1018&lt;=2,
SUMPRODUCT(INDEX($AL$23:$AN$61,,$AE1018), INDEX($AO$23:$AU$61,,$AD1018), 1 / ($AV$23:$AV$61*BS1018), N($AK$23:$AK$61&gt;$AI1018)),
SUMPRODUCT(INDEX($AL$23:$AN$46,,$AE1018), INDEX($AO$23:$AU$46,,$AD1018), 1 / ($AW$23:$AW$46*BS1018), N($AK$23:$AK$46&gt;$AI1018))
) / 1000</f>
        <v>0</v>
      </c>
      <c r="BV1018" s="237">
        <f t="shared" si="836"/>
        <v>0</v>
      </c>
      <c r="BW1018" s="210"/>
      <c r="BX1018" s="237">
        <f t="shared" si="837"/>
        <v>0</v>
      </c>
      <c r="BY1018" s="236">
        <v>35</v>
      </c>
      <c r="BZ1018" s="237">
        <f t="shared" si="838"/>
        <v>48</v>
      </c>
      <c r="CA1018" s="253">
        <f t="shared" si="839"/>
        <v>3.0748170731707316</v>
      </c>
      <c r="CB1018" s="253" cm="1">
        <f t="array" ref="CB1018">$BC1018 * SUMPRODUCT(INDEX($AL$77:$AN$82,,$AE1018),INDEX($AO$77:$AU$82,,$AD1018), N($AK$77:$AK$82&gt;$AI1018)) / CA1018 / 1000</f>
        <v>0</v>
      </c>
      <c r="CC1018" s="250">
        <f t="shared" si="856"/>
        <v>30</v>
      </c>
      <c r="CD1018" s="237">
        <f t="shared" si="840"/>
        <v>43</v>
      </c>
      <c r="CE1018" s="253">
        <f t="shared" si="841"/>
        <v>3.5018750000000001</v>
      </c>
      <c r="CF1018" s="253" cm="1">
        <f t="array" ref="CF1018">$BC1018 * IF($AD1018&lt;=2,
SUMPRODUCT(INDEX($AL$72:$AN$76,,$AE1018), INDEX($AO$72:$AU$76,,$AD1018), 1 / ($AV$72:$AV$76*CE1018 + (1-$AV$72:$AV$76)*CA1018), N($AK$72:$AK$76&gt;$AI1018)),
SUMPRODUCT(INDEX($AL$67:$AN$76,,$AE1018), INDEX($AO$67:$AU$76,,$AD1018), 1 / ($AW$67:$AW$76*CE1018 + (1-$AW$67:$AW$76)*CA1018), N($AK$67:$AK$76&gt;$AI1018))
) / 1000</f>
        <v>0</v>
      </c>
      <c r="CG1018" s="250">
        <f t="shared" si="857"/>
        <v>25</v>
      </c>
      <c r="CH1018" s="237">
        <f t="shared" si="842"/>
        <v>38</v>
      </c>
      <c r="CI1018" s="253">
        <f t="shared" si="843"/>
        <v>4.0666935483870965</v>
      </c>
      <c r="CJ1018" s="253" cm="1">
        <f t="array" ref="CJ1018">$BC1018 * IF($AD1018&lt;=2,
SUMPRODUCT(INDEX($AL$67:$AN$71,,$AE1018), INDEX($AO$67:$AU$71,,$AD1018), 1 / ($AV$67:$AV$71*CI1018 + (1-$AV$67:$AV$71)*CE1018), N($AK$67:$AK$71&gt;$AI1018)),
SUMPRODUCT(INDEX($AL$57:$AN$66,,$AE1018), INDEX($AO$57:$AU$66,,$AD1018), 1 / ($AW$57:$AW$66*CI1018 + (1-$AW$57:$AW$66)*CE1018), N($AK$57:$AK$66&gt;$AI1018))
) / 1000</f>
        <v>0</v>
      </c>
      <c r="CK1018" s="250">
        <f t="shared" si="858"/>
        <v>20</v>
      </c>
      <c r="CL1018" s="237">
        <f t="shared" si="844"/>
        <v>33</v>
      </c>
      <c r="CM1018" s="253">
        <f t="shared" si="845"/>
        <v>4.8487499999999999</v>
      </c>
      <c r="CN1018" s="253" cm="1">
        <f t="array" ref="CN1018">$BC1018 * IF($AD1018&lt;=2,
SUMPRODUCT(INDEX($AL$62:$AN$66,,$AE1018), INDEX($AO$62:$AU$66,,$AD1018), 1 / ($AV$62:$AV$66*CM1018 + (1-$AV$62:$AV$66)*CI1018), N($AK$62:$AK$66&gt;$AI1018)),
SUMPRODUCT(INDEX($AL$47:$AN$56,,$AE1018), INDEX($AO$47:$AU$56,,$AD1018), 1 / ($AW$47:$AW$56*CM1018 + (1-$AW$47:$AW$56)*CI1018), N($AK$47:$AK$56&gt;$AI1018))
) / 1000</f>
        <v>0</v>
      </c>
      <c r="CO1018" s="253" cm="1">
        <f t="array" ref="CO1018">$BC1018 * IF($AD1018&lt;=2,
SUMPRODUCT(INDEX($AL$23:$AN$61,,$AE1018), INDEX($AO$23:$AU$61,,$AD1018), 1 / ($AV$23:$AV$61*CM1018), N($AK$23:$AK$61&gt;$AI1018)),
SUMPRODUCT(INDEX($AL$23:$AN$46,,$AE1018), INDEX($AO$23:$AU$46,,$AD1018), 1 / ($AW$23:$AW$46*CM1018), N($AK$23:$AK$46&gt;$AI1018))
) / 1000</f>
        <v>0</v>
      </c>
      <c r="CP1018" s="237">
        <f t="shared" si="846"/>
        <v>0</v>
      </c>
      <c r="CQ1018" s="210"/>
    </row>
    <row r="1019" spans="1:95" s="76" customFormat="1" ht="14.25" customHeight="1" x14ac:dyDescent="0.2">
      <c r="A1019" s="238" t="b">
        <f t="shared" si="850"/>
        <v>0</v>
      </c>
      <c r="B1019" s="239">
        <v>997</v>
      </c>
      <c r="C1019" s="258"/>
      <c r="D1019" s="258"/>
      <c r="E1019" s="240"/>
      <c r="F1019" s="241" t="str">
        <f>IF(ISBLANK(E1019), "", VLOOKUP(E1019, Z!$A$2:$C$4127, 3, FALSE))</f>
        <v/>
      </c>
      <c r="G1019" s="242"/>
      <c r="H1019" s="242"/>
      <c r="I1019" s="243"/>
      <c r="J1019" s="244"/>
      <c r="K1019" s="259"/>
      <c r="L1019" s="260"/>
      <c r="M1019" s="247" t="str" cm="1">
        <f t="array" ref="M1019">IF($K1019&gt;0, INDEX(Clean,1+AG1019,$C$1), "")</f>
        <v/>
      </c>
      <c r="N1019" s="245"/>
      <c r="O1019" s="245"/>
      <c r="P1019" s="246"/>
      <c r="Q1019" s="248">
        <f t="shared" ref="Q1019:Q1022" si="860">BV1019*1000</f>
        <v>0</v>
      </c>
      <c r="R1019" s="247" t="str" cm="1">
        <f t="array" ref="R1019">IF($K1019&gt;0, INDEX(Clean,1+AH1019,$C$1), "")</f>
        <v/>
      </c>
      <c r="S1019" s="245"/>
      <c r="T1019" s="245"/>
      <c r="U1019" s="246"/>
      <c r="V1019" s="248">
        <f t="shared" ref="V1019:V1022" si="861">CP1019*1000</f>
        <v>0</v>
      </c>
      <c r="W1019" s="261"/>
      <c r="X1019" s="258"/>
      <c r="Y1019" s="240"/>
      <c r="Z1019" s="241" t="str">
        <f>IF(ISBLANK(Y1019), "", VLOOKUP(Y1019, Z!$A$2:$C$4127, 3, FALSE))</f>
        <v/>
      </c>
      <c r="AA1019" s="262"/>
      <c r="AB1019" s="249">
        <f t="shared" si="859"/>
        <v>0</v>
      </c>
      <c r="AC1019" s="210"/>
      <c r="AD1019" s="236">
        <f t="shared" si="847"/>
        <v>1</v>
      </c>
      <c r="AE1019" s="236">
        <f t="shared" si="848"/>
        <v>1</v>
      </c>
      <c r="AF1019" s="236">
        <f t="shared" si="849"/>
        <v>0</v>
      </c>
      <c r="AG1019" s="236">
        <v>1</v>
      </c>
      <c r="AH1019" s="236">
        <v>0</v>
      </c>
      <c r="AI1019" s="236">
        <f t="shared" ref="AI1019:AI1022" si="862">IF(AND(J1019="x", AD1019=5), 11, IF(AND(J1019="x", AD1019=6), 19, -100))</f>
        <v>-100</v>
      </c>
      <c r="AJ1019" s="210"/>
      <c r="AK1019" s="254"/>
      <c r="AL1019" s="254"/>
      <c r="AM1019" s="255"/>
      <c r="AN1019" s="255"/>
      <c r="AO1019" s="255"/>
      <c r="AP1019" s="255"/>
      <c r="AQ1019" s="255"/>
      <c r="AR1019" s="255"/>
      <c r="AS1019" s="255"/>
      <c r="AT1019" s="255"/>
      <c r="AU1019" s="255"/>
      <c r="AV1019" s="255"/>
      <c r="AW1019" s="255"/>
      <c r="AX1019" s="210"/>
      <c r="AY1019" s="236" cm="1">
        <f t="array" ref="AY1019">INDEX(Use, $AD1019, 4)</f>
        <v>7</v>
      </c>
      <c r="AZ1019" s="236">
        <f t="shared" ref="AZ1019:AZ1022" si="863">MAX(25, AY1019+25)</f>
        <v>32</v>
      </c>
      <c r="BA1019" s="236">
        <f t="shared" si="851"/>
        <v>13</v>
      </c>
      <c r="BB1019" s="236">
        <f t="shared" si="852"/>
        <v>0</v>
      </c>
      <c r="BC1019" s="252" cm="1">
        <f t="array" ref="BC1019">K1019/IF($L1019&gt;0, INDEX($AO$23:$AU$77, $L1019+20, $AD1019), 1)</f>
        <v>0</v>
      </c>
      <c r="BD1019" s="237">
        <f t="shared" ref="BD1019:BD1022" si="864">P1019 /  IF(AD1019&lt;=2, 0.7 + 0.3 * (O1019-20)/(35-20), 0.4 + 0.6 * (O1019-5)/(35-5))</f>
        <v>0</v>
      </c>
      <c r="BE1019" s="236">
        <v>35</v>
      </c>
      <c r="BF1019" s="237">
        <f t="shared" ref="BF1019:BF1022" si="865">MAX($N1019, MAX($AZ1019, $BE1019 + $BA1019 + $BB1019 + 0.35*$AG1019*$BA1019 + BD1019))</f>
        <v>52.55</v>
      </c>
      <c r="BG1019" s="253">
        <f t="shared" ref="BG1019:BG1022" si="866">0.45*($AY1019+273.15)/(BF1019-$AY1019)</f>
        <v>2.7676728869374316</v>
      </c>
      <c r="BH1019" s="253" cm="1">
        <f t="array" ref="BH1019">$BC1019 * SUMPRODUCT(INDEX($AL$77:$AN$82,,$AE1019),INDEX($AO$77:$AU$82,,$AD1019), N($AK$77:$AK$82&gt;$AI1019)) / BG1019 / 1000</f>
        <v>0</v>
      </c>
      <c r="BI1019" s="250">
        <f t="shared" si="853"/>
        <v>30</v>
      </c>
      <c r="BJ1019" s="237">
        <f t="shared" ref="BJ1019:BJ1022" si="867">MAX($N1019, MAX($AZ1019, BI1019 + $BA1019 + $BB1019 + IF($AD1019&lt;=2, (BI1019-20)/(35-20), 0.6+0.4*(BI1019-5)/(35-5))*0.35*$AG1019*$BA1019) + IF($AD1019&lt;=2,0.9,0.8)*$BD1019)</f>
        <v>46.033333333333331</v>
      </c>
      <c r="BK1019" s="253">
        <f t="shared" ref="BK1019:BK1022" si="868">0.45*($AY1019+273.15)/(BJ1019-$AY1019)</f>
        <v>3.2297395388556791</v>
      </c>
      <c r="BL1019" s="253" cm="1">
        <f t="array" ref="BL1019">$BC1019 * IF($AD1019&lt;=2,
SUMPRODUCT(INDEX($AL$72:$AN$76,,$AE1019), INDEX($AO$72:$AU$76,,$AD1019), 1 / ($AV$72:$AV$76*BK1019 + (1-$AV$72:$AV$76)*BG1019), N($AK$72:$AK$76&gt;$AI1019)),
SUMPRODUCT(INDEX($AL$67:$AN$76,,$AE1019), INDEX($AO$67:$AU$76,,$AD1019), 1 / ($AW$67:$AW$76*BK1019 + (1-$AW$67:$AW$76)*BG1019), N($AK$67:$AK$76&gt;$AI1019))
) / 1000</f>
        <v>0</v>
      </c>
      <c r="BM1019" s="250">
        <f t="shared" si="854"/>
        <v>25</v>
      </c>
      <c r="BN1019" s="237">
        <f t="shared" ref="BN1019:BN1022" si="869">MAX($N1019, MAX($AZ1019, BM1019 + $BA1019 + $BB1019 + IF($AD1019&lt;=2, (BM1019-20)/(35-20), 0.6+0.4*(BM1019-5)/(35-5))*0.35*$AG1019*$BA1019) + IF($AD1019&lt;=2,0.8,0.6)*$BD1019)</f>
        <v>39.516666666666666</v>
      </c>
      <c r="BO1019" s="253">
        <f t="shared" ref="BO1019:BO1022" si="870">0.45*($AY1019+273.15)/(BN1019-$AY1019)</f>
        <v>3.877011788826243</v>
      </c>
      <c r="BP1019" s="253" cm="1">
        <f t="array" ref="BP1019">$BC1019 * IF($AD1019&lt;=2,
SUMPRODUCT(INDEX($AL$67:$AN$71,,$AE1019), INDEX($AO$67:$AU$71,,$AD1019), 1 / ($AV$67:$AV$71*BO1019 + (1-$AV$67:$AV$71)*BK1019), N($AK$67:$AK$71&gt;$AI1019)),
SUMPRODUCT(INDEX($AL$57:$AN$66,,$AE1019), INDEX($AO$57:$AU$66,,$AD1019), 1 / ($AW$57:$AW$66*BO1019 + (1-$AW$57:$AW$66)*BK1019), N($AK$57:$AK$66&gt;$AI1019))
) / 1000</f>
        <v>0</v>
      </c>
      <c r="BQ1019" s="250">
        <f t="shared" si="855"/>
        <v>20</v>
      </c>
      <c r="BR1019" s="237">
        <f t="shared" ref="BR1019:BR1022" si="871">MAX($N1019, MAX($AZ1019, BQ1019 + $BA1019 + $BB1019 + IF($AD1019&lt;=2, (BQ1019-20)/(35-20), 0.6+0.4*(BQ1019-5)/(35-5))*0.35*$AG1019*$BA1019) + IF($AD1019&lt;=2,0.7,0.4)*$BD1019)</f>
        <v>33</v>
      </c>
      <c r="BS1019" s="253">
        <f t="shared" ref="BS1019:BS1022" si="872">0.45*($AY1019+273.15)/(BR1019-$AY1019)</f>
        <v>4.8487499999999999</v>
      </c>
      <c r="BT1019" s="253" cm="1">
        <f t="array" ref="BT1019">$BC1019 * IF($AD1019&lt;=2,
SUMPRODUCT(INDEX($AL$62:$AN$66,,$AE1019), INDEX($AO$62:$AU$66,,$AD1019), 1 / ($AV$62:$AV$66*BS1019 + (1-$AV$62:$AV$66)*BO1019), N($AK$62:$AK$66&gt;$AI1019)),
SUMPRODUCT(INDEX($AL$47:$AN$56,,$AE1019), INDEX($AO$47:$AU$56,,$AD1019), 1 / ($AW$47:$AW$56*BS1019 + (1-$AW$47:$AW$56)*BO1019), N($AK$47:$AK$56&gt;$AI1019))
) / 1000</f>
        <v>0</v>
      </c>
      <c r="BU1019" s="253" cm="1">
        <f t="array" ref="BU1019">$BC1019 * IF($AD1019&lt;=2,
SUMPRODUCT(INDEX($AL$23:$AN$61,,$AE1019), INDEX($AO$23:$AU$61,,$AD1019), 1 / ($AV$23:$AV$61*BS1019), N($AK$23:$AK$61&gt;$AI1019)),
SUMPRODUCT(INDEX($AL$23:$AN$46,,$AE1019), INDEX($AO$23:$AU$46,,$AD1019), 1 / ($AW$23:$AW$46*BS1019), N($AK$23:$AK$46&gt;$AI1019))
) / 1000</f>
        <v>0</v>
      </c>
      <c r="BV1019" s="237">
        <f t="shared" ref="BV1019:BV1022" si="873">BH1019+BL1019+BP1019+BT1019+BU1019</f>
        <v>0</v>
      </c>
      <c r="BW1019" s="210"/>
      <c r="BX1019" s="237">
        <f t="shared" ref="BX1019:BX1022" si="874">U1019 /  IF(AD1019&lt;=2, 0.7 + 0.3 * (T1019-20)/(35-20), 0.4 + 0.6 * (T1019-5)/(35-5))</f>
        <v>0</v>
      </c>
      <c r="BY1019" s="236">
        <v>35</v>
      </c>
      <c r="BZ1019" s="237">
        <f t="shared" ref="BZ1019:BZ1022" si="875">MAX($S1019, MAX($AZ1019, $BE1019 + $BA1019 + $BB1019 + 0.35*$AH1019*$BA1019 + BX1019))</f>
        <v>48</v>
      </c>
      <c r="CA1019" s="253">
        <f t="shared" ref="CA1019:CA1022" si="876">0.45*($AY1019+273.15)/(BZ1019-$AY1019)</f>
        <v>3.0748170731707316</v>
      </c>
      <c r="CB1019" s="253" cm="1">
        <f t="array" ref="CB1019">$BC1019 * SUMPRODUCT(INDEX($AL$77:$AN$82,,$AE1019),INDEX($AO$77:$AU$82,,$AD1019), N($AK$77:$AK$82&gt;$AI1019)) / CA1019 / 1000</f>
        <v>0</v>
      </c>
      <c r="CC1019" s="250">
        <f t="shared" si="856"/>
        <v>30</v>
      </c>
      <c r="CD1019" s="237">
        <f t="shared" ref="CD1019:CD1022" si="877">MAX($S1019, MAX($AZ1019, CC1019 + $BA1019 + $BB1019 + IF($AD1019&lt;=2, (CC1019-20)/(35-20), 0.6+0.4*(CC1019-5)/(35-5))*0.35*$AH1019*$BA1019) + IF($AD1019&lt;=2,0.9,0.8)*$BX1019)</f>
        <v>43</v>
      </c>
      <c r="CE1019" s="253">
        <f t="shared" ref="CE1019:CE1022" si="878">0.45*($AY1019+273.15)/(CD1019-$AY1019)</f>
        <v>3.5018750000000001</v>
      </c>
      <c r="CF1019" s="253" cm="1">
        <f t="array" ref="CF1019">$BC1019 * IF($AD1019&lt;=2,
SUMPRODUCT(INDEX($AL$72:$AN$76,,$AE1019), INDEX($AO$72:$AU$76,,$AD1019), 1 / ($AV$72:$AV$76*CE1019 + (1-$AV$72:$AV$76)*CA1019), N($AK$72:$AK$76&gt;$AI1019)),
SUMPRODUCT(INDEX($AL$67:$AN$76,,$AE1019), INDEX($AO$67:$AU$76,,$AD1019), 1 / ($AW$67:$AW$76*CE1019 + (1-$AW$67:$AW$76)*CA1019), N($AK$67:$AK$76&gt;$AI1019))
) / 1000</f>
        <v>0</v>
      </c>
      <c r="CG1019" s="250">
        <f t="shared" si="857"/>
        <v>25</v>
      </c>
      <c r="CH1019" s="237">
        <f t="shared" ref="CH1019:CH1022" si="879">MAX($S1019, MAX($AZ1019, CG1019 + $BA1019 + $BB1019 + IF($AD1019&lt;=2, (CG1019-20)/(35-20), 0.6+0.4*(CG1019-5)/(35-5))*0.35*$AH1019*$BA1019) + IF($AD1019&lt;=2,0.8,0.6)*$BX1019)</f>
        <v>38</v>
      </c>
      <c r="CI1019" s="253">
        <f t="shared" ref="CI1019:CI1022" si="880">0.45*($AY1019+273.15)/(CH1019-$AY1019)</f>
        <v>4.0666935483870965</v>
      </c>
      <c r="CJ1019" s="253" cm="1">
        <f t="array" ref="CJ1019">$BC1019 * IF($AD1019&lt;=2,
SUMPRODUCT(INDEX($AL$67:$AN$71,,$AE1019), INDEX($AO$67:$AU$71,,$AD1019), 1 / ($AV$67:$AV$71*CI1019 + (1-$AV$67:$AV$71)*CE1019), N($AK$67:$AK$71&gt;$AI1019)),
SUMPRODUCT(INDEX($AL$57:$AN$66,,$AE1019), INDEX($AO$57:$AU$66,,$AD1019), 1 / ($AW$57:$AW$66*CI1019 + (1-$AW$57:$AW$66)*CE1019), N($AK$57:$AK$66&gt;$AI1019))
) / 1000</f>
        <v>0</v>
      </c>
      <c r="CK1019" s="250">
        <f t="shared" si="858"/>
        <v>20</v>
      </c>
      <c r="CL1019" s="237">
        <f t="shared" ref="CL1019:CL1022" si="881">MAX($S1019, MAX($AZ1019, CK1019 + $BA1019 + $BB1019 + IF($AD1019&lt;=2, (CK1019-20)/(35-20), 0.6+0.4*(CK1019-5)/(35-5))*0.35*$AH1019*$BA1019) + IF($AD1019&lt;=2,0.7,0.4)*$BX1019)</f>
        <v>33</v>
      </c>
      <c r="CM1019" s="253">
        <f t="shared" ref="CM1019:CM1022" si="882">0.45*($AY1019+273.15)/(CL1019-$AY1019)</f>
        <v>4.8487499999999999</v>
      </c>
      <c r="CN1019" s="253" cm="1">
        <f t="array" ref="CN1019">$BC1019 * IF($AD1019&lt;=2,
SUMPRODUCT(INDEX($AL$62:$AN$66,,$AE1019), INDEX($AO$62:$AU$66,,$AD1019), 1 / ($AV$62:$AV$66*CM1019 + (1-$AV$62:$AV$66)*CI1019), N($AK$62:$AK$66&gt;$AI1019)),
SUMPRODUCT(INDEX($AL$47:$AN$56,,$AE1019), INDEX($AO$47:$AU$56,,$AD1019), 1 / ($AW$47:$AW$56*CM1019 + (1-$AW$47:$AW$56)*CI1019), N($AK$47:$AK$56&gt;$AI1019))
) / 1000</f>
        <v>0</v>
      </c>
      <c r="CO1019" s="253" cm="1">
        <f t="array" ref="CO1019">$BC1019 * IF($AD1019&lt;=2,
SUMPRODUCT(INDEX($AL$23:$AN$61,,$AE1019), INDEX($AO$23:$AU$61,,$AD1019), 1 / ($AV$23:$AV$61*CM1019), N($AK$23:$AK$61&gt;$AI1019)),
SUMPRODUCT(INDEX($AL$23:$AN$46,,$AE1019), INDEX($AO$23:$AU$46,,$AD1019), 1 / ($AW$23:$AW$46*CM1019), N($AK$23:$AK$46&gt;$AI1019))
) / 1000</f>
        <v>0</v>
      </c>
      <c r="CP1019" s="237">
        <f t="shared" ref="CP1019:CP1022" si="883">CB1019+CF1019+CJ1019+CN1019+CO1019</f>
        <v>0</v>
      </c>
      <c r="CQ1019" s="210"/>
    </row>
    <row r="1020" spans="1:95" s="76" customFormat="1" ht="14.25" customHeight="1" x14ac:dyDescent="0.2">
      <c r="A1020" s="238" t="b">
        <f t="shared" si="850"/>
        <v>0</v>
      </c>
      <c r="B1020" s="239">
        <v>998</v>
      </c>
      <c r="C1020" s="258"/>
      <c r="D1020" s="258"/>
      <c r="E1020" s="240"/>
      <c r="F1020" s="241" t="str">
        <f>IF(ISBLANK(E1020), "", VLOOKUP(E1020, Z!$A$2:$C$4127, 3, FALSE))</f>
        <v/>
      </c>
      <c r="G1020" s="242"/>
      <c r="H1020" s="242"/>
      <c r="I1020" s="243"/>
      <c r="J1020" s="244"/>
      <c r="K1020" s="259"/>
      <c r="L1020" s="260"/>
      <c r="M1020" s="247" t="str" cm="1">
        <f t="array" ref="M1020">IF($K1020&gt;0, INDEX(Clean,1+AG1020,$C$1), "")</f>
        <v/>
      </c>
      <c r="N1020" s="245"/>
      <c r="O1020" s="245"/>
      <c r="P1020" s="246"/>
      <c r="Q1020" s="248">
        <f t="shared" si="860"/>
        <v>0</v>
      </c>
      <c r="R1020" s="247" t="str" cm="1">
        <f t="array" ref="R1020">IF($K1020&gt;0, INDEX(Clean,1+AH1020,$C$1), "")</f>
        <v/>
      </c>
      <c r="S1020" s="245"/>
      <c r="T1020" s="245"/>
      <c r="U1020" s="246"/>
      <c r="V1020" s="248">
        <f t="shared" si="861"/>
        <v>0</v>
      </c>
      <c r="W1020" s="261"/>
      <c r="X1020" s="258"/>
      <c r="Y1020" s="240"/>
      <c r="Z1020" s="241" t="str">
        <f>IF(ISBLANK(Y1020), "", VLOOKUP(Y1020, Z!$A$2:$C$4127, 3, FALSE))</f>
        <v/>
      </c>
      <c r="AA1020" s="262"/>
      <c r="AB1020" s="249">
        <f t="shared" si="859"/>
        <v>0</v>
      </c>
      <c r="AC1020" s="210"/>
      <c r="AD1020" s="236">
        <f t="shared" ref="AD1020:AD1022" si="884">IF(ISBLANK(H1020), 1, IFERROR(MATCH(H1020, INDEX(Use,,1), 0), IFERROR(MATCH(H1020, INDEX(Use,,2), 0), MATCH(H1020, INDEX(Use,,3), 0))))</f>
        <v>1</v>
      </c>
      <c r="AE1020" s="236">
        <f t="shared" ref="AE1020:AE1022" si="885">IF(ISBLANK(G1020), 1, IFERROR(MATCH(G1020, INDEX(Loc,,1), 0), IFERROR(MATCH(G1020, INDEX(Loc,,2), 0), MATCH(G1020, INDEX(Loc,,3), 0))))</f>
        <v>1</v>
      </c>
      <c r="AF1020" s="236">
        <f t="shared" ref="AF1020:AF1022" si="886">_xlfn.IFNA(IF(IFERROR(MATCH(I1020, INDEX(Medium,,1), 0), IFERROR(MATCH(I1020, INDEX(Medium,,2), 0), MATCH(I1020, INDEX(Medium,,3), 0))) = 2, 1, 0), 0)</f>
        <v>0</v>
      </c>
      <c r="AG1020" s="236">
        <v>1</v>
      </c>
      <c r="AH1020" s="236">
        <v>0</v>
      </c>
      <c r="AI1020" s="236">
        <f t="shared" si="862"/>
        <v>-100</v>
      </c>
      <c r="AJ1020" s="210"/>
      <c r="AK1020" s="254"/>
      <c r="AL1020" s="254"/>
      <c r="AM1020" s="255"/>
      <c r="AN1020" s="255"/>
      <c r="AO1020" s="255"/>
      <c r="AP1020" s="255"/>
      <c r="AQ1020" s="255"/>
      <c r="AR1020" s="255"/>
      <c r="AS1020" s="255"/>
      <c r="AT1020" s="255"/>
      <c r="AU1020" s="255"/>
      <c r="AV1020" s="255"/>
      <c r="AW1020" s="255"/>
      <c r="AX1020" s="210"/>
      <c r="AY1020" s="236" cm="1">
        <f t="array" ref="AY1020">INDEX(Use, $AD1020, 4)</f>
        <v>7</v>
      </c>
      <c r="AZ1020" s="236">
        <f t="shared" si="863"/>
        <v>32</v>
      </c>
      <c r="BA1020" s="236">
        <f t="shared" si="851"/>
        <v>13</v>
      </c>
      <c r="BB1020" s="236">
        <f t="shared" si="852"/>
        <v>0</v>
      </c>
      <c r="BC1020" s="252" cm="1">
        <f t="array" ref="BC1020">K1020/IF($L1020&gt;0, INDEX($AO$23:$AU$77, $L1020+20, $AD1020), 1)</f>
        <v>0</v>
      </c>
      <c r="BD1020" s="237">
        <f t="shared" si="864"/>
        <v>0</v>
      </c>
      <c r="BE1020" s="236">
        <v>35</v>
      </c>
      <c r="BF1020" s="237">
        <f t="shared" si="865"/>
        <v>52.55</v>
      </c>
      <c r="BG1020" s="253">
        <f t="shared" si="866"/>
        <v>2.7676728869374316</v>
      </c>
      <c r="BH1020" s="253" cm="1">
        <f t="array" ref="BH1020">$BC1020 * SUMPRODUCT(INDEX($AL$77:$AN$82,,$AE1020),INDEX($AO$77:$AU$82,,$AD1020), N($AK$77:$AK$82&gt;$AI1020)) / BG1020 / 1000</f>
        <v>0</v>
      </c>
      <c r="BI1020" s="250">
        <f t="shared" si="853"/>
        <v>30</v>
      </c>
      <c r="BJ1020" s="237">
        <f t="shared" si="867"/>
        <v>46.033333333333331</v>
      </c>
      <c r="BK1020" s="253">
        <f t="shared" si="868"/>
        <v>3.2297395388556791</v>
      </c>
      <c r="BL1020" s="253" cm="1">
        <f t="array" ref="BL1020">$BC1020 * IF($AD1020&lt;=2,
SUMPRODUCT(INDEX($AL$72:$AN$76,,$AE1020), INDEX($AO$72:$AU$76,,$AD1020), 1 / ($AV$72:$AV$76*BK1020 + (1-$AV$72:$AV$76)*BG1020), N($AK$72:$AK$76&gt;$AI1020)),
SUMPRODUCT(INDEX($AL$67:$AN$76,,$AE1020), INDEX($AO$67:$AU$76,,$AD1020), 1 / ($AW$67:$AW$76*BK1020 + (1-$AW$67:$AW$76)*BG1020), N($AK$67:$AK$76&gt;$AI1020))
) / 1000</f>
        <v>0</v>
      </c>
      <c r="BM1020" s="250">
        <f t="shared" si="854"/>
        <v>25</v>
      </c>
      <c r="BN1020" s="237">
        <f t="shared" si="869"/>
        <v>39.516666666666666</v>
      </c>
      <c r="BO1020" s="253">
        <f t="shared" si="870"/>
        <v>3.877011788826243</v>
      </c>
      <c r="BP1020" s="253" cm="1">
        <f t="array" ref="BP1020">$BC1020 * IF($AD1020&lt;=2,
SUMPRODUCT(INDEX($AL$67:$AN$71,,$AE1020), INDEX($AO$67:$AU$71,,$AD1020), 1 / ($AV$67:$AV$71*BO1020 + (1-$AV$67:$AV$71)*BK1020), N($AK$67:$AK$71&gt;$AI1020)),
SUMPRODUCT(INDEX($AL$57:$AN$66,,$AE1020), INDEX($AO$57:$AU$66,,$AD1020), 1 / ($AW$57:$AW$66*BO1020 + (1-$AW$57:$AW$66)*BK1020), N($AK$57:$AK$66&gt;$AI1020))
) / 1000</f>
        <v>0</v>
      </c>
      <c r="BQ1020" s="250">
        <f t="shared" si="855"/>
        <v>20</v>
      </c>
      <c r="BR1020" s="237">
        <f t="shared" si="871"/>
        <v>33</v>
      </c>
      <c r="BS1020" s="253">
        <f t="shared" si="872"/>
        <v>4.8487499999999999</v>
      </c>
      <c r="BT1020" s="253" cm="1">
        <f t="array" ref="BT1020">$BC1020 * IF($AD1020&lt;=2,
SUMPRODUCT(INDEX($AL$62:$AN$66,,$AE1020), INDEX($AO$62:$AU$66,,$AD1020), 1 / ($AV$62:$AV$66*BS1020 + (1-$AV$62:$AV$66)*BO1020), N($AK$62:$AK$66&gt;$AI1020)),
SUMPRODUCT(INDEX($AL$47:$AN$56,,$AE1020), INDEX($AO$47:$AU$56,,$AD1020), 1 / ($AW$47:$AW$56*BS1020 + (1-$AW$47:$AW$56)*BO1020), N($AK$47:$AK$56&gt;$AI1020))
) / 1000</f>
        <v>0</v>
      </c>
      <c r="BU1020" s="253" cm="1">
        <f t="array" ref="BU1020">$BC1020 * IF($AD1020&lt;=2,
SUMPRODUCT(INDEX($AL$23:$AN$61,,$AE1020), INDEX($AO$23:$AU$61,,$AD1020), 1 / ($AV$23:$AV$61*BS1020), N($AK$23:$AK$61&gt;$AI1020)),
SUMPRODUCT(INDEX($AL$23:$AN$46,,$AE1020), INDEX($AO$23:$AU$46,,$AD1020), 1 / ($AW$23:$AW$46*BS1020), N($AK$23:$AK$46&gt;$AI1020))
) / 1000</f>
        <v>0</v>
      </c>
      <c r="BV1020" s="237">
        <f t="shared" si="873"/>
        <v>0</v>
      </c>
      <c r="BW1020" s="210"/>
      <c r="BX1020" s="237">
        <f t="shared" si="874"/>
        <v>0</v>
      </c>
      <c r="BY1020" s="236">
        <v>35</v>
      </c>
      <c r="BZ1020" s="237">
        <f t="shared" si="875"/>
        <v>48</v>
      </c>
      <c r="CA1020" s="253">
        <f t="shared" si="876"/>
        <v>3.0748170731707316</v>
      </c>
      <c r="CB1020" s="253" cm="1">
        <f t="array" ref="CB1020">$BC1020 * SUMPRODUCT(INDEX($AL$77:$AN$82,,$AE1020),INDEX($AO$77:$AU$82,,$AD1020), N($AK$77:$AK$82&gt;$AI1020)) / CA1020 / 1000</f>
        <v>0</v>
      </c>
      <c r="CC1020" s="250">
        <f t="shared" si="856"/>
        <v>30</v>
      </c>
      <c r="CD1020" s="237">
        <f t="shared" si="877"/>
        <v>43</v>
      </c>
      <c r="CE1020" s="253">
        <f t="shared" si="878"/>
        <v>3.5018750000000001</v>
      </c>
      <c r="CF1020" s="253" cm="1">
        <f t="array" ref="CF1020">$BC1020 * IF($AD1020&lt;=2,
SUMPRODUCT(INDEX($AL$72:$AN$76,,$AE1020), INDEX($AO$72:$AU$76,,$AD1020), 1 / ($AV$72:$AV$76*CE1020 + (1-$AV$72:$AV$76)*CA1020), N($AK$72:$AK$76&gt;$AI1020)),
SUMPRODUCT(INDEX($AL$67:$AN$76,,$AE1020), INDEX($AO$67:$AU$76,,$AD1020), 1 / ($AW$67:$AW$76*CE1020 + (1-$AW$67:$AW$76)*CA1020), N($AK$67:$AK$76&gt;$AI1020))
) / 1000</f>
        <v>0</v>
      </c>
      <c r="CG1020" s="250">
        <f t="shared" si="857"/>
        <v>25</v>
      </c>
      <c r="CH1020" s="237">
        <f t="shared" si="879"/>
        <v>38</v>
      </c>
      <c r="CI1020" s="253">
        <f t="shared" si="880"/>
        <v>4.0666935483870965</v>
      </c>
      <c r="CJ1020" s="253" cm="1">
        <f t="array" ref="CJ1020">$BC1020 * IF($AD1020&lt;=2,
SUMPRODUCT(INDEX($AL$67:$AN$71,,$AE1020), INDEX($AO$67:$AU$71,,$AD1020), 1 / ($AV$67:$AV$71*CI1020 + (1-$AV$67:$AV$71)*CE1020), N($AK$67:$AK$71&gt;$AI1020)),
SUMPRODUCT(INDEX($AL$57:$AN$66,,$AE1020), INDEX($AO$57:$AU$66,,$AD1020), 1 / ($AW$57:$AW$66*CI1020 + (1-$AW$57:$AW$66)*CE1020), N($AK$57:$AK$66&gt;$AI1020))
) / 1000</f>
        <v>0</v>
      </c>
      <c r="CK1020" s="250">
        <f t="shared" si="858"/>
        <v>20</v>
      </c>
      <c r="CL1020" s="237">
        <f t="shared" si="881"/>
        <v>33</v>
      </c>
      <c r="CM1020" s="253">
        <f t="shared" si="882"/>
        <v>4.8487499999999999</v>
      </c>
      <c r="CN1020" s="253" cm="1">
        <f t="array" ref="CN1020">$BC1020 * IF($AD1020&lt;=2,
SUMPRODUCT(INDEX($AL$62:$AN$66,,$AE1020), INDEX($AO$62:$AU$66,,$AD1020), 1 / ($AV$62:$AV$66*CM1020 + (1-$AV$62:$AV$66)*CI1020), N($AK$62:$AK$66&gt;$AI1020)),
SUMPRODUCT(INDEX($AL$47:$AN$56,,$AE1020), INDEX($AO$47:$AU$56,,$AD1020), 1 / ($AW$47:$AW$56*CM1020 + (1-$AW$47:$AW$56)*CI1020), N($AK$47:$AK$56&gt;$AI1020))
) / 1000</f>
        <v>0</v>
      </c>
      <c r="CO1020" s="253" cm="1">
        <f t="array" ref="CO1020">$BC1020 * IF($AD1020&lt;=2,
SUMPRODUCT(INDEX($AL$23:$AN$61,,$AE1020), INDEX($AO$23:$AU$61,,$AD1020), 1 / ($AV$23:$AV$61*CM1020), N($AK$23:$AK$61&gt;$AI1020)),
SUMPRODUCT(INDEX($AL$23:$AN$46,,$AE1020), INDEX($AO$23:$AU$46,,$AD1020), 1 / ($AW$23:$AW$46*CM1020), N($AK$23:$AK$46&gt;$AI1020))
) / 1000</f>
        <v>0</v>
      </c>
      <c r="CP1020" s="237">
        <f t="shared" si="883"/>
        <v>0</v>
      </c>
      <c r="CQ1020" s="210"/>
    </row>
    <row r="1021" spans="1:95" s="76" customFormat="1" ht="14.25" customHeight="1" x14ac:dyDescent="0.2">
      <c r="A1021" s="238" t="b">
        <f t="shared" si="850"/>
        <v>0</v>
      </c>
      <c r="B1021" s="239">
        <v>999</v>
      </c>
      <c r="C1021" s="258"/>
      <c r="D1021" s="258"/>
      <c r="E1021" s="240"/>
      <c r="F1021" s="241" t="str">
        <f>IF(ISBLANK(E1021), "", VLOOKUP(E1021, Z!$A$2:$C$4127, 3, FALSE))</f>
        <v/>
      </c>
      <c r="G1021" s="242"/>
      <c r="H1021" s="242"/>
      <c r="I1021" s="243"/>
      <c r="J1021" s="244"/>
      <c r="K1021" s="259"/>
      <c r="L1021" s="260"/>
      <c r="M1021" s="247" t="str" cm="1">
        <f t="array" ref="M1021">IF($K1021&gt;0, INDEX(Clean,1+AG1021,$C$1), "")</f>
        <v/>
      </c>
      <c r="N1021" s="245"/>
      <c r="O1021" s="245"/>
      <c r="P1021" s="246"/>
      <c r="Q1021" s="248">
        <f t="shared" si="860"/>
        <v>0</v>
      </c>
      <c r="R1021" s="247" t="str" cm="1">
        <f t="array" ref="R1021">IF($K1021&gt;0, INDEX(Clean,1+AH1021,$C$1), "")</f>
        <v/>
      </c>
      <c r="S1021" s="245"/>
      <c r="T1021" s="245"/>
      <c r="U1021" s="246"/>
      <c r="V1021" s="248">
        <f t="shared" si="861"/>
        <v>0</v>
      </c>
      <c r="W1021" s="261"/>
      <c r="X1021" s="258"/>
      <c r="Y1021" s="240"/>
      <c r="Z1021" s="241" t="str">
        <f>IF(ISBLANK(Y1021), "", VLOOKUP(Y1021, Z!$A$2:$C$4127, 3, FALSE))</f>
        <v/>
      </c>
      <c r="AA1021" s="262"/>
      <c r="AB1021" s="249">
        <f t="shared" si="859"/>
        <v>0</v>
      </c>
      <c r="AC1021" s="210"/>
      <c r="AD1021" s="236">
        <f t="shared" si="884"/>
        <v>1</v>
      </c>
      <c r="AE1021" s="236">
        <f t="shared" si="885"/>
        <v>1</v>
      </c>
      <c r="AF1021" s="236">
        <f t="shared" si="886"/>
        <v>0</v>
      </c>
      <c r="AG1021" s="236">
        <v>1</v>
      </c>
      <c r="AH1021" s="236">
        <v>0</v>
      </c>
      <c r="AI1021" s="236">
        <f t="shared" si="862"/>
        <v>-100</v>
      </c>
      <c r="AJ1021" s="210"/>
      <c r="AK1021" s="254"/>
      <c r="AL1021" s="254"/>
      <c r="AM1021" s="255"/>
      <c r="AN1021" s="255"/>
      <c r="AO1021" s="255"/>
      <c r="AP1021" s="255"/>
      <c r="AQ1021" s="255"/>
      <c r="AR1021" s="255"/>
      <c r="AS1021" s="255"/>
      <c r="AT1021" s="255"/>
      <c r="AU1021" s="255"/>
      <c r="AV1021" s="255"/>
      <c r="AW1021" s="255"/>
      <c r="AX1021" s="210"/>
      <c r="AY1021" s="236" cm="1">
        <f t="array" ref="AY1021">INDEX(Use, $AD1021, 4)</f>
        <v>7</v>
      </c>
      <c r="AZ1021" s="236">
        <f t="shared" si="863"/>
        <v>32</v>
      </c>
      <c r="BA1021" s="236">
        <f t="shared" si="851"/>
        <v>13</v>
      </c>
      <c r="BB1021" s="236">
        <f t="shared" si="852"/>
        <v>0</v>
      </c>
      <c r="BC1021" s="252" cm="1">
        <f t="array" ref="BC1021">K1021/IF($L1021&gt;0, INDEX($AO$23:$AU$77, $L1021+20, $AD1021), 1)</f>
        <v>0</v>
      </c>
      <c r="BD1021" s="237">
        <f t="shared" si="864"/>
        <v>0</v>
      </c>
      <c r="BE1021" s="236">
        <v>35</v>
      </c>
      <c r="BF1021" s="237">
        <f t="shared" si="865"/>
        <v>52.55</v>
      </c>
      <c r="BG1021" s="253">
        <f t="shared" si="866"/>
        <v>2.7676728869374316</v>
      </c>
      <c r="BH1021" s="253" cm="1">
        <f t="array" ref="BH1021">$BC1021 * SUMPRODUCT(INDEX($AL$77:$AN$82,,$AE1021),INDEX($AO$77:$AU$82,,$AD1021), N($AK$77:$AK$82&gt;$AI1021)) / BG1021 / 1000</f>
        <v>0</v>
      </c>
      <c r="BI1021" s="250">
        <f t="shared" si="853"/>
        <v>30</v>
      </c>
      <c r="BJ1021" s="237">
        <f t="shared" si="867"/>
        <v>46.033333333333331</v>
      </c>
      <c r="BK1021" s="253">
        <f t="shared" si="868"/>
        <v>3.2297395388556791</v>
      </c>
      <c r="BL1021" s="253" cm="1">
        <f t="array" ref="BL1021">$BC1021 * IF($AD1021&lt;=2,
SUMPRODUCT(INDEX($AL$72:$AN$76,,$AE1021), INDEX($AO$72:$AU$76,,$AD1021), 1 / ($AV$72:$AV$76*BK1021 + (1-$AV$72:$AV$76)*BG1021), N($AK$72:$AK$76&gt;$AI1021)),
SUMPRODUCT(INDEX($AL$67:$AN$76,,$AE1021), INDEX($AO$67:$AU$76,,$AD1021), 1 / ($AW$67:$AW$76*BK1021 + (1-$AW$67:$AW$76)*BG1021), N($AK$67:$AK$76&gt;$AI1021))
) / 1000</f>
        <v>0</v>
      </c>
      <c r="BM1021" s="250">
        <f t="shared" si="854"/>
        <v>25</v>
      </c>
      <c r="BN1021" s="237">
        <f t="shared" si="869"/>
        <v>39.516666666666666</v>
      </c>
      <c r="BO1021" s="253">
        <f t="shared" si="870"/>
        <v>3.877011788826243</v>
      </c>
      <c r="BP1021" s="253" cm="1">
        <f t="array" ref="BP1021">$BC1021 * IF($AD1021&lt;=2,
SUMPRODUCT(INDEX($AL$67:$AN$71,,$AE1021), INDEX($AO$67:$AU$71,,$AD1021), 1 / ($AV$67:$AV$71*BO1021 + (1-$AV$67:$AV$71)*BK1021), N($AK$67:$AK$71&gt;$AI1021)),
SUMPRODUCT(INDEX($AL$57:$AN$66,,$AE1021), INDEX($AO$57:$AU$66,,$AD1021), 1 / ($AW$57:$AW$66*BO1021 + (1-$AW$57:$AW$66)*BK1021), N($AK$57:$AK$66&gt;$AI1021))
) / 1000</f>
        <v>0</v>
      </c>
      <c r="BQ1021" s="250">
        <f t="shared" si="855"/>
        <v>20</v>
      </c>
      <c r="BR1021" s="237">
        <f t="shared" si="871"/>
        <v>33</v>
      </c>
      <c r="BS1021" s="253">
        <f t="shared" si="872"/>
        <v>4.8487499999999999</v>
      </c>
      <c r="BT1021" s="253" cm="1">
        <f t="array" ref="BT1021">$BC1021 * IF($AD1021&lt;=2,
SUMPRODUCT(INDEX($AL$62:$AN$66,,$AE1021), INDEX($AO$62:$AU$66,,$AD1021), 1 / ($AV$62:$AV$66*BS1021 + (1-$AV$62:$AV$66)*BO1021), N($AK$62:$AK$66&gt;$AI1021)),
SUMPRODUCT(INDEX($AL$47:$AN$56,,$AE1021), INDEX($AO$47:$AU$56,,$AD1021), 1 / ($AW$47:$AW$56*BS1021 + (1-$AW$47:$AW$56)*BO1021), N($AK$47:$AK$56&gt;$AI1021))
) / 1000</f>
        <v>0</v>
      </c>
      <c r="BU1021" s="253" cm="1">
        <f t="array" ref="BU1021">$BC1021 * IF($AD1021&lt;=2,
SUMPRODUCT(INDEX($AL$23:$AN$61,,$AE1021), INDEX($AO$23:$AU$61,,$AD1021), 1 / ($AV$23:$AV$61*BS1021), N($AK$23:$AK$61&gt;$AI1021)),
SUMPRODUCT(INDEX($AL$23:$AN$46,,$AE1021), INDEX($AO$23:$AU$46,,$AD1021), 1 / ($AW$23:$AW$46*BS1021), N($AK$23:$AK$46&gt;$AI1021))
) / 1000</f>
        <v>0</v>
      </c>
      <c r="BV1021" s="237">
        <f t="shared" si="873"/>
        <v>0</v>
      </c>
      <c r="BW1021" s="210"/>
      <c r="BX1021" s="237">
        <f t="shared" si="874"/>
        <v>0</v>
      </c>
      <c r="BY1021" s="236">
        <v>35</v>
      </c>
      <c r="BZ1021" s="237">
        <f t="shared" si="875"/>
        <v>48</v>
      </c>
      <c r="CA1021" s="253">
        <f t="shared" si="876"/>
        <v>3.0748170731707316</v>
      </c>
      <c r="CB1021" s="253" cm="1">
        <f t="array" ref="CB1021">$BC1021 * SUMPRODUCT(INDEX($AL$77:$AN$82,,$AE1021),INDEX($AO$77:$AU$82,,$AD1021), N($AK$77:$AK$82&gt;$AI1021)) / CA1021 / 1000</f>
        <v>0</v>
      </c>
      <c r="CC1021" s="250">
        <f t="shared" si="856"/>
        <v>30</v>
      </c>
      <c r="CD1021" s="237">
        <f t="shared" si="877"/>
        <v>43</v>
      </c>
      <c r="CE1021" s="253">
        <f t="shared" si="878"/>
        <v>3.5018750000000001</v>
      </c>
      <c r="CF1021" s="253" cm="1">
        <f t="array" ref="CF1021">$BC1021 * IF($AD1021&lt;=2,
SUMPRODUCT(INDEX($AL$72:$AN$76,,$AE1021), INDEX($AO$72:$AU$76,,$AD1021), 1 / ($AV$72:$AV$76*CE1021 + (1-$AV$72:$AV$76)*CA1021), N($AK$72:$AK$76&gt;$AI1021)),
SUMPRODUCT(INDEX($AL$67:$AN$76,,$AE1021), INDEX($AO$67:$AU$76,,$AD1021), 1 / ($AW$67:$AW$76*CE1021 + (1-$AW$67:$AW$76)*CA1021), N($AK$67:$AK$76&gt;$AI1021))
) / 1000</f>
        <v>0</v>
      </c>
      <c r="CG1021" s="250">
        <f t="shared" si="857"/>
        <v>25</v>
      </c>
      <c r="CH1021" s="237">
        <f t="shared" si="879"/>
        <v>38</v>
      </c>
      <c r="CI1021" s="253">
        <f t="shared" si="880"/>
        <v>4.0666935483870965</v>
      </c>
      <c r="CJ1021" s="253" cm="1">
        <f t="array" ref="CJ1021">$BC1021 * IF($AD1021&lt;=2,
SUMPRODUCT(INDEX($AL$67:$AN$71,,$AE1021), INDEX($AO$67:$AU$71,,$AD1021), 1 / ($AV$67:$AV$71*CI1021 + (1-$AV$67:$AV$71)*CE1021), N($AK$67:$AK$71&gt;$AI1021)),
SUMPRODUCT(INDEX($AL$57:$AN$66,,$AE1021), INDEX($AO$57:$AU$66,,$AD1021), 1 / ($AW$57:$AW$66*CI1021 + (1-$AW$57:$AW$66)*CE1021), N($AK$57:$AK$66&gt;$AI1021))
) / 1000</f>
        <v>0</v>
      </c>
      <c r="CK1021" s="250">
        <f t="shared" si="858"/>
        <v>20</v>
      </c>
      <c r="CL1021" s="237">
        <f t="shared" si="881"/>
        <v>33</v>
      </c>
      <c r="CM1021" s="253">
        <f t="shared" si="882"/>
        <v>4.8487499999999999</v>
      </c>
      <c r="CN1021" s="253" cm="1">
        <f t="array" ref="CN1021">$BC1021 * IF($AD1021&lt;=2,
SUMPRODUCT(INDEX($AL$62:$AN$66,,$AE1021), INDEX($AO$62:$AU$66,,$AD1021), 1 / ($AV$62:$AV$66*CM1021 + (1-$AV$62:$AV$66)*CI1021), N($AK$62:$AK$66&gt;$AI1021)),
SUMPRODUCT(INDEX($AL$47:$AN$56,,$AE1021), INDEX($AO$47:$AU$56,,$AD1021), 1 / ($AW$47:$AW$56*CM1021 + (1-$AW$47:$AW$56)*CI1021), N($AK$47:$AK$56&gt;$AI1021))
) / 1000</f>
        <v>0</v>
      </c>
      <c r="CO1021" s="253" cm="1">
        <f t="array" ref="CO1021">$BC1021 * IF($AD1021&lt;=2,
SUMPRODUCT(INDEX($AL$23:$AN$61,,$AE1021), INDEX($AO$23:$AU$61,,$AD1021), 1 / ($AV$23:$AV$61*CM1021), N($AK$23:$AK$61&gt;$AI1021)),
SUMPRODUCT(INDEX($AL$23:$AN$46,,$AE1021), INDEX($AO$23:$AU$46,,$AD1021), 1 / ($AW$23:$AW$46*CM1021), N($AK$23:$AK$46&gt;$AI1021))
) / 1000</f>
        <v>0</v>
      </c>
      <c r="CP1021" s="237">
        <f t="shared" si="883"/>
        <v>0</v>
      </c>
      <c r="CQ1021" s="210"/>
    </row>
    <row r="1022" spans="1:95" s="76" customFormat="1" ht="14.25" customHeight="1" x14ac:dyDescent="0.2">
      <c r="A1022" s="238" t="b">
        <f t="shared" si="850"/>
        <v>0</v>
      </c>
      <c r="B1022" s="239">
        <v>1000</v>
      </c>
      <c r="C1022" s="258"/>
      <c r="D1022" s="258"/>
      <c r="E1022" s="240"/>
      <c r="F1022" s="241" t="str">
        <f>IF(ISBLANK(E1022), "", VLOOKUP(E1022, Z!$A$2:$C$4127, 3, FALSE))</f>
        <v/>
      </c>
      <c r="G1022" s="242"/>
      <c r="H1022" s="242"/>
      <c r="I1022" s="243"/>
      <c r="J1022" s="244"/>
      <c r="K1022" s="259"/>
      <c r="L1022" s="260"/>
      <c r="M1022" s="247" t="str" cm="1">
        <f t="array" ref="M1022">IF($K1022&gt;0, INDEX(Clean,1+AG1022,$C$1), "")</f>
        <v/>
      </c>
      <c r="N1022" s="245"/>
      <c r="O1022" s="245"/>
      <c r="P1022" s="246"/>
      <c r="Q1022" s="248">
        <f t="shared" si="860"/>
        <v>0</v>
      </c>
      <c r="R1022" s="247" t="str" cm="1">
        <f t="array" ref="R1022">IF($K1022&gt;0, INDEX(Clean,1+AH1022,$C$1), "")</f>
        <v/>
      </c>
      <c r="S1022" s="245"/>
      <c r="T1022" s="245"/>
      <c r="U1022" s="246"/>
      <c r="V1022" s="248">
        <f t="shared" si="861"/>
        <v>0</v>
      </c>
      <c r="W1022" s="261"/>
      <c r="X1022" s="258"/>
      <c r="Y1022" s="240"/>
      <c r="Z1022" s="241" t="str">
        <f>IF(ISBLANK(Y1022), "", VLOOKUP(Y1022, Z!$A$2:$C$4127, 3, FALSE))</f>
        <v/>
      </c>
      <c r="AA1022" s="262"/>
      <c r="AB1022" s="249">
        <f t="shared" si="859"/>
        <v>0</v>
      </c>
      <c r="AC1022" s="210"/>
      <c r="AD1022" s="236">
        <f t="shared" si="884"/>
        <v>1</v>
      </c>
      <c r="AE1022" s="236">
        <f t="shared" si="885"/>
        <v>1</v>
      </c>
      <c r="AF1022" s="236">
        <f t="shared" si="886"/>
        <v>0</v>
      </c>
      <c r="AG1022" s="236">
        <v>1</v>
      </c>
      <c r="AH1022" s="236">
        <v>0</v>
      </c>
      <c r="AI1022" s="236">
        <f t="shared" si="862"/>
        <v>-100</v>
      </c>
      <c r="AJ1022" s="210"/>
      <c r="AK1022" s="254"/>
      <c r="AL1022" s="254"/>
      <c r="AM1022" s="255"/>
      <c r="AN1022" s="255"/>
      <c r="AO1022" s="255"/>
      <c r="AP1022" s="255"/>
      <c r="AQ1022" s="255"/>
      <c r="AR1022" s="255"/>
      <c r="AS1022" s="255"/>
      <c r="AT1022" s="255"/>
      <c r="AU1022" s="255"/>
      <c r="AV1022" s="255"/>
      <c r="AW1022" s="255"/>
      <c r="AX1022" s="210"/>
      <c r="AY1022" s="236" cm="1">
        <f t="array" ref="AY1022">INDEX(Use, $AD1022, 4)</f>
        <v>7</v>
      </c>
      <c r="AZ1022" s="236">
        <f t="shared" si="863"/>
        <v>32</v>
      </c>
      <c r="BA1022" s="236">
        <f t="shared" si="851"/>
        <v>13</v>
      </c>
      <c r="BB1022" s="236">
        <f t="shared" si="852"/>
        <v>0</v>
      </c>
      <c r="BC1022" s="252" cm="1">
        <f t="array" ref="BC1022">K1022/IF($L1022&gt;0, INDEX($AO$23:$AU$77, $L1022+20, $AD1022), 1)</f>
        <v>0</v>
      </c>
      <c r="BD1022" s="237">
        <f t="shared" si="864"/>
        <v>0</v>
      </c>
      <c r="BE1022" s="236">
        <v>35</v>
      </c>
      <c r="BF1022" s="237">
        <f t="shared" si="865"/>
        <v>52.55</v>
      </c>
      <c r="BG1022" s="253">
        <f t="shared" si="866"/>
        <v>2.7676728869374316</v>
      </c>
      <c r="BH1022" s="253" cm="1">
        <f t="array" ref="BH1022">$BC1022 * SUMPRODUCT(INDEX($AL$77:$AN$82,,$AE1022),INDEX($AO$77:$AU$82,,$AD1022), N($AK$77:$AK$82&gt;$AI1022)) / BG1022 / 1000</f>
        <v>0</v>
      </c>
      <c r="BI1022" s="250">
        <f t="shared" si="853"/>
        <v>30</v>
      </c>
      <c r="BJ1022" s="237">
        <f t="shared" si="867"/>
        <v>46.033333333333331</v>
      </c>
      <c r="BK1022" s="253">
        <f t="shared" si="868"/>
        <v>3.2297395388556791</v>
      </c>
      <c r="BL1022" s="253" cm="1">
        <f t="array" ref="BL1022">$BC1022 * IF($AD1022&lt;=2,
SUMPRODUCT(INDEX($AL$72:$AN$76,,$AE1022), INDEX($AO$72:$AU$76,,$AD1022), 1 / ($AV$72:$AV$76*BK1022 + (1-$AV$72:$AV$76)*BG1022), N($AK$72:$AK$76&gt;$AI1022)),
SUMPRODUCT(INDEX($AL$67:$AN$76,,$AE1022), INDEX($AO$67:$AU$76,,$AD1022), 1 / ($AW$67:$AW$76*BK1022 + (1-$AW$67:$AW$76)*BG1022), N($AK$67:$AK$76&gt;$AI1022))
) / 1000</f>
        <v>0</v>
      </c>
      <c r="BM1022" s="250">
        <f t="shared" si="854"/>
        <v>25</v>
      </c>
      <c r="BN1022" s="237">
        <f t="shared" si="869"/>
        <v>39.516666666666666</v>
      </c>
      <c r="BO1022" s="253">
        <f t="shared" si="870"/>
        <v>3.877011788826243</v>
      </c>
      <c r="BP1022" s="253" cm="1">
        <f t="array" ref="BP1022">$BC1022 * IF($AD1022&lt;=2,
SUMPRODUCT(INDEX($AL$67:$AN$71,,$AE1022), INDEX($AO$67:$AU$71,,$AD1022), 1 / ($AV$67:$AV$71*BO1022 + (1-$AV$67:$AV$71)*BK1022), N($AK$67:$AK$71&gt;$AI1022)),
SUMPRODUCT(INDEX($AL$57:$AN$66,,$AE1022), INDEX($AO$57:$AU$66,,$AD1022), 1 / ($AW$57:$AW$66*BO1022 + (1-$AW$57:$AW$66)*BK1022), N($AK$57:$AK$66&gt;$AI1022))
) / 1000</f>
        <v>0</v>
      </c>
      <c r="BQ1022" s="250">
        <f t="shared" si="855"/>
        <v>20</v>
      </c>
      <c r="BR1022" s="237">
        <f t="shared" si="871"/>
        <v>33</v>
      </c>
      <c r="BS1022" s="253">
        <f t="shared" si="872"/>
        <v>4.8487499999999999</v>
      </c>
      <c r="BT1022" s="253" cm="1">
        <f t="array" ref="BT1022">$BC1022 * IF($AD1022&lt;=2,
SUMPRODUCT(INDEX($AL$62:$AN$66,,$AE1022), INDEX($AO$62:$AU$66,,$AD1022), 1 / ($AV$62:$AV$66*BS1022 + (1-$AV$62:$AV$66)*BO1022), N($AK$62:$AK$66&gt;$AI1022)),
SUMPRODUCT(INDEX($AL$47:$AN$56,,$AE1022), INDEX($AO$47:$AU$56,,$AD1022), 1 / ($AW$47:$AW$56*BS1022 + (1-$AW$47:$AW$56)*BO1022), N($AK$47:$AK$56&gt;$AI1022))
) / 1000</f>
        <v>0</v>
      </c>
      <c r="BU1022" s="253" cm="1">
        <f t="array" ref="BU1022">$BC1022 * IF($AD1022&lt;=2,
SUMPRODUCT(INDEX($AL$23:$AN$61,,$AE1022), INDEX($AO$23:$AU$61,,$AD1022), 1 / ($AV$23:$AV$61*BS1022), N($AK$23:$AK$61&gt;$AI1022)),
SUMPRODUCT(INDEX($AL$23:$AN$46,,$AE1022), INDEX($AO$23:$AU$46,,$AD1022), 1 / ($AW$23:$AW$46*BS1022), N($AK$23:$AK$46&gt;$AI1022))
) / 1000</f>
        <v>0</v>
      </c>
      <c r="BV1022" s="237">
        <f t="shared" si="873"/>
        <v>0</v>
      </c>
      <c r="BW1022" s="210"/>
      <c r="BX1022" s="237">
        <f t="shared" si="874"/>
        <v>0</v>
      </c>
      <c r="BY1022" s="236">
        <v>35</v>
      </c>
      <c r="BZ1022" s="237">
        <f t="shared" si="875"/>
        <v>48</v>
      </c>
      <c r="CA1022" s="253">
        <f t="shared" si="876"/>
        <v>3.0748170731707316</v>
      </c>
      <c r="CB1022" s="253" cm="1">
        <f t="array" ref="CB1022">$BC1022 * SUMPRODUCT(INDEX($AL$77:$AN$82,,$AE1022),INDEX($AO$77:$AU$82,,$AD1022), N($AK$77:$AK$82&gt;$AI1022)) / CA1022 / 1000</f>
        <v>0</v>
      </c>
      <c r="CC1022" s="250">
        <f t="shared" si="856"/>
        <v>30</v>
      </c>
      <c r="CD1022" s="237">
        <f t="shared" si="877"/>
        <v>43</v>
      </c>
      <c r="CE1022" s="253">
        <f t="shared" si="878"/>
        <v>3.5018750000000001</v>
      </c>
      <c r="CF1022" s="253" cm="1">
        <f t="array" ref="CF1022">$BC1022 * IF($AD1022&lt;=2,
SUMPRODUCT(INDEX($AL$72:$AN$76,,$AE1022), INDEX($AO$72:$AU$76,,$AD1022), 1 / ($AV$72:$AV$76*CE1022 + (1-$AV$72:$AV$76)*CA1022), N($AK$72:$AK$76&gt;$AI1022)),
SUMPRODUCT(INDEX($AL$67:$AN$76,,$AE1022), INDEX($AO$67:$AU$76,,$AD1022), 1 / ($AW$67:$AW$76*CE1022 + (1-$AW$67:$AW$76)*CA1022), N($AK$67:$AK$76&gt;$AI1022))
) / 1000</f>
        <v>0</v>
      </c>
      <c r="CG1022" s="250">
        <f t="shared" si="857"/>
        <v>25</v>
      </c>
      <c r="CH1022" s="237">
        <f t="shared" si="879"/>
        <v>38</v>
      </c>
      <c r="CI1022" s="253">
        <f t="shared" si="880"/>
        <v>4.0666935483870965</v>
      </c>
      <c r="CJ1022" s="253" cm="1">
        <f t="array" ref="CJ1022">$BC1022 * IF($AD1022&lt;=2,
SUMPRODUCT(INDEX($AL$67:$AN$71,,$AE1022), INDEX($AO$67:$AU$71,,$AD1022), 1 / ($AV$67:$AV$71*CI1022 + (1-$AV$67:$AV$71)*CE1022), N($AK$67:$AK$71&gt;$AI1022)),
SUMPRODUCT(INDEX($AL$57:$AN$66,,$AE1022), INDEX($AO$57:$AU$66,,$AD1022), 1 / ($AW$57:$AW$66*CI1022 + (1-$AW$57:$AW$66)*CE1022), N($AK$57:$AK$66&gt;$AI1022))
) / 1000</f>
        <v>0</v>
      </c>
      <c r="CK1022" s="250">
        <f t="shared" si="858"/>
        <v>20</v>
      </c>
      <c r="CL1022" s="237">
        <f t="shared" si="881"/>
        <v>33</v>
      </c>
      <c r="CM1022" s="253">
        <f t="shared" si="882"/>
        <v>4.8487499999999999</v>
      </c>
      <c r="CN1022" s="253" cm="1">
        <f t="array" ref="CN1022">$BC1022 * IF($AD1022&lt;=2,
SUMPRODUCT(INDEX($AL$62:$AN$66,,$AE1022), INDEX($AO$62:$AU$66,,$AD1022), 1 / ($AV$62:$AV$66*CM1022 + (1-$AV$62:$AV$66)*CI1022), N($AK$62:$AK$66&gt;$AI1022)),
SUMPRODUCT(INDEX($AL$47:$AN$56,,$AE1022), INDEX($AO$47:$AU$56,,$AD1022), 1 / ($AW$47:$AW$56*CM1022 + (1-$AW$47:$AW$56)*CI1022), N($AK$47:$AK$56&gt;$AI1022))
) / 1000</f>
        <v>0</v>
      </c>
      <c r="CO1022" s="253" cm="1">
        <f t="array" ref="CO1022">$BC1022 * IF($AD1022&lt;=2,
SUMPRODUCT(INDEX($AL$23:$AN$61,,$AE1022), INDEX($AO$23:$AU$61,,$AD1022), 1 / ($AV$23:$AV$61*CM1022), N($AK$23:$AK$61&gt;$AI1022)),
SUMPRODUCT(INDEX($AL$23:$AN$46,,$AE1022), INDEX($AO$23:$AU$46,,$AD1022), 1 / ($AW$23:$AW$46*CM1022), N($AK$23:$AK$46&gt;$AI1022))
) / 1000</f>
        <v>0</v>
      </c>
      <c r="CP1022" s="237">
        <f t="shared" si="883"/>
        <v>0</v>
      </c>
      <c r="CQ1022" s="210"/>
    </row>
    <row r="1023" spans="1:95" x14ac:dyDescent="0.2"/>
  </sheetData>
  <sheetProtection algorithmName="SHA-512" hashValue="g51oNcHJtx4POBIud13dbcw+Ypgv1Y8mfPkcVB5d7RKNPYIVvi8KKN624DZ3T8tQvIrF/MHGxfMzx6eEgRJBUQ==" saltValue="lAytmuAeyq4jK2cTiteSFA==" spinCount="100000" sheet="1" objects="1" scenarios="1"/>
  <mergeCells count="5">
    <mergeCell ref="B2:C2"/>
    <mergeCell ref="D15:E15"/>
    <mergeCell ref="D16:E16"/>
    <mergeCell ref="D17:E17"/>
    <mergeCell ref="W20:X20"/>
  </mergeCells>
  <conditionalFormatting sqref="J23:J1022">
    <cfRule type="expression" dxfId="1" priority="2">
      <formula>AND($AD23&lt;&gt;5,$AD23&lt;&gt;6)</formula>
    </cfRule>
  </conditionalFormatting>
  <conditionalFormatting sqref="S28:U1022">
    <cfRule type="expression" dxfId="0" priority="1">
      <formula>$A28</formula>
    </cfRule>
  </conditionalFormatting>
  <dataValidations count="10">
    <dataValidation type="decimal" operator="greaterThan" allowBlank="1" showInputMessage="1" showErrorMessage="1" sqref="S23:U1022 N23:P1022" xr:uid="{CA33BD3B-1005-4F31-89F6-FEBD7EA4AD73}">
      <formula1>0</formula1>
    </dataValidation>
    <dataValidation type="date" allowBlank="1" showInputMessage="1" showErrorMessage="1" sqref="AA23:AA1022" xr:uid="{C13AC047-2DB6-4A0D-B6D0-717363865460}">
      <formula1>44562</formula1>
      <formula2>47848</formula2>
    </dataValidation>
    <dataValidation type="decimal" allowBlank="1" showInputMessage="1" showErrorMessage="1" sqref="L23:L1022" xr:uid="{479913EA-66DF-49CC-A80C-3E69E2933484}">
      <formula1>20</formula1>
      <formula2>35</formula2>
    </dataValidation>
    <dataValidation type="list" allowBlank="1" showInputMessage="1" showErrorMessage="1" sqref="J23:J1022" xr:uid="{9DE23A9E-9D05-406D-AE5C-E30560B98AFD}">
      <formula1>"x"</formula1>
    </dataValidation>
    <dataValidation type="list" allowBlank="1" showInputMessage="1" showErrorMessage="1" sqref="E23:E1022 Y23:Y1022" xr:uid="{8980C9A5-1FB8-4BE0-8558-37EA309809A7}">
      <formula1>PLZ</formula1>
    </dataValidation>
    <dataValidation type="decimal" allowBlank="1" showInputMessage="1" showErrorMessage="1" sqref="L1023:L1048576 K20 K22:K1048576" xr:uid="{259796FB-37F7-4F71-BAF5-1EA4932894C0}">
      <formula1>0</formula1>
      <formula2>250</formula2>
    </dataValidation>
    <dataValidation type="list" allowBlank="1" showInputMessage="1" showErrorMessage="1" sqref="B8:B9" xr:uid="{19985861-EC2B-436F-BE59-963443642740}">
      <formula1>"D,F,I"</formula1>
    </dataValidation>
    <dataValidation type="list" allowBlank="1" showInputMessage="1" showErrorMessage="1" sqref="G23:G1022" xr:uid="{3C9400E6-C819-4712-8B1D-43896E434D58}">
      <formula1>INDEX(Loc,,$C$1)</formula1>
    </dataValidation>
    <dataValidation type="list" allowBlank="1" showInputMessage="1" showErrorMessage="1" sqref="I23:I1022" xr:uid="{9A022CFD-730C-435E-AC8E-56067AFDF337}">
      <formula1>INDEX(Medium,,$C$1)</formula1>
    </dataValidation>
    <dataValidation type="list" allowBlank="1" showInputMessage="1" showErrorMessage="1" sqref="H23:H1022" xr:uid="{E3CB6BAB-3D40-4B74-8B67-86076DD5F836}">
      <formula1>INDEX(Use,,$C$1)</formula1>
    </dataValidation>
  </dataValidations>
  <hyperlinks>
    <hyperlink ref="W21" r:id="rId1" xr:uid="{63634E04-CBF6-4509-B157-5FFD99C28A5C}"/>
    <hyperlink ref="B2" location="Version!A1" display="Version!A1" xr:uid="{E2127666-DABD-4787-992F-ED8359CF4F48}"/>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EB5F9-8E41-4C43-B46A-2187DC9545AB}">
  <dimension ref="A1:L401"/>
  <sheetViews>
    <sheetView zoomScaleNormal="100" workbookViewId="0">
      <pane ySplit="1" topLeftCell="A206" activePane="bottomLeft" state="frozen"/>
      <selection pane="bottomLeft" activeCell="C226" sqref="C226"/>
    </sheetView>
  </sheetViews>
  <sheetFormatPr baseColWidth="10" defaultColWidth="9.140625" defaultRowHeight="12.75" outlineLevelRow="1" x14ac:dyDescent="0.2"/>
  <cols>
    <col min="1" max="1" width="28.140625" style="2" customWidth="1"/>
    <col min="2" max="2" width="5.7109375" style="85" customWidth="1"/>
    <col min="3" max="5" width="40.7109375" style="23" customWidth="1"/>
    <col min="6" max="6" width="6.7109375" style="23" customWidth="1"/>
    <col min="7" max="7" width="13.28515625" style="23" customWidth="1"/>
    <col min="8" max="8" width="10.42578125" style="23" bestFit="1" customWidth="1"/>
    <col min="9" max="11" width="10.42578125" style="2" bestFit="1" customWidth="1"/>
    <col min="12" max="12" width="4.85546875" style="2" bestFit="1" customWidth="1"/>
    <col min="13" max="16384" width="9.140625" style="2"/>
  </cols>
  <sheetData>
    <row r="1" spans="1:8" x14ac:dyDescent="0.2">
      <c r="A1" s="27" t="s">
        <v>4693</v>
      </c>
      <c r="B1" s="27" t="s">
        <v>4463</v>
      </c>
      <c r="C1" s="27" t="s">
        <v>4465</v>
      </c>
      <c r="D1" s="27" t="s">
        <v>4529</v>
      </c>
      <c r="E1" s="27" t="s">
        <v>4530</v>
      </c>
      <c r="F1" s="27" t="s">
        <v>4465</v>
      </c>
      <c r="G1" s="27" t="s">
        <v>4529</v>
      </c>
      <c r="H1" s="27" t="s">
        <v>4530</v>
      </c>
    </row>
    <row r="2" spans="1:8" x14ac:dyDescent="0.2">
      <c r="A2" s="93" t="s">
        <v>4702</v>
      </c>
      <c r="B2" s="95">
        <v>1</v>
      </c>
      <c r="C2" s="22" t="s">
        <v>4703</v>
      </c>
      <c r="D2" s="22" t="s">
        <v>4705</v>
      </c>
      <c r="E2" s="22" t="s">
        <v>4704</v>
      </c>
      <c r="F2" s="22"/>
      <c r="G2" s="22"/>
      <c r="H2" s="22"/>
    </row>
    <row r="3" spans="1:8" outlineLevel="1" x14ac:dyDescent="0.2">
      <c r="A3" s="94"/>
      <c r="B3" s="95">
        <v>2</v>
      </c>
      <c r="C3" s="22" t="s">
        <v>4466</v>
      </c>
      <c r="D3" s="22" t="s">
        <v>4467</v>
      </c>
      <c r="E3" s="22" t="s">
        <v>4486</v>
      </c>
      <c r="F3" s="22"/>
      <c r="G3" s="22"/>
      <c r="H3" s="22"/>
    </row>
    <row r="4" spans="1:8" outlineLevel="1" x14ac:dyDescent="0.2">
      <c r="A4" s="94"/>
      <c r="B4" s="95">
        <v>3</v>
      </c>
      <c r="C4" s="22" t="s">
        <v>4468</v>
      </c>
      <c r="D4" s="22" t="s">
        <v>4469</v>
      </c>
      <c r="E4" s="22" t="s">
        <v>4495</v>
      </c>
      <c r="F4" s="22"/>
      <c r="G4" s="22"/>
      <c r="H4" s="22"/>
    </row>
    <row r="5" spans="1:8" outlineLevel="1" x14ac:dyDescent="0.2">
      <c r="A5" s="94"/>
      <c r="B5" s="95">
        <v>4</v>
      </c>
      <c r="C5" s="22" t="s">
        <v>4494</v>
      </c>
      <c r="D5" s="22" t="s">
        <v>4470</v>
      </c>
      <c r="E5" s="22" t="s">
        <v>4496</v>
      </c>
      <c r="F5" s="22"/>
      <c r="G5" s="22"/>
      <c r="H5" s="22"/>
    </row>
    <row r="6" spans="1:8" outlineLevel="1" x14ac:dyDescent="0.2">
      <c r="A6" s="94"/>
      <c r="B6" s="95">
        <v>5</v>
      </c>
      <c r="C6" s="22" t="s">
        <v>4752</v>
      </c>
      <c r="D6" s="22" t="s">
        <v>4755</v>
      </c>
      <c r="E6" s="22" t="s">
        <v>4756</v>
      </c>
      <c r="F6" s="22"/>
      <c r="G6" s="22"/>
      <c r="H6" s="22"/>
    </row>
    <row r="7" spans="1:8" outlineLevel="1" x14ac:dyDescent="0.2">
      <c r="A7" s="94"/>
      <c r="B7" s="95">
        <v>6</v>
      </c>
      <c r="C7" s="22" t="s">
        <v>4482</v>
      </c>
      <c r="D7" s="22" t="s">
        <v>4483</v>
      </c>
      <c r="E7" s="22" t="s">
        <v>4497</v>
      </c>
      <c r="F7" s="22"/>
      <c r="G7" s="22"/>
      <c r="H7" s="22"/>
    </row>
    <row r="8" spans="1:8" outlineLevel="1" x14ac:dyDescent="0.2">
      <c r="A8" s="94"/>
      <c r="B8" s="95">
        <v>7</v>
      </c>
      <c r="C8" s="22" t="s">
        <v>4793</v>
      </c>
      <c r="D8" s="22" t="s">
        <v>4791</v>
      </c>
      <c r="E8" s="22" t="s">
        <v>4792</v>
      </c>
      <c r="F8" s="22"/>
      <c r="G8" s="22"/>
      <c r="H8" s="22"/>
    </row>
    <row r="9" spans="1:8" outlineLevel="1" x14ac:dyDescent="0.2">
      <c r="A9" s="94"/>
      <c r="B9" s="95">
        <v>8</v>
      </c>
      <c r="C9" s="22" t="s">
        <v>4485</v>
      </c>
      <c r="D9" s="22" t="s">
        <v>4484</v>
      </c>
      <c r="E9" s="22" t="s">
        <v>4498</v>
      </c>
      <c r="F9" s="22"/>
      <c r="G9" s="22"/>
      <c r="H9" s="22"/>
    </row>
    <row r="10" spans="1:8" outlineLevel="1" x14ac:dyDescent="0.2">
      <c r="A10" s="94"/>
      <c r="B10" s="95">
        <v>9</v>
      </c>
      <c r="C10" s="22" t="s">
        <v>5068</v>
      </c>
      <c r="D10" s="22" t="s">
        <v>5092</v>
      </c>
      <c r="E10" s="22" t="s">
        <v>4499</v>
      </c>
      <c r="F10" s="22"/>
      <c r="G10" s="22"/>
      <c r="H10" s="22"/>
    </row>
    <row r="11" spans="1:8" outlineLevel="1" x14ac:dyDescent="0.2">
      <c r="A11" s="94"/>
      <c r="B11" s="95">
        <v>10</v>
      </c>
      <c r="C11" s="22" t="s">
        <v>4471</v>
      </c>
      <c r="D11" s="22" t="s">
        <v>4472</v>
      </c>
      <c r="E11" s="22" t="s">
        <v>4472</v>
      </c>
      <c r="F11" s="22"/>
      <c r="G11" s="22"/>
      <c r="H11" s="22"/>
    </row>
    <row r="12" spans="1:8" outlineLevel="1" x14ac:dyDescent="0.2">
      <c r="A12" s="94"/>
      <c r="B12" s="95">
        <v>11</v>
      </c>
      <c r="C12" s="22" t="s">
        <v>4473</v>
      </c>
      <c r="D12" s="22" t="s">
        <v>4474</v>
      </c>
      <c r="E12" s="22" t="s">
        <v>4487</v>
      </c>
      <c r="F12" s="22"/>
      <c r="G12" s="22"/>
      <c r="H12" s="22"/>
    </row>
    <row r="13" spans="1:8" outlineLevel="1" x14ac:dyDescent="0.2">
      <c r="A13" s="94"/>
      <c r="B13" s="95">
        <v>12</v>
      </c>
      <c r="C13" s="22" t="s">
        <v>4475</v>
      </c>
      <c r="D13" s="22" t="s">
        <v>4475</v>
      </c>
      <c r="E13" s="22" t="s">
        <v>4488</v>
      </c>
      <c r="F13" s="22"/>
      <c r="G13" s="22"/>
      <c r="H13" s="22"/>
    </row>
    <row r="14" spans="1:8" outlineLevel="1" x14ac:dyDescent="0.2">
      <c r="A14" s="94"/>
      <c r="B14" s="95">
        <v>13</v>
      </c>
      <c r="C14" s="22" t="s">
        <v>4463</v>
      </c>
      <c r="D14" s="22" t="s">
        <v>4478</v>
      </c>
      <c r="E14" s="22" t="s">
        <v>4489</v>
      </c>
      <c r="F14" s="22"/>
      <c r="G14" s="22"/>
      <c r="H14" s="22"/>
    </row>
    <row r="15" spans="1:8" outlineLevel="1" x14ac:dyDescent="0.2">
      <c r="A15" s="94"/>
      <c r="B15" s="95">
        <v>14</v>
      </c>
      <c r="C15" s="22" t="s">
        <v>4476</v>
      </c>
      <c r="D15" s="22" t="s">
        <v>4477</v>
      </c>
      <c r="E15" s="22" t="s">
        <v>4490</v>
      </c>
      <c r="F15" s="22"/>
      <c r="G15" s="22"/>
      <c r="H15" s="22"/>
    </row>
    <row r="16" spans="1:8" outlineLevel="1" x14ac:dyDescent="0.2">
      <c r="A16" s="94"/>
      <c r="B16" s="95">
        <v>15</v>
      </c>
      <c r="C16" s="22" t="s">
        <v>0</v>
      </c>
      <c r="D16" s="22" t="s">
        <v>4479</v>
      </c>
      <c r="E16" s="22" t="s">
        <v>4491</v>
      </c>
      <c r="F16" s="22"/>
      <c r="G16" s="22"/>
      <c r="H16" s="22"/>
    </row>
    <row r="17" spans="1:8" outlineLevel="1" x14ac:dyDescent="0.2">
      <c r="A17" s="94"/>
      <c r="B17" s="95">
        <v>16</v>
      </c>
      <c r="C17" s="22" t="s">
        <v>4500</v>
      </c>
      <c r="D17" s="22" t="s">
        <v>4501</v>
      </c>
      <c r="E17" s="22" t="s">
        <v>4502</v>
      </c>
      <c r="F17" s="22"/>
      <c r="G17" s="22"/>
      <c r="H17" s="22"/>
    </row>
    <row r="18" spans="1:8" outlineLevel="1" x14ac:dyDescent="0.2">
      <c r="A18" s="94"/>
      <c r="B18" s="95">
        <v>17</v>
      </c>
      <c r="C18" s="22" t="s">
        <v>4797</v>
      </c>
      <c r="D18" s="22" t="s">
        <v>4796</v>
      </c>
      <c r="E18" s="22" t="s">
        <v>4795</v>
      </c>
      <c r="F18" s="22"/>
      <c r="G18" s="22"/>
      <c r="H18" s="22"/>
    </row>
    <row r="19" spans="1:8" outlineLevel="1" x14ac:dyDescent="0.2">
      <c r="A19" s="94"/>
      <c r="B19" s="95">
        <v>18</v>
      </c>
      <c r="C19" s="22" t="s">
        <v>4534</v>
      </c>
      <c r="D19" s="22" t="s">
        <v>4535</v>
      </c>
      <c r="E19" s="22" t="s">
        <v>4536</v>
      </c>
      <c r="F19" s="22"/>
      <c r="G19" s="22"/>
      <c r="H19" s="22"/>
    </row>
    <row r="20" spans="1:8" outlineLevel="1" x14ac:dyDescent="0.2">
      <c r="A20" s="94"/>
      <c r="B20" s="95">
        <v>19</v>
      </c>
      <c r="C20" s="22" t="s">
        <v>4598</v>
      </c>
      <c r="D20" s="22" t="s">
        <v>4599</v>
      </c>
      <c r="E20" s="22" t="s">
        <v>4600</v>
      </c>
      <c r="F20" s="22"/>
      <c r="G20" s="22"/>
      <c r="H20" s="22"/>
    </row>
    <row r="21" spans="1:8" outlineLevel="1" x14ac:dyDescent="0.2">
      <c r="A21" s="94"/>
      <c r="B21" s="95">
        <v>20</v>
      </c>
      <c r="C21" s="22" t="s">
        <v>4706</v>
      </c>
      <c r="D21" s="22" t="s">
        <v>4480</v>
      </c>
      <c r="E21" s="22" t="s">
        <v>4492</v>
      </c>
      <c r="F21" s="22"/>
      <c r="G21" s="22"/>
      <c r="H21" s="22"/>
    </row>
    <row r="22" spans="1:8" outlineLevel="1" x14ac:dyDescent="0.2">
      <c r="A22" s="94"/>
      <c r="B22" s="95">
        <v>21</v>
      </c>
      <c r="C22" s="22" t="s">
        <v>4481</v>
      </c>
      <c r="D22" s="22" t="s">
        <v>4461</v>
      </c>
      <c r="E22" s="22" t="s">
        <v>4493</v>
      </c>
      <c r="F22" s="22"/>
      <c r="G22" s="22"/>
      <c r="H22" s="22"/>
    </row>
    <row r="23" spans="1:8" outlineLevel="1" x14ac:dyDescent="0.2">
      <c r="A23" s="94"/>
      <c r="B23" s="95">
        <v>22</v>
      </c>
      <c r="C23" s="22" t="s">
        <v>4753</v>
      </c>
      <c r="D23" s="22" t="s">
        <v>4754</v>
      </c>
      <c r="E23" s="22" t="s">
        <v>4757</v>
      </c>
      <c r="F23" s="22"/>
      <c r="G23" s="22"/>
      <c r="H23" s="22"/>
    </row>
    <row r="24" spans="1:8" outlineLevel="1" x14ac:dyDescent="0.2">
      <c r="A24" s="94"/>
      <c r="B24" s="95">
        <v>23</v>
      </c>
      <c r="C24" s="22" t="s">
        <v>4760</v>
      </c>
      <c r="D24" s="22" t="s">
        <v>4759</v>
      </c>
      <c r="E24" s="22" t="s">
        <v>4761</v>
      </c>
      <c r="F24" s="22"/>
      <c r="G24" s="22"/>
      <c r="H24" s="22"/>
    </row>
    <row r="25" spans="1:8" outlineLevel="1" x14ac:dyDescent="0.2">
      <c r="A25" s="94"/>
      <c r="B25" s="95">
        <v>24</v>
      </c>
      <c r="C25" s="22" t="s">
        <v>4603</v>
      </c>
      <c r="D25" s="22" t="s">
        <v>4603</v>
      </c>
      <c r="E25" s="22" t="s">
        <v>4646</v>
      </c>
      <c r="F25" s="22"/>
      <c r="G25" s="22"/>
      <c r="H25" s="22"/>
    </row>
    <row r="26" spans="1:8" outlineLevel="1" x14ac:dyDescent="0.2">
      <c r="A26" s="94"/>
      <c r="B26" s="95">
        <v>25</v>
      </c>
      <c r="C26" s="22" t="s">
        <v>4762</v>
      </c>
      <c r="D26" s="22" t="s">
        <v>4763</v>
      </c>
      <c r="E26" s="22" t="s">
        <v>4764</v>
      </c>
      <c r="F26" s="22"/>
      <c r="G26" s="22"/>
      <c r="H26" s="22"/>
    </row>
    <row r="27" spans="1:8" outlineLevel="1" x14ac:dyDescent="0.2">
      <c r="A27" s="94"/>
      <c r="B27" s="95">
        <v>26</v>
      </c>
      <c r="C27" s="22" t="s">
        <v>4846</v>
      </c>
      <c r="D27" s="22" t="s">
        <v>4847</v>
      </c>
      <c r="E27" s="22" t="s">
        <v>4848</v>
      </c>
      <c r="F27" s="22"/>
      <c r="G27" s="22"/>
      <c r="H27" s="22"/>
    </row>
    <row r="28" spans="1:8" outlineLevel="1" x14ac:dyDescent="0.2">
      <c r="A28" s="94"/>
      <c r="B28" s="95">
        <v>27</v>
      </c>
      <c r="C28" s="22" t="s">
        <v>4769</v>
      </c>
      <c r="D28" s="22" t="s">
        <v>4770</v>
      </c>
      <c r="E28" s="22" t="s">
        <v>4771</v>
      </c>
      <c r="F28" s="22"/>
      <c r="G28" s="22"/>
      <c r="H28" s="22"/>
    </row>
    <row r="29" spans="1:8" outlineLevel="1" x14ac:dyDescent="0.2">
      <c r="A29" s="94"/>
      <c r="B29" s="95">
        <v>28</v>
      </c>
      <c r="C29" s="22" t="s">
        <v>4773</v>
      </c>
      <c r="D29" s="22" t="s">
        <v>4774</v>
      </c>
      <c r="E29" s="22" t="s">
        <v>4775</v>
      </c>
      <c r="F29" s="22"/>
      <c r="G29" s="22"/>
      <c r="H29" s="22"/>
    </row>
    <row r="30" spans="1:8" ht="25.5" outlineLevel="1" x14ac:dyDescent="0.2">
      <c r="A30" s="94"/>
      <c r="B30" s="95">
        <v>29</v>
      </c>
      <c r="C30" s="22" t="s">
        <v>5069</v>
      </c>
      <c r="D30" s="22" t="s">
        <v>4783</v>
      </c>
      <c r="E30" s="22" t="s">
        <v>4784</v>
      </c>
      <c r="F30" s="22"/>
      <c r="G30" s="22"/>
      <c r="H30" s="22"/>
    </row>
    <row r="31" spans="1:8" ht="25.5" outlineLevel="1" x14ac:dyDescent="0.2">
      <c r="A31" s="94"/>
      <c r="B31" s="95">
        <v>30</v>
      </c>
      <c r="C31" s="22" t="s">
        <v>4787</v>
      </c>
      <c r="D31" s="22" t="s">
        <v>4786</v>
      </c>
      <c r="E31" s="22" t="s">
        <v>4785</v>
      </c>
      <c r="F31" s="22"/>
      <c r="G31" s="22"/>
      <c r="H31" s="22"/>
    </row>
    <row r="32" spans="1:8" outlineLevel="1" x14ac:dyDescent="0.2">
      <c r="A32" s="94"/>
      <c r="B32" s="95">
        <v>31</v>
      </c>
      <c r="C32" s="22" t="s">
        <v>4504</v>
      </c>
      <c r="D32" s="22" t="s">
        <v>4505</v>
      </c>
      <c r="E32" s="22" t="s">
        <v>4506</v>
      </c>
      <c r="F32" s="22"/>
      <c r="G32" s="22"/>
      <c r="H32" s="22"/>
    </row>
    <row r="33" spans="1:8" outlineLevel="1" x14ac:dyDescent="0.2">
      <c r="A33" s="94"/>
      <c r="B33" s="95">
        <v>32</v>
      </c>
      <c r="C33" s="22" t="s">
        <v>4898</v>
      </c>
      <c r="D33" s="22" t="s">
        <v>4899</v>
      </c>
      <c r="E33" s="22" t="s">
        <v>4900</v>
      </c>
      <c r="F33" s="22"/>
      <c r="G33" s="22"/>
      <c r="H33" s="22"/>
    </row>
    <row r="34" spans="1:8" outlineLevel="1" x14ac:dyDescent="0.2">
      <c r="A34" s="94"/>
      <c r="B34" s="95">
        <v>33</v>
      </c>
      <c r="C34" s="22" t="s">
        <v>4521</v>
      </c>
      <c r="D34" s="22" t="s">
        <v>4507</v>
      </c>
      <c r="E34" s="22" t="s">
        <v>4508</v>
      </c>
      <c r="F34" s="22"/>
      <c r="G34" s="22"/>
      <c r="H34" s="22"/>
    </row>
    <row r="35" spans="1:8" ht="25.5" outlineLevel="1" x14ac:dyDescent="0.2">
      <c r="A35" s="94"/>
      <c r="B35" s="95">
        <v>34</v>
      </c>
      <c r="C35" s="22" t="s">
        <v>4798</v>
      </c>
      <c r="D35" s="22" t="s">
        <v>4794</v>
      </c>
      <c r="E35" s="22" t="s">
        <v>4799</v>
      </c>
      <c r="F35" s="22"/>
      <c r="G35" s="22"/>
      <c r="H35" s="22"/>
    </row>
    <row r="36" spans="1:8" outlineLevel="1" x14ac:dyDescent="0.2">
      <c r="A36" s="94"/>
      <c r="B36" s="95">
        <v>35</v>
      </c>
      <c r="C36" s="22" t="s">
        <v>4518</v>
      </c>
      <c r="D36" s="22" t="s">
        <v>4519</v>
      </c>
      <c r="E36" s="22" t="s">
        <v>4520</v>
      </c>
      <c r="F36" s="22"/>
      <c r="G36" s="22"/>
      <c r="H36" s="22"/>
    </row>
    <row r="37" spans="1:8" outlineLevel="1" x14ac:dyDescent="0.2">
      <c r="A37" s="94"/>
      <c r="B37" s="95">
        <v>36</v>
      </c>
      <c r="C37" s="22" t="s">
        <v>4528</v>
      </c>
      <c r="D37" s="22" t="s">
        <v>4526</v>
      </c>
      <c r="E37" s="22" t="s">
        <v>4527</v>
      </c>
      <c r="F37" s="22"/>
      <c r="G37" s="22"/>
      <c r="H37" s="22"/>
    </row>
    <row r="38" spans="1:8" outlineLevel="1" x14ac:dyDescent="0.2">
      <c r="A38" s="94"/>
      <c r="B38" s="95">
        <v>37</v>
      </c>
      <c r="C38" s="22" t="s">
        <v>4509</v>
      </c>
      <c r="D38" s="22" t="s">
        <v>4510</v>
      </c>
      <c r="E38" s="22" t="s">
        <v>4511</v>
      </c>
      <c r="F38" s="22"/>
      <c r="G38" s="22"/>
      <c r="H38" s="22"/>
    </row>
    <row r="39" spans="1:8" outlineLevel="1" x14ac:dyDescent="0.2">
      <c r="A39" s="94"/>
      <c r="B39" s="95">
        <v>38</v>
      </c>
      <c r="C39" s="22" t="s">
        <v>4512</v>
      </c>
      <c r="D39" s="22" t="s">
        <v>4513</v>
      </c>
      <c r="E39" s="22" t="s">
        <v>4514</v>
      </c>
      <c r="F39" s="22"/>
      <c r="G39" s="22"/>
      <c r="H39" s="22"/>
    </row>
    <row r="40" spans="1:8" outlineLevel="1" x14ac:dyDescent="0.2">
      <c r="A40" s="94"/>
      <c r="B40" s="95">
        <v>39</v>
      </c>
      <c r="C40" s="22" t="s">
        <v>4515</v>
      </c>
      <c r="D40" s="22" t="s">
        <v>4516</v>
      </c>
      <c r="E40" s="22" t="s">
        <v>4517</v>
      </c>
      <c r="F40" s="22"/>
      <c r="G40" s="22"/>
      <c r="H40" s="22"/>
    </row>
    <row r="41" spans="1:8" outlineLevel="1" x14ac:dyDescent="0.2">
      <c r="A41" s="94"/>
      <c r="B41" s="95">
        <v>40</v>
      </c>
      <c r="C41" s="22" t="s">
        <v>4578</v>
      </c>
      <c r="D41" s="22" t="s">
        <v>4579</v>
      </c>
      <c r="E41" s="22" t="s">
        <v>4597</v>
      </c>
      <c r="F41" s="22"/>
      <c r="G41" s="22"/>
      <c r="H41" s="22"/>
    </row>
    <row r="42" spans="1:8" outlineLevel="1" x14ac:dyDescent="0.2">
      <c r="A42" s="94"/>
      <c r="B42" s="95">
        <v>41</v>
      </c>
      <c r="C42" s="22" t="s">
        <v>4503</v>
      </c>
      <c r="D42" s="22" t="s">
        <v>4503</v>
      </c>
      <c r="E42" s="22" t="s">
        <v>4503</v>
      </c>
      <c r="F42" s="22"/>
      <c r="G42" s="22"/>
      <c r="H42" s="22"/>
    </row>
    <row r="43" spans="1:8" outlineLevel="1" x14ac:dyDescent="0.2">
      <c r="A43" s="94"/>
      <c r="B43" s="95">
        <v>42</v>
      </c>
      <c r="C43" s="22" t="s">
        <v>4523</v>
      </c>
      <c r="D43" s="22" t="s">
        <v>4524</v>
      </c>
      <c r="E43" s="22" t="s">
        <v>4525</v>
      </c>
      <c r="F43" s="22"/>
      <c r="G43" s="22"/>
      <c r="H43" s="22"/>
    </row>
    <row r="44" spans="1:8" outlineLevel="1" x14ac:dyDescent="0.2">
      <c r="A44" s="94"/>
      <c r="B44" s="95">
        <v>43</v>
      </c>
      <c r="C44" s="22" t="s">
        <v>4727</v>
      </c>
      <c r="D44" s="22" t="s">
        <v>4533</v>
      </c>
      <c r="E44" s="22" t="s">
        <v>4533</v>
      </c>
      <c r="F44" s="22"/>
      <c r="G44" s="22"/>
      <c r="H44" s="22"/>
    </row>
    <row r="45" spans="1:8" outlineLevel="1" x14ac:dyDescent="0.2">
      <c r="A45" s="94"/>
      <c r="B45" s="95">
        <v>44</v>
      </c>
      <c r="C45" s="22" t="s">
        <v>4730</v>
      </c>
      <c r="D45" s="22" t="s">
        <v>4728</v>
      </c>
      <c r="E45" s="22" t="s">
        <v>4729</v>
      </c>
      <c r="F45" s="22"/>
      <c r="G45" s="22"/>
      <c r="H45" s="22"/>
    </row>
    <row r="46" spans="1:8" outlineLevel="1" x14ac:dyDescent="0.2">
      <c r="A46" s="94"/>
      <c r="B46" s="95">
        <v>45</v>
      </c>
      <c r="C46" s="22" t="s">
        <v>4620</v>
      </c>
      <c r="D46" s="22" t="s">
        <v>4620</v>
      </c>
      <c r="E46" s="22" t="s">
        <v>4666</v>
      </c>
      <c r="F46" s="22"/>
      <c r="G46" s="22"/>
      <c r="H46" s="22"/>
    </row>
    <row r="47" spans="1:8" ht="38.25" outlineLevel="1" x14ac:dyDescent="0.2">
      <c r="A47" s="94"/>
      <c r="B47" s="95">
        <v>46</v>
      </c>
      <c r="C47" s="22" t="s">
        <v>4849</v>
      </c>
      <c r="D47" s="22" t="s">
        <v>4851</v>
      </c>
      <c r="E47" s="22" t="s">
        <v>4850</v>
      </c>
      <c r="F47" s="22"/>
      <c r="G47" s="22"/>
      <c r="H47" s="22"/>
    </row>
    <row r="48" spans="1:8" outlineLevel="1" x14ac:dyDescent="0.2">
      <c r="A48" s="94"/>
      <c r="B48" s="95">
        <v>47</v>
      </c>
      <c r="C48" s="3" t="s">
        <v>4892</v>
      </c>
      <c r="D48" s="3" t="s">
        <v>4893</v>
      </c>
      <c r="E48" s="3" t="s">
        <v>4894</v>
      </c>
      <c r="F48" s="22"/>
      <c r="G48" s="22"/>
      <c r="H48" s="22"/>
    </row>
    <row r="49" spans="1:8" outlineLevel="1" x14ac:dyDescent="0.2">
      <c r="A49" s="94"/>
      <c r="B49" s="95">
        <v>48</v>
      </c>
      <c r="C49" s="3" t="s">
        <v>4895</v>
      </c>
      <c r="D49" s="3" t="s">
        <v>4896</v>
      </c>
      <c r="E49" s="3" t="s">
        <v>4897</v>
      </c>
      <c r="F49" s="22"/>
      <c r="G49" s="22"/>
      <c r="H49" s="22"/>
    </row>
    <row r="50" spans="1:8" outlineLevel="1" x14ac:dyDescent="0.2">
      <c r="A50" s="94"/>
      <c r="B50" s="95">
        <v>49</v>
      </c>
      <c r="C50" s="22" t="s">
        <v>5029</v>
      </c>
      <c r="D50" s="22" t="s">
        <v>5030</v>
      </c>
      <c r="E50" s="22" t="s">
        <v>5031</v>
      </c>
      <c r="F50" s="22"/>
      <c r="G50" s="22"/>
      <c r="H50" s="22"/>
    </row>
    <row r="51" spans="1:8" ht="25.5" outlineLevel="1" x14ac:dyDescent="0.2">
      <c r="A51" s="191" t="s">
        <v>4875</v>
      </c>
      <c r="B51" s="95">
        <v>50</v>
      </c>
      <c r="C51" s="87" t="s">
        <v>4979</v>
      </c>
      <c r="D51" s="87" t="s">
        <v>4980</v>
      </c>
      <c r="E51" s="87" t="s">
        <v>4981</v>
      </c>
      <c r="F51" s="87"/>
      <c r="G51" s="87"/>
      <c r="H51" s="87"/>
    </row>
    <row r="52" spans="1:8" outlineLevel="1" x14ac:dyDescent="0.2">
      <c r="A52" s="94"/>
      <c r="B52" s="95">
        <v>51</v>
      </c>
      <c r="C52" s="87" t="s">
        <v>4982</v>
      </c>
      <c r="D52" s="87" t="s">
        <v>4983</v>
      </c>
      <c r="E52" s="87" t="s">
        <v>4984</v>
      </c>
      <c r="F52" s="87"/>
      <c r="G52" s="87"/>
      <c r="H52" s="87"/>
    </row>
    <row r="53" spans="1:8" outlineLevel="1" x14ac:dyDescent="0.2">
      <c r="A53" s="94"/>
      <c r="B53" s="95">
        <v>52</v>
      </c>
      <c r="C53" s="87" t="s">
        <v>4985</v>
      </c>
      <c r="D53" s="87" t="s">
        <v>4986</v>
      </c>
      <c r="E53" s="87" t="s">
        <v>4987</v>
      </c>
      <c r="F53" s="87"/>
      <c r="G53" s="87"/>
      <c r="H53" s="87"/>
    </row>
    <row r="54" spans="1:8" outlineLevel="1" x14ac:dyDescent="0.2">
      <c r="A54" s="94"/>
      <c r="B54" s="95">
        <v>53</v>
      </c>
      <c r="C54" s="87" t="s">
        <v>4988</v>
      </c>
      <c r="D54" s="87" t="s">
        <v>4989</v>
      </c>
      <c r="E54" s="87" t="s">
        <v>4990</v>
      </c>
      <c r="F54" s="87"/>
      <c r="G54" s="87"/>
      <c r="H54" s="87"/>
    </row>
    <row r="55" spans="1:8" outlineLevel="1" x14ac:dyDescent="0.2">
      <c r="A55" s="94"/>
      <c r="B55" s="95">
        <v>54</v>
      </c>
      <c r="C55" s="87"/>
      <c r="D55" s="87"/>
      <c r="E55" s="87"/>
      <c r="F55" s="87"/>
      <c r="G55" s="87"/>
      <c r="H55" s="87"/>
    </row>
    <row r="56" spans="1:8" outlineLevel="1" x14ac:dyDescent="0.2">
      <c r="A56" s="94"/>
      <c r="B56" s="95">
        <v>55</v>
      </c>
      <c r="C56" s="87" t="s">
        <v>4885</v>
      </c>
      <c r="D56" s="87" t="s">
        <v>4886</v>
      </c>
      <c r="E56" s="87" t="s">
        <v>5086</v>
      </c>
      <c r="F56" s="87"/>
      <c r="G56" s="87"/>
      <c r="H56" s="87"/>
    </row>
    <row r="57" spans="1:8" outlineLevel="1" x14ac:dyDescent="0.2">
      <c r="A57" s="94"/>
      <c r="B57" s="95">
        <v>56</v>
      </c>
      <c r="C57" s="87" t="s">
        <v>4887</v>
      </c>
      <c r="D57" s="87" t="s">
        <v>5087</v>
      </c>
      <c r="E57" s="87" t="s">
        <v>4888</v>
      </c>
      <c r="F57" s="87"/>
      <c r="G57" s="87"/>
      <c r="H57" s="87"/>
    </row>
    <row r="58" spans="1:8" outlineLevel="1" x14ac:dyDescent="0.2">
      <c r="A58" s="94"/>
      <c r="B58" s="95">
        <v>57</v>
      </c>
      <c r="C58" s="87" t="s">
        <v>4889</v>
      </c>
      <c r="D58" s="87" t="s">
        <v>4890</v>
      </c>
      <c r="E58" s="87" t="s">
        <v>4891</v>
      </c>
      <c r="F58" s="87"/>
      <c r="G58" s="87"/>
      <c r="H58" s="87"/>
    </row>
    <row r="59" spans="1:8" outlineLevel="1" x14ac:dyDescent="0.2">
      <c r="A59" s="94"/>
      <c r="B59" s="95">
        <v>58</v>
      </c>
      <c r="C59" s="87"/>
      <c r="D59" s="87"/>
      <c r="E59" s="87"/>
      <c r="F59" s="87"/>
      <c r="G59" s="87"/>
      <c r="H59" s="87"/>
    </row>
    <row r="60" spans="1:8" outlineLevel="1" x14ac:dyDescent="0.2">
      <c r="A60" s="94"/>
      <c r="B60" s="95">
        <v>59</v>
      </c>
      <c r="C60" s="87"/>
      <c r="D60" s="87"/>
      <c r="E60" s="87"/>
      <c r="F60" s="87"/>
      <c r="G60" s="87"/>
      <c r="H60" s="87"/>
    </row>
    <row r="61" spans="1:8" outlineLevel="1" x14ac:dyDescent="0.2">
      <c r="A61" s="94"/>
      <c r="B61" s="95">
        <v>60</v>
      </c>
      <c r="C61" s="87" t="s">
        <v>4816</v>
      </c>
      <c r="D61" s="87" t="s">
        <v>4817</v>
      </c>
      <c r="E61" s="87" t="s">
        <v>4818</v>
      </c>
      <c r="F61" s="87"/>
      <c r="G61" s="87"/>
      <c r="H61" s="87"/>
    </row>
    <row r="62" spans="1:8" outlineLevel="1" x14ac:dyDescent="0.2">
      <c r="A62" s="94"/>
      <c r="B62" s="95">
        <v>61</v>
      </c>
      <c r="C62" s="87" t="s">
        <v>4819</v>
      </c>
      <c r="D62" s="87" t="s">
        <v>4820</v>
      </c>
      <c r="E62" s="87" t="s">
        <v>4821</v>
      </c>
      <c r="F62" s="87"/>
      <c r="G62" s="87"/>
      <c r="H62" s="87"/>
    </row>
    <row r="63" spans="1:8" outlineLevel="1" x14ac:dyDescent="0.2">
      <c r="A63" s="94"/>
      <c r="B63" s="95">
        <v>62</v>
      </c>
      <c r="C63" s="87" t="s">
        <v>4822</v>
      </c>
      <c r="D63" s="87" t="s">
        <v>4823</v>
      </c>
      <c r="E63" s="87" t="s">
        <v>4824</v>
      </c>
      <c r="F63" s="87"/>
      <c r="G63" s="87"/>
      <c r="H63" s="87"/>
    </row>
    <row r="64" spans="1:8" outlineLevel="1" x14ac:dyDescent="0.2">
      <c r="A64" s="94"/>
      <c r="B64" s="95">
        <v>63</v>
      </c>
      <c r="C64" s="87" t="s">
        <v>4825</v>
      </c>
      <c r="D64" s="87" t="s">
        <v>4826</v>
      </c>
      <c r="E64" s="87" t="s">
        <v>4827</v>
      </c>
      <c r="F64" s="87"/>
      <c r="G64" s="87"/>
      <c r="H64" s="87"/>
    </row>
    <row r="65" spans="1:8" outlineLevel="1" x14ac:dyDescent="0.2">
      <c r="A65" s="94"/>
      <c r="B65" s="95">
        <v>64</v>
      </c>
      <c r="C65" s="87" t="s">
        <v>4828</v>
      </c>
      <c r="D65" s="87" t="s">
        <v>4829</v>
      </c>
      <c r="E65" s="87" t="s">
        <v>4830</v>
      </c>
      <c r="F65" s="87"/>
      <c r="G65" s="87"/>
      <c r="H65" s="87"/>
    </row>
    <row r="66" spans="1:8" outlineLevel="1" x14ac:dyDescent="0.2">
      <c r="A66" s="94"/>
      <c r="B66" s="95">
        <v>65</v>
      </c>
      <c r="C66" s="87" t="s">
        <v>4831</v>
      </c>
      <c r="D66" s="87" t="s">
        <v>4832</v>
      </c>
      <c r="E66" s="87" t="s">
        <v>4833</v>
      </c>
      <c r="F66" s="87"/>
      <c r="G66" s="87"/>
      <c r="H66" s="87"/>
    </row>
    <row r="67" spans="1:8" outlineLevel="1" x14ac:dyDescent="0.2">
      <c r="A67" s="94"/>
      <c r="B67" s="95">
        <v>66</v>
      </c>
      <c r="C67" s="87" t="s">
        <v>4834</v>
      </c>
      <c r="D67" s="87" t="s">
        <v>5088</v>
      </c>
      <c r="E67" s="87" t="s">
        <v>4835</v>
      </c>
      <c r="F67" s="87"/>
      <c r="G67" s="87"/>
      <c r="H67" s="87"/>
    </row>
    <row r="68" spans="1:8" outlineLevel="1" x14ac:dyDescent="0.2">
      <c r="A68" s="94"/>
      <c r="B68" s="95">
        <v>67</v>
      </c>
      <c r="C68" s="87" t="s">
        <v>4836</v>
      </c>
      <c r="D68" s="87" t="s">
        <v>4836</v>
      </c>
      <c r="E68" s="87" t="s">
        <v>4836</v>
      </c>
      <c r="F68" s="87"/>
      <c r="G68" s="87"/>
      <c r="H68" s="87"/>
    </row>
    <row r="69" spans="1:8" outlineLevel="1" x14ac:dyDescent="0.2">
      <c r="A69" s="94"/>
      <c r="B69" s="95">
        <v>68</v>
      </c>
      <c r="C69" s="87" t="s">
        <v>4837</v>
      </c>
      <c r="D69" s="87" t="s">
        <v>4838</v>
      </c>
      <c r="E69" s="87" t="s">
        <v>4839</v>
      </c>
      <c r="F69" s="87"/>
      <c r="G69" s="87"/>
      <c r="H69" s="87"/>
    </row>
    <row r="70" spans="1:8" outlineLevel="1" x14ac:dyDescent="0.2">
      <c r="A70" s="94"/>
      <c r="B70" s="95">
        <v>69</v>
      </c>
      <c r="C70" s="87" t="s">
        <v>4840</v>
      </c>
      <c r="D70" s="87" t="s">
        <v>4841</v>
      </c>
      <c r="E70" s="87" t="s">
        <v>4842</v>
      </c>
      <c r="F70" s="87"/>
      <c r="G70" s="87"/>
      <c r="H70" s="87"/>
    </row>
    <row r="71" spans="1:8" outlineLevel="1" x14ac:dyDescent="0.2">
      <c r="A71" s="94"/>
      <c r="B71" s="95">
        <v>70</v>
      </c>
      <c r="C71" s="87" t="s">
        <v>4843</v>
      </c>
      <c r="D71" s="87" t="s">
        <v>4844</v>
      </c>
      <c r="E71" s="87" t="s">
        <v>4845</v>
      </c>
      <c r="F71" s="87"/>
      <c r="G71" s="87"/>
      <c r="H71" s="87"/>
    </row>
    <row r="72" spans="1:8" outlineLevel="1" x14ac:dyDescent="0.2">
      <c r="A72" s="94"/>
      <c r="B72" s="95">
        <v>71</v>
      </c>
      <c r="C72" s="87"/>
      <c r="D72" s="87"/>
      <c r="E72" s="87"/>
      <c r="F72" s="87"/>
      <c r="G72" s="87"/>
      <c r="H72" s="87"/>
    </row>
    <row r="73" spans="1:8" outlineLevel="1" x14ac:dyDescent="0.2">
      <c r="A73" s="94"/>
      <c r="B73" s="95">
        <v>72</v>
      </c>
      <c r="C73" s="87" t="s">
        <v>5032</v>
      </c>
      <c r="D73" s="87" t="s">
        <v>5033</v>
      </c>
      <c r="E73" s="87" t="s">
        <v>5034</v>
      </c>
      <c r="F73" s="87"/>
      <c r="G73" s="87"/>
      <c r="H73" s="87"/>
    </row>
    <row r="74" spans="1:8" outlineLevel="1" x14ac:dyDescent="0.2">
      <c r="A74" s="94"/>
      <c r="B74" s="95">
        <v>73</v>
      </c>
      <c r="C74" s="87" t="s">
        <v>5035</v>
      </c>
      <c r="D74" s="87" t="s">
        <v>5036</v>
      </c>
      <c r="E74" s="87" t="s">
        <v>5037</v>
      </c>
      <c r="F74" s="87"/>
      <c r="G74" s="87"/>
      <c r="H74" s="87"/>
    </row>
    <row r="75" spans="1:8" outlineLevel="1" x14ac:dyDescent="0.2">
      <c r="A75" s="94"/>
      <c r="B75" s="95">
        <v>74</v>
      </c>
      <c r="C75" s="87" t="s">
        <v>4958</v>
      </c>
      <c r="D75" s="87" t="s">
        <v>4965</v>
      </c>
      <c r="E75" s="87" t="s">
        <v>4972</v>
      </c>
      <c r="F75" s="87">
        <v>7</v>
      </c>
      <c r="G75" s="209">
        <v>0</v>
      </c>
      <c r="H75" s="87"/>
    </row>
    <row r="76" spans="1:8" outlineLevel="1" x14ac:dyDescent="0.2">
      <c r="A76" s="94"/>
      <c r="B76" s="95">
        <v>75</v>
      </c>
      <c r="C76" s="87" t="s">
        <v>4959</v>
      </c>
      <c r="D76" s="87" t="s">
        <v>4966</v>
      </c>
      <c r="E76" s="87" t="s">
        <v>4973</v>
      </c>
      <c r="F76" s="87">
        <v>3</v>
      </c>
      <c r="G76" s="209">
        <v>0</v>
      </c>
      <c r="H76" s="87"/>
    </row>
    <row r="77" spans="1:8" outlineLevel="1" x14ac:dyDescent="0.2">
      <c r="A77" s="94"/>
      <c r="B77" s="95">
        <v>76</v>
      </c>
      <c r="C77" s="87" t="s">
        <v>4960</v>
      </c>
      <c r="D77" s="87" t="s">
        <v>4967</v>
      </c>
      <c r="E77" s="87" t="s">
        <v>4974</v>
      </c>
      <c r="F77" s="87">
        <v>-10</v>
      </c>
      <c r="G77" s="209">
        <v>0.4</v>
      </c>
      <c r="H77" s="87"/>
    </row>
    <row r="78" spans="1:8" outlineLevel="1" x14ac:dyDescent="0.2">
      <c r="A78" s="94"/>
      <c r="B78" s="95">
        <v>77</v>
      </c>
      <c r="C78" s="87" t="s">
        <v>4961</v>
      </c>
      <c r="D78" s="87" t="s">
        <v>4968</v>
      </c>
      <c r="E78" s="87" t="s">
        <v>4975</v>
      </c>
      <c r="F78" s="87">
        <v>-30</v>
      </c>
      <c r="G78" s="209">
        <v>0.6</v>
      </c>
      <c r="H78" s="87"/>
    </row>
    <row r="79" spans="1:8" outlineLevel="1" x14ac:dyDescent="0.2">
      <c r="A79" s="94"/>
      <c r="B79" s="95">
        <v>78</v>
      </c>
      <c r="C79" s="87" t="s">
        <v>4962</v>
      </c>
      <c r="D79" s="87" t="s">
        <v>4969</v>
      </c>
      <c r="E79" s="87" t="s">
        <v>4976</v>
      </c>
      <c r="F79" s="87">
        <v>13</v>
      </c>
      <c r="G79" s="209">
        <v>0.8</v>
      </c>
      <c r="H79" s="87"/>
    </row>
    <row r="80" spans="1:8" outlineLevel="1" x14ac:dyDescent="0.2">
      <c r="A80" s="94"/>
      <c r="B80" s="95">
        <v>79</v>
      </c>
      <c r="C80" s="87" t="s">
        <v>4963</v>
      </c>
      <c r="D80" s="87" t="s">
        <v>4970</v>
      </c>
      <c r="E80" s="87" t="s">
        <v>4977</v>
      </c>
      <c r="F80" s="87">
        <v>20</v>
      </c>
      <c r="G80" s="209">
        <v>0.8</v>
      </c>
      <c r="H80" s="87"/>
    </row>
    <row r="81" spans="1:12" outlineLevel="1" x14ac:dyDescent="0.2">
      <c r="A81" s="94"/>
      <c r="B81" s="95">
        <v>80</v>
      </c>
      <c r="C81" s="87" t="s">
        <v>4964</v>
      </c>
      <c r="D81" s="87" t="s">
        <v>4971</v>
      </c>
      <c r="E81" s="87" t="s">
        <v>4978</v>
      </c>
      <c r="F81" s="87">
        <v>8</v>
      </c>
      <c r="G81" s="209">
        <v>0.8</v>
      </c>
      <c r="H81" s="87"/>
    </row>
    <row r="82" spans="1:12" outlineLevel="1" x14ac:dyDescent="0.2">
      <c r="A82" s="94"/>
      <c r="B82" s="95">
        <v>81</v>
      </c>
      <c r="C82" s="87"/>
      <c r="D82" s="87"/>
      <c r="E82" s="87"/>
      <c r="F82" s="87"/>
      <c r="G82" s="87"/>
      <c r="H82" s="87"/>
    </row>
    <row r="83" spans="1:12" outlineLevel="1" x14ac:dyDescent="0.2">
      <c r="A83" s="94"/>
      <c r="B83" s="95">
        <v>82</v>
      </c>
      <c r="C83" s="87"/>
      <c r="D83" s="87"/>
      <c r="E83" s="87"/>
      <c r="F83" s="87"/>
      <c r="G83" s="87"/>
      <c r="H83" s="87"/>
    </row>
    <row r="84" spans="1:12" outlineLevel="1" x14ac:dyDescent="0.2">
      <c r="A84" s="94"/>
      <c r="B84" s="95">
        <v>83</v>
      </c>
      <c r="C84" s="87"/>
      <c r="D84" s="87"/>
      <c r="E84" s="87"/>
      <c r="F84" s="87"/>
      <c r="G84" s="87"/>
      <c r="H84" s="87"/>
    </row>
    <row r="85" spans="1:12" outlineLevel="1" x14ac:dyDescent="0.2">
      <c r="A85" s="94"/>
      <c r="B85" s="95">
        <v>84</v>
      </c>
      <c r="C85" s="87"/>
      <c r="D85" s="87"/>
      <c r="E85" s="87"/>
      <c r="F85" s="206"/>
      <c r="G85" s="206"/>
      <c r="H85" s="206"/>
    </row>
    <row r="86" spans="1:12" outlineLevel="1" x14ac:dyDescent="0.2">
      <c r="A86" s="94"/>
      <c r="B86" s="95">
        <v>85</v>
      </c>
      <c r="C86" s="87"/>
      <c r="D86" s="87"/>
      <c r="E86" s="205"/>
      <c r="F86" s="23" t="s">
        <v>4881</v>
      </c>
      <c r="I86" s="23" t="s">
        <v>4882</v>
      </c>
      <c r="J86" s="23"/>
      <c r="K86" s="23"/>
      <c r="L86" s="23"/>
    </row>
    <row r="87" spans="1:12" outlineLevel="1" x14ac:dyDescent="0.2">
      <c r="A87" s="94"/>
      <c r="B87" s="95">
        <v>86</v>
      </c>
      <c r="C87" s="87" t="s">
        <v>5091</v>
      </c>
      <c r="D87" s="87" t="s">
        <v>4883</v>
      </c>
      <c r="E87" s="87" t="s">
        <v>4884</v>
      </c>
      <c r="F87" s="204">
        <v>50</v>
      </c>
      <c r="G87" s="204">
        <v>100</v>
      </c>
      <c r="H87" s="204">
        <v>150</v>
      </c>
      <c r="I87" s="204">
        <v>50</v>
      </c>
      <c r="J87" s="204">
        <v>100</v>
      </c>
      <c r="K87" s="204">
        <v>150</v>
      </c>
      <c r="L87" s="207"/>
    </row>
    <row r="88" spans="1:12" outlineLevel="1" x14ac:dyDescent="0.2">
      <c r="A88" s="94"/>
      <c r="B88" s="95">
        <v>87</v>
      </c>
      <c r="C88" s="87" t="s">
        <v>4885</v>
      </c>
      <c r="D88" s="87" t="s">
        <v>4886</v>
      </c>
      <c r="E88" s="87" t="s">
        <v>5086</v>
      </c>
      <c r="F88" s="203">
        <v>217</v>
      </c>
      <c r="G88" s="203">
        <v>652.17391304347836</v>
      </c>
      <c r="H88" s="203">
        <v>1086.9565217391305</v>
      </c>
      <c r="I88" s="203">
        <v>129.41176470588235</v>
      </c>
      <c r="J88" s="203">
        <v>388.23529411764707</v>
      </c>
      <c r="K88" s="203">
        <v>647.05882352941171</v>
      </c>
      <c r="L88" s="207">
        <v>1</v>
      </c>
    </row>
    <row r="89" spans="1:12" outlineLevel="1" x14ac:dyDescent="0.2">
      <c r="A89" s="94"/>
      <c r="B89" s="95">
        <v>88</v>
      </c>
      <c r="C89" s="87" t="s">
        <v>4887</v>
      </c>
      <c r="D89" s="87" t="s">
        <v>5087</v>
      </c>
      <c r="E89" s="87" t="s">
        <v>4888</v>
      </c>
      <c r="F89" s="203">
        <v>178</v>
      </c>
      <c r="G89" s="203">
        <v>533.59683794466412</v>
      </c>
      <c r="H89" s="203">
        <v>889.32806324110686</v>
      </c>
      <c r="I89" s="203">
        <v>105.88235294117646</v>
      </c>
      <c r="J89" s="203">
        <v>317.64705882352939</v>
      </c>
      <c r="K89" s="203">
        <v>529.41176470588232</v>
      </c>
      <c r="L89" s="207">
        <v>2</v>
      </c>
    </row>
    <row r="90" spans="1:12" outlineLevel="1" x14ac:dyDescent="0.2">
      <c r="A90" s="94"/>
      <c r="B90" s="95">
        <v>89</v>
      </c>
      <c r="C90" s="87" t="s">
        <v>4889</v>
      </c>
      <c r="D90" s="87" t="s">
        <v>4890</v>
      </c>
      <c r="E90" s="87" t="s">
        <v>4891</v>
      </c>
      <c r="F90" s="203">
        <v>138</v>
      </c>
      <c r="G90" s="203">
        <v>415.01976284584987</v>
      </c>
      <c r="H90" s="203">
        <v>691.69960474308311</v>
      </c>
      <c r="I90" s="203">
        <v>82.352941176470594</v>
      </c>
      <c r="J90" s="203">
        <v>247.05882352941177</v>
      </c>
      <c r="K90" s="203">
        <v>411.76470588235293</v>
      </c>
      <c r="L90" s="207">
        <v>3</v>
      </c>
    </row>
    <row r="91" spans="1:12" outlineLevel="1" x14ac:dyDescent="0.2">
      <c r="A91" s="94"/>
      <c r="B91" s="95">
        <v>90</v>
      </c>
      <c r="C91" s="87"/>
      <c r="D91" s="87"/>
      <c r="E91" s="87"/>
      <c r="F91" s="87"/>
      <c r="G91" s="87"/>
      <c r="H91" s="87"/>
    </row>
    <row r="92" spans="1:12" outlineLevel="1" x14ac:dyDescent="0.2">
      <c r="A92" s="94"/>
      <c r="B92" s="95">
        <v>91</v>
      </c>
      <c r="C92" s="87" t="s">
        <v>5038</v>
      </c>
      <c r="D92" s="87" t="s">
        <v>5039</v>
      </c>
      <c r="E92" s="87" t="s">
        <v>5040</v>
      </c>
      <c r="F92" s="87"/>
      <c r="G92" s="87"/>
      <c r="H92" s="87"/>
    </row>
    <row r="93" spans="1:12" outlineLevel="1" x14ac:dyDescent="0.2">
      <c r="A93" s="94"/>
      <c r="B93" s="95">
        <v>92</v>
      </c>
      <c r="C93" s="87" t="s">
        <v>5041</v>
      </c>
      <c r="D93" s="87" t="s">
        <v>5042</v>
      </c>
      <c r="E93" s="87" t="s">
        <v>5043</v>
      </c>
      <c r="F93" s="87"/>
      <c r="G93" s="87"/>
      <c r="H93" s="87"/>
    </row>
    <row r="94" spans="1:12" outlineLevel="1" x14ac:dyDescent="0.2">
      <c r="A94" s="94"/>
      <c r="B94" s="95">
        <v>93</v>
      </c>
      <c r="C94" s="87" t="s">
        <v>5044</v>
      </c>
      <c r="D94" s="87" t="s">
        <v>5045</v>
      </c>
      <c r="E94" s="87" t="s">
        <v>5046</v>
      </c>
      <c r="F94" s="87"/>
      <c r="G94" s="87"/>
      <c r="H94" s="87"/>
    </row>
    <row r="95" spans="1:12" outlineLevel="1" x14ac:dyDescent="0.2">
      <c r="A95" s="94"/>
      <c r="B95" s="95">
        <v>94</v>
      </c>
      <c r="C95" s="87"/>
      <c r="D95" s="87"/>
      <c r="E95" s="87"/>
      <c r="F95" s="87"/>
      <c r="G95" s="87"/>
      <c r="H95" s="87"/>
    </row>
    <row r="96" spans="1:12" outlineLevel="1" x14ac:dyDescent="0.2">
      <c r="A96" s="94"/>
      <c r="B96" s="95">
        <v>95</v>
      </c>
      <c r="C96" s="87"/>
      <c r="D96" s="87"/>
      <c r="E96" s="87"/>
      <c r="F96" s="87"/>
      <c r="G96" s="87"/>
      <c r="H96" s="87"/>
    </row>
    <row r="97" spans="1:8" outlineLevel="1" x14ac:dyDescent="0.2">
      <c r="A97" s="94"/>
      <c r="B97" s="95">
        <v>96</v>
      </c>
      <c r="C97" s="87"/>
      <c r="D97" s="87"/>
      <c r="E97" s="87"/>
      <c r="F97" s="87"/>
      <c r="G97" s="87"/>
      <c r="H97" s="87"/>
    </row>
    <row r="98" spans="1:8" outlineLevel="1" x14ac:dyDescent="0.2">
      <c r="A98" s="94"/>
      <c r="B98" s="95">
        <v>97</v>
      </c>
      <c r="C98" s="87"/>
      <c r="D98" s="87"/>
      <c r="E98" s="87"/>
      <c r="F98" s="87"/>
      <c r="G98" s="87"/>
      <c r="H98" s="87"/>
    </row>
    <row r="99" spans="1:8" outlineLevel="1" x14ac:dyDescent="0.2">
      <c r="A99" s="94"/>
      <c r="B99" s="95">
        <v>98</v>
      </c>
      <c r="C99" s="87"/>
      <c r="D99" s="87"/>
      <c r="E99" s="87"/>
      <c r="F99" s="87"/>
      <c r="G99" s="87"/>
      <c r="H99" s="87"/>
    </row>
    <row r="100" spans="1:8" outlineLevel="1" x14ac:dyDescent="0.2">
      <c r="A100" s="94"/>
      <c r="B100" s="95">
        <v>99</v>
      </c>
      <c r="C100" s="87"/>
      <c r="D100" s="87"/>
      <c r="E100" s="87"/>
      <c r="F100" s="87"/>
      <c r="G100" s="87"/>
      <c r="H100" s="87"/>
    </row>
    <row r="101" spans="1:8" x14ac:dyDescent="0.2">
      <c r="A101" s="90" t="s">
        <v>4700</v>
      </c>
      <c r="B101" s="89">
        <v>100</v>
      </c>
      <c r="C101" s="22" t="s">
        <v>4707</v>
      </c>
      <c r="D101" s="22" t="s">
        <v>4708</v>
      </c>
      <c r="E101" s="22" t="s">
        <v>4709</v>
      </c>
      <c r="F101" s="22"/>
      <c r="G101" s="22"/>
      <c r="H101" s="22"/>
    </row>
    <row r="102" spans="1:8" outlineLevel="1" x14ac:dyDescent="0.2">
      <c r="A102" s="88"/>
      <c r="B102" s="89">
        <v>101</v>
      </c>
      <c r="C102" s="22" t="s">
        <v>4601</v>
      </c>
      <c r="D102" s="22" t="s">
        <v>4615</v>
      </c>
      <c r="E102" s="22" t="s">
        <v>4644</v>
      </c>
      <c r="F102" s="22"/>
      <c r="G102" s="22"/>
      <c r="H102" s="22"/>
    </row>
    <row r="103" spans="1:8" outlineLevel="1" x14ac:dyDescent="0.2">
      <c r="A103" s="88"/>
      <c r="B103" s="89">
        <v>102</v>
      </c>
      <c r="C103" s="22" t="s">
        <v>4602</v>
      </c>
      <c r="D103" s="22" t="s">
        <v>4630</v>
      </c>
      <c r="E103" s="22" t="s">
        <v>4645</v>
      </c>
      <c r="F103" s="22"/>
      <c r="G103" s="22"/>
      <c r="H103" s="22"/>
    </row>
    <row r="104" spans="1:8" outlineLevel="1" x14ac:dyDescent="0.2">
      <c r="A104" s="88"/>
      <c r="B104" s="89">
        <v>103</v>
      </c>
      <c r="C104" s="22" t="s">
        <v>4603</v>
      </c>
      <c r="D104" s="22" t="s">
        <v>4603</v>
      </c>
      <c r="E104" s="22" t="s">
        <v>4646</v>
      </c>
      <c r="F104" s="22"/>
      <c r="G104" s="22"/>
      <c r="H104" s="22"/>
    </row>
    <row r="105" spans="1:8" outlineLevel="1" x14ac:dyDescent="0.2">
      <c r="A105" s="88"/>
      <c r="B105" s="89">
        <v>104</v>
      </c>
      <c r="C105" s="22" t="s">
        <v>4604</v>
      </c>
      <c r="D105" s="22" t="s">
        <v>4616</v>
      </c>
      <c r="E105" s="22" t="s">
        <v>4647</v>
      </c>
      <c r="F105" s="22"/>
      <c r="G105" s="22"/>
      <c r="H105" s="22"/>
    </row>
    <row r="106" spans="1:8" ht="89.25" outlineLevel="1" x14ac:dyDescent="0.2">
      <c r="A106" s="88"/>
      <c r="B106" s="89">
        <v>105</v>
      </c>
      <c r="C106" s="22" t="s">
        <v>4605</v>
      </c>
      <c r="D106" s="22" t="s">
        <v>4631</v>
      </c>
      <c r="E106" s="22" t="s">
        <v>4648</v>
      </c>
      <c r="F106" s="22"/>
      <c r="G106" s="22"/>
      <c r="H106" s="22"/>
    </row>
    <row r="107" spans="1:8" outlineLevel="1" x14ac:dyDescent="0.2">
      <c r="A107" s="88"/>
      <c r="B107" s="89">
        <v>106</v>
      </c>
      <c r="C107" s="22"/>
      <c r="D107" s="22"/>
      <c r="E107" s="22"/>
      <c r="F107" s="22"/>
      <c r="G107" s="22"/>
      <c r="H107" s="22"/>
    </row>
    <row r="108" spans="1:8" outlineLevel="1" x14ac:dyDescent="0.2">
      <c r="A108" s="88"/>
      <c r="B108" s="89">
        <v>107</v>
      </c>
      <c r="C108" s="22"/>
      <c r="D108" s="22"/>
      <c r="E108" s="22"/>
      <c r="F108" s="22"/>
      <c r="G108" s="22"/>
      <c r="H108" s="22"/>
    </row>
    <row r="109" spans="1:8" outlineLevel="1" x14ac:dyDescent="0.2">
      <c r="A109" s="88"/>
      <c r="B109" s="89">
        <v>108</v>
      </c>
      <c r="C109" s="22"/>
      <c r="D109" s="22"/>
      <c r="E109" s="22"/>
      <c r="F109" s="22"/>
      <c r="G109" s="22"/>
      <c r="H109" s="22"/>
    </row>
    <row r="110" spans="1:8" outlineLevel="1" x14ac:dyDescent="0.2">
      <c r="A110" s="88"/>
      <c r="B110" s="89">
        <v>109</v>
      </c>
      <c r="C110" s="97" t="s">
        <v>4623</v>
      </c>
      <c r="D110" s="97" t="s">
        <v>4642</v>
      </c>
      <c r="E110" s="97" t="s">
        <v>4657</v>
      </c>
      <c r="F110" s="97"/>
      <c r="G110" s="97"/>
      <c r="H110" s="97"/>
    </row>
    <row r="111" spans="1:8" outlineLevel="1" x14ac:dyDescent="0.2">
      <c r="A111" s="88"/>
      <c r="B111" s="89">
        <v>110</v>
      </c>
      <c r="C111" s="22" t="s">
        <v>4607</v>
      </c>
      <c r="D111" s="22" t="s">
        <v>5070</v>
      </c>
      <c r="E111" s="22" t="s">
        <v>4649</v>
      </c>
      <c r="F111" s="22"/>
      <c r="G111" s="22"/>
      <c r="H111" s="22"/>
    </row>
    <row r="112" spans="1:8" outlineLevel="1" x14ac:dyDescent="0.2">
      <c r="A112" s="88"/>
      <c r="B112" s="89">
        <v>111</v>
      </c>
      <c r="C112" s="22" t="s">
        <v>4608</v>
      </c>
      <c r="D112" s="22" t="s">
        <v>4632</v>
      </c>
      <c r="E112" s="22" t="s">
        <v>4650</v>
      </c>
      <c r="F112" s="22"/>
      <c r="G112" s="22"/>
      <c r="H112" s="22"/>
    </row>
    <row r="113" spans="1:8" outlineLevel="1" x14ac:dyDescent="0.2">
      <c r="A113" s="88"/>
      <c r="B113" s="89">
        <v>112</v>
      </c>
      <c r="C113" s="22"/>
      <c r="D113" s="22"/>
      <c r="E113" s="22"/>
      <c r="F113" s="22"/>
      <c r="G113" s="22"/>
      <c r="H113" s="22"/>
    </row>
    <row r="114" spans="1:8" outlineLevel="1" x14ac:dyDescent="0.2">
      <c r="A114" s="88"/>
      <c r="B114" s="89">
        <v>113</v>
      </c>
      <c r="C114" s="22"/>
      <c r="D114" s="22"/>
      <c r="E114" s="22"/>
      <c r="F114" s="22"/>
      <c r="G114" s="22"/>
      <c r="H114" s="22"/>
    </row>
    <row r="115" spans="1:8" outlineLevel="1" x14ac:dyDescent="0.2">
      <c r="A115" s="88"/>
      <c r="B115" s="89">
        <v>114</v>
      </c>
      <c r="C115" s="97" t="s">
        <v>4609</v>
      </c>
      <c r="D115" s="97" t="s">
        <v>4633</v>
      </c>
      <c r="E115" s="97" t="s">
        <v>4651</v>
      </c>
      <c r="F115" s="97"/>
      <c r="G115" s="97"/>
      <c r="H115" s="97"/>
    </row>
    <row r="116" spans="1:8" ht="63.75" outlineLevel="1" x14ac:dyDescent="0.2">
      <c r="A116" s="88"/>
      <c r="B116" s="89">
        <v>115</v>
      </c>
      <c r="C116" s="22" t="s">
        <v>5082</v>
      </c>
      <c r="D116" s="22" t="s">
        <v>4721</v>
      </c>
      <c r="E116" s="22" t="s">
        <v>4722</v>
      </c>
      <c r="F116" s="22"/>
      <c r="G116" s="22"/>
      <c r="H116" s="22"/>
    </row>
    <row r="117" spans="1:8" outlineLevel="1" x14ac:dyDescent="0.2">
      <c r="A117" s="88"/>
      <c r="B117" s="89">
        <v>116</v>
      </c>
      <c r="C117" s="22" t="s">
        <v>4617</v>
      </c>
      <c r="D117" s="22" t="s">
        <v>4637</v>
      </c>
      <c r="E117" s="22" t="s">
        <v>4652</v>
      </c>
      <c r="F117" s="22"/>
      <c r="G117" s="22"/>
      <c r="H117" s="22"/>
    </row>
    <row r="118" spans="1:8" outlineLevel="1" x14ac:dyDescent="0.2">
      <c r="A118" s="88"/>
      <c r="B118" s="89">
        <v>117</v>
      </c>
      <c r="C118" s="22" t="s">
        <v>4618</v>
      </c>
      <c r="D118" s="22" t="s">
        <v>4638</v>
      </c>
      <c r="E118" s="22" t="s">
        <v>4653</v>
      </c>
      <c r="F118" s="22"/>
      <c r="G118" s="22"/>
      <c r="H118" s="22"/>
    </row>
    <row r="119" spans="1:8" outlineLevel="1" x14ac:dyDescent="0.2">
      <c r="A119" s="88"/>
      <c r="B119" s="89">
        <v>118</v>
      </c>
      <c r="C119" s="22" t="s">
        <v>4619</v>
      </c>
      <c r="D119" s="22" t="s">
        <v>4639</v>
      </c>
      <c r="E119" s="22" t="s">
        <v>4654</v>
      </c>
      <c r="F119" s="22"/>
      <c r="G119" s="22"/>
      <c r="H119" s="22"/>
    </row>
    <row r="120" spans="1:8" outlineLevel="1" x14ac:dyDescent="0.2">
      <c r="A120" s="88"/>
      <c r="B120" s="89">
        <v>119</v>
      </c>
      <c r="C120" s="22" t="s">
        <v>4725</v>
      </c>
      <c r="D120" s="22" t="s">
        <v>4724</v>
      </c>
      <c r="E120" s="22" t="s">
        <v>4726</v>
      </c>
      <c r="F120" s="22"/>
      <c r="G120" s="22"/>
      <c r="H120" s="22"/>
    </row>
    <row r="121" spans="1:8" outlineLevel="1" x14ac:dyDescent="0.2">
      <c r="A121" s="88"/>
      <c r="B121" s="184">
        <v>120</v>
      </c>
      <c r="C121" s="22" t="s">
        <v>4621</v>
      </c>
      <c r="D121" s="22" t="s">
        <v>4640</v>
      </c>
      <c r="E121" s="22" t="s">
        <v>4655</v>
      </c>
      <c r="F121" s="22"/>
      <c r="G121" s="22"/>
      <c r="H121" s="22"/>
    </row>
    <row r="122" spans="1:8" ht="25.5" outlineLevel="1" x14ac:dyDescent="0.2">
      <c r="A122" s="88"/>
      <c r="B122" s="184">
        <v>121</v>
      </c>
      <c r="C122" s="22" t="s">
        <v>5062</v>
      </c>
      <c r="D122" s="22" t="s">
        <v>5063</v>
      </c>
      <c r="E122" s="22" t="s">
        <v>5064</v>
      </c>
      <c r="F122" s="22"/>
      <c r="G122" s="22"/>
      <c r="H122" s="22"/>
    </row>
    <row r="123" spans="1:8" outlineLevel="1" x14ac:dyDescent="0.2">
      <c r="A123" s="88"/>
      <c r="B123" s="184">
        <v>122</v>
      </c>
      <c r="C123" s="22" t="s">
        <v>4622</v>
      </c>
      <c r="D123" s="22" t="s">
        <v>4641</v>
      </c>
      <c r="E123" s="22" t="s">
        <v>4656</v>
      </c>
      <c r="F123" s="22"/>
      <c r="G123" s="22"/>
      <c r="H123" s="22"/>
    </row>
    <row r="124" spans="1:8" ht="51" outlineLevel="1" x14ac:dyDescent="0.2">
      <c r="A124" s="88"/>
      <c r="B124" s="184">
        <v>123</v>
      </c>
      <c r="C124" s="22" t="s">
        <v>5083</v>
      </c>
      <c r="D124" s="22" t="s">
        <v>5084</v>
      </c>
      <c r="E124" s="22" t="s">
        <v>5085</v>
      </c>
      <c r="F124" s="22"/>
      <c r="G124" s="22"/>
      <c r="H124" s="22"/>
    </row>
    <row r="125" spans="1:8" outlineLevel="1" x14ac:dyDescent="0.2">
      <c r="A125" s="88"/>
      <c r="B125" s="89">
        <v>124</v>
      </c>
      <c r="C125" s="22"/>
      <c r="D125" s="22"/>
      <c r="E125" s="22"/>
      <c r="F125" s="22"/>
      <c r="G125" s="22"/>
      <c r="H125" s="22"/>
    </row>
    <row r="126" spans="1:8" outlineLevel="1" x14ac:dyDescent="0.2">
      <c r="A126" s="88"/>
      <c r="B126" s="89">
        <v>125</v>
      </c>
      <c r="C126" s="97" t="s">
        <v>4610</v>
      </c>
      <c r="D126" s="97" t="s">
        <v>4634</v>
      </c>
      <c r="E126" s="97" t="s">
        <v>4662</v>
      </c>
      <c r="F126" s="97"/>
      <c r="G126" s="97"/>
      <c r="H126" s="97"/>
    </row>
    <row r="127" spans="1:8" ht="51" outlineLevel="1" x14ac:dyDescent="0.2">
      <c r="A127" s="88"/>
      <c r="B127" s="89">
        <v>126</v>
      </c>
      <c r="C127" s="22" t="s">
        <v>4672</v>
      </c>
      <c r="D127" s="22" t="s">
        <v>4673</v>
      </c>
      <c r="E127" s="22" t="s">
        <v>4674</v>
      </c>
      <c r="F127" s="22"/>
      <c r="G127" s="22"/>
      <c r="H127" s="22"/>
    </row>
    <row r="128" spans="1:8" outlineLevel="1" x14ac:dyDescent="0.2">
      <c r="A128" s="88"/>
      <c r="B128" s="89">
        <v>127</v>
      </c>
      <c r="C128" s="22" t="s">
        <v>4669</v>
      </c>
      <c r="D128" s="22" t="s">
        <v>4670</v>
      </c>
      <c r="E128" s="22" t="s">
        <v>4671</v>
      </c>
      <c r="F128" s="22"/>
      <c r="G128" s="22"/>
      <c r="H128" s="22"/>
    </row>
    <row r="129" spans="1:8" ht="63.75" outlineLevel="1" x14ac:dyDescent="0.2">
      <c r="A129" s="88"/>
      <c r="B129" s="185">
        <v>128</v>
      </c>
      <c r="C129" s="22" t="s">
        <v>4713</v>
      </c>
      <c r="D129" s="22" t="s">
        <v>4714</v>
      </c>
      <c r="E129" s="22" t="s">
        <v>4715</v>
      </c>
      <c r="F129" s="22"/>
      <c r="G129" s="22"/>
      <c r="H129" s="22"/>
    </row>
    <row r="130" spans="1:8" ht="63.75" outlineLevel="1" x14ac:dyDescent="0.2">
      <c r="A130" s="88"/>
      <c r="B130" s="185">
        <v>129</v>
      </c>
      <c r="C130" s="22" t="s">
        <v>4750</v>
      </c>
      <c r="D130" s="22" t="s">
        <v>4748</v>
      </c>
      <c r="E130" s="22" t="s">
        <v>4751</v>
      </c>
      <c r="F130" s="22"/>
      <c r="G130" s="22"/>
      <c r="H130" s="22"/>
    </row>
    <row r="131" spans="1:8" outlineLevel="1" x14ac:dyDescent="0.2">
      <c r="A131" s="88"/>
      <c r="B131" s="185">
        <v>130</v>
      </c>
      <c r="C131" s="22" t="s">
        <v>4749</v>
      </c>
      <c r="D131" s="22" t="s">
        <v>4635</v>
      </c>
      <c r="E131" s="22" t="s">
        <v>4661</v>
      </c>
      <c r="F131" s="22"/>
      <c r="G131" s="22"/>
      <c r="H131" s="22"/>
    </row>
    <row r="132" spans="1:8" ht="25.5" outlineLevel="1" x14ac:dyDescent="0.2">
      <c r="A132" s="88"/>
      <c r="B132" s="185">
        <v>131</v>
      </c>
      <c r="C132" s="22" t="s">
        <v>4718</v>
      </c>
      <c r="D132" s="22" t="s">
        <v>4717</v>
      </c>
      <c r="E132" s="22" t="s">
        <v>4658</v>
      </c>
      <c r="F132" s="22"/>
      <c r="G132" s="22"/>
      <c r="H132" s="22"/>
    </row>
    <row r="133" spans="1:8" outlineLevel="1" x14ac:dyDescent="0.2">
      <c r="A133" s="88"/>
      <c r="B133" s="89">
        <v>132</v>
      </c>
      <c r="C133" s="22" t="s">
        <v>4915</v>
      </c>
      <c r="D133" s="22" t="s">
        <v>4916</v>
      </c>
      <c r="E133" s="22" t="s">
        <v>4917</v>
      </c>
      <c r="F133" s="22"/>
      <c r="G133" s="22"/>
      <c r="H133" s="22"/>
    </row>
    <row r="134" spans="1:8" outlineLevel="1" x14ac:dyDescent="0.2">
      <c r="A134" s="88"/>
      <c r="B134" s="89">
        <v>133</v>
      </c>
      <c r="C134" s="22"/>
      <c r="D134" s="22"/>
      <c r="E134" s="22"/>
      <c r="F134" s="22"/>
      <c r="G134" s="22"/>
      <c r="H134" s="22"/>
    </row>
    <row r="135" spans="1:8" outlineLevel="1" x14ac:dyDescent="0.2">
      <c r="A135" s="88"/>
      <c r="B135" s="89">
        <v>134</v>
      </c>
      <c r="C135" s="22"/>
      <c r="D135" s="22"/>
      <c r="E135" s="22"/>
      <c r="F135" s="22"/>
      <c r="G135" s="22"/>
      <c r="H135" s="22"/>
    </row>
    <row r="136" spans="1:8" outlineLevel="1" x14ac:dyDescent="0.2">
      <c r="A136" s="88"/>
      <c r="B136" s="89">
        <v>135</v>
      </c>
      <c r="C136" s="98" t="s">
        <v>4710</v>
      </c>
      <c r="D136" s="98" t="s">
        <v>4711</v>
      </c>
      <c r="E136" s="98" t="s">
        <v>4712</v>
      </c>
      <c r="F136" s="98"/>
      <c r="G136" s="98"/>
      <c r="H136" s="98"/>
    </row>
    <row r="137" spans="1:8" ht="38.25" outlineLevel="1" x14ac:dyDescent="0.2">
      <c r="A137" s="88"/>
      <c r="B137" s="89">
        <v>136</v>
      </c>
      <c r="C137" s="22" t="s">
        <v>4801</v>
      </c>
      <c r="D137" s="22" t="s">
        <v>4802</v>
      </c>
      <c r="E137" s="22" t="s">
        <v>4803</v>
      </c>
      <c r="F137" s="22"/>
      <c r="G137" s="22"/>
      <c r="H137" s="22"/>
    </row>
    <row r="138" spans="1:8" outlineLevel="1" x14ac:dyDescent="0.2">
      <c r="A138" s="88"/>
      <c r="B138" s="89">
        <v>137</v>
      </c>
      <c r="C138" s="22" t="s">
        <v>4800</v>
      </c>
      <c r="D138" s="22" t="s">
        <v>4805</v>
      </c>
      <c r="E138" s="22" t="s">
        <v>4804</v>
      </c>
      <c r="F138" s="22"/>
      <c r="G138" s="22"/>
      <c r="H138" s="22"/>
    </row>
    <row r="139" spans="1:8" outlineLevel="1" x14ac:dyDescent="0.2">
      <c r="A139" s="88"/>
      <c r="B139" s="89">
        <v>138</v>
      </c>
      <c r="C139" s="22"/>
      <c r="D139" s="22"/>
      <c r="E139" s="22"/>
      <c r="F139" s="22"/>
      <c r="G139" s="22"/>
      <c r="H139" s="22"/>
    </row>
    <row r="140" spans="1:8" ht="38.25" outlineLevel="1" x14ac:dyDescent="0.2">
      <c r="A140" s="88"/>
      <c r="B140" s="89">
        <v>139</v>
      </c>
      <c r="C140" s="22" t="s">
        <v>4813</v>
      </c>
      <c r="D140" s="22" t="s">
        <v>4814</v>
      </c>
      <c r="E140" s="22" t="s">
        <v>4723</v>
      </c>
      <c r="F140" s="22"/>
      <c r="G140" s="22"/>
      <c r="H140" s="22"/>
    </row>
    <row r="141" spans="1:8" outlineLevel="1" x14ac:dyDescent="0.2">
      <c r="A141" s="88"/>
      <c r="B141" s="89">
        <v>140</v>
      </c>
      <c r="C141" s="97" t="s">
        <v>4611</v>
      </c>
      <c r="D141" s="97" t="s">
        <v>4636</v>
      </c>
      <c r="E141" s="97" t="s">
        <v>4660</v>
      </c>
      <c r="F141" s="97"/>
      <c r="G141" s="97"/>
      <c r="H141" s="97"/>
    </row>
    <row r="142" spans="1:8" ht="76.5" outlineLevel="1" x14ac:dyDescent="0.2">
      <c r="A142" s="88"/>
      <c r="B142" s="89">
        <v>141</v>
      </c>
      <c r="C142" s="22" t="s">
        <v>4811</v>
      </c>
      <c r="D142" s="22" t="s">
        <v>5071</v>
      </c>
      <c r="E142" s="22" t="s">
        <v>5072</v>
      </c>
      <c r="F142" s="22"/>
      <c r="G142" s="22"/>
      <c r="H142" s="22"/>
    </row>
    <row r="143" spans="1:8" outlineLevel="1" x14ac:dyDescent="0.2">
      <c r="A143" s="88"/>
      <c r="B143" s="89">
        <v>142</v>
      </c>
      <c r="C143" s="22" t="s">
        <v>4719</v>
      </c>
      <c r="D143" s="22"/>
      <c r="E143" s="22"/>
      <c r="F143" s="22"/>
      <c r="G143" s="22"/>
      <c r="H143" s="22"/>
    </row>
    <row r="144" spans="1:8" outlineLevel="1" x14ac:dyDescent="0.2">
      <c r="A144" s="88"/>
      <c r="B144" s="89">
        <v>143</v>
      </c>
      <c r="C144" s="97" t="s">
        <v>4481</v>
      </c>
      <c r="D144" s="97" t="s">
        <v>4461</v>
      </c>
      <c r="E144" s="97" t="s">
        <v>4659</v>
      </c>
      <c r="F144" s="97"/>
      <c r="G144" s="97"/>
      <c r="H144" s="97"/>
    </row>
    <row r="145" spans="1:8" outlineLevel="1" x14ac:dyDescent="0.2">
      <c r="A145" s="88"/>
      <c r="B145" s="89">
        <v>144</v>
      </c>
      <c r="C145" s="22" t="s">
        <v>4766</v>
      </c>
      <c r="D145" s="22" t="s">
        <v>4767</v>
      </c>
      <c r="E145" s="22" t="s">
        <v>4768</v>
      </c>
      <c r="F145" s="22"/>
      <c r="G145" s="22"/>
      <c r="H145" s="22"/>
    </row>
    <row r="146" spans="1:8" ht="25.5" outlineLevel="1" x14ac:dyDescent="0.2">
      <c r="A146" s="88"/>
      <c r="B146" s="89">
        <v>145</v>
      </c>
      <c r="C146" s="22" t="s">
        <v>4744</v>
      </c>
      <c r="D146" s="22" t="s">
        <v>4746</v>
      </c>
      <c r="E146" s="22" t="s">
        <v>4747</v>
      </c>
      <c r="F146" s="22"/>
      <c r="G146" s="22"/>
      <c r="H146" s="22"/>
    </row>
    <row r="147" spans="1:8" outlineLevel="1" x14ac:dyDescent="0.2">
      <c r="A147" s="88"/>
      <c r="B147" s="89">
        <v>146</v>
      </c>
      <c r="C147" s="22" t="s">
        <v>4745</v>
      </c>
      <c r="D147" s="22"/>
      <c r="E147" s="22"/>
      <c r="F147" s="22"/>
      <c r="G147" s="22"/>
      <c r="H147" s="22"/>
    </row>
    <row r="148" spans="1:8" outlineLevel="1" x14ac:dyDescent="0.2">
      <c r="A148" s="88"/>
      <c r="B148" s="89">
        <v>147</v>
      </c>
      <c r="C148" s="97" t="s">
        <v>4780</v>
      </c>
      <c r="D148" s="97" t="s">
        <v>4781</v>
      </c>
      <c r="E148" s="97" t="s">
        <v>4782</v>
      </c>
      <c r="F148" s="97"/>
      <c r="G148" s="97"/>
      <c r="H148" s="97"/>
    </row>
    <row r="149" spans="1:8" outlineLevel="1" x14ac:dyDescent="0.2">
      <c r="A149" s="88"/>
      <c r="B149" s="89">
        <v>148</v>
      </c>
      <c r="C149" s="22" t="s">
        <v>4769</v>
      </c>
      <c r="D149" s="22" t="s">
        <v>4770</v>
      </c>
      <c r="E149" s="22" t="s">
        <v>4771</v>
      </c>
      <c r="F149" s="22"/>
      <c r="G149" s="22"/>
      <c r="H149" s="22"/>
    </row>
    <row r="150" spans="1:8" outlineLevel="1" x14ac:dyDescent="0.2">
      <c r="A150" s="88"/>
      <c r="B150" s="89">
        <v>149</v>
      </c>
      <c r="C150" s="22" t="s">
        <v>4773</v>
      </c>
      <c r="D150" s="22" t="s">
        <v>4774</v>
      </c>
      <c r="E150" s="22" t="s">
        <v>4775</v>
      </c>
      <c r="F150" s="22"/>
      <c r="G150" s="22"/>
      <c r="H150" s="22"/>
    </row>
    <row r="151" spans="1:8" outlineLevel="1" x14ac:dyDescent="0.2">
      <c r="A151" s="182" t="s">
        <v>4853</v>
      </c>
      <c r="B151" s="89">
        <v>150</v>
      </c>
      <c r="C151" s="87" t="s">
        <v>5047</v>
      </c>
      <c r="D151" s="87" t="s">
        <v>5048</v>
      </c>
      <c r="E151" s="87" t="s">
        <v>5049</v>
      </c>
      <c r="F151" s="87"/>
      <c r="G151" s="87"/>
      <c r="H151" s="87"/>
    </row>
    <row r="152" spans="1:8" ht="38.25" outlineLevel="1" x14ac:dyDescent="0.2">
      <c r="A152" s="182" t="s">
        <v>4854</v>
      </c>
      <c r="B152" s="89">
        <v>151</v>
      </c>
      <c r="C152" s="87" t="s">
        <v>5050</v>
      </c>
      <c r="D152" s="87" t="s">
        <v>5051</v>
      </c>
      <c r="E152" s="87" t="s">
        <v>5052</v>
      </c>
      <c r="F152" s="87"/>
      <c r="G152" s="87"/>
      <c r="H152" s="87"/>
    </row>
    <row r="153" spans="1:8" ht="63.75" outlineLevel="1" x14ac:dyDescent="0.2">
      <c r="A153" s="182" t="s">
        <v>4855</v>
      </c>
      <c r="B153" s="89">
        <v>152</v>
      </c>
      <c r="C153" s="87" t="s">
        <v>5053</v>
      </c>
      <c r="D153" s="87" t="s">
        <v>5054</v>
      </c>
      <c r="E153" s="87" t="s">
        <v>5055</v>
      </c>
      <c r="F153" s="87"/>
      <c r="G153" s="87"/>
      <c r="H153" s="87"/>
    </row>
    <row r="154" spans="1:8" ht="38.25" outlineLevel="1" x14ac:dyDescent="0.2">
      <c r="A154" s="183" t="s">
        <v>4856</v>
      </c>
      <c r="B154" s="89">
        <v>153</v>
      </c>
      <c r="C154" s="87" t="s">
        <v>5056</v>
      </c>
      <c r="D154" s="87" t="s">
        <v>5057</v>
      </c>
      <c r="E154" s="87" t="s">
        <v>5058</v>
      </c>
      <c r="F154" s="87"/>
      <c r="G154" s="87"/>
      <c r="H154" s="87"/>
    </row>
    <row r="155" spans="1:8" ht="25.5" outlineLevel="1" x14ac:dyDescent="0.2">
      <c r="A155" s="88"/>
      <c r="B155" s="89">
        <v>154</v>
      </c>
      <c r="C155" s="87" t="s">
        <v>5059</v>
      </c>
      <c r="D155" s="87" t="s">
        <v>5060</v>
      </c>
      <c r="E155" s="87" t="s">
        <v>5061</v>
      </c>
      <c r="F155" s="87"/>
      <c r="G155" s="87"/>
      <c r="H155" s="87"/>
    </row>
    <row r="156" spans="1:8" outlineLevel="1" x14ac:dyDescent="0.2">
      <c r="A156" s="88"/>
      <c r="B156" s="89">
        <v>155</v>
      </c>
      <c r="C156" s="87"/>
      <c r="D156" s="87"/>
      <c r="E156" s="87"/>
      <c r="F156" s="87"/>
      <c r="G156" s="87"/>
      <c r="H156" s="87"/>
    </row>
    <row r="157" spans="1:8" outlineLevel="1" x14ac:dyDescent="0.2">
      <c r="A157" s="88"/>
      <c r="B157" s="89">
        <v>156</v>
      </c>
      <c r="C157" s="87"/>
      <c r="D157" s="87"/>
      <c r="E157" s="87"/>
      <c r="F157" s="87"/>
      <c r="G157" s="87"/>
      <c r="H157" s="87"/>
    </row>
    <row r="158" spans="1:8" outlineLevel="1" x14ac:dyDescent="0.2">
      <c r="A158" s="88"/>
      <c r="B158" s="89">
        <v>157</v>
      </c>
      <c r="C158" s="87"/>
      <c r="D158" s="87"/>
      <c r="E158" s="87"/>
      <c r="F158" s="87"/>
      <c r="G158" s="87"/>
      <c r="H158" s="87"/>
    </row>
    <row r="159" spans="1:8" outlineLevel="1" x14ac:dyDescent="0.2">
      <c r="A159" s="88"/>
      <c r="B159" s="89">
        <v>158</v>
      </c>
      <c r="C159" s="87"/>
      <c r="D159" s="87"/>
      <c r="E159" s="87"/>
      <c r="F159" s="87"/>
      <c r="G159" s="87"/>
      <c r="H159" s="87"/>
    </row>
    <row r="160" spans="1:8" outlineLevel="1" x14ac:dyDescent="0.2">
      <c r="A160" s="88"/>
      <c r="B160" s="89">
        <v>159</v>
      </c>
      <c r="C160" s="87"/>
      <c r="D160" s="87"/>
      <c r="E160" s="87"/>
      <c r="F160" s="87"/>
      <c r="G160" s="87"/>
      <c r="H160" s="87"/>
    </row>
    <row r="161" spans="1:8" ht="38.25" outlineLevel="1" x14ac:dyDescent="0.2">
      <c r="A161" s="183" t="s">
        <v>4858</v>
      </c>
      <c r="B161" s="89">
        <v>160</v>
      </c>
      <c r="C161" s="87"/>
      <c r="D161" s="87"/>
      <c r="E161" s="87"/>
      <c r="F161" s="87"/>
      <c r="G161" s="87"/>
      <c r="H161" s="87"/>
    </row>
    <row r="162" spans="1:8" outlineLevel="1" x14ac:dyDescent="0.2">
      <c r="A162" s="96"/>
      <c r="B162" s="89">
        <v>161</v>
      </c>
      <c r="C162" s="87"/>
      <c r="D162" s="87"/>
      <c r="E162" s="87"/>
      <c r="F162" s="87"/>
      <c r="G162" s="87"/>
      <c r="H162" s="87"/>
    </row>
    <row r="163" spans="1:8" outlineLevel="1" x14ac:dyDescent="0.2">
      <c r="A163" s="96"/>
      <c r="B163" s="89">
        <v>162</v>
      </c>
      <c r="C163" s="87"/>
      <c r="D163" s="87"/>
      <c r="E163" s="87"/>
      <c r="F163" s="87"/>
      <c r="G163" s="87"/>
      <c r="H163" s="87"/>
    </row>
    <row r="164" spans="1:8" outlineLevel="1" x14ac:dyDescent="0.2">
      <c r="A164" s="96"/>
      <c r="B164" s="89">
        <v>163</v>
      </c>
      <c r="C164" s="87"/>
      <c r="D164" s="87"/>
      <c r="E164" s="87"/>
      <c r="F164" s="87"/>
      <c r="G164" s="87"/>
      <c r="H164" s="87"/>
    </row>
    <row r="165" spans="1:8" outlineLevel="1" x14ac:dyDescent="0.2">
      <c r="A165" s="88"/>
      <c r="B165" s="89">
        <v>164</v>
      </c>
      <c r="C165" s="87"/>
      <c r="D165" s="87"/>
      <c r="E165" s="87"/>
      <c r="F165" s="87"/>
      <c r="G165" s="87"/>
      <c r="H165" s="87"/>
    </row>
    <row r="166" spans="1:8" outlineLevel="1" x14ac:dyDescent="0.2">
      <c r="A166" s="88"/>
      <c r="B166" s="89">
        <v>165</v>
      </c>
      <c r="C166" s="87"/>
      <c r="D166" s="87"/>
      <c r="E166" s="87"/>
      <c r="F166" s="87"/>
      <c r="G166" s="87"/>
      <c r="H166" s="87"/>
    </row>
    <row r="167" spans="1:8" outlineLevel="1" x14ac:dyDescent="0.2">
      <c r="A167" s="88"/>
      <c r="B167" s="89">
        <v>166</v>
      </c>
      <c r="C167" s="87"/>
      <c r="D167" s="87"/>
      <c r="E167" s="87"/>
      <c r="F167" s="87"/>
      <c r="G167" s="87"/>
      <c r="H167" s="87"/>
    </row>
    <row r="168" spans="1:8" outlineLevel="1" x14ac:dyDescent="0.2">
      <c r="A168" s="88"/>
      <c r="B168" s="89">
        <v>167</v>
      </c>
      <c r="C168" s="87"/>
      <c r="D168" s="87"/>
      <c r="E168" s="87"/>
      <c r="F168" s="87"/>
      <c r="G168" s="87"/>
      <c r="H168" s="87"/>
    </row>
    <row r="169" spans="1:8" outlineLevel="1" x14ac:dyDescent="0.2">
      <c r="A169" s="88"/>
      <c r="B169" s="89">
        <v>168</v>
      </c>
      <c r="C169" s="87"/>
      <c r="D169" s="87"/>
      <c r="E169" s="87"/>
      <c r="F169" s="87"/>
      <c r="G169" s="87"/>
      <c r="H169" s="87"/>
    </row>
    <row r="170" spans="1:8" ht="38.25" outlineLevel="1" x14ac:dyDescent="0.2">
      <c r="A170" s="183" t="s">
        <v>4876</v>
      </c>
      <c r="B170" s="89">
        <v>169</v>
      </c>
      <c r="C170" s="87"/>
      <c r="D170" s="87"/>
      <c r="E170" s="87"/>
      <c r="F170" s="87"/>
      <c r="G170" s="87"/>
      <c r="H170" s="87"/>
    </row>
    <row r="171" spans="1:8" outlineLevel="1" x14ac:dyDescent="0.2">
      <c r="A171" s="187" t="s">
        <v>4863</v>
      </c>
      <c r="B171" s="89">
        <v>170</v>
      </c>
      <c r="C171" s="123" t="s">
        <v>4620</v>
      </c>
      <c r="D171" s="123" t="s">
        <v>4620</v>
      </c>
      <c r="E171" s="123" t="s">
        <v>4666</v>
      </c>
      <c r="F171" s="123"/>
      <c r="G171" s="123"/>
      <c r="H171" s="123"/>
    </row>
    <row r="172" spans="1:8" ht="158.25" customHeight="1" outlineLevel="1" x14ac:dyDescent="0.2">
      <c r="A172" s="187" t="s">
        <v>4859</v>
      </c>
      <c r="B172" s="89">
        <v>171</v>
      </c>
      <c r="C172" s="87" t="s">
        <v>5065</v>
      </c>
      <c r="D172" s="87" t="s">
        <v>5066</v>
      </c>
      <c r="E172" s="87" t="s">
        <v>5067</v>
      </c>
      <c r="F172" s="87"/>
      <c r="G172" s="87"/>
      <c r="H172" s="87"/>
    </row>
    <row r="173" spans="1:8" outlineLevel="1" x14ac:dyDescent="0.2">
      <c r="A173" s="187" t="s">
        <v>4864</v>
      </c>
      <c r="B173" s="89">
        <v>172</v>
      </c>
      <c r="C173" s="123" t="s">
        <v>4909</v>
      </c>
      <c r="D173" s="123" t="s">
        <v>4911</v>
      </c>
      <c r="E173" s="123" t="s">
        <v>4913</v>
      </c>
      <c r="F173" s="87"/>
      <c r="G173" s="87"/>
      <c r="H173" s="87"/>
    </row>
    <row r="174" spans="1:8" ht="38.25" outlineLevel="1" x14ac:dyDescent="0.2">
      <c r="A174" s="187" t="s">
        <v>4862</v>
      </c>
      <c r="B174" s="89">
        <v>173</v>
      </c>
      <c r="C174" s="87" t="s">
        <v>4910</v>
      </c>
      <c r="D174" s="87" t="s">
        <v>4912</v>
      </c>
      <c r="E174" s="87" t="s">
        <v>4914</v>
      </c>
      <c r="F174" s="123"/>
      <c r="G174" s="123"/>
      <c r="H174" s="123"/>
    </row>
    <row r="175" spans="1:8" outlineLevel="1" x14ac:dyDescent="0.2">
      <c r="A175" s="187" t="s">
        <v>4861</v>
      </c>
      <c r="B175" s="89">
        <v>174</v>
      </c>
      <c r="C175" s="87"/>
      <c r="D175" s="87"/>
      <c r="E175" s="87"/>
      <c r="F175" s="87"/>
      <c r="G175" s="87"/>
      <c r="H175" s="87"/>
    </row>
    <row r="176" spans="1:8" outlineLevel="1" x14ac:dyDescent="0.2">
      <c r="A176" s="187" t="s">
        <v>4860</v>
      </c>
      <c r="B176" s="89">
        <v>175</v>
      </c>
      <c r="C176" s="87"/>
      <c r="D176" s="87"/>
      <c r="E176" s="87"/>
      <c r="F176" s="87"/>
      <c r="G176" s="87"/>
      <c r="H176" s="87"/>
    </row>
    <row r="177" spans="1:8" outlineLevel="1" x14ac:dyDescent="0.2">
      <c r="A177" s="187" t="s">
        <v>4865</v>
      </c>
      <c r="B177" s="89">
        <v>176</v>
      </c>
      <c r="C177" s="123" t="s">
        <v>4815</v>
      </c>
      <c r="D177" s="123" t="s">
        <v>5089</v>
      </c>
      <c r="E177" s="123" t="s">
        <v>4852</v>
      </c>
      <c r="F177" s="123"/>
      <c r="G177" s="123"/>
      <c r="H177" s="123"/>
    </row>
    <row r="178" spans="1:8" outlineLevel="1" x14ac:dyDescent="0.2">
      <c r="A178" s="187" t="s">
        <v>4866</v>
      </c>
      <c r="B178" s="89">
        <v>177</v>
      </c>
      <c r="C178" s="87" t="s">
        <v>2</v>
      </c>
      <c r="D178" s="87" t="s">
        <v>2</v>
      </c>
      <c r="E178" s="87" t="s">
        <v>2</v>
      </c>
      <c r="F178" s="87"/>
      <c r="G178" s="87"/>
      <c r="H178" s="87"/>
    </row>
    <row r="179" spans="1:8" ht="25.5" outlineLevel="1" x14ac:dyDescent="0.2">
      <c r="A179" s="187" t="s">
        <v>4867</v>
      </c>
      <c r="B179" s="89">
        <v>178</v>
      </c>
      <c r="C179" s="87" t="s">
        <v>4901</v>
      </c>
      <c r="D179" s="87" t="s">
        <v>4902</v>
      </c>
      <c r="E179" s="87" t="s">
        <v>4903</v>
      </c>
      <c r="F179" s="87"/>
      <c r="G179" s="87"/>
      <c r="H179" s="87"/>
    </row>
    <row r="180" spans="1:8" outlineLevel="1" x14ac:dyDescent="0.2">
      <c r="A180" s="88"/>
      <c r="B180" s="89">
        <v>179</v>
      </c>
      <c r="C180" s="87"/>
      <c r="D180" s="87"/>
      <c r="E180" s="87"/>
      <c r="F180" s="87"/>
      <c r="G180" s="87"/>
      <c r="H180" s="87"/>
    </row>
    <row r="181" spans="1:8" ht="51" outlineLevel="1" x14ac:dyDescent="0.2">
      <c r="A181" s="183" t="s">
        <v>4877</v>
      </c>
      <c r="B181" s="89">
        <v>180</v>
      </c>
      <c r="C181" s="123" t="s">
        <v>4904</v>
      </c>
      <c r="D181" s="123" t="s">
        <v>4906</v>
      </c>
      <c r="E181" s="123" t="s">
        <v>4907</v>
      </c>
      <c r="F181" s="123"/>
      <c r="G181" s="123"/>
      <c r="H181" s="123"/>
    </row>
    <row r="182" spans="1:8" ht="63.75" outlineLevel="1" x14ac:dyDescent="0.2">
      <c r="A182" s="88"/>
      <c r="B182" s="89">
        <v>181</v>
      </c>
      <c r="C182" s="87" t="s">
        <v>4905</v>
      </c>
      <c r="D182" s="87" t="s">
        <v>5090</v>
      </c>
      <c r="E182" s="87" t="s">
        <v>4908</v>
      </c>
      <c r="F182" s="87"/>
      <c r="G182" s="87"/>
      <c r="H182" s="87"/>
    </row>
    <row r="183" spans="1:8" outlineLevel="1" x14ac:dyDescent="0.2">
      <c r="A183" s="88"/>
      <c r="B183" s="89">
        <v>182</v>
      </c>
      <c r="C183" s="123"/>
      <c r="D183" s="123"/>
      <c r="E183" s="123"/>
      <c r="F183" s="123"/>
      <c r="G183" s="123"/>
      <c r="H183" s="123"/>
    </row>
    <row r="184" spans="1:8" outlineLevel="1" x14ac:dyDescent="0.2">
      <c r="A184" s="88"/>
      <c r="B184" s="89">
        <v>183</v>
      </c>
      <c r="C184" s="87" t="s">
        <v>4954</v>
      </c>
      <c r="D184" s="87" t="s">
        <v>4955</v>
      </c>
      <c r="E184" s="87" t="s">
        <v>4956</v>
      </c>
      <c r="F184" s="87"/>
      <c r="G184" s="87"/>
      <c r="H184" s="87"/>
    </row>
    <row r="185" spans="1:8" ht="38.25" outlineLevel="1" x14ac:dyDescent="0.2">
      <c r="A185" s="88"/>
      <c r="B185" s="89">
        <v>184</v>
      </c>
      <c r="C185" s="123" t="s">
        <v>4951</v>
      </c>
      <c r="D185" s="123" t="s">
        <v>4952</v>
      </c>
      <c r="E185" s="123" t="s">
        <v>4953</v>
      </c>
      <c r="F185" s="123"/>
      <c r="G185" s="123"/>
      <c r="H185" s="123"/>
    </row>
    <row r="186" spans="1:8" outlineLevel="1" x14ac:dyDescent="0.2">
      <c r="A186" s="88"/>
      <c r="B186" s="89">
        <v>185</v>
      </c>
      <c r="C186" s="87" t="s">
        <v>4948</v>
      </c>
      <c r="D186" s="87" t="s">
        <v>4949</v>
      </c>
      <c r="E186" s="87" t="s">
        <v>4950</v>
      </c>
      <c r="F186" s="87"/>
      <c r="G186" s="87"/>
      <c r="H186" s="87"/>
    </row>
    <row r="187" spans="1:8" ht="13.5" outlineLevel="1" x14ac:dyDescent="0.2">
      <c r="A187" s="88"/>
      <c r="B187" s="89">
        <v>186</v>
      </c>
      <c r="C187" s="87" t="s">
        <v>4918</v>
      </c>
      <c r="D187" s="87" t="s">
        <v>4927</v>
      </c>
      <c r="E187" s="87" t="s">
        <v>4933</v>
      </c>
      <c r="F187" s="123"/>
      <c r="G187" s="123"/>
      <c r="H187" s="123"/>
    </row>
    <row r="188" spans="1:8" ht="13.5" outlineLevel="1" x14ac:dyDescent="0.2">
      <c r="A188" s="88"/>
      <c r="B188" s="89">
        <v>187</v>
      </c>
      <c r="C188" s="87" t="s">
        <v>4919</v>
      </c>
      <c r="D188" s="87" t="s">
        <v>5078</v>
      </c>
      <c r="E188" s="87" t="s">
        <v>5077</v>
      </c>
      <c r="F188" s="87"/>
      <c r="G188" s="87"/>
      <c r="H188" s="87"/>
    </row>
    <row r="189" spans="1:8" ht="13.5" outlineLevel="1" x14ac:dyDescent="0.2">
      <c r="A189" s="88"/>
      <c r="B189" s="89">
        <v>188</v>
      </c>
      <c r="C189" s="87" t="s">
        <v>4920</v>
      </c>
      <c r="D189" s="87" t="s">
        <v>4928</v>
      </c>
      <c r="E189" s="87" t="s">
        <v>4934</v>
      </c>
      <c r="F189" s="87"/>
      <c r="G189" s="87"/>
      <c r="H189" s="87"/>
    </row>
    <row r="190" spans="1:8" ht="13.5" outlineLevel="1" x14ac:dyDescent="0.2">
      <c r="A190" s="88"/>
      <c r="B190" s="89">
        <v>189</v>
      </c>
      <c r="C190" s="87" t="s">
        <v>4921</v>
      </c>
      <c r="D190" s="87" t="s">
        <v>4929</v>
      </c>
      <c r="E190" s="87" t="s">
        <v>4935</v>
      </c>
      <c r="F190" s="87"/>
      <c r="G190" s="87"/>
      <c r="H190" s="87"/>
    </row>
    <row r="191" spans="1:8" ht="13.5" outlineLevel="1" x14ac:dyDescent="0.2">
      <c r="A191" s="88"/>
      <c r="B191" s="89">
        <v>190</v>
      </c>
      <c r="C191" s="87" t="s">
        <v>4922</v>
      </c>
      <c r="D191" s="87" t="s">
        <v>5074</v>
      </c>
      <c r="E191" s="87" t="s">
        <v>5075</v>
      </c>
      <c r="F191" s="87"/>
      <c r="G191" s="87"/>
      <c r="H191" s="87"/>
    </row>
    <row r="192" spans="1:8" ht="13.5" outlineLevel="1" x14ac:dyDescent="0.2">
      <c r="A192" s="88"/>
      <c r="B192" s="89">
        <v>191</v>
      </c>
      <c r="C192" s="87" t="s">
        <v>4923</v>
      </c>
      <c r="D192" s="87" t="s">
        <v>4930</v>
      </c>
      <c r="E192" s="87" t="s">
        <v>4936</v>
      </c>
      <c r="F192" s="87"/>
      <c r="G192" s="87"/>
      <c r="H192" s="87"/>
    </row>
    <row r="193" spans="1:8" ht="13.5" outlineLevel="1" x14ac:dyDescent="0.2">
      <c r="A193" s="88"/>
      <c r="B193" s="89">
        <v>192</v>
      </c>
      <c r="C193" s="87" t="s">
        <v>4924</v>
      </c>
      <c r="D193" s="87" t="s">
        <v>4931</v>
      </c>
      <c r="E193" s="87" t="s">
        <v>4937</v>
      </c>
      <c r="F193" s="87"/>
      <c r="G193" s="87"/>
      <c r="H193" s="87"/>
    </row>
    <row r="194" spans="1:8" ht="13.5" outlineLevel="1" x14ac:dyDescent="0.2">
      <c r="A194" s="88"/>
      <c r="B194" s="89">
        <v>193</v>
      </c>
      <c r="C194" s="87" t="s">
        <v>4925</v>
      </c>
      <c r="D194" s="87" t="s">
        <v>5073</v>
      </c>
      <c r="E194" s="87" t="s">
        <v>5076</v>
      </c>
      <c r="F194" s="87"/>
      <c r="G194" s="87"/>
      <c r="H194" s="87"/>
    </row>
    <row r="195" spans="1:8" ht="13.5" outlineLevel="1" x14ac:dyDescent="0.2">
      <c r="A195" s="88"/>
      <c r="B195" s="89">
        <v>194</v>
      </c>
      <c r="C195" s="87" t="s">
        <v>4926</v>
      </c>
      <c r="D195" s="87" t="s">
        <v>4932</v>
      </c>
      <c r="E195" s="87" t="s">
        <v>4938</v>
      </c>
      <c r="F195" s="87"/>
      <c r="G195" s="87"/>
      <c r="H195" s="87"/>
    </row>
    <row r="196" spans="1:8" ht="25.5" outlineLevel="1" x14ac:dyDescent="0.2">
      <c r="A196" s="183"/>
      <c r="B196" s="89">
        <v>195</v>
      </c>
      <c r="C196" s="87" t="s">
        <v>4947</v>
      </c>
      <c r="D196" s="87" t="s">
        <v>4946</v>
      </c>
      <c r="E196" s="87" t="s">
        <v>4945</v>
      </c>
      <c r="F196" s="87"/>
      <c r="G196" s="87"/>
      <c r="H196" s="87"/>
    </row>
    <row r="197" spans="1:8" ht="25.5" outlineLevel="1" x14ac:dyDescent="0.2">
      <c r="A197" s="88"/>
      <c r="B197" s="89">
        <v>196</v>
      </c>
      <c r="C197" s="87" t="s">
        <v>4942</v>
      </c>
      <c r="D197" s="87" t="s">
        <v>4943</v>
      </c>
      <c r="E197" s="87" t="s">
        <v>4944</v>
      </c>
      <c r="F197" s="87"/>
      <c r="G197" s="87"/>
      <c r="H197" s="87"/>
    </row>
    <row r="198" spans="1:8" ht="25.5" outlineLevel="1" x14ac:dyDescent="0.2">
      <c r="A198" s="88"/>
      <c r="B198" s="89">
        <v>197</v>
      </c>
      <c r="C198" s="87" t="s">
        <v>4939</v>
      </c>
      <c r="D198" s="87" t="s">
        <v>4940</v>
      </c>
      <c r="E198" s="87" t="s">
        <v>4941</v>
      </c>
      <c r="F198" s="87"/>
      <c r="G198" s="87"/>
      <c r="H198" s="87"/>
    </row>
    <row r="199" spans="1:8" outlineLevel="1" x14ac:dyDescent="0.2">
      <c r="A199" s="88"/>
      <c r="B199" s="89">
        <v>198</v>
      </c>
      <c r="C199" s="87"/>
      <c r="D199" s="87"/>
      <c r="E199" s="87"/>
      <c r="F199" s="87"/>
      <c r="G199" s="87"/>
      <c r="H199" s="87"/>
    </row>
    <row r="200" spans="1:8" outlineLevel="1" x14ac:dyDescent="0.2">
      <c r="A200" s="88"/>
      <c r="B200" s="89">
        <v>199</v>
      </c>
      <c r="C200" s="87"/>
      <c r="D200" s="87"/>
      <c r="E200" s="87"/>
      <c r="F200" s="87"/>
      <c r="G200" s="87"/>
      <c r="H200" s="87"/>
    </row>
    <row r="201" spans="1:8" x14ac:dyDescent="0.2">
      <c r="A201" s="91" t="s">
        <v>4603</v>
      </c>
      <c r="B201" s="86">
        <v>200</v>
      </c>
      <c r="C201" s="22" t="s">
        <v>4612</v>
      </c>
      <c r="D201" s="22" t="s">
        <v>4667</v>
      </c>
      <c r="E201" s="22" t="s">
        <v>4664</v>
      </c>
      <c r="F201" s="22"/>
      <c r="G201" s="22"/>
      <c r="H201" s="22"/>
    </row>
    <row r="202" spans="1:8" outlineLevel="1" x14ac:dyDescent="0.2">
      <c r="A202" s="84"/>
      <c r="B202" s="86">
        <v>201</v>
      </c>
      <c r="C202" s="22" t="s">
        <v>4613</v>
      </c>
      <c r="D202" s="22" t="s">
        <v>4668</v>
      </c>
      <c r="E202" s="22" t="s">
        <v>4665</v>
      </c>
      <c r="F202" s="22"/>
      <c r="G202" s="22"/>
      <c r="H202" s="22"/>
    </row>
    <row r="203" spans="1:8" outlineLevel="1" x14ac:dyDescent="0.2">
      <c r="A203" s="84"/>
      <c r="B203" s="86">
        <v>202</v>
      </c>
      <c r="C203" s="22" t="s">
        <v>4614</v>
      </c>
      <c r="D203" s="22" t="s">
        <v>4643</v>
      </c>
      <c r="E203" s="22" t="s">
        <v>4663</v>
      </c>
      <c r="F203" s="22"/>
      <c r="G203" s="22"/>
      <c r="H203" s="22"/>
    </row>
    <row r="204" spans="1:8" outlineLevel="1" x14ac:dyDescent="0.2">
      <c r="A204" s="84"/>
      <c r="B204" s="86">
        <v>203</v>
      </c>
      <c r="C204" s="22" t="s">
        <v>4676</v>
      </c>
      <c r="D204" s="22" t="s">
        <v>4675</v>
      </c>
      <c r="E204" s="22" t="s">
        <v>4677</v>
      </c>
      <c r="F204" s="22"/>
      <c r="G204" s="22"/>
      <c r="H204" s="22"/>
    </row>
    <row r="205" spans="1:8" outlineLevel="1" x14ac:dyDescent="0.2">
      <c r="A205" s="84"/>
      <c r="B205" s="86">
        <v>204</v>
      </c>
      <c r="C205" s="22" t="s">
        <v>4788</v>
      </c>
      <c r="D205" s="22" t="s">
        <v>4790</v>
      </c>
      <c r="E205" s="22" t="s">
        <v>4789</v>
      </c>
      <c r="F205" s="22"/>
      <c r="G205" s="22"/>
      <c r="H205" s="22"/>
    </row>
    <row r="206" spans="1:8" outlineLevel="1" x14ac:dyDescent="0.2">
      <c r="A206" s="84"/>
      <c r="B206" s="86">
        <v>205</v>
      </c>
      <c r="C206" s="22" t="s">
        <v>4685</v>
      </c>
      <c r="D206" s="22" t="s">
        <v>4687</v>
      </c>
      <c r="E206" s="22" t="s">
        <v>4686</v>
      </c>
      <c r="F206" s="22"/>
      <c r="G206" s="22"/>
      <c r="H206" s="22"/>
    </row>
    <row r="207" spans="1:8" outlineLevel="1" x14ac:dyDescent="0.2">
      <c r="A207" s="84"/>
      <c r="B207" s="86">
        <v>206</v>
      </c>
      <c r="C207" s="22" t="s">
        <v>4688</v>
      </c>
      <c r="D207" s="22" t="s">
        <v>4689</v>
      </c>
      <c r="E207" s="22" t="s">
        <v>4695</v>
      </c>
      <c r="F207" s="22"/>
      <c r="G207" s="22"/>
      <c r="H207" s="22"/>
    </row>
    <row r="208" spans="1:8" outlineLevel="1" x14ac:dyDescent="0.2">
      <c r="A208" s="84"/>
      <c r="B208" s="86">
        <v>207</v>
      </c>
      <c r="C208" s="22" t="s">
        <v>4690</v>
      </c>
      <c r="D208" s="22" t="s">
        <v>4694</v>
      </c>
      <c r="E208" s="22" t="s">
        <v>4696</v>
      </c>
      <c r="F208" s="22"/>
      <c r="G208" s="22"/>
      <c r="H208" s="22"/>
    </row>
    <row r="209" spans="1:8" ht="38.25" outlineLevel="1" x14ac:dyDescent="0.2">
      <c r="A209" s="84"/>
      <c r="B209" s="86">
        <v>208</v>
      </c>
      <c r="C209" s="22" t="s">
        <v>4777</v>
      </c>
      <c r="D209" s="22" t="s">
        <v>5080</v>
      </c>
      <c r="E209" s="22" t="s">
        <v>4776</v>
      </c>
      <c r="F209" s="22"/>
      <c r="G209" s="22"/>
      <c r="H209" s="22"/>
    </row>
    <row r="210" spans="1:8" ht="38.25" outlineLevel="1" x14ac:dyDescent="0.2">
      <c r="A210" s="84"/>
      <c r="B210" s="86">
        <v>209</v>
      </c>
      <c r="C210" s="22" t="s">
        <v>4779</v>
      </c>
      <c r="D210" s="22" t="s">
        <v>5081</v>
      </c>
      <c r="E210" s="22" t="s">
        <v>4778</v>
      </c>
      <c r="F210" s="22"/>
      <c r="G210" s="22"/>
      <c r="H210" s="22"/>
    </row>
    <row r="211" spans="1:8" outlineLevel="1" x14ac:dyDescent="0.2">
      <c r="A211" s="84"/>
      <c r="B211" s="86">
        <v>210</v>
      </c>
      <c r="C211" s="22" t="s">
        <v>4678</v>
      </c>
      <c r="D211" s="22" t="s">
        <v>4679</v>
      </c>
      <c r="E211" s="22" t="s">
        <v>4680</v>
      </c>
      <c r="F211" s="22"/>
      <c r="G211" s="22"/>
      <c r="H211" s="22"/>
    </row>
    <row r="212" spans="1:8" outlineLevel="1" x14ac:dyDescent="0.2">
      <c r="A212" s="84"/>
      <c r="B212" s="86">
        <v>211</v>
      </c>
      <c r="C212" s="22" t="s">
        <v>4742</v>
      </c>
      <c r="D212" s="22" t="s">
        <v>4741</v>
      </c>
      <c r="E212" s="22" t="s">
        <v>4743</v>
      </c>
      <c r="F212" s="22"/>
      <c r="G212" s="22"/>
      <c r="H212" s="22"/>
    </row>
    <row r="213" spans="1:8" outlineLevel="1" x14ac:dyDescent="0.2">
      <c r="A213" s="84"/>
      <c r="B213" s="86">
        <v>212</v>
      </c>
      <c r="C213" s="22"/>
      <c r="D213" s="22"/>
      <c r="E213" s="22"/>
      <c r="F213" s="22"/>
      <c r="G213" s="22"/>
      <c r="H213" s="22"/>
    </row>
    <row r="214" spans="1:8" outlineLevel="1" x14ac:dyDescent="0.2">
      <c r="A214" s="84"/>
      <c r="B214" s="86">
        <v>213</v>
      </c>
      <c r="C214" s="22"/>
      <c r="D214" s="22"/>
      <c r="E214" s="22"/>
      <c r="F214" s="22"/>
      <c r="G214" s="22"/>
      <c r="H214" s="22"/>
    </row>
    <row r="215" spans="1:8" outlineLevel="1" x14ac:dyDescent="0.2">
      <c r="A215" s="84"/>
      <c r="B215" s="86">
        <v>214</v>
      </c>
      <c r="C215" s="22"/>
      <c r="D215" s="22"/>
      <c r="E215" s="22"/>
      <c r="F215" s="22"/>
      <c r="G215" s="22"/>
      <c r="H215" s="22"/>
    </row>
    <row r="216" spans="1:8" outlineLevel="1" x14ac:dyDescent="0.2">
      <c r="A216" s="84"/>
      <c r="B216" s="86">
        <v>215</v>
      </c>
      <c r="C216" s="22"/>
      <c r="D216" s="22"/>
      <c r="E216" s="22"/>
      <c r="F216" s="22"/>
      <c r="G216" s="22"/>
      <c r="H216" s="22"/>
    </row>
    <row r="217" spans="1:8" outlineLevel="1" x14ac:dyDescent="0.2">
      <c r="A217" s="84"/>
      <c r="B217" s="86">
        <v>216</v>
      </c>
      <c r="C217" s="22"/>
      <c r="D217" s="22"/>
      <c r="E217" s="22"/>
      <c r="F217" s="22"/>
      <c r="G217" s="22"/>
      <c r="H217" s="22"/>
    </row>
    <row r="218" spans="1:8" outlineLevel="1" x14ac:dyDescent="0.2">
      <c r="A218" s="84"/>
      <c r="B218" s="86">
        <v>217</v>
      </c>
      <c r="C218" s="22"/>
      <c r="D218" s="22"/>
      <c r="E218" s="22"/>
      <c r="F218" s="22"/>
      <c r="G218" s="22"/>
      <c r="H218" s="22"/>
    </row>
    <row r="219" spans="1:8" outlineLevel="1" x14ac:dyDescent="0.2">
      <c r="A219" s="84"/>
      <c r="B219" s="86">
        <v>218</v>
      </c>
      <c r="C219" s="22"/>
      <c r="D219" s="22"/>
      <c r="E219" s="22"/>
      <c r="F219" s="22"/>
      <c r="G219" s="22"/>
      <c r="H219" s="22"/>
    </row>
    <row r="220" spans="1:8" outlineLevel="1" x14ac:dyDescent="0.2">
      <c r="A220" s="84"/>
      <c r="B220" s="86">
        <v>219</v>
      </c>
      <c r="C220" s="22"/>
      <c r="D220" s="22"/>
      <c r="E220" s="22"/>
      <c r="F220" s="22"/>
      <c r="G220" s="22"/>
      <c r="H220" s="22"/>
    </row>
    <row r="221" spans="1:8" outlineLevel="1" x14ac:dyDescent="0.2">
      <c r="A221" s="84"/>
      <c r="B221" s="86">
        <v>220</v>
      </c>
      <c r="C221" s="22" t="s">
        <v>4682</v>
      </c>
      <c r="D221" s="22" t="s">
        <v>4683</v>
      </c>
      <c r="E221" s="22" t="s">
        <v>4691</v>
      </c>
      <c r="F221" s="22"/>
      <c r="G221" s="22"/>
      <c r="H221" s="22"/>
    </row>
    <row r="222" spans="1:8" outlineLevel="1" x14ac:dyDescent="0.2">
      <c r="A222" s="84"/>
      <c r="B222" s="86">
        <v>221</v>
      </c>
      <c r="C222" s="22" t="s">
        <v>4531</v>
      </c>
      <c r="D222" s="22" t="s">
        <v>4681</v>
      </c>
      <c r="E222" s="22" t="s">
        <v>4692</v>
      </c>
      <c r="F222" s="22"/>
      <c r="G222" s="22"/>
      <c r="H222" s="22"/>
    </row>
    <row r="223" spans="1:8" ht="38.25" outlineLevel="1" x14ac:dyDescent="0.2">
      <c r="A223" s="186" t="s">
        <v>4857</v>
      </c>
      <c r="B223" s="86">
        <v>222</v>
      </c>
      <c r="C223" s="87" t="s">
        <v>4731</v>
      </c>
      <c r="D223" s="87" t="s">
        <v>5079</v>
      </c>
      <c r="E223" s="87" t="s">
        <v>4739</v>
      </c>
      <c r="F223" s="87"/>
      <c r="G223" s="87"/>
      <c r="H223" s="87"/>
    </row>
    <row r="224" spans="1:8" ht="25.5" outlineLevel="1" x14ac:dyDescent="0.2">
      <c r="A224" s="84"/>
      <c r="B224" s="86">
        <v>223</v>
      </c>
      <c r="C224" s="87" t="s">
        <v>4732</v>
      </c>
      <c r="D224" s="87" t="s">
        <v>4733</v>
      </c>
      <c r="E224" s="87" t="s">
        <v>4740</v>
      </c>
      <c r="F224" s="87"/>
      <c r="G224" s="87"/>
      <c r="H224" s="87"/>
    </row>
    <row r="225" spans="1:8" ht="25.5" outlineLevel="1" x14ac:dyDescent="0.2">
      <c r="A225" s="84"/>
      <c r="B225" s="86">
        <v>224</v>
      </c>
      <c r="C225" s="87" t="s">
        <v>4734</v>
      </c>
      <c r="D225" s="87" t="s">
        <v>4735</v>
      </c>
      <c r="E225" s="87" t="s">
        <v>4738</v>
      </c>
      <c r="F225" s="87"/>
      <c r="G225" s="87"/>
      <c r="H225" s="87"/>
    </row>
    <row r="226" spans="1:8" outlineLevel="1" x14ac:dyDescent="0.2">
      <c r="A226" s="84"/>
      <c r="B226" s="86">
        <v>225</v>
      </c>
      <c r="C226" s="87" t="s">
        <v>5093</v>
      </c>
      <c r="D226" s="87" t="s">
        <v>4736</v>
      </c>
      <c r="E226" s="87" t="s">
        <v>4737</v>
      </c>
      <c r="F226" s="87"/>
      <c r="G226" s="87"/>
      <c r="H226" s="87"/>
    </row>
    <row r="227" spans="1:8" outlineLevel="1" x14ac:dyDescent="0.2">
      <c r="A227" s="84"/>
      <c r="B227" s="86">
        <v>226</v>
      </c>
      <c r="C227" s="87"/>
      <c r="D227" s="87"/>
      <c r="E227" s="87"/>
      <c r="F227" s="87"/>
      <c r="G227" s="87"/>
      <c r="H227" s="87"/>
    </row>
    <row r="228" spans="1:8" outlineLevel="1" x14ac:dyDescent="0.2">
      <c r="A228" s="84"/>
      <c r="B228" s="86">
        <v>227</v>
      </c>
      <c r="C228" s="87"/>
      <c r="D228" s="87"/>
      <c r="E228" s="87"/>
      <c r="F228" s="87"/>
      <c r="G228" s="87"/>
      <c r="H228" s="87"/>
    </row>
    <row r="229" spans="1:8" outlineLevel="1" x14ac:dyDescent="0.2">
      <c r="A229" s="84"/>
      <c r="B229" s="86">
        <v>228</v>
      </c>
      <c r="C229" s="87"/>
      <c r="D229" s="87"/>
      <c r="E229" s="87"/>
      <c r="F229" s="87"/>
      <c r="G229" s="87"/>
      <c r="H229" s="87"/>
    </row>
    <row r="230" spans="1:8" outlineLevel="1" x14ac:dyDescent="0.2">
      <c r="A230" s="84"/>
      <c r="B230" s="86">
        <v>229</v>
      </c>
      <c r="C230" s="87"/>
      <c r="D230" s="87"/>
      <c r="E230" s="87"/>
      <c r="F230" s="87"/>
      <c r="G230" s="87"/>
      <c r="H230" s="87"/>
    </row>
    <row r="231" spans="1:8" outlineLevel="1" x14ac:dyDescent="0.2">
      <c r="A231" s="84"/>
      <c r="B231" s="86">
        <v>230</v>
      </c>
      <c r="C231" s="87"/>
      <c r="D231" s="87"/>
      <c r="E231" s="87"/>
      <c r="F231" s="87"/>
      <c r="G231" s="87"/>
      <c r="H231" s="87"/>
    </row>
    <row r="232" spans="1:8" outlineLevel="1" x14ac:dyDescent="0.2">
      <c r="A232" s="84"/>
      <c r="B232" s="86">
        <v>231</v>
      </c>
      <c r="C232" s="22"/>
      <c r="D232" s="22"/>
      <c r="E232" s="22"/>
      <c r="F232" s="22"/>
      <c r="G232" s="22"/>
      <c r="H232" s="22"/>
    </row>
    <row r="233" spans="1:8" outlineLevel="1" x14ac:dyDescent="0.2">
      <c r="A233" s="84"/>
      <c r="B233" s="86">
        <v>232</v>
      </c>
      <c r="C233" s="22"/>
      <c r="D233" s="22"/>
      <c r="E233" s="22"/>
      <c r="F233" s="22"/>
      <c r="G233" s="22"/>
      <c r="H233" s="22"/>
    </row>
    <row r="234" spans="1:8" outlineLevel="1" x14ac:dyDescent="0.2">
      <c r="A234" s="84"/>
      <c r="B234" s="86">
        <v>233</v>
      </c>
      <c r="C234" s="22"/>
      <c r="D234" s="22"/>
      <c r="E234" s="22"/>
      <c r="F234" s="22"/>
      <c r="G234" s="22"/>
      <c r="H234" s="22"/>
    </row>
    <row r="235" spans="1:8" outlineLevel="1" x14ac:dyDescent="0.2">
      <c r="A235" s="84"/>
      <c r="B235" s="86">
        <v>234</v>
      </c>
      <c r="C235" s="22"/>
      <c r="D235" s="22"/>
      <c r="E235" s="22"/>
      <c r="F235" s="22"/>
      <c r="G235" s="22"/>
      <c r="H235" s="22"/>
    </row>
    <row r="236" spans="1:8" outlineLevel="1" x14ac:dyDescent="0.2">
      <c r="A236" s="84"/>
      <c r="B236" s="86">
        <v>235</v>
      </c>
      <c r="C236" s="22"/>
      <c r="D236" s="22"/>
      <c r="E236" s="22"/>
      <c r="F236" s="22"/>
      <c r="G236" s="22"/>
      <c r="H236" s="22"/>
    </row>
    <row r="237" spans="1:8" outlineLevel="1" x14ac:dyDescent="0.2">
      <c r="A237" s="84"/>
      <c r="B237" s="86">
        <v>236</v>
      </c>
      <c r="C237" s="22"/>
      <c r="D237" s="22"/>
      <c r="E237" s="22"/>
      <c r="F237" s="22"/>
      <c r="G237" s="22"/>
      <c r="H237" s="22"/>
    </row>
    <row r="238" spans="1:8" outlineLevel="1" x14ac:dyDescent="0.2">
      <c r="A238" s="84"/>
      <c r="B238" s="86">
        <v>237</v>
      </c>
      <c r="C238" s="22"/>
      <c r="D238" s="22"/>
      <c r="E238" s="22"/>
      <c r="F238" s="22"/>
      <c r="G238" s="22"/>
      <c r="H238" s="22"/>
    </row>
    <row r="239" spans="1:8" outlineLevel="1" x14ac:dyDescent="0.2">
      <c r="A239" s="84"/>
      <c r="B239" s="86">
        <v>238</v>
      </c>
      <c r="C239" s="22"/>
      <c r="D239" s="22"/>
      <c r="E239" s="22"/>
      <c r="F239" s="22"/>
      <c r="G239" s="22"/>
      <c r="H239" s="22"/>
    </row>
    <row r="240" spans="1:8" outlineLevel="1" x14ac:dyDescent="0.2">
      <c r="A240" s="84"/>
      <c r="B240" s="86">
        <v>239</v>
      </c>
      <c r="C240" s="22"/>
      <c r="D240" s="22"/>
      <c r="E240" s="22"/>
      <c r="F240" s="22"/>
      <c r="G240" s="22"/>
      <c r="H240" s="22"/>
    </row>
    <row r="241" spans="1:8" outlineLevel="1" x14ac:dyDescent="0.2">
      <c r="A241" s="84"/>
      <c r="B241" s="86">
        <v>240</v>
      </c>
      <c r="C241" s="22" t="s">
        <v>4606</v>
      </c>
      <c r="D241" s="22" t="s">
        <v>4606</v>
      </c>
      <c r="E241" s="22" t="s">
        <v>4606</v>
      </c>
      <c r="F241" s="22"/>
      <c r="G241" s="22"/>
      <c r="H241" s="22"/>
    </row>
    <row r="242" spans="1:8" ht="140.25" outlineLevel="1" x14ac:dyDescent="0.2">
      <c r="A242" s="84"/>
      <c r="B242" s="86">
        <v>241</v>
      </c>
      <c r="C242" s="22" t="s">
        <v>4698</v>
      </c>
      <c r="D242" s="22" t="s">
        <v>4697</v>
      </c>
      <c r="E242" s="22" t="s">
        <v>4699</v>
      </c>
      <c r="F242" s="22"/>
      <c r="G242" s="22"/>
      <c r="H242" s="22"/>
    </row>
    <row r="243" spans="1:8" outlineLevel="1" x14ac:dyDescent="0.2">
      <c r="A243" s="84"/>
      <c r="B243" s="86">
        <v>242</v>
      </c>
      <c r="C243" s="22"/>
      <c r="D243" s="22"/>
      <c r="E243" s="22"/>
      <c r="F243" s="22"/>
      <c r="G243" s="22"/>
      <c r="H243" s="22"/>
    </row>
    <row r="244" spans="1:8" outlineLevel="1" x14ac:dyDescent="0.2">
      <c r="A244" s="84"/>
      <c r="B244" s="86">
        <v>243</v>
      </c>
      <c r="C244" s="22"/>
      <c r="D244" s="22"/>
      <c r="E244" s="22"/>
      <c r="F244" s="22"/>
      <c r="G244" s="22"/>
      <c r="H244" s="22"/>
    </row>
    <row r="245" spans="1:8" outlineLevel="1" x14ac:dyDescent="0.2">
      <c r="A245" s="84"/>
      <c r="B245" s="86">
        <v>244</v>
      </c>
      <c r="C245" s="22"/>
      <c r="D245" s="22"/>
      <c r="E245" s="22"/>
      <c r="F245" s="22"/>
      <c r="G245" s="22"/>
      <c r="H245" s="22"/>
    </row>
    <row r="246" spans="1:8" outlineLevel="1" x14ac:dyDescent="0.2">
      <c r="A246" s="84"/>
      <c r="B246" s="86">
        <v>245</v>
      </c>
      <c r="C246" s="22"/>
      <c r="D246" s="22"/>
      <c r="E246" s="22"/>
      <c r="F246" s="22"/>
      <c r="G246" s="22"/>
      <c r="H246" s="22"/>
    </row>
    <row r="247" spans="1:8" outlineLevel="1" x14ac:dyDescent="0.2">
      <c r="A247" s="84"/>
      <c r="B247" s="86">
        <v>246</v>
      </c>
      <c r="C247" s="22"/>
      <c r="D247" s="22"/>
      <c r="E247" s="22"/>
      <c r="F247" s="22"/>
      <c r="G247" s="22"/>
      <c r="H247" s="22"/>
    </row>
    <row r="248" spans="1:8" outlineLevel="1" x14ac:dyDescent="0.2">
      <c r="A248" s="84"/>
      <c r="B248" s="86">
        <v>247</v>
      </c>
      <c r="C248" s="22"/>
      <c r="D248" s="22"/>
      <c r="E248" s="22"/>
      <c r="F248" s="22"/>
      <c r="G248" s="22"/>
      <c r="H248" s="22"/>
    </row>
    <row r="249" spans="1:8" outlineLevel="1" x14ac:dyDescent="0.2">
      <c r="A249" s="84"/>
      <c r="B249" s="86">
        <v>248</v>
      </c>
      <c r="C249" s="22"/>
      <c r="D249" s="22"/>
      <c r="E249" s="22"/>
      <c r="F249" s="22"/>
      <c r="G249" s="22"/>
      <c r="H249" s="22"/>
    </row>
    <row r="250" spans="1:8" outlineLevel="1" x14ac:dyDescent="0.2">
      <c r="A250" s="84"/>
      <c r="B250" s="86">
        <v>249</v>
      </c>
      <c r="C250" s="22"/>
      <c r="D250" s="22"/>
      <c r="E250" s="22"/>
      <c r="F250" s="22"/>
      <c r="G250" s="22"/>
      <c r="H250" s="22"/>
    </row>
    <row r="251" spans="1:8" outlineLevel="1" x14ac:dyDescent="0.2">
      <c r="A251" s="84"/>
      <c r="B251" s="86">
        <v>250</v>
      </c>
      <c r="C251" s="22"/>
      <c r="D251" s="22"/>
      <c r="E251" s="22"/>
      <c r="F251" s="22"/>
      <c r="G251" s="22"/>
      <c r="H251" s="22"/>
    </row>
    <row r="252" spans="1:8" x14ac:dyDescent="0.2">
      <c r="A252" s="92" t="s">
        <v>4701</v>
      </c>
      <c r="B252" s="85">
        <v>251</v>
      </c>
      <c r="C252" s="22"/>
      <c r="D252" s="22"/>
      <c r="E252" s="22"/>
      <c r="F252" s="22"/>
      <c r="G252" s="22"/>
      <c r="H252" s="22"/>
    </row>
    <row r="253" spans="1:8" x14ac:dyDescent="0.2">
      <c r="B253" s="85">
        <v>252</v>
      </c>
      <c r="C253" s="22"/>
      <c r="D253" s="22"/>
      <c r="E253" s="22"/>
      <c r="F253" s="22"/>
      <c r="G253" s="22"/>
      <c r="H253" s="22"/>
    </row>
    <row r="254" spans="1:8" x14ac:dyDescent="0.2">
      <c r="B254" s="85">
        <v>253</v>
      </c>
      <c r="C254" s="22"/>
      <c r="D254" s="22"/>
      <c r="E254" s="22"/>
      <c r="F254" s="22"/>
      <c r="G254" s="22"/>
      <c r="H254" s="22"/>
    </row>
    <row r="255" spans="1:8" x14ac:dyDescent="0.2">
      <c r="B255" s="85">
        <v>254</v>
      </c>
      <c r="C255" s="22"/>
      <c r="D255" s="22"/>
      <c r="E255" s="22"/>
      <c r="F255" s="22"/>
      <c r="G255" s="22"/>
      <c r="H255" s="22"/>
    </row>
    <row r="256" spans="1:8" x14ac:dyDescent="0.2">
      <c r="B256" s="85">
        <v>255</v>
      </c>
      <c r="C256" s="22"/>
      <c r="D256" s="22"/>
      <c r="E256" s="22"/>
      <c r="F256" s="22"/>
      <c r="G256" s="22"/>
      <c r="H256" s="22"/>
    </row>
    <row r="257" spans="2:8" x14ac:dyDescent="0.2">
      <c r="B257" s="85">
        <v>256</v>
      </c>
      <c r="C257" s="22"/>
      <c r="D257" s="22"/>
      <c r="E257" s="22"/>
      <c r="F257" s="22"/>
      <c r="G257" s="22"/>
      <c r="H257" s="22"/>
    </row>
    <row r="258" spans="2:8" x14ac:dyDescent="0.2">
      <c r="B258" s="85">
        <v>257</v>
      </c>
      <c r="C258" s="22"/>
      <c r="D258" s="22"/>
      <c r="E258" s="22"/>
      <c r="F258" s="22"/>
      <c r="G258" s="22"/>
      <c r="H258" s="22"/>
    </row>
    <row r="259" spans="2:8" x14ac:dyDescent="0.2">
      <c r="B259" s="85">
        <v>258</v>
      </c>
      <c r="C259" s="22"/>
      <c r="D259" s="22"/>
      <c r="E259" s="22"/>
      <c r="F259" s="22"/>
      <c r="G259" s="22"/>
      <c r="H259" s="22"/>
    </row>
    <row r="260" spans="2:8" x14ac:dyDescent="0.2">
      <c r="B260" s="85">
        <v>259</v>
      </c>
      <c r="C260" s="22"/>
      <c r="D260" s="22"/>
      <c r="E260" s="22"/>
      <c r="F260" s="22"/>
      <c r="G260" s="22"/>
      <c r="H260" s="22"/>
    </row>
    <row r="261" spans="2:8" x14ac:dyDescent="0.2">
      <c r="B261" s="85">
        <v>260</v>
      </c>
      <c r="C261" s="22"/>
      <c r="D261" s="22"/>
      <c r="E261" s="22"/>
      <c r="F261" s="22"/>
      <c r="G261" s="22"/>
      <c r="H261" s="22"/>
    </row>
    <row r="262" spans="2:8" x14ac:dyDescent="0.2">
      <c r="B262" s="85">
        <v>261</v>
      </c>
      <c r="C262" s="22"/>
      <c r="D262" s="22"/>
      <c r="E262" s="22"/>
      <c r="F262" s="22"/>
      <c r="G262" s="22"/>
      <c r="H262" s="22"/>
    </row>
    <row r="263" spans="2:8" x14ac:dyDescent="0.2">
      <c r="B263" s="85">
        <v>262</v>
      </c>
      <c r="C263" s="22"/>
      <c r="D263" s="22"/>
      <c r="E263" s="22"/>
      <c r="F263" s="22"/>
      <c r="G263" s="22"/>
      <c r="H263" s="22"/>
    </row>
    <row r="264" spans="2:8" x14ac:dyDescent="0.2">
      <c r="B264" s="85">
        <v>263</v>
      </c>
      <c r="C264" s="22"/>
      <c r="D264" s="22"/>
      <c r="E264" s="22"/>
      <c r="F264" s="22"/>
      <c r="G264" s="22"/>
      <c r="H264" s="22"/>
    </row>
    <row r="265" spans="2:8" x14ac:dyDescent="0.2">
      <c r="B265" s="85">
        <v>264</v>
      </c>
      <c r="C265" s="22"/>
      <c r="D265" s="22"/>
      <c r="E265" s="22"/>
      <c r="F265" s="22"/>
      <c r="G265" s="22"/>
      <c r="H265" s="22"/>
    </row>
    <row r="266" spans="2:8" x14ac:dyDescent="0.2">
      <c r="B266" s="85">
        <v>265</v>
      </c>
      <c r="C266" s="22"/>
      <c r="D266" s="22"/>
      <c r="E266" s="22"/>
      <c r="F266" s="22"/>
      <c r="G266" s="22"/>
      <c r="H266" s="22"/>
    </row>
    <row r="267" spans="2:8" x14ac:dyDescent="0.2">
      <c r="B267" s="85">
        <v>266</v>
      </c>
      <c r="C267" s="22"/>
      <c r="D267" s="22"/>
      <c r="E267" s="22"/>
      <c r="F267" s="22"/>
      <c r="G267" s="22"/>
      <c r="H267" s="22"/>
    </row>
    <row r="268" spans="2:8" x14ac:dyDescent="0.2">
      <c r="B268" s="85">
        <v>267</v>
      </c>
      <c r="C268" s="22"/>
      <c r="D268" s="22"/>
      <c r="E268" s="22"/>
      <c r="F268" s="22"/>
      <c r="G268" s="22"/>
      <c r="H268" s="22"/>
    </row>
    <row r="269" spans="2:8" x14ac:dyDescent="0.2">
      <c r="B269" s="85">
        <v>268</v>
      </c>
      <c r="C269" s="22"/>
      <c r="D269" s="22"/>
      <c r="E269" s="22"/>
      <c r="F269" s="22"/>
      <c r="G269" s="22"/>
      <c r="H269" s="22"/>
    </row>
    <row r="270" spans="2:8" x14ac:dyDescent="0.2">
      <c r="B270" s="85">
        <v>269</v>
      </c>
      <c r="C270" s="22"/>
      <c r="D270" s="22"/>
      <c r="E270" s="22"/>
      <c r="F270" s="22"/>
      <c r="G270" s="22"/>
      <c r="H270" s="22"/>
    </row>
    <row r="271" spans="2:8" x14ac:dyDescent="0.2">
      <c r="B271" s="85">
        <v>270</v>
      </c>
      <c r="C271" s="22"/>
      <c r="D271" s="22"/>
      <c r="E271" s="22"/>
      <c r="F271" s="22"/>
      <c r="G271" s="22"/>
      <c r="H271" s="22"/>
    </row>
    <row r="272" spans="2:8" x14ac:dyDescent="0.2">
      <c r="B272" s="85">
        <v>271</v>
      </c>
      <c r="C272" s="22"/>
      <c r="D272" s="22"/>
      <c r="E272" s="22"/>
      <c r="F272" s="22"/>
      <c r="G272" s="22"/>
      <c r="H272" s="22"/>
    </row>
    <row r="273" spans="2:8" x14ac:dyDescent="0.2">
      <c r="B273" s="85">
        <v>272</v>
      </c>
      <c r="C273" s="22"/>
      <c r="D273" s="22"/>
      <c r="E273" s="22"/>
      <c r="F273" s="22"/>
      <c r="G273" s="22"/>
      <c r="H273" s="22"/>
    </row>
    <row r="274" spans="2:8" x14ac:dyDescent="0.2">
      <c r="B274" s="85">
        <v>273</v>
      </c>
      <c r="C274" s="22"/>
      <c r="D274" s="22"/>
      <c r="E274" s="22"/>
      <c r="F274" s="22"/>
      <c r="G274" s="22"/>
      <c r="H274" s="22"/>
    </row>
    <row r="275" spans="2:8" x14ac:dyDescent="0.2">
      <c r="B275" s="85">
        <v>274</v>
      </c>
      <c r="C275" s="22"/>
      <c r="D275" s="22"/>
      <c r="E275" s="22"/>
      <c r="F275" s="22"/>
      <c r="G275" s="22"/>
      <c r="H275" s="22"/>
    </row>
    <row r="276" spans="2:8" x14ac:dyDescent="0.2">
      <c r="B276" s="85">
        <v>275</v>
      </c>
      <c r="C276" s="22"/>
      <c r="D276" s="22"/>
      <c r="E276" s="22"/>
      <c r="F276" s="22"/>
      <c r="G276" s="22"/>
      <c r="H276" s="22"/>
    </row>
    <row r="277" spans="2:8" x14ac:dyDescent="0.2">
      <c r="B277" s="85">
        <v>276</v>
      </c>
      <c r="C277" s="22"/>
      <c r="D277" s="22"/>
      <c r="E277" s="22"/>
      <c r="F277" s="22"/>
      <c r="G277" s="22"/>
      <c r="H277" s="22"/>
    </row>
    <row r="278" spans="2:8" x14ac:dyDescent="0.2">
      <c r="B278" s="85">
        <v>277</v>
      </c>
      <c r="C278" s="22"/>
      <c r="D278" s="22"/>
      <c r="E278" s="22"/>
      <c r="F278" s="22"/>
      <c r="G278" s="22"/>
      <c r="H278" s="22"/>
    </row>
    <row r="279" spans="2:8" x14ac:dyDescent="0.2">
      <c r="B279" s="85">
        <v>278</v>
      </c>
      <c r="C279" s="22"/>
      <c r="D279" s="22"/>
      <c r="E279" s="22"/>
      <c r="F279" s="22"/>
      <c r="G279" s="22"/>
      <c r="H279" s="22"/>
    </row>
    <row r="280" spans="2:8" x14ac:dyDescent="0.2">
      <c r="B280" s="85">
        <v>279</v>
      </c>
      <c r="C280" s="22"/>
      <c r="D280" s="22"/>
      <c r="E280" s="22"/>
      <c r="F280" s="22"/>
      <c r="G280" s="22"/>
      <c r="H280" s="22"/>
    </row>
    <row r="281" spans="2:8" x14ac:dyDescent="0.2">
      <c r="B281" s="85">
        <v>280</v>
      </c>
      <c r="C281" s="22"/>
      <c r="D281" s="22"/>
      <c r="E281" s="22"/>
      <c r="F281" s="22"/>
      <c r="G281" s="22"/>
      <c r="H281" s="22"/>
    </row>
    <row r="282" spans="2:8" x14ac:dyDescent="0.2">
      <c r="B282" s="85">
        <v>281</v>
      </c>
      <c r="C282" s="22"/>
      <c r="D282" s="22"/>
      <c r="E282" s="22"/>
      <c r="F282" s="22"/>
      <c r="G282" s="22"/>
      <c r="H282" s="22"/>
    </row>
    <row r="283" spans="2:8" x14ac:dyDescent="0.2">
      <c r="B283" s="85">
        <v>282</v>
      </c>
      <c r="C283" s="22"/>
      <c r="D283" s="22"/>
      <c r="E283" s="22"/>
      <c r="F283" s="22"/>
      <c r="G283" s="22"/>
      <c r="H283" s="22"/>
    </row>
    <row r="284" spans="2:8" x14ac:dyDescent="0.2">
      <c r="B284" s="85">
        <v>283</v>
      </c>
      <c r="C284" s="22"/>
      <c r="D284" s="22"/>
      <c r="E284" s="22"/>
      <c r="F284" s="22"/>
      <c r="G284" s="22"/>
      <c r="H284" s="22"/>
    </row>
    <row r="285" spans="2:8" x14ac:dyDescent="0.2">
      <c r="B285" s="85">
        <v>284</v>
      </c>
      <c r="C285" s="22"/>
      <c r="D285" s="22"/>
      <c r="E285" s="22"/>
      <c r="F285" s="22"/>
      <c r="G285" s="22"/>
      <c r="H285" s="22"/>
    </row>
    <row r="286" spans="2:8" x14ac:dyDescent="0.2">
      <c r="B286" s="85">
        <v>285</v>
      </c>
      <c r="C286" s="22"/>
      <c r="D286" s="22"/>
      <c r="E286" s="22"/>
      <c r="F286" s="22"/>
      <c r="G286" s="22"/>
      <c r="H286" s="22"/>
    </row>
    <row r="287" spans="2:8" x14ac:dyDescent="0.2">
      <c r="B287" s="85">
        <v>286</v>
      </c>
      <c r="C287" s="22"/>
      <c r="D287" s="22"/>
      <c r="E287" s="22"/>
      <c r="F287" s="22"/>
      <c r="G287" s="22"/>
      <c r="H287" s="22"/>
    </row>
    <row r="288" spans="2:8" x14ac:dyDescent="0.2">
      <c r="B288" s="85">
        <v>287</v>
      </c>
      <c r="C288" s="22"/>
      <c r="D288" s="22"/>
      <c r="E288" s="22"/>
      <c r="F288" s="22"/>
      <c r="G288" s="22"/>
      <c r="H288" s="22"/>
    </row>
    <row r="289" spans="2:8" x14ac:dyDescent="0.2">
      <c r="B289" s="85">
        <v>288</v>
      </c>
      <c r="C289" s="22"/>
      <c r="D289" s="22"/>
      <c r="E289" s="22"/>
      <c r="F289" s="22"/>
      <c r="G289" s="22"/>
      <c r="H289" s="22"/>
    </row>
    <row r="290" spans="2:8" x14ac:dyDescent="0.2">
      <c r="B290" s="85">
        <v>289</v>
      </c>
      <c r="C290" s="22"/>
      <c r="D290" s="22"/>
      <c r="E290" s="22"/>
      <c r="F290" s="22"/>
      <c r="G290" s="22"/>
      <c r="H290" s="22"/>
    </row>
    <row r="291" spans="2:8" x14ac:dyDescent="0.2">
      <c r="B291" s="85">
        <v>290</v>
      </c>
      <c r="C291" s="22"/>
      <c r="D291" s="22"/>
      <c r="E291" s="22"/>
      <c r="F291" s="22"/>
      <c r="G291" s="22"/>
      <c r="H291" s="22"/>
    </row>
    <row r="292" spans="2:8" x14ac:dyDescent="0.2">
      <c r="B292" s="85">
        <v>291</v>
      </c>
      <c r="C292" s="22"/>
      <c r="D292" s="22"/>
      <c r="E292" s="22"/>
      <c r="F292" s="22"/>
      <c r="G292" s="22"/>
      <c r="H292" s="22"/>
    </row>
    <row r="293" spans="2:8" x14ac:dyDescent="0.2">
      <c r="B293" s="85">
        <v>292</v>
      </c>
      <c r="C293" s="22"/>
      <c r="D293" s="22"/>
      <c r="E293" s="22"/>
      <c r="F293" s="22"/>
      <c r="G293" s="22"/>
      <c r="H293" s="22"/>
    </row>
    <row r="294" spans="2:8" x14ac:dyDescent="0.2">
      <c r="B294" s="85">
        <v>293</v>
      </c>
      <c r="C294" s="22"/>
      <c r="D294" s="22"/>
      <c r="E294" s="22"/>
      <c r="F294" s="22"/>
      <c r="G294" s="22"/>
      <c r="H294" s="22"/>
    </row>
    <row r="295" spans="2:8" x14ac:dyDescent="0.2">
      <c r="B295" s="85">
        <v>294</v>
      </c>
      <c r="C295" s="22"/>
      <c r="D295" s="22"/>
      <c r="E295" s="22"/>
      <c r="F295" s="22"/>
      <c r="G295" s="22"/>
      <c r="H295" s="22"/>
    </row>
    <row r="296" spans="2:8" x14ac:dyDescent="0.2">
      <c r="B296" s="85">
        <v>295</v>
      </c>
      <c r="C296" s="22"/>
      <c r="D296" s="22"/>
      <c r="E296" s="22"/>
      <c r="F296" s="22"/>
      <c r="G296" s="22"/>
      <c r="H296" s="22"/>
    </row>
    <row r="297" spans="2:8" x14ac:dyDescent="0.2">
      <c r="B297" s="85">
        <v>296</v>
      </c>
      <c r="C297" s="22"/>
      <c r="D297" s="22"/>
      <c r="E297" s="22"/>
      <c r="F297" s="22"/>
      <c r="G297" s="22"/>
      <c r="H297" s="22"/>
    </row>
    <row r="298" spans="2:8" x14ac:dyDescent="0.2">
      <c r="B298" s="85">
        <v>297</v>
      </c>
      <c r="C298" s="22"/>
      <c r="D298" s="22"/>
      <c r="E298" s="22"/>
      <c r="F298" s="22"/>
      <c r="G298" s="22"/>
      <c r="H298" s="22"/>
    </row>
    <row r="299" spans="2:8" x14ac:dyDescent="0.2">
      <c r="B299" s="85">
        <v>298</v>
      </c>
      <c r="C299" s="22"/>
      <c r="D299" s="22"/>
      <c r="E299" s="22"/>
      <c r="F299" s="22"/>
      <c r="G299" s="22"/>
      <c r="H299" s="22"/>
    </row>
    <row r="300" spans="2:8" x14ac:dyDescent="0.2">
      <c r="B300" s="85">
        <v>299</v>
      </c>
      <c r="C300" s="22"/>
      <c r="D300" s="22"/>
      <c r="E300" s="22"/>
      <c r="F300" s="22"/>
      <c r="G300" s="22"/>
      <c r="H300" s="22"/>
    </row>
    <row r="301" spans="2:8" x14ac:dyDescent="0.2">
      <c r="B301" s="85">
        <v>300</v>
      </c>
      <c r="C301" s="22"/>
      <c r="D301" s="22"/>
      <c r="E301" s="22"/>
      <c r="F301" s="22"/>
      <c r="G301" s="22"/>
      <c r="H301" s="22"/>
    </row>
    <row r="302" spans="2:8" x14ac:dyDescent="0.2">
      <c r="B302" s="85">
        <v>301</v>
      </c>
      <c r="C302" s="22"/>
      <c r="D302" s="22"/>
      <c r="E302" s="22"/>
      <c r="F302" s="22"/>
      <c r="G302" s="22"/>
      <c r="H302" s="22"/>
    </row>
    <row r="303" spans="2:8" x14ac:dyDescent="0.2">
      <c r="B303" s="85">
        <v>302</v>
      </c>
      <c r="C303" s="22"/>
      <c r="D303" s="22"/>
      <c r="E303" s="22"/>
      <c r="F303" s="22"/>
      <c r="G303" s="22"/>
      <c r="H303" s="22"/>
    </row>
    <row r="304" spans="2:8" x14ac:dyDescent="0.2">
      <c r="B304" s="85">
        <v>303</v>
      </c>
      <c r="C304" s="22"/>
      <c r="D304" s="22"/>
      <c r="E304" s="22"/>
      <c r="F304" s="22"/>
      <c r="G304" s="22"/>
      <c r="H304" s="22"/>
    </row>
    <row r="305" spans="2:8" x14ac:dyDescent="0.2">
      <c r="B305" s="85">
        <v>304</v>
      </c>
      <c r="C305" s="22"/>
      <c r="D305" s="22"/>
      <c r="E305" s="22"/>
      <c r="F305" s="22"/>
      <c r="G305" s="22"/>
      <c r="H305" s="22"/>
    </row>
    <row r="306" spans="2:8" x14ac:dyDescent="0.2">
      <c r="B306" s="85">
        <v>305</v>
      </c>
      <c r="C306" s="22"/>
      <c r="D306" s="22"/>
      <c r="E306" s="22"/>
      <c r="F306" s="22"/>
      <c r="G306" s="22"/>
      <c r="H306" s="22"/>
    </row>
    <row r="307" spans="2:8" x14ac:dyDescent="0.2">
      <c r="B307" s="85">
        <v>306</v>
      </c>
      <c r="C307" s="22"/>
      <c r="D307" s="22"/>
      <c r="E307" s="22"/>
      <c r="F307" s="22"/>
      <c r="G307" s="22"/>
      <c r="H307" s="22"/>
    </row>
    <row r="308" spans="2:8" x14ac:dyDescent="0.2">
      <c r="B308" s="85">
        <v>307</v>
      </c>
      <c r="C308" s="22"/>
      <c r="D308" s="22"/>
      <c r="E308" s="22"/>
      <c r="F308" s="22"/>
      <c r="G308" s="22"/>
      <c r="H308" s="22"/>
    </row>
    <row r="309" spans="2:8" x14ac:dyDescent="0.2">
      <c r="B309" s="85">
        <v>308</v>
      </c>
      <c r="C309" s="22"/>
      <c r="D309" s="22"/>
      <c r="E309" s="22"/>
      <c r="F309" s="22"/>
      <c r="G309" s="22"/>
      <c r="H309" s="22"/>
    </row>
    <row r="310" spans="2:8" x14ac:dyDescent="0.2">
      <c r="B310" s="85">
        <v>309</v>
      </c>
      <c r="C310" s="22"/>
      <c r="D310" s="22"/>
      <c r="E310" s="22"/>
      <c r="F310" s="22"/>
      <c r="G310" s="22"/>
      <c r="H310" s="22"/>
    </row>
    <row r="311" spans="2:8" x14ac:dyDescent="0.2">
      <c r="B311" s="85">
        <v>310</v>
      </c>
      <c r="C311" s="22"/>
      <c r="D311" s="22"/>
      <c r="E311" s="22"/>
      <c r="F311" s="22"/>
      <c r="G311" s="22"/>
      <c r="H311" s="22"/>
    </row>
    <row r="312" spans="2:8" x14ac:dyDescent="0.2">
      <c r="B312" s="85">
        <v>311</v>
      </c>
      <c r="C312" s="22"/>
      <c r="D312" s="22"/>
      <c r="E312" s="22"/>
      <c r="F312" s="22"/>
      <c r="G312" s="22"/>
      <c r="H312" s="22"/>
    </row>
    <row r="313" spans="2:8" x14ac:dyDescent="0.2">
      <c r="B313" s="85">
        <v>312</v>
      </c>
      <c r="C313" s="22"/>
      <c r="D313" s="22"/>
      <c r="E313" s="22"/>
      <c r="F313" s="22"/>
      <c r="G313" s="22"/>
      <c r="H313" s="22"/>
    </row>
    <row r="314" spans="2:8" x14ac:dyDescent="0.2">
      <c r="B314" s="85">
        <v>313</v>
      </c>
      <c r="C314" s="22"/>
      <c r="D314" s="22"/>
      <c r="E314" s="22"/>
      <c r="F314" s="22"/>
      <c r="G314" s="22"/>
      <c r="H314" s="22"/>
    </row>
    <row r="315" spans="2:8" x14ac:dyDescent="0.2">
      <c r="B315" s="85">
        <v>314</v>
      </c>
      <c r="C315" s="22"/>
      <c r="D315" s="22"/>
      <c r="E315" s="22"/>
      <c r="F315" s="22"/>
      <c r="G315" s="22"/>
      <c r="H315" s="22"/>
    </row>
    <row r="316" spans="2:8" x14ac:dyDescent="0.2">
      <c r="B316" s="85">
        <v>315</v>
      </c>
      <c r="C316" s="22"/>
      <c r="D316" s="22"/>
      <c r="E316" s="22"/>
      <c r="F316" s="22"/>
      <c r="G316" s="22"/>
      <c r="H316" s="22"/>
    </row>
    <row r="317" spans="2:8" x14ac:dyDescent="0.2">
      <c r="B317" s="85">
        <v>316</v>
      </c>
      <c r="C317" s="22"/>
      <c r="D317" s="22"/>
      <c r="E317" s="22"/>
      <c r="F317" s="22"/>
      <c r="G317" s="22"/>
      <c r="H317" s="22"/>
    </row>
    <row r="318" spans="2:8" x14ac:dyDescent="0.2">
      <c r="B318" s="85">
        <v>317</v>
      </c>
      <c r="C318" s="22"/>
      <c r="D318" s="22"/>
      <c r="E318" s="22"/>
      <c r="F318" s="22"/>
      <c r="G318" s="22"/>
      <c r="H318" s="22"/>
    </row>
    <row r="319" spans="2:8" x14ac:dyDescent="0.2">
      <c r="B319" s="85">
        <v>318</v>
      </c>
      <c r="C319" s="22"/>
      <c r="D319" s="22"/>
      <c r="E319" s="22"/>
      <c r="F319" s="22"/>
      <c r="G319" s="22"/>
      <c r="H319" s="22"/>
    </row>
    <row r="320" spans="2:8" x14ac:dyDescent="0.2">
      <c r="B320" s="85">
        <v>319</v>
      </c>
      <c r="C320" s="22"/>
      <c r="D320" s="22"/>
      <c r="E320" s="22"/>
      <c r="F320" s="22"/>
      <c r="G320" s="22"/>
      <c r="H320" s="22"/>
    </row>
    <row r="321" spans="2:8" x14ac:dyDescent="0.2">
      <c r="B321" s="85">
        <v>320</v>
      </c>
      <c r="C321" s="22"/>
      <c r="D321" s="22"/>
      <c r="E321" s="22"/>
      <c r="F321" s="22"/>
      <c r="G321" s="22"/>
      <c r="H321" s="22"/>
    </row>
    <row r="322" spans="2:8" x14ac:dyDescent="0.2">
      <c r="B322" s="85">
        <v>321</v>
      </c>
      <c r="C322" s="22"/>
      <c r="D322" s="22"/>
      <c r="E322" s="22"/>
      <c r="F322" s="22"/>
      <c r="G322" s="22"/>
      <c r="H322" s="22"/>
    </row>
    <row r="323" spans="2:8" x14ac:dyDescent="0.2">
      <c r="B323" s="85">
        <v>322</v>
      </c>
      <c r="C323" s="22"/>
      <c r="D323" s="22"/>
      <c r="E323" s="22"/>
      <c r="F323" s="22"/>
      <c r="G323" s="22"/>
      <c r="H323" s="22"/>
    </row>
    <row r="324" spans="2:8" x14ac:dyDescent="0.2">
      <c r="B324" s="85">
        <v>323</v>
      </c>
      <c r="C324" s="22"/>
      <c r="D324" s="22"/>
      <c r="E324" s="22"/>
      <c r="F324" s="22"/>
      <c r="G324" s="22"/>
      <c r="H324" s="22"/>
    </row>
    <row r="325" spans="2:8" x14ac:dyDescent="0.2">
      <c r="B325" s="85">
        <v>324</v>
      </c>
      <c r="C325" s="22"/>
      <c r="D325" s="22"/>
      <c r="E325" s="22"/>
      <c r="F325" s="22"/>
      <c r="G325" s="22"/>
      <c r="H325" s="22"/>
    </row>
    <row r="326" spans="2:8" x14ac:dyDescent="0.2">
      <c r="B326" s="85">
        <v>325</v>
      </c>
      <c r="C326" s="22"/>
      <c r="D326" s="22"/>
      <c r="E326" s="22"/>
      <c r="F326" s="22"/>
      <c r="G326" s="22"/>
      <c r="H326" s="22"/>
    </row>
    <row r="327" spans="2:8" x14ac:dyDescent="0.2">
      <c r="B327" s="85">
        <v>326</v>
      </c>
      <c r="C327" s="22"/>
      <c r="D327" s="22"/>
      <c r="E327" s="22"/>
      <c r="F327" s="22"/>
      <c r="G327" s="22"/>
      <c r="H327" s="22"/>
    </row>
    <row r="328" spans="2:8" x14ac:dyDescent="0.2">
      <c r="B328" s="85">
        <v>327</v>
      </c>
      <c r="C328" s="22"/>
      <c r="D328" s="22"/>
      <c r="E328" s="22"/>
      <c r="F328" s="22"/>
      <c r="G328" s="22"/>
      <c r="H328" s="22"/>
    </row>
    <row r="329" spans="2:8" x14ac:dyDescent="0.2">
      <c r="B329" s="85">
        <v>328</v>
      </c>
      <c r="C329" s="22"/>
      <c r="D329" s="22"/>
      <c r="E329" s="22"/>
      <c r="F329" s="22"/>
      <c r="G329" s="22"/>
      <c r="H329" s="22"/>
    </row>
    <row r="330" spans="2:8" x14ac:dyDescent="0.2">
      <c r="B330" s="85">
        <v>329</v>
      </c>
      <c r="C330" s="22"/>
      <c r="D330" s="22"/>
      <c r="E330" s="22"/>
      <c r="F330" s="22"/>
      <c r="G330" s="22"/>
      <c r="H330" s="22"/>
    </row>
    <row r="331" spans="2:8" x14ac:dyDescent="0.2">
      <c r="B331" s="85">
        <v>330</v>
      </c>
      <c r="C331" s="22"/>
      <c r="D331" s="22"/>
      <c r="E331" s="22"/>
      <c r="F331" s="22"/>
      <c r="G331" s="22"/>
      <c r="H331" s="22"/>
    </row>
    <row r="332" spans="2:8" x14ac:dyDescent="0.2">
      <c r="B332" s="85">
        <v>331</v>
      </c>
      <c r="C332" s="22"/>
      <c r="D332" s="22"/>
      <c r="E332" s="22"/>
      <c r="F332" s="22"/>
      <c r="G332" s="22"/>
      <c r="H332" s="22"/>
    </row>
    <row r="333" spans="2:8" x14ac:dyDescent="0.2">
      <c r="B333" s="85">
        <v>332</v>
      </c>
      <c r="C333" s="22"/>
      <c r="D333" s="22"/>
      <c r="E333" s="22"/>
      <c r="F333" s="22"/>
      <c r="G333" s="22"/>
      <c r="H333" s="22"/>
    </row>
    <row r="334" spans="2:8" x14ac:dyDescent="0.2">
      <c r="B334" s="85">
        <v>333</v>
      </c>
      <c r="C334" s="22"/>
      <c r="D334" s="22"/>
      <c r="E334" s="22"/>
      <c r="F334" s="22"/>
      <c r="G334" s="22"/>
      <c r="H334" s="22"/>
    </row>
    <row r="335" spans="2:8" x14ac:dyDescent="0.2">
      <c r="B335" s="85">
        <v>334</v>
      </c>
      <c r="C335" s="22"/>
      <c r="D335" s="22"/>
      <c r="E335" s="22"/>
      <c r="F335" s="22"/>
      <c r="G335" s="22"/>
      <c r="H335" s="22"/>
    </row>
    <row r="336" spans="2:8" x14ac:dyDescent="0.2">
      <c r="B336" s="85">
        <v>335</v>
      </c>
      <c r="C336" s="22"/>
      <c r="D336" s="22"/>
      <c r="E336" s="22"/>
      <c r="F336" s="22"/>
      <c r="G336" s="22"/>
      <c r="H336" s="22"/>
    </row>
    <row r="337" spans="2:8" x14ac:dyDescent="0.2">
      <c r="B337" s="85">
        <v>336</v>
      </c>
      <c r="C337" s="22"/>
      <c r="D337" s="22"/>
      <c r="E337" s="22"/>
      <c r="F337" s="22"/>
      <c r="G337" s="22"/>
      <c r="H337" s="22"/>
    </row>
    <row r="338" spans="2:8" x14ac:dyDescent="0.2">
      <c r="B338" s="85">
        <v>337</v>
      </c>
      <c r="C338" s="22"/>
      <c r="D338" s="22"/>
      <c r="E338" s="22"/>
      <c r="F338" s="22"/>
      <c r="G338" s="22"/>
      <c r="H338" s="22"/>
    </row>
    <row r="339" spans="2:8" x14ac:dyDescent="0.2">
      <c r="B339" s="85">
        <v>338</v>
      </c>
      <c r="C339" s="22"/>
      <c r="D339" s="22"/>
      <c r="E339" s="22"/>
      <c r="F339" s="22"/>
      <c r="G339" s="22"/>
      <c r="H339" s="22"/>
    </row>
    <row r="340" spans="2:8" x14ac:dyDescent="0.2">
      <c r="B340" s="85">
        <v>339</v>
      </c>
      <c r="C340" s="22"/>
      <c r="D340" s="22"/>
      <c r="E340" s="22"/>
      <c r="F340" s="22"/>
      <c r="G340" s="22"/>
      <c r="H340" s="22"/>
    </row>
    <row r="341" spans="2:8" x14ac:dyDescent="0.2">
      <c r="B341" s="85">
        <v>340</v>
      </c>
      <c r="C341" s="22"/>
      <c r="D341" s="22"/>
      <c r="E341" s="22"/>
      <c r="F341" s="22"/>
      <c r="G341" s="22"/>
      <c r="H341" s="22"/>
    </row>
    <row r="342" spans="2:8" x14ac:dyDescent="0.2">
      <c r="B342" s="85">
        <v>341</v>
      </c>
      <c r="C342" s="22"/>
      <c r="D342" s="22"/>
      <c r="E342" s="22"/>
      <c r="F342" s="22"/>
      <c r="G342" s="22"/>
      <c r="H342" s="22"/>
    </row>
    <row r="343" spans="2:8" x14ac:dyDescent="0.2">
      <c r="B343" s="85">
        <v>342</v>
      </c>
      <c r="C343" s="22"/>
      <c r="D343" s="22"/>
      <c r="E343" s="22"/>
      <c r="F343" s="22"/>
      <c r="G343" s="22"/>
      <c r="H343" s="22"/>
    </row>
    <row r="344" spans="2:8" x14ac:dyDescent="0.2">
      <c r="B344" s="85">
        <v>343</v>
      </c>
      <c r="C344" s="22"/>
      <c r="D344" s="22"/>
      <c r="E344" s="22"/>
      <c r="F344" s="22"/>
      <c r="G344" s="22"/>
      <c r="H344" s="22"/>
    </row>
    <row r="345" spans="2:8" x14ac:dyDescent="0.2">
      <c r="B345" s="85">
        <v>344</v>
      </c>
      <c r="C345" s="22"/>
      <c r="D345" s="22"/>
      <c r="E345" s="22"/>
      <c r="F345" s="22"/>
      <c r="G345" s="22"/>
      <c r="H345" s="22"/>
    </row>
    <row r="346" spans="2:8" x14ac:dyDescent="0.2">
      <c r="B346" s="85">
        <v>345</v>
      </c>
      <c r="C346" s="22"/>
      <c r="D346" s="22"/>
      <c r="E346" s="22"/>
      <c r="F346" s="22"/>
      <c r="G346" s="22"/>
      <c r="H346" s="22"/>
    </row>
    <row r="347" spans="2:8" x14ac:dyDescent="0.2">
      <c r="B347" s="85">
        <v>346</v>
      </c>
      <c r="C347" s="22"/>
      <c r="D347" s="22"/>
      <c r="E347" s="22"/>
      <c r="F347" s="22"/>
      <c r="G347" s="22"/>
      <c r="H347" s="22"/>
    </row>
    <row r="348" spans="2:8" x14ac:dyDescent="0.2">
      <c r="B348" s="85">
        <v>347</v>
      </c>
      <c r="C348" s="22"/>
      <c r="D348" s="22"/>
      <c r="E348" s="22"/>
      <c r="F348" s="22"/>
      <c r="G348" s="22"/>
      <c r="H348" s="22"/>
    </row>
    <row r="349" spans="2:8" x14ac:dyDescent="0.2">
      <c r="B349" s="85">
        <v>348</v>
      </c>
      <c r="C349" s="22"/>
      <c r="D349" s="22"/>
      <c r="E349" s="22"/>
      <c r="F349" s="22"/>
      <c r="G349" s="22"/>
      <c r="H349" s="22"/>
    </row>
    <row r="350" spans="2:8" x14ac:dyDescent="0.2">
      <c r="B350" s="85">
        <v>349</v>
      </c>
      <c r="C350" s="22"/>
      <c r="D350" s="22"/>
      <c r="E350" s="22"/>
      <c r="F350" s="22"/>
      <c r="G350" s="22"/>
      <c r="H350" s="22"/>
    </row>
    <row r="351" spans="2:8" x14ac:dyDescent="0.2">
      <c r="B351" s="85">
        <v>350</v>
      </c>
      <c r="C351" s="22"/>
      <c r="D351" s="22"/>
      <c r="E351" s="22"/>
      <c r="F351" s="22"/>
      <c r="G351" s="22"/>
      <c r="H351" s="22"/>
    </row>
    <row r="352" spans="2:8" x14ac:dyDescent="0.2">
      <c r="B352" s="85">
        <v>351</v>
      </c>
      <c r="C352" s="22"/>
      <c r="D352" s="22"/>
      <c r="E352" s="22"/>
      <c r="F352" s="22"/>
      <c r="G352" s="22"/>
      <c r="H352" s="22"/>
    </row>
    <row r="353" spans="2:8" x14ac:dyDescent="0.2">
      <c r="B353" s="85">
        <v>352</v>
      </c>
      <c r="C353" s="22"/>
      <c r="D353" s="22"/>
      <c r="E353" s="22"/>
      <c r="F353" s="22"/>
      <c r="G353" s="22"/>
      <c r="H353" s="22"/>
    </row>
    <row r="354" spans="2:8" x14ac:dyDescent="0.2">
      <c r="B354" s="85">
        <v>353</v>
      </c>
      <c r="C354" s="22"/>
      <c r="D354" s="22"/>
      <c r="E354" s="22"/>
      <c r="F354" s="22"/>
      <c r="G354" s="22"/>
      <c r="H354" s="22"/>
    </row>
    <row r="355" spans="2:8" x14ac:dyDescent="0.2">
      <c r="B355" s="85">
        <v>354</v>
      </c>
      <c r="C355" s="22"/>
      <c r="D355" s="22"/>
      <c r="E355" s="22"/>
      <c r="F355" s="22"/>
      <c r="G355" s="22"/>
      <c r="H355" s="22"/>
    </row>
    <row r="356" spans="2:8" x14ac:dyDescent="0.2">
      <c r="B356" s="85">
        <v>355</v>
      </c>
      <c r="C356" s="22"/>
      <c r="D356" s="22"/>
      <c r="E356" s="22"/>
      <c r="F356" s="22"/>
      <c r="G356" s="22"/>
      <c r="H356" s="22"/>
    </row>
    <row r="357" spans="2:8" x14ac:dyDescent="0.2">
      <c r="B357" s="85">
        <v>356</v>
      </c>
      <c r="C357" s="22"/>
      <c r="D357" s="22"/>
      <c r="E357" s="22"/>
      <c r="F357" s="22"/>
      <c r="G357" s="22"/>
      <c r="H357" s="22"/>
    </row>
    <row r="358" spans="2:8" x14ac:dyDescent="0.2">
      <c r="B358" s="85">
        <v>357</v>
      </c>
      <c r="C358" s="22"/>
      <c r="D358" s="22"/>
      <c r="E358" s="22"/>
      <c r="F358" s="22"/>
      <c r="G358" s="22"/>
      <c r="H358" s="22"/>
    </row>
    <row r="359" spans="2:8" x14ac:dyDescent="0.2">
      <c r="B359" s="85">
        <v>358</v>
      </c>
      <c r="C359" s="22"/>
      <c r="D359" s="22"/>
      <c r="E359" s="22"/>
      <c r="F359" s="22"/>
      <c r="G359" s="22"/>
      <c r="H359" s="22"/>
    </row>
    <row r="360" spans="2:8" x14ac:dyDescent="0.2">
      <c r="B360" s="85">
        <v>359</v>
      </c>
      <c r="C360" s="22"/>
      <c r="D360" s="22"/>
      <c r="E360" s="22"/>
      <c r="F360" s="22"/>
      <c r="G360" s="22"/>
      <c r="H360" s="22"/>
    </row>
    <row r="361" spans="2:8" x14ac:dyDescent="0.2">
      <c r="B361" s="85">
        <v>360</v>
      </c>
      <c r="C361" s="22"/>
      <c r="D361" s="22"/>
      <c r="E361" s="22"/>
      <c r="F361" s="22"/>
      <c r="G361" s="22"/>
      <c r="H361" s="22"/>
    </row>
    <row r="362" spans="2:8" x14ac:dyDescent="0.2">
      <c r="B362" s="85">
        <v>361</v>
      </c>
      <c r="C362" s="22"/>
      <c r="D362" s="22"/>
      <c r="E362" s="22"/>
      <c r="F362" s="22"/>
      <c r="G362" s="22"/>
      <c r="H362" s="22"/>
    </row>
    <row r="363" spans="2:8" x14ac:dyDescent="0.2">
      <c r="B363" s="85">
        <v>362</v>
      </c>
      <c r="C363" s="22"/>
      <c r="D363" s="22"/>
      <c r="E363" s="22"/>
      <c r="F363" s="22"/>
      <c r="G363" s="22"/>
      <c r="H363" s="22"/>
    </row>
    <row r="364" spans="2:8" x14ac:dyDescent="0.2">
      <c r="B364" s="85">
        <v>363</v>
      </c>
      <c r="C364" s="22"/>
      <c r="D364" s="22"/>
      <c r="E364" s="22"/>
      <c r="F364" s="22"/>
      <c r="G364" s="22"/>
      <c r="H364" s="22"/>
    </row>
    <row r="365" spans="2:8" x14ac:dyDescent="0.2">
      <c r="B365" s="85">
        <v>364</v>
      </c>
      <c r="C365" s="22"/>
      <c r="D365" s="22"/>
      <c r="E365" s="22"/>
      <c r="F365" s="22"/>
      <c r="G365" s="22"/>
      <c r="H365" s="22"/>
    </row>
    <row r="366" spans="2:8" x14ac:dyDescent="0.2">
      <c r="B366" s="85">
        <v>365</v>
      </c>
      <c r="C366" s="22"/>
      <c r="D366" s="22"/>
      <c r="E366" s="22"/>
      <c r="F366" s="22"/>
      <c r="G366" s="22"/>
      <c r="H366" s="22"/>
    </row>
    <row r="367" spans="2:8" x14ac:dyDescent="0.2">
      <c r="B367" s="85">
        <v>366</v>
      </c>
      <c r="C367" s="22"/>
      <c r="D367" s="22"/>
      <c r="E367" s="22"/>
      <c r="F367" s="22"/>
      <c r="G367" s="22"/>
      <c r="H367" s="22"/>
    </row>
    <row r="368" spans="2:8" x14ac:dyDescent="0.2">
      <c r="B368" s="85">
        <v>367</v>
      </c>
      <c r="C368" s="22"/>
      <c r="D368" s="22"/>
      <c r="E368" s="22"/>
      <c r="F368" s="22"/>
      <c r="G368" s="22"/>
      <c r="H368" s="22"/>
    </row>
    <row r="369" spans="2:8" x14ac:dyDescent="0.2">
      <c r="B369" s="85">
        <v>368</v>
      </c>
      <c r="C369" s="22"/>
      <c r="D369" s="22"/>
      <c r="E369" s="22"/>
      <c r="F369" s="22"/>
      <c r="G369" s="22"/>
      <c r="H369" s="22"/>
    </row>
    <row r="370" spans="2:8" x14ac:dyDescent="0.2">
      <c r="B370" s="85">
        <v>369</v>
      </c>
      <c r="C370" s="22"/>
      <c r="D370" s="22"/>
      <c r="E370" s="22"/>
      <c r="F370" s="22"/>
      <c r="G370" s="22"/>
      <c r="H370" s="22"/>
    </row>
    <row r="371" spans="2:8" x14ac:dyDescent="0.2">
      <c r="B371" s="85">
        <v>370</v>
      </c>
      <c r="C371" s="22"/>
      <c r="D371" s="22"/>
      <c r="E371" s="22"/>
      <c r="F371" s="22"/>
      <c r="G371" s="22"/>
      <c r="H371" s="22"/>
    </row>
    <row r="372" spans="2:8" x14ac:dyDescent="0.2">
      <c r="B372" s="85">
        <v>371</v>
      </c>
      <c r="C372" s="22"/>
      <c r="D372" s="22"/>
      <c r="E372" s="22"/>
      <c r="F372" s="22"/>
      <c r="G372" s="22"/>
      <c r="H372" s="22"/>
    </row>
    <row r="373" spans="2:8" x14ac:dyDescent="0.2">
      <c r="B373" s="85">
        <v>372</v>
      </c>
      <c r="C373" s="22"/>
      <c r="D373" s="22"/>
      <c r="E373" s="22"/>
      <c r="F373" s="22"/>
      <c r="G373" s="22"/>
      <c r="H373" s="22"/>
    </row>
    <row r="374" spans="2:8" x14ac:dyDescent="0.2">
      <c r="B374" s="85">
        <v>373</v>
      </c>
      <c r="C374" s="22"/>
      <c r="D374" s="22"/>
      <c r="E374" s="22"/>
      <c r="F374" s="22"/>
      <c r="G374" s="22"/>
      <c r="H374" s="22"/>
    </row>
    <row r="375" spans="2:8" x14ac:dyDescent="0.2">
      <c r="B375" s="85">
        <v>374</v>
      </c>
      <c r="C375" s="22"/>
      <c r="D375" s="22"/>
      <c r="E375" s="22"/>
      <c r="F375" s="22"/>
      <c r="G375" s="22"/>
      <c r="H375" s="22"/>
    </row>
    <row r="376" spans="2:8" x14ac:dyDescent="0.2">
      <c r="B376" s="85">
        <v>375</v>
      </c>
      <c r="C376" s="22"/>
      <c r="D376" s="22"/>
      <c r="E376" s="22"/>
      <c r="F376" s="22"/>
      <c r="G376" s="22"/>
      <c r="H376" s="22"/>
    </row>
    <row r="377" spans="2:8" x14ac:dyDescent="0.2">
      <c r="B377" s="85">
        <v>376</v>
      </c>
      <c r="C377" s="22"/>
      <c r="D377" s="22"/>
      <c r="E377" s="22"/>
      <c r="F377" s="22"/>
      <c r="G377" s="22"/>
      <c r="H377" s="22"/>
    </row>
    <row r="378" spans="2:8" x14ac:dyDescent="0.2">
      <c r="B378" s="85">
        <v>377</v>
      </c>
      <c r="C378" s="22"/>
      <c r="D378" s="22"/>
      <c r="E378" s="22"/>
      <c r="F378" s="22"/>
      <c r="G378" s="22"/>
      <c r="H378" s="22"/>
    </row>
    <row r="379" spans="2:8" x14ac:dyDescent="0.2">
      <c r="B379" s="85">
        <v>378</v>
      </c>
      <c r="C379" s="22"/>
      <c r="D379" s="22"/>
      <c r="E379" s="22"/>
      <c r="F379" s="22"/>
      <c r="G379" s="22"/>
      <c r="H379" s="22"/>
    </row>
    <row r="380" spans="2:8" x14ac:dyDescent="0.2">
      <c r="B380" s="85">
        <v>379</v>
      </c>
      <c r="C380" s="22"/>
      <c r="D380" s="22"/>
      <c r="E380" s="22"/>
      <c r="F380" s="22"/>
      <c r="G380" s="22"/>
      <c r="H380" s="22"/>
    </row>
    <row r="381" spans="2:8" x14ac:dyDescent="0.2">
      <c r="B381" s="85">
        <v>380</v>
      </c>
      <c r="C381" s="22"/>
      <c r="D381" s="22"/>
      <c r="E381" s="22"/>
      <c r="F381" s="22"/>
      <c r="G381" s="22"/>
      <c r="H381" s="22"/>
    </row>
    <row r="382" spans="2:8" x14ac:dyDescent="0.2">
      <c r="B382" s="85">
        <v>381</v>
      </c>
      <c r="C382" s="22"/>
      <c r="D382" s="22"/>
      <c r="E382" s="22"/>
      <c r="F382" s="22"/>
      <c r="G382" s="22"/>
      <c r="H382" s="22"/>
    </row>
    <row r="383" spans="2:8" x14ac:dyDescent="0.2">
      <c r="B383" s="85">
        <v>382</v>
      </c>
      <c r="C383" s="22"/>
      <c r="D383" s="22"/>
      <c r="E383" s="22"/>
      <c r="F383" s="22"/>
      <c r="G383" s="22"/>
      <c r="H383" s="22"/>
    </row>
    <row r="384" spans="2:8" x14ac:dyDescent="0.2">
      <c r="B384" s="85">
        <v>383</v>
      </c>
      <c r="C384" s="22"/>
      <c r="D384" s="22"/>
      <c r="E384" s="22"/>
      <c r="F384" s="22"/>
      <c r="G384" s="22"/>
      <c r="H384" s="22"/>
    </row>
    <row r="385" spans="2:8" x14ac:dyDescent="0.2">
      <c r="B385" s="85">
        <v>384</v>
      </c>
      <c r="C385" s="22"/>
      <c r="D385" s="22"/>
      <c r="E385" s="22"/>
      <c r="F385" s="22"/>
      <c r="G385" s="22"/>
      <c r="H385" s="22"/>
    </row>
    <row r="386" spans="2:8" x14ac:dyDescent="0.2">
      <c r="B386" s="85">
        <v>385</v>
      </c>
      <c r="C386" s="22"/>
      <c r="D386" s="22"/>
      <c r="E386" s="22"/>
      <c r="F386" s="22"/>
      <c r="G386" s="22"/>
      <c r="H386" s="22"/>
    </row>
    <row r="387" spans="2:8" x14ac:dyDescent="0.2">
      <c r="B387" s="85">
        <v>386</v>
      </c>
      <c r="C387" s="22"/>
      <c r="D387" s="22"/>
      <c r="E387" s="22"/>
      <c r="F387" s="22"/>
      <c r="G387" s="22"/>
      <c r="H387" s="22"/>
    </row>
    <row r="388" spans="2:8" x14ac:dyDescent="0.2">
      <c r="B388" s="85">
        <v>387</v>
      </c>
      <c r="C388" s="22"/>
      <c r="D388" s="22"/>
      <c r="E388" s="22"/>
      <c r="F388" s="22"/>
      <c r="G388" s="22"/>
      <c r="H388" s="22"/>
    </row>
    <row r="389" spans="2:8" x14ac:dyDescent="0.2">
      <c r="B389" s="85">
        <v>388</v>
      </c>
      <c r="C389" s="22"/>
      <c r="D389" s="22"/>
      <c r="E389" s="22"/>
      <c r="F389" s="22"/>
      <c r="G389" s="22"/>
      <c r="H389" s="22"/>
    </row>
    <row r="390" spans="2:8" x14ac:dyDescent="0.2">
      <c r="B390" s="85">
        <v>389</v>
      </c>
      <c r="C390" s="22"/>
      <c r="D390" s="22"/>
      <c r="E390" s="22"/>
      <c r="F390" s="22"/>
      <c r="G390" s="22"/>
      <c r="H390" s="22"/>
    </row>
    <row r="391" spans="2:8" x14ac:dyDescent="0.2">
      <c r="B391" s="85">
        <v>390</v>
      </c>
      <c r="C391" s="22"/>
      <c r="D391" s="22"/>
      <c r="E391" s="22"/>
      <c r="F391" s="22"/>
      <c r="G391" s="22"/>
      <c r="H391" s="22"/>
    </row>
    <row r="392" spans="2:8" x14ac:dyDescent="0.2">
      <c r="B392" s="85">
        <v>391</v>
      </c>
      <c r="C392" s="22"/>
      <c r="D392" s="22"/>
      <c r="E392" s="22"/>
      <c r="F392" s="22"/>
      <c r="G392" s="22"/>
      <c r="H392" s="22"/>
    </row>
    <row r="393" spans="2:8" x14ac:dyDescent="0.2">
      <c r="B393" s="85">
        <v>392</v>
      </c>
      <c r="C393" s="22"/>
      <c r="D393" s="22"/>
      <c r="E393" s="22"/>
      <c r="F393" s="22"/>
      <c r="G393" s="22"/>
      <c r="H393" s="22"/>
    </row>
    <row r="394" spans="2:8" x14ac:dyDescent="0.2">
      <c r="B394" s="85">
        <v>393</v>
      </c>
      <c r="C394" s="22"/>
      <c r="D394" s="22"/>
      <c r="E394" s="22"/>
      <c r="F394" s="22"/>
      <c r="G394" s="22"/>
      <c r="H394" s="22"/>
    </row>
    <row r="395" spans="2:8" x14ac:dyDescent="0.2">
      <c r="B395" s="85">
        <v>394</v>
      </c>
      <c r="C395" s="22"/>
      <c r="D395" s="22"/>
      <c r="E395" s="22"/>
      <c r="F395" s="22"/>
      <c r="G395" s="22"/>
      <c r="H395" s="22"/>
    </row>
    <row r="396" spans="2:8" x14ac:dyDescent="0.2">
      <c r="B396" s="85">
        <v>395</v>
      </c>
      <c r="C396" s="22"/>
      <c r="D396" s="22"/>
      <c r="E396" s="22"/>
      <c r="F396" s="22"/>
      <c r="G396" s="22"/>
      <c r="H396" s="22"/>
    </row>
    <row r="397" spans="2:8" x14ac:dyDescent="0.2">
      <c r="B397" s="85">
        <v>396</v>
      </c>
      <c r="C397" s="22"/>
      <c r="D397" s="22"/>
      <c r="E397" s="22"/>
      <c r="F397" s="22"/>
      <c r="G397" s="22"/>
      <c r="H397" s="22"/>
    </row>
    <row r="398" spans="2:8" x14ac:dyDescent="0.2">
      <c r="B398" s="85">
        <v>397</v>
      </c>
      <c r="C398" s="22"/>
      <c r="D398" s="22"/>
      <c r="E398" s="22"/>
      <c r="F398" s="22"/>
      <c r="G398" s="22"/>
      <c r="H398" s="22"/>
    </row>
    <row r="399" spans="2:8" x14ac:dyDescent="0.2">
      <c r="B399" s="85">
        <v>398</v>
      </c>
      <c r="C399" s="22"/>
      <c r="D399" s="22"/>
      <c r="E399" s="22"/>
      <c r="F399" s="22"/>
      <c r="G399" s="22"/>
      <c r="H399" s="22"/>
    </row>
    <row r="400" spans="2:8" x14ac:dyDescent="0.2">
      <c r="B400" s="85">
        <v>399</v>
      </c>
      <c r="C400" s="22"/>
      <c r="D400" s="22"/>
      <c r="E400" s="22"/>
      <c r="F400" s="22"/>
      <c r="G400" s="22"/>
      <c r="H400" s="22"/>
    </row>
    <row r="401" spans="2:8" x14ac:dyDescent="0.2">
      <c r="B401" s="85">
        <v>400</v>
      </c>
      <c r="C401" s="22"/>
      <c r="D401" s="22"/>
      <c r="E401" s="22"/>
      <c r="F401" s="22"/>
      <c r="G401" s="22"/>
      <c r="H401" s="22"/>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274FF-E7D3-43E2-B9DD-778689F8E262}">
  <dimension ref="A1:N4128"/>
  <sheetViews>
    <sheetView topLeftCell="A3899" workbookViewId="0">
      <selection activeCell="E4122" sqref="E4122"/>
    </sheetView>
  </sheetViews>
  <sheetFormatPr baseColWidth="10" defaultColWidth="11.42578125" defaultRowHeight="12.75" x14ac:dyDescent="0.2"/>
  <cols>
    <col min="1" max="1" width="13.28515625" style="2" customWidth="1"/>
    <col min="2" max="3" width="25.7109375" style="2" customWidth="1"/>
    <col min="4" max="4" width="13.28515625" style="2" customWidth="1"/>
    <col min="5" max="5" width="26.5703125" style="2" bestFit="1" customWidth="1"/>
    <col min="6" max="8" width="5.7109375" style="2" customWidth="1"/>
    <col min="9" max="9" width="11.42578125" style="2"/>
    <col min="10" max="10" width="13.85546875" style="2" bestFit="1" customWidth="1"/>
    <col min="11" max="11" width="5.7109375" style="2" customWidth="1"/>
    <col min="12" max="12" width="11.42578125" style="2"/>
    <col min="13" max="13" width="15.7109375" style="2" bestFit="1" customWidth="1"/>
    <col min="14" max="16384" width="11.42578125" style="2"/>
  </cols>
  <sheetData>
    <row r="1" spans="1:14" x14ac:dyDescent="0.2">
      <c r="A1" s="1" t="s">
        <v>0</v>
      </c>
      <c r="B1" s="1" t="s">
        <v>3</v>
      </c>
      <c r="C1" s="1" t="s">
        <v>4</v>
      </c>
      <c r="D1" s="1" t="s">
        <v>5</v>
      </c>
      <c r="E1" s="1" t="s">
        <v>4464</v>
      </c>
      <c r="I1" s="20" t="s">
        <v>4537</v>
      </c>
      <c r="J1" s="20" t="s">
        <v>4538</v>
      </c>
      <c r="L1" s="1" t="s">
        <v>4596</v>
      </c>
      <c r="M1" s="1" t="s">
        <v>4595</v>
      </c>
      <c r="N1" s="1"/>
    </row>
    <row r="2" spans="1:14" x14ac:dyDescent="0.2">
      <c r="A2" s="3">
        <v>8914</v>
      </c>
      <c r="B2" s="3" t="s">
        <v>6</v>
      </c>
      <c r="C2" s="3" t="s">
        <v>6</v>
      </c>
      <c r="D2" s="3" t="s">
        <v>7</v>
      </c>
      <c r="E2" s="3" t="str" cm="1">
        <f t="array" ref="E2:E2147">_xlfn.UNIQUE(C2:C4112)</f>
        <v>Aeugst am Albis</v>
      </c>
      <c r="I2" s="19">
        <v>1000</v>
      </c>
      <c r="J2" s="19" t="s">
        <v>4539</v>
      </c>
      <c r="L2" s="3" t="s">
        <v>4544</v>
      </c>
      <c r="M2" s="3" t="s">
        <v>532</v>
      </c>
      <c r="N2" s="21">
        <v>6.1380821917808221</v>
      </c>
    </row>
    <row r="3" spans="1:14" x14ac:dyDescent="0.2">
      <c r="A3" s="3">
        <v>8914</v>
      </c>
      <c r="B3" s="3" t="s">
        <v>8</v>
      </c>
      <c r="C3" s="3" t="s">
        <v>6</v>
      </c>
      <c r="D3" s="3" t="s">
        <v>7</v>
      </c>
      <c r="E3" s="3" t="str">
        <v>Affoltern am Albis</v>
      </c>
      <c r="I3" s="19">
        <v>1003</v>
      </c>
      <c r="J3" s="19" t="s">
        <v>4539</v>
      </c>
      <c r="L3" s="3" t="s">
        <v>4545</v>
      </c>
      <c r="M3" s="3" t="s">
        <v>3357</v>
      </c>
      <c r="N3" s="21">
        <v>10.096438356164384</v>
      </c>
    </row>
    <row r="4" spans="1:14" x14ac:dyDescent="0.2">
      <c r="A4" s="3">
        <v>8909</v>
      </c>
      <c r="B4" s="3" t="s">
        <v>9</v>
      </c>
      <c r="C4" s="3" t="s">
        <v>10</v>
      </c>
      <c r="D4" s="3" t="s">
        <v>7</v>
      </c>
      <c r="E4" s="3" t="str">
        <v>Bonstetten</v>
      </c>
      <c r="I4" s="19">
        <v>1004</v>
      </c>
      <c r="J4" s="19" t="s">
        <v>4539</v>
      </c>
      <c r="L4" s="3" t="s">
        <v>4562</v>
      </c>
      <c r="M4" s="3" t="s">
        <v>4580</v>
      </c>
      <c r="N4" s="21">
        <v>9.9652054794520541</v>
      </c>
    </row>
    <row r="5" spans="1:14" x14ac:dyDescent="0.2">
      <c r="A5" s="3">
        <v>8910</v>
      </c>
      <c r="B5" s="3" t="s">
        <v>10</v>
      </c>
      <c r="C5" s="3" t="s">
        <v>10</v>
      </c>
      <c r="D5" s="3" t="s">
        <v>7</v>
      </c>
      <c r="E5" s="3" t="str">
        <v>Hausen am Albis</v>
      </c>
      <c r="I5" s="19">
        <v>1005</v>
      </c>
      <c r="J5" s="19" t="s">
        <v>4539</v>
      </c>
      <c r="L5" s="3" t="s">
        <v>4552</v>
      </c>
      <c r="M5" s="3" t="s">
        <v>4581</v>
      </c>
      <c r="N5" s="21">
        <v>10.506027397260274</v>
      </c>
    </row>
    <row r="6" spans="1:14" x14ac:dyDescent="0.2">
      <c r="A6" s="3">
        <v>8906</v>
      </c>
      <c r="B6" s="3" t="s">
        <v>11</v>
      </c>
      <c r="C6" s="3" t="s">
        <v>11</v>
      </c>
      <c r="D6" s="3" t="s">
        <v>7</v>
      </c>
      <c r="E6" s="3" t="str">
        <v>Hedingen</v>
      </c>
      <c r="I6" s="19">
        <v>1006</v>
      </c>
      <c r="J6" s="19" t="s">
        <v>4539</v>
      </c>
      <c r="L6" s="3" t="s">
        <v>4546</v>
      </c>
      <c r="M6" s="3" t="s">
        <v>4582</v>
      </c>
      <c r="N6" s="21">
        <v>9.1572602739726019</v>
      </c>
    </row>
    <row r="7" spans="1:14" x14ac:dyDescent="0.2">
      <c r="A7" s="3">
        <v>8915</v>
      </c>
      <c r="B7" s="3" t="s">
        <v>12</v>
      </c>
      <c r="C7" s="3" t="s">
        <v>12</v>
      </c>
      <c r="D7" s="3" t="s">
        <v>7</v>
      </c>
      <c r="E7" s="3" t="str">
        <v>Kappel am Albis</v>
      </c>
      <c r="I7" s="19">
        <v>1007</v>
      </c>
      <c r="J7" s="19" t="s">
        <v>4539</v>
      </c>
      <c r="L7" s="3" t="s">
        <v>4558</v>
      </c>
      <c r="M7" s="3" t="s">
        <v>4583</v>
      </c>
      <c r="N7" s="21">
        <v>9.7084931506849319</v>
      </c>
    </row>
    <row r="8" spans="1:14" x14ac:dyDescent="0.2">
      <c r="A8" s="3">
        <v>8925</v>
      </c>
      <c r="B8" s="3" t="s">
        <v>13</v>
      </c>
      <c r="C8" s="3" t="s">
        <v>12</v>
      </c>
      <c r="D8" s="3" t="s">
        <v>7</v>
      </c>
      <c r="E8" s="3" t="str">
        <v>Knonau</v>
      </c>
      <c r="I8" s="19">
        <v>1008</v>
      </c>
      <c r="J8" s="19" t="s">
        <v>4539</v>
      </c>
      <c r="L8" s="3" t="s">
        <v>4568</v>
      </c>
      <c r="M8" s="3" t="s">
        <v>2435</v>
      </c>
      <c r="N8" s="21">
        <v>9.6657534246575345</v>
      </c>
    </row>
    <row r="9" spans="1:14" x14ac:dyDescent="0.2">
      <c r="A9" s="3">
        <v>8908</v>
      </c>
      <c r="B9" s="3" t="s">
        <v>14</v>
      </c>
      <c r="C9" s="3" t="s">
        <v>14</v>
      </c>
      <c r="D9" s="3" t="s">
        <v>7</v>
      </c>
      <c r="E9" s="3" t="str">
        <v>Maschwanden</v>
      </c>
      <c r="I9" s="19">
        <v>1009</v>
      </c>
      <c r="J9" s="19" t="s">
        <v>4539</v>
      </c>
      <c r="L9" s="3" t="s">
        <v>4569</v>
      </c>
      <c r="M9" s="3" t="s">
        <v>2410</v>
      </c>
      <c r="N9" s="21">
        <v>3.6249315068493142</v>
      </c>
    </row>
    <row r="10" spans="1:14" x14ac:dyDescent="0.2">
      <c r="A10" s="3">
        <v>8926</v>
      </c>
      <c r="B10" s="3" t="s">
        <v>15</v>
      </c>
      <c r="C10" s="3" t="s">
        <v>15</v>
      </c>
      <c r="D10" s="3" t="s">
        <v>7</v>
      </c>
      <c r="E10" s="3" t="str">
        <v>Mettmenstetten</v>
      </c>
      <c r="I10" s="19">
        <v>1010</v>
      </c>
      <c r="J10" s="19" t="s">
        <v>4539</v>
      </c>
      <c r="L10" s="3" t="s">
        <v>4566</v>
      </c>
      <c r="M10" s="3" t="s">
        <v>4584</v>
      </c>
      <c r="N10" s="21">
        <v>6.7490410958904112</v>
      </c>
    </row>
    <row r="11" spans="1:14" x14ac:dyDescent="0.2">
      <c r="A11" s="3">
        <v>8926</v>
      </c>
      <c r="B11" s="3" t="s">
        <v>16</v>
      </c>
      <c r="C11" s="3" t="s">
        <v>15</v>
      </c>
      <c r="D11" s="3" t="s">
        <v>7</v>
      </c>
      <c r="E11" s="3" t="str">
        <v>Obfelden</v>
      </c>
      <c r="I11" s="19">
        <v>1011</v>
      </c>
      <c r="J11" s="19" t="s">
        <v>4539</v>
      </c>
      <c r="L11" s="3" t="s">
        <v>4561</v>
      </c>
      <c r="M11" s="3" t="s">
        <v>1186</v>
      </c>
      <c r="N11" s="21">
        <v>6.4224657534246585</v>
      </c>
    </row>
    <row r="12" spans="1:14" x14ac:dyDescent="0.2">
      <c r="A12" s="3">
        <v>8926</v>
      </c>
      <c r="B12" s="3" t="s">
        <v>17</v>
      </c>
      <c r="C12" s="3" t="s">
        <v>15</v>
      </c>
      <c r="D12" s="3" t="s">
        <v>7</v>
      </c>
      <c r="E12" s="3" t="str">
        <v>Ottenbach</v>
      </c>
      <c r="I12" s="19">
        <v>1012</v>
      </c>
      <c r="J12" s="19" t="s">
        <v>4539</v>
      </c>
      <c r="L12" s="3" t="s">
        <v>4541</v>
      </c>
      <c r="M12" s="3" t="s">
        <v>4585</v>
      </c>
      <c r="N12" s="21">
        <v>10.715890410958904</v>
      </c>
    </row>
    <row r="13" spans="1:14" x14ac:dyDescent="0.2">
      <c r="A13" s="3">
        <v>8934</v>
      </c>
      <c r="B13" s="3" t="s">
        <v>18</v>
      </c>
      <c r="C13" s="3" t="s">
        <v>18</v>
      </c>
      <c r="D13" s="3" t="s">
        <v>7</v>
      </c>
      <c r="E13" s="3" t="str">
        <v>Rifferswil</v>
      </c>
      <c r="I13" s="19">
        <v>1015</v>
      </c>
      <c r="J13" s="19" t="s">
        <v>4539</v>
      </c>
      <c r="L13" s="3" t="s">
        <v>4571</v>
      </c>
      <c r="M13" s="3" t="s">
        <v>1252</v>
      </c>
      <c r="N13" s="21">
        <v>8.8164383561643831</v>
      </c>
    </row>
    <row r="14" spans="1:14" x14ac:dyDescent="0.2">
      <c r="A14" s="3">
        <v>8933</v>
      </c>
      <c r="B14" s="3" t="s">
        <v>19</v>
      </c>
      <c r="C14" s="3" t="s">
        <v>19</v>
      </c>
      <c r="D14" s="3" t="s">
        <v>7</v>
      </c>
      <c r="E14" s="3" t="str">
        <v>Stallikon</v>
      </c>
      <c r="I14" s="19">
        <v>1018</v>
      </c>
      <c r="J14" s="19" t="s">
        <v>4539</v>
      </c>
      <c r="L14" s="3" t="s">
        <v>4587</v>
      </c>
      <c r="M14" s="3" t="s">
        <v>4586</v>
      </c>
      <c r="N14" s="21">
        <v>-0.42876712328767114</v>
      </c>
    </row>
    <row r="15" spans="1:14" x14ac:dyDescent="0.2">
      <c r="A15" s="3">
        <v>8932</v>
      </c>
      <c r="B15" s="3" t="s">
        <v>20</v>
      </c>
      <c r="C15" s="3" t="s">
        <v>20</v>
      </c>
      <c r="D15" s="3" t="s">
        <v>7</v>
      </c>
      <c r="E15" s="3" t="str">
        <v>Wettswil am Albis</v>
      </c>
      <c r="I15" s="19">
        <v>1020</v>
      </c>
      <c r="J15" s="19" t="s">
        <v>4539</v>
      </c>
      <c r="L15" s="3" t="s">
        <v>4576</v>
      </c>
      <c r="M15" s="3" t="s">
        <v>2890</v>
      </c>
      <c r="N15" s="21">
        <v>9.2747945205479461</v>
      </c>
    </row>
    <row r="16" spans="1:14" x14ac:dyDescent="0.2">
      <c r="A16" s="3">
        <v>8912</v>
      </c>
      <c r="B16" s="3" t="s">
        <v>21</v>
      </c>
      <c r="C16" s="3" t="s">
        <v>21</v>
      </c>
      <c r="D16" s="3" t="s">
        <v>7</v>
      </c>
      <c r="E16" s="3" t="str">
        <v>Adlikon</v>
      </c>
      <c r="I16" s="19">
        <v>1022</v>
      </c>
      <c r="J16" s="19" t="s">
        <v>4539</v>
      </c>
      <c r="L16" s="3" t="s">
        <v>4553</v>
      </c>
      <c r="M16" s="3" t="s">
        <v>4588</v>
      </c>
      <c r="N16" s="21">
        <v>8.782465753424658</v>
      </c>
    </row>
    <row r="17" spans="1:14" x14ac:dyDescent="0.2">
      <c r="A17" s="3">
        <v>8913</v>
      </c>
      <c r="B17" s="3" t="s">
        <v>22</v>
      </c>
      <c r="C17" s="3" t="s">
        <v>22</v>
      </c>
      <c r="D17" s="3" t="s">
        <v>7</v>
      </c>
      <c r="E17" s="3" t="str">
        <v>Benken (ZH)</v>
      </c>
      <c r="I17" s="19">
        <v>1023</v>
      </c>
      <c r="J17" s="19" t="s">
        <v>4539</v>
      </c>
      <c r="L17" s="3" t="s">
        <v>4550</v>
      </c>
      <c r="M17" s="3" t="s">
        <v>4200</v>
      </c>
      <c r="N17" s="21">
        <v>6.5887671232876714</v>
      </c>
    </row>
    <row r="18" spans="1:14" x14ac:dyDescent="0.2">
      <c r="A18" s="3">
        <v>8911</v>
      </c>
      <c r="B18" s="3" t="s">
        <v>23</v>
      </c>
      <c r="C18" s="3" t="s">
        <v>23</v>
      </c>
      <c r="D18" s="3" t="s">
        <v>7</v>
      </c>
      <c r="E18" s="3" t="str">
        <v>Berg am Irchel</v>
      </c>
      <c r="I18" s="19">
        <v>1024</v>
      </c>
      <c r="J18" s="19" t="s">
        <v>4539</v>
      </c>
      <c r="L18" s="3" t="s">
        <v>4542</v>
      </c>
      <c r="M18" s="3" t="s">
        <v>4589</v>
      </c>
      <c r="N18" s="21">
        <v>6.0621917808219177</v>
      </c>
    </row>
    <row r="19" spans="1:14" x14ac:dyDescent="0.2">
      <c r="A19" s="3">
        <v>8143</v>
      </c>
      <c r="B19" s="3" t="s">
        <v>24</v>
      </c>
      <c r="C19" s="3" t="s">
        <v>24</v>
      </c>
      <c r="D19" s="3" t="s">
        <v>7</v>
      </c>
      <c r="E19" s="3" t="str">
        <v>Buch am Irchel</v>
      </c>
      <c r="I19" s="19">
        <v>1025</v>
      </c>
      <c r="J19" s="19" t="s">
        <v>4539</v>
      </c>
      <c r="L19" s="3" t="s">
        <v>4565</v>
      </c>
      <c r="M19" s="3" t="s">
        <v>4590</v>
      </c>
      <c r="N19" s="21">
        <v>12.387671232876713</v>
      </c>
    </row>
    <row r="20" spans="1:14" x14ac:dyDescent="0.2">
      <c r="A20" s="3">
        <v>8143</v>
      </c>
      <c r="B20" s="3" t="s">
        <v>25</v>
      </c>
      <c r="C20" s="3" t="s">
        <v>24</v>
      </c>
      <c r="D20" s="3" t="s">
        <v>7</v>
      </c>
      <c r="E20" s="3" t="str">
        <v>Dachsen</v>
      </c>
      <c r="I20" s="19">
        <v>1026</v>
      </c>
      <c r="J20" s="19" t="s">
        <v>4539</v>
      </c>
      <c r="L20" s="3" t="s">
        <v>4567</v>
      </c>
      <c r="M20" s="3" t="s">
        <v>3157</v>
      </c>
      <c r="N20" s="21">
        <v>12.488219178082192</v>
      </c>
    </row>
    <row r="21" spans="1:14" x14ac:dyDescent="0.2">
      <c r="A21" s="3">
        <v>8907</v>
      </c>
      <c r="B21" s="3" t="s">
        <v>26</v>
      </c>
      <c r="C21" s="3" t="s">
        <v>27</v>
      </c>
      <c r="D21" s="3" t="s">
        <v>7</v>
      </c>
      <c r="E21" s="3" t="str">
        <v>Dorf</v>
      </c>
      <c r="I21" s="19">
        <v>1027</v>
      </c>
      <c r="J21" s="19" t="s">
        <v>4539</v>
      </c>
      <c r="L21" s="3" t="s">
        <v>4555</v>
      </c>
      <c r="M21" s="3" t="s">
        <v>994</v>
      </c>
      <c r="N21" s="21">
        <v>9.7410958904109588</v>
      </c>
    </row>
    <row r="22" spans="1:14" x14ac:dyDescent="0.2">
      <c r="A22" s="3">
        <v>8452</v>
      </c>
      <c r="B22" s="3" t="s">
        <v>28</v>
      </c>
      <c r="C22" s="3" t="s">
        <v>29</v>
      </c>
      <c r="D22" s="3" t="s">
        <v>7</v>
      </c>
      <c r="E22" s="3" t="str">
        <v>Feuerthalen</v>
      </c>
      <c r="I22" s="19">
        <v>1028</v>
      </c>
      <c r="J22" s="19" t="s">
        <v>4539</v>
      </c>
      <c r="L22" s="3" t="s">
        <v>4563</v>
      </c>
      <c r="M22" s="3" t="s">
        <v>3341</v>
      </c>
      <c r="N22" s="21">
        <v>11.706027397260275</v>
      </c>
    </row>
    <row r="23" spans="1:14" x14ac:dyDescent="0.2">
      <c r="A23" s="3">
        <v>8463</v>
      </c>
      <c r="B23" s="3" t="s">
        <v>30</v>
      </c>
      <c r="C23" s="3" t="s">
        <v>31</v>
      </c>
      <c r="D23" s="3" t="s">
        <v>7</v>
      </c>
      <c r="E23" s="3" t="str">
        <v>Flaach</v>
      </c>
      <c r="I23" s="19">
        <v>1029</v>
      </c>
      <c r="J23" s="19" t="s">
        <v>4539</v>
      </c>
      <c r="L23" s="3" t="s">
        <v>4548</v>
      </c>
      <c r="M23" s="3" t="s">
        <v>4125</v>
      </c>
      <c r="N23" s="21">
        <v>5.9484931506849312</v>
      </c>
    </row>
    <row r="24" spans="1:14" x14ac:dyDescent="0.2">
      <c r="A24" s="3">
        <v>8415</v>
      </c>
      <c r="B24" s="3" t="s">
        <v>32</v>
      </c>
      <c r="C24" s="3" t="s">
        <v>32</v>
      </c>
      <c r="D24" s="3" t="s">
        <v>7</v>
      </c>
      <c r="E24" s="3" t="str">
        <v>Flurlingen</v>
      </c>
      <c r="I24" s="19">
        <v>1030</v>
      </c>
      <c r="J24" s="19" t="s">
        <v>4539</v>
      </c>
      <c r="L24" s="3" t="s">
        <v>4543</v>
      </c>
      <c r="M24" s="3" t="s">
        <v>4227</v>
      </c>
      <c r="N24" s="21">
        <v>10.357808219178082</v>
      </c>
    </row>
    <row r="25" spans="1:14" x14ac:dyDescent="0.2">
      <c r="A25" s="3">
        <v>8415</v>
      </c>
      <c r="B25" s="3" t="s">
        <v>33</v>
      </c>
      <c r="C25" s="3" t="s">
        <v>32</v>
      </c>
      <c r="D25" s="3" t="s">
        <v>7</v>
      </c>
      <c r="E25" s="3" t="str">
        <v>Andelfingen</v>
      </c>
      <c r="I25" s="19">
        <v>1031</v>
      </c>
      <c r="J25" s="19" t="s">
        <v>4539</v>
      </c>
      <c r="L25" s="3" t="s">
        <v>4540</v>
      </c>
      <c r="M25" s="3" t="s">
        <v>3738</v>
      </c>
      <c r="N25" s="21">
        <v>9.4408219178082184</v>
      </c>
    </row>
    <row r="26" spans="1:14" x14ac:dyDescent="0.2">
      <c r="A26" s="3">
        <v>8414</v>
      </c>
      <c r="B26" s="3" t="s">
        <v>34</v>
      </c>
      <c r="C26" s="3" t="s">
        <v>34</v>
      </c>
      <c r="D26" s="3" t="s">
        <v>7</v>
      </c>
      <c r="E26" s="3" t="str">
        <v>Henggart</v>
      </c>
      <c r="I26" s="19">
        <v>1032</v>
      </c>
      <c r="J26" s="19" t="s">
        <v>4539</v>
      </c>
      <c r="L26" s="3" t="s">
        <v>4556</v>
      </c>
      <c r="M26" s="3" t="s">
        <v>3093</v>
      </c>
      <c r="N26" s="21">
        <v>7.8139726027397272</v>
      </c>
    </row>
    <row r="27" spans="1:14" x14ac:dyDescent="0.2">
      <c r="A27" s="3">
        <v>8447</v>
      </c>
      <c r="B27" s="3" t="s">
        <v>35</v>
      </c>
      <c r="C27" s="3" t="s">
        <v>35</v>
      </c>
      <c r="D27" s="3" t="s">
        <v>7</v>
      </c>
      <c r="E27" s="3" t="str">
        <v>Humlikon</v>
      </c>
      <c r="I27" s="19">
        <v>1033</v>
      </c>
      <c r="J27" s="19" t="s">
        <v>4539</v>
      </c>
      <c r="L27" s="3" t="s">
        <v>4539</v>
      </c>
      <c r="M27" s="3" t="s">
        <v>3538</v>
      </c>
      <c r="N27" s="21">
        <v>10.981917808219178</v>
      </c>
    </row>
    <row r="28" spans="1:14" x14ac:dyDescent="0.2">
      <c r="A28" s="3">
        <v>8458</v>
      </c>
      <c r="B28" s="3" t="s">
        <v>36</v>
      </c>
      <c r="C28" s="3" t="s">
        <v>36</v>
      </c>
      <c r="D28" s="3" t="s">
        <v>7</v>
      </c>
      <c r="E28" s="3" t="str">
        <v>Kleinandelfingen</v>
      </c>
      <c r="I28" s="19">
        <v>1034</v>
      </c>
      <c r="J28" s="19" t="s">
        <v>4539</v>
      </c>
      <c r="L28" s="3" t="s">
        <v>4574</v>
      </c>
      <c r="M28" s="3" t="s">
        <v>4591</v>
      </c>
      <c r="N28" s="21">
        <v>7.0723287671232882</v>
      </c>
    </row>
    <row r="29" spans="1:14" x14ac:dyDescent="0.2">
      <c r="A29" s="3">
        <v>8245</v>
      </c>
      <c r="B29" s="3" t="s">
        <v>37</v>
      </c>
      <c r="C29" s="3" t="s">
        <v>37</v>
      </c>
      <c r="D29" s="3" t="s">
        <v>7</v>
      </c>
      <c r="E29" s="3" t="str">
        <v>Laufen-Uhwiesen</v>
      </c>
      <c r="I29" s="19">
        <v>1035</v>
      </c>
      <c r="J29" s="19" t="s">
        <v>4539</v>
      </c>
      <c r="L29" s="3" t="s">
        <v>4551</v>
      </c>
      <c r="M29" s="3" t="s">
        <v>1848</v>
      </c>
      <c r="N29" s="21">
        <v>9.106575342465753</v>
      </c>
    </row>
    <row r="30" spans="1:14" x14ac:dyDescent="0.2">
      <c r="A30" s="3">
        <v>8246</v>
      </c>
      <c r="B30" s="3" t="s">
        <v>38</v>
      </c>
      <c r="C30" s="3" t="s">
        <v>37</v>
      </c>
      <c r="D30" s="3" t="s">
        <v>7</v>
      </c>
      <c r="E30" s="3" t="str">
        <v>Marthalen</v>
      </c>
      <c r="I30" s="19">
        <v>1036</v>
      </c>
      <c r="J30" s="19" t="s">
        <v>4539</v>
      </c>
      <c r="L30" s="3" t="s">
        <v>4572</v>
      </c>
      <c r="M30" s="3" t="s">
        <v>2353</v>
      </c>
      <c r="N30" s="21">
        <v>1.8473972602739728</v>
      </c>
    </row>
    <row r="31" spans="1:14" x14ac:dyDescent="0.2">
      <c r="A31" s="3">
        <v>8416</v>
      </c>
      <c r="B31" s="3" t="s">
        <v>39</v>
      </c>
      <c r="C31" s="3" t="s">
        <v>39</v>
      </c>
      <c r="D31" s="3" t="s">
        <v>7</v>
      </c>
      <c r="E31" s="3" t="str">
        <v>Ossingen</v>
      </c>
      <c r="I31" s="19">
        <v>1037</v>
      </c>
      <c r="J31" s="19" t="s">
        <v>4539</v>
      </c>
      <c r="L31" s="3" t="s">
        <v>4564</v>
      </c>
      <c r="M31" s="3" t="s">
        <v>4592</v>
      </c>
      <c r="N31" s="21">
        <v>3.9054794520547946</v>
      </c>
    </row>
    <row r="32" spans="1:14" x14ac:dyDescent="0.2">
      <c r="A32" s="3">
        <v>8247</v>
      </c>
      <c r="B32" s="3" t="s">
        <v>40</v>
      </c>
      <c r="C32" s="3" t="s">
        <v>40</v>
      </c>
      <c r="D32" s="3" t="s">
        <v>7</v>
      </c>
      <c r="E32" s="3" t="str">
        <v>Rheinau</v>
      </c>
      <c r="I32" s="19">
        <v>1038</v>
      </c>
      <c r="J32" s="19" t="s">
        <v>4539</v>
      </c>
      <c r="L32" s="3" t="s">
        <v>4577</v>
      </c>
      <c r="M32" s="3" t="s">
        <v>1968</v>
      </c>
      <c r="N32" s="21">
        <v>8.2561643835616429</v>
      </c>
    </row>
    <row r="33" spans="1:14" x14ac:dyDescent="0.2">
      <c r="A33" s="3">
        <v>8450</v>
      </c>
      <c r="B33" s="3" t="s">
        <v>41</v>
      </c>
      <c r="C33" s="3" t="s">
        <v>41</v>
      </c>
      <c r="D33" s="3" t="s">
        <v>7</v>
      </c>
      <c r="E33" s="3" t="str">
        <v>Thalheim an der Thur</v>
      </c>
      <c r="I33" s="19">
        <v>1040</v>
      </c>
      <c r="J33" s="19" t="s">
        <v>4539</v>
      </c>
      <c r="L33" s="3" t="s">
        <v>4575</v>
      </c>
      <c r="M33" s="3" t="s">
        <v>1898</v>
      </c>
      <c r="N33" s="21">
        <v>9.4167123287671224</v>
      </c>
    </row>
    <row r="34" spans="1:14" x14ac:dyDescent="0.2">
      <c r="A34" s="3">
        <v>8444</v>
      </c>
      <c r="B34" s="3" t="s">
        <v>42</v>
      </c>
      <c r="C34" s="3" t="s">
        <v>42</v>
      </c>
      <c r="D34" s="3" t="s">
        <v>7</v>
      </c>
      <c r="E34" s="3" t="str">
        <v>Trüllikon</v>
      </c>
      <c r="I34" s="19">
        <v>1041</v>
      </c>
      <c r="J34" s="19" t="s">
        <v>4539</v>
      </c>
      <c r="L34" s="3" t="s">
        <v>4573</v>
      </c>
      <c r="M34" s="3" t="s">
        <v>2336</v>
      </c>
      <c r="N34" s="21">
        <v>5.5506849315068489</v>
      </c>
    </row>
    <row r="35" spans="1:14" x14ac:dyDescent="0.2">
      <c r="A35" s="3">
        <v>8457</v>
      </c>
      <c r="B35" s="3" t="s">
        <v>43</v>
      </c>
      <c r="C35" s="3" t="s">
        <v>43</v>
      </c>
      <c r="D35" s="3" t="s">
        <v>7</v>
      </c>
      <c r="E35" s="3" t="str">
        <v>Truttikon</v>
      </c>
      <c r="I35" s="19">
        <v>1042</v>
      </c>
      <c r="J35" s="19" t="s">
        <v>4539</v>
      </c>
      <c r="L35" s="3" t="s">
        <v>4547</v>
      </c>
      <c r="M35" s="3" t="s">
        <v>4141</v>
      </c>
      <c r="N35" s="21">
        <v>10.139726027397261</v>
      </c>
    </row>
    <row r="36" spans="1:14" x14ac:dyDescent="0.2">
      <c r="A36" s="3">
        <v>8451</v>
      </c>
      <c r="B36" s="3" t="s">
        <v>44</v>
      </c>
      <c r="C36" s="3" t="s">
        <v>44</v>
      </c>
      <c r="D36" s="3" t="s">
        <v>7</v>
      </c>
      <c r="E36" s="3" t="str">
        <v>Volken</v>
      </c>
      <c r="I36" s="19">
        <v>1043</v>
      </c>
      <c r="J36" s="19" t="s">
        <v>4539</v>
      </c>
      <c r="L36" s="3" t="s">
        <v>4557</v>
      </c>
      <c r="M36" s="3" t="s">
        <v>3941</v>
      </c>
      <c r="N36" s="21">
        <v>3.2454794520547949</v>
      </c>
    </row>
    <row r="37" spans="1:14" x14ac:dyDescent="0.2">
      <c r="A37" s="3">
        <v>8453</v>
      </c>
      <c r="B37" s="3" t="s">
        <v>45</v>
      </c>
      <c r="C37" s="3" t="s">
        <v>44</v>
      </c>
      <c r="D37" s="3" t="s">
        <v>7</v>
      </c>
      <c r="E37" s="3" t="str">
        <v>Bachenbülach</v>
      </c>
      <c r="I37" s="19">
        <v>1044</v>
      </c>
      <c r="J37" s="19" t="s">
        <v>4539</v>
      </c>
      <c r="L37" s="3" t="s">
        <v>4570</v>
      </c>
      <c r="M37" s="3" t="s">
        <v>4441</v>
      </c>
      <c r="N37" s="21">
        <v>9.9986301369863018</v>
      </c>
    </row>
    <row r="38" spans="1:14" x14ac:dyDescent="0.2">
      <c r="A38" s="3">
        <v>8461</v>
      </c>
      <c r="B38" s="3" t="s">
        <v>46</v>
      </c>
      <c r="C38" s="3" t="s">
        <v>44</v>
      </c>
      <c r="D38" s="3" t="s">
        <v>7</v>
      </c>
      <c r="E38" s="3" t="str">
        <v>Bassersdorf</v>
      </c>
      <c r="I38" s="19">
        <v>1045</v>
      </c>
      <c r="J38" s="19" t="s">
        <v>4540</v>
      </c>
      <c r="L38" s="3" t="s">
        <v>4554</v>
      </c>
      <c r="M38" s="3" t="s">
        <v>367</v>
      </c>
      <c r="N38" s="21">
        <v>9.0753424657534243</v>
      </c>
    </row>
    <row r="39" spans="1:14" x14ac:dyDescent="0.2">
      <c r="A39" s="3">
        <v>8212</v>
      </c>
      <c r="B39" s="3" t="s">
        <v>47</v>
      </c>
      <c r="C39" s="3" t="s">
        <v>48</v>
      </c>
      <c r="D39" s="3" t="s">
        <v>7</v>
      </c>
      <c r="E39" s="3" t="str">
        <v>Bülach</v>
      </c>
      <c r="I39" s="19">
        <v>1046</v>
      </c>
      <c r="J39" s="19" t="s">
        <v>4539</v>
      </c>
      <c r="L39" s="3" t="s">
        <v>4549</v>
      </c>
      <c r="M39" s="3" t="s">
        <v>4177</v>
      </c>
      <c r="N39" s="21">
        <v>4.3654794520547942</v>
      </c>
    </row>
    <row r="40" spans="1:14" x14ac:dyDescent="0.2">
      <c r="A40" s="3">
        <v>8248</v>
      </c>
      <c r="B40" s="3" t="s">
        <v>49</v>
      </c>
      <c r="C40" s="3" t="s">
        <v>48</v>
      </c>
      <c r="D40" s="3" t="s">
        <v>7</v>
      </c>
      <c r="E40" s="3" t="str">
        <v>Dietlikon</v>
      </c>
      <c r="I40" s="19">
        <v>1047</v>
      </c>
      <c r="J40" s="19" t="s">
        <v>4539</v>
      </c>
      <c r="L40" s="3" t="s">
        <v>4559</v>
      </c>
      <c r="M40" s="3" t="s">
        <v>4593</v>
      </c>
      <c r="N40" s="21">
        <v>9.4005479452054779</v>
      </c>
    </row>
    <row r="41" spans="1:14" x14ac:dyDescent="0.2">
      <c r="A41" s="3">
        <v>8460</v>
      </c>
      <c r="B41" s="3" t="s">
        <v>50</v>
      </c>
      <c r="C41" s="3" t="s">
        <v>50</v>
      </c>
      <c r="D41" s="3" t="s">
        <v>7</v>
      </c>
      <c r="E41" s="3" t="str">
        <v>Eglisau</v>
      </c>
      <c r="I41" s="19">
        <v>1052</v>
      </c>
      <c r="J41" s="19" t="s">
        <v>4539</v>
      </c>
      <c r="L41" s="3" t="s">
        <v>4560</v>
      </c>
      <c r="M41" s="3" t="s">
        <v>4594</v>
      </c>
      <c r="N41" s="21">
        <v>9.3989041095890418</v>
      </c>
    </row>
    <row r="42" spans="1:14" x14ac:dyDescent="0.2">
      <c r="A42" s="3">
        <v>8464</v>
      </c>
      <c r="B42" s="3" t="s">
        <v>51</v>
      </c>
      <c r="C42" s="3" t="s">
        <v>50</v>
      </c>
      <c r="D42" s="3" t="s">
        <v>7</v>
      </c>
      <c r="E42" s="3" t="str">
        <v>Embrach</v>
      </c>
      <c r="I42" s="19">
        <v>1053</v>
      </c>
      <c r="J42" s="19" t="s">
        <v>4539</v>
      </c>
    </row>
    <row r="43" spans="1:14" x14ac:dyDescent="0.2">
      <c r="A43" s="3">
        <v>8475</v>
      </c>
      <c r="B43" s="3" t="s">
        <v>52</v>
      </c>
      <c r="C43" s="3" t="s">
        <v>52</v>
      </c>
      <c r="D43" s="3" t="s">
        <v>7</v>
      </c>
      <c r="E43" s="3" t="str">
        <v>Freienstein-Teufen</v>
      </c>
      <c r="I43" s="19">
        <v>1054</v>
      </c>
      <c r="J43" s="19" t="s">
        <v>4539</v>
      </c>
    </row>
    <row r="44" spans="1:14" x14ac:dyDescent="0.2">
      <c r="A44" s="3">
        <v>8462</v>
      </c>
      <c r="B44" s="3" t="s">
        <v>53</v>
      </c>
      <c r="C44" s="3" t="s">
        <v>53</v>
      </c>
      <c r="D44" s="3" t="s">
        <v>7</v>
      </c>
      <c r="E44" s="3" t="str">
        <v>Glattfelden</v>
      </c>
      <c r="I44" s="19">
        <v>1055</v>
      </c>
      <c r="J44" s="19" t="s">
        <v>4539</v>
      </c>
    </row>
    <row r="45" spans="1:14" x14ac:dyDescent="0.2">
      <c r="A45" s="3">
        <v>8478</v>
      </c>
      <c r="B45" s="3" t="s">
        <v>54</v>
      </c>
      <c r="C45" s="3" t="s">
        <v>54</v>
      </c>
      <c r="D45" s="3" t="s">
        <v>7</v>
      </c>
      <c r="E45" s="3" t="str">
        <v>Hochfelden</v>
      </c>
      <c r="I45" s="19">
        <v>1058</v>
      </c>
      <c r="J45" s="19" t="s">
        <v>4539</v>
      </c>
    </row>
    <row r="46" spans="1:14" x14ac:dyDescent="0.2">
      <c r="A46" s="3">
        <v>8465</v>
      </c>
      <c r="B46" s="3" t="s">
        <v>55</v>
      </c>
      <c r="C46" s="3" t="s">
        <v>56</v>
      </c>
      <c r="D46" s="3" t="s">
        <v>7</v>
      </c>
      <c r="E46" s="3" t="str">
        <v>Höri</v>
      </c>
      <c r="I46" s="19">
        <v>1059</v>
      </c>
      <c r="J46" s="19" t="s">
        <v>4539</v>
      </c>
    </row>
    <row r="47" spans="1:14" x14ac:dyDescent="0.2">
      <c r="A47" s="3">
        <v>8465</v>
      </c>
      <c r="B47" s="3" t="s">
        <v>57</v>
      </c>
      <c r="C47" s="3" t="s">
        <v>56</v>
      </c>
      <c r="D47" s="3" t="s">
        <v>7</v>
      </c>
      <c r="E47" s="3" t="str">
        <v>Hüntwangen</v>
      </c>
      <c r="I47" s="19">
        <v>1061</v>
      </c>
      <c r="J47" s="19" t="s">
        <v>4539</v>
      </c>
    </row>
    <row r="48" spans="1:14" x14ac:dyDescent="0.2">
      <c r="A48" s="3">
        <v>8466</v>
      </c>
      <c r="B48" s="3" t="s">
        <v>56</v>
      </c>
      <c r="C48" s="3" t="s">
        <v>56</v>
      </c>
      <c r="D48" s="3" t="s">
        <v>7</v>
      </c>
      <c r="E48" s="3" t="str">
        <v>Kloten</v>
      </c>
      <c r="I48" s="19">
        <v>1062</v>
      </c>
      <c r="J48" s="19" t="s">
        <v>4540</v>
      </c>
    </row>
    <row r="49" spans="1:10" x14ac:dyDescent="0.2">
      <c r="A49" s="3">
        <v>8467</v>
      </c>
      <c r="B49" s="3" t="s">
        <v>58</v>
      </c>
      <c r="C49" s="3" t="s">
        <v>58</v>
      </c>
      <c r="D49" s="3" t="s">
        <v>7</v>
      </c>
      <c r="E49" s="3" t="str">
        <v>Lufingen</v>
      </c>
      <c r="I49" s="19">
        <v>1063</v>
      </c>
      <c r="J49" s="19" t="s">
        <v>4540</v>
      </c>
    </row>
    <row r="50" spans="1:10" x14ac:dyDescent="0.2">
      <c r="A50" s="3">
        <v>8459</v>
      </c>
      <c r="B50" s="3" t="s">
        <v>59</v>
      </c>
      <c r="C50" s="3" t="s">
        <v>59</v>
      </c>
      <c r="D50" s="3" t="s">
        <v>7</v>
      </c>
      <c r="E50" s="3" t="str">
        <v>Nürensdorf</v>
      </c>
      <c r="I50" s="19">
        <v>1066</v>
      </c>
      <c r="J50" s="19" t="s">
        <v>4539</v>
      </c>
    </row>
    <row r="51" spans="1:10" x14ac:dyDescent="0.2">
      <c r="A51" s="3">
        <v>8184</v>
      </c>
      <c r="B51" s="3" t="s">
        <v>60</v>
      </c>
      <c r="C51" s="3" t="s">
        <v>60</v>
      </c>
      <c r="D51" s="3" t="s">
        <v>7</v>
      </c>
      <c r="E51" s="3" t="str">
        <v>Oberembrach</v>
      </c>
      <c r="I51" s="19">
        <v>1068</v>
      </c>
      <c r="J51" s="19" t="s">
        <v>4539</v>
      </c>
    </row>
    <row r="52" spans="1:10" x14ac:dyDescent="0.2">
      <c r="A52" s="3">
        <v>8303</v>
      </c>
      <c r="B52" s="3" t="s">
        <v>61</v>
      </c>
      <c r="C52" s="3" t="s">
        <v>61</v>
      </c>
      <c r="D52" s="3" t="s">
        <v>7</v>
      </c>
      <c r="E52" s="3" t="str">
        <v>Opfikon</v>
      </c>
      <c r="I52" s="19">
        <v>1070</v>
      </c>
      <c r="J52" s="19" t="s">
        <v>4539</v>
      </c>
    </row>
    <row r="53" spans="1:10" x14ac:dyDescent="0.2">
      <c r="A53" s="3">
        <v>8180</v>
      </c>
      <c r="B53" s="3" t="s">
        <v>62</v>
      </c>
      <c r="C53" s="3" t="s">
        <v>62</v>
      </c>
      <c r="D53" s="3" t="s">
        <v>7</v>
      </c>
      <c r="E53" s="3" t="str">
        <v>Rafz</v>
      </c>
      <c r="I53" s="19">
        <v>1071</v>
      </c>
      <c r="J53" s="19" t="s">
        <v>4539</v>
      </c>
    </row>
    <row r="54" spans="1:10" x14ac:dyDescent="0.2">
      <c r="A54" s="3">
        <v>8305</v>
      </c>
      <c r="B54" s="3" t="s">
        <v>63</v>
      </c>
      <c r="C54" s="3" t="s">
        <v>63</v>
      </c>
      <c r="D54" s="3" t="s">
        <v>7</v>
      </c>
      <c r="E54" s="3" t="str">
        <v>Rorbas</v>
      </c>
      <c r="I54" s="19">
        <v>1072</v>
      </c>
      <c r="J54" s="19" t="s">
        <v>4539</v>
      </c>
    </row>
    <row r="55" spans="1:10" x14ac:dyDescent="0.2">
      <c r="A55" s="3">
        <v>8193</v>
      </c>
      <c r="B55" s="3" t="s">
        <v>64</v>
      </c>
      <c r="C55" s="3" t="s">
        <v>64</v>
      </c>
      <c r="D55" s="3" t="s">
        <v>7</v>
      </c>
      <c r="E55" s="3" t="str">
        <v>Wallisellen</v>
      </c>
      <c r="I55" s="19">
        <v>1073</v>
      </c>
      <c r="J55" s="19" t="s">
        <v>4539</v>
      </c>
    </row>
    <row r="56" spans="1:10" x14ac:dyDescent="0.2">
      <c r="A56" s="3">
        <v>8424</v>
      </c>
      <c r="B56" s="3" t="s">
        <v>65</v>
      </c>
      <c r="C56" s="3" t="s">
        <v>65</v>
      </c>
      <c r="D56" s="3" t="s">
        <v>7</v>
      </c>
      <c r="E56" s="3" t="str">
        <v>Wasterkingen</v>
      </c>
      <c r="I56" s="19">
        <v>1076</v>
      </c>
      <c r="J56" s="19" t="s">
        <v>4539</v>
      </c>
    </row>
    <row r="57" spans="1:10" x14ac:dyDescent="0.2">
      <c r="A57" s="3">
        <v>8427</v>
      </c>
      <c r="B57" s="3" t="s">
        <v>66</v>
      </c>
      <c r="C57" s="3" t="s">
        <v>67</v>
      </c>
      <c r="D57" s="3" t="s">
        <v>7</v>
      </c>
      <c r="E57" s="3" t="str">
        <v>Wil (ZH)</v>
      </c>
      <c r="I57" s="19">
        <v>1077</v>
      </c>
      <c r="J57" s="19" t="s">
        <v>4539</v>
      </c>
    </row>
    <row r="58" spans="1:10" x14ac:dyDescent="0.2">
      <c r="A58" s="3">
        <v>8428</v>
      </c>
      <c r="B58" s="3" t="s">
        <v>68</v>
      </c>
      <c r="C58" s="3" t="s">
        <v>67</v>
      </c>
      <c r="D58" s="3" t="s">
        <v>7</v>
      </c>
      <c r="E58" s="3" t="str">
        <v>Winkel</v>
      </c>
      <c r="I58" s="19">
        <v>1078</v>
      </c>
      <c r="J58" s="19" t="s">
        <v>4539</v>
      </c>
    </row>
    <row r="59" spans="1:10" x14ac:dyDescent="0.2">
      <c r="A59" s="3">
        <v>8192</v>
      </c>
      <c r="B59" s="3" t="s">
        <v>69</v>
      </c>
      <c r="C59" s="3" t="s">
        <v>69</v>
      </c>
      <c r="D59" s="3" t="s">
        <v>7</v>
      </c>
      <c r="E59" s="3" t="str">
        <v>Bachs</v>
      </c>
      <c r="I59" s="19">
        <v>1080</v>
      </c>
      <c r="J59" s="19" t="s">
        <v>4539</v>
      </c>
    </row>
    <row r="60" spans="1:10" x14ac:dyDescent="0.2">
      <c r="A60" s="3">
        <v>8192</v>
      </c>
      <c r="B60" s="3" t="s">
        <v>70</v>
      </c>
      <c r="C60" s="3" t="s">
        <v>69</v>
      </c>
      <c r="D60" s="3" t="s">
        <v>7</v>
      </c>
      <c r="E60" s="3" t="str">
        <v>Boppelsen</v>
      </c>
      <c r="I60" s="19">
        <v>1081</v>
      </c>
      <c r="J60" s="19" t="s">
        <v>4539</v>
      </c>
    </row>
    <row r="61" spans="1:10" x14ac:dyDescent="0.2">
      <c r="A61" s="3">
        <v>8182</v>
      </c>
      <c r="B61" s="3" t="s">
        <v>71</v>
      </c>
      <c r="C61" s="3" t="s">
        <v>71</v>
      </c>
      <c r="D61" s="3" t="s">
        <v>7</v>
      </c>
      <c r="E61" s="3" t="str">
        <v>Buchs (ZH)</v>
      </c>
      <c r="I61" s="19">
        <v>1082</v>
      </c>
      <c r="J61" s="19" t="s">
        <v>4539</v>
      </c>
    </row>
    <row r="62" spans="1:10" x14ac:dyDescent="0.2">
      <c r="A62" s="3">
        <v>8181</v>
      </c>
      <c r="B62" s="3" t="s">
        <v>72</v>
      </c>
      <c r="C62" s="3" t="s">
        <v>72</v>
      </c>
      <c r="D62" s="3" t="s">
        <v>7</v>
      </c>
      <c r="E62" s="3" t="str">
        <v>Dällikon</v>
      </c>
      <c r="I62" s="19">
        <v>1083</v>
      </c>
      <c r="J62" s="19" t="s">
        <v>4539</v>
      </c>
    </row>
    <row r="63" spans="1:10" x14ac:dyDescent="0.2">
      <c r="A63" s="3">
        <v>8194</v>
      </c>
      <c r="B63" s="3" t="s">
        <v>73</v>
      </c>
      <c r="C63" s="3" t="s">
        <v>73</v>
      </c>
      <c r="D63" s="3" t="s">
        <v>7</v>
      </c>
      <c r="E63" s="3" t="str">
        <v>Dänikon</v>
      </c>
      <c r="I63" s="19">
        <v>1084</v>
      </c>
      <c r="J63" s="19" t="s">
        <v>4539</v>
      </c>
    </row>
    <row r="64" spans="1:10" x14ac:dyDescent="0.2">
      <c r="A64" s="3">
        <v>8302</v>
      </c>
      <c r="B64" s="3" t="s">
        <v>74</v>
      </c>
      <c r="C64" s="3" t="s">
        <v>74</v>
      </c>
      <c r="D64" s="3" t="s">
        <v>7</v>
      </c>
      <c r="E64" s="3" t="str">
        <v>Dielsdorf</v>
      </c>
      <c r="I64" s="19">
        <v>1085</v>
      </c>
      <c r="J64" s="19" t="s">
        <v>4539</v>
      </c>
    </row>
    <row r="65" spans="1:10" x14ac:dyDescent="0.2">
      <c r="A65" s="3">
        <v>8426</v>
      </c>
      <c r="B65" s="3" t="s">
        <v>75</v>
      </c>
      <c r="C65" s="3" t="s">
        <v>75</v>
      </c>
      <c r="D65" s="3" t="s">
        <v>7</v>
      </c>
      <c r="E65" s="3" t="str">
        <v>Hüttikon</v>
      </c>
      <c r="I65" s="19">
        <v>1088</v>
      </c>
      <c r="J65" s="19" t="s">
        <v>4539</v>
      </c>
    </row>
    <row r="66" spans="1:10" x14ac:dyDescent="0.2">
      <c r="A66" s="3">
        <v>8309</v>
      </c>
      <c r="B66" s="3" t="s">
        <v>76</v>
      </c>
      <c r="C66" s="3" t="s">
        <v>76</v>
      </c>
      <c r="D66" s="3" t="s">
        <v>7</v>
      </c>
      <c r="E66" s="3" t="str">
        <v>Neerach</v>
      </c>
      <c r="I66" s="19">
        <v>1090</v>
      </c>
      <c r="J66" s="19" t="s">
        <v>4539</v>
      </c>
    </row>
    <row r="67" spans="1:10" x14ac:dyDescent="0.2">
      <c r="A67" s="3">
        <v>8425</v>
      </c>
      <c r="B67" s="3" t="s">
        <v>77</v>
      </c>
      <c r="C67" s="3" t="s">
        <v>77</v>
      </c>
      <c r="D67" s="3" t="s">
        <v>7</v>
      </c>
      <c r="E67" s="3" t="str">
        <v>Niederglatt</v>
      </c>
      <c r="I67" s="19">
        <v>1091</v>
      </c>
      <c r="J67" s="19" t="s">
        <v>4539</v>
      </c>
    </row>
    <row r="68" spans="1:10" x14ac:dyDescent="0.2">
      <c r="A68" s="3">
        <v>8152</v>
      </c>
      <c r="B68" s="3" t="s">
        <v>78</v>
      </c>
      <c r="C68" s="3" t="s">
        <v>79</v>
      </c>
      <c r="D68" s="3" t="s">
        <v>7</v>
      </c>
      <c r="E68" s="3" t="str">
        <v>Niederhasli</v>
      </c>
      <c r="I68" s="19">
        <v>1092</v>
      </c>
      <c r="J68" s="19" t="s">
        <v>4539</v>
      </c>
    </row>
    <row r="69" spans="1:10" x14ac:dyDescent="0.2">
      <c r="A69" s="3">
        <v>8152</v>
      </c>
      <c r="B69" s="3" t="s">
        <v>79</v>
      </c>
      <c r="C69" s="3" t="s">
        <v>79</v>
      </c>
      <c r="D69" s="3" t="s">
        <v>7</v>
      </c>
      <c r="E69" s="3" t="str">
        <v>Niederweningen</v>
      </c>
      <c r="I69" s="19">
        <v>1093</v>
      </c>
      <c r="J69" s="19" t="s">
        <v>4539</v>
      </c>
    </row>
    <row r="70" spans="1:10" x14ac:dyDescent="0.2">
      <c r="A70" s="3">
        <v>8152</v>
      </c>
      <c r="B70" s="3" t="s">
        <v>80</v>
      </c>
      <c r="C70" s="3" t="s">
        <v>79</v>
      </c>
      <c r="D70" s="3" t="s">
        <v>7</v>
      </c>
      <c r="E70" s="3" t="str">
        <v>Oberglatt</v>
      </c>
      <c r="I70" s="19">
        <v>1094</v>
      </c>
      <c r="J70" s="19" t="s">
        <v>4539</v>
      </c>
    </row>
    <row r="71" spans="1:10" x14ac:dyDescent="0.2">
      <c r="A71" s="3">
        <v>8197</v>
      </c>
      <c r="B71" s="3" t="s">
        <v>81</v>
      </c>
      <c r="C71" s="3" t="s">
        <v>81</v>
      </c>
      <c r="D71" s="3" t="s">
        <v>7</v>
      </c>
      <c r="E71" s="3" t="str">
        <v>Oberweningen</v>
      </c>
      <c r="I71" s="19">
        <v>1095</v>
      </c>
      <c r="J71" s="19" t="s">
        <v>4539</v>
      </c>
    </row>
    <row r="72" spans="1:10" x14ac:dyDescent="0.2">
      <c r="A72" s="3">
        <v>8427</v>
      </c>
      <c r="B72" s="3" t="s">
        <v>82</v>
      </c>
      <c r="C72" s="3" t="s">
        <v>82</v>
      </c>
      <c r="D72" s="3" t="s">
        <v>7</v>
      </c>
      <c r="E72" s="3" t="str">
        <v>Otelfingen</v>
      </c>
      <c r="I72" s="19">
        <v>1096</v>
      </c>
      <c r="J72" s="19" t="s">
        <v>4539</v>
      </c>
    </row>
    <row r="73" spans="1:10" x14ac:dyDescent="0.2">
      <c r="A73" s="3">
        <v>8304</v>
      </c>
      <c r="B73" s="3" t="s">
        <v>83</v>
      </c>
      <c r="C73" s="3" t="s">
        <v>83</v>
      </c>
      <c r="D73" s="3" t="s">
        <v>7</v>
      </c>
      <c r="E73" s="3" t="str">
        <v>Regensberg</v>
      </c>
      <c r="I73" s="19">
        <v>1097</v>
      </c>
      <c r="J73" s="19" t="s">
        <v>4539</v>
      </c>
    </row>
    <row r="74" spans="1:10" x14ac:dyDescent="0.2">
      <c r="A74" s="3">
        <v>8195</v>
      </c>
      <c r="B74" s="3" t="s">
        <v>84</v>
      </c>
      <c r="C74" s="3" t="s">
        <v>84</v>
      </c>
      <c r="D74" s="3" t="s">
        <v>7</v>
      </c>
      <c r="E74" s="3" t="str">
        <v>Regensdorf</v>
      </c>
      <c r="I74" s="19">
        <v>1098</v>
      </c>
      <c r="J74" s="19" t="s">
        <v>4539</v>
      </c>
    </row>
    <row r="75" spans="1:10" x14ac:dyDescent="0.2">
      <c r="A75" s="3">
        <v>8196</v>
      </c>
      <c r="B75" s="3" t="s">
        <v>85</v>
      </c>
      <c r="C75" s="3" t="s">
        <v>86</v>
      </c>
      <c r="D75" s="3" t="s">
        <v>7</v>
      </c>
      <c r="E75" s="3" t="str">
        <v>Rümlang</v>
      </c>
      <c r="I75" s="19">
        <v>1110</v>
      </c>
      <c r="J75" s="19" t="s">
        <v>4539</v>
      </c>
    </row>
    <row r="76" spans="1:10" x14ac:dyDescent="0.2">
      <c r="A76" s="3">
        <v>8185</v>
      </c>
      <c r="B76" s="3" t="s">
        <v>87</v>
      </c>
      <c r="C76" s="3" t="s">
        <v>87</v>
      </c>
      <c r="D76" s="3" t="s">
        <v>7</v>
      </c>
      <c r="E76" s="3" t="str">
        <v>Schleinikon</v>
      </c>
      <c r="I76" s="19">
        <v>1112</v>
      </c>
      <c r="J76" s="19" t="s">
        <v>4539</v>
      </c>
    </row>
    <row r="77" spans="1:10" x14ac:dyDescent="0.2">
      <c r="A77" s="3">
        <v>8164</v>
      </c>
      <c r="B77" s="3" t="s">
        <v>88</v>
      </c>
      <c r="C77" s="3" t="s">
        <v>88</v>
      </c>
      <c r="D77" s="3" t="s">
        <v>7</v>
      </c>
      <c r="E77" s="3" t="str">
        <v>Schöfflisdorf</v>
      </c>
      <c r="I77" s="19">
        <v>1113</v>
      </c>
      <c r="J77" s="19" t="s">
        <v>4539</v>
      </c>
    </row>
    <row r="78" spans="1:10" x14ac:dyDescent="0.2">
      <c r="A78" s="3">
        <v>8113</v>
      </c>
      <c r="B78" s="3" t="s">
        <v>89</v>
      </c>
      <c r="C78" s="3" t="s">
        <v>89</v>
      </c>
      <c r="D78" s="3" t="s">
        <v>7</v>
      </c>
      <c r="E78" s="3" t="str">
        <v>Stadel</v>
      </c>
      <c r="I78" s="19">
        <v>1114</v>
      </c>
      <c r="J78" s="19" t="s">
        <v>4539</v>
      </c>
    </row>
    <row r="79" spans="1:10" x14ac:dyDescent="0.2">
      <c r="A79" s="3">
        <v>8107</v>
      </c>
      <c r="B79" s="3" t="s">
        <v>90</v>
      </c>
      <c r="C79" s="3" t="s">
        <v>91</v>
      </c>
      <c r="D79" s="3" t="s">
        <v>7</v>
      </c>
      <c r="E79" s="3" t="str">
        <v>Steinmaur</v>
      </c>
      <c r="I79" s="19">
        <v>1115</v>
      </c>
      <c r="J79" s="19" t="s">
        <v>4539</v>
      </c>
    </row>
    <row r="80" spans="1:10" x14ac:dyDescent="0.2">
      <c r="A80" s="3">
        <v>8108</v>
      </c>
      <c r="B80" s="3" t="s">
        <v>92</v>
      </c>
      <c r="C80" s="3" t="s">
        <v>92</v>
      </c>
      <c r="D80" s="3" t="s">
        <v>7</v>
      </c>
      <c r="E80" s="3" t="str">
        <v>Weiach</v>
      </c>
      <c r="I80" s="19">
        <v>1116</v>
      </c>
      <c r="J80" s="19" t="s">
        <v>4539</v>
      </c>
    </row>
    <row r="81" spans="1:10" x14ac:dyDescent="0.2">
      <c r="A81" s="3">
        <v>8114</v>
      </c>
      <c r="B81" s="3" t="s">
        <v>93</v>
      </c>
      <c r="C81" s="3" t="s">
        <v>94</v>
      </c>
      <c r="D81" s="3" t="s">
        <v>7</v>
      </c>
      <c r="E81" s="3" t="str">
        <v>Bäretswil</v>
      </c>
      <c r="I81" s="19">
        <v>1117</v>
      </c>
      <c r="J81" s="19" t="s">
        <v>4539</v>
      </c>
    </row>
    <row r="82" spans="1:10" x14ac:dyDescent="0.2">
      <c r="A82" s="3">
        <v>8157</v>
      </c>
      <c r="B82" s="3" t="s">
        <v>95</v>
      </c>
      <c r="C82" s="3" t="s">
        <v>95</v>
      </c>
      <c r="D82" s="3" t="s">
        <v>7</v>
      </c>
      <c r="E82" s="3" t="str">
        <v>Bubikon</v>
      </c>
      <c r="I82" s="19">
        <v>1121</v>
      </c>
      <c r="J82" s="19" t="s">
        <v>4539</v>
      </c>
    </row>
    <row r="83" spans="1:10" x14ac:dyDescent="0.2">
      <c r="A83" s="3">
        <v>8115</v>
      </c>
      <c r="B83" s="3" t="s">
        <v>96</v>
      </c>
      <c r="C83" s="3" t="s">
        <v>96</v>
      </c>
      <c r="D83" s="3" t="s">
        <v>7</v>
      </c>
      <c r="E83" s="3" t="str">
        <v>Dürnten</v>
      </c>
      <c r="I83" s="19">
        <v>1122</v>
      </c>
      <c r="J83" s="19" t="s">
        <v>4539</v>
      </c>
    </row>
    <row r="84" spans="1:10" x14ac:dyDescent="0.2">
      <c r="A84" s="3">
        <v>8173</v>
      </c>
      <c r="B84" s="3" t="s">
        <v>97</v>
      </c>
      <c r="C84" s="3" t="s">
        <v>97</v>
      </c>
      <c r="D84" s="3" t="s">
        <v>7</v>
      </c>
      <c r="E84" s="3" t="str">
        <v>Fischenthal</v>
      </c>
      <c r="I84" s="19">
        <v>1123</v>
      </c>
      <c r="J84" s="19" t="s">
        <v>4539</v>
      </c>
    </row>
    <row r="85" spans="1:10" x14ac:dyDescent="0.2">
      <c r="A85" s="3">
        <v>8172</v>
      </c>
      <c r="B85" s="3" t="s">
        <v>98</v>
      </c>
      <c r="C85" s="3" t="s">
        <v>99</v>
      </c>
      <c r="D85" s="3" t="s">
        <v>7</v>
      </c>
      <c r="E85" s="3" t="str">
        <v>Gossau (ZH)</v>
      </c>
      <c r="I85" s="19">
        <v>1124</v>
      </c>
      <c r="J85" s="19" t="s">
        <v>4539</v>
      </c>
    </row>
    <row r="86" spans="1:10" x14ac:dyDescent="0.2">
      <c r="A86" s="3">
        <v>8155</v>
      </c>
      <c r="B86" s="3" t="s">
        <v>100</v>
      </c>
      <c r="C86" s="3" t="s">
        <v>100</v>
      </c>
      <c r="D86" s="3" t="s">
        <v>7</v>
      </c>
      <c r="E86" s="3" t="str">
        <v>Grüningen</v>
      </c>
      <c r="I86" s="19">
        <v>1125</v>
      </c>
      <c r="J86" s="19" t="s">
        <v>4539</v>
      </c>
    </row>
    <row r="87" spans="1:10" x14ac:dyDescent="0.2">
      <c r="A87" s="3">
        <v>8155</v>
      </c>
      <c r="B87" s="3" t="s">
        <v>101</v>
      </c>
      <c r="C87" s="3" t="s">
        <v>100</v>
      </c>
      <c r="D87" s="3" t="s">
        <v>7</v>
      </c>
      <c r="E87" s="3" t="str">
        <v>Hinwil</v>
      </c>
      <c r="I87" s="19">
        <v>1126</v>
      </c>
      <c r="J87" s="19" t="s">
        <v>4539</v>
      </c>
    </row>
    <row r="88" spans="1:10" x14ac:dyDescent="0.2">
      <c r="A88" s="3">
        <v>8156</v>
      </c>
      <c r="B88" s="3" t="s">
        <v>102</v>
      </c>
      <c r="C88" s="3" t="s">
        <v>100</v>
      </c>
      <c r="D88" s="3" t="s">
        <v>7</v>
      </c>
      <c r="E88" s="3" t="str">
        <v>Rüti (ZH)</v>
      </c>
      <c r="I88" s="19">
        <v>1127</v>
      </c>
      <c r="J88" s="19" t="s">
        <v>4539</v>
      </c>
    </row>
    <row r="89" spans="1:10" x14ac:dyDescent="0.2">
      <c r="A89" s="3">
        <v>8166</v>
      </c>
      <c r="B89" s="3" t="s">
        <v>103</v>
      </c>
      <c r="C89" s="3" t="s">
        <v>103</v>
      </c>
      <c r="D89" s="3" t="s">
        <v>7</v>
      </c>
      <c r="E89" s="3" t="str">
        <v>Seegräben</v>
      </c>
      <c r="I89" s="19">
        <v>1128</v>
      </c>
      <c r="J89" s="19" t="s">
        <v>4539</v>
      </c>
    </row>
    <row r="90" spans="1:10" x14ac:dyDescent="0.2">
      <c r="A90" s="3">
        <v>8154</v>
      </c>
      <c r="B90" s="3" t="s">
        <v>104</v>
      </c>
      <c r="C90" s="3" t="s">
        <v>105</v>
      </c>
      <c r="D90" s="3" t="s">
        <v>7</v>
      </c>
      <c r="E90" s="3" t="str">
        <v>Wald (ZH)</v>
      </c>
      <c r="I90" s="19">
        <v>1131</v>
      </c>
      <c r="J90" s="19" t="s">
        <v>4539</v>
      </c>
    </row>
    <row r="91" spans="1:10" x14ac:dyDescent="0.2">
      <c r="A91" s="3">
        <v>8165</v>
      </c>
      <c r="B91" s="3" t="s">
        <v>106</v>
      </c>
      <c r="C91" s="3" t="s">
        <v>106</v>
      </c>
      <c r="D91" s="3" t="s">
        <v>7</v>
      </c>
      <c r="E91" s="3" t="str">
        <v>Wetzikon (ZH)</v>
      </c>
      <c r="I91" s="19">
        <v>1132</v>
      </c>
      <c r="J91" s="19" t="s">
        <v>4539</v>
      </c>
    </row>
    <row r="92" spans="1:10" x14ac:dyDescent="0.2">
      <c r="A92" s="3">
        <v>8112</v>
      </c>
      <c r="B92" s="3" t="s">
        <v>107</v>
      </c>
      <c r="C92" s="3" t="s">
        <v>107</v>
      </c>
      <c r="D92" s="3" t="s">
        <v>7</v>
      </c>
      <c r="E92" s="3" t="str">
        <v>Adliswil</v>
      </c>
      <c r="I92" s="19">
        <v>1134</v>
      </c>
      <c r="J92" s="19" t="s">
        <v>4539</v>
      </c>
    </row>
    <row r="93" spans="1:10" x14ac:dyDescent="0.2">
      <c r="A93" s="3">
        <v>8158</v>
      </c>
      <c r="B93" s="3" t="s">
        <v>108</v>
      </c>
      <c r="C93" s="3" t="s">
        <v>108</v>
      </c>
      <c r="D93" s="3" t="s">
        <v>7</v>
      </c>
      <c r="E93" s="3" t="str">
        <v>Kilchberg (ZH)</v>
      </c>
      <c r="I93" s="19">
        <v>1135</v>
      </c>
      <c r="J93" s="19" t="s">
        <v>4539</v>
      </c>
    </row>
    <row r="94" spans="1:10" x14ac:dyDescent="0.2">
      <c r="A94" s="3">
        <v>8105</v>
      </c>
      <c r="B94" s="3" t="s">
        <v>109</v>
      </c>
      <c r="C94" s="3" t="s">
        <v>109</v>
      </c>
      <c r="D94" s="3" t="s">
        <v>7</v>
      </c>
      <c r="E94" s="3" t="str">
        <v>Langnau am Albis</v>
      </c>
      <c r="I94" s="19">
        <v>1136</v>
      </c>
      <c r="J94" s="19" t="s">
        <v>4539</v>
      </c>
    </row>
    <row r="95" spans="1:10" x14ac:dyDescent="0.2">
      <c r="A95" s="3">
        <v>8105</v>
      </c>
      <c r="B95" s="3" t="s">
        <v>110</v>
      </c>
      <c r="C95" s="3" t="s">
        <v>109</v>
      </c>
      <c r="D95" s="3" t="s">
        <v>7</v>
      </c>
      <c r="E95" s="3" t="str">
        <v>Oberrieden</v>
      </c>
      <c r="I95" s="19">
        <v>1141</v>
      </c>
      <c r="J95" s="19" t="s">
        <v>4539</v>
      </c>
    </row>
    <row r="96" spans="1:10" x14ac:dyDescent="0.2">
      <c r="A96" s="3">
        <v>8106</v>
      </c>
      <c r="B96" s="3" t="s">
        <v>111</v>
      </c>
      <c r="C96" s="3" t="s">
        <v>109</v>
      </c>
      <c r="D96" s="3" t="s">
        <v>7</v>
      </c>
      <c r="E96" s="3" t="str">
        <v>Richterswil</v>
      </c>
      <c r="I96" s="19">
        <v>1142</v>
      </c>
      <c r="J96" s="19" t="s">
        <v>4539</v>
      </c>
    </row>
    <row r="97" spans="1:10" x14ac:dyDescent="0.2">
      <c r="A97" s="3">
        <v>8153</v>
      </c>
      <c r="B97" s="3" t="s">
        <v>112</v>
      </c>
      <c r="C97" s="3" t="s">
        <v>112</v>
      </c>
      <c r="D97" s="3" t="s">
        <v>7</v>
      </c>
      <c r="E97" s="3" t="str">
        <v>Rüschlikon</v>
      </c>
      <c r="I97" s="19">
        <v>1143</v>
      </c>
      <c r="J97" s="19" t="s">
        <v>4539</v>
      </c>
    </row>
    <row r="98" spans="1:10" x14ac:dyDescent="0.2">
      <c r="A98" s="3">
        <v>8165</v>
      </c>
      <c r="B98" s="3" t="s">
        <v>113</v>
      </c>
      <c r="C98" s="3" t="s">
        <v>113</v>
      </c>
      <c r="D98" s="3" t="s">
        <v>7</v>
      </c>
      <c r="E98" s="3" t="str">
        <v>Thalwil</v>
      </c>
      <c r="I98" s="19">
        <v>1144</v>
      </c>
      <c r="J98" s="19" t="s">
        <v>4539</v>
      </c>
    </row>
    <row r="99" spans="1:10" x14ac:dyDescent="0.2">
      <c r="A99" s="3">
        <v>8165</v>
      </c>
      <c r="B99" s="3" t="s">
        <v>114</v>
      </c>
      <c r="C99" s="3" t="s">
        <v>114</v>
      </c>
      <c r="D99" s="3" t="s">
        <v>7</v>
      </c>
      <c r="E99" s="3" t="str">
        <v>Erlenbach (ZH)</v>
      </c>
      <c r="I99" s="19">
        <v>1145</v>
      </c>
      <c r="J99" s="19" t="s">
        <v>4539</v>
      </c>
    </row>
    <row r="100" spans="1:10" x14ac:dyDescent="0.2">
      <c r="A100" s="3">
        <v>8174</v>
      </c>
      <c r="B100" s="3" t="s">
        <v>115</v>
      </c>
      <c r="C100" s="3" t="s">
        <v>116</v>
      </c>
      <c r="D100" s="3" t="s">
        <v>7</v>
      </c>
      <c r="E100" s="3" t="str">
        <v>Herrliberg</v>
      </c>
      <c r="I100" s="19">
        <v>1146</v>
      </c>
      <c r="J100" s="19" t="s">
        <v>4539</v>
      </c>
    </row>
    <row r="101" spans="1:10" x14ac:dyDescent="0.2">
      <c r="A101" s="3">
        <v>8175</v>
      </c>
      <c r="B101" s="3" t="s">
        <v>117</v>
      </c>
      <c r="C101" s="3" t="s">
        <v>116</v>
      </c>
      <c r="D101" s="3" t="s">
        <v>7</v>
      </c>
      <c r="E101" s="3" t="str">
        <v>Hombrechtikon</v>
      </c>
      <c r="I101" s="19">
        <v>1147</v>
      </c>
      <c r="J101" s="19" t="s">
        <v>4539</v>
      </c>
    </row>
    <row r="102" spans="1:10" x14ac:dyDescent="0.2">
      <c r="A102" s="3">
        <v>8162</v>
      </c>
      <c r="B102" s="3" t="s">
        <v>118</v>
      </c>
      <c r="C102" s="3" t="s">
        <v>118</v>
      </c>
      <c r="D102" s="3" t="s">
        <v>7</v>
      </c>
      <c r="E102" s="3" t="str">
        <v>Küsnacht (ZH)</v>
      </c>
      <c r="I102" s="19">
        <v>1148</v>
      </c>
      <c r="J102" s="19" t="s">
        <v>4539</v>
      </c>
    </row>
    <row r="103" spans="1:10" x14ac:dyDescent="0.2">
      <c r="A103" s="3">
        <v>8162</v>
      </c>
      <c r="B103" s="3" t="s">
        <v>119</v>
      </c>
      <c r="C103" s="3" t="s">
        <v>118</v>
      </c>
      <c r="D103" s="3" t="s">
        <v>7</v>
      </c>
      <c r="E103" s="3" t="str">
        <v>Männedorf</v>
      </c>
      <c r="I103" s="19">
        <v>1149</v>
      </c>
      <c r="J103" s="19" t="s">
        <v>4539</v>
      </c>
    </row>
    <row r="104" spans="1:10" x14ac:dyDescent="0.2">
      <c r="A104" s="3">
        <v>8187</v>
      </c>
      <c r="B104" s="3" t="s">
        <v>120</v>
      </c>
      <c r="C104" s="3" t="s">
        <v>120</v>
      </c>
      <c r="D104" s="3" t="s">
        <v>7</v>
      </c>
      <c r="E104" s="3" t="str">
        <v>Meilen</v>
      </c>
      <c r="I104" s="19">
        <v>1162</v>
      </c>
      <c r="J104" s="19" t="s">
        <v>4539</v>
      </c>
    </row>
    <row r="105" spans="1:10" x14ac:dyDescent="0.2">
      <c r="A105" s="3">
        <v>8344</v>
      </c>
      <c r="B105" s="3" t="s">
        <v>121</v>
      </c>
      <c r="C105" s="3" t="s">
        <v>121</v>
      </c>
      <c r="D105" s="3" t="s">
        <v>7</v>
      </c>
      <c r="E105" s="3" t="str">
        <v>Oetwil am See</v>
      </c>
      <c r="I105" s="19">
        <v>1163</v>
      </c>
      <c r="J105" s="19" t="s">
        <v>4539</v>
      </c>
    </row>
    <row r="106" spans="1:10" x14ac:dyDescent="0.2">
      <c r="A106" s="3">
        <v>8345</v>
      </c>
      <c r="B106" s="3" t="s">
        <v>122</v>
      </c>
      <c r="C106" s="3" t="s">
        <v>121</v>
      </c>
      <c r="D106" s="3" t="s">
        <v>7</v>
      </c>
      <c r="E106" s="3" t="str">
        <v>Stäfa</v>
      </c>
      <c r="I106" s="19">
        <v>1164</v>
      </c>
      <c r="J106" s="19" t="s">
        <v>4539</v>
      </c>
    </row>
    <row r="107" spans="1:10" x14ac:dyDescent="0.2">
      <c r="A107" s="3">
        <v>8608</v>
      </c>
      <c r="B107" s="3" t="s">
        <v>123</v>
      </c>
      <c r="C107" s="3" t="s">
        <v>123</v>
      </c>
      <c r="D107" s="3" t="s">
        <v>7</v>
      </c>
      <c r="E107" s="3" t="str">
        <v>Uetikon am See</v>
      </c>
      <c r="I107" s="19">
        <v>1165</v>
      </c>
      <c r="J107" s="19" t="s">
        <v>4539</v>
      </c>
    </row>
    <row r="108" spans="1:10" x14ac:dyDescent="0.2">
      <c r="A108" s="3">
        <v>8633</v>
      </c>
      <c r="B108" s="3" t="s">
        <v>124</v>
      </c>
      <c r="C108" s="3" t="s">
        <v>123</v>
      </c>
      <c r="D108" s="3" t="s">
        <v>7</v>
      </c>
      <c r="E108" s="3" t="str">
        <v>Zumikon</v>
      </c>
      <c r="I108" s="19">
        <v>1166</v>
      </c>
      <c r="J108" s="19" t="s">
        <v>4539</v>
      </c>
    </row>
    <row r="109" spans="1:10" x14ac:dyDescent="0.2">
      <c r="A109" s="3">
        <v>8632</v>
      </c>
      <c r="B109" s="3" t="s">
        <v>125</v>
      </c>
      <c r="C109" s="3" t="s">
        <v>126</v>
      </c>
      <c r="D109" s="3" t="s">
        <v>7</v>
      </c>
      <c r="E109" s="3" t="str">
        <v>Zollikon</v>
      </c>
      <c r="I109" s="19">
        <v>1167</v>
      </c>
      <c r="J109" s="19" t="s">
        <v>4539</v>
      </c>
    </row>
    <row r="110" spans="1:10" x14ac:dyDescent="0.2">
      <c r="A110" s="3">
        <v>8635</v>
      </c>
      <c r="B110" s="3" t="s">
        <v>126</v>
      </c>
      <c r="C110" s="3" t="s">
        <v>126</v>
      </c>
      <c r="D110" s="3" t="s">
        <v>7</v>
      </c>
      <c r="E110" s="3" t="str">
        <v>Fehraltorf</v>
      </c>
      <c r="I110" s="19">
        <v>1168</v>
      </c>
      <c r="J110" s="19" t="s">
        <v>4539</v>
      </c>
    </row>
    <row r="111" spans="1:10" x14ac:dyDescent="0.2">
      <c r="A111" s="3">
        <v>8496</v>
      </c>
      <c r="B111" s="3" t="s">
        <v>127</v>
      </c>
      <c r="C111" s="3" t="s">
        <v>128</v>
      </c>
      <c r="D111" s="3" t="s">
        <v>7</v>
      </c>
      <c r="E111" s="3" t="str">
        <v>Hittnau</v>
      </c>
      <c r="I111" s="19">
        <v>1169</v>
      </c>
      <c r="J111" s="19" t="s">
        <v>4539</v>
      </c>
    </row>
    <row r="112" spans="1:10" x14ac:dyDescent="0.2">
      <c r="A112" s="3">
        <v>8497</v>
      </c>
      <c r="B112" s="3" t="s">
        <v>128</v>
      </c>
      <c r="C112" s="3" t="s">
        <v>128</v>
      </c>
      <c r="D112" s="3" t="s">
        <v>7</v>
      </c>
      <c r="E112" s="3" t="str">
        <v>Lindau</v>
      </c>
      <c r="I112" s="19">
        <v>1170</v>
      </c>
      <c r="J112" s="19" t="s">
        <v>4539</v>
      </c>
    </row>
    <row r="113" spans="1:10" x14ac:dyDescent="0.2">
      <c r="A113" s="3">
        <v>8498</v>
      </c>
      <c r="B113" s="3" t="s">
        <v>129</v>
      </c>
      <c r="C113" s="3" t="s">
        <v>128</v>
      </c>
      <c r="D113" s="3" t="s">
        <v>7</v>
      </c>
      <c r="E113" s="3" t="str">
        <v>Pfäffikon</v>
      </c>
      <c r="I113" s="19">
        <v>1172</v>
      </c>
      <c r="J113" s="19" t="s">
        <v>4539</v>
      </c>
    </row>
    <row r="114" spans="1:10" x14ac:dyDescent="0.2">
      <c r="A114" s="3">
        <v>8614</v>
      </c>
      <c r="B114" s="3" t="s">
        <v>130</v>
      </c>
      <c r="C114" s="3" t="s">
        <v>131</v>
      </c>
      <c r="D114" s="3" t="s">
        <v>7</v>
      </c>
      <c r="E114" s="3" t="str">
        <v>Russikon</v>
      </c>
      <c r="I114" s="19">
        <v>1173</v>
      </c>
      <c r="J114" s="19" t="s">
        <v>4539</v>
      </c>
    </row>
    <row r="115" spans="1:10" x14ac:dyDescent="0.2">
      <c r="A115" s="3">
        <v>8624</v>
      </c>
      <c r="B115" s="3" t="s">
        <v>132</v>
      </c>
      <c r="C115" s="3" t="s">
        <v>131</v>
      </c>
      <c r="D115" s="3" t="s">
        <v>7</v>
      </c>
      <c r="E115" s="3" t="str">
        <v>Weisslingen</v>
      </c>
      <c r="I115" s="19">
        <v>1174</v>
      </c>
      <c r="J115" s="19" t="s">
        <v>4539</v>
      </c>
    </row>
    <row r="116" spans="1:10" x14ac:dyDescent="0.2">
      <c r="A116" s="3">
        <v>8625</v>
      </c>
      <c r="B116" s="3" t="s">
        <v>133</v>
      </c>
      <c r="C116" s="3" t="s">
        <v>131</v>
      </c>
      <c r="D116" s="3" t="s">
        <v>7</v>
      </c>
      <c r="E116" s="3" t="str">
        <v>Wila</v>
      </c>
      <c r="I116" s="19">
        <v>1175</v>
      </c>
      <c r="J116" s="19" t="s">
        <v>4539</v>
      </c>
    </row>
    <row r="117" spans="1:10" x14ac:dyDescent="0.2">
      <c r="A117" s="3">
        <v>8626</v>
      </c>
      <c r="B117" s="3" t="s">
        <v>134</v>
      </c>
      <c r="C117" s="3" t="s">
        <v>131</v>
      </c>
      <c r="D117" s="3" t="s">
        <v>7</v>
      </c>
      <c r="E117" s="3" t="str">
        <v>Wildberg</v>
      </c>
      <c r="I117" s="19">
        <v>1176</v>
      </c>
      <c r="J117" s="19" t="s">
        <v>4539</v>
      </c>
    </row>
    <row r="118" spans="1:10" x14ac:dyDescent="0.2">
      <c r="A118" s="3">
        <v>8627</v>
      </c>
      <c r="B118" s="3" t="s">
        <v>135</v>
      </c>
      <c r="C118" s="3" t="s">
        <v>135</v>
      </c>
      <c r="D118" s="3" t="s">
        <v>7</v>
      </c>
      <c r="E118" s="3" t="str">
        <v>Dübendorf</v>
      </c>
      <c r="I118" s="19">
        <v>1180</v>
      </c>
      <c r="J118" s="19" t="s">
        <v>4539</v>
      </c>
    </row>
    <row r="119" spans="1:10" x14ac:dyDescent="0.2">
      <c r="A119" s="3">
        <v>8340</v>
      </c>
      <c r="B119" s="3" t="s">
        <v>136</v>
      </c>
      <c r="C119" s="3" t="s">
        <v>136</v>
      </c>
      <c r="D119" s="3" t="s">
        <v>7</v>
      </c>
      <c r="E119" s="3" t="str">
        <v>Egg</v>
      </c>
      <c r="I119" s="19">
        <v>1182</v>
      </c>
      <c r="J119" s="19" t="s">
        <v>4541</v>
      </c>
    </row>
    <row r="120" spans="1:10" x14ac:dyDescent="0.2">
      <c r="A120" s="3">
        <v>8342</v>
      </c>
      <c r="B120" s="3" t="s">
        <v>137</v>
      </c>
      <c r="C120" s="3" t="s">
        <v>136</v>
      </c>
      <c r="D120" s="3" t="s">
        <v>7</v>
      </c>
      <c r="E120" s="3" t="str">
        <v>Fällanden</v>
      </c>
      <c r="I120" s="19">
        <v>1183</v>
      </c>
      <c r="J120" s="19" t="s">
        <v>4541</v>
      </c>
    </row>
    <row r="121" spans="1:10" x14ac:dyDescent="0.2">
      <c r="A121" s="3">
        <v>8630</v>
      </c>
      <c r="B121" s="3" t="s">
        <v>138</v>
      </c>
      <c r="C121" s="3" t="s">
        <v>139</v>
      </c>
      <c r="D121" s="3" t="s">
        <v>7</v>
      </c>
      <c r="E121" s="3" t="str">
        <v>Greifensee</v>
      </c>
      <c r="I121" s="19">
        <v>1184</v>
      </c>
      <c r="J121" s="19" t="s">
        <v>4541</v>
      </c>
    </row>
    <row r="122" spans="1:10" x14ac:dyDescent="0.2">
      <c r="A122" s="3">
        <v>8607</v>
      </c>
      <c r="B122" s="3" t="s">
        <v>140</v>
      </c>
      <c r="C122" s="3" t="s">
        <v>141</v>
      </c>
      <c r="D122" s="3" t="s">
        <v>7</v>
      </c>
      <c r="E122" s="3" t="str">
        <v>Maur</v>
      </c>
      <c r="I122" s="19">
        <v>1185</v>
      </c>
      <c r="J122" s="19" t="s">
        <v>4539</v>
      </c>
    </row>
    <row r="123" spans="1:10" x14ac:dyDescent="0.2">
      <c r="A123" s="3">
        <v>8636</v>
      </c>
      <c r="B123" s="3" t="s">
        <v>142</v>
      </c>
      <c r="C123" s="3" t="s">
        <v>143</v>
      </c>
      <c r="D123" s="3" t="s">
        <v>7</v>
      </c>
      <c r="E123" s="3" t="str">
        <v>Mönchaltorf</v>
      </c>
      <c r="I123" s="19">
        <v>1186</v>
      </c>
      <c r="J123" s="19" t="s">
        <v>4539</v>
      </c>
    </row>
    <row r="124" spans="1:10" x14ac:dyDescent="0.2">
      <c r="A124" s="3">
        <v>8637</v>
      </c>
      <c r="B124" s="3" t="s">
        <v>144</v>
      </c>
      <c r="C124" s="3" t="s">
        <v>143</v>
      </c>
      <c r="D124" s="3" t="s">
        <v>7</v>
      </c>
      <c r="E124" s="3" t="str">
        <v>Schwerzenbach</v>
      </c>
      <c r="I124" s="19">
        <v>1187</v>
      </c>
      <c r="J124" s="19" t="s">
        <v>4539</v>
      </c>
    </row>
    <row r="125" spans="1:10" x14ac:dyDescent="0.2">
      <c r="A125" s="3">
        <v>8620</v>
      </c>
      <c r="B125" s="3" t="s">
        <v>145</v>
      </c>
      <c r="C125" s="3" t="s">
        <v>146</v>
      </c>
      <c r="D125" s="3" t="s">
        <v>7</v>
      </c>
      <c r="E125" s="3" t="str">
        <v>Uster</v>
      </c>
      <c r="I125" s="19">
        <v>1188</v>
      </c>
      <c r="J125" s="19" t="s">
        <v>4539</v>
      </c>
    </row>
    <row r="126" spans="1:10" x14ac:dyDescent="0.2">
      <c r="A126" s="3">
        <v>8623</v>
      </c>
      <c r="B126" s="3" t="s">
        <v>145</v>
      </c>
      <c r="C126" s="3" t="s">
        <v>146</v>
      </c>
      <c r="D126" s="3" t="s">
        <v>7</v>
      </c>
      <c r="E126" s="3" t="str">
        <v>Volketswil</v>
      </c>
      <c r="I126" s="19">
        <v>1189</v>
      </c>
      <c r="J126" s="19" t="s">
        <v>4539</v>
      </c>
    </row>
    <row r="127" spans="1:10" x14ac:dyDescent="0.2">
      <c r="A127" s="3">
        <v>8134</v>
      </c>
      <c r="B127" s="3" t="s">
        <v>147</v>
      </c>
      <c r="C127" s="3" t="s">
        <v>147</v>
      </c>
      <c r="D127" s="3" t="s">
        <v>7</v>
      </c>
      <c r="E127" s="3" t="str">
        <v>Wangen-Brüttisellen</v>
      </c>
      <c r="I127" s="19">
        <v>1195</v>
      </c>
      <c r="J127" s="19" t="s">
        <v>4541</v>
      </c>
    </row>
    <row r="128" spans="1:10" x14ac:dyDescent="0.2">
      <c r="A128" s="3">
        <v>8802</v>
      </c>
      <c r="B128" s="3" t="s">
        <v>148</v>
      </c>
      <c r="C128" s="3" t="s">
        <v>149</v>
      </c>
      <c r="D128" s="3" t="s">
        <v>7</v>
      </c>
      <c r="E128" s="3" t="str">
        <v>Altikon</v>
      </c>
      <c r="I128" s="19">
        <v>1196</v>
      </c>
      <c r="J128" s="19" t="s">
        <v>4541</v>
      </c>
    </row>
    <row r="129" spans="1:10" x14ac:dyDescent="0.2">
      <c r="A129" s="3">
        <v>8135</v>
      </c>
      <c r="B129" s="3" t="s">
        <v>150</v>
      </c>
      <c r="C129" s="3" t="s">
        <v>150</v>
      </c>
      <c r="D129" s="3" t="s">
        <v>7</v>
      </c>
      <c r="E129" s="3" t="str">
        <v>Brütten</v>
      </c>
      <c r="I129" s="19">
        <v>1197</v>
      </c>
      <c r="J129" s="19" t="s">
        <v>4541</v>
      </c>
    </row>
    <row r="130" spans="1:10" x14ac:dyDescent="0.2">
      <c r="A130" s="3">
        <v>8942</v>
      </c>
      <c r="B130" s="3" t="s">
        <v>151</v>
      </c>
      <c r="C130" s="3" t="s">
        <v>151</v>
      </c>
      <c r="D130" s="3" t="s">
        <v>7</v>
      </c>
      <c r="E130" s="3" t="str">
        <v>Dägerlen</v>
      </c>
      <c r="I130" s="19">
        <v>1201</v>
      </c>
      <c r="J130" s="19" t="s">
        <v>4541</v>
      </c>
    </row>
    <row r="131" spans="1:10" x14ac:dyDescent="0.2">
      <c r="A131" s="3">
        <v>8805</v>
      </c>
      <c r="B131" s="3" t="s">
        <v>152</v>
      </c>
      <c r="C131" s="3" t="s">
        <v>152</v>
      </c>
      <c r="D131" s="3" t="s">
        <v>7</v>
      </c>
      <c r="E131" s="3" t="str">
        <v>Dättlikon</v>
      </c>
      <c r="I131" s="19">
        <v>1202</v>
      </c>
      <c r="J131" s="19" t="s">
        <v>4541</v>
      </c>
    </row>
    <row r="132" spans="1:10" x14ac:dyDescent="0.2">
      <c r="A132" s="3">
        <v>8833</v>
      </c>
      <c r="B132" s="3" t="s">
        <v>153</v>
      </c>
      <c r="C132" s="3" t="s">
        <v>152</v>
      </c>
      <c r="D132" s="3" t="s">
        <v>7</v>
      </c>
      <c r="E132" s="3" t="str">
        <v>Dinhard</v>
      </c>
      <c r="I132" s="19">
        <v>1203</v>
      </c>
      <c r="J132" s="19" t="s">
        <v>4541</v>
      </c>
    </row>
    <row r="133" spans="1:10" x14ac:dyDescent="0.2">
      <c r="A133" s="3">
        <v>8803</v>
      </c>
      <c r="B133" s="3" t="s">
        <v>154</v>
      </c>
      <c r="C133" s="3" t="s">
        <v>154</v>
      </c>
      <c r="D133" s="3" t="s">
        <v>7</v>
      </c>
      <c r="E133" s="3" t="str">
        <v>Ellikon an der Thur</v>
      </c>
      <c r="I133" s="19">
        <v>1204</v>
      </c>
      <c r="J133" s="19" t="s">
        <v>4541</v>
      </c>
    </row>
    <row r="134" spans="1:10" x14ac:dyDescent="0.2">
      <c r="A134" s="3">
        <v>8136</v>
      </c>
      <c r="B134" s="3" t="s">
        <v>155</v>
      </c>
      <c r="C134" s="3" t="s">
        <v>156</v>
      </c>
      <c r="D134" s="3" t="s">
        <v>7</v>
      </c>
      <c r="E134" s="3" t="str">
        <v>Elsau</v>
      </c>
      <c r="I134" s="19">
        <v>1205</v>
      </c>
      <c r="J134" s="19" t="s">
        <v>4541</v>
      </c>
    </row>
    <row r="135" spans="1:10" x14ac:dyDescent="0.2">
      <c r="A135" s="3">
        <v>8800</v>
      </c>
      <c r="B135" s="3" t="s">
        <v>156</v>
      </c>
      <c r="C135" s="3" t="s">
        <v>156</v>
      </c>
      <c r="D135" s="3" t="s">
        <v>7</v>
      </c>
      <c r="E135" s="3" t="str">
        <v>Hagenbuch</v>
      </c>
      <c r="I135" s="19">
        <v>1206</v>
      </c>
      <c r="J135" s="19" t="s">
        <v>4541</v>
      </c>
    </row>
    <row r="136" spans="1:10" x14ac:dyDescent="0.2">
      <c r="A136" s="3">
        <v>8703</v>
      </c>
      <c r="B136" s="3" t="s">
        <v>157</v>
      </c>
      <c r="C136" s="3" t="s">
        <v>158</v>
      </c>
      <c r="D136" s="3" t="s">
        <v>7</v>
      </c>
      <c r="E136" s="3" t="str">
        <v>Hettlingen</v>
      </c>
      <c r="I136" s="19">
        <v>1207</v>
      </c>
      <c r="J136" s="19" t="s">
        <v>4541</v>
      </c>
    </row>
    <row r="137" spans="1:10" x14ac:dyDescent="0.2">
      <c r="A137" s="3">
        <v>8704</v>
      </c>
      <c r="B137" s="3" t="s">
        <v>159</v>
      </c>
      <c r="C137" s="3" t="s">
        <v>159</v>
      </c>
      <c r="D137" s="3" t="s">
        <v>7</v>
      </c>
      <c r="E137" s="3" t="str">
        <v>Neftenbach</v>
      </c>
      <c r="I137" s="19">
        <v>1208</v>
      </c>
      <c r="J137" s="19" t="s">
        <v>4541</v>
      </c>
    </row>
    <row r="138" spans="1:10" x14ac:dyDescent="0.2">
      <c r="A138" s="3">
        <v>8634</v>
      </c>
      <c r="B138" s="3" t="s">
        <v>160</v>
      </c>
      <c r="C138" s="3" t="s">
        <v>160</v>
      </c>
      <c r="D138" s="3" t="s">
        <v>7</v>
      </c>
      <c r="E138" s="3" t="str">
        <v>Pfungen</v>
      </c>
      <c r="I138" s="19">
        <v>1209</v>
      </c>
      <c r="J138" s="19" t="s">
        <v>4541</v>
      </c>
    </row>
    <row r="139" spans="1:10" x14ac:dyDescent="0.2">
      <c r="A139" s="3">
        <v>8714</v>
      </c>
      <c r="B139" s="3" t="s">
        <v>161</v>
      </c>
      <c r="C139" s="3" t="s">
        <v>160</v>
      </c>
      <c r="D139" s="3" t="s">
        <v>7</v>
      </c>
      <c r="E139" s="3" t="str">
        <v>Rickenbach (ZH)</v>
      </c>
      <c r="I139" s="19">
        <v>1212</v>
      </c>
      <c r="J139" s="19" t="s">
        <v>4541</v>
      </c>
    </row>
    <row r="140" spans="1:10" x14ac:dyDescent="0.2">
      <c r="A140" s="3">
        <v>8127</v>
      </c>
      <c r="B140" s="3" t="s">
        <v>162</v>
      </c>
      <c r="C140" s="3" t="s">
        <v>163</v>
      </c>
      <c r="D140" s="3" t="s">
        <v>7</v>
      </c>
      <c r="E140" s="3" t="str">
        <v>Schlatt (ZH)</v>
      </c>
      <c r="I140" s="19">
        <v>1213</v>
      </c>
      <c r="J140" s="19" t="s">
        <v>4541</v>
      </c>
    </row>
    <row r="141" spans="1:10" x14ac:dyDescent="0.2">
      <c r="A141" s="3">
        <v>8700</v>
      </c>
      <c r="B141" s="3" t="s">
        <v>164</v>
      </c>
      <c r="C141" s="3" t="s">
        <v>163</v>
      </c>
      <c r="D141" s="3" t="s">
        <v>7</v>
      </c>
      <c r="E141" s="3" t="str">
        <v>Seuzach</v>
      </c>
      <c r="I141" s="19">
        <v>1214</v>
      </c>
      <c r="J141" s="19" t="s">
        <v>4541</v>
      </c>
    </row>
    <row r="142" spans="1:10" x14ac:dyDescent="0.2">
      <c r="A142" s="3">
        <v>8708</v>
      </c>
      <c r="B142" s="3" t="s">
        <v>165</v>
      </c>
      <c r="C142" s="3" t="s">
        <v>165</v>
      </c>
      <c r="D142" s="3" t="s">
        <v>7</v>
      </c>
      <c r="E142" s="3" t="str">
        <v>Turbenthal</v>
      </c>
      <c r="I142" s="19">
        <v>1215</v>
      </c>
      <c r="J142" s="19" t="s">
        <v>4541</v>
      </c>
    </row>
    <row r="143" spans="1:10" x14ac:dyDescent="0.2">
      <c r="A143" s="3">
        <v>8706</v>
      </c>
      <c r="B143" s="3" t="s">
        <v>166</v>
      </c>
      <c r="C143" s="3" t="s">
        <v>166</v>
      </c>
      <c r="D143" s="3" t="s">
        <v>7</v>
      </c>
      <c r="E143" s="3" t="str">
        <v>Winterthur</v>
      </c>
      <c r="I143" s="19">
        <v>1216</v>
      </c>
      <c r="J143" s="19" t="s">
        <v>4541</v>
      </c>
    </row>
    <row r="144" spans="1:10" x14ac:dyDescent="0.2">
      <c r="A144" s="3">
        <v>8618</v>
      </c>
      <c r="B144" s="3" t="s">
        <v>167</v>
      </c>
      <c r="C144" s="3" t="s">
        <v>167</v>
      </c>
      <c r="D144" s="3" t="s">
        <v>7</v>
      </c>
      <c r="E144" s="3" t="str">
        <v>Zell (ZH)</v>
      </c>
      <c r="I144" s="19">
        <v>1217</v>
      </c>
      <c r="J144" s="19" t="s">
        <v>4541</v>
      </c>
    </row>
    <row r="145" spans="1:10" x14ac:dyDescent="0.2">
      <c r="A145" s="3">
        <v>8712</v>
      </c>
      <c r="B145" s="3" t="s">
        <v>168</v>
      </c>
      <c r="C145" s="3" t="s">
        <v>168</v>
      </c>
      <c r="D145" s="3" t="s">
        <v>7</v>
      </c>
      <c r="E145" s="3" t="str">
        <v>Aesch (ZH)</v>
      </c>
      <c r="I145" s="19">
        <v>1218</v>
      </c>
      <c r="J145" s="19" t="s">
        <v>4541</v>
      </c>
    </row>
    <row r="146" spans="1:10" x14ac:dyDescent="0.2">
      <c r="A146" s="3">
        <v>8713</v>
      </c>
      <c r="B146" s="3" t="s">
        <v>169</v>
      </c>
      <c r="C146" s="3" t="s">
        <v>168</v>
      </c>
      <c r="D146" s="3" t="s">
        <v>7</v>
      </c>
      <c r="E146" s="3" t="str">
        <v>Birmensdorf (ZH)</v>
      </c>
      <c r="I146" s="19">
        <v>1219</v>
      </c>
      <c r="J146" s="19" t="s">
        <v>4541</v>
      </c>
    </row>
    <row r="147" spans="1:10" x14ac:dyDescent="0.2">
      <c r="A147" s="3">
        <v>8707</v>
      </c>
      <c r="B147" s="3" t="s">
        <v>170</v>
      </c>
      <c r="C147" s="3" t="s">
        <v>170</v>
      </c>
      <c r="D147" s="3" t="s">
        <v>7</v>
      </c>
      <c r="E147" s="3" t="str">
        <v>Dietikon</v>
      </c>
      <c r="I147" s="19">
        <v>1220</v>
      </c>
      <c r="J147" s="19" t="s">
        <v>4541</v>
      </c>
    </row>
    <row r="148" spans="1:10" x14ac:dyDescent="0.2">
      <c r="A148" s="3">
        <v>8126</v>
      </c>
      <c r="B148" s="3" t="s">
        <v>171</v>
      </c>
      <c r="C148" s="3" t="s">
        <v>171</v>
      </c>
      <c r="D148" s="3" t="s">
        <v>7</v>
      </c>
      <c r="E148" s="3" t="str">
        <v>Geroldswil</v>
      </c>
      <c r="I148" s="19">
        <v>1222</v>
      </c>
      <c r="J148" s="19" t="s">
        <v>4541</v>
      </c>
    </row>
    <row r="149" spans="1:10" x14ac:dyDescent="0.2">
      <c r="A149" s="3">
        <v>8125</v>
      </c>
      <c r="B149" s="3" t="s">
        <v>172</v>
      </c>
      <c r="C149" s="3" t="s">
        <v>173</v>
      </c>
      <c r="D149" s="3" t="s">
        <v>7</v>
      </c>
      <c r="E149" s="3" t="str">
        <v>Oberengstringen</v>
      </c>
      <c r="I149" s="19">
        <v>1223</v>
      </c>
      <c r="J149" s="19" t="s">
        <v>4541</v>
      </c>
    </row>
    <row r="150" spans="1:10" x14ac:dyDescent="0.2">
      <c r="A150" s="3">
        <v>8702</v>
      </c>
      <c r="B150" s="3" t="s">
        <v>173</v>
      </c>
      <c r="C150" s="3" t="s">
        <v>173</v>
      </c>
      <c r="D150" s="3" t="s">
        <v>7</v>
      </c>
      <c r="E150" s="3" t="str">
        <v>Oetwil an der Limmat</v>
      </c>
      <c r="I150" s="19">
        <v>1224</v>
      </c>
      <c r="J150" s="19" t="s">
        <v>4541</v>
      </c>
    </row>
    <row r="151" spans="1:10" x14ac:dyDescent="0.2">
      <c r="A151" s="3">
        <v>8320</v>
      </c>
      <c r="B151" s="3" t="s">
        <v>174</v>
      </c>
      <c r="C151" s="3" t="s">
        <v>174</v>
      </c>
      <c r="D151" s="3" t="s">
        <v>7</v>
      </c>
      <c r="E151" s="3" t="str">
        <v>Schlieren</v>
      </c>
      <c r="I151" s="19">
        <v>1225</v>
      </c>
      <c r="J151" s="19" t="s">
        <v>4541</v>
      </c>
    </row>
    <row r="152" spans="1:10" x14ac:dyDescent="0.2">
      <c r="A152" s="3">
        <v>8335</v>
      </c>
      <c r="B152" s="3" t="s">
        <v>175</v>
      </c>
      <c r="C152" s="3" t="s">
        <v>175</v>
      </c>
      <c r="D152" s="3" t="s">
        <v>7</v>
      </c>
      <c r="E152" s="3" t="str">
        <v>Uitikon</v>
      </c>
      <c r="I152" s="19">
        <v>1226</v>
      </c>
      <c r="J152" s="19" t="s">
        <v>4541</v>
      </c>
    </row>
    <row r="153" spans="1:10" x14ac:dyDescent="0.2">
      <c r="A153" s="3">
        <v>8310</v>
      </c>
      <c r="B153" s="3" t="s">
        <v>176</v>
      </c>
      <c r="C153" s="3" t="s">
        <v>177</v>
      </c>
      <c r="D153" s="3" t="s">
        <v>7</v>
      </c>
      <c r="E153" s="3" t="str">
        <v>Unterengstringen</v>
      </c>
      <c r="I153" s="19">
        <v>1227</v>
      </c>
      <c r="J153" s="19" t="s">
        <v>4541</v>
      </c>
    </row>
    <row r="154" spans="1:10" x14ac:dyDescent="0.2">
      <c r="A154" s="3">
        <v>8310</v>
      </c>
      <c r="B154" s="3" t="s">
        <v>178</v>
      </c>
      <c r="C154" s="3" t="s">
        <v>177</v>
      </c>
      <c r="D154" s="3" t="s">
        <v>7</v>
      </c>
      <c r="E154" s="3" t="str">
        <v>Urdorf</v>
      </c>
      <c r="I154" s="19">
        <v>1228</v>
      </c>
      <c r="J154" s="19" t="s">
        <v>4541</v>
      </c>
    </row>
    <row r="155" spans="1:10" x14ac:dyDescent="0.2">
      <c r="A155" s="3">
        <v>8312</v>
      </c>
      <c r="B155" s="3" t="s">
        <v>179</v>
      </c>
      <c r="C155" s="3" t="s">
        <v>177</v>
      </c>
      <c r="D155" s="3" t="s">
        <v>7</v>
      </c>
      <c r="E155" s="3" t="str">
        <v>Weiningen (ZH)</v>
      </c>
      <c r="I155" s="19">
        <v>1231</v>
      </c>
      <c r="J155" s="19" t="s">
        <v>4541</v>
      </c>
    </row>
    <row r="156" spans="1:10" x14ac:dyDescent="0.2">
      <c r="A156" s="3">
        <v>8315</v>
      </c>
      <c r="B156" s="3" t="s">
        <v>177</v>
      </c>
      <c r="C156" s="3" t="s">
        <v>177</v>
      </c>
      <c r="D156" s="3" t="s">
        <v>7</v>
      </c>
      <c r="E156" s="3" t="str">
        <v>Zürich</v>
      </c>
      <c r="I156" s="19">
        <v>1232</v>
      </c>
      <c r="J156" s="19" t="s">
        <v>4541</v>
      </c>
    </row>
    <row r="157" spans="1:10" x14ac:dyDescent="0.2">
      <c r="A157" s="3">
        <v>8317</v>
      </c>
      <c r="B157" s="3" t="s">
        <v>180</v>
      </c>
      <c r="C157" s="3" t="s">
        <v>177</v>
      </c>
      <c r="D157" s="3" t="s">
        <v>7</v>
      </c>
      <c r="E157" s="3" t="str">
        <v>Stammheim</v>
      </c>
      <c r="I157" s="19">
        <v>1233</v>
      </c>
      <c r="J157" s="19" t="s">
        <v>4541</v>
      </c>
    </row>
    <row r="158" spans="1:10" x14ac:dyDescent="0.2">
      <c r="A158" s="3">
        <v>8330</v>
      </c>
      <c r="B158" s="3" t="s">
        <v>181</v>
      </c>
      <c r="C158" s="3" t="s">
        <v>182</v>
      </c>
      <c r="D158" s="3" t="s">
        <v>7</v>
      </c>
      <c r="E158" s="3" t="str">
        <v>Wädenswil</v>
      </c>
      <c r="I158" s="19">
        <v>1234</v>
      </c>
      <c r="J158" s="19" t="s">
        <v>4541</v>
      </c>
    </row>
    <row r="159" spans="1:10" x14ac:dyDescent="0.2">
      <c r="A159" s="3">
        <v>8331</v>
      </c>
      <c r="B159" s="3" t="s">
        <v>183</v>
      </c>
      <c r="C159" s="3" t="s">
        <v>182</v>
      </c>
      <c r="D159" s="3" t="s">
        <v>7</v>
      </c>
      <c r="E159" s="3" t="str">
        <v>Elgg</v>
      </c>
      <c r="I159" s="19">
        <v>1236</v>
      </c>
      <c r="J159" s="19" t="s">
        <v>4541</v>
      </c>
    </row>
    <row r="160" spans="1:10" x14ac:dyDescent="0.2">
      <c r="A160" s="3">
        <v>8322</v>
      </c>
      <c r="B160" s="3" t="s">
        <v>184</v>
      </c>
      <c r="C160" s="3" t="s">
        <v>185</v>
      </c>
      <c r="D160" s="3" t="s">
        <v>7</v>
      </c>
      <c r="E160" s="3" t="str">
        <v>Horgen</v>
      </c>
      <c r="I160" s="19">
        <v>1237</v>
      </c>
      <c r="J160" s="19" t="s">
        <v>4541</v>
      </c>
    </row>
    <row r="161" spans="1:10" x14ac:dyDescent="0.2">
      <c r="A161" s="3">
        <v>8322</v>
      </c>
      <c r="B161" s="3" t="s">
        <v>186</v>
      </c>
      <c r="C161" s="3" t="s">
        <v>185</v>
      </c>
      <c r="D161" s="3" t="s">
        <v>7</v>
      </c>
      <c r="E161" s="3" t="str">
        <v>Illnau-Effretikon</v>
      </c>
      <c r="I161" s="19">
        <v>1239</v>
      </c>
      <c r="J161" s="19" t="s">
        <v>4541</v>
      </c>
    </row>
    <row r="162" spans="1:10" x14ac:dyDescent="0.2">
      <c r="A162" s="3">
        <v>8332</v>
      </c>
      <c r="B162" s="3" t="s">
        <v>185</v>
      </c>
      <c r="C162" s="3" t="s">
        <v>185</v>
      </c>
      <c r="D162" s="3" t="s">
        <v>7</v>
      </c>
      <c r="E162" s="3" t="str">
        <v>Bauma</v>
      </c>
      <c r="I162" s="19">
        <v>1241</v>
      </c>
      <c r="J162" s="19" t="s">
        <v>4541</v>
      </c>
    </row>
    <row r="163" spans="1:10" x14ac:dyDescent="0.2">
      <c r="A163" s="3">
        <v>8332</v>
      </c>
      <c r="B163" s="3" t="s">
        <v>187</v>
      </c>
      <c r="C163" s="3" t="s">
        <v>185</v>
      </c>
      <c r="D163" s="3" t="s">
        <v>7</v>
      </c>
      <c r="E163" s="3" t="str">
        <v>Wiesendangen</v>
      </c>
      <c r="I163" s="19">
        <v>1242</v>
      </c>
      <c r="J163" s="19" t="s">
        <v>4541</v>
      </c>
    </row>
    <row r="164" spans="1:10" x14ac:dyDescent="0.2">
      <c r="A164" s="3">
        <v>8484</v>
      </c>
      <c r="B164" s="3" t="s">
        <v>188</v>
      </c>
      <c r="C164" s="3" t="s">
        <v>188</v>
      </c>
      <c r="D164" s="3" t="s">
        <v>7</v>
      </c>
      <c r="E164" s="3" t="str">
        <v>Aarberg</v>
      </c>
      <c r="I164" s="19">
        <v>1243</v>
      </c>
      <c r="J164" s="19" t="s">
        <v>4541</v>
      </c>
    </row>
    <row r="165" spans="1:10" x14ac:dyDescent="0.2">
      <c r="A165" s="3">
        <v>8484</v>
      </c>
      <c r="B165" s="3" t="s">
        <v>189</v>
      </c>
      <c r="C165" s="3" t="s">
        <v>188</v>
      </c>
      <c r="D165" s="3" t="s">
        <v>7</v>
      </c>
      <c r="E165" s="3" t="str">
        <v>Bargen (BE)</v>
      </c>
      <c r="I165" s="19">
        <v>1244</v>
      </c>
      <c r="J165" s="19" t="s">
        <v>4541</v>
      </c>
    </row>
    <row r="166" spans="1:10" x14ac:dyDescent="0.2">
      <c r="A166" s="3">
        <v>8484</v>
      </c>
      <c r="B166" s="3" t="s">
        <v>190</v>
      </c>
      <c r="C166" s="3" t="s">
        <v>188</v>
      </c>
      <c r="D166" s="3" t="s">
        <v>7</v>
      </c>
      <c r="E166" s="3" t="str">
        <v>Grossaffoltern</v>
      </c>
      <c r="I166" s="19">
        <v>1245</v>
      </c>
      <c r="J166" s="19" t="s">
        <v>4541</v>
      </c>
    </row>
    <row r="167" spans="1:10" x14ac:dyDescent="0.2">
      <c r="A167" s="3">
        <v>8492</v>
      </c>
      <c r="B167" s="3" t="s">
        <v>191</v>
      </c>
      <c r="C167" s="3" t="s">
        <v>191</v>
      </c>
      <c r="D167" s="3" t="s">
        <v>7</v>
      </c>
      <c r="E167" s="3" t="str">
        <v>Kallnach</v>
      </c>
      <c r="I167" s="19">
        <v>1246</v>
      </c>
      <c r="J167" s="19" t="s">
        <v>4541</v>
      </c>
    </row>
    <row r="168" spans="1:10" x14ac:dyDescent="0.2">
      <c r="A168" s="3">
        <v>8489</v>
      </c>
      <c r="B168" s="3" t="s">
        <v>192</v>
      </c>
      <c r="C168" s="3" t="s">
        <v>192</v>
      </c>
      <c r="D168" s="3" t="s">
        <v>7</v>
      </c>
      <c r="E168" s="3" t="str">
        <v>Kappelen</v>
      </c>
      <c r="I168" s="19">
        <v>1247</v>
      </c>
      <c r="J168" s="19" t="s">
        <v>4541</v>
      </c>
    </row>
    <row r="169" spans="1:10" x14ac:dyDescent="0.2">
      <c r="A169" s="3">
        <v>8489</v>
      </c>
      <c r="B169" s="3" t="s">
        <v>193</v>
      </c>
      <c r="C169" s="3" t="s">
        <v>192</v>
      </c>
      <c r="D169" s="3" t="s">
        <v>7</v>
      </c>
      <c r="E169" s="3" t="str">
        <v>Lyss</v>
      </c>
      <c r="I169" s="19">
        <v>1248</v>
      </c>
      <c r="J169" s="19" t="s">
        <v>4541</v>
      </c>
    </row>
    <row r="170" spans="1:10" x14ac:dyDescent="0.2">
      <c r="A170" s="3">
        <v>8489</v>
      </c>
      <c r="B170" s="3" t="s">
        <v>194</v>
      </c>
      <c r="C170" s="3" t="s">
        <v>192</v>
      </c>
      <c r="D170" s="3" t="s">
        <v>7</v>
      </c>
      <c r="E170" s="3" t="str">
        <v>Meikirch</v>
      </c>
      <c r="I170" s="19">
        <v>1251</v>
      </c>
      <c r="J170" s="19" t="s">
        <v>4541</v>
      </c>
    </row>
    <row r="171" spans="1:10" x14ac:dyDescent="0.2">
      <c r="A171" s="3">
        <v>8044</v>
      </c>
      <c r="B171" s="3" t="s">
        <v>195</v>
      </c>
      <c r="C171" s="3" t="s">
        <v>196</v>
      </c>
      <c r="D171" s="3" t="s">
        <v>7</v>
      </c>
      <c r="E171" s="3" t="str">
        <v>Radelfingen</v>
      </c>
      <c r="I171" s="19">
        <v>1252</v>
      </c>
      <c r="J171" s="19" t="s">
        <v>4541</v>
      </c>
    </row>
    <row r="172" spans="1:10" x14ac:dyDescent="0.2">
      <c r="A172" s="3">
        <v>8600</v>
      </c>
      <c r="B172" s="3" t="s">
        <v>196</v>
      </c>
      <c r="C172" s="3" t="s">
        <v>196</v>
      </c>
      <c r="D172" s="3" t="s">
        <v>7</v>
      </c>
      <c r="E172" s="3" t="str">
        <v>Rapperswil (BE)</v>
      </c>
      <c r="I172" s="19">
        <v>1253</v>
      </c>
      <c r="J172" s="19" t="s">
        <v>4541</v>
      </c>
    </row>
    <row r="173" spans="1:10" x14ac:dyDescent="0.2">
      <c r="A173" s="3">
        <v>8132</v>
      </c>
      <c r="B173" s="3" t="s">
        <v>197</v>
      </c>
      <c r="C173" s="3" t="s">
        <v>198</v>
      </c>
      <c r="D173" s="3" t="s">
        <v>7</v>
      </c>
      <c r="E173" s="3" t="str">
        <v>Schüpfen</v>
      </c>
      <c r="I173" s="19">
        <v>1254</v>
      </c>
      <c r="J173" s="19" t="s">
        <v>4541</v>
      </c>
    </row>
    <row r="174" spans="1:10" x14ac:dyDescent="0.2">
      <c r="A174" s="3">
        <v>8132</v>
      </c>
      <c r="B174" s="3" t="s">
        <v>199</v>
      </c>
      <c r="C174" s="3" t="s">
        <v>198</v>
      </c>
      <c r="D174" s="3" t="s">
        <v>7</v>
      </c>
      <c r="E174" s="3" t="str">
        <v>Seedorf (BE)</v>
      </c>
      <c r="I174" s="19">
        <v>1255</v>
      </c>
      <c r="J174" s="19" t="s">
        <v>4541</v>
      </c>
    </row>
    <row r="175" spans="1:10" x14ac:dyDescent="0.2">
      <c r="A175" s="3">
        <v>8133</v>
      </c>
      <c r="B175" s="3" t="s">
        <v>200</v>
      </c>
      <c r="C175" s="3" t="s">
        <v>198</v>
      </c>
      <c r="D175" s="3" t="s">
        <v>7</v>
      </c>
      <c r="E175" s="3" t="str">
        <v>Aarwangen</v>
      </c>
      <c r="I175" s="19">
        <v>1256</v>
      </c>
      <c r="J175" s="19" t="s">
        <v>4541</v>
      </c>
    </row>
    <row r="176" spans="1:10" x14ac:dyDescent="0.2">
      <c r="A176" s="3">
        <v>8117</v>
      </c>
      <c r="B176" s="3" t="s">
        <v>201</v>
      </c>
      <c r="C176" s="3" t="s">
        <v>201</v>
      </c>
      <c r="D176" s="3" t="s">
        <v>7</v>
      </c>
      <c r="E176" s="3" t="str">
        <v>Auswil</v>
      </c>
      <c r="I176" s="19">
        <v>1257</v>
      </c>
      <c r="J176" s="19" t="s">
        <v>4541</v>
      </c>
    </row>
    <row r="177" spans="1:10" x14ac:dyDescent="0.2">
      <c r="A177" s="3">
        <v>8118</v>
      </c>
      <c r="B177" s="3" t="s">
        <v>202</v>
      </c>
      <c r="C177" s="3" t="s">
        <v>201</v>
      </c>
      <c r="D177" s="3" t="s">
        <v>7</v>
      </c>
      <c r="E177" s="3" t="str">
        <v>Bannwil</v>
      </c>
      <c r="I177" s="19">
        <v>1258</v>
      </c>
      <c r="J177" s="19" t="s">
        <v>4541</v>
      </c>
    </row>
    <row r="178" spans="1:10" x14ac:dyDescent="0.2">
      <c r="A178" s="3">
        <v>8121</v>
      </c>
      <c r="B178" s="3" t="s">
        <v>203</v>
      </c>
      <c r="C178" s="3" t="s">
        <v>201</v>
      </c>
      <c r="D178" s="3" t="s">
        <v>7</v>
      </c>
      <c r="E178" s="3" t="str">
        <v>Bleienbach</v>
      </c>
      <c r="I178" s="19">
        <v>1260</v>
      </c>
      <c r="J178" s="19" t="s">
        <v>4541</v>
      </c>
    </row>
    <row r="179" spans="1:10" x14ac:dyDescent="0.2">
      <c r="A179" s="3">
        <v>8606</v>
      </c>
      <c r="B179" s="3" t="s">
        <v>204</v>
      </c>
      <c r="C179" s="3" t="s">
        <v>204</v>
      </c>
      <c r="D179" s="3" t="s">
        <v>7</v>
      </c>
      <c r="E179" s="3" t="str">
        <v>Busswil bei Melchnau</v>
      </c>
      <c r="I179" s="19">
        <v>1261</v>
      </c>
      <c r="J179" s="19" t="s">
        <v>4541</v>
      </c>
    </row>
    <row r="180" spans="1:10" x14ac:dyDescent="0.2">
      <c r="A180" s="3">
        <v>8122</v>
      </c>
      <c r="B180" s="3" t="s">
        <v>205</v>
      </c>
      <c r="C180" s="3" t="s">
        <v>206</v>
      </c>
      <c r="D180" s="3" t="s">
        <v>7</v>
      </c>
      <c r="E180" s="3" t="str">
        <v>Gondiswil</v>
      </c>
      <c r="I180" s="19">
        <v>1262</v>
      </c>
      <c r="J180" s="19" t="s">
        <v>4541</v>
      </c>
    </row>
    <row r="181" spans="1:10" x14ac:dyDescent="0.2">
      <c r="A181" s="3">
        <v>8123</v>
      </c>
      <c r="B181" s="3" t="s">
        <v>207</v>
      </c>
      <c r="C181" s="3" t="s">
        <v>206</v>
      </c>
      <c r="D181" s="3" t="s">
        <v>7</v>
      </c>
      <c r="E181" s="3" t="str">
        <v>Langenthal</v>
      </c>
      <c r="I181" s="19">
        <v>1263</v>
      </c>
      <c r="J181" s="19" t="s">
        <v>4541</v>
      </c>
    </row>
    <row r="182" spans="1:10" x14ac:dyDescent="0.2">
      <c r="A182" s="3">
        <v>8124</v>
      </c>
      <c r="B182" s="3" t="s">
        <v>206</v>
      </c>
      <c r="C182" s="3" t="s">
        <v>206</v>
      </c>
      <c r="D182" s="3" t="s">
        <v>7</v>
      </c>
      <c r="E182" s="3" t="str">
        <v>Lotzwil</v>
      </c>
      <c r="I182" s="19">
        <v>1264</v>
      </c>
      <c r="J182" s="19" t="s">
        <v>4542</v>
      </c>
    </row>
    <row r="183" spans="1:10" x14ac:dyDescent="0.2">
      <c r="A183" s="3">
        <v>8617</v>
      </c>
      <c r="B183" s="3" t="s">
        <v>208</v>
      </c>
      <c r="C183" s="3" t="s">
        <v>208</v>
      </c>
      <c r="D183" s="3" t="s">
        <v>7</v>
      </c>
      <c r="E183" s="3" t="str">
        <v>Madiswil</v>
      </c>
      <c r="I183" s="19">
        <v>1265</v>
      </c>
      <c r="J183" s="19" t="s">
        <v>4542</v>
      </c>
    </row>
    <row r="184" spans="1:10" x14ac:dyDescent="0.2">
      <c r="A184" s="3">
        <v>8603</v>
      </c>
      <c r="B184" s="3" t="s">
        <v>209</v>
      </c>
      <c r="C184" s="3" t="s">
        <v>209</v>
      </c>
      <c r="D184" s="3" t="s">
        <v>7</v>
      </c>
      <c r="E184" s="3" t="str">
        <v>Melchnau</v>
      </c>
      <c r="I184" s="19">
        <v>1266</v>
      </c>
      <c r="J184" s="19" t="s">
        <v>4541</v>
      </c>
    </row>
    <row r="185" spans="1:10" x14ac:dyDescent="0.2">
      <c r="A185" s="3">
        <v>8606</v>
      </c>
      <c r="B185" s="3" t="s">
        <v>210</v>
      </c>
      <c r="C185" s="3" t="s">
        <v>211</v>
      </c>
      <c r="D185" s="3" t="s">
        <v>7</v>
      </c>
      <c r="E185" s="3" t="str">
        <v>Oeschenbach</v>
      </c>
      <c r="I185" s="19">
        <v>1267</v>
      </c>
      <c r="J185" s="19" t="s">
        <v>4541</v>
      </c>
    </row>
    <row r="186" spans="1:10" x14ac:dyDescent="0.2">
      <c r="A186" s="3">
        <v>8610</v>
      </c>
      <c r="B186" s="3" t="s">
        <v>211</v>
      </c>
      <c r="C186" s="3" t="s">
        <v>211</v>
      </c>
      <c r="D186" s="3" t="s">
        <v>7</v>
      </c>
      <c r="E186" s="3" t="str">
        <v>Reisiswil</v>
      </c>
      <c r="I186" s="19">
        <v>1268</v>
      </c>
      <c r="J186" s="19" t="s">
        <v>4541</v>
      </c>
    </row>
    <row r="187" spans="1:10" x14ac:dyDescent="0.2">
      <c r="A187" s="3">
        <v>8614</v>
      </c>
      <c r="B187" s="3" t="s">
        <v>212</v>
      </c>
      <c r="C187" s="3" t="s">
        <v>211</v>
      </c>
      <c r="D187" s="3" t="s">
        <v>7</v>
      </c>
      <c r="E187" s="3" t="str">
        <v>Roggwil (BE)</v>
      </c>
      <c r="I187" s="19">
        <v>1269</v>
      </c>
      <c r="J187" s="19" t="s">
        <v>4541</v>
      </c>
    </row>
    <row r="188" spans="1:10" x14ac:dyDescent="0.2">
      <c r="A188" s="3">
        <v>8615</v>
      </c>
      <c r="B188" s="3" t="s">
        <v>213</v>
      </c>
      <c r="C188" s="3" t="s">
        <v>211</v>
      </c>
      <c r="D188" s="3" t="s">
        <v>7</v>
      </c>
      <c r="E188" s="3" t="str">
        <v>Rohrbach</v>
      </c>
      <c r="I188" s="19">
        <v>1270</v>
      </c>
      <c r="J188" s="19" t="s">
        <v>4541</v>
      </c>
    </row>
    <row r="189" spans="1:10" x14ac:dyDescent="0.2">
      <c r="A189" s="3">
        <v>8615</v>
      </c>
      <c r="B189" s="3" t="s">
        <v>214</v>
      </c>
      <c r="C189" s="3" t="s">
        <v>211</v>
      </c>
      <c r="D189" s="3" t="s">
        <v>7</v>
      </c>
      <c r="E189" s="3" t="str">
        <v>Rohrbachgraben</v>
      </c>
      <c r="I189" s="19">
        <v>1271</v>
      </c>
      <c r="J189" s="19" t="s">
        <v>4541</v>
      </c>
    </row>
    <row r="190" spans="1:10" x14ac:dyDescent="0.2">
      <c r="A190" s="3">
        <v>8616</v>
      </c>
      <c r="B190" s="3" t="s">
        <v>215</v>
      </c>
      <c r="C190" s="3" t="s">
        <v>211</v>
      </c>
      <c r="D190" s="3" t="s">
        <v>7</v>
      </c>
      <c r="E190" s="3" t="str">
        <v>Rütschelen</v>
      </c>
      <c r="I190" s="19">
        <v>1272</v>
      </c>
      <c r="J190" s="19" t="s">
        <v>4541</v>
      </c>
    </row>
    <row r="191" spans="1:10" x14ac:dyDescent="0.2">
      <c r="A191" s="3">
        <v>8604</v>
      </c>
      <c r="B191" s="3" t="s">
        <v>216</v>
      </c>
      <c r="C191" s="3" t="s">
        <v>216</v>
      </c>
      <c r="D191" s="3" t="s">
        <v>7</v>
      </c>
      <c r="E191" s="3" t="str">
        <v>Schwarzhäusern</v>
      </c>
      <c r="I191" s="19">
        <v>1273</v>
      </c>
      <c r="J191" s="19" t="s">
        <v>4541</v>
      </c>
    </row>
    <row r="192" spans="1:10" x14ac:dyDescent="0.2">
      <c r="A192" s="3">
        <v>8605</v>
      </c>
      <c r="B192" s="3" t="s">
        <v>217</v>
      </c>
      <c r="C192" s="3" t="s">
        <v>216</v>
      </c>
      <c r="D192" s="3" t="s">
        <v>7</v>
      </c>
      <c r="E192" s="3" t="str">
        <v>Thunstetten</v>
      </c>
      <c r="I192" s="19">
        <v>1274</v>
      </c>
      <c r="J192" s="19" t="s">
        <v>4541</v>
      </c>
    </row>
    <row r="193" spans="1:10" x14ac:dyDescent="0.2">
      <c r="A193" s="3">
        <v>8306</v>
      </c>
      <c r="B193" s="3" t="s">
        <v>218</v>
      </c>
      <c r="C193" s="3" t="s">
        <v>219</v>
      </c>
      <c r="D193" s="3" t="s">
        <v>7</v>
      </c>
      <c r="E193" s="3" t="str">
        <v>Ursenbach</v>
      </c>
      <c r="I193" s="19">
        <v>1275</v>
      </c>
      <c r="J193" s="19" t="s">
        <v>4541</v>
      </c>
    </row>
    <row r="194" spans="1:10" x14ac:dyDescent="0.2">
      <c r="A194" s="3">
        <v>8602</v>
      </c>
      <c r="B194" s="3" t="s">
        <v>220</v>
      </c>
      <c r="C194" s="3" t="s">
        <v>219</v>
      </c>
      <c r="D194" s="3" t="s">
        <v>7</v>
      </c>
      <c r="E194" s="3" t="str">
        <v>Wynau</v>
      </c>
      <c r="I194" s="19">
        <v>1276</v>
      </c>
      <c r="J194" s="19" t="s">
        <v>4541</v>
      </c>
    </row>
    <row r="195" spans="1:10" x14ac:dyDescent="0.2">
      <c r="A195" s="3">
        <v>8479</v>
      </c>
      <c r="B195" s="3" t="s">
        <v>221</v>
      </c>
      <c r="C195" s="3" t="s">
        <v>221</v>
      </c>
      <c r="D195" s="3" t="s">
        <v>7</v>
      </c>
      <c r="E195" s="3" t="str">
        <v>Bern</v>
      </c>
      <c r="I195" s="19">
        <v>1277</v>
      </c>
      <c r="J195" s="19" t="s">
        <v>4541</v>
      </c>
    </row>
    <row r="196" spans="1:10" x14ac:dyDescent="0.2">
      <c r="A196" s="3">
        <v>8311</v>
      </c>
      <c r="B196" s="3" t="s">
        <v>222</v>
      </c>
      <c r="C196" s="3" t="s">
        <v>222</v>
      </c>
      <c r="D196" s="3" t="s">
        <v>7</v>
      </c>
      <c r="E196" s="3" t="str">
        <v>Bolligen</v>
      </c>
      <c r="I196" s="19">
        <v>1278</v>
      </c>
      <c r="J196" s="19" t="s">
        <v>4541</v>
      </c>
    </row>
    <row r="197" spans="1:10" x14ac:dyDescent="0.2">
      <c r="A197" s="3">
        <v>8471</v>
      </c>
      <c r="B197" s="3" t="s">
        <v>223</v>
      </c>
      <c r="C197" s="3" t="s">
        <v>224</v>
      </c>
      <c r="D197" s="3" t="s">
        <v>7</v>
      </c>
      <c r="E197" s="3" t="str">
        <v>Bremgarten bei Bern</v>
      </c>
      <c r="I197" s="19">
        <v>1279</v>
      </c>
      <c r="J197" s="19" t="s">
        <v>4541</v>
      </c>
    </row>
    <row r="198" spans="1:10" x14ac:dyDescent="0.2">
      <c r="A198" s="3">
        <v>8471</v>
      </c>
      <c r="B198" s="3" t="s">
        <v>224</v>
      </c>
      <c r="C198" s="3" t="s">
        <v>224</v>
      </c>
      <c r="D198" s="3" t="s">
        <v>7</v>
      </c>
      <c r="E198" s="3" t="str">
        <v>Kirchlindach</v>
      </c>
      <c r="I198" s="19">
        <v>1281</v>
      </c>
      <c r="J198" s="19" t="s">
        <v>4541</v>
      </c>
    </row>
    <row r="199" spans="1:10" x14ac:dyDescent="0.2">
      <c r="A199" s="3">
        <v>8471</v>
      </c>
      <c r="B199" s="3" t="s">
        <v>225</v>
      </c>
      <c r="C199" s="3" t="s">
        <v>224</v>
      </c>
      <c r="D199" s="3" t="s">
        <v>7</v>
      </c>
      <c r="E199" s="3" t="str">
        <v>Köniz</v>
      </c>
      <c r="I199" s="19">
        <v>1283</v>
      </c>
      <c r="J199" s="19" t="s">
        <v>4541</v>
      </c>
    </row>
    <row r="200" spans="1:10" x14ac:dyDescent="0.2">
      <c r="A200" s="3">
        <v>8471</v>
      </c>
      <c r="B200" s="3" t="s">
        <v>226</v>
      </c>
      <c r="C200" s="3" t="s">
        <v>224</v>
      </c>
      <c r="D200" s="3" t="s">
        <v>7</v>
      </c>
      <c r="E200" s="3" t="str">
        <v>Muri bei Bern</v>
      </c>
      <c r="I200" s="19">
        <v>1284</v>
      </c>
      <c r="J200" s="19" t="s">
        <v>4541</v>
      </c>
    </row>
    <row r="201" spans="1:10" x14ac:dyDescent="0.2">
      <c r="A201" s="3">
        <v>8471</v>
      </c>
      <c r="B201" s="3" t="s">
        <v>227</v>
      </c>
      <c r="C201" s="3" t="s">
        <v>224</v>
      </c>
      <c r="D201" s="3" t="s">
        <v>7</v>
      </c>
      <c r="E201" s="3" t="str">
        <v>Oberbalm</v>
      </c>
      <c r="I201" s="19">
        <v>1285</v>
      </c>
      <c r="J201" s="19" t="s">
        <v>4541</v>
      </c>
    </row>
    <row r="202" spans="1:10" x14ac:dyDescent="0.2">
      <c r="A202" s="3">
        <v>8421</v>
      </c>
      <c r="B202" s="3" t="s">
        <v>228</v>
      </c>
      <c r="C202" s="3" t="s">
        <v>228</v>
      </c>
      <c r="D202" s="3" t="s">
        <v>7</v>
      </c>
      <c r="E202" s="3" t="str">
        <v>Stettlen</v>
      </c>
      <c r="I202" s="19">
        <v>1286</v>
      </c>
      <c r="J202" s="19" t="s">
        <v>4541</v>
      </c>
    </row>
    <row r="203" spans="1:10" x14ac:dyDescent="0.2">
      <c r="A203" s="3">
        <v>8474</v>
      </c>
      <c r="B203" s="3" t="s">
        <v>229</v>
      </c>
      <c r="C203" s="3" t="s">
        <v>229</v>
      </c>
      <c r="D203" s="3" t="s">
        <v>7</v>
      </c>
      <c r="E203" s="3" t="str">
        <v>Vechigen</v>
      </c>
      <c r="I203" s="19">
        <v>1287</v>
      </c>
      <c r="J203" s="19" t="s">
        <v>4541</v>
      </c>
    </row>
    <row r="204" spans="1:10" x14ac:dyDescent="0.2">
      <c r="A204" s="3">
        <v>8548</v>
      </c>
      <c r="B204" s="3" t="s">
        <v>230</v>
      </c>
      <c r="C204" s="3" t="s">
        <v>230</v>
      </c>
      <c r="D204" s="3" t="s">
        <v>7</v>
      </c>
      <c r="E204" s="3" t="str">
        <v>Wohlen bei Bern</v>
      </c>
      <c r="I204" s="19">
        <v>1288</v>
      </c>
      <c r="J204" s="19" t="s">
        <v>4541</v>
      </c>
    </row>
    <row r="205" spans="1:10" x14ac:dyDescent="0.2">
      <c r="A205" s="3">
        <v>8352</v>
      </c>
      <c r="B205" s="3" t="s">
        <v>231</v>
      </c>
      <c r="C205" s="3" t="s">
        <v>231</v>
      </c>
      <c r="D205" s="3" t="s">
        <v>7</v>
      </c>
      <c r="E205" s="3" t="str">
        <v>Zollikofen</v>
      </c>
      <c r="I205" s="19">
        <v>1290</v>
      </c>
      <c r="J205" s="19" t="s">
        <v>4541</v>
      </c>
    </row>
    <row r="206" spans="1:10" x14ac:dyDescent="0.2">
      <c r="A206" s="3">
        <v>8523</v>
      </c>
      <c r="B206" s="3" t="s">
        <v>232</v>
      </c>
      <c r="C206" s="3" t="s">
        <v>233</v>
      </c>
      <c r="D206" s="3" t="s">
        <v>7</v>
      </c>
      <c r="E206" s="3" t="str">
        <v>Ittigen</v>
      </c>
      <c r="I206" s="19">
        <v>1291</v>
      </c>
      <c r="J206" s="19" t="s">
        <v>4541</v>
      </c>
    </row>
    <row r="207" spans="1:10" x14ac:dyDescent="0.2">
      <c r="A207" s="3">
        <v>8442</v>
      </c>
      <c r="B207" s="3" t="s">
        <v>234</v>
      </c>
      <c r="C207" s="3" t="s">
        <v>234</v>
      </c>
      <c r="D207" s="3" t="s">
        <v>7</v>
      </c>
      <c r="E207" s="3" t="str">
        <v>Ostermundigen</v>
      </c>
      <c r="I207" s="19">
        <v>1292</v>
      </c>
      <c r="J207" s="19" t="s">
        <v>4541</v>
      </c>
    </row>
    <row r="208" spans="1:10" x14ac:dyDescent="0.2">
      <c r="A208" s="3">
        <v>8412</v>
      </c>
      <c r="B208" s="3" t="s">
        <v>235</v>
      </c>
      <c r="C208" s="3" t="s">
        <v>236</v>
      </c>
      <c r="D208" s="3" t="s">
        <v>7</v>
      </c>
      <c r="E208" s="3" t="str">
        <v>Biel/Bienne</v>
      </c>
      <c r="I208" s="19">
        <v>1293</v>
      </c>
      <c r="J208" s="19" t="s">
        <v>4541</v>
      </c>
    </row>
    <row r="209" spans="1:10" x14ac:dyDescent="0.2">
      <c r="A209" s="3">
        <v>8412</v>
      </c>
      <c r="B209" s="3" t="s">
        <v>237</v>
      </c>
      <c r="C209" s="3" t="s">
        <v>236</v>
      </c>
      <c r="D209" s="3" t="s">
        <v>7</v>
      </c>
      <c r="E209" s="3" t="str">
        <v>Evilard</v>
      </c>
      <c r="I209" s="19">
        <v>1294</v>
      </c>
      <c r="J209" s="19" t="s">
        <v>4541</v>
      </c>
    </row>
    <row r="210" spans="1:10" x14ac:dyDescent="0.2">
      <c r="A210" s="3">
        <v>8412</v>
      </c>
      <c r="B210" s="3" t="s">
        <v>238</v>
      </c>
      <c r="C210" s="3" t="s">
        <v>236</v>
      </c>
      <c r="D210" s="3" t="s">
        <v>7</v>
      </c>
      <c r="E210" s="3" t="str">
        <v>Arch</v>
      </c>
      <c r="I210" s="19">
        <v>1295</v>
      </c>
      <c r="J210" s="19" t="s">
        <v>4541</v>
      </c>
    </row>
    <row r="211" spans="1:10" x14ac:dyDescent="0.2">
      <c r="A211" s="3">
        <v>8413</v>
      </c>
      <c r="B211" s="3" t="s">
        <v>236</v>
      </c>
      <c r="C211" s="3" t="s">
        <v>236</v>
      </c>
      <c r="D211" s="3" t="s">
        <v>7</v>
      </c>
      <c r="E211" s="3" t="str">
        <v>Büetigen</v>
      </c>
      <c r="I211" s="19">
        <v>1296</v>
      </c>
      <c r="J211" s="19" t="s">
        <v>4541</v>
      </c>
    </row>
    <row r="212" spans="1:10" x14ac:dyDescent="0.2">
      <c r="A212" s="3">
        <v>8422</v>
      </c>
      <c r="B212" s="3" t="s">
        <v>239</v>
      </c>
      <c r="C212" s="3" t="s">
        <v>239</v>
      </c>
      <c r="D212" s="3" t="s">
        <v>7</v>
      </c>
      <c r="E212" s="3" t="str">
        <v>Büren an der Aare</v>
      </c>
      <c r="I212" s="19">
        <v>1297</v>
      </c>
      <c r="J212" s="19" t="s">
        <v>4541</v>
      </c>
    </row>
    <row r="213" spans="1:10" x14ac:dyDescent="0.2">
      <c r="A213" s="3">
        <v>8545</v>
      </c>
      <c r="B213" s="3" t="s">
        <v>240</v>
      </c>
      <c r="C213" s="3" t="s">
        <v>241</v>
      </c>
      <c r="D213" s="3" t="s">
        <v>7</v>
      </c>
      <c r="E213" s="3" t="str">
        <v>Diessbach bei Büren</v>
      </c>
      <c r="I213" s="19">
        <v>1298</v>
      </c>
      <c r="J213" s="19" t="s">
        <v>4541</v>
      </c>
    </row>
    <row r="214" spans="1:10" x14ac:dyDescent="0.2">
      <c r="A214" s="3">
        <v>8545</v>
      </c>
      <c r="B214" s="3" t="s">
        <v>242</v>
      </c>
      <c r="C214" s="3" t="s">
        <v>241</v>
      </c>
      <c r="D214" s="3" t="s">
        <v>7</v>
      </c>
      <c r="E214" s="3" t="str">
        <v>Dotzigen</v>
      </c>
      <c r="I214" s="19">
        <v>1299</v>
      </c>
      <c r="J214" s="19" t="s">
        <v>4541</v>
      </c>
    </row>
    <row r="215" spans="1:10" x14ac:dyDescent="0.2">
      <c r="A215" s="3">
        <v>8418</v>
      </c>
      <c r="B215" s="3" t="s">
        <v>243</v>
      </c>
      <c r="C215" s="3" t="s">
        <v>244</v>
      </c>
      <c r="D215" s="3" t="s">
        <v>7</v>
      </c>
      <c r="E215" s="3" t="str">
        <v>Lengnau (BE)</v>
      </c>
      <c r="I215" s="19">
        <v>1302</v>
      </c>
      <c r="J215" s="19" t="s">
        <v>4539</v>
      </c>
    </row>
    <row r="216" spans="1:10" x14ac:dyDescent="0.2">
      <c r="A216" s="3">
        <v>8472</v>
      </c>
      <c r="B216" s="3" t="s">
        <v>245</v>
      </c>
      <c r="C216" s="3" t="s">
        <v>245</v>
      </c>
      <c r="D216" s="3" t="s">
        <v>7</v>
      </c>
      <c r="E216" s="3" t="str">
        <v>Leuzigen</v>
      </c>
      <c r="I216" s="19">
        <v>1303</v>
      </c>
      <c r="J216" s="19" t="s">
        <v>4539</v>
      </c>
    </row>
    <row r="217" spans="1:10" x14ac:dyDescent="0.2">
      <c r="A217" s="3">
        <v>8488</v>
      </c>
      <c r="B217" s="3" t="s">
        <v>246</v>
      </c>
      <c r="C217" s="3" t="s">
        <v>246</v>
      </c>
      <c r="D217" s="3" t="s">
        <v>7</v>
      </c>
      <c r="E217" s="3" t="str">
        <v>Meienried</v>
      </c>
      <c r="I217" s="19">
        <v>1304</v>
      </c>
      <c r="J217" s="19" t="s">
        <v>4539</v>
      </c>
    </row>
    <row r="218" spans="1:10" x14ac:dyDescent="0.2">
      <c r="A218" s="3">
        <v>8495</v>
      </c>
      <c r="B218" s="3" t="s">
        <v>247</v>
      </c>
      <c r="C218" s="3" t="s">
        <v>246</v>
      </c>
      <c r="D218" s="3" t="s">
        <v>7</v>
      </c>
      <c r="E218" s="3" t="str">
        <v>Meinisberg</v>
      </c>
      <c r="I218" s="19">
        <v>1305</v>
      </c>
      <c r="J218" s="19" t="s">
        <v>4539</v>
      </c>
    </row>
    <row r="219" spans="1:10" x14ac:dyDescent="0.2">
      <c r="A219" s="3">
        <v>8352</v>
      </c>
      <c r="B219" s="3" t="s">
        <v>248</v>
      </c>
      <c r="C219" s="3" t="s">
        <v>249</v>
      </c>
      <c r="D219" s="3" t="s">
        <v>7</v>
      </c>
      <c r="E219" s="3" t="str">
        <v>Oberwil bei Büren</v>
      </c>
      <c r="I219" s="19">
        <v>1306</v>
      </c>
      <c r="J219" s="19" t="s">
        <v>4539</v>
      </c>
    </row>
    <row r="220" spans="1:10" x14ac:dyDescent="0.2">
      <c r="A220" s="3">
        <v>8400</v>
      </c>
      <c r="B220" s="3" t="s">
        <v>249</v>
      </c>
      <c r="C220" s="3" t="s">
        <v>249</v>
      </c>
      <c r="D220" s="3" t="s">
        <v>7</v>
      </c>
      <c r="E220" s="3" t="str">
        <v>Pieterlen</v>
      </c>
      <c r="I220" s="19">
        <v>1307</v>
      </c>
      <c r="J220" s="19" t="s">
        <v>4539</v>
      </c>
    </row>
    <row r="221" spans="1:10" x14ac:dyDescent="0.2">
      <c r="A221" s="3">
        <v>8404</v>
      </c>
      <c r="B221" s="3" t="s">
        <v>249</v>
      </c>
      <c r="C221" s="3" t="s">
        <v>249</v>
      </c>
      <c r="D221" s="3" t="s">
        <v>7</v>
      </c>
      <c r="E221" s="3" t="str">
        <v>Rüti bei Büren</v>
      </c>
      <c r="I221" s="19">
        <v>1308</v>
      </c>
      <c r="J221" s="19" t="s">
        <v>4539</v>
      </c>
    </row>
    <row r="222" spans="1:10" x14ac:dyDescent="0.2">
      <c r="A222" s="3">
        <v>8404</v>
      </c>
      <c r="B222" s="3" t="s">
        <v>250</v>
      </c>
      <c r="C222" s="3" t="s">
        <v>249</v>
      </c>
      <c r="D222" s="3" t="s">
        <v>7</v>
      </c>
      <c r="E222" s="3" t="str">
        <v>Wengi</v>
      </c>
      <c r="I222" s="19">
        <v>1312</v>
      </c>
      <c r="J222" s="19" t="s">
        <v>4539</v>
      </c>
    </row>
    <row r="223" spans="1:10" x14ac:dyDescent="0.2">
      <c r="A223" s="3">
        <v>8404</v>
      </c>
      <c r="B223" s="3" t="s">
        <v>251</v>
      </c>
      <c r="C223" s="3" t="s">
        <v>249</v>
      </c>
      <c r="D223" s="3" t="s">
        <v>7</v>
      </c>
      <c r="E223" s="3" t="str">
        <v>Aefligen</v>
      </c>
      <c r="I223" s="19">
        <v>1313</v>
      </c>
      <c r="J223" s="19" t="s">
        <v>4539</v>
      </c>
    </row>
    <row r="224" spans="1:10" x14ac:dyDescent="0.2">
      <c r="A224" s="3">
        <v>8405</v>
      </c>
      <c r="B224" s="3" t="s">
        <v>249</v>
      </c>
      <c r="C224" s="3" t="s">
        <v>249</v>
      </c>
      <c r="D224" s="3" t="s">
        <v>7</v>
      </c>
      <c r="E224" s="3" t="str">
        <v>Alchenstorf</v>
      </c>
      <c r="I224" s="19">
        <v>1315</v>
      </c>
      <c r="J224" s="19" t="s">
        <v>4539</v>
      </c>
    </row>
    <row r="225" spans="1:10" x14ac:dyDescent="0.2">
      <c r="A225" s="3">
        <v>8406</v>
      </c>
      <c r="B225" s="3" t="s">
        <v>249</v>
      </c>
      <c r="C225" s="3" t="s">
        <v>249</v>
      </c>
      <c r="D225" s="3" t="s">
        <v>7</v>
      </c>
      <c r="E225" s="3" t="str">
        <v>Bäriswil</v>
      </c>
      <c r="I225" s="19">
        <v>1316</v>
      </c>
      <c r="J225" s="19" t="s">
        <v>4539</v>
      </c>
    </row>
    <row r="226" spans="1:10" x14ac:dyDescent="0.2">
      <c r="A226" s="3">
        <v>8408</v>
      </c>
      <c r="B226" s="3" t="s">
        <v>249</v>
      </c>
      <c r="C226" s="3" t="s">
        <v>249</v>
      </c>
      <c r="D226" s="3" t="s">
        <v>7</v>
      </c>
      <c r="E226" s="3" t="str">
        <v>Burgdorf</v>
      </c>
      <c r="I226" s="19">
        <v>1317</v>
      </c>
      <c r="J226" s="19" t="s">
        <v>4539</v>
      </c>
    </row>
    <row r="227" spans="1:10" x14ac:dyDescent="0.2">
      <c r="A227" s="3">
        <v>8409</v>
      </c>
      <c r="B227" s="3" t="s">
        <v>249</v>
      </c>
      <c r="C227" s="3" t="s">
        <v>249</v>
      </c>
      <c r="D227" s="3" t="s">
        <v>7</v>
      </c>
      <c r="E227" s="3" t="str">
        <v>Ersigen</v>
      </c>
      <c r="I227" s="19">
        <v>1318</v>
      </c>
      <c r="J227" s="19" t="s">
        <v>4539</v>
      </c>
    </row>
    <row r="228" spans="1:10" x14ac:dyDescent="0.2">
      <c r="A228" s="3">
        <v>8482</v>
      </c>
      <c r="B228" s="3" t="s">
        <v>252</v>
      </c>
      <c r="C228" s="3" t="s">
        <v>249</v>
      </c>
      <c r="D228" s="3" t="s">
        <v>7</v>
      </c>
      <c r="E228" s="3" t="str">
        <v>Hasle bei Burgdorf</v>
      </c>
      <c r="I228" s="19">
        <v>1321</v>
      </c>
      <c r="J228" s="19" t="s">
        <v>4539</v>
      </c>
    </row>
    <row r="229" spans="1:10" x14ac:dyDescent="0.2">
      <c r="A229" s="3">
        <v>8483</v>
      </c>
      <c r="B229" s="3" t="s">
        <v>253</v>
      </c>
      <c r="C229" s="3" t="s">
        <v>254</v>
      </c>
      <c r="D229" s="3" t="s">
        <v>7</v>
      </c>
      <c r="E229" s="3" t="str">
        <v>Heimiswil</v>
      </c>
      <c r="I229" s="19">
        <v>1322</v>
      </c>
      <c r="J229" s="19" t="s">
        <v>4539</v>
      </c>
    </row>
    <row r="230" spans="1:10" x14ac:dyDescent="0.2">
      <c r="A230" s="3">
        <v>8486</v>
      </c>
      <c r="B230" s="3" t="s">
        <v>255</v>
      </c>
      <c r="C230" s="3" t="s">
        <v>254</v>
      </c>
      <c r="D230" s="3" t="s">
        <v>7</v>
      </c>
      <c r="E230" s="3" t="str">
        <v>Hellsau</v>
      </c>
      <c r="I230" s="19">
        <v>1323</v>
      </c>
      <c r="J230" s="19" t="s">
        <v>4539</v>
      </c>
    </row>
    <row r="231" spans="1:10" x14ac:dyDescent="0.2">
      <c r="A231" s="3">
        <v>8487</v>
      </c>
      <c r="B231" s="3" t="s">
        <v>256</v>
      </c>
      <c r="C231" s="3" t="s">
        <v>254</v>
      </c>
      <c r="D231" s="3" t="s">
        <v>7</v>
      </c>
      <c r="E231" s="3" t="str">
        <v>Hindelbank</v>
      </c>
      <c r="I231" s="19">
        <v>1324</v>
      </c>
      <c r="J231" s="19" t="s">
        <v>4542</v>
      </c>
    </row>
    <row r="232" spans="1:10" x14ac:dyDescent="0.2">
      <c r="A232" s="3">
        <v>8487</v>
      </c>
      <c r="B232" s="3" t="s">
        <v>257</v>
      </c>
      <c r="C232" s="3" t="s">
        <v>254</v>
      </c>
      <c r="D232" s="3" t="s">
        <v>7</v>
      </c>
      <c r="E232" s="3" t="str">
        <v>Höchstetten</v>
      </c>
      <c r="I232" s="19">
        <v>1325</v>
      </c>
      <c r="J232" s="19" t="s">
        <v>4542</v>
      </c>
    </row>
    <row r="233" spans="1:10" x14ac:dyDescent="0.2">
      <c r="A233" s="3">
        <v>8904</v>
      </c>
      <c r="B233" s="3" t="s">
        <v>258</v>
      </c>
      <c r="C233" s="3" t="s">
        <v>259</v>
      </c>
      <c r="D233" s="3" t="s">
        <v>7</v>
      </c>
      <c r="E233" s="3" t="str">
        <v>Kernenried</v>
      </c>
      <c r="I233" s="19">
        <v>1326</v>
      </c>
      <c r="J233" s="19" t="s">
        <v>4542</v>
      </c>
    </row>
    <row r="234" spans="1:10" x14ac:dyDescent="0.2">
      <c r="A234" s="3">
        <v>8903</v>
      </c>
      <c r="B234" s="3" t="s">
        <v>260</v>
      </c>
      <c r="C234" s="3" t="s">
        <v>261</v>
      </c>
      <c r="D234" s="3" t="s">
        <v>7</v>
      </c>
      <c r="E234" s="3" t="str">
        <v>Kirchberg (BE)</v>
      </c>
      <c r="I234" s="19">
        <v>1329</v>
      </c>
      <c r="J234" s="19" t="s">
        <v>4542</v>
      </c>
    </row>
    <row r="235" spans="1:10" x14ac:dyDescent="0.2">
      <c r="A235" s="3">
        <v>8953</v>
      </c>
      <c r="B235" s="3" t="s">
        <v>262</v>
      </c>
      <c r="C235" s="3" t="s">
        <v>262</v>
      </c>
      <c r="D235" s="3" t="s">
        <v>7</v>
      </c>
      <c r="E235" s="3" t="str">
        <v>Koppigen</v>
      </c>
      <c r="I235" s="19">
        <v>1337</v>
      </c>
      <c r="J235" s="19" t="s">
        <v>4542</v>
      </c>
    </row>
    <row r="236" spans="1:10" x14ac:dyDescent="0.2">
      <c r="A236" s="3">
        <v>8951</v>
      </c>
      <c r="B236" s="3" t="s">
        <v>263</v>
      </c>
      <c r="C236" s="3" t="s">
        <v>264</v>
      </c>
      <c r="D236" s="3" t="s">
        <v>7</v>
      </c>
      <c r="E236" s="3" t="str">
        <v>Krauchthal</v>
      </c>
      <c r="I236" s="19">
        <v>1338</v>
      </c>
      <c r="J236" s="19" t="s">
        <v>4542</v>
      </c>
    </row>
    <row r="237" spans="1:10" x14ac:dyDescent="0.2">
      <c r="A237" s="3">
        <v>8954</v>
      </c>
      <c r="B237" s="3" t="s">
        <v>264</v>
      </c>
      <c r="C237" s="3" t="s">
        <v>264</v>
      </c>
      <c r="D237" s="3" t="s">
        <v>7</v>
      </c>
      <c r="E237" s="3" t="str">
        <v>Lyssach</v>
      </c>
      <c r="I237" s="19">
        <v>1341</v>
      </c>
      <c r="J237" s="19" t="s">
        <v>4542</v>
      </c>
    </row>
    <row r="238" spans="1:10" x14ac:dyDescent="0.2">
      <c r="A238" s="3">
        <v>8102</v>
      </c>
      <c r="B238" s="3" t="s">
        <v>265</v>
      </c>
      <c r="C238" s="3" t="s">
        <v>265</v>
      </c>
      <c r="D238" s="3" t="s">
        <v>7</v>
      </c>
      <c r="E238" s="3" t="str">
        <v>Oberburg</v>
      </c>
      <c r="I238" s="19">
        <v>1342</v>
      </c>
      <c r="J238" s="19" t="s">
        <v>4542</v>
      </c>
    </row>
    <row r="239" spans="1:10" x14ac:dyDescent="0.2">
      <c r="A239" s="3">
        <v>8955</v>
      </c>
      <c r="B239" s="3" t="s">
        <v>266</v>
      </c>
      <c r="C239" s="3" t="s">
        <v>266</v>
      </c>
      <c r="D239" s="3" t="s">
        <v>7</v>
      </c>
      <c r="E239" s="3" t="str">
        <v>Rüdtligen-Alchenflüh</v>
      </c>
      <c r="I239" s="19">
        <v>1343</v>
      </c>
      <c r="J239" s="19" t="s">
        <v>4542</v>
      </c>
    </row>
    <row r="240" spans="1:10" x14ac:dyDescent="0.2">
      <c r="A240" s="3">
        <v>8952</v>
      </c>
      <c r="B240" s="3" t="s">
        <v>267</v>
      </c>
      <c r="C240" s="3" t="s">
        <v>267</v>
      </c>
      <c r="D240" s="3" t="s">
        <v>7</v>
      </c>
      <c r="E240" s="3" t="str">
        <v>Rumendingen</v>
      </c>
      <c r="I240" s="19">
        <v>1344</v>
      </c>
      <c r="J240" s="19" t="s">
        <v>4542</v>
      </c>
    </row>
    <row r="241" spans="1:10" x14ac:dyDescent="0.2">
      <c r="A241" s="3">
        <v>8142</v>
      </c>
      <c r="B241" s="3" t="s">
        <v>268</v>
      </c>
      <c r="C241" s="3" t="s">
        <v>269</v>
      </c>
      <c r="D241" s="3" t="s">
        <v>7</v>
      </c>
      <c r="E241" s="3" t="str">
        <v>Rüti bei Lyssach</v>
      </c>
      <c r="I241" s="19">
        <v>1345</v>
      </c>
      <c r="J241" s="19" t="s">
        <v>4542</v>
      </c>
    </row>
    <row r="242" spans="1:10" x14ac:dyDescent="0.2">
      <c r="A242" s="3">
        <v>8103</v>
      </c>
      <c r="B242" s="3" t="s">
        <v>270</v>
      </c>
      <c r="C242" s="3" t="s">
        <v>270</v>
      </c>
      <c r="D242" s="3" t="s">
        <v>7</v>
      </c>
      <c r="E242" s="3" t="str">
        <v>Willadingen</v>
      </c>
      <c r="I242" s="19">
        <v>1346</v>
      </c>
      <c r="J242" s="19" t="s">
        <v>4542</v>
      </c>
    </row>
    <row r="243" spans="1:10" x14ac:dyDescent="0.2">
      <c r="A243" s="3">
        <v>8902</v>
      </c>
      <c r="B243" s="3" t="s">
        <v>271</v>
      </c>
      <c r="C243" s="3" t="s">
        <v>271</v>
      </c>
      <c r="D243" s="3" t="s">
        <v>7</v>
      </c>
      <c r="E243" s="3" t="str">
        <v>Wynigen</v>
      </c>
      <c r="I243" s="19">
        <v>1347</v>
      </c>
      <c r="J243" s="19" t="s">
        <v>4542</v>
      </c>
    </row>
    <row r="244" spans="1:10" x14ac:dyDescent="0.2">
      <c r="A244" s="3">
        <v>8104</v>
      </c>
      <c r="B244" s="3" t="s">
        <v>272</v>
      </c>
      <c r="C244" s="3" t="s">
        <v>273</v>
      </c>
      <c r="D244" s="3" t="s">
        <v>7</v>
      </c>
      <c r="E244" s="3" t="str">
        <v>Corgémont</v>
      </c>
      <c r="I244" s="19">
        <v>1348</v>
      </c>
      <c r="J244" s="19" t="s">
        <v>4542</v>
      </c>
    </row>
    <row r="245" spans="1:10" x14ac:dyDescent="0.2">
      <c r="A245" s="3">
        <v>8001</v>
      </c>
      <c r="B245" s="3" t="s">
        <v>274</v>
      </c>
      <c r="C245" s="3" t="s">
        <v>274</v>
      </c>
      <c r="D245" s="3" t="s">
        <v>7</v>
      </c>
      <c r="E245" s="3" t="str">
        <v>Cormoret</v>
      </c>
      <c r="I245" s="19">
        <v>1350</v>
      </c>
      <c r="J245" s="19" t="s">
        <v>4539</v>
      </c>
    </row>
    <row r="246" spans="1:10" x14ac:dyDescent="0.2">
      <c r="A246" s="3">
        <v>8002</v>
      </c>
      <c r="B246" s="3" t="s">
        <v>274</v>
      </c>
      <c r="C246" s="3" t="s">
        <v>274</v>
      </c>
      <c r="D246" s="3" t="s">
        <v>7</v>
      </c>
      <c r="E246" s="3" t="str">
        <v>Cortébert</v>
      </c>
      <c r="I246" s="19">
        <v>1352</v>
      </c>
      <c r="J246" s="19" t="s">
        <v>4539</v>
      </c>
    </row>
    <row r="247" spans="1:10" x14ac:dyDescent="0.2">
      <c r="A247" s="3">
        <v>8003</v>
      </c>
      <c r="B247" s="3" t="s">
        <v>274</v>
      </c>
      <c r="C247" s="3" t="s">
        <v>274</v>
      </c>
      <c r="D247" s="3" t="s">
        <v>7</v>
      </c>
      <c r="E247" s="3" t="str">
        <v>Courtelary</v>
      </c>
      <c r="I247" s="19">
        <v>1353</v>
      </c>
      <c r="J247" s="19" t="s">
        <v>4539</v>
      </c>
    </row>
    <row r="248" spans="1:10" x14ac:dyDescent="0.2">
      <c r="A248" s="3">
        <v>8004</v>
      </c>
      <c r="B248" s="3" t="s">
        <v>274</v>
      </c>
      <c r="C248" s="3" t="s">
        <v>274</v>
      </c>
      <c r="D248" s="3" t="s">
        <v>7</v>
      </c>
      <c r="E248" s="3" t="str">
        <v>La Ferrière</v>
      </c>
      <c r="I248" s="19">
        <v>1354</v>
      </c>
      <c r="J248" s="19" t="s">
        <v>4539</v>
      </c>
    </row>
    <row r="249" spans="1:10" x14ac:dyDescent="0.2">
      <c r="A249" s="3">
        <v>8005</v>
      </c>
      <c r="B249" s="3" t="s">
        <v>274</v>
      </c>
      <c r="C249" s="3" t="s">
        <v>274</v>
      </c>
      <c r="D249" s="3" t="s">
        <v>7</v>
      </c>
      <c r="E249" s="3" t="str">
        <v>Mont-Tramelan</v>
      </c>
      <c r="I249" s="19">
        <v>1355</v>
      </c>
      <c r="J249" s="19" t="s">
        <v>4542</v>
      </c>
    </row>
    <row r="250" spans="1:10" x14ac:dyDescent="0.2">
      <c r="A250" s="3">
        <v>8006</v>
      </c>
      <c r="B250" s="3" t="s">
        <v>274</v>
      </c>
      <c r="C250" s="3" t="s">
        <v>274</v>
      </c>
      <c r="D250" s="3" t="s">
        <v>7</v>
      </c>
      <c r="E250" s="3" t="str">
        <v>Orvin</v>
      </c>
      <c r="I250" s="19">
        <v>1356</v>
      </c>
      <c r="J250" s="19" t="s">
        <v>4542</v>
      </c>
    </row>
    <row r="251" spans="1:10" x14ac:dyDescent="0.2">
      <c r="A251" s="3">
        <v>8008</v>
      </c>
      <c r="B251" s="3" t="s">
        <v>274</v>
      </c>
      <c r="C251" s="3" t="s">
        <v>274</v>
      </c>
      <c r="D251" s="3" t="s">
        <v>7</v>
      </c>
      <c r="E251" s="3" t="str">
        <v>Renan (BE)</v>
      </c>
      <c r="I251" s="19">
        <v>1357</v>
      </c>
      <c r="J251" s="19" t="s">
        <v>4542</v>
      </c>
    </row>
    <row r="252" spans="1:10" x14ac:dyDescent="0.2">
      <c r="A252" s="3">
        <v>8032</v>
      </c>
      <c r="B252" s="3" t="s">
        <v>274</v>
      </c>
      <c r="C252" s="3" t="s">
        <v>274</v>
      </c>
      <c r="D252" s="3" t="s">
        <v>7</v>
      </c>
      <c r="E252" s="3" t="str">
        <v>Romont (BE)</v>
      </c>
      <c r="I252" s="19">
        <v>1358</v>
      </c>
      <c r="J252" s="19" t="s">
        <v>4542</v>
      </c>
    </row>
    <row r="253" spans="1:10" x14ac:dyDescent="0.2">
      <c r="A253" s="3">
        <v>8037</v>
      </c>
      <c r="B253" s="3" t="s">
        <v>274</v>
      </c>
      <c r="C253" s="3" t="s">
        <v>274</v>
      </c>
      <c r="D253" s="3" t="s">
        <v>7</v>
      </c>
      <c r="E253" s="3" t="str">
        <v>Saint-Imier</v>
      </c>
      <c r="I253" s="19">
        <v>1372</v>
      </c>
      <c r="J253" s="19" t="s">
        <v>4539</v>
      </c>
    </row>
    <row r="254" spans="1:10" x14ac:dyDescent="0.2">
      <c r="A254" s="3">
        <v>8038</v>
      </c>
      <c r="B254" s="3" t="s">
        <v>274</v>
      </c>
      <c r="C254" s="3" t="s">
        <v>274</v>
      </c>
      <c r="D254" s="3" t="s">
        <v>7</v>
      </c>
      <c r="E254" s="3" t="str">
        <v>Sonceboz-Sombeval</v>
      </c>
      <c r="I254" s="19">
        <v>1373</v>
      </c>
      <c r="J254" s="19" t="s">
        <v>4539</v>
      </c>
    </row>
    <row r="255" spans="1:10" x14ac:dyDescent="0.2">
      <c r="A255" s="3">
        <v>8041</v>
      </c>
      <c r="B255" s="3" t="s">
        <v>274</v>
      </c>
      <c r="C255" s="3" t="s">
        <v>274</v>
      </c>
      <c r="D255" s="3" t="s">
        <v>7</v>
      </c>
      <c r="E255" s="3" t="str">
        <v>Sonvilier</v>
      </c>
      <c r="I255" s="19">
        <v>1374</v>
      </c>
      <c r="J255" s="19" t="s">
        <v>4539</v>
      </c>
    </row>
    <row r="256" spans="1:10" x14ac:dyDescent="0.2">
      <c r="A256" s="3">
        <v>8044</v>
      </c>
      <c r="B256" s="3" t="s">
        <v>274</v>
      </c>
      <c r="C256" s="3" t="s">
        <v>274</v>
      </c>
      <c r="D256" s="3" t="s">
        <v>7</v>
      </c>
      <c r="E256" s="3" t="str">
        <v>Tramelan</v>
      </c>
      <c r="I256" s="19">
        <v>1375</v>
      </c>
      <c r="J256" s="19" t="s">
        <v>4539</v>
      </c>
    </row>
    <row r="257" spans="1:10" x14ac:dyDescent="0.2">
      <c r="A257" s="3">
        <v>8045</v>
      </c>
      <c r="B257" s="3" t="s">
        <v>274</v>
      </c>
      <c r="C257" s="3" t="s">
        <v>274</v>
      </c>
      <c r="D257" s="3" t="s">
        <v>7</v>
      </c>
      <c r="E257" s="3" t="str">
        <v>Villeret</v>
      </c>
      <c r="I257" s="19">
        <v>1376</v>
      </c>
      <c r="J257" s="19" t="s">
        <v>4539</v>
      </c>
    </row>
    <row r="258" spans="1:10" x14ac:dyDescent="0.2">
      <c r="A258" s="3">
        <v>8046</v>
      </c>
      <c r="B258" s="3" t="s">
        <v>274</v>
      </c>
      <c r="C258" s="3" t="s">
        <v>274</v>
      </c>
      <c r="D258" s="3" t="s">
        <v>7</v>
      </c>
      <c r="E258" s="3" t="str">
        <v>Sauge</v>
      </c>
      <c r="I258" s="19">
        <v>1377</v>
      </c>
      <c r="J258" s="19" t="s">
        <v>4539</v>
      </c>
    </row>
    <row r="259" spans="1:10" x14ac:dyDescent="0.2">
      <c r="A259" s="3">
        <v>8047</v>
      </c>
      <c r="B259" s="3" t="s">
        <v>274</v>
      </c>
      <c r="C259" s="3" t="s">
        <v>274</v>
      </c>
      <c r="D259" s="3" t="s">
        <v>7</v>
      </c>
      <c r="E259" s="3" t="str">
        <v>Péry-La Heutte</v>
      </c>
      <c r="I259" s="19">
        <v>1400</v>
      </c>
      <c r="J259" s="19" t="s">
        <v>4539</v>
      </c>
    </row>
    <row r="260" spans="1:10" x14ac:dyDescent="0.2">
      <c r="A260" s="3">
        <v>8048</v>
      </c>
      <c r="B260" s="3" t="s">
        <v>274</v>
      </c>
      <c r="C260" s="3" t="s">
        <v>274</v>
      </c>
      <c r="D260" s="3" t="s">
        <v>7</v>
      </c>
      <c r="E260" s="3" t="str">
        <v>Brüttelen</v>
      </c>
      <c r="I260" s="19">
        <v>1404</v>
      </c>
      <c r="J260" s="19" t="s">
        <v>4540</v>
      </c>
    </row>
    <row r="261" spans="1:10" x14ac:dyDescent="0.2">
      <c r="A261" s="3">
        <v>8049</v>
      </c>
      <c r="B261" s="3" t="s">
        <v>274</v>
      </c>
      <c r="C261" s="3" t="s">
        <v>274</v>
      </c>
      <c r="D261" s="3" t="s">
        <v>7</v>
      </c>
      <c r="E261" s="3" t="str">
        <v>Erlach</v>
      </c>
      <c r="I261" s="19">
        <v>1405</v>
      </c>
      <c r="J261" s="19" t="s">
        <v>4540</v>
      </c>
    </row>
    <row r="262" spans="1:10" x14ac:dyDescent="0.2">
      <c r="A262" s="3">
        <v>8050</v>
      </c>
      <c r="B262" s="3" t="s">
        <v>274</v>
      </c>
      <c r="C262" s="3" t="s">
        <v>274</v>
      </c>
      <c r="D262" s="3" t="s">
        <v>7</v>
      </c>
      <c r="E262" s="3" t="str">
        <v>Finsterhennen</v>
      </c>
      <c r="I262" s="19">
        <v>1406</v>
      </c>
      <c r="J262" s="19" t="s">
        <v>4540</v>
      </c>
    </row>
    <row r="263" spans="1:10" x14ac:dyDescent="0.2">
      <c r="A263" s="3">
        <v>8051</v>
      </c>
      <c r="B263" s="3" t="s">
        <v>274</v>
      </c>
      <c r="C263" s="3" t="s">
        <v>274</v>
      </c>
      <c r="D263" s="3" t="s">
        <v>7</v>
      </c>
      <c r="E263" s="3" t="str">
        <v>Gals</v>
      </c>
      <c r="I263" s="19">
        <v>1407</v>
      </c>
      <c r="J263" s="19" t="s">
        <v>4540</v>
      </c>
    </row>
    <row r="264" spans="1:10" x14ac:dyDescent="0.2">
      <c r="A264" s="3">
        <v>8052</v>
      </c>
      <c r="B264" s="3" t="s">
        <v>274</v>
      </c>
      <c r="C264" s="3" t="s">
        <v>274</v>
      </c>
      <c r="D264" s="3" t="s">
        <v>7</v>
      </c>
      <c r="E264" s="3" t="str">
        <v>Gampelen</v>
      </c>
      <c r="I264" s="19">
        <v>1408</v>
      </c>
      <c r="J264" s="19" t="s">
        <v>4540</v>
      </c>
    </row>
    <row r="265" spans="1:10" x14ac:dyDescent="0.2">
      <c r="A265" s="3">
        <v>8053</v>
      </c>
      <c r="B265" s="3" t="s">
        <v>274</v>
      </c>
      <c r="C265" s="3" t="s">
        <v>274</v>
      </c>
      <c r="D265" s="3" t="s">
        <v>7</v>
      </c>
      <c r="E265" s="3" t="str">
        <v>Ins</v>
      </c>
      <c r="I265" s="19">
        <v>1409</v>
      </c>
      <c r="J265" s="19" t="s">
        <v>4540</v>
      </c>
    </row>
    <row r="266" spans="1:10" x14ac:dyDescent="0.2">
      <c r="A266" s="3">
        <v>8055</v>
      </c>
      <c r="B266" s="3" t="s">
        <v>274</v>
      </c>
      <c r="C266" s="3" t="s">
        <v>274</v>
      </c>
      <c r="D266" s="3" t="s">
        <v>7</v>
      </c>
      <c r="E266" s="3" t="str">
        <v>Lüscherz</v>
      </c>
      <c r="I266" s="19">
        <v>1410</v>
      </c>
      <c r="J266" s="19" t="s">
        <v>4540</v>
      </c>
    </row>
    <row r="267" spans="1:10" x14ac:dyDescent="0.2">
      <c r="A267" s="3">
        <v>8057</v>
      </c>
      <c r="B267" s="3" t="s">
        <v>274</v>
      </c>
      <c r="C267" s="3" t="s">
        <v>274</v>
      </c>
      <c r="D267" s="3" t="s">
        <v>7</v>
      </c>
      <c r="E267" s="3" t="str">
        <v>Müntschemier</v>
      </c>
      <c r="I267" s="19">
        <v>1412</v>
      </c>
      <c r="J267" s="19" t="s">
        <v>4540</v>
      </c>
    </row>
    <row r="268" spans="1:10" x14ac:dyDescent="0.2">
      <c r="A268" s="3">
        <v>8064</v>
      </c>
      <c r="B268" s="3" t="s">
        <v>274</v>
      </c>
      <c r="C268" s="3" t="s">
        <v>274</v>
      </c>
      <c r="D268" s="3" t="s">
        <v>7</v>
      </c>
      <c r="E268" s="3" t="str">
        <v>Siselen</v>
      </c>
      <c r="I268" s="19">
        <v>1413</v>
      </c>
      <c r="J268" s="19" t="s">
        <v>4540</v>
      </c>
    </row>
    <row r="269" spans="1:10" x14ac:dyDescent="0.2">
      <c r="A269" s="3">
        <v>8468</v>
      </c>
      <c r="B269" s="3" t="s">
        <v>275</v>
      </c>
      <c r="C269" s="3" t="s">
        <v>276</v>
      </c>
      <c r="D269" s="3" t="s">
        <v>7</v>
      </c>
      <c r="E269" s="3" t="str">
        <v>Treiten</v>
      </c>
      <c r="I269" s="19">
        <v>1415</v>
      </c>
      <c r="J269" s="19" t="s">
        <v>4540</v>
      </c>
    </row>
    <row r="270" spans="1:10" x14ac:dyDescent="0.2">
      <c r="A270" s="3">
        <v>8468</v>
      </c>
      <c r="B270" s="3" t="s">
        <v>277</v>
      </c>
      <c r="C270" s="3" t="s">
        <v>276</v>
      </c>
      <c r="D270" s="3" t="s">
        <v>7</v>
      </c>
      <c r="E270" s="3" t="str">
        <v>Tschugg</v>
      </c>
      <c r="I270" s="19">
        <v>1416</v>
      </c>
      <c r="J270" s="19" t="s">
        <v>4539</v>
      </c>
    </row>
    <row r="271" spans="1:10" x14ac:dyDescent="0.2">
      <c r="A271" s="3">
        <v>8476</v>
      </c>
      <c r="B271" s="3" t="s">
        <v>278</v>
      </c>
      <c r="C271" s="3" t="s">
        <v>276</v>
      </c>
      <c r="D271" s="3" t="s">
        <v>7</v>
      </c>
      <c r="E271" s="3" t="str">
        <v>Vinelz</v>
      </c>
      <c r="I271" s="19">
        <v>1417</v>
      </c>
      <c r="J271" s="19" t="s">
        <v>4539</v>
      </c>
    </row>
    <row r="272" spans="1:10" x14ac:dyDescent="0.2">
      <c r="A272" s="3">
        <v>8477</v>
      </c>
      <c r="B272" s="3" t="s">
        <v>279</v>
      </c>
      <c r="C272" s="3" t="s">
        <v>276</v>
      </c>
      <c r="D272" s="3" t="s">
        <v>7</v>
      </c>
      <c r="E272" s="3" t="str">
        <v>Bätterkinden</v>
      </c>
      <c r="I272" s="19">
        <v>1418</v>
      </c>
      <c r="J272" s="19" t="s">
        <v>4539</v>
      </c>
    </row>
    <row r="273" spans="1:10" x14ac:dyDescent="0.2">
      <c r="A273" s="3">
        <v>8525</v>
      </c>
      <c r="B273" s="3" t="s">
        <v>280</v>
      </c>
      <c r="C273" s="3" t="s">
        <v>276</v>
      </c>
      <c r="D273" s="3" t="s">
        <v>7</v>
      </c>
      <c r="E273" s="3" t="str">
        <v>Deisswil bei Münchenbuchsee</v>
      </c>
      <c r="I273" s="19">
        <v>1420</v>
      </c>
      <c r="J273" s="19" t="s">
        <v>4540</v>
      </c>
    </row>
    <row r="274" spans="1:10" x14ac:dyDescent="0.2">
      <c r="A274" s="3">
        <v>8804</v>
      </c>
      <c r="B274" s="3" t="s">
        <v>281</v>
      </c>
      <c r="C274" s="3" t="s">
        <v>282</v>
      </c>
      <c r="D274" s="3" t="s">
        <v>7</v>
      </c>
      <c r="E274" s="3" t="str">
        <v>Diemerswil</v>
      </c>
      <c r="I274" s="19">
        <v>1421</v>
      </c>
      <c r="J274" s="19" t="s">
        <v>4542</v>
      </c>
    </row>
    <row r="275" spans="1:10" x14ac:dyDescent="0.2">
      <c r="A275" s="3">
        <v>8820</v>
      </c>
      <c r="B275" s="3" t="s">
        <v>282</v>
      </c>
      <c r="C275" s="3" t="s">
        <v>282</v>
      </c>
      <c r="D275" s="3" t="s">
        <v>7</v>
      </c>
      <c r="E275" s="3" t="str">
        <v>Fraubrunnen</v>
      </c>
      <c r="I275" s="19">
        <v>1422</v>
      </c>
      <c r="J275" s="19" t="s">
        <v>4540</v>
      </c>
    </row>
    <row r="276" spans="1:10" x14ac:dyDescent="0.2">
      <c r="A276" s="3">
        <v>8824</v>
      </c>
      <c r="B276" s="3" t="s">
        <v>283</v>
      </c>
      <c r="C276" s="3" t="s">
        <v>282</v>
      </c>
      <c r="D276" s="3" t="s">
        <v>7</v>
      </c>
      <c r="E276" s="3" t="str">
        <v>Jegenstorf</v>
      </c>
      <c r="I276" s="19">
        <v>1423</v>
      </c>
      <c r="J276" s="19" t="s">
        <v>4540</v>
      </c>
    </row>
    <row r="277" spans="1:10" x14ac:dyDescent="0.2">
      <c r="A277" s="3">
        <v>8825</v>
      </c>
      <c r="B277" s="3" t="s">
        <v>284</v>
      </c>
      <c r="C277" s="3" t="s">
        <v>282</v>
      </c>
      <c r="D277" s="3" t="s">
        <v>7</v>
      </c>
      <c r="E277" s="3" t="str">
        <v>Iffwil</v>
      </c>
      <c r="I277" s="19">
        <v>1424</v>
      </c>
      <c r="J277" s="19" t="s">
        <v>4540</v>
      </c>
    </row>
    <row r="278" spans="1:10" x14ac:dyDescent="0.2">
      <c r="A278" s="3">
        <v>8353</v>
      </c>
      <c r="B278" s="3" t="s">
        <v>285</v>
      </c>
      <c r="C278" s="3" t="s">
        <v>285</v>
      </c>
      <c r="D278" s="3" t="s">
        <v>7</v>
      </c>
      <c r="E278" s="3" t="str">
        <v>Mattstetten</v>
      </c>
      <c r="I278" s="19">
        <v>1425</v>
      </c>
      <c r="J278" s="19" t="s">
        <v>4540</v>
      </c>
    </row>
    <row r="279" spans="1:10" x14ac:dyDescent="0.2">
      <c r="A279" s="3">
        <v>8354</v>
      </c>
      <c r="B279" s="3" t="s">
        <v>286</v>
      </c>
      <c r="C279" s="3" t="s">
        <v>285</v>
      </c>
      <c r="D279" s="3" t="s">
        <v>7</v>
      </c>
      <c r="E279" s="3" t="str">
        <v>Moosseedorf</v>
      </c>
      <c r="I279" s="19">
        <v>1426</v>
      </c>
      <c r="J279" s="19" t="s">
        <v>4540</v>
      </c>
    </row>
    <row r="280" spans="1:10" x14ac:dyDescent="0.2">
      <c r="A280" s="3">
        <v>8354</v>
      </c>
      <c r="B280" s="3" t="s">
        <v>287</v>
      </c>
      <c r="C280" s="3" t="s">
        <v>285</v>
      </c>
      <c r="D280" s="3" t="s">
        <v>7</v>
      </c>
      <c r="E280" s="3" t="str">
        <v>Münchenbuchsee</v>
      </c>
      <c r="I280" s="19">
        <v>1427</v>
      </c>
      <c r="J280" s="19" t="s">
        <v>4540</v>
      </c>
    </row>
    <row r="281" spans="1:10" x14ac:dyDescent="0.2">
      <c r="A281" s="3">
        <v>8135</v>
      </c>
      <c r="B281" s="3" t="s">
        <v>288</v>
      </c>
      <c r="C281" s="3" t="s">
        <v>289</v>
      </c>
      <c r="D281" s="3" t="s">
        <v>7</v>
      </c>
      <c r="E281" s="3" t="str">
        <v>Urtenen-Schönbühl</v>
      </c>
      <c r="I281" s="19">
        <v>1428</v>
      </c>
      <c r="J281" s="19" t="s">
        <v>4540</v>
      </c>
    </row>
    <row r="282" spans="1:10" x14ac:dyDescent="0.2">
      <c r="A282" s="3">
        <v>8135</v>
      </c>
      <c r="B282" s="3" t="s">
        <v>290</v>
      </c>
      <c r="C282" s="3" t="s">
        <v>289</v>
      </c>
      <c r="D282" s="3" t="s">
        <v>7</v>
      </c>
      <c r="E282" s="3" t="str">
        <v>Utzenstorf</v>
      </c>
      <c r="I282" s="19">
        <v>1429</v>
      </c>
      <c r="J282" s="19" t="s">
        <v>4540</v>
      </c>
    </row>
    <row r="283" spans="1:10" x14ac:dyDescent="0.2">
      <c r="A283" s="3">
        <v>8810</v>
      </c>
      <c r="B283" s="3" t="s">
        <v>289</v>
      </c>
      <c r="C283" s="3" t="s">
        <v>289</v>
      </c>
      <c r="D283" s="3" t="s">
        <v>7</v>
      </c>
      <c r="E283" s="3" t="str">
        <v>Wiggiswil</v>
      </c>
      <c r="I283" s="19">
        <v>1430</v>
      </c>
      <c r="J283" s="19" t="s">
        <v>4540</v>
      </c>
    </row>
    <row r="284" spans="1:10" x14ac:dyDescent="0.2">
      <c r="A284" s="3">
        <v>8815</v>
      </c>
      <c r="B284" s="3" t="s">
        <v>291</v>
      </c>
      <c r="C284" s="3" t="s">
        <v>289</v>
      </c>
      <c r="D284" s="3" t="s">
        <v>7</v>
      </c>
      <c r="E284" s="3" t="str">
        <v>Wiler bei Utzenstorf</v>
      </c>
      <c r="I284" s="19">
        <v>1431</v>
      </c>
      <c r="J284" s="19" t="s">
        <v>4542</v>
      </c>
    </row>
    <row r="285" spans="1:10" x14ac:dyDescent="0.2">
      <c r="A285" s="3">
        <v>8816</v>
      </c>
      <c r="B285" s="3" t="s">
        <v>292</v>
      </c>
      <c r="C285" s="3" t="s">
        <v>289</v>
      </c>
      <c r="D285" s="3" t="s">
        <v>7</v>
      </c>
      <c r="E285" s="3" t="str">
        <v>Zielebach</v>
      </c>
      <c r="I285" s="19">
        <v>1432</v>
      </c>
      <c r="J285" s="19" t="s">
        <v>4539</v>
      </c>
    </row>
    <row r="286" spans="1:10" x14ac:dyDescent="0.2">
      <c r="A286" s="3">
        <v>8307</v>
      </c>
      <c r="B286" s="3" t="s">
        <v>293</v>
      </c>
      <c r="C286" s="3" t="s">
        <v>294</v>
      </c>
      <c r="D286" s="3" t="s">
        <v>7</v>
      </c>
      <c r="E286" s="3" t="str">
        <v>Zuzwil (BE)</v>
      </c>
      <c r="I286" s="19">
        <v>1433</v>
      </c>
      <c r="J286" s="19" t="s">
        <v>4539</v>
      </c>
    </row>
    <row r="287" spans="1:10" x14ac:dyDescent="0.2">
      <c r="A287" s="3">
        <v>8307</v>
      </c>
      <c r="B287" s="3" t="s">
        <v>295</v>
      </c>
      <c r="C287" s="3" t="s">
        <v>294</v>
      </c>
      <c r="D287" s="3" t="s">
        <v>7</v>
      </c>
      <c r="E287" s="3" t="str">
        <v>Adelboden</v>
      </c>
      <c r="I287" s="19">
        <v>1434</v>
      </c>
      <c r="J287" s="19" t="s">
        <v>4539</v>
      </c>
    </row>
    <row r="288" spans="1:10" x14ac:dyDescent="0.2">
      <c r="A288" s="3">
        <v>8308</v>
      </c>
      <c r="B288" s="3" t="s">
        <v>296</v>
      </c>
      <c r="C288" s="3" t="s">
        <v>294</v>
      </c>
      <c r="D288" s="3" t="s">
        <v>7</v>
      </c>
      <c r="E288" s="3" t="str">
        <v>Aeschi bei Spiez</v>
      </c>
      <c r="I288" s="19">
        <v>1435</v>
      </c>
      <c r="J288" s="19" t="s">
        <v>4539</v>
      </c>
    </row>
    <row r="289" spans="1:10" x14ac:dyDescent="0.2">
      <c r="A289" s="3">
        <v>8308</v>
      </c>
      <c r="B289" s="3" t="s">
        <v>297</v>
      </c>
      <c r="C289" s="3" t="s">
        <v>294</v>
      </c>
      <c r="D289" s="3" t="s">
        <v>7</v>
      </c>
      <c r="E289" s="3" t="str">
        <v>Frutigen</v>
      </c>
      <c r="I289" s="19">
        <v>1436</v>
      </c>
      <c r="J289" s="19" t="s">
        <v>4539</v>
      </c>
    </row>
    <row r="290" spans="1:10" x14ac:dyDescent="0.2">
      <c r="A290" s="3">
        <v>8314</v>
      </c>
      <c r="B290" s="3" t="s">
        <v>298</v>
      </c>
      <c r="C290" s="3" t="s">
        <v>294</v>
      </c>
      <c r="D290" s="3" t="s">
        <v>7</v>
      </c>
      <c r="E290" s="3" t="str">
        <v>Kandergrund</v>
      </c>
      <c r="I290" s="19">
        <v>1437</v>
      </c>
      <c r="J290" s="19" t="s">
        <v>4539</v>
      </c>
    </row>
    <row r="291" spans="1:10" x14ac:dyDescent="0.2">
      <c r="A291" s="3">
        <v>8493</v>
      </c>
      <c r="B291" s="3" t="s">
        <v>299</v>
      </c>
      <c r="C291" s="3" t="s">
        <v>300</v>
      </c>
      <c r="D291" s="3" t="s">
        <v>7</v>
      </c>
      <c r="E291" s="3" t="str">
        <v>Kandersteg</v>
      </c>
      <c r="I291" s="19">
        <v>1438</v>
      </c>
      <c r="J291" s="19" t="s">
        <v>4539</v>
      </c>
    </row>
    <row r="292" spans="1:10" x14ac:dyDescent="0.2">
      <c r="A292" s="3">
        <v>8494</v>
      </c>
      <c r="B292" s="3" t="s">
        <v>300</v>
      </c>
      <c r="C292" s="3" t="s">
        <v>300</v>
      </c>
      <c r="D292" s="3" t="s">
        <v>7</v>
      </c>
      <c r="E292" s="3" t="str">
        <v>Krattigen</v>
      </c>
      <c r="I292" s="19">
        <v>1439</v>
      </c>
      <c r="J292" s="19" t="s">
        <v>4542</v>
      </c>
    </row>
    <row r="293" spans="1:10" x14ac:dyDescent="0.2">
      <c r="A293" s="3">
        <v>8499</v>
      </c>
      <c r="B293" s="3" t="s">
        <v>301</v>
      </c>
      <c r="C293" s="3" t="s">
        <v>300</v>
      </c>
      <c r="D293" s="3" t="s">
        <v>7</v>
      </c>
      <c r="E293" s="3" t="str">
        <v>Reichenbach im Kandertal</v>
      </c>
      <c r="I293" s="19">
        <v>1441</v>
      </c>
      <c r="J293" s="19" t="s">
        <v>4540</v>
      </c>
    </row>
    <row r="294" spans="1:10" x14ac:dyDescent="0.2">
      <c r="A294" s="3">
        <v>8542</v>
      </c>
      <c r="B294" s="3" t="s">
        <v>302</v>
      </c>
      <c r="C294" s="3" t="s">
        <v>302</v>
      </c>
      <c r="D294" s="3" t="s">
        <v>7</v>
      </c>
      <c r="E294" s="3" t="str">
        <v>Beatenberg</v>
      </c>
      <c r="I294" s="19">
        <v>1442</v>
      </c>
      <c r="J294" s="19" t="s">
        <v>4539</v>
      </c>
    </row>
    <row r="295" spans="1:10" x14ac:dyDescent="0.2">
      <c r="A295" s="3">
        <v>8543</v>
      </c>
      <c r="B295" s="3" t="s">
        <v>303</v>
      </c>
      <c r="C295" s="3" t="s">
        <v>302</v>
      </c>
      <c r="D295" s="3" t="s">
        <v>7</v>
      </c>
      <c r="E295" s="3" t="str">
        <v>Bönigen</v>
      </c>
      <c r="I295" s="19">
        <v>1443</v>
      </c>
      <c r="J295" s="19" t="s">
        <v>4540</v>
      </c>
    </row>
    <row r="296" spans="1:10" x14ac:dyDescent="0.2">
      <c r="A296" s="3">
        <v>8543</v>
      </c>
      <c r="B296" s="3" t="s">
        <v>304</v>
      </c>
      <c r="C296" s="3" t="s">
        <v>302</v>
      </c>
      <c r="D296" s="3" t="s">
        <v>7</v>
      </c>
      <c r="E296" s="3" t="str">
        <v>Brienz (BE)</v>
      </c>
      <c r="I296" s="19">
        <v>1445</v>
      </c>
      <c r="J296" s="19" t="s">
        <v>4542</v>
      </c>
    </row>
    <row r="297" spans="1:10" x14ac:dyDescent="0.2">
      <c r="A297" s="3">
        <v>8543</v>
      </c>
      <c r="B297" s="3" t="s">
        <v>305</v>
      </c>
      <c r="C297" s="3" t="s">
        <v>302</v>
      </c>
      <c r="D297" s="3" t="s">
        <v>7</v>
      </c>
      <c r="E297" s="3" t="str">
        <v>Brienzwiler</v>
      </c>
      <c r="I297" s="19">
        <v>1446</v>
      </c>
      <c r="J297" s="19" t="s">
        <v>4542</v>
      </c>
    </row>
    <row r="298" spans="1:10" x14ac:dyDescent="0.2">
      <c r="A298" s="3">
        <v>8544</v>
      </c>
      <c r="B298" s="3" t="s">
        <v>306</v>
      </c>
      <c r="C298" s="3" t="s">
        <v>302</v>
      </c>
      <c r="D298" s="3" t="s">
        <v>7</v>
      </c>
      <c r="E298" s="3" t="str">
        <v>Därligen</v>
      </c>
      <c r="I298" s="19">
        <v>1450</v>
      </c>
      <c r="J298" s="19" t="s">
        <v>4542</v>
      </c>
    </row>
    <row r="299" spans="1:10" x14ac:dyDescent="0.2">
      <c r="A299" s="3">
        <v>8546</v>
      </c>
      <c r="B299" s="3" t="s">
        <v>307</v>
      </c>
      <c r="C299" s="3" t="s">
        <v>302</v>
      </c>
      <c r="D299" s="3" t="s">
        <v>7</v>
      </c>
      <c r="E299" s="3" t="str">
        <v>Grindelwald</v>
      </c>
      <c r="I299" s="19">
        <v>1452</v>
      </c>
      <c r="J299" s="19" t="s">
        <v>4542</v>
      </c>
    </row>
    <row r="300" spans="1:10" x14ac:dyDescent="0.2">
      <c r="A300" s="3">
        <v>3270</v>
      </c>
      <c r="B300" s="3" t="s">
        <v>308</v>
      </c>
      <c r="C300" s="3" t="s">
        <v>308</v>
      </c>
      <c r="D300" s="3" t="s">
        <v>309</v>
      </c>
      <c r="E300" s="3" t="str">
        <v>Gsteigwiler</v>
      </c>
      <c r="I300" s="19">
        <v>1453</v>
      </c>
      <c r="J300" s="19" t="s">
        <v>4542</v>
      </c>
    </row>
    <row r="301" spans="1:10" x14ac:dyDescent="0.2">
      <c r="A301" s="3">
        <v>3282</v>
      </c>
      <c r="B301" s="3" t="s">
        <v>310</v>
      </c>
      <c r="C301" s="3" t="s">
        <v>311</v>
      </c>
      <c r="D301" s="3" t="s">
        <v>309</v>
      </c>
      <c r="E301" s="3" t="str">
        <v>Gündlischwand</v>
      </c>
      <c r="I301" s="19">
        <v>1454</v>
      </c>
      <c r="J301" s="19" t="s">
        <v>4542</v>
      </c>
    </row>
    <row r="302" spans="1:10" x14ac:dyDescent="0.2">
      <c r="A302" s="3">
        <v>3257</v>
      </c>
      <c r="B302" s="3" t="s">
        <v>312</v>
      </c>
      <c r="C302" s="3" t="s">
        <v>312</v>
      </c>
      <c r="D302" s="3" t="s">
        <v>309</v>
      </c>
      <c r="E302" s="3" t="str">
        <v>Habkern</v>
      </c>
      <c r="I302" s="19">
        <v>1462</v>
      </c>
      <c r="J302" s="19" t="s">
        <v>4540</v>
      </c>
    </row>
    <row r="303" spans="1:10" x14ac:dyDescent="0.2">
      <c r="A303" s="3">
        <v>3257</v>
      </c>
      <c r="B303" s="3" t="s">
        <v>313</v>
      </c>
      <c r="C303" s="3" t="s">
        <v>312</v>
      </c>
      <c r="D303" s="3" t="s">
        <v>309</v>
      </c>
      <c r="E303" s="3" t="str">
        <v>Hofstetten bei Brienz</v>
      </c>
      <c r="I303" s="19">
        <v>1463</v>
      </c>
      <c r="J303" s="19" t="s">
        <v>4540</v>
      </c>
    </row>
    <row r="304" spans="1:10" x14ac:dyDescent="0.2">
      <c r="A304" s="3">
        <v>3262</v>
      </c>
      <c r="B304" s="3" t="s">
        <v>314</v>
      </c>
      <c r="C304" s="3" t="s">
        <v>312</v>
      </c>
      <c r="D304" s="3" t="s">
        <v>309</v>
      </c>
      <c r="E304" s="3" t="str">
        <v>Interlaken</v>
      </c>
      <c r="I304" s="19">
        <v>1464</v>
      </c>
      <c r="J304" s="19" t="s">
        <v>4540</v>
      </c>
    </row>
    <row r="305" spans="1:10" x14ac:dyDescent="0.2">
      <c r="A305" s="3">
        <v>3207</v>
      </c>
      <c r="B305" s="3" t="s">
        <v>315</v>
      </c>
      <c r="C305" s="3" t="s">
        <v>316</v>
      </c>
      <c r="D305" s="3" t="s">
        <v>309</v>
      </c>
      <c r="E305" s="3" t="str">
        <v>Iseltwald</v>
      </c>
      <c r="I305" s="19">
        <v>1468</v>
      </c>
      <c r="J305" s="19" t="s">
        <v>4540</v>
      </c>
    </row>
    <row r="306" spans="1:10" x14ac:dyDescent="0.2">
      <c r="A306" s="3">
        <v>3283</v>
      </c>
      <c r="B306" s="3" t="s">
        <v>316</v>
      </c>
      <c r="C306" s="3" t="s">
        <v>316</v>
      </c>
      <c r="D306" s="3" t="s">
        <v>309</v>
      </c>
      <c r="E306" s="3" t="str">
        <v>Lauterbrunnen</v>
      </c>
      <c r="I306" s="19">
        <v>1470</v>
      </c>
      <c r="J306" s="19" t="s">
        <v>4540</v>
      </c>
    </row>
    <row r="307" spans="1:10" x14ac:dyDescent="0.2">
      <c r="A307" s="3">
        <v>3283</v>
      </c>
      <c r="B307" s="3" t="s">
        <v>317</v>
      </c>
      <c r="C307" s="3" t="s">
        <v>316</v>
      </c>
      <c r="D307" s="3" t="s">
        <v>309</v>
      </c>
      <c r="E307" s="3" t="str">
        <v>Leissigen</v>
      </c>
      <c r="I307" s="19">
        <v>1473</v>
      </c>
      <c r="J307" s="19" t="s">
        <v>4540</v>
      </c>
    </row>
    <row r="308" spans="1:10" x14ac:dyDescent="0.2">
      <c r="A308" s="3">
        <v>3273</v>
      </c>
      <c r="B308" s="3" t="s">
        <v>318</v>
      </c>
      <c r="C308" s="3" t="s">
        <v>318</v>
      </c>
      <c r="D308" s="3" t="s">
        <v>309</v>
      </c>
      <c r="E308" s="3" t="str">
        <v>Lütschental</v>
      </c>
      <c r="I308" s="19">
        <v>1474</v>
      </c>
      <c r="J308" s="19" t="s">
        <v>4540</v>
      </c>
    </row>
    <row r="309" spans="1:10" x14ac:dyDescent="0.2">
      <c r="A309" s="3">
        <v>3250</v>
      </c>
      <c r="B309" s="3" t="s">
        <v>319</v>
      </c>
      <c r="C309" s="3" t="s">
        <v>319</v>
      </c>
      <c r="D309" s="3" t="s">
        <v>309</v>
      </c>
      <c r="E309" s="3" t="str">
        <v>Matten bei Interlaken</v>
      </c>
      <c r="I309" s="19">
        <v>1475</v>
      </c>
      <c r="J309" s="19" t="s">
        <v>4540</v>
      </c>
    </row>
    <row r="310" spans="1:10" x14ac:dyDescent="0.2">
      <c r="A310" s="3">
        <v>3292</v>
      </c>
      <c r="B310" s="3" t="s">
        <v>320</v>
      </c>
      <c r="C310" s="3" t="s">
        <v>319</v>
      </c>
      <c r="D310" s="3" t="s">
        <v>309</v>
      </c>
      <c r="E310" s="3" t="str">
        <v>Niederried bei Interlaken</v>
      </c>
      <c r="I310" s="19">
        <v>1482</v>
      </c>
      <c r="J310" s="19" t="s">
        <v>4540</v>
      </c>
    </row>
    <row r="311" spans="1:10" x14ac:dyDescent="0.2">
      <c r="A311" s="3">
        <v>3042</v>
      </c>
      <c r="B311" s="3" t="s">
        <v>321</v>
      </c>
      <c r="C311" s="3" t="s">
        <v>322</v>
      </c>
      <c r="D311" s="3" t="s">
        <v>309</v>
      </c>
      <c r="E311" s="3" t="str">
        <v>Oberried am Brienzersee</v>
      </c>
      <c r="I311" s="19">
        <v>1483</v>
      </c>
      <c r="J311" s="19" t="s">
        <v>4540</v>
      </c>
    </row>
    <row r="312" spans="1:10" x14ac:dyDescent="0.2">
      <c r="A312" s="3">
        <v>3045</v>
      </c>
      <c r="B312" s="3" t="s">
        <v>322</v>
      </c>
      <c r="C312" s="3" t="s">
        <v>322</v>
      </c>
      <c r="D312" s="3" t="s">
        <v>309</v>
      </c>
      <c r="E312" s="3" t="str">
        <v>Ringgenberg (BE)</v>
      </c>
      <c r="I312" s="19">
        <v>1484</v>
      </c>
      <c r="J312" s="19" t="s">
        <v>4540</v>
      </c>
    </row>
    <row r="313" spans="1:10" x14ac:dyDescent="0.2">
      <c r="A313" s="3">
        <v>3046</v>
      </c>
      <c r="B313" s="3" t="s">
        <v>323</v>
      </c>
      <c r="C313" s="3" t="s">
        <v>322</v>
      </c>
      <c r="D313" s="3" t="s">
        <v>309</v>
      </c>
      <c r="E313" s="3" t="str">
        <v>Saxeten</v>
      </c>
      <c r="I313" s="19">
        <v>1485</v>
      </c>
      <c r="J313" s="19" t="s">
        <v>4540</v>
      </c>
    </row>
    <row r="314" spans="1:10" x14ac:dyDescent="0.2">
      <c r="A314" s="3">
        <v>3036</v>
      </c>
      <c r="B314" s="3" t="s">
        <v>324</v>
      </c>
      <c r="C314" s="3" t="s">
        <v>325</v>
      </c>
      <c r="D314" s="3" t="s">
        <v>309</v>
      </c>
      <c r="E314" s="3" t="str">
        <v>Schwanden bei Brienz</v>
      </c>
      <c r="I314" s="19">
        <v>1486</v>
      </c>
      <c r="J314" s="19" t="s">
        <v>4540</v>
      </c>
    </row>
    <row r="315" spans="1:10" x14ac:dyDescent="0.2">
      <c r="A315" s="3">
        <v>3271</v>
      </c>
      <c r="B315" s="3" t="s">
        <v>326</v>
      </c>
      <c r="C315" s="3" t="s">
        <v>325</v>
      </c>
      <c r="D315" s="3" t="s">
        <v>309</v>
      </c>
      <c r="E315" s="3" t="str">
        <v>Unterseen</v>
      </c>
      <c r="I315" s="19">
        <v>1489</v>
      </c>
      <c r="J315" s="19" t="s">
        <v>4540</v>
      </c>
    </row>
    <row r="316" spans="1:10" x14ac:dyDescent="0.2">
      <c r="A316" s="3">
        <v>3053</v>
      </c>
      <c r="B316" s="3" t="s">
        <v>327</v>
      </c>
      <c r="C316" s="3" t="s">
        <v>328</v>
      </c>
      <c r="D316" s="3" t="s">
        <v>309</v>
      </c>
      <c r="E316" s="3" t="str">
        <v>Wilderswil</v>
      </c>
      <c r="I316" s="19">
        <v>1509</v>
      </c>
      <c r="J316" s="19" t="s">
        <v>4539</v>
      </c>
    </row>
    <row r="317" spans="1:10" x14ac:dyDescent="0.2">
      <c r="A317" s="3">
        <v>3251</v>
      </c>
      <c r="B317" s="3" t="s">
        <v>329</v>
      </c>
      <c r="C317" s="3" t="s">
        <v>328</v>
      </c>
      <c r="D317" s="3" t="s">
        <v>309</v>
      </c>
      <c r="E317" s="3" t="str">
        <v>Arni (BE)</v>
      </c>
      <c r="I317" s="19">
        <v>1510</v>
      </c>
      <c r="J317" s="19" t="s">
        <v>4539</v>
      </c>
    </row>
    <row r="318" spans="1:10" x14ac:dyDescent="0.2">
      <c r="A318" s="3">
        <v>3255</v>
      </c>
      <c r="B318" s="3" t="s">
        <v>330</v>
      </c>
      <c r="C318" s="3" t="s">
        <v>328</v>
      </c>
      <c r="D318" s="3" t="s">
        <v>309</v>
      </c>
      <c r="E318" s="3" t="str">
        <v>Biglen</v>
      </c>
      <c r="I318" s="19">
        <v>1512</v>
      </c>
      <c r="J318" s="19" t="s">
        <v>4540</v>
      </c>
    </row>
    <row r="319" spans="1:10" x14ac:dyDescent="0.2">
      <c r="A319" s="3">
        <v>3256</v>
      </c>
      <c r="B319" s="3" t="s">
        <v>331</v>
      </c>
      <c r="C319" s="3" t="s">
        <v>328</v>
      </c>
      <c r="D319" s="3" t="s">
        <v>309</v>
      </c>
      <c r="E319" s="3" t="str">
        <v>Bowil</v>
      </c>
      <c r="I319" s="19">
        <v>1513</v>
      </c>
      <c r="J319" s="19" t="s">
        <v>4539</v>
      </c>
    </row>
    <row r="320" spans="1:10" x14ac:dyDescent="0.2">
      <c r="A320" s="3">
        <v>3256</v>
      </c>
      <c r="B320" s="3" t="s">
        <v>332</v>
      </c>
      <c r="C320" s="3" t="s">
        <v>328</v>
      </c>
      <c r="D320" s="3" t="s">
        <v>309</v>
      </c>
      <c r="E320" s="3" t="str">
        <v>Brenzikofen</v>
      </c>
      <c r="I320" s="19">
        <v>1514</v>
      </c>
      <c r="J320" s="19" t="s">
        <v>4540</v>
      </c>
    </row>
    <row r="321" spans="1:10" x14ac:dyDescent="0.2">
      <c r="A321" s="3">
        <v>3256</v>
      </c>
      <c r="B321" s="3" t="s">
        <v>333</v>
      </c>
      <c r="C321" s="3" t="s">
        <v>328</v>
      </c>
      <c r="D321" s="3" t="s">
        <v>309</v>
      </c>
      <c r="E321" s="3" t="str">
        <v>Freimettigen</v>
      </c>
      <c r="I321" s="19">
        <v>1515</v>
      </c>
      <c r="J321" s="19" t="s">
        <v>4540</v>
      </c>
    </row>
    <row r="322" spans="1:10" x14ac:dyDescent="0.2">
      <c r="A322" s="3">
        <v>3054</v>
      </c>
      <c r="B322" s="3" t="s">
        <v>334</v>
      </c>
      <c r="C322" s="3" t="s">
        <v>334</v>
      </c>
      <c r="D322" s="3" t="s">
        <v>309</v>
      </c>
      <c r="E322" s="3" t="str">
        <v>Grosshöchstetten</v>
      </c>
      <c r="I322" s="19">
        <v>1521</v>
      </c>
      <c r="J322" s="19" t="s">
        <v>4540</v>
      </c>
    </row>
    <row r="323" spans="1:10" x14ac:dyDescent="0.2">
      <c r="A323" s="3">
        <v>3035</v>
      </c>
      <c r="B323" s="3" t="s">
        <v>335</v>
      </c>
      <c r="C323" s="3" t="s">
        <v>336</v>
      </c>
      <c r="D323" s="3" t="s">
        <v>309</v>
      </c>
      <c r="E323" s="3" t="str">
        <v>Häutligen</v>
      </c>
      <c r="I323" s="19">
        <v>1522</v>
      </c>
      <c r="J323" s="19" t="s">
        <v>4540</v>
      </c>
    </row>
    <row r="324" spans="1:10" x14ac:dyDescent="0.2">
      <c r="A324" s="3">
        <v>3266</v>
      </c>
      <c r="B324" s="3" t="s">
        <v>337</v>
      </c>
      <c r="C324" s="3" t="s">
        <v>336</v>
      </c>
      <c r="D324" s="3" t="s">
        <v>309</v>
      </c>
      <c r="E324" s="3" t="str">
        <v>Herbligen</v>
      </c>
      <c r="I324" s="19">
        <v>1523</v>
      </c>
      <c r="J324" s="19" t="s">
        <v>4540</v>
      </c>
    </row>
    <row r="325" spans="1:10" x14ac:dyDescent="0.2">
      <c r="A325" s="3">
        <v>3267</v>
      </c>
      <c r="B325" s="3" t="s">
        <v>338</v>
      </c>
      <c r="C325" s="3" t="s">
        <v>336</v>
      </c>
      <c r="D325" s="3" t="s">
        <v>309</v>
      </c>
      <c r="E325" s="3" t="str">
        <v>Kiesen</v>
      </c>
      <c r="I325" s="19">
        <v>1524</v>
      </c>
      <c r="J325" s="19" t="s">
        <v>4540</v>
      </c>
    </row>
    <row r="326" spans="1:10" x14ac:dyDescent="0.2">
      <c r="A326" s="3">
        <v>3268</v>
      </c>
      <c r="B326" s="3" t="s">
        <v>339</v>
      </c>
      <c r="C326" s="3" t="s">
        <v>336</v>
      </c>
      <c r="D326" s="3" t="s">
        <v>309</v>
      </c>
      <c r="E326" s="3" t="str">
        <v>Konolfingen</v>
      </c>
      <c r="I326" s="19">
        <v>1525</v>
      </c>
      <c r="J326" s="19" t="s">
        <v>4540</v>
      </c>
    </row>
    <row r="327" spans="1:10" x14ac:dyDescent="0.2">
      <c r="A327" s="3">
        <v>4912</v>
      </c>
      <c r="B327" s="3" t="s">
        <v>340</v>
      </c>
      <c r="C327" s="3" t="s">
        <v>340</v>
      </c>
      <c r="D327" s="3" t="s">
        <v>309</v>
      </c>
      <c r="E327" s="3" t="str">
        <v>Landiswil</v>
      </c>
      <c r="I327" s="19">
        <v>1526</v>
      </c>
      <c r="J327" s="19" t="s">
        <v>4540</v>
      </c>
    </row>
    <row r="328" spans="1:10" x14ac:dyDescent="0.2">
      <c r="A328" s="3">
        <v>4944</v>
      </c>
      <c r="B328" s="3" t="s">
        <v>341</v>
      </c>
      <c r="C328" s="3" t="s">
        <v>341</v>
      </c>
      <c r="D328" s="3" t="s">
        <v>309</v>
      </c>
      <c r="E328" s="3" t="str">
        <v>Linden</v>
      </c>
      <c r="I328" s="19">
        <v>1527</v>
      </c>
      <c r="J328" s="19" t="s">
        <v>4540</v>
      </c>
    </row>
    <row r="329" spans="1:10" x14ac:dyDescent="0.2">
      <c r="A329" s="3">
        <v>4913</v>
      </c>
      <c r="B329" s="3" t="s">
        <v>342</v>
      </c>
      <c r="C329" s="3" t="s">
        <v>342</v>
      </c>
      <c r="D329" s="3" t="s">
        <v>309</v>
      </c>
      <c r="E329" s="3" t="str">
        <v>Mirchel</v>
      </c>
      <c r="I329" s="19">
        <v>1528</v>
      </c>
      <c r="J329" s="19" t="s">
        <v>4540</v>
      </c>
    </row>
    <row r="330" spans="1:10" x14ac:dyDescent="0.2">
      <c r="A330" s="3">
        <v>3368</v>
      </c>
      <c r="B330" s="3" t="s">
        <v>343</v>
      </c>
      <c r="C330" s="3" t="s">
        <v>343</v>
      </c>
      <c r="D330" s="3" t="s">
        <v>309</v>
      </c>
      <c r="E330" s="3" t="str">
        <v>Münsingen</v>
      </c>
      <c r="I330" s="19">
        <v>1529</v>
      </c>
      <c r="J330" s="19" t="s">
        <v>4540</v>
      </c>
    </row>
    <row r="331" spans="1:10" x14ac:dyDescent="0.2">
      <c r="A331" s="3">
        <v>4917</v>
      </c>
      <c r="B331" s="3" t="s">
        <v>344</v>
      </c>
      <c r="C331" s="3" t="s">
        <v>345</v>
      </c>
      <c r="D331" s="3" t="s">
        <v>309</v>
      </c>
      <c r="E331" s="3" t="str">
        <v>Niederhünigen</v>
      </c>
      <c r="I331" s="19">
        <v>1530</v>
      </c>
      <c r="J331" s="19" t="s">
        <v>4540</v>
      </c>
    </row>
    <row r="332" spans="1:10" x14ac:dyDescent="0.2">
      <c r="A332" s="3">
        <v>4955</v>
      </c>
      <c r="B332" s="3" t="s">
        <v>346</v>
      </c>
      <c r="C332" s="3" t="s">
        <v>346</v>
      </c>
      <c r="D332" s="3" t="s">
        <v>309</v>
      </c>
      <c r="E332" s="3" t="str">
        <v>Oberdiessbach</v>
      </c>
      <c r="I332" s="19">
        <v>1532</v>
      </c>
      <c r="J332" s="19" t="s">
        <v>4540</v>
      </c>
    </row>
    <row r="333" spans="1:10" x14ac:dyDescent="0.2">
      <c r="A333" s="3">
        <v>4900</v>
      </c>
      <c r="B333" s="3" t="s">
        <v>347</v>
      </c>
      <c r="C333" s="3" t="s">
        <v>347</v>
      </c>
      <c r="D333" s="3" t="s">
        <v>309</v>
      </c>
      <c r="E333" s="3" t="str">
        <v>Oberthal</v>
      </c>
      <c r="I333" s="19">
        <v>1533</v>
      </c>
      <c r="J333" s="19" t="s">
        <v>4540</v>
      </c>
    </row>
    <row r="334" spans="1:10" x14ac:dyDescent="0.2">
      <c r="A334" s="3">
        <v>4916</v>
      </c>
      <c r="B334" s="3" t="s">
        <v>348</v>
      </c>
      <c r="C334" s="3" t="s">
        <v>347</v>
      </c>
      <c r="D334" s="3" t="s">
        <v>309</v>
      </c>
      <c r="E334" s="3" t="str">
        <v>Oppligen</v>
      </c>
      <c r="I334" s="19">
        <v>1534</v>
      </c>
      <c r="J334" s="19" t="s">
        <v>4540</v>
      </c>
    </row>
    <row r="335" spans="1:10" x14ac:dyDescent="0.2">
      <c r="A335" s="3">
        <v>4924</v>
      </c>
      <c r="B335" s="3" t="s">
        <v>349</v>
      </c>
      <c r="C335" s="3" t="s">
        <v>347</v>
      </c>
      <c r="D335" s="3" t="s">
        <v>309</v>
      </c>
      <c r="E335" s="3" t="str">
        <v>Rubigen</v>
      </c>
      <c r="I335" s="19">
        <v>1535</v>
      </c>
      <c r="J335" s="19" t="s">
        <v>4540</v>
      </c>
    </row>
    <row r="336" spans="1:10" x14ac:dyDescent="0.2">
      <c r="A336" s="3">
        <v>4932</v>
      </c>
      <c r="B336" s="3" t="s">
        <v>350</v>
      </c>
      <c r="C336" s="3" t="s">
        <v>350</v>
      </c>
      <c r="D336" s="3" t="s">
        <v>309</v>
      </c>
      <c r="E336" s="3" t="str">
        <v>Walkringen</v>
      </c>
      <c r="I336" s="19">
        <v>1536</v>
      </c>
      <c r="J336" s="19" t="s">
        <v>4540</v>
      </c>
    </row>
    <row r="337" spans="1:10" x14ac:dyDescent="0.2">
      <c r="A337" s="3">
        <v>4932</v>
      </c>
      <c r="B337" s="3" t="s">
        <v>351</v>
      </c>
      <c r="C337" s="3" t="s">
        <v>352</v>
      </c>
      <c r="D337" s="3" t="s">
        <v>309</v>
      </c>
      <c r="E337" s="3" t="str">
        <v>Worb</v>
      </c>
      <c r="I337" s="19">
        <v>1537</v>
      </c>
      <c r="J337" s="19" t="s">
        <v>4540</v>
      </c>
    </row>
    <row r="338" spans="1:10" x14ac:dyDescent="0.2">
      <c r="A338" s="3">
        <v>4934</v>
      </c>
      <c r="B338" s="3" t="s">
        <v>352</v>
      </c>
      <c r="C338" s="3" t="s">
        <v>352</v>
      </c>
      <c r="D338" s="3" t="s">
        <v>309</v>
      </c>
      <c r="E338" s="3" t="str">
        <v>Zäziwil</v>
      </c>
      <c r="I338" s="19">
        <v>1538</v>
      </c>
      <c r="J338" s="19" t="s">
        <v>4540</v>
      </c>
    </row>
    <row r="339" spans="1:10" x14ac:dyDescent="0.2">
      <c r="A339" s="3">
        <v>4935</v>
      </c>
      <c r="B339" s="3" t="s">
        <v>353</v>
      </c>
      <c r="C339" s="3" t="s">
        <v>352</v>
      </c>
      <c r="D339" s="3" t="s">
        <v>309</v>
      </c>
      <c r="E339" s="3" t="str">
        <v>Oberhünigen</v>
      </c>
      <c r="I339" s="19">
        <v>1541</v>
      </c>
      <c r="J339" s="19" t="s">
        <v>4540</v>
      </c>
    </row>
    <row r="340" spans="1:10" x14ac:dyDescent="0.2">
      <c r="A340" s="3">
        <v>4936</v>
      </c>
      <c r="B340" s="3" t="s">
        <v>354</v>
      </c>
      <c r="C340" s="3" t="s">
        <v>352</v>
      </c>
      <c r="D340" s="3" t="s">
        <v>309</v>
      </c>
      <c r="E340" s="3" t="str">
        <v>Allmendingen</v>
      </c>
      <c r="I340" s="19">
        <v>1542</v>
      </c>
      <c r="J340" s="19" t="s">
        <v>4540</v>
      </c>
    </row>
    <row r="341" spans="1:10" x14ac:dyDescent="0.2">
      <c r="A341" s="3">
        <v>4917</v>
      </c>
      <c r="B341" s="3" t="s">
        <v>355</v>
      </c>
      <c r="C341" s="3" t="s">
        <v>355</v>
      </c>
      <c r="D341" s="3" t="s">
        <v>309</v>
      </c>
      <c r="E341" s="3" t="str">
        <v>Wichtrach</v>
      </c>
      <c r="I341" s="19">
        <v>1543</v>
      </c>
      <c r="J341" s="19" t="s">
        <v>4540</v>
      </c>
    </row>
    <row r="342" spans="1:10" x14ac:dyDescent="0.2">
      <c r="A342" s="3">
        <v>4943</v>
      </c>
      <c r="B342" s="3" t="s">
        <v>356</v>
      </c>
      <c r="C342" s="3" t="s">
        <v>356</v>
      </c>
      <c r="D342" s="3" t="s">
        <v>309</v>
      </c>
      <c r="E342" s="3" t="str">
        <v>Ferenbalm</v>
      </c>
      <c r="I342" s="19">
        <v>1544</v>
      </c>
      <c r="J342" s="19" t="s">
        <v>4543</v>
      </c>
    </row>
    <row r="343" spans="1:10" x14ac:dyDescent="0.2">
      <c r="A343" s="3">
        <v>4919</v>
      </c>
      <c r="B343" s="3" t="s">
        <v>357</v>
      </c>
      <c r="C343" s="3" t="s">
        <v>357</v>
      </c>
      <c r="D343" s="3" t="s">
        <v>309</v>
      </c>
      <c r="E343" s="3" t="str">
        <v>Frauenkappelen</v>
      </c>
      <c r="I343" s="19">
        <v>1545</v>
      </c>
      <c r="J343" s="19" t="s">
        <v>4543</v>
      </c>
    </row>
    <row r="344" spans="1:10" x14ac:dyDescent="0.2">
      <c r="A344" s="3">
        <v>4914</v>
      </c>
      <c r="B344" s="3" t="s">
        <v>358</v>
      </c>
      <c r="C344" s="3" t="s">
        <v>359</v>
      </c>
      <c r="D344" s="3" t="s">
        <v>309</v>
      </c>
      <c r="E344" s="3" t="str">
        <v>Gurbrü</v>
      </c>
      <c r="I344" s="19">
        <v>1551</v>
      </c>
      <c r="J344" s="19" t="s">
        <v>4540</v>
      </c>
    </row>
    <row r="345" spans="1:10" x14ac:dyDescent="0.2">
      <c r="A345" s="3">
        <v>4938</v>
      </c>
      <c r="B345" s="3" t="s">
        <v>360</v>
      </c>
      <c r="C345" s="3" t="s">
        <v>360</v>
      </c>
      <c r="D345" s="3" t="s">
        <v>309</v>
      </c>
      <c r="E345" s="3" t="str">
        <v>Kriechenwil</v>
      </c>
      <c r="I345" s="19">
        <v>1552</v>
      </c>
      <c r="J345" s="19" t="s">
        <v>4540</v>
      </c>
    </row>
    <row r="346" spans="1:10" x14ac:dyDescent="0.2">
      <c r="A346" s="3">
        <v>4938</v>
      </c>
      <c r="B346" s="3" t="s">
        <v>361</v>
      </c>
      <c r="C346" s="3" t="s">
        <v>361</v>
      </c>
      <c r="D346" s="3" t="s">
        <v>309</v>
      </c>
      <c r="E346" s="3" t="str">
        <v>Laupen</v>
      </c>
      <c r="I346" s="19">
        <v>1553</v>
      </c>
      <c r="J346" s="19" t="s">
        <v>4540</v>
      </c>
    </row>
    <row r="347" spans="1:10" x14ac:dyDescent="0.2">
      <c r="A347" s="3">
        <v>4933</v>
      </c>
      <c r="B347" s="3" t="s">
        <v>362</v>
      </c>
      <c r="C347" s="3" t="s">
        <v>362</v>
      </c>
      <c r="D347" s="3" t="s">
        <v>309</v>
      </c>
      <c r="E347" s="3" t="str">
        <v>Mühleberg</v>
      </c>
      <c r="I347" s="19">
        <v>1554</v>
      </c>
      <c r="J347" s="19" t="s">
        <v>4540</v>
      </c>
    </row>
    <row r="348" spans="1:10" x14ac:dyDescent="0.2">
      <c r="A348" s="3">
        <v>4911</v>
      </c>
      <c r="B348" s="3" t="s">
        <v>363</v>
      </c>
      <c r="C348" s="3" t="s">
        <v>363</v>
      </c>
      <c r="D348" s="3" t="s">
        <v>309</v>
      </c>
      <c r="E348" s="3" t="str">
        <v>Münchenwiler</v>
      </c>
      <c r="I348" s="19">
        <v>1555</v>
      </c>
      <c r="J348" s="19" t="s">
        <v>4540</v>
      </c>
    </row>
    <row r="349" spans="1:10" x14ac:dyDescent="0.2">
      <c r="A349" s="3">
        <v>4922</v>
      </c>
      <c r="B349" s="3" t="s">
        <v>364</v>
      </c>
      <c r="C349" s="3" t="s">
        <v>365</v>
      </c>
      <c r="D349" s="3" t="s">
        <v>309</v>
      </c>
      <c r="E349" s="3" t="str">
        <v>Neuenegg</v>
      </c>
      <c r="I349" s="19">
        <v>1562</v>
      </c>
      <c r="J349" s="19" t="s">
        <v>4540</v>
      </c>
    </row>
    <row r="350" spans="1:10" x14ac:dyDescent="0.2">
      <c r="A350" s="3">
        <v>4922</v>
      </c>
      <c r="B350" s="3" t="s">
        <v>365</v>
      </c>
      <c r="C350" s="3" t="s">
        <v>365</v>
      </c>
      <c r="D350" s="3" t="s">
        <v>309</v>
      </c>
      <c r="E350" s="3" t="str">
        <v>Wileroltigen</v>
      </c>
      <c r="I350" s="19">
        <v>1563</v>
      </c>
      <c r="J350" s="19" t="s">
        <v>4540</v>
      </c>
    </row>
    <row r="351" spans="1:10" x14ac:dyDescent="0.2">
      <c r="A351" s="3">
        <v>4937</v>
      </c>
      <c r="B351" s="3" t="s">
        <v>366</v>
      </c>
      <c r="C351" s="3" t="s">
        <v>366</v>
      </c>
      <c r="D351" s="3" t="s">
        <v>309</v>
      </c>
      <c r="E351" s="3" t="str">
        <v>Belprahon</v>
      </c>
      <c r="I351" s="19">
        <v>1564</v>
      </c>
      <c r="J351" s="19" t="s">
        <v>4540</v>
      </c>
    </row>
    <row r="352" spans="1:10" x14ac:dyDescent="0.2">
      <c r="A352" s="3">
        <v>4923</v>
      </c>
      <c r="B352" s="3" t="s">
        <v>367</v>
      </c>
      <c r="C352" s="3" t="s">
        <v>367</v>
      </c>
      <c r="D352" s="3" t="s">
        <v>309</v>
      </c>
      <c r="E352" s="3" t="str">
        <v>Champoz</v>
      </c>
      <c r="I352" s="19">
        <v>1565</v>
      </c>
      <c r="J352" s="19" t="s">
        <v>4540</v>
      </c>
    </row>
    <row r="353" spans="1:10" x14ac:dyDescent="0.2">
      <c r="A353" s="3">
        <v>3004</v>
      </c>
      <c r="B353" s="3" t="s">
        <v>1</v>
      </c>
      <c r="C353" s="3" t="s">
        <v>1</v>
      </c>
      <c r="D353" s="3" t="s">
        <v>309</v>
      </c>
      <c r="E353" s="3" t="str">
        <v>Corcelles (BE)</v>
      </c>
      <c r="I353" s="19">
        <v>1566</v>
      </c>
      <c r="J353" s="19" t="s">
        <v>4543</v>
      </c>
    </row>
    <row r="354" spans="1:10" x14ac:dyDescent="0.2">
      <c r="A354" s="3">
        <v>3005</v>
      </c>
      <c r="B354" s="3" t="s">
        <v>1</v>
      </c>
      <c r="C354" s="3" t="s">
        <v>1</v>
      </c>
      <c r="D354" s="3" t="s">
        <v>309</v>
      </c>
      <c r="E354" s="3" t="str">
        <v>Court</v>
      </c>
      <c r="I354" s="19">
        <v>1567</v>
      </c>
      <c r="J354" s="19" t="s">
        <v>4543</v>
      </c>
    </row>
    <row r="355" spans="1:10" x14ac:dyDescent="0.2">
      <c r="A355" s="3">
        <v>3006</v>
      </c>
      <c r="B355" s="3" t="s">
        <v>1</v>
      </c>
      <c r="C355" s="3" t="s">
        <v>1</v>
      </c>
      <c r="D355" s="3" t="s">
        <v>309</v>
      </c>
      <c r="E355" s="3" t="str">
        <v>Crémines</v>
      </c>
      <c r="I355" s="19">
        <v>1568</v>
      </c>
      <c r="J355" s="19" t="s">
        <v>4543</v>
      </c>
    </row>
    <row r="356" spans="1:10" x14ac:dyDescent="0.2">
      <c r="A356" s="3">
        <v>3007</v>
      </c>
      <c r="B356" s="3" t="s">
        <v>1</v>
      </c>
      <c r="C356" s="3" t="s">
        <v>1</v>
      </c>
      <c r="D356" s="3" t="s">
        <v>309</v>
      </c>
      <c r="E356" s="3" t="str">
        <v>Eschert</v>
      </c>
      <c r="I356" s="19">
        <v>1580</v>
      </c>
      <c r="J356" s="19" t="s">
        <v>4543</v>
      </c>
    </row>
    <row r="357" spans="1:10" x14ac:dyDescent="0.2">
      <c r="A357" s="3">
        <v>3008</v>
      </c>
      <c r="B357" s="3" t="s">
        <v>1</v>
      </c>
      <c r="C357" s="3" t="s">
        <v>1</v>
      </c>
      <c r="D357" s="3" t="s">
        <v>309</v>
      </c>
      <c r="E357" s="3" t="str">
        <v>Grandval</v>
      </c>
      <c r="I357" s="19">
        <v>1583</v>
      </c>
      <c r="J357" s="19" t="s">
        <v>4543</v>
      </c>
    </row>
    <row r="358" spans="1:10" x14ac:dyDescent="0.2">
      <c r="A358" s="3">
        <v>3010</v>
      </c>
      <c r="B358" s="3" t="s">
        <v>1</v>
      </c>
      <c r="C358" s="3" t="s">
        <v>1</v>
      </c>
      <c r="D358" s="3" t="s">
        <v>309</v>
      </c>
      <c r="E358" s="3" t="str">
        <v>Loveresse</v>
      </c>
      <c r="I358" s="19">
        <v>1584</v>
      </c>
      <c r="J358" s="19" t="s">
        <v>4543</v>
      </c>
    </row>
    <row r="359" spans="1:10" x14ac:dyDescent="0.2">
      <c r="A359" s="3">
        <v>3011</v>
      </c>
      <c r="B359" s="3" t="s">
        <v>1</v>
      </c>
      <c r="C359" s="3" t="s">
        <v>1</v>
      </c>
      <c r="D359" s="3" t="s">
        <v>309</v>
      </c>
      <c r="E359" s="3" t="str">
        <v>Moutier</v>
      </c>
      <c r="I359" s="19">
        <v>1585</v>
      </c>
      <c r="J359" s="19" t="s">
        <v>4543</v>
      </c>
    </row>
    <row r="360" spans="1:10" x14ac:dyDescent="0.2">
      <c r="A360" s="3">
        <v>3012</v>
      </c>
      <c r="B360" s="3" t="s">
        <v>1</v>
      </c>
      <c r="C360" s="3" t="s">
        <v>1</v>
      </c>
      <c r="D360" s="3" t="s">
        <v>309</v>
      </c>
      <c r="E360" s="3" t="str">
        <v>Perrefitte</v>
      </c>
      <c r="I360" s="19">
        <v>1586</v>
      </c>
      <c r="J360" s="19" t="s">
        <v>4543</v>
      </c>
    </row>
    <row r="361" spans="1:10" x14ac:dyDescent="0.2">
      <c r="A361" s="3">
        <v>3013</v>
      </c>
      <c r="B361" s="3" t="s">
        <v>1</v>
      </c>
      <c r="C361" s="3" t="s">
        <v>1</v>
      </c>
      <c r="D361" s="3" t="s">
        <v>309</v>
      </c>
      <c r="E361" s="3" t="str">
        <v>Reconvilier</v>
      </c>
      <c r="I361" s="19">
        <v>1587</v>
      </c>
      <c r="J361" s="19" t="s">
        <v>4543</v>
      </c>
    </row>
    <row r="362" spans="1:10" x14ac:dyDescent="0.2">
      <c r="A362" s="3">
        <v>3014</v>
      </c>
      <c r="B362" s="3" t="s">
        <v>1</v>
      </c>
      <c r="C362" s="3" t="s">
        <v>1</v>
      </c>
      <c r="D362" s="3" t="s">
        <v>309</v>
      </c>
      <c r="E362" s="3" t="str">
        <v>Roches (BE)</v>
      </c>
      <c r="I362" s="19">
        <v>1588</v>
      </c>
      <c r="J362" s="19" t="s">
        <v>4543</v>
      </c>
    </row>
    <row r="363" spans="1:10" x14ac:dyDescent="0.2">
      <c r="A363" s="3">
        <v>3015</v>
      </c>
      <c r="B363" s="3" t="s">
        <v>1</v>
      </c>
      <c r="C363" s="3" t="s">
        <v>1</v>
      </c>
      <c r="D363" s="3" t="s">
        <v>309</v>
      </c>
      <c r="E363" s="3" t="str">
        <v>Saicourt</v>
      </c>
      <c r="I363" s="19">
        <v>1589</v>
      </c>
      <c r="J363" s="19" t="s">
        <v>4543</v>
      </c>
    </row>
    <row r="364" spans="1:10" x14ac:dyDescent="0.2">
      <c r="A364" s="3">
        <v>3018</v>
      </c>
      <c r="B364" s="3" t="s">
        <v>1</v>
      </c>
      <c r="C364" s="3" t="s">
        <v>1</v>
      </c>
      <c r="D364" s="3" t="s">
        <v>309</v>
      </c>
      <c r="E364" s="3" t="str">
        <v>Saules (BE)</v>
      </c>
      <c r="I364" s="19">
        <v>1595</v>
      </c>
      <c r="J364" s="19" t="s">
        <v>4543</v>
      </c>
    </row>
    <row r="365" spans="1:10" x14ac:dyDescent="0.2">
      <c r="A365" s="3">
        <v>3019</v>
      </c>
      <c r="B365" s="3" t="s">
        <v>1</v>
      </c>
      <c r="C365" s="3" t="s">
        <v>1</v>
      </c>
      <c r="D365" s="3" t="s">
        <v>309</v>
      </c>
      <c r="E365" s="3" t="str">
        <v>Schelten</v>
      </c>
      <c r="I365" s="19">
        <v>1607</v>
      </c>
      <c r="J365" s="19" t="s">
        <v>4539</v>
      </c>
    </row>
    <row r="366" spans="1:10" x14ac:dyDescent="0.2">
      <c r="A366" s="3">
        <v>3020</v>
      </c>
      <c r="B366" s="3" t="s">
        <v>1</v>
      </c>
      <c r="C366" s="3" t="s">
        <v>1</v>
      </c>
      <c r="D366" s="3" t="s">
        <v>309</v>
      </c>
      <c r="E366" s="3" t="str">
        <v>Seehof</v>
      </c>
      <c r="I366" s="19">
        <v>1608</v>
      </c>
      <c r="J366" s="19" t="s">
        <v>4539</v>
      </c>
    </row>
    <row r="367" spans="1:10" x14ac:dyDescent="0.2">
      <c r="A367" s="3">
        <v>3027</v>
      </c>
      <c r="B367" s="3" t="s">
        <v>1</v>
      </c>
      <c r="C367" s="3" t="s">
        <v>1</v>
      </c>
      <c r="D367" s="3" t="s">
        <v>309</v>
      </c>
      <c r="E367" s="3" t="str">
        <v>Sorvilier</v>
      </c>
      <c r="I367" s="19">
        <v>1609</v>
      </c>
      <c r="J367" s="19" t="s">
        <v>4539</v>
      </c>
    </row>
    <row r="368" spans="1:10" x14ac:dyDescent="0.2">
      <c r="A368" s="3">
        <v>3065</v>
      </c>
      <c r="B368" s="3" t="s">
        <v>368</v>
      </c>
      <c r="C368" s="3" t="s">
        <v>368</v>
      </c>
      <c r="D368" s="3" t="s">
        <v>309</v>
      </c>
      <c r="E368" s="3" t="str">
        <v>Tavannes</v>
      </c>
      <c r="I368" s="19">
        <v>1610</v>
      </c>
      <c r="J368" s="19" t="s">
        <v>4539</v>
      </c>
    </row>
    <row r="369" spans="1:10" x14ac:dyDescent="0.2">
      <c r="A369" s="3">
        <v>3047</v>
      </c>
      <c r="B369" s="3" t="s">
        <v>369</v>
      </c>
      <c r="C369" s="3" t="s">
        <v>370</v>
      </c>
      <c r="D369" s="3" t="s">
        <v>309</v>
      </c>
      <c r="E369" s="3" t="str">
        <v>Rebévelier</v>
      </c>
      <c r="I369" s="19">
        <v>1611</v>
      </c>
      <c r="J369" s="19" t="s">
        <v>4540</v>
      </c>
    </row>
    <row r="370" spans="1:10" x14ac:dyDescent="0.2">
      <c r="A370" s="3">
        <v>3037</v>
      </c>
      <c r="B370" s="3" t="s">
        <v>371</v>
      </c>
      <c r="C370" s="3" t="s">
        <v>372</v>
      </c>
      <c r="D370" s="3" t="s">
        <v>309</v>
      </c>
      <c r="E370" s="3" t="str">
        <v>Petit-Val</v>
      </c>
      <c r="I370" s="19">
        <v>1612</v>
      </c>
      <c r="J370" s="19" t="s">
        <v>4539</v>
      </c>
    </row>
    <row r="371" spans="1:10" x14ac:dyDescent="0.2">
      <c r="A371" s="3">
        <v>3038</v>
      </c>
      <c r="B371" s="3" t="s">
        <v>372</v>
      </c>
      <c r="C371" s="3" t="s">
        <v>372</v>
      </c>
      <c r="D371" s="3" t="s">
        <v>309</v>
      </c>
      <c r="E371" s="3" t="str">
        <v>Valbirse</v>
      </c>
      <c r="I371" s="19">
        <v>1613</v>
      </c>
      <c r="J371" s="19" t="s">
        <v>4539</v>
      </c>
    </row>
    <row r="372" spans="1:10" x14ac:dyDescent="0.2">
      <c r="A372" s="3">
        <v>3084</v>
      </c>
      <c r="B372" s="3" t="s">
        <v>373</v>
      </c>
      <c r="C372" s="3" t="s">
        <v>374</v>
      </c>
      <c r="D372" s="3" t="s">
        <v>309</v>
      </c>
      <c r="E372" s="3" t="str">
        <v>La Neuveville</v>
      </c>
      <c r="I372" s="19">
        <v>1614</v>
      </c>
      <c r="J372" s="19" t="s">
        <v>4539</v>
      </c>
    </row>
    <row r="373" spans="1:10" x14ac:dyDescent="0.2">
      <c r="A373" s="3">
        <v>3095</v>
      </c>
      <c r="B373" s="3" t="s">
        <v>375</v>
      </c>
      <c r="C373" s="3" t="s">
        <v>374</v>
      </c>
      <c r="D373" s="3" t="s">
        <v>309</v>
      </c>
      <c r="E373" s="3" t="str">
        <v>Nods</v>
      </c>
      <c r="I373" s="19">
        <v>1615</v>
      </c>
      <c r="J373" s="19" t="s">
        <v>4539</v>
      </c>
    </row>
    <row r="374" spans="1:10" x14ac:dyDescent="0.2">
      <c r="A374" s="3">
        <v>3097</v>
      </c>
      <c r="B374" s="3" t="s">
        <v>376</v>
      </c>
      <c r="C374" s="3" t="s">
        <v>374</v>
      </c>
      <c r="D374" s="3" t="s">
        <v>309</v>
      </c>
      <c r="E374" s="3" t="str">
        <v>Plateau de Diesse</v>
      </c>
      <c r="I374" s="19">
        <v>1616</v>
      </c>
      <c r="J374" s="19" t="s">
        <v>4539</v>
      </c>
    </row>
    <row r="375" spans="1:10" x14ac:dyDescent="0.2">
      <c r="A375" s="3">
        <v>3098</v>
      </c>
      <c r="B375" s="3" t="s">
        <v>374</v>
      </c>
      <c r="C375" s="3" t="s">
        <v>374</v>
      </c>
      <c r="D375" s="3" t="s">
        <v>309</v>
      </c>
      <c r="E375" s="3" t="str">
        <v>Aegerten</v>
      </c>
      <c r="I375" s="19">
        <v>1617</v>
      </c>
      <c r="J375" s="19" t="s">
        <v>4539</v>
      </c>
    </row>
    <row r="376" spans="1:10" x14ac:dyDescent="0.2">
      <c r="A376" s="3">
        <v>3098</v>
      </c>
      <c r="B376" s="3" t="s">
        <v>374</v>
      </c>
      <c r="C376" s="3" t="s">
        <v>374</v>
      </c>
      <c r="D376" s="3" t="s">
        <v>309</v>
      </c>
      <c r="E376" s="3" t="str">
        <v>Bellmund</v>
      </c>
      <c r="I376" s="19">
        <v>1618</v>
      </c>
      <c r="J376" s="19" t="s">
        <v>4539</v>
      </c>
    </row>
    <row r="377" spans="1:10" x14ac:dyDescent="0.2">
      <c r="A377" s="3">
        <v>3098</v>
      </c>
      <c r="B377" s="3" t="s">
        <v>377</v>
      </c>
      <c r="C377" s="3" t="s">
        <v>374</v>
      </c>
      <c r="D377" s="3" t="s">
        <v>309</v>
      </c>
      <c r="E377" s="3" t="str">
        <v>Brügg</v>
      </c>
      <c r="I377" s="19">
        <v>1619</v>
      </c>
      <c r="J377" s="19" t="s">
        <v>4539</v>
      </c>
    </row>
    <row r="378" spans="1:10" x14ac:dyDescent="0.2">
      <c r="A378" s="3">
        <v>3144</v>
      </c>
      <c r="B378" s="3" t="s">
        <v>378</v>
      </c>
      <c r="C378" s="3" t="s">
        <v>374</v>
      </c>
      <c r="D378" s="3" t="s">
        <v>309</v>
      </c>
      <c r="E378" s="3" t="str">
        <v>Bühl</v>
      </c>
      <c r="I378" s="19">
        <v>1623</v>
      </c>
      <c r="J378" s="19" t="s">
        <v>4540</v>
      </c>
    </row>
    <row r="379" spans="1:10" x14ac:dyDescent="0.2">
      <c r="A379" s="3">
        <v>3145</v>
      </c>
      <c r="B379" s="3" t="s">
        <v>379</v>
      </c>
      <c r="C379" s="3" t="s">
        <v>374</v>
      </c>
      <c r="D379" s="3" t="s">
        <v>309</v>
      </c>
      <c r="E379" s="3" t="str">
        <v>Epsach</v>
      </c>
      <c r="I379" s="19">
        <v>1624</v>
      </c>
      <c r="J379" s="19" t="s">
        <v>4540</v>
      </c>
    </row>
    <row r="380" spans="1:10" x14ac:dyDescent="0.2">
      <c r="A380" s="3">
        <v>3147</v>
      </c>
      <c r="B380" s="3" t="s">
        <v>380</v>
      </c>
      <c r="C380" s="3" t="s">
        <v>374</v>
      </c>
      <c r="D380" s="3" t="s">
        <v>309</v>
      </c>
      <c r="E380" s="3" t="str">
        <v>Hagneck</v>
      </c>
      <c r="I380" s="19">
        <v>1625</v>
      </c>
      <c r="J380" s="19" t="s">
        <v>4540</v>
      </c>
    </row>
    <row r="381" spans="1:10" x14ac:dyDescent="0.2">
      <c r="A381" s="3">
        <v>3172</v>
      </c>
      <c r="B381" s="3" t="s">
        <v>381</v>
      </c>
      <c r="C381" s="3" t="s">
        <v>374</v>
      </c>
      <c r="D381" s="3" t="s">
        <v>309</v>
      </c>
      <c r="E381" s="3" t="str">
        <v>Hermrigen</v>
      </c>
      <c r="I381" s="19">
        <v>1626</v>
      </c>
      <c r="J381" s="19" t="s">
        <v>4540</v>
      </c>
    </row>
    <row r="382" spans="1:10" x14ac:dyDescent="0.2">
      <c r="A382" s="3">
        <v>3173</v>
      </c>
      <c r="B382" s="3" t="s">
        <v>382</v>
      </c>
      <c r="C382" s="3" t="s">
        <v>374</v>
      </c>
      <c r="D382" s="3" t="s">
        <v>309</v>
      </c>
      <c r="E382" s="3" t="str">
        <v>Jens</v>
      </c>
      <c r="I382" s="19">
        <v>1627</v>
      </c>
      <c r="J382" s="19" t="s">
        <v>4540</v>
      </c>
    </row>
    <row r="383" spans="1:10" x14ac:dyDescent="0.2">
      <c r="A383" s="3">
        <v>3174</v>
      </c>
      <c r="B383" s="3" t="s">
        <v>383</v>
      </c>
      <c r="C383" s="3" t="s">
        <v>374</v>
      </c>
      <c r="D383" s="3" t="s">
        <v>309</v>
      </c>
      <c r="E383" s="3" t="str">
        <v>Ipsach</v>
      </c>
      <c r="I383" s="19">
        <v>1628</v>
      </c>
      <c r="J383" s="19" t="s">
        <v>4540</v>
      </c>
    </row>
    <row r="384" spans="1:10" x14ac:dyDescent="0.2">
      <c r="A384" s="3">
        <v>3073</v>
      </c>
      <c r="B384" s="3" t="s">
        <v>384</v>
      </c>
      <c r="C384" s="3" t="s">
        <v>385</v>
      </c>
      <c r="D384" s="3" t="s">
        <v>309</v>
      </c>
      <c r="E384" s="3" t="str">
        <v>Ligerz</v>
      </c>
      <c r="I384" s="19">
        <v>1630</v>
      </c>
      <c r="J384" s="19" t="s">
        <v>4540</v>
      </c>
    </row>
    <row r="385" spans="1:10" x14ac:dyDescent="0.2">
      <c r="A385" s="3">
        <v>3074</v>
      </c>
      <c r="B385" s="3" t="s">
        <v>386</v>
      </c>
      <c r="C385" s="3" t="s">
        <v>385</v>
      </c>
      <c r="D385" s="3" t="s">
        <v>309</v>
      </c>
      <c r="E385" s="3" t="str">
        <v>Merzligen</v>
      </c>
      <c r="I385" s="19">
        <v>1632</v>
      </c>
      <c r="J385" s="19" t="s">
        <v>4540</v>
      </c>
    </row>
    <row r="386" spans="1:10" x14ac:dyDescent="0.2">
      <c r="A386" s="3">
        <v>3096</v>
      </c>
      <c r="B386" s="3" t="s">
        <v>387</v>
      </c>
      <c r="C386" s="3" t="s">
        <v>387</v>
      </c>
      <c r="D386" s="3" t="s">
        <v>309</v>
      </c>
      <c r="E386" s="3" t="str">
        <v>Mörigen</v>
      </c>
      <c r="I386" s="19">
        <v>1633</v>
      </c>
      <c r="J386" s="19" t="s">
        <v>4540</v>
      </c>
    </row>
    <row r="387" spans="1:10" x14ac:dyDescent="0.2">
      <c r="A387" s="3">
        <v>3066</v>
      </c>
      <c r="B387" s="3" t="s">
        <v>388</v>
      </c>
      <c r="C387" s="3" t="s">
        <v>388</v>
      </c>
      <c r="D387" s="3" t="s">
        <v>309</v>
      </c>
      <c r="E387" s="3" t="str">
        <v>Nidau</v>
      </c>
      <c r="I387" s="19">
        <v>1634</v>
      </c>
      <c r="J387" s="19" t="s">
        <v>4540</v>
      </c>
    </row>
    <row r="388" spans="1:10" x14ac:dyDescent="0.2">
      <c r="A388" s="3">
        <v>3067</v>
      </c>
      <c r="B388" s="3" t="s">
        <v>389</v>
      </c>
      <c r="C388" s="3" t="s">
        <v>390</v>
      </c>
      <c r="D388" s="3" t="s">
        <v>309</v>
      </c>
      <c r="E388" s="3" t="str">
        <v>Orpund</v>
      </c>
      <c r="I388" s="19">
        <v>1635</v>
      </c>
      <c r="J388" s="19" t="s">
        <v>4540</v>
      </c>
    </row>
    <row r="389" spans="1:10" x14ac:dyDescent="0.2">
      <c r="A389" s="3">
        <v>3068</v>
      </c>
      <c r="B389" s="3" t="s">
        <v>391</v>
      </c>
      <c r="C389" s="3" t="s">
        <v>390</v>
      </c>
      <c r="D389" s="3" t="s">
        <v>309</v>
      </c>
      <c r="E389" s="3" t="str">
        <v>Port</v>
      </c>
      <c r="I389" s="19">
        <v>1636</v>
      </c>
      <c r="J389" s="19" t="s">
        <v>4540</v>
      </c>
    </row>
    <row r="390" spans="1:10" x14ac:dyDescent="0.2">
      <c r="A390" s="3">
        <v>3032</v>
      </c>
      <c r="B390" s="3" t="s">
        <v>392</v>
      </c>
      <c r="C390" s="3" t="s">
        <v>393</v>
      </c>
      <c r="D390" s="3" t="s">
        <v>309</v>
      </c>
      <c r="E390" s="3" t="str">
        <v>Safnern</v>
      </c>
      <c r="I390" s="19">
        <v>1637</v>
      </c>
      <c r="J390" s="19" t="s">
        <v>4540</v>
      </c>
    </row>
    <row r="391" spans="1:10" x14ac:dyDescent="0.2">
      <c r="A391" s="3">
        <v>3033</v>
      </c>
      <c r="B391" s="3" t="s">
        <v>394</v>
      </c>
      <c r="C391" s="3" t="s">
        <v>393</v>
      </c>
      <c r="D391" s="3" t="s">
        <v>309</v>
      </c>
      <c r="E391" s="3" t="str">
        <v>Scheuren</v>
      </c>
      <c r="I391" s="19">
        <v>1638</v>
      </c>
      <c r="J391" s="19" t="s">
        <v>4540</v>
      </c>
    </row>
    <row r="392" spans="1:10" x14ac:dyDescent="0.2">
      <c r="A392" s="3">
        <v>3034</v>
      </c>
      <c r="B392" s="3" t="s">
        <v>395</v>
      </c>
      <c r="C392" s="3" t="s">
        <v>393</v>
      </c>
      <c r="D392" s="3" t="s">
        <v>309</v>
      </c>
      <c r="E392" s="3" t="str">
        <v>Schwadernau</v>
      </c>
      <c r="I392" s="19">
        <v>1642</v>
      </c>
      <c r="J392" s="19" t="s">
        <v>4540</v>
      </c>
    </row>
    <row r="393" spans="1:10" x14ac:dyDescent="0.2">
      <c r="A393" s="3">
        <v>3043</v>
      </c>
      <c r="B393" s="3" t="s">
        <v>396</v>
      </c>
      <c r="C393" s="3" t="s">
        <v>393</v>
      </c>
      <c r="D393" s="3" t="s">
        <v>309</v>
      </c>
      <c r="E393" s="3" t="str">
        <v>Studen (BE)</v>
      </c>
      <c r="I393" s="19">
        <v>1643</v>
      </c>
      <c r="J393" s="19" t="s">
        <v>4540</v>
      </c>
    </row>
    <row r="394" spans="1:10" x14ac:dyDescent="0.2">
      <c r="A394" s="3">
        <v>3044</v>
      </c>
      <c r="B394" s="3" t="s">
        <v>397</v>
      </c>
      <c r="C394" s="3" t="s">
        <v>393</v>
      </c>
      <c r="D394" s="3" t="s">
        <v>309</v>
      </c>
      <c r="E394" s="3" t="str">
        <v>Sutz-Lattrigen</v>
      </c>
      <c r="I394" s="19">
        <v>1644</v>
      </c>
      <c r="J394" s="19" t="s">
        <v>4540</v>
      </c>
    </row>
    <row r="395" spans="1:10" x14ac:dyDescent="0.2">
      <c r="A395" s="3">
        <v>3049</v>
      </c>
      <c r="B395" s="3" t="s">
        <v>398</v>
      </c>
      <c r="C395" s="3" t="s">
        <v>393</v>
      </c>
      <c r="D395" s="3" t="s">
        <v>309</v>
      </c>
      <c r="E395" s="3" t="str">
        <v>Täuffelen</v>
      </c>
      <c r="I395" s="19">
        <v>1645</v>
      </c>
      <c r="J395" s="19" t="s">
        <v>4540</v>
      </c>
    </row>
    <row r="396" spans="1:10" x14ac:dyDescent="0.2">
      <c r="A396" s="3">
        <v>3052</v>
      </c>
      <c r="B396" s="3" t="s">
        <v>399</v>
      </c>
      <c r="C396" s="3" t="s">
        <v>399</v>
      </c>
      <c r="D396" s="3" t="s">
        <v>309</v>
      </c>
      <c r="E396" s="3" t="str">
        <v>Walperswil</v>
      </c>
      <c r="I396" s="19">
        <v>1646</v>
      </c>
      <c r="J396" s="19" t="s">
        <v>4540</v>
      </c>
    </row>
    <row r="397" spans="1:10" x14ac:dyDescent="0.2">
      <c r="A397" s="3">
        <v>3048</v>
      </c>
      <c r="B397" s="3" t="s">
        <v>400</v>
      </c>
      <c r="C397" s="3" t="s">
        <v>401</v>
      </c>
      <c r="D397" s="3" t="s">
        <v>309</v>
      </c>
      <c r="E397" s="3" t="str">
        <v>Worben</v>
      </c>
      <c r="I397" s="19">
        <v>1647</v>
      </c>
      <c r="J397" s="19" t="s">
        <v>4540</v>
      </c>
    </row>
    <row r="398" spans="1:10" x14ac:dyDescent="0.2">
      <c r="A398" s="3">
        <v>3063</v>
      </c>
      <c r="B398" s="3" t="s">
        <v>401</v>
      </c>
      <c r="C398" s="3" t="s">
        <v>401</v>
      </c>
      <c r="D398" s="3" t="s">
        <v>309</v>
      </c>
      <c r="E398" s="3" t="str">
        <v>Twann-Tüscherz</v>
      </c>
      <c r="I398" s="19">
        <v>1648</v>
      </c>
      <c r="J398" s="19" t="s">
        <v>4540</v>
      </c>
    </row>
    <row r="399" spans="1:10" x14ac:dyDescent="0.2">
      <c r="A399" s="3">
        <v>3072</v>
      </c>
      <c r="B399" s="3" t="s">
        <v>402</v>
      </c>
      <c r="C399" s="3" t="s">
        <v>402</v>
      </c>
      <c r="D399" s="3" t="s">
        <v>309</v>
      </c>
      <c r="E399" s="3" t="str">
        <v>Därstetten</v>
      </c>
      <c r="I399" s="19">
        <v>1649</v>
      </c>
      <c r="J399" s="19" t="s">
        <v>4540</v>
      </c>
    </row>
    <row r="400" spans="1:10" x14ac:dyDescent="0.2">
      <c r="A400" s="3">
        <v>2502</v>
      </c>
      <c r="B400" s="3" t="s">
        <v>403</v>
      </c>
      <c r="C400" s="3" t="s">
        <v>403</v>
      </c>
      <c r="D400" s="3" t="s">
        <v>309</v>
      </c>
      <c r="E400" s="3" t="str">
        <v>Diemtigen</v>
      </c>
      <c r="I400" s="19">
        <v>1651</v>
      </c>
      <c r="J400" s="19" t="s">
        <v>4540</v>
      </c>
    </row>
    <row r="401" spans="1:10" x14ac:dyDescent="0.2">
      <c r="A401" s="3">
        <v>2503</v>
      </c>
      <c r="B401" s="3" t="s">
        <v>403</v>
      </c>
      <c r="C401" s="3" t="s">
        <v>403</v>
      </c>
      <c r="D401" s="3" t="s">
        <v>309</v>
      </c>
      <c r="E401" s="3" t="str">
        <v>Erlenbach im Simmental</v>
      </c>
      <c r="I401" s="19">
        <v>1652</v>
      </c>
      <c r="J401" s="19" t="s">
        <v>4540</v>
      </c>
    </row>
    <row r="402" spans="1:10" x14ac:dyDescent="0.2">
      <c r="A402" s="3">
        <v>2504</v>
      </c>
      <c r="B402" s="3" t="s">
        <v>403</v>
      </c>
      <c r="C402" s="3" t="s">
        <v>403</v>
      </c>
      <c r="D402" s="3" t="s">
        <v>309</v>
      </c>
      <c r="E402" s="3" t="str">
        <v>Oberwil im Simmental</v>
      </c>
      <c r="I402" s="19">
        <v>1653</v>
      </c>
      <c r="J402" s="19" t="s">
        <v>4540</v>
      </c>
    </row>
    <row r="403" spans="1:10" x14ac:dyDescent="0.2">
      <c r="A403" s="3">
        <v>2505</v>
      </c>
      <c r="B403" s="3" t="s">
        <v>403</v>
      </c>
      <c r="C403" s="3" t="s">
        <v>403</v>
      </c>
      <c r="D403" s="3" t="s">
        <v>309</v>
      </c>
      <c r="E403" s="3" t="str">
        <v>Reutigen</v>
      </c>
      <c r="I403" s="19">
        <v>1654</v>
      </c>
      <c r="J403" s="19" t="s">
        <v>4540</v>
      </c>
    </row>
    <row r="404" spans="1:10" x14ac:dyDescent="0.2">
      <c r="A404" s="3">
        <v>2532</v>
      </c>
      <c r="B404" s="3" t="s">
        <v>404</v>
      </c>
      <c r="C404" s="3" t="s">
        <v>405</v>
      </c>
      <c r="D404" s="3" t="s">
        <v>309</v>
      </c>
      <c r="E404" s="3" t="str">
        <v>Spiez</v>
      </c>
      <c r="I404" s="19">
        <v>1656</v>
      </c>
      <c r="J404" s="19" t="s">
        <v>4544</v>
      </c>
    </row>
    <row r="405" spans="1:10" x14ac:dyDescent="0.2">
      <c r="A405" s="3">
        <v>2533</v>
      </c>
      <c r="B405" s="3" t="s">
        <v>405</v>
      </c>
      <c r="C405" s="3" t="s">
        <v>405</v>
      </c>
      <c r="D405" s="3" t="s">
        <v>309</v>
      </c>
      <c r="E405" s="3" t="str">
        <v>Wimmis</v>
      </c>
      <c r="I405" s="19">
        <v>1657</v>
      </c>
      <c r="J405" s="19" t="s">
        <v>4544</v>
      </c>
    </row>
    <row r="406" spans="1:10" x14ac:dyDescent="0.2">
      <c r="A406" s="3">
        <v>3296</v>
      </c>
      <c r="B406" s="3" t="s">
        <v>406</v>
      </c>
      <c r="C406" s="3" t="s">
        <v>406</v>
      </c>
      <c r="D406" s="3" t="s">
        <v>309</v>
      </c>
      <c r="E406" s="3" t="str">
        <v>Stocken-Höfen</v>
      </c>
      <c r="I406" s="19">
        <v>1658</v>
      </c>
      <c r="J406" s="19" t="s">
        <v>4545</v>
      </c>
    </row>
    <row r="407" spans="1:10" x14ac:dyDescent="0.2">
      <c r="A407" s="3">
        <v>3263</v>
      </c>
      <c r="B407" s="3" t="s">
        <v>407</v>
      </c>
      <c r="C407" s="3" t="s">
        <v>407</v>
      </c>
      <c r="D407" s="3" t="s">
        <v>309</v>
      </c>
      <c r="E407" s="3" t="str">
        <v>Guttannen</v>
      </c>
      <c r="I407" s="19">
        <v>1659</v>
      </c>
      <c r="J407" s="19" t="s">
        <v>4544</v>
      </c>
    </row>
    <row r="408" spans="1:10" x14ac:dyDescent="0.2">
      <c r="A408" s="3">
        <v>3294</v>
      </c>
      <c r="B408" s="3" t="s">
        <v>408</v>
      </c>
      <c r="C408" s="3" t="s">
        <v>408</v>
      </c>
      <c r="D408" s="3" t="s">
        <v>309</v>
      </c>
      <c r="E408" s="3" t="str">
        <v>Hasliberg</v>
      </c>
      <c r="I408" s="19">
        <v>1660</v>
      </c>
      <c r="J408" s="19" t="s">
        <v>4545</v>
      </c>
    </row>
    <row r="409" spans="1:10" x14ac:dyDescent="0.2">
      <c r="A409" s="3">
        <v>3264</v>
      </c>
      <c r="B409" s="3" t="s">
        <v>409</v>
      </c>
      <c r="C409" s="3" t="s">
        <v>410</v>
      </c>
      <c r="D409" s="3" t="s">
        <v>309</v>
      </c>
      <c r="E409" s="3" t="str">
        <v>Innertkirchen</v>
      </c>
      <c r="I409" s="19">
        <v>1661</v>
      </c>
      <c r="J409" s="19" t="s">
        <v>4540</v>
      </c>
    </row>
    <row r="410" spans="1:10" x14ac:dyDescent="0.2">
      <c r="A410" s="3">
        <v>3293</v>
      </c>
      <c r="B410" s="3" t="s">
        <v>411</v>
      </c>
      <c r="C410" s="3" t="s">
        <v>411</v>
      </c>
      <c r="D410" s="3" t="s">
        <v>309</v>
      </c>
      <c r="E410" s="3" t="str">
        <v>Meiringen</v>
      </c>
      <c r="I410" s="19">
        <v>1663</v>
      </c>
      <c r="J410" s="19" t="s">
        <v>4540</v>
      </c>
    </row>
    <row r="411" spans="1:10" x14ac:dyDescent="0.2">
      <c r="A411" s="3">
        <v>2543</v>
      </c>
      <c r="B411" s="3" t="s">
        <v>412</v>
      </c>
      <c r="C411" s="3" t="s">
        <v>413</v>
      </c>
      <c r="D411" s="3" t="s">
        <v>309</v>
      </c>
      <c r="E411" s="3" t="str">
        <v>Schattenhalb</v>
      </c>
      <c r="I411" s="19">
        <v>1665</v>
      </c>
      <c r="J411" s="19" t="s">
        <v>4540</v>
      </c>
    </row>
    <row r="412" spans="1:10" x14ac:dyDescent="0.2">
      <c r="A412" s="3">
        <v>3297</v>
      </c>
      <c r="B412" s="3" t="s">
        <v>414</v>
      </c>
      <c r="C412" s="3" t="s">
        <v>414</v>
      </c>
      <c r="D412" s="3" t="s">
        <v>309</v>
      </c>
      <c r="E412" s="3" t="str">
        <v>Boltigen</v>
      </c>
      <c r="I412" s="19">
        <v>1666</v>
      </c>
      <c r="J412" s="19" t="s">
        <v>4545</v>
      </c>
    </row>
    <row r="413" spans="1:10" x14ac:dyDescent="0.2">
      <c r="A413" s="3">
        <v>3294</v>
      </c>
      <c r="B413" s="3" t="s">
        <v>415</v>
      </c>
      <c r="C413" s="3" t="s">
        <v>415</v>
      </c>
      <c r="D413" s="3" t="s">
        <v>309</v>
      </c>
      <c r="E413" s="3" t="str">
        <v>Lenk</v>
      </c>
      <c r="I413" s="19">
        <v>1667</v>
      </c>
      <c r="J413" s="19" t="s">
        <v>4540</v>
      </c>
    </row>
    <row r="414" spans="1:10" x14ac:dyDescent="0.2">
      <c r="A414" s="3">
        <v>2554</v>
      </c>
      <c r="B414" s="3" t="s">
        <v>416</v>
      </c>
      <c r="C414" s="3" t="s">
        <v>416</v>
      </c>
      <c r="D414" s="3" t="s">
        <v>309</v>
      </c>
      <c r="E414" s="3" t="str">
        <v>St. Stephan</v>
      </c>
      <c r="I414" s="19">
        <v>1669</v>
      </c>
      <c r="J414" s="19" t="s">
        <v>4545</v>
      </c>
    </row>
    <row r="415" spans="1:10" x14ac:dyDescent="0.2">
      <c r="A415" s="3">
        <v>3298</v>
      </c>
      <c r="B415" s="3" t="s">
        <v>417</v>
      </c>
      <c r="C415" s="3" t="s">
        <v>418</v>
      </c>
      <c r="D415" s="3" t="s">
        <v>309</v>
      </c>
      <c r="E415" s="3" t="str">
        <v>Zweisimmen</v>
      </c>
      <c r="I415" s="19">
        <v>1670</v>
      </c>
      <c r="J415" s="19" t="s">
        <v>4540</v>
      </c>
    </row>
    <row r="416" spans="1:10" x14ac:dyDescent="0.2">
      <c r="A416" s="3">
        <v>2542</v>
      </c>
      <c r="B416" s="3" t="s">
        <v>419</v>
      </c>
      <c r="C416" s="3" t="s">
        <v>419</v>
      </c>
      <c r="D416" s="3" t="s">
        <v>309</v>
      </c>
      <c r="E416" s="3" t="str">
        <v>Gsteig</v>
      </c>
      <c r="I416" s="19">
        <v>1673</v>
      </c>
      <c r="J416" s="19" t="s">
        <v>4539</v>
      </c>
    </row>
    <row r="417" spans="1:10" x14ac:dyDescent="0.2">
      <c r="A417" s="3">
        <v>3295</v>
      </c>
      <c r="B417" s="3" t="s">
        <v>420</v>
      </c>
      <c r="C417" s="3" t="s">
        <v>421</v>
      </c>
      <c r="D417" s="3" t="s">
        <v>309</v>
      </c>
      <c r="E417" s="3" t="str">
        <v>Lauenen</v>
      </c>
      <c r="I417" s="19">
        <v>1674</v>
      </c>
      <c r="J417" s="19" t="s">
        <v>4540</v>
      </c>
    </row>
    <row r="418" spans="1:10" x14ac:dyDescent="0.2">
      <c r="A418" s="3">
        <v>3251</v>
      </c>
      <c r="B418" s="3" t="s">
        <v>422</v>
      </c>
      <c r="C418" s="3" t="s">
        <v>423</v>
      </c>
      <c r="D418" s="3" t="s">
        <v>309</v>
      </c>
      <c r="E418" s="3" t="str">
        <v>Saanen</v>
      </c>
      <c r="I418" s="19">
        <v>1675</v>
      </c>
      <c r="J418" s="19" t="s">
        <v>4540</v>
      </c>
    </row>
    <row r="419" spans="1:10" x14ac:dyDescent="0.2">
      <c r="A419" s="3">
        <v>3426</v>
      </c>
      <c r="B419" s="3" t="s">
        <v>424</v>
      </c>
      <c r="C419" s="3" t="s">
        <v>424</v>
      </c>
      <c r="D419" s="3" t="s">
        <v>309</v>
      </c>
      <c r="E419" s="3" t="str">
        <v>Guggisberg</v>
      </c>
      <c r="I419" s="19">
        <v>1676</v>
      </c>
      <c r="J419" s="19" t="s">
        <v>4540</v>
      </c>
    </row>
    <row r="420" spans="1:10" x14ac:dyDescent="0.2">
      <c r="A420" s="3">
        <v>3473</v>
      </c>
      <c r="B420" s="3" t="s">
        <v>425</v>
      </c>
      <c r="C420" s="3" t="s">
        <v>425</v>
      </c>
      <c r="D420" s="3" t="s">
        <v>309</v>
      </c>
      <c r="E420" s="3" t="str">
        <v>Rüschegg</v>
      </c>
      <c r="I420" s="19">
        <v>1677</v>
      </c>
      <c r="J420" s="19" t="s">
        <v>4540</v>
      </c>
    </row>
    <row r="421" spans="1:10" x14ac:dyDescent="0.2">
      <c r="A421" s="3">
        <v>3323</v>
      </c>
      <c r="B421" s="3" t="s">
        <v>426</v>
      </c>
      <c r="C421" s="3" t="s">
        <v>427</v>
      </c>
      <c r="D421" s="3" t="s">
        <v>309</v>
      </c>
      <c r="E421" s="3" t="str">
        <v>Schwarzenburg</v>
      </c>
      <c r="I421" s="19">
        <v>1678</v>
      </c>
      <c r="J421" s="19" t="s">
        <v>4540</v>
      </c>
    </row>
    <row r="422" spans="1:10" x14ac:dyDescent="0.2">
      <c r="A422" s="3">
        <v>3400</v>
      </c>
      <c r="B422" s="3" t="s">
        <v>428</v>
      </c>
      <c r="C422" s="3" t="s">
        <v>428</v>
      </c>
      <c r="D422" s="3" t="s">
        <v>309</v>
      </c>
      <c r="E422" s="3" t="str">
        <v>Belp</v>
      </c>
      <c r="I422" s="19">
        <v>1679</v>
      </c>
      <c r="J422" s="19" t="s">
        <v>4540</v>
      </c>
    </row>
    <row r="423" spans="1:10" x14ac:dyDescent="0.2">
      <c r="A423" s="3">
        <v>3423</v>
      </c>
      <c r="B423" s="3" t="s">
        <v>429</v>
      </c>
      <c r="C423" s="3" t="s">
        <v>429</v>
      </c>
      <c r="D423" s="3" t="s">
        <v>309</v>
      </c>
      <c r="E423" s="3" t="str">
        <v>Burgistein</v>
      </c>
      <c r="I423" s="19">
        <v>1680</v>
      </c>
      <c r="J423" s="19" t="s">
        <v>4540</v>
      </c>
    </row>
    <row r="424" spans="1:10" x14ac:dyDescent="0.2">
      <c r="A424" s="3">
        <v>3424</v>
      </c>
      <c r="B424" s="3" t="s">
        <v>430</v>
      </c>
      <c r="C424" s="3" t="s">
        <v>429</v>
      </c>
      <c r="D424" s="3" t="s">
        <v>309</v>
      </c>
      <c r="E424" s="3" t="str">
        <v>Gerzensee</v>
      </c>
      <c r="I424" s="19">
        <v>1681</v>
      </c>
      <c r="J424" s="19" t="s">
        <v>4540</v>
      </c>
    </row>
    <row r="425" spans="1:10" x14ac:dyDescent="0.2">
      <c r="A425" s="3">
        <v>3424</v>
      </c>
      <c r="B425" s="3" t="s">
        <v>431</v>
      </c>
      <c r="C425" s="3" t="s">
        <v>429</v>
      </c>
      <c r="D425" s="3" t="s">
        <v>309</v>
      </c>
      <c r="E425" s="3" t="str">
        <v>Gurzelen</v>
      </c>
      <c r="I425" s="19">
        <v>1682</v>
      </c>
      <c r="J425" s="19" t="s">
        <v>4540</v>
      </c>
    </row>
    <row r="426" spans="1:10" x14ac:dyDescent="0.2">
      <c r="A426" s="3">
        <v>3415</v>
      </c>
      <c r="B426" s="3" t="s">
        <v>432</v>
      </c>
      <c r="C426" s="3" t="s">
        <v>433</v>
      </c>
      <c r="D426" s="3" t="s">
        <v>309</v>
      </c>
      <c r="E426" s="3" t="str">
        <v>Jaberg</v>
      </c>
      <c r="I426" s="19">
        <v>1683</v>
      </c>
      <c r="J426" s="19" t="s">
        <v>4540</v>
      </c>
    </row>
    <row r="427" spans="1:10" x14ac:dyDescent="0.2">
      <c r="A427" s="3">
        <v>3415</v>
      </c>
      <c r="B427" s="3" t="s">
        <v>434</v>
      </c>
      <c r="C427" s="3" t="s">
        <v>433</v>
      </c>
      <c r="D427" s="3" t="s">
        <v>309</v>
      </c>
      <c r="E427" s="3" t="str">
        <v>Kaufdorf</v>
      </c>
      <c r="I427" s="19">
        <v>1684</v>
      </c>
      <c r="J427" s="19" t="s">
        <v>4540</v>
      </c>
    </row>
    <row r="428" spans="1:10" x14ac:dyDescent="0.2">
      <c r="A428" s="3">
        <v>3419</v>
      </c>
      <c r="B428" s="3" t="s">
        <v>435</v>
      </c>
      <c r="C428" s="3" t="s">
        <v>433</v>
      </c>
      <c r="D428" s="3" t="s">
        <v>309</v>
      </c>
      <c r="E428" s="3" t="str">
        <v>Kehrsatz</v>
      </c>
      <c r="I428" s="19">
        <v>1685</v>
      </c>
      <c r="J428" s="19" t="s">
        <v>4540</v>
      </c>
    </row>
    <row r="429" spans="1:10" x14ac:dyDescent="0.2">
      <c r="A429" s="3">
        <v>3412</v>
      </c>
      <c r="B429" s="3" t="s">
        <v>436</v>
      </c>
      <c r="C429" s="3" t="s">
        <v>436</v>
      </c>
      <c r="D429" s="3" t="s">
        <v>309</v>
      </c>
      <c r="E429" s="3" t="str">
        <v>Kirchdorf (BE)</v>
      </c>
      <c r="I429" s="19">
        <v>1686</v>
      </c>
      <c r="J429" s="19" t="s">
        <v>4540</v>
      </c>
    </row>
    <row r="430" spans="1:10" x14ac:dyDescent="0.2">
      <c r="A430" s="3">
        <v>3413</v>
      </c>
      <c r="B430" s="3" t="s">
        <v>437</v>
      </c>
      <c r="C430" s="3" t="s">
        <v>436</v>
      </c>
      <c r="D430" s="3" t="s">
        <v>309</v>
      </c>
      <c r="E430" s="3" t="str">
        <v>Niedermuhlern</v>
      </c>
      <c r="I430" s="19">
        <v>1687</v>
      </c>
      <c r="J430" s="19" t="s">
        <v>4540</v>
      </c>
    </row>
    <row r="431" spans="1:10" x14ac:dyDescent="0.2">
      <c r="A431" s="3">
        <v>3429</v>
      </c>
      <c r="B431" s="3" t="s">
        <v>438</v>
      </c>
      <c r="C431" s="3" t="s">
        <v>438</v>
      </c>
      <c r="D431" s="3" t="s">
        <v>309</v>
      </c>
      <c r="E431" s="3" t="str">
        <v>Riggisberg</v>
      </c>
      <c r="I431" s="19">
        <v>1688</v>
      </c>
      <c r="J431" s="19" t="s">
        <v>4540</v>
      </c>
    </row>
    <row r="432" spans="1:10" x14ac:dyDescent="0.2">
      <c r="A432" s="3">
        <v>3324</v>
      </c>
      <c r="B432" s="3" t="s">
        <v>439</v>
      </c>
      <c r="C432" s="3" t="s">
        <v>439</v>
      </c>
      <c r="D432" s="3" t="s">
        <v>309</v>
      </c>
      <c r="E432" s="3" t="str">
        <v>Rüeggisberg</v>
      </c>
      <c r="I432" s="19">
        <v>1689</v>
      </c>
      <c r="J432" s="19" t="s">
        <v>4540</v>
      </c>
    </row>
    <row r="433" spans="1:10" x14ac:dyDescent="0.2">
      <c r="A433" s="3">
        <v>3324</v>
      </c>
      <c r="B433" s="3" t="s">
        <v>440</v>
      </c>
      <c r="C433" s="3" t="s">
        <v>439</v>
      </c>
      <c r="D433" s="3" t="s">
        <v>309</v>
      </c>
      <c r="E433" s="3" t="str">
        <v>Seftigen</v>
      </c>
      <c r="I433" s="19">
        <v>1690</v>
      </c>
      <c r="J433" s="19" t="s">
        <v>4540</v>
      </c>
    </row>
    <row r="434" spans="1:10" x14ac:dyDescent="0.2">
      <c r="A434" s="3">
        <v>3429</v>
      </c>
      <c r="B434" s="3" t="s">
        <v>441</v>
      </c>
      <c r="C434" s="3" t="s">
        <v>441</v>
      </c>
      <c r="D434" s="3" t="s">
        <v>309</v>
      </c>
      <c r="E434" s="3" t="str">
        <v>Toffen</v>
      </c>
      <c r="I434" s="19">
        <v>1691</v>
      </c>
      <c r="J434" s="19" t="s">
        <v>4540</v>
      </c>
    </row>
    <row r="435" spans="1:10" x14ac:dyDescent="0.2">
      <c r="A435" s="3">
        <v>3309</v>
      </c>
      <c r="B435" s="3" t="s">
        <v>442</v>
      </c>
      <c r="C435" s="3" t="s">
        <v>442</v>
      </c>
      <c r="D435" s="3" t="s">
        <v>309</v>
      </c>
      <c r="E435" s="3" t="str">
        <v>Uttigen</v>
      </c>
      <c r="I435" s="19">
        <v>1692</v>
      </c>
      <c r="J435" s="19" t="s">
        <v>4540</v>
      </c>
    </row>
    <row r="436" spans="1:10" x14ac:dyDescent="0.2">
      <c r="A436" s="3">
        <v>3422</v>
      </c>
      <c r="B436" s="3" t="s">
        <v>443</v>
      </c>
      <c r="C436" s="3" t="s">
        <v>444</v>
      </c>
      <c r="D436" s="3" t="s">
        <v>309</v>
      </c>
      <c r="E436" s="3" t="str">
        <v>Wattenwil</v>
      </c>
      <c r="I436" s="19">
        <v>1694</v>
      </c>
      <c r="J436" s="19" t="s">
        <v>4540</v>
      </c>
    </row>
    <row r="437" spans="1:10" x14ac:dyDescent="0.2">
      <c r="A437" s="3">
        <v>3425</v>
      </c>
      <c r="B437" s="3" t="s">
        <v>445</v>
      </c>
      <c r="C437" s="3" t="s">
        <v>445</v>
      </c>
      <c r="D437" s="3" t="s">
        <v>309</v>
      </c>
      <c r="E437" s="3" t="str">
        <v>Wald (BE)</v>
      </c>
      <c r="I437" s="19">
        <v>1695</v>
      </c>
      <c r="J437" s="19" t="s">
        <v>4540</v>
      </c>
    </row>
    <row r="438" spans="1:10" x14ac:dyDescent="0.2">
      <c r="A438" s="3">
        <v>3325</v>
      </c>
      <c r="B438" s="3" t="s">
        <v>446</v>
      </c>
      <c r="C438" s="3" t="s">
        <v>447</v>
      </c>
      <c r="D438" s="3" t="s">
        <v>309</v>
      </c>
      <c r="E438" s="3" t="str">
        <v>Thurnen</v>
      </c>
      <c r="I438" s="19">
        <v>1696</v>
      </c>
      <c r="J438" s="19" t="s">
        <v>4540</v>
      </c>
    </row>
    <row r="439" spans="1:10" x14ac:dyDescent="0.2">
      <c r="A439" s="3">
        <v>3326</v>
      </c>
      <c r="B439" s="3" t="s">
        <v>447</v>
      </c>
      <c r="C439" s="3" t="s">
        <v>447</v>
      </c>
      <c r="D439" s="3" t="s">
        <v>309</v>
      </c>
      <c r="E439" s="3" t="str">
        <v>Eggiwil</v>
      </c>
      <c r="I439" s="19">
        <v>1697</v>
      </c>
      <c r="J439" s="19" t="s">
        <v>4540</v>
      </c>
    </row>
    <row r="440" spans="1:10" x14ac:dyDescent="0.2">
      <c r="A440" s="3">
        <v>3421</v>
      </c>
      <c r="B440" s="3" t="s">
        <v>448</v>
      </c>
      <c r="C440" s="3" t="s">
        <v>448</v>
      </c>
      <c r="D440" s="3" t="s">
        <v>309</v>
      </c>
      <c r="E440" s="3" t="str">
        <v>Langnau im Emmental</v>
      </c>
      <c r="I440" s="19">
        <v>1699</v>
      </c>
      <c r="J440" s="19" t="s">
        <v>4540</v>
      </c>
    </row>
    <row r="441" spans="1:10" x14ac:dyDescent="0.2">
      <c r="A441" s="3">
        <v>3414</v>
      </c>
      <c r="B441" s="3" t="s">
        <v>449</v>
      </c>
      <c r="C441" s="3" t="s">
        <v>449</v>
      </c>
      <c r="D441" s="3" t="s">
        <v>309</v>
      </c>
      <c r="E441" s="3" t="str">
        <v>Lauperswil</v>
      </c>
      <c r="I441" s="19">
        <v>1700</v>
      </c>
      <c r="J441" s="19" t="s">
        <v>4540</v>
      </c>
    </row>
    <row r="442" spans="1:10" x14ac:dyDescent="0.2">
      <c r="A442" s="3">
        <v>3421</v>
      </c>
      <c r="B442" s="3" t="s">
        <v>448</v>
      </c>
      <c r="C442" s="3" t="s">
        <v>449</v>
      </c>
      <c r="D442" s="3" t="s">
        <v>309</v>
      </c>
      <c r="E442" s="3" t="str">
        <v>Röthenbach im Emmental</v>
      </c>
      <c r="I442" s="19">
        <v>1712</v>
      </c>
      <c r="J442" s="19" t="s">
        <v>4540</v>
      </c>
    </row>
    <row r="443" spans="1:10" x14ac:dyDescent="0.2">
      <c r="A443" s="3">
        <v>3422</v>
      </c>
      <c r="B443" s="3" t="s">
        <v>450</v>
      </c>
      <c r="C443" s="3" t="s">
        <v>451</v>
      </c>
      <c r="D443" s="3" t="s">
        <v>309</v>
      </c>
      <c r="E443" s="3" t="str">
        <v>Rüderswil</v>
      </c>
      <c r="I443" s="19">
        <v>1713</v>
      </c>
      <c r="J443" s="19" t="s">
        <v>4540</v>
      </c>
    </row>
    <row r="444" spans="1:10" x14ac:dyDescent="0.2">
      <c r="A444" s="3">
        <v>3422</v>
      </c>
      <c r="B444" s="3" t="s">
        <v>452</v>
      </c>
      <c r="C444" s="3" t="s">
        <v>451</v>
      </c>
      <c r="D444" s="3" t="s">
        <v>309</v>
      </c>
      <c r="E444" s="3" t="str">
        <v>Schangnau</v>
      </c>
      <c r="I444" s="19">
        <v>1714</v>
      </c>
      <c r="J444" s="19" t="s">
        <v>4546</v>
      </c>
    </row>
    <row r="445" spans="1:10" x14ac:dyDescent="0.2">
      <c r="A445" s="3">
        <v>3472</v>
      </c>
      <c r="B445" s="3" t="s">
        <v>453</v>
      </c>
      <c r="C445" s="3" t="s">
        <v>453</v>
      </c>
      <c r="D445" s="3" t="s">
        <v>309</v>
      </c>
      <c r="E445" s="3" t="str">
        <v>Signau</v>
      </c>
      <c r="I445" s="19">
        <v>1715</v>
      </c>
      <c r="J445" s="19" t="s">
        <v>4540</v>
      </c>
    </row>
    <row r="446" spans="1:10" x14ac:dyDescent="0.2">
      <c r="A446" s="3">
        <v>3421</v>
      </c>
      <c r="B446" s="3" t="s">
        <v>454</v>
      </c>
      <c r="C446" s="3" t="s">
        <v>455</v>
      </c>
      <c r="D446" s="3" t="s">
        <v>309</v>
      </c>
      <c r="E446" s="3" t="str">
        <v>Trub</v>
      </c>
      <c r="I446" s="19">
        <v>1716</v>
      </c>
      <c r="J446" s="19" t="s">
        <v>4540</v>
      </c>
    </row>
    <row r="447" spans="1:10" x14ac:dyDescent="0.2">
      <c r="A447" s="3">
        <v>3425</v>
      </c>
      <c r="B447" s="3" t="s">
        <v>456</v>
      </c>
      <c r="C447" s="3" t="s">
        <v>456</v>
      </c>
      <c r="D447" s="3" t="s">
        <v>309</v>
      </c>
      <c r="E447" s="3" t="str">
        <v>Trubschachen</v>
      </c>
      <c r="I447" s="19">
        <v>1717</v>
      </c>
      <c r="J447" s="19" t="s">
        <v>4540</v>
      </c>
    </row>
    <row r="448" spans="1:10" x14ac:dyDescent="0.2">
      <c r="A448" s="3">
        <v>3472</v>
      </c>
      <c r="B448" s="3" t="s">
        <v>457</v>
      </c>
      <c r="C448" s="3" t="s">
        <v>457</v>
      </c>
      <c r="D448" s="3" t="s">
        <v>309</v>
      </c>
      <c r="E448" s="3" t="str">
        <v>Amsoldingen</v>
      </c>
      <c r="I448" s="19">
        <v>1718</v>
      </c>
      <c r="J448" s="19" t="s">
        <v>4540</v>
      </c>
    </row>
    <row r="449" spans="1:10" x14ac:dyDescent="0.2">
      <c r="A449" s="3">
        <v>3474</v>
      </c>
      <c r="B449" s="3" t="s">
        <v>458</v>
      </c>
      <c r="C449" s="3" t="s">
        <v>457</v>
      </c>
      <c r="D449" s="3" t="s">
        <v>309</v>
      </c>
      <c r="E449" s="3" t="str">
        <v>Blumenstein</v>
      </c>
      <c r="I449" s="19">
        <v>1719</v>
      </c>
      <c r="J449" s="19" t="s">
        <v>4540</v>
      </c>
    </row>
    <row r="450" spans="1:10" x14ac:dyDescent="0.2">
      <c r="A450" s="3">
        <v>2606</v>
      </c>
      <c r="B450" s="3" t="s">
        <v>459</v>
      </c>
      <c r="C450" s="3" t="s">
        <v>459</v>
      </c>
      <c r="D450" s="3" t="s">
        <v>309</v>
      </c>
      <c r="E450" s="3" t="str">
        <v>Buchholterberg</v>
      </c>
      <c r="I450" s="19">
        <v>1720</v>
      </c>
      <c r="J450" s="19" t="s">
        <v>4540</v>
      </c>
    </row>
    <row r="451" spans="1:10" x14ac:dyDescent="0.2">
      <c r="A451" s="3">
        <v>2610</v>
      </c>
      <c r="B451" s="3" t="s">
        <v>460</v>
      </c>
      <c r="C451" s="3" t="s">
        <v>461</v>
      </c>
      <c r="D451" s="3" t="s">
        <v>309</v>
      </c>
      <c r="E451" s="3" t="str">
        <v>Eriz</v>
      </c>
      <c r="I451" s="19">
        <v>1721</v>
      </c>
      <c r="J451" s="19" t="s">
        <v>4540</v>
      </c>
    </row>
    <row r="452" spans="1:10" x14ac:dyDescent="0.2">
      <c r="A452" s="3">
        <v>2612</v>
      </c>
      <c r="B452" s="3" t="s">
        <v>461</v>
      </c>
      <c r="C452" s="3" t="s">
        <v>461</v>
      </c>
      <c r="D452" s="3" t="s">
        <v>309</v>
      </c>
      <c r="E452" s="3" t="str">
        <v>Fahrni</v>
      </c>
      <c r="I452" s="19">
        <v>1722</v>
      </c>
      <c r="J452" s="19" t="s">
        <v>4540</v>
      </c>
    </row>
    <row r="453" spans="1:10" x14ac:dyDescent="0.2">
      <c r="A453" s="3">
        <v>2607</v>
      </c>
      <c r="B453" s="3" t="s">
        <v>462</v>
      </c>
      <c r="C453" s="3" t="s">
        <v>462</v>
      </c>
      <c r="D453" s="3" t="s">
        <v>309</v>
      </c>
      <c r="E453" s="3" t="str">
        <v>Heiligenschwendi</v>
      </c>
      <c r="I453" s="19">
        <v>1723</v>
      </c>
      <c r="J453" s="19" t="s">
        <v>4540</v>
      </c>
    </row>
    <row r="454" spans="1:10" x14ac:dyDescent="0.2">
      <c r="A454" s="3">
        <v>2608</v>
      </c>
      <c r="B454" s="3" t="s">
        <v>463</v>
      </c>
      <c r="C454" s="3" t="s">
        <v>462</v>
      </c>
      <c r="D454" s="3" t="s">
        <v>309</v>
      </c>
      <c r="E454" s="3" t="str">
        <v>Heimberg</v>
      </c>
      <c r="I454" s="19">
        <v>1724</v>
      </c>
      <c r="J454" s="19" t="s">
        <v>4540</v>
      </c>
    </row>
    <row r="455" spans="1:10" x14ac:dyDescent="0.2">
      <c r="A455" s="3">
        <v>2608</v>
      </c>
      <c r="B455" s="3" t="s">
        <v>464</v>
      </c>
      <c r="C455" s="3" t="s">
        <v>464</v>
      </c>
      <c r="D455" s="3" t="s">
        <v>309</v>
      </c>
      <c r="E455" s="3" t="str">
        <v>Hilterfingen</v>
      </c>
      <c r="I455" s="19">
        <v>1725</v>
      </c>
      <c r="J455" s="19" t="s">
        <v>4540</v>
      </c>
    </row>
    <row r="456" spans="1:10" x14ac:dyDescent="0.2">
      <c r="A456" s="3">
        <v>2333</v>
      </c>
      <c r="B456" s="3" t="s">
        <v>465</v>
      </c>
      <c r="C456" s="3" t="s">
        <v>465</v>
      </c>
      <c r="D456" s="3" t="s">
        <v>309</v>
      </c>
      <c r="E456" s="3" t="str">
        <v>Homberg</v>
      </c>
      <c r="I456" s="19">
        <v>1726</v>
      </c>
      <c r="J456" s="19" t="s">
        <v>4540</v>
      </c>
    </row>
    <row r="457" spans="1:10" x14ac:dyDescent="0.2">
      <c r="A457" s="3">
        <v>2723</v>
      </c>
      <c r="B457" s="3" t="s">
        <v>466</v>
      </c>
      <c r="C457" s="3" t="s">
        <v>466</v>
      </c>
      <c r="D457" s="3" t="s">
        <v>309</v>
      </c>
      <c r="E457" s="3" t="str">
        <v>Horrenbach-Buchen</v>
      </c>
      <c r="I457" s="19">
        <v>1727</v>
      </c>
      <c r="J457" s="19" t="s">
        <v>4540</v>
      </c>
    </row>
    <row r="458" spans="1:10" x14ac:dyDescent="0.2">
      <c r="A458" s="3">
        <v>2534</v>
      </c>
      <c r="B458" s="3" t="s">
        <v>467</v>
      </c>
      <c r="C458" s="3" t="s">
        <v>467</v>
      </c>
      <c r="D458" s="3" t="s">
        <v>309</v>
      </c>
      <c r="E458" s="3" t="str">
        <v>Oberhofen am Thunersee</v>
      </c>
      <c r="I458" s="19">
        <v>1728</v>
      </c>
      <c r="J458" s="19" t="s">
        <v>4540</v>
      </c>
    </row>
    <row r="459" spans="1:10" x14ac:dyDescent="0.2">
      <c r="A459" s="3">
        <v>2534</v>
      </c>
      <c r="B459" s="3" t="s">
        <v>468</v>
      </c>
      <c r="C459" s="3" t="s">
        <v>467</v>
      </c>
      <c r="D459" s="3" t="s">
        <v>309</v>
      </c>
      <c r="E459" s="3" t="str">
        <v>Pohlern</v>
      </c>
      <c r="I459" s="19">
        <v>1730</v>
      </c>
      <c r="J459" s="19" t="s">
        <v>4540</v>
      </c>
    </row>
    <row r="460" spans="1:10" x14ac:dyDescent="0.2">
      <c r="A460" s="3">
        <v>2616</v>
      </c>
      <c r="B460" s="3" t="s">
        <v>469</v>
      </c>
      <c r="C460" s="3" t="s">
        <v>470</v>
      </c>
      <c r="D460" s="3" t="s">
        <v>309</v>
      </c>
      <c r="E460" s="3" t="str">
        <v>Sigriswil</v>
      </c>
      <c r="I460" s="19">
        <v>1731</v>
      </c>
      <c r="J460" s="19" t="s">
        <v>4540</v>
      </c>
    </row>
    <row r="461" spans="1:10" x14ac:dyDescent="0.2">
      <c r="A461" s="3">
        <v>2538</v>
      </c>
      <c r="B461" s="3" t="s">
        <v>471</v>
      </c>
      <c r="C461" s="3" t="s">
        <v>472</v>
      </c>
      <c r="D461" s="3" t="s">
        <v>309</v>
      </c>
      <c r="E461" s="3" t="str">
        <v>Steffisburg</v>
      </c>
      <c r="I461" s="19">
        <v>1732</v>
      </c>
      <c r="J461" s="19" t="s">
        <v>4540</v>
      </c>
    </row>
    <row r="462" spans="1:10" x14ac:dyDescent="0.2">
      <c r="A462" s="3">
        <v>2610</v>
      </c>
      <c r="B462" s="3" t="s">
        <v>473</v>
      </c>
      <c r="C462" s="3" t="s">
        <v>474</v>
      </c>
      <c r="D462" s="3" t="s">
        <v>309</v>
      </c>
      <c r="E462" s="3" t="str">
        <v>Teuffenthal (BE)</v>
      </c>
      <c r="I462" s="19">
        <v>1733</v>
      </c>
      <c r="J462" s="19" t="s">
        <v>4540</v>
      </c>
    </row>
    <row r="463" spans="1:10" x14ac:dyDescent="0.2">
      <c r="A463" s="3">
        <v>2610</v>
      </c>
      <c r="B463" s="3" t="s">
        <v>475</v>
      </c>
      <c r="C463" s="3" t="s">
        <v>474</v>
      </c>
      <c r="D463" s="3" t="s">
        <v>309</v>
      </c>
      <c r="E463" s="3" t="str">
        <v>Thierachern</v>
      </c>
      <c r="I463" s="19">
        <v>1734</v>
      </c>
      <c r="J463" s="19" t="s">
        <v>4540</v>
      </c>
    </row>
    <row r="464" spans="1:10" x14ac:dyDescent="0.2">
      <c r="A464" s="3">
        <v>2610</v>
      </c>
      <c r="B464" s="3" t="s">
        <v>476</v>
      </c>
      <c r="C464" s="3" t="s">
        <v>474</v>
      </c>
      <c r="D464" s="3" t="s">
        <v>309</v>
      </c>
      <c r="E464" s="3" t="str">
        <v>Thun</v>
      </c>
      <c r="I464" s="19">
        <v>1735</v>
      </c>
      <c r="J464" s="19" t="s">
        <v>4540</v>
      </c>
    </row>
    <row r="465" spans="1:10" x14ac:dyDescent="0.2">
      <c r="A465" s="3">
        <v>2605</v>
      </c>
      <c r="B465" s="3" t="s">
        <v>477</v>
      </c>
      <c r="C465" s="3" t="s">
        <v>477</v>
      </c>
      <c r="D465" s="3" t="s">
        <v>309</v>
      </c>
      <c r="E465" s="3" t="str">
        <v>Uebeschi</v>
      </c>
      <c r="I465" s="19">
        <v>1736</v>
      </c>
      <c r="J465" s="19" t="s">
        <v>4540</v>
      </c>
    </row>
    <row r="466" spans="1:10" x14ac:dyDescent="0.2">
      <c r="A466" s="3">
        <v>2615</v>
      </c>
      <c r="B466" s="3" t="s">
        <v>478</v>
      </c>
      <c r="C466" s="3" t="s">
        <v>478</v>
      </c>
      <c r="D466" s="3" t="s">
        <v>309</v>
      </c>
      <c r="E466" s="3" t="str">
        <v>Uetendorf</v>
      </c>
      <c r="I466" s="19">
        <v>1737</v>
      </c>
      <c r="J466" s="19" t="s">
        <v>4540</v>
      </c>
    </row>
    <row r="467" spans="1:10" x14ac:dyDescent="0.2">
      <c r="A467" s="3">
        <v>2615</v>
      </c>
      <c r="B467" s="3" t="s">
        <v>479</v>
      </c>
      <c r="C467" s="3" t="s">
        <v>478</v>
      </c>
      <c r="D467" s="3" t="s">
        <v>309</v>
      </c>
      <c r="E467" s="3" t="str">
        <v>Unterlangenegg</v>
      </c>
      <c r="I467" s="19">
        <v>1738</v>
      </c>
      <c r="J467" s="19" t="s">
        <v>4540</v>
      </c>
    </row>
    <row r="468" spans="1:10" x14ac:dyDescent="0.2">
      <c r="A468" s="3">
        <v>2720</v>
      </c>
      <c r="B468" s="3" t="s">
        <v>480</v>
      </c>
      <c r="C468" s="3" t="s">
        <v>480</v>
      </c>
      <c r="D468" s="3" t="s">
        <v>309</v>
      </c>
      <c r="E468" s="3" t="str">
        <v>Wachseldorn</v>
      </c>
      <c r="I468" s="19">
        <v>1740</v>
      </c>
      <c r="J468" s="19" t="s">
        <v>4540</v>
      </c>
    </row>
    <row r="469" spans="1:10" x14ac:dyDescent="0.2">
      <c r="A469" s="3">
        <v>2722</v>
      </c>
      <c r="B469" s="3" t="s">
        <v>481</v>
      </c>
      <c r="C469" s="3" t="s">
        <v>480</v>
      </c>
      <c r="D469" s="3" t="s">
        <v>309</v>
      </c>
      <c r="E469" s="3" t="str">
        <v>Zwieselberg</v>
      </c>
      <c r="I469" s="19">
        <v>1741</v>
      </c>
      <c r="J469" s="19" t="s">
        <v>4540</v>
      </c>
    </row>
    <row r="470" spans="1:10" x14ac:dyDescent="0.2">
      <c r="A470" s="3">
        <v>2613</v>
      </c>
      <c r="B470" s="3" t="s">
        <v>482</v>
      </c>
      <c r="C470" s="3" t="s">
        <v>482</v>
      </c>
      <c r="D470" s="3" t="s">
        <v>309</v>
      </c>
      <c r="E470" s="3" t="str">
        <v>Forst-Längenbühl</v>
      </c>
      <c r="I470" s="19">
        <v>1742</v>
      </c>
      <c r="J470" s="19" t="s">
        <v>4540</v>
      </c>
    </row>
    <row r="471" spans="1:10" x14ac:dyDescent="0.2">
      <c r="A471" s="3">
        <v>2535</v>
      </c>
      <c r="B471" s="3" t="s">
        <v>483</v>
      </c>
      <c r="C471" s="3" t="s">
        <v>484</v>
      </c>
      <c r="D471" s="3" t="s">
        <v>309</v>
      </c>
      <c r="E471" s="3" t="str">
        <v>Affoltern im Emmental</v>
      </c>
      <c r="I471" s="19">
        <v>1744</v>
      </c>
      <c r="J471" s="19" t="s">
        <v>4540</v>
      </c>
    </row>
    <row r="472" spans="1:10" x14ac:dyDescent="0.2">
      <c r="A472" s="3">
        <v>2536</v>
      </c>
      <c r="B472" s="3" t="s">
        <v>485</v>
      </c>
      <c r="C472" s="3" t="s">
        <v>484</v>
      </c>
      <c r="D472" s="3" t="s">
        <v>309</v>
      </c>
      <c r="E472" s="3" t="str">
        <v>Dürrenroth</v>
      </c>
      <c r="I472" s="19">
        <v>1745</v>
      </c>
      <c r="J472" s="19" t="s">
        <v>4540</v>
      </c>
    </row>
    <row r="473" spans="1:10" x14ac:dyDescent="0.2">
      <c r="A473" s="3">
        <v>2537</v>
      </c>
      <c r="B473" s="3" t="s">
        <v>486</v>
      </c>
      <c r="C473" s="3" t="s">
        <v>484</v>
      </c>
      <c r="D473" s="3" t="s">
        <v>309</v>
      </c>
      <c r="E473" s="3" t="str">
        <v>Eriswil</v>
      </c>
      <c r="I473" s="19">
        <v>1746</v>
      </c>
      <c r="J473" s="19" t="s">
        <v>4540</v>
      </c>
    </row>
    <row r="474" spans="1:10" x14ac:dyDescent="0.2">
      <c r="A474" s="3">
        <v>2603</v>
      </c>
      <c r="B474" s="3" t="s">
        <v>487</v>
      </c>
      <c r="C474" s="3" t="s">
        <v>488</v>
      </c>
      <c r="D474" s="3" t="s">
        <v>309</v>
      </c>
      <c r="E474" s="3" t="str">
        <v>Huttwil</v>
      </c>
      <c r="I474" s="19">
        <v>1747</v>
      </c>
      <c r="J474" s="19" t="s">
        <v>4540</v>
      </c>
    </row>
    <row r="475" spans="1:10" x14ac:dyDescent="0.2">
      <c r="A475" s="3">
        <v>2604</v>
      </c>
      <c r="B475" s="3" t="s">
        <v>489</v>
      </c>
      <c r="C475" s="3" t="s">
        <v>488</v>
      </c>
      <c r="D475" s="3" t="s">
        <v>309</v>
      </c>
      <c r="E475" s="3" t="str">
        <v>Lützelflüh</v>
      </c>
      <c r="I475" s="19">
        <v>1748</v>
      </c>
      <c r="J475" s="19" t="s">
        <v>4540</v>
      </c>
    </row>
    <row r="476" spans="1:10" x14ac:dyDescent="0.2">
      <c r="A476" s="3">
        <v>3237</v>
      </c>
      <c r="B476" s="3" t="s">
        <v>490</v>
      </c>
      <c r="C476" s="3" t="s">
        <v>490</v>
      </c>
      <c r="D476" s="3" t="s">
        <v>309</v>
      </c>
      <c r="E476" s="3" t="str">
        <v>Rüegsau</v>
      </c>
      <c r="I476" s="19">
        <v>1749</v>
      </c>
      <c r="J476" s="19" t="s">
        <v>4540</v>
      </c>
    </row>
    <row r="477" spans="1:10" x14ac:dyDescent="0.2">
      <c r="A477" s="3">
        <v>3235</v>
      </c>
      <c r="B477" s="3" t="s">
        <v>491</v>
      </c>
      <c r="C477" s="3" t="s">
        <v>491</v>
      </c>
      <c r="D477" s="3" t="s">
        <v>309</v>
      </c>
      <c r="E477" s="3" t="str">
        <v>Sumiswald</v>
      </c>
      <c r="I477" s="19">
        <v>1752</v>
      </c>
      <c r="J477" s="19" t="s">
        <v>4540</v>
      </c>
    </row>
    <row r="478" spans="1:10" x14ac:dyDescent="0.2">
      <c r="A478" s="3">
        <v>2577</v>
      </c>
      <c r="B478" s="3" t="s">
        <v>492</v>
      </c>
      <c r="C478" s="3" t="s">
        <v>492</v>
      </c>
      <c r="D478" s="3" t="s">
        <v>309</v>
      </c>
      <c r="E478" s="3" t="str">
        <v>Trachselwald</v>
      </c>
      <c r="I478" s="19">
        <v>1753</v>
      </c>
      <c r="J478" s="19" t="s">
        <v>4540</v>
      </c>
    </row>
    <row r="479" spans="1:10" x14ac:dyDescent="0.2">
      <c r="A479" s="3">
        <v>3238</v>
      </c>
      <c r="B479" s="3" t="s">
        <v>493</v>
      </c>
      <c r="C479" s="3" t="s">
        <v>493</v>
      </c>
      <c r="D479" s="3" t="s">
        <v>309</v>
      </c>
      <c r="E479" s="3" t="str">
        <v>Walterswil (BE)</v>
      </c>
      <c r="I479" s="19">
        <v>1754</v>
      </c>
      <c r="J479" s="19" t="s">
        <v>4540</v>
      </c>
    </row>
    <row r="480" spans="1:10" x14ac:dyDescent="0.2">
      <c r="A480" s="3">
        <v>3236</v>
      </c>
      <c r="B480" s="3" t="s">
        <v>494</v>
      </c>
      <c r="C480" s="3" t="s">
        <v>494</v>
      </c>
      <c r="D480" s="3" t="s">
        <v>309</v>
      </c>
      <c r="E480" s="3" t="str">
        <v>Wyssachen</v>
      </c>
      <c r="I480" s="19">
        <v>1756</v>
      </c>
      <c r="J480" s="19" t="s">
        <v>4540</v>
      </c>
    </row>
    <row r="481" spans="1:10" x14ac:dyDescent="0.2">
      <c r="A481" s="3">
        <v>3232</v>
      </c>
      <c r="B481" s="3" t="s">
        <v>495</v>
      </c>
      <c r="C481" s="3" t="s">
        <v>495</v>
      </c>
      <c r="D481" s="3" t="s">
        <v>309</v>
      </c>
      <c r="E481" s="3" t="str">
        <v>Attiswil</v>
      </c>
      <c r="I481" s="19">
        <v>1757</v>
      </c>
      <c r="J481" s="19" t="s">
        <v>4540</v>
      </c>
    </row>
    <row r="482" spans="1:10" x14ac:dyDescent="0.2">
      <c r="A482" s="3">
        <v>2576</v>
      </c>
      <c r="B482" s="3" t="s">
        <v>496</v>
      </c>
      <c r="C482" s="3" t="s">
        <v>496</v>
      </c>
      <c r="D482" s="3" t="s">
        <v>309</v>
      </c>
      <c r="E482" s="3" t="str">
        <v>Berken</v>
      </c>
      <c r="I482" s="19">
        <v>1762</v>
      </c>
      <c r="J482" s="19" t="s">
        <v>4540</v>
      </c>
    </row>
    <row r="483" spans="1:10" x14ac:dyDescent="0.2">
      <c r="A483" s="3">
        <v>3225</v>
      </c>
      <c r="B483" s="3" t="s">
        <v>497</v>
      </c>
      <c r="C483" s="3" t="s">
        <v>497</v>
      </c>
      <c r="D483" s="3" t="s">
        <v>309</v>
      </c>
      <c r="E483" s="3" t="str">
        <v>Bettenhausen</v>
      </c>
      <c r="I483" s="19">
        <v>1763</v>
      </c>
      <c r="J483" s="19" t="s">
        <v>4540</v>
      </c>
    </row>
    <row r="484" spans="1:10" x14ac:dyDescent="0.2">
      <c r="A484" s="3">
        <v>2577</v>
      </c>
      <c r="B484" s="3" t="s">
        <v>498</v>
      </c>
      <c r="C484" s="3" t="s">
        <v>499</v>
      </c>
      <c r="D484" s="3" t="s">
        <v>309</v>
      </c>
      <c r="E484" s="3" t="str">
        <v>Farnern</v>
      </c>
      <c r="I484" s="19">
        <v>1772</v>
      </c>
      <c r="J484" s="19" t="s">
        <v>4540</v>
      </c>
    </row>
    <row r="485" spans="1:10" x14ac:dyDescent="0.2">
      <c r="A485" s="3">
        <v>3226</v>
      </c>
      <c r="B485" s="3" t="s">
        <v>500</v>
      </c>
      <c r="C485" s="3" t="s">
        <v>500</v>
      </c>
      <c r="D485" s="3" t="s">
        <v>309</v>
      </c>
      <c r="E485" s="3" t="str">
        <v>Graben</v>
      </c>
      <c r="I485" s="19">
        <v>1773</v>
      </c>
      <c r="J485" s="19" t="s">
        <v>4540</v>
      </c>
    </row>
    <row r="486" spans="1:10" x14ac:dyDescent="0.2">
      <c r="A486" s="3">
        <v>3233</v>
      </c>
      <c r="B486" s="3" t="s">
        <v>501</v>
      </c>
      <c r="C486" s="3" t="s">
        <v>501</v>
      </c>
      <c r="D486" s="3" t="s">
        <v>309</v>
      </c>
      <c r="E486" s="3" t="str">
        <v>Heimenhausen</v>
      </c>
      <c r="I486" s="19">
        <v>1774</v>
      </c>
      <c r="J486" s="19" t="s">
        <v>4540</v>
      </c>
    </row>
    <row r="487" spans="1:10" x14ac:dyDescent="0.2">
      <c r="A487" s="3">
        <v>3234</v>
      </c>
      <c r="B487" s="3" t="s">
        <v>502</v>
      </c>
      <c r="C487" s="3" t="s">
        <v>502</v>
      </c>
      <c r="D487" s="3" t="s">
        <v>309</v>
      </c>
      <c r="E487" s="3" t="str">
        <v>Herzogenbuchsee</v>
      </c>
      <c r="I487" s="19">
        <v>1775</v>
      </c>
      <c r="J487" s="19" t="s">
        <v>4540</v>
      </c>
    </row>
    <row r="488" spans="1:10" x14ac:dyDescent="0.2">
      <c r="A488" s="3">
        <v>3315</v>
      </c>
      <c r="B488" s="3" t="s">
        <v>503</v>
      </c>
      <c r="C488" s="3" t="s">
        <v>503</v>
      </c>
      <c r="D488" s="3" t="s">
        <v>309</v>
      </c>
      <c r="E488" s="3" t="str">
        <v>Inkwil</v>
      </c>
      <c r="I488" s="19">
        <v>1776</v>
      </c>
      <c r="J488" s="19" t="s">
        <v>4540</v>
      </c>
    </row>
    <row r="489" spans="1:10" x14ac:dyDescent="0.2">
      <c r="A489" s="3">
        <v>3315</v>
      </c>
      <c r="B489" s="3" t="s">
        <v>504</v>
      </c>
      <c r="C489" s="3" t="s">
        <v>503</v>
      </c>
      <c r="D489" s="3" t="s">
        <v>309</v>
      </c>
      <c r="E489" s="3" t="str">
        <v>Niederbipp</v>
      </c>
      <c r="I489" s="19">
        <v>1782</v>
      </c>
      <c r="J489" s="19" t="s">
        <v>4540</v>
      </c>
    </row>
    <row r="490" spans="1:10" x14ac:dyDescent="0.2">
      <c r="A490" s="3">
        <v>3053</v>
      </c>
      <c r="B490" s="3" t="s">
        <v>505</v>
      </c>
      <c r="C490" s="3" t="s">
        <v>506</v>
      </c>
      <c r="D490" s="3" t="s">
        <v>309</v>
      </c>
      <c r="E490" s="3" t="str">
        <v>Niederönz</v>
      </c>
      <c r="I490" s="19">
        <v>1783</v>
      </c>
      <c r="J490" s="19" t="s">
        <v>4540</v>
      </c>
    </row>
    <row r="491" spans="1:10" x14ac:dyDescent="0.2">
      <c r="A491" s="3">
        <v>3053</v>
      </c>
      <c r="B491" s="3" t="s">
        <v>507</v>
      </c>
      <c r="C491" s="3" t="s">
        <v>507</v>
      </c>
      <c r="D491" s="3" t="s">
        <v>309</v>
      </c>
      <c r="E491" s="3" t="str">
        <v>Oberbipp</v>
      </c>
      <c r="I491" s="19">
        <v>1784</v>
      </c>
      <c r="J491" s="19" t="s">
        <v>4540</v>
      </c>
    </row>
    <row r="492" spans="1:10" x14ac:dyDescent="0.2">
      <c r="A492" s="3">
        <v>3306</v>
      </c>
      <c r="B492" s="3" t="s">
        <v>508</v>
      </c>
      <c r="C492" s="3" t="s">
        <v>509</v>
      </c>
      <c r="D492" s="3" t="s">
        <v>309</v>
      </c>
      <c r="E492" s="3" t="str">
        <v>Ochlenberg</v>
      </c>
      <c r="I492" s="19">
        <v>1785</v>
      </c>
      <c r="J492" s="19" t="s">
        <v>4543</v>
      </c>
    </row>
    <row r="493" spans="1:10" x14ac:dyDescent="0.2">
      <c r="A493" s="3">
        <v>3308</v>
      </c>
      <c r="B493" s="3" t="s">
        <v>510</v>
      </c>
      <c r="C493" s="3" t="s">
        <v>509</v>
      </c>
      <c r="D493" s="3" t="s">
        <v>309</v>
      </c>
      <c r="E493" s="3" t="str">
        <v>Rumisberg</v>
      </c>
      <c r="I493" s="19">
        <v>1786</v>
      </c>
      <c r="J493" s="19" t="s">
        <v>4543</v>
      </c>
    </row>
    <row r="494" spans="1:10" x14ac:dyDescent="0.2">
      <c r="A494" s="3">
        <v>3309</v>
      </c>
      <c r="B494" s="3" t="s">
        <v>511</v>
      </c>
      <c r="C494" s="3" t="s">
        <v>509</v>
      </c>
      <c r="D494" s="3" t="s">
        <v>309</v>
      </c>
      <c r="E494" s="3" t="str">
        <v>Seeberg</v>
      </c>
      <c r="I494" s="19">
        <v>1787</v>
      </c>
      <c r="J494" s="19" t="s">
        <v>4543</v>
      </c>
    </row>
    <row r="495" spans="1:10" x14ac:dyDescent="0.2">
      <c r="A495" s="3">
        <v>3312</v>
      </c>
      <c r="B495" s="3" t="s">
        <v>509</v>
      </c>
      <c r="C495" s="3" t="s">
        <v>509</v>
      </c>
      <c r="D495" s="3" t="s">
        <v>309</v>
      </c>
      <c r="E495" s="3" t="str">
        <v>Thörigen</v>
      </c>
      <c r="I495" s="19">
        <v>1788</v>
      </c>
      <c r="J495" s="19" t="s">
        <v>4543</v>
      </c>
    </row>
    <row r="496" spans="1:10" x14ac:dyDescent="0.2">
      <c r="A496" s="3">
        <v>3313</v>
      </c>
      <c r="B496" s="3" t="s">
        <v>512</v>
      </c>
      <c r="C496" s="3" t="s">
        <v>509</v>
      </c>
      <c r="D496" s="3" t="s">
        <v>309</v>
      </c>
      <c r="E496" s="3" t="str">
        <v>Walliswil bei Niederbipp</v>
      </c>
      <c r="I496" s="19">
        <v>1789</v>
      </c>
      <c r="J496" s="19" t="s">
        <v>4543</v>
      </c>
    </row>
    <row r="497" spans="1:10" x14ac:dyDescent="0.2">
      <c r="A497" s="3">
        <v>3314</v>
      </c>
      <c r="B497" s="3" t="s">
        <v>513</v>
      </c>
      <c r="C497" s="3" t="s">
        <v>509</v>
      </c>
      <c r="D497" s="3" t="s">
        <v>309</v>
      </c>
      <c r="E497" s="3" t="str">
        <v>Walliswil bei Wangen</v>
      </c>
      <c r="I497" s="19">
        <v>1791</v>
      </c>
      <c r="J497" s="19" t="s">
        <v>4540</v>
      </c>
    </row>
    <row r="498" spans="1:10" x14ac:dyDescent="0.2">
      <c r="A498" s="3">
        <v>3317</v>
      </c>
      <c r="B498" s="3" t="s">
        <v>514</v>
      </c>
      <c r="C498" s="3" t="s">
        <v>509</v>
      </c>
      <c r="D498" s="3" t="s">
        <v>309</v>
      </c>
      <c r="E498" s="3" t="str">
        <v>Wangen an der Aare</v>
      </c>
      <c r="I498" s="19">
        <v>1792</v>
      </c>
      <c r="J498" s="19" t="s">
        <v>4540</v>
      </c>
    </row>
    <row r="499" spans="1:10" x14ac:dyDescent="0.2">
      <c r="A499" s="3">
        <v>3317</v>
      </c>
      <c r="B499" s="3" t="s">
        <v>515</v>
      </c>
      <c r="C499" s="3" t="s">
        <v>509</v>
      </c>
      <c r="D499" s="3" t="s">
        <v>309</v>
      </c>
      <c r="E499" s="3" t="str">
        <v>Wangenried</v>
      </c>
      <c r="I499" s="19">
        <v>1793</v>
      </c>
      <c r="J499" s="19" t="s">
        <v>4543</v>
      </c>
    </row>
    <row r="500" spans="1:10" x14ac:dyDescent="0.2">
      <c r="A500" s="3">
        <v>3303</v>
      </c>
      <c r="B500" s="3" t="s">
        <v>516</v>
      </c>
      <c r="C500" s="3" t="s">
        <v>516</v>
      </c>
      <c r="D500" s="3" t="s">
        <v>309</v>
      </c>
      <c r="E500" s="3" t="str">
        <v>Wiedlisbach</v>
      </c>
      <c r="I500" s="19">
        <v>1794</v>
      </c>
      <c r="J500" s="19" t="s">
        <v>4543</v>
      </c>
    </row>
    <row r="501" spans="1:10" x14ac:dyDescent="0.2">
      <c r="A501" s="3">
        <v>3303</v>
      </c>
      <c r="B501" s="3" t="s">
        <v>517</v>
      </c>
      <c r="C501" s="3" t="s">
        <v>516</v>
      </c>
      <c r="D501" s="3" t="s">
        <v>309</v>
      </c>
      <c r="E501" s="3" t="str">
        <v>Doppleschwand</v>
      </c>
      <c r="I501" s="19">
        <v>1795</v>
      </c>
      <c r="J501" s="19" t="s">
        <v>4543</v>
      </c>
    </row>
    <row r="502" spans="1:10" x14ac:dyDescent="0.2">
      <c r="A502" s="3">
        <v>3303</v>
      </c>
      <c r="B502" s="3" t="s">
        <v>518</v>
      </c>
      <c r="C502" s="3" t="s">
        <v>516</v>
      </c>
      <c r="D502" s="3" t="s">
        <v>309</v>
      </c>
      <c r="E502" s="3" t="str">
        <v>Entlebuch</v>
      </c>
      <c r="I502" s="19">
        <v>1796</v>
      </c>
      <c r="J502" s="19" t="s">
        <v>4543</v>
      </c>
    </row>
    <row r="503" spans="1:10" x14ac:dyDescent="0.2">
      <c r="A503" s="3">
        <v>3305</v>
      </c>
      <c r="B503" s="3" t="s">
        <v>519</v>
      </c>
      <c r="C503" s="3" t="s">
        <v>516</v>
      </c>
      <c r="D503" s="3" t="s">
        <v>309</v>
      </c>
      <c r="E503" s="3" t="str">
        <v>Flühli</v>
      </c>
      <c r="I503" s="19">
        <v>1797</v>
      </c>
      <c r="J503" s="19" t="s">
        <v>4543</v>
      </c>
    </row>
    <row r="504" spans="1:10" x14ac:dyDescent="0.2">
      <c r="A504" s="3">
        <v>3305</v>
      </c>
      <c r="B504" s="3" t="s">
        <v>520</v>
      </c>
      <c r="C504" s="3" t="s">
        <v>520</v>
      </c>
      <c r="D504" s="3" t="s">
        <v>309</v>
      </c>
      <c r="E504" s="3" t="str">
        <v>Hasle (LU)</v>
      </c>
      <c r="I504" s="19">
        <v>1800</v>
      </c>
      <c r="J504" s="19" t="s">
        <v>4539</v>
      </c>
    </row>
    <row r="505" spans="1:10" x14ac:dyDescent="0.2">
      <c r="A505" s="3">
        <v>3322</v>
      </c>
      <c r="B505" s="3" t="s">
        <v>521</v>
      </c>
      <c r="C505" s="3" t="s">
        <v>521</v>
      </c>
      <c r="D505" s="3" t="s">
        <v>309</v>
      </c>
      <c r="E505" s="3" t="str">
        <v>Romoos</v>
      </c>
      <c r="I505" s="19">
        <v>1801</v>
      </c>
      <c r="J505" s="19" t="s">
        <v>4539</v>
      </c>
    </row>
    <row r="506" spans="1:10" x14ac:dyDescent="0.2">
      <c r="A506" s="3">
        <v>3302</v>
      </c>
      <c r="B506" s="3" t="s">
        <v>522</v>
      </c>
      <c r="C506" s="3" t="s">
        <v>522</v>
      </c>
      <c r="D506" s="3" t="s">
        <v>309</v>
      </c>
      <c r="E506" s="3" t="str">
        <v>Schüpfheim</v>
      </c>
      <c r="I506" s="19">
        <v>1802</v>
      </c>
      <c r="J506" s="19" t="s">
        <v>4539</v>
      </c>
    </row>
    <row r="507" spans="1:10" x14ac:dyDescent="0.2">
      <c r="A507" s="3">
        <v>3053</v>
      </c>
      <c r="B507" s="3" t="s">
        <v>523</v>
      </c>
      <c r="C507" s="3" t="s">
        <v>523</v>
      </c>
      <c r="D507" s="3" t="s">
        <v>309</v>
      </c>
      <c r="E507" s="3" t="str">
        <v>Werthenstein</v>
      </c>
      <c r="I507" s="19">
        <v>1803</v>
      </c>
      <c r="J507" s="19" t="s">
        <v>4539</v>
      </c>
    </row>
    <row r="508" spans="1:10" x14ac:dyDescent="0.2">
      <c r="A508" s="3">
        <v>3322</v>
      </c>
      <c r="B508" s="3" t="s">
        <v>524</v>
      </c>
      <c r="C508" s="3" t="s">
        <v>524</v>
      </c>
      <c r="D508" s="3" t="s">
        <v>309</v>
      </c>
      <c r="E508" s="3" t="str">
        <v>Escholzmatt-Marbach</v>
      </c>
      <c r="I508" s="19">
        <v>1804</v>
      </c>
      <c r="J508" s="19" t="s">
        <v>4539</v>
      </c>
    </row>
    <row r="509" spans="1:10" x14ac:dyDescent="0.2">
      <c r="A509" s="3">
        <v>3427</v>
      </c>
      <c r="B509" s="3" t="s">
        <v>525</v>
      </c>
      <c r="C509" s="3" t="s">
        <v>525</v>
      </c>
      <c r="D509" s="3" t="s">
        <v>309</v>
      </c>
      <c r="E509" s="3" t="str">
        <v>Aesch (LU)</v>
      </c>
      <c r="I509" s="19">
        <v>1805</v>
      </c>
      <c r="J509" s="19" t="s">
        <v>4539</v>
      </c>
    </row>
    <row r="510" spans="1:10" x14ac:dyDescent="0.2">
      <c r="A510" s="3">
        <v>3053</v>
      </c>
      <c r="B510" s="3" t="s">
        <v>526</v>
      </c>
      <c r="C510" s="3" t="s">
        <v>526</v>
      </c>
      <c r="D510" s="3" t="s">
        <v>309</v>
      </c>
      <c r="E510" s="3" t="str">
        <v>Ballwil</v>
      </c>
      <c r="I510" s="19">
        <v>1806</v>
      </c>
      <c r="J510" s="19" t="s">
        <v>4539</v>
      </c>
    </row>
    <row r="511" spans="1:10" x14ac:dyDescent="0.2">
      <c r="A511" s="3">
        <v>3428</v>
      </c>
      <c r="B511" s="3" t="s">
        <v>527</v>
      </c>
      <c r="C511" s="3" t="s">
        <v>528</v>
      </c>
      <c r="D511" s="3" t="s">
        <v>309</v>
      </c>
      <c r="E511" s="3" t="str">
        <v>Emmen</v>
      </c>
      <c r="I511" s="19">
        <v>1807</v>
      </c>
      <c r="J511" s="19" t="s">
        <v>4539</v>
      </c>
    </row>
    <row r="512" spans="1:10" x14ac:dyDescent="0.2">
      <c r="A512" s="3">
        <v>4564</v>
      </c>
      <c r="B512" s="3" t="s">
        <v>529</v>
      </c>
      <c r="C512" s="3" t="s">
        <v>529</v>
      </c>
      <c r="D512" s="3" t="s">
        <v>309</v>
      </c>
      <c r="E512" s="3" t="str">
        <v>Ermensee</v>
      </c>
      <c r="I512" s="19">
        <v>1808</v>
      </c>
      <c r="J512" s="19" t="s">
        <v>4539</v>
      </c>
    </row>
    <row r="513" spans="1:10" x14ac:dyDescent="0.2">
      <c r="A513" s="3">
        <v>3303</v>
      </c>
      <c r="B513" s="3" t="s">
        <v>530</v>
      </c>
      <c r="C513" s="3" t="s">
        <v>531</v>
      </c>
      <c r="D513" s="3" t="s">
        <v>309</v>
      </c>
      <c r="E513" s="3" t="str">
        <v>Eschenbach (LU)</v>
      </c>
      <c r="I513" s="19">
        <v>1809</v>
      </c>
      <c r="J513" s="19" t="s">
        <v>4539</v>
      </c>
    </row>
    <row r="514" spans="1:10" x14ac:dyDescent="0.2">
      <c r="A514" s="3">
        <v>3715</v>
      </c>
      <c r="B514" s="3" t="s">
        <v>532</v>
      </c>
      <c r="C514" s="3" t="s">
        <v>532</v>
      </c>
      <c r="D514" s="3" t="s">
        <v>309</v>
      </c>
      <c r="E514" s="3" t="str">
        <v>Hitzkirch</v>
      </c>
      <c r="I514" s="19">
        <v>1814</v>
      </c>
      <c r="J514" s="19" t="s">
        <v>4539</v>
      </c>
    </row>
    <row r="515" spans="1:10" x14ac:dyDescent="0.2">
      <c r="A515" s="3">
        <v>3703</v>
      </c>
      <c r="B515" s="3" t="s">
        <v>533</v>
      </c>
      <c r="C515" s="3" t="s">
        <v>534</v>
      </c>
      <c r="D515" s="3" t="s">
        <v>309</v>
      </c>
      <c r="E515" s="3" t="str">
        <v>Hochdorf</v>
      </c>
      <c r="I515" s="19">
        <v>1815</v>
      </c>
      <c r="J515" s="19" t="s">
        <v>4539</v>
      </c>
    </row>
    <row r="516" spans="1:10" x14ac:dyDescent="0.2">
      <c r="A516" s="3">
        <v>3703</v>
      </c>
      <c r="B516" s="3" t="s">
        <v>535</v>
      </c>
      <c r="C516" s="3" t="s">
        <v>534</v>
      </c>
      <c r="D516" s="3" t="s">
        <v>309</v>
      </c>
      <c r="E516" s="3" t="str">
        <v>Hohenrain</v>
      </c>
      <c r="I516" s="19">
        <v>1816</v>
      </c>
      <c r="J516" s="19" t="s">
        <v>4539</v>
      </c>
    </row>
    <row r="517" spans="1:10" x14ac:dyDescent="0.2">
      <c r="A517" s="3">
        <v>3711</v>
      </c>
      <c r="B517" s="3" t="s">
        <v>536</v>
      </c>
      <c r="C517" s="3" t="s">
        <v>534</v>
      </c>
      <c r="D517" s="3" t="s">
        <v>309</v>
      </c>
      <c r="E517" s="3" t="str">
        <v>Inwil</v>
      </c>
      <c r="I517" s="19">
        <v>1817</v>
      </c>
      <c r="J517" s="19" t="s">
        <v>4539</v>
      </c>
    </row>
    <row r="518" spans="1:10" x14ac:dyDescent="0.2">
      <c r="A518" s="3">
        <v>3714</v>
      </c>
      <c r="B518" s="3" t="s">
        <v>537</v>
      </c>
      <c r="C518" s="3" t="s">
        <v>537</v>
      </c>
      <c r="D518" s="3" t="s">
        <v>309</v>
      </c>
      <c r="E518" s="3" t="str">
        <v>Rain</v>
      </c>
      <c r="I518" s="19">
        <v>1820</v>
      </c>
      <c r="J518" s="19" t="s">
        <v>4539</v>
      </c>
    </row>
    <row r="519" spans="1:10" x14ac:dyDescent="0.2">
      <c r="A519" s="3">
        <v>3724</v>
      </c>
      <c r="B519" s="3" t="s">
        <v>538</v>
      </c>
      <c r="C519" s="3" t="s">
        <v>537</v>
      </c>
      <c r="D519" s="3" t="s">
        <v>309</v>
      </c>
      <c r="E519" s="3" t="str">
        <v>Römerswil</v>
      </c>
      <c r="I519" s="19">
        <v>1822</v>
      </c>
      <c r="J519" s="19" t="s">
        <v>4539</v>
      </c>
    </row>
    <row r="520" spans="1:10" x14ac:dyDescent="0.2">
      <c r="A520" s="3">
        <v>3725</v>
      </c>
      <c r="B520" s="3" t="s">
        <v>539</v>
      </c>
      <c r="C520" s="3" t="s">
        <v>537</v>
      </c>
      <c r="D520" s="3" t="s">
        <v>309</v>
      </c>
      <c r="E520" s="3" t="str">
        <v>Rothenburg</v>
      </c>
      <c r="I520" s="19">
        <v>1823</v>
      </c>
      <c r="J520" s="19" t="s">
        <v>4539</v>
      </c>
    </row>
    <row r="521" spans="1:10" x14ac:dyDescent="0.2">
      <c r="A521" s="3">
        <v>3716</v>
      </c>
      <c r="B521" s="3" t="s">
        <v>540</v>
      </c>
      <c r="C521" s="3" t="s">
        <v>540</v>
      </c>
      <c r="D521" s="3" t="s">
        <v>309</v>
      </c>
      <c r="E521" s="3" t="str">
        <v>Schongau</v>
      </c>
      <c r="I521" s="19">
        <v>1824</v>
      </c>
      <c r="J521" s="19" t="s">
        <v>4539</v>
      </c>
    </row>
    <row r="522" spans="1:10" x14ac:dyDescent="0.2">
      <c r="A522" s="3">
        <v>3717</v>
      </c>
      <c r="B522" s="3" t="s">
        <v>541</v>
      </c>
      <c r="C522" s="3" t="s">
        <v>540</v>
      </c>
      <c r="D522" s="3" t="s">
        <v>309</v>
      </c>
      <c r="E522" s="3" t="str">
        <v>Adligenswil</v>
      </c>
      <c r="I522" s="19">
        <v>1832</v>
      </c>
      <c r="J522" s="19" t="s">
        <v>4539</v>
      </c>
    </row>
    <row r="523" spans="1:10" x14ac:dyDescent="0.2">
      <c r="A523" s="3">
        <v>3718</v>
      </c>
      <c r="B523" s="3" t="s">
        <v>542</v>
      </c>
      <c r="C523" s="3" t="s">
        <v>542</v>
      </c>
      <c r="D523" s="3" t="s">
        <v>309</v>
      </c>
      <c r="E523" s="3" t="str">
        <v>Buchrain</v>
      </c>
      <c r="I523" s="19">
        <v>1833</v>
      </c>
      <c r="J523" s="19" t="s">
        <v>4539</v>
      </c>
    </row>
    <row r="524" spans="1:10" x14ac:dyDescent="0.2">
      <c r="A524" s="3">
        <v>3704</v>
      </c>
      <c r="B524" s="3" t="s">
        <v>543</v>
      </c>
      <c r="C524" s="3" t="s">
        <v>543</v>
      </c>
      <c r="D524" s="3" t="s">
        <v>309</v>
      </c>
      <c r="E524" s="3" t="str">
        <v>Dierikon</v>
      </c>
      <c r="I524" s="19">
        <v>1844</v>
      </c>
      <c r="J524" s="19" t="s">
        <v>4545</v>
      </c>
    </row>
    <row r="525" spans="1:10" x14ac:dyDescent="0.2">
      <c r="A525" s="3">
        <v>3711</v>
      </c>
      <c r="B525" s="3" t="s">
        <v>544</v>
      </c>
      <c r="C525" s="3" t="s">
        <v>545</v>
      </c>
      <c r="D525" s="3" t="s">
        <v>309</v>
      </c>
      <c r="E525" s="3" t="str">
        <v>Ebikon</v>
      </c>
      <c r="I525" s="19">
        <v>1845</v>
      </c>
      <c r="J525" s="19" t="s">
        <v>4545</v>
      </c>
    </row>
    <row r="526" spans="1:10" x14ac:dyDescent="0.2">
      <c r="A526" s="3">
        <v>3713</v>
      </c>
      <c r="B526" s="3" t="s">
        <v>545</v>
      </c>
      <c r="C526" s="3" t="s">
        <v>545</v>
      </c>
      <c r="D526" s="3" t="s">
        <v>309</v>
      </c>
      <c r="E526" s="3" t="str">
        <v>Gisikon</v>
      </c>
      <c r="I526" s="19">
        <v>1846</v>
      </c>
      <c r="J526" s="19" t="s">
        <v>4545</v>
      </c>
    </row>
    <row r="527" spans="1:10" x14ac:dyDescent="0.2">
      <c r="A527" s="3">
        <v>3714</v>
      </c>
      <c r="B527" s="3" t="s">
        <v>546</v>
      </c>
      <c r="C527" s="3" t="s">
        <v>545</v>
      </c>
      <c r="D527" s="3" t="s">
        <v>309</v>
      </c>
      <c r="E527" s="3" t="str">
        <v>Greppen</v>
      </c>
      <c r="I527" s="19">
        <v>1847</v>
      </c>
      <c r="J527" s="19" t="s">
        <v>4545</v>
      </c>
    </row>
    <row r="528" spans="1:10" x14ac:dyDescent="0.2">
      <c r="A528" s="3">
        <v>3722</v>
      </c>
      <c r="B528" s="3" t="s">
        <v>547</v>
      </c>
      <c r="C528" s="3" t="s">
        <v>545</v>
      </c>
      <c r="D528" s="3" t="s">
        <v>309</v>
      </c>
      <c r="E528" s="3" t="str">
        <v>Honau</v>
      </c>
      <c r="I528" s="19">
        <v>1852</v>
      </c>
      <c r="J528" s="19" t="s">
        <v>4545</v>
      </c>
    </row>
    <row r="529" spans="1:10" x14ac:dyDescent="0.2">
      <c r="A529" s="3">
        <v>3723</v>
      </c>
      <c r="B529" s="3" t="s">
        <v>548</v>
      </c>
      <c r="C529" s="3" t="s">
        <v>545</v>
      </c>
      <c r="D529" s="3" t="s">
        <v>309</v>
      </c>
      <c r="E529" s="3" t="str">
        <v>Horw</v>
      </c>
      <c r="I529" s="19">
        <v>1853</v>
      </c>
      <c r="J529" s="19" t="s">
        <v>4545</v>
      </c>
    </row>
    <row r="530" spans="1:10" x14ac:dyDescent="0.2">
      <c r="A530" s="3">
        <v>3800</v>
      </c>
      <c r="B530" s="3" t="s">
        <v>549</v>
      </c>
      <c r="C530" s="3" t="s">
        <v>550</v>
      </c>
      <c r="D530" s="3" t="s">
        <v>309</v>
      </c>
      <c r="E530" s="3" t="str">
        <v>Kriens</v>
      </c>
      <c r="I530" s="19">
        <v>1854</v>
      </c>
      <c r="J530" s="19" t="s">
        <v>4545</v>
      </c>
    </row>
    <row r="531" spans="1:10" x14ac:dyDescent="0.2">
      <c r="A531" s="3">
        <v>3803</v>
      </c>
      <c r="B531" s="3" t="s">
        <v>550</v>
      </c>
      <c r="C531" s="3" t="s">
        <v>550</v>
      </c>
      <c r="D531" s="3" t="s">
        <v>309</v>
      </c>
      <c r="E531" s="3" t="str">
        <v>Luzern</v>
      </c>
      <c r="I531" s="19">
        <v>1856</v>
      </c>
      <c r="J531" s="19" t="s">
        <v>4545</v>
      </c>
    </row>
    <row r="532" spans="1:10" x14ac:dyDescent="0.2">
      <c r="A532" s="3">
        <v>3806</v>
      </c>
      <c r="B532" s="3" t="s">
        <v>551</v>
      </c>
      <c r="C532" s="3" t="s">
        <v>552</v>
      </c>
      <c r="D532" s="3" t="s">
        <v>309</v>
      </c>
      <c r="E532" s="3" t="str">
        <v>Malters</v>
      </c>
      <c r="I532" s="19">
        <v>1860</v>
      </c>
      <c r="J532" s="19" t="s">
        <v>4545</v>
      </c>
    </row>
    <row r="533" spans="1:10" x14ac:dyDescent="0.2">
      <c r="A533" s="3">
        <v>3855</v>
      </c>
      <c r="B533" s="3" t="s">
        <v>553</v>
      </c>
      <c r="C533" s="3" t="s">
        <v>554</v>
      </c>
      <c r="D533" s="3" t="s">
        <v>309</v>
      </c>
      <c r="E533" s="3" t="str">
        <v>Meggen</v>
      </c>
      <c r="I533" s="19">
        <v>1862</v>
      </c>
      <c r="J533" s="19" t="s">
        <v>4544</v>
      </c>
    </row>
    <row r="534" spans="1:10" x14ac:dyDescent="0.2">
      <c r="A534" s="3">
        <v>3855</v>
      </c>
      <c r="B534" s="3" t="s">
        <v>555</v>
      </c>
      <c r="C534" s="3" t="s">
        <v>554</v>
      </c>
      <c r="D534" s="3" t="s">
        <v>309</v>
      </c>
      <c r="E534" s="3" t="str">
        <v>Meierskappel</v>
      </c>
      <c r="I534" s="19">
        <v>1863</v>
      </c>
      <c r="J534" s="19" t="s">
        <v>4545</v>
      </c>
    </row>
    <row r="535" spans="1:10" x14ac:dyDescent="0.2">
      <c r="A535" s="3">
        <v>3856</v>
      </c>
      <c r="B535" s="3" t="s">
        <v>556</v>
      </c>
      <c r="C535" s="3" t="s">
        <v>556</v>
      </c>
      <c r="D535" s="3" t="s">
        <v>309</v>
      </c>
      <c r="E535" s="3" t="str">
        <v>Root</v>
      </c>
      <c r="I535" s="19">
        <v>1864</v>
      </c>
      <c r="J535" s="19" t="s">
        <v>4545</v>
      </c>
    </row>
    <row r="536" spans="1:10" x14ac:dyDescent="0.2">
      <c r="A536" s="3">
        <v>3707</v>
      </c>
      <c r="B536" s="3" t="s">
        <v>557</v>
      </c>
      <c r="C536" s="3" t="s">
        <v>557</v>
      </c>
      <c r="D536" s="3" t="s">
        <v>309</v>
      </c>
      <c r="E536" s="3" t="str">
        <v>Schwarzenberg</v>
      </c>
      <c r="I536" s="19">
        <v>1865</v>
      </c>
      <c r="J536" s="19" t="s">
        <v>4545</v>
      </c>
    </row>
    <row r="537" spans="1:10" x14ac:dyDescent="0.2">
      <c r="A537" s="3">
        <v>3816</v>
      </c>
      <c r="B537" s="3" t="s">
        <v>558</v>
      </c>
      <c r="C537" s="3" t="s">
        <v>559</v>
      </c>
      <c r="D537" s="3" t="s">
        <v>309</v>
      </c>
      <c r="E537" s="3" t="str">
        <v>Udligenswil</v>
      </c>
      <c r="I537" s="19">
        <v>1866</v>
      </c>
      <c r="J537" s="19" t="s">
        <v>4545</v>
      </c>
    </row>
    <row r="538" spans="1:10" x14ac:dyDescent="0.2">
      <c r="A538" s="3">
        <v>3818</v>
      </c>
      <c r="B538" s="3" t="s">
        <v>559</v>
      </c>
      <c r="C538" s="3" t="s">
        <v>559</v>
      </c>
      <c r="D538" s="3" t="s">
        <v>309</v>
      </c>
      <c r="E538" s="3" t="str">
        <v>Vitznau</v>
      </c>
      <c r="I538" s="19">
        <v>1867</v>
      </c>
      <c r="J538" s="19" t="s">
        <v>4545</v>
      </c>
    </row>
    <row r="539" spans="1:10" x14ac:dyDescent="0.2">
      <c r="A539" s="3">
        <v>3814</v>
      </c>
      <c r="B539" s="3" t="s">
        <v>560</v>
      </c>
      <c r="C539" s="3" t="s">
        <v>560</v>
      </c>
      <c r="D539" s="3" t="s">
        <v>309</v>
      </c>
      <c r="E539" s="3" t="str">
        <v>Weggis</v>
      </c>
      <c r="I539" s="19">
        <v>1868</v>
      </c>
      <c r="J539" s="19" t="s">
        <v>4545</v>
      </c>
    </row>
    <row r="540" spans="1:10" x14ac:dyDescent="0.2">
      <c r="A540" s="3">
        <v>3812</v>
      </c>
      <c r="B540" s="3" t="s">
        <v>561</v>
      </c>
      <c r="C540" s="3" t="s">
        <v>562</v>
      </c>
      <c r="D540" s="3" t="s">
        <v>309</v>
      </c>
      <c r="E540" s="3" t="str">
        <v>Beromünster</v>
      </c>
      <c r="I540" s="19">
        <v>1869</v>
      </c>
      <c r="J540" s="19" t="s">
        <v>4545</v>
      </c>
    </row>
    <row r="541" spans="1:10" x14ac:dyDescent="0.2">
      <c r="A541" s="3">
        <v>3815</v>
      </c>
      <c r="B541" s="3" t="s">
        <v>563</v>
      </c>
      <c r="C541" s="3" t="s">
        <v>562</v>
      </c>
      <c r="D541" s="3" t="s">
        <v>309</v>
      </c>
      <c r="E541" s="3" t="str">
        <v>Büron</v>
      </c>
      <c r="I541" s="19">
        <v>1870</v>
      </c>
      <c r="J541" s="19" t="s">
        <v>4545</v>
      </c>
    </row>
    <row r="542" spans="1:10" x14ac:dyDescent="0.2">
      <c r="A542" s="3">
        <v>3815</v>
      </c>
      <c r="B542" s="3" t="s">
        <v>562</v>
      </c>
      <c r="C542" s="3" t="s">
        <v>562</v>
      </c>
      <c r="D542" s="3" t="s">
        <v>309</v>
      </c>
      <c r="E542" s="3" t="str">
        <v>Buttisholz</v>
      </c>
      <c r="I542" s="19">
        <v>1871</v>
      </c>
      <c r="J542" s="19" t="s">
        <v>4545</v>
      </c>
    </row>
    <row r="543" spans="1:10" x14ac:dyDescent="0.2">
      <c r="A543" s="3">
        <v>3804</v>
      </c>
      <c r="B543" s="3" t="s">
        <v>564</v>
      </c>
      <c r="C543" s="3" t="s">
        <v>564</v>
      </c>
      <c r="D543" s="3" t="s">
        <v>309</v>
      </c>
      <c r="E543" s="3" t="str">
        <v>Eich</v>
      </c>
      <c r="I543" s="19">
        <v>1872</v>
      </c>
      <c r="J543" s="19" t="s">
        <v>4545</v>
      </c>
    </row>
    <row r="544" spans="1:10" x14ac:dyDescent="0.2">
      <c r="A544" s="3">
        <v>3858</v>
      </c>
      <c r="B544" s="3" t="s">
        <v>565</v>
      </c>
      <c r="C544" s="3" t="s">
        <v>566</v>
      </c>
      <c r="D544" s="3" t="s">
        <v>309</v>
      </c>
      <c r="E544" s="3" t="str">
        <v>Geuensee</v>
      </c>
      <c r="I544" s="19">
        <v>1873</v>
      </c>
      <c r="J544" s="19" t="s">
        <v>4545</v>
      </c>
    </row>
    <row r="545" spans="1:10" x14ac:dyDescent="0.2">
      <c r="A545" s="3">
        <v>3800</v>
      </c>
      <c r="B545" s="3" t="s">
        <v>567</v>
      </c>
      <c r="C545" s="3" t="s">
        <v>567</v>
      </c>
      <c r="D545" s="3" t="s">
        <v>309</v>
      </c>
      <c r="E545" s="3" t="str">
        <v>Grosswangen</v>
      </c>
      <c r="I545" s="19">
        <v>1874</v>
      </c>
      <c r="J545" s="19" t="s">
        <v>4545</v>
      </c>
    </row>
    <row r="546" spans="1:10" x14ac:dyDescent="0.2">
      <c r="A546" s="3">
        <v>3807</v>
      </c>
      <c r="B546" s="3" t="s">
        <v>568</v>
      </c>
      <c r="C546" s="3" t="s">
        <v>568</v>
      </c>
      <c r="D546" s="3" t="s">
        <v>309</v>
      </c>
      <c r="E546" s="3" t="str">
        <v>Hildisrieden</v>
      </c>
      <c r="I546" s="19">
        <v>1875</v>
      </c>
      <c r="J546" s="19" t="s">
        <v>4545</v>
      </c>
    </row>
    <row r="547" spans="1:10" x14ac:dyDescent="0.2">
      <c r="A547" s="3">
        <v>3822</v>
      </c>
      <c r="B547" s="3" t="s">
        <v>569</v>
      </c>
      <c r="C547" s="3" t="s">
        <v>569</v>
      </c>
      <c r="D547" s="3" t="s">
        <v>309</v>
      </c>
      <c r="E547" s="3" t="str">
        <v>Knutwil</v>
      </c>
      <c r="I547" s="19">
        <v>1880</v>
      </c>
      <c r="J547" s="19" t="s">
        <v>4545</v>
      </c>
    </row>
    <row r="548" spans="1:10" x14ac:dyDescent="0.2">
      <c r="A548" s="3">
        <v>3822</v>
      </c>
      <c r="B548" s="3" t="s">
        <v>570</v>
      </c>
      <c r="C548" s="3" t="s">
        <v>569</v>
      </c>
      <c r="D548" s="3" t="s">
        <v>309</v>
      </c>
      <c r="E548" s="3" t="str">
        <v>Mauensee</v>
      </c>
      <c r="I548" s="19">
        <v>1882</v>
      </c>
      <c r="J548" s="19" t="s">
        <v>4545</v>
      </c>
    </row>
    <row r="549" spans="1:10" x14ac:dyDescent="0.2">
      <c r="A549" s="3">
        <v>3823</v>
      </c>
      <c r="B549" s="3" t="s">
        <v>571</v>
      </c>
      <c r="C549" s="3" t="s">
        <v>569</v>
      </c>
      <c r="D549" s="3" t="s">
        <v>309</v>
      </c>
      <c r="E549" s="3" t="str">
        <v>Neuenkirch</v>
      </c>
      <c r="I549" s="19">
        <v>1884</v>
      </c>
      <c r="J549" s="19" t="s">
        <v>4545</v>
      </c>
    </row>
    <row r="550" spans="1:10" x14ac:dyDescent="0.2">
      <c r="A550" s="3">
        <v>3823</v>
      </c>
      <c r="B550" s="3" t="s">
        <v>572</v>
      </c>
      <c r="C550" s="3" t="s">
        <v>569</v>
      </c>
      <c r="D550" s="3" t="s">
        <v>309</v>
      </c>
      <c r="E550" s="3" t="str">
        <v>Nottwil</v>
      </c>
      <c r="I550" s="19">
        <v>1885</v>
      </c>
      <c r="J550" s="19" t="s">
        <v>4545</v>
      </c>
    </row>
    <row r="551" spans="1:10" x14ac:dyDescent="0.2">
      <c r="A551" s="3">
        <v>3823</v>
      </c>
      <c r="B551" s="3" t="s">
        <v>573</v>
      </c>
      <c r="C551" s="3" t="s">
        <v>569</v>
      </c>
      <c r="D551" s="3" t="s">
        <v>309</v>
      </c>
      <c r="E551" s="3" t="str">
        <v>Oberkirch</v>
      </c>
      <c r="I551" s="19">
        <v>1890</v>
      </c>
      <c r="J551" s="19" t="s">
        <v>4545</v>
      </c>
    </row>
    <row r="552" spans="1:10" x14ac:dyDescent="0.2">
      <c r="A552" s="3">
        <v>3824</v>
      </c>
      <c r="B552" s="3" t="s">
        <v>574</v>
      </c>
      <c r="C552" s="3" t="s">
        <v>569</v>
      </c>
      <c r="D552" s="3" t="s">
        <v>309</v>
      </c>
      <c r="E552" s="3" t="str">
        <v>Rickenbach (LU)</v>
      </c>
      <c r="I552" s="19">
        <v>1891</v>
      </c>
      <c r="J552" s="19" t="s">
        <v>4545</v>
      </c>
    </row>
    <row r="553" spans="1:10" x14ac:dyDescent="0.2">
      <c r="A553" s="3">
        <v>3825</v>
      </c>
      <c r="B553" s="3" t="s">
        <v>575</v>
      </c>
      <c r="C553" s="3" t="s">
        <v>569</v>
      </c>
      <c r="D553" s="3" t="s">
        <v>309</v>
      </c>
      <c r="E553" s="3" t="str">
        <v>Ruswil</v>
      </c>
      <c r="I553" s="19">
        <v>1892</v>
      </c>
      <c r="J553" s="19" t="s">
        <v>4545</v>
      </c>
    </row>
    <row r="554" spans="1:10" x14ac:dyDescent="0.2">
      <c r="A554" s="3">
        <v>3826</v>
      </c>
      <c r="B554" s="3" t="s">
        <v>576</v>
      </c>
      <c r="C554" s="3" t="s">
        <v>569</v>
      </c>
      <c r="D554" s="3" t="s">
        <v>309</v>
      </c>
      <c r="E554" s="3" t="str">
        <v>Schenkon</v>
      </c>
      <c r="I554" s="19">
        <v>1893</v>
      </c>
      <c r="J554" s="19" t="s">
        <v>4545</v>
      </c>
    </row>
    <row r="555" spans="1:10" x14ac:dyDescent="0.2">
      <c r="A555" s="3">
        <v>3706</v>
      </c>
      <c r="B555" s="3" t="s">
        <v>577</v>
      </c>
      <c r="C555" s="3" t="s">
        <v>577</v>
      </c>
      <c r="D555" s="3" t="s">
        <v>309</v>
      </c>
      <c r="E555" s="3" t="str">
        <v>Schlierbach</v>
      </c>
      <c r="I555" s="19">
        <v>1895</v>
      </c>
      <c r="J555" s="19" t="s">
        <v>4545</v>
      </c>
    </row>
    <row r="556" spans="1:10" x14ac:dyDescent="0.2">
      <c r="A556" s="3">
        <v>3816</v>
      </c>
      <c r="B556" s="3" t="s">
        <v>578</v>
      </c>
      <c r="C556" s="3" t="s">
        <v>578</v>
      </c>
      <c r="D556" s="3" t="s">
        <v>309</v>
      </c>
      <c r="E556" s="3" t="str">
        <v>Sempach</v>
      </c>
      <c r="I556" s="19">
        <v>1896</v>
      </c>
      <c r="J556" s="19" t="s">
        <v>4545</v>
      </c>
    </row>
    <row r="557" spans="1:10" x14ac:dyDescent="0.2">
      <c r="A557" s="3">
        <v>3800</v>
      </c>
      <c r="B557" s="3" t="s">
        <v>579</v>
      </c>
      <c r="C557" s="3" t="s">
        <v>580</v>
      </c>
      <c r="D557" s="3" t="s">
        <v>309</v>
      </c>
      <c r="E557" s="3" t="str">
        <v>Sursee</v>
      </c>
      <c r="I557" s="19">
        <v>1897</v>
      </c>
      <c r="J557" s="19" t="s">
        <v>4545</v>
      </c>
    </row>
    <row r="558" spans="1:10" x14ac:dyDescent="0.2">
      <c r="A558" s="3">
        <v>3853</v>
      </c>
      <c r="B558" s="3" t="s">
        <v>581</v>
      </c>
      <c r="C558" s="3" t="s">
        <v>582</v>
      </c>
      <c r="D558" s="3" t="s">
        <v>309</v>
      </c>
      <c r="E558" s="3" t="str">
        <v>Triengen</v>
      </c>
      <c r="I558" s="19">
        <v>1898</v>
      </c>
      <c r="J558" s="19" t="s">
        <v>4545</v>
      </c>
    </row>
    <row r="559" spans="1:10" x14ac:dyDescent="0.2">
      <c r="A559" s="3">
        <v>3854</v>
      </c>
      <c r="B559" s="3" t="s">
        <v>583</v>
      </c>
      <c r="C559" s="3" t="s">
        <v>583</v>
      </c>
      <c r="D559" s="3" t="s">
        <v>309</v>
      </c>
      <c r="E559" s="3" t="str">
        <v>Wolhusen</v>
      </c>
      <c r="I559" s="19">
        <v>1899</v>
      </c>
      <c r="J559" s="19" t="s">
        <v>4545</v>
      </c>
    </row>
    <row r="560" spans="1:10" x14ac:dyDescent="0.2">
      <c r="A560" s="3">
        <v>3805</v>
      </c>
      <c r="B560" s="3" t="s">
        <v>584</v>
      </c>
      <c r="C560" s="3" t="s">
        <v>585</v>
      </c>
      <c r="D560" s="3" t="s">
        <v>309</v>
      </c>
      <c r="E560" s="3" t="str">
        <v>Alberswil</v>
      </c>
      <c r="I560" s="19">
        <v>1902</v>
      </c>
      <c r="J560" s="19" t="s">
        <v>4547</v>
      </c>
    </row>
    <row r="561" spans="1:10" x14ac:dyDescent="0.2">
      <c r="A561" s="3">
        <v>3852</v>
      </c>
      <c r="B561" s="3" t="s">
        <v>586</v>
      </c>
      <c r="C561" s="3" t="s">
        <v>585</v>
      </c>
      <c r="D561" s="3" t="s">
        <v>309</v>
      </c>
      <c r="E561" s="3" t="str">
        <v>Altbüron</v>
      </c>
      <c r="I561" s="19">
        <v>1903</v>
      </c>
      <c r="J561" s="19" t="s">
        <v>4547</v>
      </c>
    </row>
    <row r="562" spans="1:10" x14ac:dyDescent="0.2">
      <c r="A562" s="3">
        <v>3813</v>
      </c>
      <c r="B562" s="3" t="s">
        <v>587</v>
      </c>
      <c r="C562" s="3" t="s">
        <v>587</v>
      </c>
      <c r="D562" s="3" t="s">
        <v>309</v>
      </c>
      <c r="E562" s="3" t="str">
        <v>Altishofen</v>
      </c>
      <c r="I562" s="19">
        <v>1904</v>
      </c>
      <c r="J562" s="19" t="s">
        <v>4547</v>
      </c>
    </row>
    <row r="563" spans="1:10" x14ac:dyDescent="0.2">
      <c r="A563" s="3">
        <v>3855</v>
      </c>
      <c r="B563" s="3" t="s">
        <v>588</v>
      </c>
      <c r="C563" s="3" t="s">
        <v>589</v>
      </c>
      <c r="D563" s="3" t="s">
        <v>309</v>
      </c>
      <c r="E563" s="3" t="str">
        <v>Dagmersellen</v>
      </c>
      <c r="I563" s="19">
        <v>1905</v>
      </c>
      <c r="J563" s="19" t="s">
        <v>4547</v>
      </c>
    </row>
    <row r="564" spans="1:10" x14ac:dyDescent="0.2">
      <c r="A564" s="3">
        <v>3800</v>
      </c>
      <c r="B564" s="3" t="s">
        <v>590</v>
      </c>
      <c r="C564" s="3" t="s">
        <v>590</v>
      </c>
      <c r="D564" s="3" t="s">
        <v>309</v>
      </c>
      <c r="E564" s="3" t="str">
        <v>Egolzwil</v>
      </c>
      <c r="I564" s="19">
        <v>1906</v>
      </c>
      <c r="J564" s="19" t="s">
        <v>4547</v>
      </c>
    </row>
    <row r="565" spans="1:10" x14ac:dyDescent="0.2">
      <c r="A565" s="3">
        <v>3812</v>
      </c>
      <c r="B565" s="3" t="s">
        <v>561</v>
      </c>
      <c r="C565" s="3" t="s">
        <v>561</v>
      </c>
      <c r="D565" s="3" t="s">
        <v>309</v>
      </c>
      <c r="E565" s="3" t="str">
        <v>Ettiswil</v>
      </c>
      <c r="I565" s="19">
        <v>1907</v>
      </c>
      <c r="J565" s="19" t="s">
        <v>4547</v>
      </c>
    </row>
    <row r="566" spans="1:10" x14ac:dyDescent="0.2">
      <c r="A566" s="3">
        <v>3508</v>
      </c>
      <c r="B566" s="3" t="s">
        <v>591</v>
      </c>
      <c r="C566" s="3" t="s">
        <v>592</v>
      </c>
      <c r="D566" s="3" t="s">
        <v>309</v>
      </c>
      <c r="E566" s="3" t="str">
        <v>Fischbach</v>
      </c>
      <c r="I566" s="19">
        <v>1908</v>
      </c>
      <c r="J566" s="19" t="s">
        <v>4547</v>
      </c>
    </row>
    <row r="567" spans="1:10" x14ac:dyDescent="0.2">
      <c r="A567" s="3">
        <v>3507</v>
      </c>
      <c r="B567" s="3" t="s">
        <v>593</v>
      </c>
      <c r="C567" s="3" t="s">
        <v>593</v>
      </c>
      <c r="D567" s="3" t="s">
        <v>309</v>
      </c>
      <c r="E567" s="3" t="str">
        <v>Grossdietwil</v>
      </c>
      <c r="I567" s="19">
        <v>1911</v>
      </c>
      <c r="J567" s="19" t="s">
        <v>4547</v>
      </c>
    </row>
    <row r="568" spans="1:10" x14ac:dyDescent="0.2">
      <c r="A568" s="3">
        <v>3533</v>
      </c>
      <c r="B568" s="3" t="s">
        <v>594</v>
      </c>
      <c r="C568" s="3" t="s">
        <v>594</v>
      </c>
      <c r="D568" s="3" t="s">
        <v>309</v>
      </c>
      <c r="E568" s="3" t="str">
        <v>Hergiswil bei Willisau</v>
      </c>
      <c r="I568" s="19">
        <v>1912</v>
      </c>
      <c r="J568" s="19" t="s">
        <v>4547</v>
      </c>
    </row>
    <row r="569" spans="1:10" x14ac:dyDescent="0.2">
      <c r="A569" s="3">
        <v>3671</v>
      </c>
      <c r="B569" s="3" t="s">
        <v>595</v>
      </c>
      <c r="C569" s="3" t="s">
        <v>595</v>
      </c>
      <c r="D569" s="3" t="s">
        <v>309</v>
      </c>
      <c r="E569" s="3" t="str">
        <v>Luthern</v>
      </c>
      <c r="I569" s="19">
        <v>1913</v>
      </c>
      <c r="J569" s="19" t="s">
        <v>4547</v>
      </c>
    </row>
    <row r="570" spans="1:10" x14ac:dyDescent="0.2">
      <c r="A570" s="3">
        <v>3510</v>
      </c>
      <c r="B570" s="3" t="s">
        <v>596</v>
      </c>
      <c r="C570" s="3" t="s">
        <v>596</v>
      </c>
      <c r="D570" s="3" t="s">
        <v>309</v>
      </c>
      <c r="E570" s="3" t="str">
        <v>Menznau</v>
      </c>
      <c r="I570" s="19">
        <v>1914</v>
      </c>
      <c r="J570" s="19" t="s">
        <v>4547</v>
      </c>
    </row>
    <row r="571" spans="1:10" x14ac:dyDescent="0.2">
      <c r="A571" s="3">
        <v>3082</v>
      </c>
      <c r="B571" s="3" t="s">
        <v>597</v>
      </c>
      <c r="C571" s="3" t="s">
        <v>598</v>
      </c>
      <c r="D571" s="3" t="s">
        <v>309</v>
      </c>
      <c r="E571" s="3" t="str">
        <v>Nebikon</v>
      </c>
      <c r="I571" s="19">
        <v>1918</v>
      </c>
      <c r="J571" s="19" t="s">
        <v>4548</v>
      </c>
    </row>
    <row r="572" spans="1:10" x14ac:dyDescent="0.2">
      <c r="A572" s="3">
        <v>3506</v>
      </c>
      <c r="B572" s="3" t="s">
        <v>598</v>
      </c>
      <c r="C572" s="3" t="s">
        <v>598</v>
      </c>
      <c r="D572" s="3" t="s">
        <v>309</v>
      </c>
      <c r="E572" s="3" t="str">
        <v>Pfaffnau</v>
      </c>
      <c r="I572" s="19">
        <v>1920</v>
      </c>
      <c r="J572" s="19" t="s">
        <v>4547</v>
      </c>
    </row>
    <row r="573" spans="1:10" x14ac:dyDescent="0.2">
      <c r="A573" s="3">
        <v>3510</v>
      </c>
      <c r="B573" s="3" t="s">
        <v>599</v>
      </c>
      <c r="C573" s="3" t="s">
        <v>599</v>
      </c>
      <c r="D573" s="3" t="s">
        <v>309</v>
      </c>
      <c r="E573" s="3" t="str">
        <v>Reiden</v>
      </c>
      <c r="I573" s="19">
        <v>1921</v>
      </c>
      <c r="J573" s="19" t="s">
        <v>4547</v>
      </c>
    </row>
    <row r="574" spans="1:10" x14ac:dyDescent="0.2">
      <c r="A574" s="3">
        <v>3671</v>
      </c>
      <c r="B574" s="3" t="s">
        <v>600</v>
      </c>
      <c r="C574" s="3" t="s">
        <v>600</v>
      </c>
      <c r="D574" s="3" t="s">
        <v>309</v>
      </c>
      <c r="E574" s="3" t="str">
        <v>Roggliswil</v>
      </c>
      <c r="I574" s="19">
        <v>1922</v>
      </c>
      <c r="J574" s="19" t="s">
        <v>4547</v>
      </c>
    </row>
    <row r="575" spans="1:10" x14ac:dyDescent="0.2">
      <c r="A575" s="3">
        <v>3629</v>
      </c>
      <c r="B575" s="3" t="s">
        <v>601</v>
      </c>
      <c r="C575" s="3" t="s">
        <v>601</v>
      </c>
      <c r="D575" s="3" t="s">
        <v>309</v>
      </c>
      <c r="E575" s="3" t="str">
        <v>Schötz</v>
      </c>
      <c r="I575" s="19">
        <v>1923</v>
      </c>
      <c r="J575" s="19" t="s">
        <v>4547</v>
      </c>
    </row>
    <row r="576" spans="1:10" x14ac:dyDescent="0.2">
      <c r="A576" s="3">
        <v>3503</v>
      </c>
      <c r="B576" s="3" t="s">
        <v>602</v>
      </c>
      <c r="C576" s="3" t="s">
        <v>603</v>
      </c>
      <c r="D576" s="3" t="s">
        <v>309</v>
      </c>
      <c r="E576" s="3" t="str">
        <v>Ufhusen</v>
      </c>
      <c r="I576" s="19">
        <v>1925</v>
      </c>
      <c r="J576" s="19" t="s">
        <v>4547</v>
      </c>
    </row>
    <row r="577" spans="1:10" x14ac:dyDescent="0.2">
      <c r="A577" s="3">
        <v>3510</v>
      </c>
      <c r="B577" s="3" t="s">
        <v>603</v>
      </c>
      <c r="C577" s="3" t="s">
        <v>603</v>
      </c>
      <c r="D577" s="3" t="s">
        <v>309</v>
      </c>
      <c r="E577" s="3" t="str">
        <v>Wauwil</v>
      </c>
      <c r="I577" s="19">
        <v>1926</v>
      </c>
      <c r="J577" s="19" t="s">
        <v>4547</v>
      </c>
    </row>
    <row r="578" spans="1:10" x14ac:dyDescent="0.2">
      <c r="A578" s="3">
        <v>3434</v>
      </c>
      <c r="B578" s="3" t="s">
        <v>604</v>
      </c>
      <c r="C578" s="3" t="s">
        <v>605</v>
      </c>
      <c r="D578" s="3" t="s">
        <v>309</v>
      </c>
      <c r="E578" s="3" t="str">
        <v>Wikon</v>
      </c>
      <c r="I578" s="19">
        <v>1927</v>
      </c>
      <c r="J578" s="19" t="s">
        <v>4547</v>
      </c>
    </row>
    <row r="579" spans="1:10" x14ac:dyDescent="0.2">
      <c r="A579" s="3">
        <v>3434</v>
      </c>
      <c r="B579" s="3" t="s">
        <v>605</v>
      </c>
      <c r="C579" s="3" t="s">
        <v>605</v>
      </c>
      <c r="D579" s="3" t="s">
        <v>309</v>
      </c>
      <c r="E579" s="3" t="str">
        <v>Zell (LU)</v>
      </c>
      <c r="I579" s="19">
        <v>1928</v>
      </c>
      <c r="J579" s="19" t="s">
        <v>4547</v>
      </c>
    </row>
    <row r="580" spans="1:10" x14ac:dyDescent="0.2">
      <c r="A580" s="3">
        <v>3673</v>
      </c>
      <c r="B580" s="3" t="s">
        <v>606</v>
      </c>
      <c r="C580" s="3" t="s">
        <v>606</v>
      </c>
      <c r="D580" s="3" t="s">
        <v>309</v>
      </c>
      <c r="E580" s="3" t="str">
        <v>Willisau</v>
      </c>
      <c r="I580" s="19">
        <v>1929</v>
      </c>
      <c r="J580" s="19" t="s">
        <v>4547</v>
      </c>
    </row>
    <row r="581" spans="1:10" x14ac:dyDescent="0.2">
      <c r="A581" s="3">
        <v>3532</v>
      </c>
      <c r="B581" s="3" t="s">
        <v>607</v>
      </c>
      <c r="C581" s="3" t="s">
        <v>607</v>
      </c>
      <c r="D581" s="3" t="s">
        <v>309</v>
      </c>
      <c r="E581" s="3" t="str">
        <v>Altdorf (UR)</v>
      </c>
      <c r="I581" s="19">
        <v>1932</v>
      </c>
      <c r="J581" s="19" t="s">
        <v>4547</v>
      </c>
    </row>
    <row r="582" spans="1:10" x14ac:dyDescent="0.2">
      <c r="A582" s="3">
        <v>3083</v>
      </c>
      <c r="B582" s="3" t="s">
        <v>608</v>
      </c>
      <c r="C582" s="3" t="s">
        <v>609</v>
      </c>
      <c r="D582" s="3" t="s">
        <v>309</v>
      </c>
      <c r="E582" s="3" t="str">
        <v>Andermatt</v>
      </c>
      <c r="I582" s="19">
        <v>1933</v>
      </c>
      <c r="J582" s="19" t="s">
        <v>4547</v>
      </c>
    </row>
    <row r="583" spans="1:10" x14ac:dyDescent="0.2">
      <c r="A583" s="3">
        <v>3110</v>
      </c>
      <c r="B583" s="3" t="s">
        <v>609</v>
      </c>
      <c r="C583" s="3" t="s">
        <v>609</v>
      </c>
      <c r="D583" s="3" t="s">
        <v>309</v>
      </c>
      <c r="E583" s="3" t="str">
        <v>Attinghausen</v>
      </c>
      <c r="I583" s="19">
        <v>1934</v>
      </c>
      <c r="J583" s="19" t="s">
        <v>4547</v>
      </c>
    </row>
    <row r="584" spans="1:10" x14ac:dyDescent="0.2">
      <c r="A584" s="3">
        <v>3111</v>
      </c>
      <c r="B584" s="3" t="s">
        <v>610</v>
      </c>
      <c r="C584" s="3" t="s">
        <v>609</v>
      </c>
      <c r="D584" s="3" t="s">
        <v>309</v>
      </c>
      <c r="E584" s="3" t="str">
        <v>Bürglen (UR)</v>
      </c>
      <c r="I584" s="19">
        <v>1936</v>
      </c>
      <c r="J584" s="19" t="s">
        <v>4548</v>
      </c>
    </row>
    <row r="585" spans="1:10" x14ac:dyDescent="0.2">
      <c r="A585" s="3">
        <v>3504</v>
      </c>
      <c r="B585" s="3" t="s">
        <v>611</v>
      </c>
      <c r="C585" s="3" t="s">
        <v>611</v>
      </c>
      <c r="D585" s="3" t="s">
        <v>309</v>
      </c>
      <c r="E585" s="3" t="str">
        <v>Erstfeld</v>
      </c>
      <c r="I585" s="19">
        <v>1937</v>
      </c>
      <c r="J585" s="19" t="s">
        <v>4547</v>
      </c>
    </row>
    <row r="586" spans="1:10" x14ac:dyDescent="0.2">
      <c r="A586" s="3">
        <v>3672</v>
      </c>
      <c r="B586" s="3" t="s">
        <v>612</v>
      </c>
      <c r="C586" s="3" t="s">
        <v>612</v>
      </c>
      <c r="D586" s="3" t="s">
        <v>309</v>
      </c>
      <c r="E586" s="3" t="str">
        <v>Flüelen</v>
      </c>
      <c r="I586" s="19">
        <v>1938</v>
      </c>
      <c r="J586" s="19" t="s">
        <v>4548</v>
      </c>
    </row>
    <row r="587" spans="1:10" x14ac:dyDescent="0.2">
      <c r="A587" s="3">
        <v>3672</v>
      </c>
      <c r="B587" s="3" t="s">
        <v>613</v>
      </c>
      <c r="C587" s="3" t="s">
        <v>612</v>
      </c>
      <c r="D587" s="3" t="s">
        <v>309</v>
      </c>
      <c r="E587" s="3" t="str">
        <v>Göschenen</v>
      </c>
      <c r="I587" s="19">
        <v>1941</v>
      </c>
      <c r="J587" s="19" t="s">
        <v>4547</v>
      </c>
    </row>
    <row r="588" spans="1:10" x14ac:dyDescent="0.2">
      <c r="A588" s="3">
        <v>3674</v>
      </c>
      <c r="B588" s="3" t="s">
        <v>614</v>
      </c>
      <c r="C588" s="3" t="s">
        <v>612</v>
      </c>
      <c r="D588" s="3" t="s">
        <v>309</v>
      </c>
      <c r="E588" s="3" t="str">
        <v>Gurtnellen</v>
      </c>
      <c r="I588" s="19">
        <v>1942</v>
      </c>
      <c r="J588" s="19" t="s">
        <v>4547</v>
      </c>
    </row>
    <row r="589" spans="1:10" x14ac:dyDescent="0.2">
      <c r="A589" s="3">
        <v>3531</v>
      </c>
      <c r="B589" s="3" t="s">
        <v>615</v>
      </c>
      <c r="C589" s="3" t="s">
        <v>615</v>
      </c>
      <c r="D589" s="3" t="s">
        <v>309</v>
      </c>
      <c r="E589" s="3" t="str">
        <v>Hospental</v>
      </c>
      <c r="I589" s="19">
        <v>1943</v>
      </c>
      <c r="J589" s="19" t="s">
        <v>4547</v>
      </c>
    </row>
    <row r="590" spans="1:10" x14ac:dyDescent="0.2">
      <c r="A590" s="3">
        <v>3629</v>
      </c>
      <c r="B590" s="3" t="s">
        <v>616</v>
      </c>
      <c r="C590" s="3" t="s">
        <v>616</v>
      </c>
      <c r="D590" s="3" t="s">
        <v>309</v>
      </c>
      <c r="E590" s="3" t="str">
        <v>Isenthal</v>
      </c>
      <c r="I590" s="19">
        <v>1944</v>
      </c>
      <c r="J590" s="19" t="s">
        <v>4548</v>
      </c>
    </row>
    <row r="591" spans="1:10" x14ac:dyDescent="0.2">
      <c r="A591" s="3">
        <v>3113</v>
      </c>
      <c r="B591" s="3" t="s">
        <v>617</v>
      </c>
      <c r="C591" s="3" t="s">
        <v>617</v>
      </c>
      <c r="D591" s="3" t="s">
        <v>309</v>
      </c>
      <c r="E591" s="3" t="str">
        <v>Realp</v>
      </c>
      <c r="I591" s="19">
        <v>1945</v>
      </c>
      <c r="J591" s="19" t="s">
        <v>4547</v>
      </c>
    </row>
    <row r="592" spans="1:10" x14ac:dyDescent="0.2">
      <c r="A592" s="3">
        <v>3512</v>
      </c>
      <c r="B592" s="3" t="s">
        <v>618</v>
      </c>
      <c r="C592" s="3" t="s">
        <v>618</v>
      </c>
      <c r="D592" s="3" t="s">
        <v>309</v>
      </c>
      <c r="E592" s="3" t="str">
        <v>Schattdorf</v>
      </c>
      <c r="I592" s="19">
        <v>1946</v>
      </c>
      <c r="J592" s="19" t="s">
        <v>4548</v>
      </c>
    </row>
    <row r="593" spans="1:10" x14ac:dyDescent="0.2">
      <c r="A593" s="3">
        <v>3513</v>
      </c>
      <c r="B593" s="3" t="s">
        <v>619</v>
      </c>
      <c r="C593" s="3" t="s">
        <v>618</v>
      </c>
      <c r="D593" s="3" t="s">
        <v>309</v>
      </c>
      <c r="E593" s="3" t="str">
        <v>Seedorf (UR)</v>
      </c>
      <c r="I593" s="19">
        <v>1947</v>
      </c>
      <c r="J593" s="19" t="s">
        <v>4547</v>
      </c>
    </row>
    <row r="594" spans="1:10" x14ac:dyDescent="0.2">
      <c r="A594" s="3">
        <v>3075</v>
      </c>
      <c r="B594" s="3" t="s">
        <v>620</v>
      </c>
      <c r="C594" s="3" t="s">
        <v>621</v>
      </c>
      <c r="D594" s="3" t="s">
        <v>309</v>
      </c>
      <c r="E594" s="3" t="str">
        <v>Seelisberg</v>
      </c>
      <c r="I594" s="19">
        <v>1948</v>
      </c>
      <c r="J594" s="19" t="s">
        <v>4547</v>
      </c>
    </row>
    <row r="595" spans="1:10" x14ac:dyDescent="0.2">
      <c r="A595" s="3">
        <v>3075</v>
      </c>
      <c r="B595" s="3" t="s">
        <v>622</v>
      </c>
      <c r="C595" s="3" t="s">
        <v>621</v>
      </c>
      <c r="D595" s="3" t="s">
        <v>309</v>
      </c>
      <c r="E595" s="3" t="str">
        <v>Silenen</v>
      </c>
      <c r="I595" s="19">
        <v>1950</v>
      </c>
      <c r="J595" s="19" t="s">
        <v>4547</v>
      </c>
    </row>
    <row r="596" spans="1:10" x14ac:dyDescent="0.2">
      <c r="A596" s="3">
        <v>3076</v>
      </c>
      <c r="B596" s="3" t="s">
        <v>621</v>
      </c>
      <c r="C596" s="3" t="s">
        <v>621</v>
      </c>
      <c r="D596" s="3" t="s">
        <v>309</v>
      </c>
      <c r="E596" s="3" t="str">
        <v>Sisikon</v>
      </c>
      <c r="I596" s="19">
        <v>1955</v>
      </c>
      <c r="J596" s="19" t="s">
        <v>4547</v>
      </c>
    </row>
    <row r="597" spans="1:10" x14ac:dyDescent="0.2">
      <c r="A597" s="3">
        <v>3077</v>
      </c>
      <c r="B597" s="3" t="s">
        <v>623</v>
      </c>
      <c r="C597" s="3" t="s">
        <v>621</v>
      </c>
      <c r="D597" s="3" t="s">
        <v>309</v>
      </c>
      <c r="E597" s="3" t="str">
        <v>Spiringen</v>
      </c>
      <c r="I597" s="19">
        <v>1957</v>
      </c>
      <c r="J597" s="19" t="s">
        <v>4547</v>
      </c>
    </row>
    <row r="598" spans="1:10" x14ac:dyDescent="0.2">
      <c r="A598" s="3">
        <v>3078</v>
      </c>
      <c r="B598" s="3" t="s">
        <v>624</v>
      </c>
      <c r="C598" s="3" t="s">
        <v>621</v>
      </c>
      <c r="D598" s="3" t="s">
        <v>309</v>
      </c>
      <c r="E598" s="3" t="str">
        <v>Unterschächen</v>
      </c>
      <c r="I598" s="19">
        <v>1958</v>
      </c>
      <c r="J598" s="19" t="s">
        <v>4547</v>
      </c>
    </row>
    <row r="599" spans="1:10" x14ac:dyDescent="0.2">
      <c r="A599" s="3">
        <v>3532</v>
      </c>
      <c r="B599" s="3" t="s">
        <v>625</v>
      </c>
      <c r="C599" s="3" t="s">
        <v>625</v>
      </c>
      <c r="D599" s="3" t="s">
        <v>309</v>
      </c>
      <c r="E599" s="3" t="str">
        <v>Wassen</v>
      </c>
      <c r="I599" s="19">
        <v>1961</v>
      </c>
      <c r="J599" s="19" t="s">
        <v>4548</v>
      </c>
    </row>
    <row r="600" spans="1:10" x14ac:dyDescent="0.2">
      <c r="A600" s="3">
        <v>3504</v>
      </c>
      <c r="B600" s="3" t="s">
        <v>626</v>
      </c>
      <c r="C600" s="3" t="s">
        <v>626</v>
      </c>
      <c r="D600" s="3" t="s">
        <v>309</v>
      </c>
      <c r="E600" s="3" t="str">
        <v>Einsiedeln</v>
      </c>
      <c r="I600" s="19">
        <v>1962</v>
      </c>
      <c r="J600" s="19" t="s">
        <v>4547</v>
      </c>
    </row>
    <row r="601" spans="1:10" x14ac:dyDescent="0.2">
      <c r="A601" s="3">
        <v>3112</v>
      </c>
      <c r="B601" s="3" t="s">
        <v>627</v>
      </c>
      <c r="C601" s="3" t="s">
        <v>628</v>
      </c>
      <c r="D601" s="3" t="s">
        <v>309</v>
      </c>
      <c r="E601" s="3" t="str">
        <v>Gersau</v>
      </c>
      <c r="I601" s="19">
        <v>1963</v>
      </c>
      <c r="J601" s="19" t="s">
        <v>4547</v>
      </c>
    </row>
    <row r="602" spans="1:10" x14ac:dyDescent="0.2">
      <c r="A602" s="3">
        <v>3114</v>
      </c>
      <c r="B602" s="3" t="s">
        <v>629</v>
      </c>
      <c r="C602" s="3" t="s">
        <v>629</v>
      </c>
      <c r="D602" s="3" t="s">
        <v>309</v>
      </c>
      <c r="E602" s="3" t="str">
        <v>Feusisberg</v>
      </c>
      <c r="I602" s="19">
        <v>1964</v>
      </c>
      <c r="J602" s="19" t="s">
        <v>4547</v>
      </c>
    </row>
    <row r="603" spans="1:10" x14ac:dyDescent="0.2">
      <c r="A603" s="3">
        <v>3206</v>
      </c>
      <c r="B603" s="3" t="s">
        <v>630</v>
      </c>
      <c r="C603" s="3" t="s">
        <v>631</v>
      </c>
      <c r="D603" s="3" t="s">
        <v>309</v>
      </c>
      <c r="E603" s="3" t="str">
        <v>Freienbach</v>
      </c>
      <c r="I603" s="19">
        <v>1965</v>
      </c>
      <c r="J603" s="19" t="s">
        <v>4547</v>
      </c>
    </row>
    <row r="604" spans="1:10" x14ac:dyDescent="0.2">
      <c r="A604" s="3">
        <v>3206</v>
      </c>
      <c r="B604" s="3" t="s">
        <v>631</v>
      </c>
      <c r="C604" s="3" t="s">
        <v>631</v>
      </c>
      <c r="D604" s="3" t="s">
        <v>309</v>
      </c>
      <c r="E604" s="3" t="str">
        <v>Wollerau</v>
      </c>
      <c r="I604" s="19">
        <v>1966</v>
      </c>
      <c r="J604" s="19" t="s">
        <v>4547</v>
      </c>
    </row>
    <row r="605" spans="1:10" x14ac:dyDescent="0.2">
      <c r="A605" s="3">
        <v>3206</v>
      </c>
      <c r="B605" s="3" t="s">
        <v>632</v>
      </c>
      <c r="C605" s="3" t="s">
        <v>631</v>
      </c>
      <c r="D605" s="3" t="s">
        <v>309</v>
      </c>
      <c r="E605" s="3" t="str">
        <v>Küssnacht (SZ)</v>
      </c>
      <c r="I605" s="19">
        <v>1967</v>
      </c>
      <c r="J605" s="19" t="s">
        <v>4547</v>
      </c>
    </row>
    <row r="606" spans="1:10" x14ac:dyDescent="0.2">
      <c r="A606" s="3">
        <v>3206</v>
      </c>
      <c r="B606" s="3" t="s">
        <v>633</v>
      </c>
      <c r="C606" s="3" t="s">
        <v>631</v>
      </c>
      <c r="D606" s="3" t="s">
        <v>309</v>
      </c>
      <c r="E606" s="3" t="str">
        <v>Altendorf</v>
      </c>
      <c r="I606" s="19">
        <v>1968</v>
      </c>
      <c r="J606" s="19" t="s">
        <v>4548</v>
      </c>
    </row>
    <row r="607" spans="1:10" x14ac:dyDescent="0.2">
      <c r="A607" s="3">
        <v>3202</v>
      </c>
      <c r="B607" s="3" t="s">
        <v>634</v>
      </c>
      <c r="C607" s="3" t="s">
        <v>634</v>
      </c>
      <c r="D607" s="3" t="s">
        <v>309</v>
      </c>
      <c r="E607" s="3" t="str">
        <v>Galgenen</v>
      </c>
      <c r="I607" s="19">
        <v>1969</v>
      </c>
      <c r="J607" s="19" t="s">
        <v>4548</v>
      </c>
    </row>
    <row r="608" spans="1:10" x14ac:dyDescent="0.2">
      <c r="A608" s="3">
        <v>3208</v>
      </c>
      <c r="B608" s="3" t="s">
        <v>635</v>
      </c>
      <c r="C608" s="3" t="s">
        <v>635</v>
      </c>
      <c r="D608" s="3" t="s">
        <v>309</v>
      </c>
      <c r="E608" s="3" t="str">
        <v>Innerthal</v>
      </c>
      <c r="I608" s="19">
        <v>1971</v>
      </c>
      <c r="J608" s="19" t="s">
        <v>4547</v>
      </c>
    </row>
    <row r="609" spans="1:10" x14ac:dyDescent="0.2">
      <c r="A609" s="3">
        <v>3179</v>
      </c>
      <c r="B609" s="3" t="s">
        <v>636</v>
      </c>
      <c r="C609" s="3" t="s">
        <v>636</v>
      </c>
      <c r="D609" s="3" t="s">
        <v>309</v>
      </c>
      <c r="E609" s="3" t="str">
        <v>Lachen</v>
      </c>
      <c r="I609" s="19">
        <v>1972</v>
      </c>
      <c r="J609" s="19" t="s">
        <v>4548</v>
      </c>
    </row>
    <row r="610" spans="1:10" x14ac:dyDescent="0.2">
      <c r="A610" s="3">
        <v>3177</v>
      </c>
      <c r="B610" s="3" t="s">
        <v>637</v>
      </c>
      <c r="C610" s="3" t="s">
        <v>638</v>
      </c>
      <c r="D610" s="3" t="s">
        <v>309</v>
      </c>
      <c r="E610" s="3" t="str">
        <v>Reichenburg</v>
      </c>
      <c r="I610" s="19">
        <v>1973</v>
      </c>
      <c r="J610" s="19" t="s">
        <v>4548</v>
      </c>
    </row>
    <row r="611" spans="1:10" x14ac:dyDescent="0.2">
      <c r="A611" s="3">
        <v>3203</v>
      </c>
      <c r="B611" s="3" t="s">
        <v>639</v>
      </c>
      <c r="C611" s="3" t="s">
        <v>639</v>
      </c>
      <c r="D611" s="3" t="s">
        <v>309</v>
      </c>
      <c r="E611" s="3" t="str">
        <v>Schübelbach</v>
      </c>
      <c r="I611" s="19">
        <v>1974</v>
      </c>
      <c r="J611" s="19" t="s">
        <v>4547</v>
      </c>
    </row>
    <row r="612" spans="1:10" x14ac:dyDescent="0.2">
      <c r="A612" s="3">
        <v>3204</v>
      </c>
      <c r="B612" s="3" t="s">
        <v>640</v>
      </c>
      <c r="C612" s="3" t="s">
        <v>639</v>
      </c>
      <c r="D612" s="3" t="s">
        <v>309</v>
      </c>
      <c r="E612" s="3" t="str">
        <v>Tuggen</v>
      </c>
      <c r="I612" s="19">
        <v>1975</v>
      </c>
      <c r="J612" s="19" t="s">
        <v>4547</v>
      </c>
    </row>
    <row r="613" spans="1:10" x14ac:dyDescent="0.2">
      <c r="A613" s="3">
        <v>3205</v>
      </c>
      <c r="B613" s="3" t="s">
        <v>641</v>
      </c>
      <c r="C613" s="3" t="s">
        <v>639</v>
      </c>
      <c r="D613" s="3" t="s">
        <v>309</v>
      </c>
      <c r="E613" s="3" t="str">
        <v>Vorderthal</v>
      </c>
      <c r="I613" s="19">
        <v>1976</v>
      </c>
      <c r="J613" s="19" t="s">
        <v>4547</v>
      </c>
    </row>
    <row r="614" spans="1:10" x14ac:dyDescent="0.2">
      <c r="A614" s="3">
        <v>1797</v>
      </c>
      <c r="B614" s="3" t="s">
        <v>642</v>
      </c>
      <c r="C614" s="3" t="s">
        <v>642</v>
      </c>
      <c r="D614" s="3" t="s">
        <v>309</v>
      </c>
      <c r="E614" s="3" t="str">
        <v>Wangen (SZ)</v>
      </c>
      <c r="I614" s="19">
        <v>1977</v>
      </c>
      <c r="J614" s="19" t="s">
        <v>4548</v>
      </c>
    </row>
    <row r="615" spans="1:10" x14ac:dyDescent="0.2">
      <c r="A615" s="3">
        <v>3176</v>
      </c>
      <c r="B615" s="3" t="s">
        <v>643</v>
      </c>
      <c r="C615" s="3" t="s">
        <v>643</v>
      </c>
      <c r="D615" s="3" t="s">
        <v>309</v>
      </c>
      <c r="E615" s="3" t="str">
        <v>Alpthal</v>
      </c>
      <c r="I615" s="19">
        <v>1978</v>
      </c>
      <c r="J615" s="19" t="s">
        <v>4548</v>
      </c>
    </row>
    <row r="616" spans="1:10" x14ac:dyDescent="0.2">
      <c r="A616" s="3">
        <v>3207</v>
      </c>
      <c r="B616" s="3" t="s">
        <v>644</v>
      </c>
      <c r="C616" s="3" t="s">
        <v>644</v>
      </c>
      <c r="D616" s="3" t="s">
        <v>309</v>
      </c>
      <c r="E616" s="3" t="str">
        <v>Arth</v>
      </c>
      <c r="I616" s="19">
        <v>1981</v>
      </c>
      <c r="J616" s="19" t="s">
        <v>4547</v>
      </c>
    </row>
    <row r="617" spans="1:10" x14ac:dyDescent="0.2">
      <c r="A617" s="3">
        <v>2744</v>
      </c>
      <c r="B617" s="3" t="s">
        <v>645</v>
      </c>
      <c r="C617" s="3" t="s">
        <v>645</v>
      </c>
      <c r="D617" s="3" t="s">
        <v>309</v>
      </c>
      <c r="E617" s="3" t="str">
        <v>Illgau</v>
      </c>
      <c r="I617" s="19">
        <v>1982</v>
      </c>
      <c r="J617" s="19" t="s">
        <v>4547</v>
      </c>
    </row>
    <row r="618" spans="1:10" x14ac:dyDescent="0.2">
      <c r="A618" s="3">
        <v>2735</v>
      </c>
      <c r="B618" s="3" t="s">
        <v>646</v>
      </c>
      <c r="C618" s="3" t="s">
        <v>646</v>
      </c>
      <c r="D618" s="3" t="s">
        <v>309</v>
      </c>
      <c r="E618" s="3" t="str">
        <v>Ingenbohl</v>
      </c>
      <c r="I618" s="19">
        <v>1983</v>
      </c>
      <c r="J618" s="19" t="s">
        <v>4547</v>
      </c>
    </row>
    <row r="619" spans="1:10" x14ac:dyDescent="0.2">
      <c r="A619" s="3">
        <v>2747</v>
      </c>
      <c r="B619" s="3" t="s">
        <v>647</v>
      </c>
      <c r="C619" s="3" t="s">
        <v>648</v>
      </c>
      <c r="D619" s="3" t="s">
        <v>309</v>
      </c>
      <c r="E619" s="3" t="str">
        <v>Lauerz</v>
      </c>
      <c r="I619" s="19">
        <v>1984</v>
      </c>
      <c r="J619" s="19" t="s">
        <v>4548</v>
      </c>
    </row>
    <row r="620" spans="1:10" x14ac:dyDescent="0.2">
      <c r="A620" s="3">
        <v>2738</v>
      </c>
      <c r="B620" s="3" t="s">
        <v>649</v>
      </c>
      <c r="C620" s="3" t="s">
        <v>649</v>
      </c>
      <c r="D620" s="3" t="s">
        <v>309</v>
      </c>
      <c r="E620" s="3" t="str">
        <v>Morschach</v>
      </c>
      <c r="I620" s="19">
        <v>1985</v>
      </c>
      <c r="J620" s="19" t="s">
        <v>4548</v>
      </c>
    </row>
    <row r="621" spans="1:10" x14ac:dyDescent="0.2">
      <c r="A621" s="3">
        <v>2746</v>
      </c>
      <c r="B621" s="3" t="s">
        <v>650</v>
      </c>
      <c r="C621" s="3" t="s">
        <v>650</v>
      </c>
      <c r="D621" s="3" t="s">
        <v>309</v>
      </c>
      <c r="E621" s="3" t="str">
        <v>Muotathal</v>
      </c>
      <c r="I621" s="19">
        <v>1986</v>
      </c>
      <c r="J621" s="19" t="s">
        <v>4549</v>
      </c>
    </row>
    <row r="622" spans="1:10" x14ac:dyDescent="0.2">
      <c r="A622" s="3">
        <v>2743</v>
      </c>
      <c r="B622" s="3" t="s">
        <v>651</v>
      </c>
      <c r="C622" s="3" t="s">
        <v>651</v>
      </c>
      <c r="D622" s="3" t="s">
        <v>309</v>
      </c>
      <c r="E622" s="3" t="str">
        <v>Oberiberg</v>
      </c>
      <c r="I622" s="19">
        <v>1987</v>
      </c>
      <c r="J622" s="19" t="s">
        <v>4547</v>
      </c>
    </row>
    <row r="623" spans="1:10" x14ac:dyDescent="0.2">
      <c r="A623" s="3">
        <v>2745</v>
      </c>
      <c r="B623" s="3" t="s">
        <v>652</v>
      </c>
      <c r="C623" s="3" t="s">
        <v>652</v>
      </c>
      <c r="D623" s="3" t="s">
        <v>309</v>
      </c>
      <c r="E623" s="3" t="str">
        <v>Riemenstalden</v>
      </c>
      <c r="I623" s="19">
        <v>1988</v>
      </c>
      <c r="J623" s="19" t="s">
        <v>4548</v>
      </c>
    </row>
    <row r="624" spans="1:10" x14ac:dyDescent="0.2">
      <c r="A624" s="3">
        <v>2732</v>
      </c>
      <c r="B624" s="3" t="s">
        <v>653</v>
      </c>
      <c r="C624" s="3" t="s">
        <v>653</v>
      </c>
      <c r="D624" s="3" t="s">
        <v>309</v>
      </c>
      <c r="E624" s="3" t="str">
        <v>Rothenthurm</v>
      </c>
      <c r="I624" s="19">
        <v>1991</v>
      </c>
      <c r="J624" s="19" t="s">
        <v>4547</v>
      </c>
    </row>
    <row r="625" spans="1:10" x14ac:dyDescent="0.2">
      <c r="A625" s="3">
        <v>2740</v>
      </c>
      <c r="B625" s="3" t="s">
        <v>654</v>
      </c>
      <c r="C625" s="3" t="s">
        <v>654</v>
      </c>
      <c r="D625" s="3" t="s">
        <v>309</v>
      </c>
      <c r="E625" s="3" t="str">
        <v>Sattel</v>
      </c>
      <c r="I625" s="19">
        <v>1992</v>
      </c>
      <c r="J625" s="19" t="s">
        <v>4547</v>
      </c>
    </row>
    <row r="626" spans="1:10" x14ac:dyDescent="0.2">
      <c r="A626" s="3">
        <v>2742</v>
      </c>
      <c r="B626" s="3" t="s">
        <v>655</v>
      </c>
      <c r="C626" s="3" t="s">
        <v>655</v>
      </c>
      <c r="D626" s="3" t="s">
        <v>309</v>
      </c>
      <c r="E626" s="3" t="str">
        <v>Schwyz</v>
      </c>
      <c r="I626" s="19">
        <v>1993</v>
      </c>
      <c r="J626" s="19" t="s">
        <v>4547</v>
      </c>
    </row>
    <row r="627" spans="1:10" x14ac:dyDescent="0.2">
      <c r="A627" s="3">
        <v>2732</v>
      </c>
      <c r="B627" s="3" t="s">
        <v>656</v>
      </c>
      <c r="C627" s="3" t="s">
        <v>656</v>
      </c>
      <c r="D627" s="3" t="s">
        <v>309</v>
      </c>
      <c r="E627" s="3" t="str">
        <v>Steinen</v>
      </c>
      <c r="I627" s="19">
        <v>1994</v>
      </c>
      <c r="J627" s="19" t="s">
        <v>4547</v>
      </c>
    </row>
    <row r="628" spans="1:10" x14ac:dyDescent="0.2">
      <c r="A628" s="3">
        <v>2762</v>
      </c>
      <c r="B628" s="3" t="s">
        <v>657</v>
      </c>
      <c r="C628" s="3" t="s">
        <v>658</v>
      </c>
      <c r="D628" s="3" t="s">
        <v>309</v>
      </c>
      <c r="E628" s="3" t="str">
        <v>Steinerberg</v>
      </c>
      <c r="I628" s="19">
        <v>1996</v>
      </c>
      <c r="J628" s="19" t="s">
        <v>4547</v>
      </c>
    </row>
    <row r="629" spans="1:10" x14ac:dyDescent="0.2">
      <c r="A629" s="3">
        <v>2712</v>
      </c>
      <c r="B629" s="3" t="s">
        <v>659</v>
      </c>
      <c r="C629" s="3" t="s">
        <v>660</v>
      </c>
      <c r="D629" s="3" t="s">
        <v>309</v>
      </c>
      <c r="E629" s="3" t="str">
        <v>Unteriberg</v>
      </c>
      <c r="I629" s="19">
        <v>1997</v>
      </c>
      <c r="J629" s="19" t="s">
        <v>4547</v>
      </c>
    </row>
    <row r="630" spans="1:10" x14ac:dyDescent="0.2">
      <c r="A630" s="3">
        <v>2713</v>
      </c>
      <c r="B630" s="3" t="s">
        <v>661</v>
      </c>
      <c r="C630" s="3" t="s">
        <v>660</v>
      </c>
      <c r="D630" s="3" t="s">
        <v>309</v>
      </c>
      <c r="E630" s="3" t="str">
        <v>Alpnach</v>
      </c>
      <c r="I630" s="19">
        <v>2000</v>
      </c>
      <c r="J630" s="19" t="s">
        <v>4543</v>
      </c>
    </row>
    <row r="631" spans="1:10" x14ac:dyDescent="0.2">
      <c r="A631" s="3">
        <v>2732</v>
      </c>
      <c r="B631" s="3" t="s">
        <v>660</v>
      </c>
      <c r="C631" s="3" t="s">
        <v>660</v>
      </c>
      <c r="D631" s="3" t="s">
        <v>309</v>
      </c>
      <c r="E631" s="3" t="str">
        <v>Engelberg</v>
      </c>
      <c r="I631" s="19">
        <v>2012</v>
      </c>
      <c r="J631" s="19" t="s">
        <v>4543</v>
      </c>
    </row>
    <row r="632" spans="1:10" x14ac:dyDescent="0.2">
      <c r="A632" s="3">
        <v>2732</v>
      </c>
      <c r="B632" s="3" t="s">
        <v>662</v>
      </c>
      <c r="C632" s="3" t="s">
        <v>663</v>
      </c>
      <c r="D632" s="3" t="s">
        <v>309</v>
      </c>
      <c r="E632" s="3" t="str">
        <v>Giswil</v>
      </c>
      <c r="I632" s="19">
        <v>2013</v>
      </c>
      <c r="J632" s="19" t="s">
        <v>4543</v>
      </c>
    </row>
    <row r="633" spans="1:10" x14ac:dyDescent="0.2">
      <c r="A633" s="3">
        <v>2827</v>
      </c>
      <c r="B633" s="3" t="s">
        <v>664</v>
      </c>
      <c r="C633" s="3" t="s">
        <v>664</v>
      </c>
      <c r="D633" s="3" t="s">
        <v>309</v>
      </c>
      <c r="E633" s="3" t="str">
        <v>Kerns</v>
      </c>
      <c r="I633" s="19">
        <v>2014</v>
      </c>
      <c r="J633" s="19" t="s">
        <v>4543</v>
      </c>
    </row>
    <row r="634" spans="1:10" x14ac:dyDescent="0.2">
      <c r="A634" s="3">
        <v>2747</v>
      </c>
      <c r="B634" s="3" t="s">
        <v>665</v>
      </c>
      <c r="C634" s="3" t="s">
        <v>665</v>
      </c>
      <c r="D634" s="3" t="s">
        <v>309</v>
      </c>
      <c r="E634" s="3" t="str">
        <v>Lungern</v>
      </c>
      <c r="I634" s="19">
        <v>2015</v>
      </c>
      <c r="J634" s="19" t="s">
        <v>4543</v>
      </c>
    </row>
    <row r="635" spans="1:10" x14ac:dyDescent="0.2">
      <c r="A635" s="3">
        <v>2736</v>
      </c>
      <c r="B635" s="3" t="s">
        <v>666</v>
      </c>
      <c r="C635" s="3" t="s">
        <v>666</v>
      </c>
      <c r="D635" s="3" t="s">
        <v>309</v>
      </c>
      <c r="E635" s="3" t="str">
        <v>Sachseln</v>
      </c>
      <c r="I635" s="19">
        <v>2016</v>
      </c>
      <c r="J635" s="19" t="s">
        <v>4543</v>
      </c>
    </row>
    <row r="636" spans="1:10" x14ac:dyDescent="0.2">
      <c r="A636" s="3">
        <v>2710</v>
      </c>
      <c r="B636" s="3" t="s">
        <v>667</v>
      </c>
      <c r="C636" s="3" t="s">
        <v>667</v>
      </c>
      <c r="D636" s="3" t="s">
        <v>309</v>
      </c>
      <c r="E636" s="3" t="str">
        <v>Sarnen</v>
      </c>
      <c r="I636" s="19">
        <v>2017</v>
      </c>
      <c r="J636" s="19" t="s">
        <v>4543</v>
      </c>
    </row>
    <row r="637" spans="1:10" x14ac:dyDescent="0.2">
      <c r="A637" s="3">
        <v>2720</v>
      </c>
      <c r="B637" s="3" t="s">
        <v>668</v>
      </c>
      <c r="C637" s="3" t="s">
        <v>667</v>
      </c>
      <c r="D637" s="3" t="s">
        <v>309</v>
      </c>
      <c r="E637" s="3" t="str">
        <v>Beckenried</v>
      </c>
      <c r="I637" s="19">
        <v>2019</v>
      </c>
      <c r="J637" s="19" t="s">
        <v>4550</v>
      </c>
    </row>
    <row r="638" spans="1:10" x14ac:dyDescent="0.2">
      <c r="A638" s="3">
        <v>2717</v>
      </c>
      <c r="B638" s="3" t="s">
        <v>669</v>
      </c>
      <c r="C638" s="3" t="s">
        <v>669</v>
      </c>
      <c r="D638" s="3" t="s">
        <v>309</v>
      </c>
      <c r="E638" s="3" t="str">
        <v>Buochs</v>
      </c>
      <c r="I638" s="19">
        <v>2022</v>
      </c>
      <c r="J638" s="19" t="s">
        <v>4543</v>
      </c>
    </row>
    <row r="639" spans="1:10" x14ac:dyDescent="0.2">
      <c r="A639" s="3">
        <v>2715</v>
      </c>
      <c r="B639" s="3" t="s">
        <v>670</v>
      </c>
      <c r="C639" s="3" t="s">
        <v>671</v>
      </c>
      <c r="D639" s="3" t="s">
        <v>309</v>
      </c>
      <c r="E639" s="3" t="str">
        <v>Dallenwil</v>
      </c>
      <c r="I639" s="19">
        <v>2023</v>
      </c>
      <c r="J639" s="19" t="s">
        <v>4543</v>
      </c>
    </row>
    <row r="640" spans="1:10" x14ac:dyDescent="0.2">
      <c r="A640" s="3">
        <v>2715</v>
      </c>
      <c r="B640" s="3" t="s">
        <v>672</v>
      </c>
      <c r="C640" s="3" t="s">
        <v>671</v>
      </c>
      <c r="D640" s="3" t="s">
        <v>309</v>
      </c>
      <c r="E640" s="3" t="str">
        <v>Emmetten</v>
      </c>
      <c r="I640" s="19">
        <v>2024</v>
      </c>
      <c r="J640" s="19" t="s">
        <v>4543</v>
      </c>
    </row>
    <row r="641" spans="1:10" x14ac:dyDescent="0.2">
      <c r="A641" s="3">
        <v>2716</v>
      </c>
      <c r="B641" s="3" t="s">
        <v>673</v>
      </c>
      <c r="C641" s="3" t="s">
        <v>671</v>
      </c>
      <c r="D641" s="3" t="s">
        <v>309</v>
      </c>
      <c r="E641" s="3" t="str">
        <v>Ennetbürgen</v>
      </c>
      <c r="I641" s="19">
        <v>2025</v>
      </c>
      <c r="J641" s="19" t="s">
        <v>4543</v>
      </c>
    </row>
    <row r="642" spans="1:10" x14ac:dyDescent="0.2">
      <c r="A642" s="3">
        <v>2717</v>
      </c>
      <c r="B642" s="3" t="s">
        <v>674</v>
      </c>
      <c r="C642" s="3" t="s">
        <v>671</v>
      </c>
      <c r="D642" s="3" t="s">
        <v>309</v>
      </c>
      <c r="E642" s="3" t="str">
        <v>Ennetmoos</v>
      </c>
      <c r="I642" s="19">
        <v>2027</v>
      </c>
      <c r="J642" s="19" t="s">
        <v>4540</v>
      </c>
    </row>
    <row r="643" spans="1:10" x14ac:dyDescent="0.2">
      <c r="A643" s="3">
        <v>2748</v>
      </c>
      <c r="B643" s="3" t="s">
        <v>675</v>
      </c>
      <c r="C643" s="3" t="s">
        <v>671</v>
      </c>
      <c r="D643" s="3" t="s">
        <v>309</v>
      </c>
      <c r="E643" s="3" t="str">
        <v>Hergiswil (NW)</v>
      </c>
      <c r="I643" s="19">
        <v>2028</v>
      </c>
      <c r="J643" s="19" t="s">
        <v>4543</v>
      </c>
    </row>
    <row r="644" spans="1:10" x14ac:dyDescent="0.2">
      <c r="A644" s="3">
        <v>2748</v>
      </c>
      <c r="B644" s="3" t="s">
        <v>676</v>
      </c>
      <c r="C644" s="3" t="s">
        <v>671</v>
      </c>
      <c r="D644" s="3" t="s">
        <v>309</v>
      </c>
      <c r="E644" s="3" t="str">
        <v>Oberdorf (NW)</v>
      </c>
      <c r="I644" s="19">
        <v>2034</v>
      </c>
      <c r="J644" s="19" t="s">
        <v>4543</v>
      </c>
    </row>
    <row r="645" spans="1:10" x14ac:dyDescent="0.2">
      <c r="A645" s="3">
        <v>2733</v>
      </c>
      <c r="B645" s="3" t="s">
        <v>677</v>
      </c>
      <c r="C645" s="3" t="s">
        <v>678</v>
      </c>
      <c r="D645" s="3" t="s">
        <v>309</v>
      </c>
      <c r="E645" s="3" t="str">
        <v>Stans</v>
      </c>
      <c r="I645" s="19">
        <v>2035</v>
      </c>
      <c r="J645" s="19" t="s">
        <v>4543</v>
      </c>
    </row>
    <row r="646" spans="1:10" x14ac:dyDescent="0.2">
      <c r="A646" s="3">
        <v>2735</v>
      </c>
      <c r="B646" s="3" t="s">
        <v>679</v>
      </c>
      <c r="C646" s="3" t="s">
        <v>678</v>
      </c>
      <c r="D646" s="3" t="s">
        <v>309</v>
      </c>
      <c r="E646" s="3" t="str">
        <v>Stansstad</v>
      </c>
      <c r="I646" s="19">
        <v>2036</v>
      </c>
      <c r="J646" s="19" t="s">
        <v>4543</v>
      </c>
    </row>
    <row r="647" spans="1:10" x14ac:dyDescent="0.2">
      <c r="A647" s="3">
        <v>2735</v>
      </c>
      <c r="B647" s="3" t="s">
        <v>680</v>
      </c>
      <c r="C647" s="3" t="s">
        <v>678</v>
      </c>
      <c r="D647" s="3" t="s">
        <v>309</v>
      </c>
      <c r="E647" s="3" t="str">
        <v>Wolfenschiessen</v>
      </c>
      <c r="I647" s="19">
        <v>2037</v>
      </c>
      <c r="J647" s="19" t="s">
        <v>4550</v>
      </c>
    </row>
    <row r="648" spans="1:10" x14ac:dyDescent="0.2">
      <c r="A648" s="3">
        <v>2520</v>
      </c>
      <c r="B648" s="3" t="s">
        <v>681</v>
      </c>
      <c r="C648" s="3" t="s">
        <v>681</v>
      </c>
      <c r="D648" s="3" t="s">
        <v>309</v>
      </c>
      <c r="E648" s="3" t="str">
        <v>Glarus Nord</v>
      </c>
      <c r="I648" s="19">
        <v>2042</v>
      </c>
      <c r="J648" s="19" t="s">
        <v>4543</v>
      </c>
    </row>
    <row r="649" spans="1:10" x14ac:dyDescent="0.2">
      <c r="A649" s="3">
        <v>2518</v>
      </c>
      <c r="B649" s="3" t="s">
        <v>682</v>
      </c>
      <c r="C649" s="3" t="s">
        <v>682</v>
      </c>
      <c r="D649" s="3" t="s">
        <v>309</v>
      </c>
      <c r="E649" s="3" t="str">
        <v>Glarus Süd</v>
      </c>
      <c r="I649" s="19">
        <v>2043</v>
      </c>
      <c r="J649" s="19" t="s">
        <v>4550</v>
      </c>
    </row>
    <row r="650" spans="1:10" x14ac:dyDescent="0.2">
      <c r="A650" s="3">
        <v>2515</v>
      </c>
      <c r="B650" s="3" t="s">
        <v>683</v>
      </c>
      <c r="C650" s="3" t="s">
        <v>684</v>
      </c>
      <c r="D650" s="3" t="s">
        <v>309</v>
      </c>
      <c r="E650" s="3" t="str">
        <v>Glarus</v>
      </c>
      <c r="I650" s="19">
        <v>2046</v>
      </c>
      <c r="J650" s="19" t="s">
        <v>4550</v>
      </c>
    </row>
    <row r="651" spans="1:10" x14ac:dyDescent="0.2">
      <c r="A651" s="3">
        <v>2516</v>
      </c>
      <c r="B651" s="3" t="s">
        <v>685</v>
      </c>
      <c r="C651" s="3" t="s">
        <v>684</v>
      </c>
      <c r="D651" s="3" t="s">
        <v>309</v>
      </c>
      <c r="E651" s="3" t="str">
        <v>Baar</v>
      </c>
      <c r="I651" s="19">
        <v>2052</v>
      </c>
      <c r="J651" s="19" t="s">
        <v>4550</v>
      </c>
    </row>
    <row r="652" spans="1:10" x14ac:dyDescent="0.2">
      <c r="A652" s="3">
        <v>2517</v>
      </c>
      <c r="B652" s="3" t="s">
        <v>686</v>
      </c>
      <c r="C652" s="3" t="s">
        <v>684</v>
      </c>
      <c r="D652" s="3" t="s">
        <v>309</v>
      </c>
      <c r="E652" s="3" t="str">
        <v>Cham</v>
      </c>
      <c r="I652" s="19">
        <v>2053</v>
      </c>
      <c r="J652" s="19" t="s">
        <v>4550</v>
      </c>
    </row>
    <row r="653" spans="1:10" x14ac:dyDescent="0.2">
      <c r="A653" s="3">
        <v>2558</v>
      </c>
      <c r="B653" s="3" t="s">
        <v>687</v>
      </c>
      <c r="C653" s="3" t="s">
        <v>687</v>
      </c>
      <c r="D653" s="3" t="s">
        <v>309</v>
      </c>
      <c r="E653" s="3" t="str">
        <v>Hünenberg</v>
      </c>
      <c r="I653" s="19">
        <v>2054</v>
      </c>
      <c r="J653" s="19" t="s">
        <v>4550</v>
      </c>
    </row>
    <row r="654" spans="1:10" x14ac:dyDescent="0.2">
      <c r="A654" s="3">
        <v>2564</v>
      </c>
      <c r="B654" s="3" t="s">
        <v>688</v>
      </c>
      <c r="C654" s="3" t="s">
        <v>688</v>
      </c>
      <c r="D654" s="3" t="s">
        <v>309</v>
      </c>
      <c r="E654" s="3" t="str">
        <v>Menzingen</v>
      </c>
      <c r="I654" s="19">
        <v>2056</v>
      </c>
      <c r="J654" s="19" t="s">
        <v>4550</v>
      </c>
    </row>
    <row r="655" spans="1:10" x14ac:dyDescent="0.2">
      <c r="A655" s="3">
        <v>2555</v>
      </c>
      <c r="B655" s="3" t="s">
        <v>689</v>
      </c>
      <c r="C655" s="3" t="s">
        <v>690</v>
      </c>
      <c r="D655" s="3" t="s">
        <v>309</v>
      </c>
      <c r="E655" s="3" t="str">
        <v>Neuheim</v>
      </c>
      <c r="I655" s="19">
        <v>2057</v>
      </c>
      <c r="J655" s="19" t="s">
        <v>4550</v>
      </c>
    </row>
    <row r="656" spans="1:10" x14ac:dyDescent="0.2">
      <c r="A656" s="3">
        <v>3274</v>
      </c>
      <c r="B656" s="3" t="s">
        <v>691</v>
      </c>
      <c r="C656" s="3" t="s">
        <v>692</v>
      </c>
      <c r="D656" s="3" t="s">
        <v>309</v>
      </c>
      <c r="E656" s="3" t="str">
        <v>Oberägeri</v>
      </c>
      <c r="I656" s="19">
        <v>2058</v>
      </c>
      <c r="J656" s="19" t="s">
        <v>4550</v>
      </c>
    </row>
    <row r="657" spans="1:10" x14ac:dyDescent="0.2">
      <c r="A657" s="3">
        <v>3272</v>
      </c>
      <c r="B657" s="3" t="s">
        <v>693</v>
      </c>
      <c r="C657" s="3" t="s">
        <v>693</v>
      </c>
      <c r="D657" s="3" t="s">
        <v>309</v>
      </c>
      <c r="E657" s="3" t="str">
        <v>Risch</v>
      </c>
      <c r="I657" s="19">
        <v>2063</v>
      </c>
      <c r="J657" s="19" t="s">
        <v>4543</v>
      </c>
    </row>
    <row r="658" spans="1:10" x14ac:dyDescent="0.2">
      <c r="A658" s="3">
        <v>2575</v>
      </c>
      <c r="B658" s="3" t="s">
        <v>694</v>
      </c>
      <c r="C658" s="3" t="s">
        <v>694</v>
      </c>
      <c r="D658" s="3" t="s">
        <v>309</v>
      </c>
      <c r="E658" s="3" t="str">
        <v>Steinhausen</v>
      </c>
      <c r="I658" s="19">
        <v>2065</v>
      </c>
      <c r="J658" s="19" t="s">
        <v>4550</v>
      </c>
    </row>
    <row r="659" spans="1:10" x14ac:dyDescent="0.2">
      <c r="A659" s="3">
        <v>3274</v>
      </c>
      <c r="B659" s="3" t="s">
        <v>695</v>
      </c>
      <c r="C659" s="3" t="s">
        <v>695</v>
      </c>
      <c r="D659" s="3" t="s">
        <v>309</v>
      </c>
      <c r="E659" s="3" t="str">
        <v>Unterägeri</v>
      </c>
      <c r="I659" s="19">
        <v>2067</v>
      </c>
      <c r="J659" s="19" t="s">
        <v>4543</v>
      </c>
    </row>
    <row r="660" spans="1:10" x14ac:dyDescent="0.2">
      <c r="A660" s="3">
        <v>2565</v>
      </c>
      <c r="B660" s="3" t="s">
        <v>696</v>
      </c>
      <c r="C660" s="3" t="s">
        <v>696</v>
      </c>
      <c r="D660" s="3" t="s">
        <v>309</v>
      </c>
      <c r="E660" s="3" t="str">
        <v>Walchwil</v>
      </c>
      <c r="I660" s="19">
        <v>2068</v>
      </c>
      <c r="J660" s="19" t="s">
        <v>4543</v>
      </c>
    </row>
    <row r="661" spans="1:10" x14ac:dyDescent="0.2">
      <c r="A661" s="3">
        <v>2563</v>
      </c>
      <c r="B661" s="3" t="s">
        <v>697</v>
      </c>
      <c r="C661" s="3" t="s">
        <v>697</v>
      </c>
      <c r="D661" s="3" t="s">
        <v>309</v>
      </c>
      <c r="E661" s="3" t="str">
        <v>Zug</v>
      </c>
      <c r="I661" s="19">
        <v>2072</v>
      </c>
      <c r="J661" s="19" t="s">
        <v>4543</v>
      </c>
    </row>
    <row r="662" spans="1:10" x14ac:dyDescent="0.2">
      <c r="A662" s="3">
        <v>2514</v>
      </c>
      <c r="B662" s="3" t="s">
        <v>698</v>
      </c>
      <c r="C662" s="3" t="s">
        <v>698</v>
      </c>
      <c r="D662" s="3" t="s">
        <v>309</v>
      </c>
      <c r="E662" s="3" t="str">
        <v>Châtillon (FR)</v>
      </c>
      <c r="I662" s="19">
        <v>2073</v>
      </c>
      <c r="J662" s="19" t="s">
        <v>4543</v>
      </c>
    </row>
    <row r="663" spans="1:10" x14ac:dyDescent="0.2">
      <c r="A663" s="3">
        <v>3274</v>
      </c>
      <c r="B663" s="3" t="s">
        <v>699</v>
      </c>
      <c r="C663" s="3" t="s">
        <v>699</v>
      </c>
      <c r="D663" s="3" t="s">
        <v>309</v>
      </c>
      <c r="E663" s="3" t="str">
        <v>Cugy (FR)</v>
      </c>
      <c r="I663" s="19">
        <v>2074</v>
      </c>
      <c r="J663" s="19" t="s">
        <v>4543</v>
      </c>
    </row>
    <row r="664" spans="1:10" x14ac:dyDescent="0.2">
      <c r="A664" s="3">
        <v>2572</v>
      </c>
      <c r="B664" s="3" t="s">
        <v>700</v>
      </c>
      <c r="C664" s="3" t="s">
        <v>700</v>
      </c>
      <c r="D664" s="3" t="s">
        <v>309</v>
      </c>
      <c r="E664" s="3" t="str">
        <v>Fétigny</v>
      </c>
      <c r="I664" s="19">
        <v>2075</v>
      </c>
      <c r="J664" s="19" t="s">
        <v>4543</v>
      </c>
    </row>
    <row r="665" spans="1:10" x14ac:dyDescent="0.2">
      <c r="A665" s="3">
        <v>2560</v>
      </c>
      <c r="B665" s="3" t="s">
        <v>701</v>
      </c>
      <c r="C665" s="3" t="s">
        <v>701</v>
      </c>
      <c r="D665" s="3" t="s">
        <v>309</v>
      </c>
      <c r="E665" s="3" t="str">
        <v>Gletterens</v>
      </c>
      <c r="I665" s="19">
        <v>2087</v>
      </c>
      <c r="J665" s="19" t="s">
        <v>4543</v>
      </c>
    </row>
    <row r="666" spans="1:10" x14ac:dyDescent="0.2">
      <c r="A666" s="3">
        <v>2552</v>
      </c>
      <c r="B666" s="3" t="s">
        <v>702</v>
      </c>
      <c r="C666" s="3" t="s">
        <v>702</v>
      </c>
      <c r="D666" s="3" t="s">
        <v>309</v>
      </c>
      <c r="E666" s="3" t="str">
        <v>Lully (FR)</v>
      </c>
      <c r="I666" s="19">
        <v>2088</v>
      </c>
      <c r="J666" s="19" t="s">
        <v>4543</v>
      </c>
    </row>
    <row r="667" spans="1:10" x14ac:dyDescent="0.2">
      <c r="A667" s="3">
        <v>2562</v>
      </c>
      <c r="B667" s="3" t="s">
        <v>703</v>
      </c>
      <c r="C667" s="3" t="s">
        <v>703</v>
      </c>
      <c r="D667" s="3" t="s">
        <v>309</v>
      </c>
      <c r="E667" s="3" t="str">
        <v>Ménières</v>
      </c>
      <c r="I667" s="19">
        <v>2103</v>
      </c>
      <c r="J667" s="19" t="s">
        <v>4550</v>
      </c>
    </row>
    <row r="668" spans="1:10" x14ac:dyDescent="0.2">
      <c r="A668" s="3">
        <v>2553</v>
      </c>
      <c r="B668" s="3" t="s">
        <v>704</v>
      </c>
      <c r="C668" s="3" t="s">
        <v>704</v>
      </c>
      <c r="D668" s="3" t="s">
        <v>309</v>
      </c>
      <c r="E668" s="3" t="str">
        <v>Montagny (FR)</v>
      </c>
      <c r="I668" s="19">
        <v>2105</v>
      </c>
      <c r="J668" s="19" t="s">
        <v>4542</v>
      </c>
    </row>
    <row r="669" spans="1:10" x14ac:dyDescent="0.2">
      <c r="A669" s="3">
        <v>2556</v>
      </c>
      <c r="B669" s="3" t="s">
        <v>705</v>
      </c>
      <c r="C669" s="3" t="s">
        <v>705</v>
      </c>
      <c r="D669" s="3" t="s">
        <v>309</v>
      </c>
      <c r="E669" s="3" t="str">
        <v>Nuvilly</v>
      </c>
      <c r="I669" s="19">
        <v>2108</v>
      </c>
      <c r="J669" s="19" t="s">
        <v>4542</v>
      </c>
    </row>
    <row r="670" spans="1:10" x14ac:dyDescent="0.2">
      <c r="A670" s="3">
        <v>2556</v>
      </c>
      <c r="B670" s="3" t="s">
        <v>706</v>
      </c>
      <c r="C670" s="3" t="s">
        <v>706</v>
      </c>
      <c r="D670" s="3" t="s">
        <v>309</v>
      </c>
      <c r="E670" s="3" t="str">
        <v>Prévondavaux</v>
      </c>
      <c r="I670" s="19">
        <v>2112</v>
      </c>
      <c r="J670" s="19" t="s">
        <v>4542</v>
      </c>
    </row>
    <row r="671" spans="1:10" x14ac:dyDescent="0.2">
      <c r="A671" s="3">
        <v>2557</v>
      </c>
      <c r="B671" s="3" t="s">
        <v>707</v>
      </c>
      <c r="C671" s="3" t="s">
        <v>708</v>
      </c>
      <c r="D671" s="3" t="s">
        <v>309</v>
      </c>
      <c r="E671" s="3" t="str">
        <v>Saint-Aubin (FR)</v>
      </c>
      <c r="I671" s="19">
        <v>2113</v>
      </c>
      <c r="J671" s="19" t="s">
        <v>4542</v>
      </c>
    </row>
    <row r="672" spans="1:10" x14ac:dyDescent="0.2">
      <c r="A672" s="3">
        <v>2572</v>
      </c>
      <c r="B672" s="3" t="s">
        <v>709</v>
      </c>
      <c r="C672" s="3" t="s">
        <v>710</v>
      </c>
      <c r="D672" s="3" t="s">
        <v>309</v>
      </c>
      <c r="E672" s="3" t="str">
        <v>Sévaz</v>
      </c>
      <c r="I672" s="19">
        <v>2114</v>
      </c>
      <c r="J672" s="19" t="s">
        <v>4542</v>
      </c>
    </row>
    <row r="673" spans="1:10" x14ac:dyDescent="0.2">
      <c r="A673" s="3">
        <v>2575</v>
      </c>
      <c r="B673" s="3" t="s">
        <v>711</v>
      </c>
      <c r="C673" s="3" t="s">
        <v>711</v>
      </c>
      <c r="D673" s="3" t="s">
        <v>309</v>
      </c>
      <c r="E673" s="3" t="str">
        <v>Surpierre</v>
      </c>
      <c r="I673" s="19">
        <v>2115</v>
      </c>
      <c r="J673" s="19" t="s">
        <v>4542</v>
      </c>
    </row>
    <row r="674" spans="1:10" x14ac:dyDescent="0.2">
      <c r="A674" s="3">
        <v>2575</v>
      </c>
      <c r="B674" s="3" t="s">
        <v>712</v>
      </c>
      <c r="C674" s="3" t="s">
        <v>711</v>
      </c>
      <c r="D674" s="3" t="s">
        <v>309</v>
      </c>
      <c r="E674" s="3" t="str">
        <v>Vallon</v>
      </c>
      <c r="I674" s="19">
        <v>2116</v>
      </c>
      <c r="J674" s="19" t="s">
        <v>4542</v>
      </c>
    </row>
    <row r="675" spans="1:10" x14ac:dyDescent="0.2">
      <c r="A675" s="3">
        <v>3272</v>
      </c>
      <c r="B675" s="3" t="s">
        <v>713</v>
      </c>
      <c r="C675" s="3" t="s">
        <v>713</v>
      </c>
      <c r="D675" s="3" t="s">
        <v>309</v>
      </c>
      <c r="E675" s="3" t="str">
        <v>Les Montets</v>
      </c>
      <c r="I675" s="19">
        <v>2117</v>
      </c>
      <c r="J675" s="19" t="s">
        <v>4542</v>
      </c>
    </row>
    <row r="676" spans="1:10" x14ac:dyDescent="0.2">
      <c r="A676" s="3">
        <v>3252</v>
      </c>
      <c r="B676" s="3" t="s">
        <v>714</v>
      </c>
      <c r="C676" s="3" t="s">
        <v>714</v>
      </c>
      <c r="D676" s="3" t="s">
        <v>309</v>
      </c>
      <c r="E676" s="3" t="str">
        <v>Delley-Portalban</v>
      </c>
      <c r="I676" s="19">
        <v>2123</v>
      </c>
      <c r="J676" s="19" t="s">
        <v>4542</v>
      </c>
    </row>
    <row r="677" spans="1:10" x14ac:dyDescent="0.2">
      <c r="A677" s="3">
        <v>2512</v>
      </c>
      <c r="B677" s="3" t="s">
        <v>715</v>
      </c>
      <c r="C677" s="3" t="s">
        <v>716</v>
      </c>
      <c r="D677" s="3" t="s">
        <v>309</v>
      </c>
      <c r="E677" s="3" t="str">
        <v>Belmont-Broye</v>
      </c>
      <c r="I677" s="19">
        <v>2124</v>
      </c>
      <c r="J677" s="19" t="s">
        <v>4542</v>
      </c>
    </row>
    <row r="678" spans="1:10" x14ac:dyDescent="0.2">
      <c r="A678" s="3">
        <v>2513</v>
      </c>
      <c r="B678" s="3" t="s">
        <v>717</v>
      </c>
      <c r="C678" s="3" t="s">
        <v>716</v>
      </c>
      <c r="D678" s="3" t="s">
        <v>309</v>
      </c>
      <c r="E678" s="3" t="str">
        <v>Estavayer</v>
      </c>
      <c r="I678" s="19">
        <v>2126</v>
      </c>
      <c r="J678" s="19" t="s">
        <v>4542</v>
      </c>
    </row>
    <row r="679" spans="1:10" x14ac:dyDescent="0.2">
      <c r="A679" s="3">
        <v>3763</v>
      </c>
      <c r="B679" s="3" t="s">
        <v>718</v>
      </c>
      <c r="C679" s="3" t="s">
        <v>718</v>
      </c>
      <c r="D679" s="3" t="s">
        <v>309</v>
      </c>
      <c r="E679" s="3" t="str">
        <v>Cheyres-Châbles</v>
      </c>
      <c r="I679" s="19">
        <v>2127</v>
      </c>
      <c r="J679" s="19" t="s">
        <v>4542</v>
      </c>
    </row>
    <row r="680" spans="1:10" x14ac:dyDescent="0.2">
      <c r="A680" s="3">
        <v>3764</v>
      </c>
      <c r="B680" s="3" t="s">
        <v>719</v>
      </c>
      <c r="C680" s="3" t="s">
        <v>718</v>
      </c>
      <c r="D680" s="3" t="s">
        <v>309</v>
      </c>
      <c r="E680" s="3" t="str">
        <v>Auboranges</v>
      </c>
      <c r="I680" s="19">
        <v>2149</v>
      </c>
      <c r="J680" s="19" t="s">
        <v>4550</v>
      </c>
    </row>
    <row r="681" spans="1:10" x14ac:dyDescent="0.2">
      <c r="A681" s="3">
        <v>3753</v>
      </c>
      <c r="B681" s="3" t="s">
        <v>720</v>
      </c>
      <c r="C681" s="3" t="s">
        <v>721</v>
      </c>
      <c r="D681" s="3" t="s">
        <v>309</v>
      </c>
      <c r="E681" s="3" t="str">
        <v>Billens-Hennens</v>
      </c>
      <c r="I681" s="19">
        <v>2206</v>
      </c>
      <c r="J681" s="19" t="s">
        <v>4550</v>
      </c>
    </row>
    <row r="682" spans="1:10" x14ac:dyDescent="0.2">
      <c r="A682" s="3">
        <v>3754</v>
      </c>
      <c r="B682" s="3" t="s">
        <v>721</v>
      </c>
      <c r="C682" s="3" t="s">
        <v>721</v>
      </c>
      <c r="D682" s="3" t="s">
        <v>309</v>
      </c>
      <c r="E682" s="3" t="str">
        <v>Chapelle (Glâne)</v>
      </c>
      <c r="I682" s="19">
        <v>2207</v>
      </c>
      <c r="J682" s="19" t="s">
        <v>4550</v>
      </c>
    </row>
    <row r="683" spans="1:10" x14ac:dyDescent="0.2">
      <c r="A683" s="3">
        <v>3755</v>
      </c>
      <c r="B683" s="3" t="s">
        <v>722</v>
      </c>
      <c r="C683" s="3" t="s">
        <v>721</v>
      </c>
      <c r="D683" s="3" t="s">
        <v>309</v>
      </c>
      <c r="E683" s="3" t="str">
        <v>Le Châtelard</v>
      </c>
      <c r="I683" s="19">
        <v>2208</v>
      </c>
      <c r="J683" s="19" t="s">
        <v>4550</v>
      </c>
    </row>
    <row r="684" spans="1:10" x14ac:dyDescent="0.2">
      <c r="A684" s="3">
        <v>3756</v>
      </c>
      <c r="B684" s="3" t="s">
        <v>723</v>
      </c>
      <c r="C684" s="3" t="s">
        <v>721</v>
      </c>
      <c r="D684" s="3" t="s">
        <v>309</v>
      </c>
      <c r="E684" s="3" t="str">
        <v>Châtonnaye</v>
      </c>
      <c r="I684" s="19">
        <v>2300</v>
      </c>
      <c r="J684" s="19" t="s">
        <v>4550</v>
      </c>
    </row>
    <row r="685" spans="1:10" x14ac:dyDescent="0.2">
      <c r="A685" s="3">
        <v>3757</v>
      </c>
      <c r="B685" s="3" t="s">
        <v>724</v>
      </c>
      <c r="C685" s="3" t="s">
        <v>721</v>
      </c>
      <c r="D685" s="3" t="s">
        <v>309</v>
      </c>
      <c r="E685" s="3" t="str">
        <v>Ecublens (FR)</v>
      </c>
      <c r="I685" s="19">
        <v>2314</v>
      </c>
      <c r="J685" s="19" t="s">
        <v>4550</v>
      </c>
    </row>
    <row r="686" spans="1:10" x14ac:dyDescent="0.2">
      <c r="A686" s="3">
        <v>3758</v>
      </c>
      <c r="B686" s="3" t="s">
        <v>725</v>
      </c>
      <c r="C686" s="3" t="s">
        <v>726</v>
      </c>
      <c r="D686" s="3" t="s">
        <v>309</v>
      </c>
      <c r="E686" s="3" t="str">
        <v>Grangettes</v>
      </c>
      <c r="I686" s="19">
        <v>2316</v>
      </c>
      <c r="J686" s="19" t="s">
        <v>4550</v>
      </c>
    </row>
    <row r="687" spans="1:10" x14ac:dyDescent="0.2">
      <c r="A687" s="3">
        <v>3762</v>
      </c>
      <c r="B687" s="3" t="s">
        <v>726</v>
      </c>
      <c r="C687" s="3" t="s">
        <v>726</v>
      </c>
      <c r="D687" s="3" t="s">
        <v>309</v>
      </c>
      <c r="E687" s="3" t="str">
        <v>Massonnens</v>
      </c>
      <c r="I687" s="19">
        <v>2318</v>
      </c>
      <c r="J687" s="19" t="s">
        <v>4550</v>
      </c>
    </row>
    <row r="688" spans="1:10" x14ac:dyDescent="0.2">
      <c r="A688" s="3">
        <v>3765</v>
      </c>
      <c r="B688" s="3" t="s">
        <v>727</v>
      </c>
      <c r="C688" s="3" t="s">
        <v>727</v>
      </c>
      <c r="D688" s="3" t="s">
        <v>309</v>
      </c>
      <c r="E688" s="3" t="str">
        <v>Mézières (FR)</v>
      </c>
      <c r="I688" s="19">
        <v>2322</v>
      </c>
      <c r="J688" s="19" t="s">
        <v>4550</v>
      </c>
    </row>
    <row r="689" spans="1:10" x14ac:dyDescent="0.2">
      <c r="A689" s="3">
        <v>3647</v>
      </c>
      <c r="B689" s="3" t="s">
        <v>728</v>
      </c>
      <c r="C689" s="3" t="s">
        <v>728</v>
      </c>
      <c r="D689" s="3" t="s">
        <v>309</v>
      </c>
      <c r="E689" s="3" t="str">
        <v>Montet (Glâne)</v>
      </c>
      <c r="I689" s="19">
        <v>2325</v>
      </c>
      <c r="J689" s="19" t="s">
        <v>4550</v>
      </c>
    </row>
    <row r="690" spans="1:10" x14ac:dyDescent="0.2">
      <c r="A690" s="3">
        <v>3646</v>
      </c>
      <c r="B690" s="3" t="s">
        <v>729</v>
      </c>
      <c r="C690" s="3" t="s">
        <v>730</v>
      </c>
      <c r="D690" s="3" t="s">
        <v>309</v>
      </c>
      <c r="E690" s="3" t="str">
        <v>Romont (FR)</v>
      </c>
      <c r="I690" s="19">
        <v>2333</v>
      </c>
      <c r="J690" s="19" t="s">
        <v>4550</v>
      </c>
    </row>
    <row r="691" spans="1:10" x14ac:dyDescent="0.2">
      <c r="A691" s="3">
        <v>3700</v>
      </c>
      <c r="B691" s="3" t="s">
        <v>730</v>
      </c>
      <c r="C691" s="3" t="s">
        <v>730</v>
      </c>
      <c r="D691" s="3" t="s">
        <v>309</v>
      </c>
      <c r="E691" s="3" t="str">
        <v>Rue</v>
      </c>
      <c r="I691" s="19">
        <v>2336</v>
      </c>
      <c r="J691" s="19" t="s">
        <v>4550</v>
      </c>
    </row>
    <row r="692" spans="1:10" x14ac:dyDescent="0.2">
      <c r="A692" s="3">
        <v>3702</v>
      </c>
      <c r="B692" s="3" t="s">
        <v>731</v>
      </c>
      <c r="C692" s="3" t="s">
        <v>730</v>
      </c>
      <c r="D692" s="3" t="s">
        <v>309</v>
      </c>
      <c r="E692" s="3" t="str">
        <v>Siviriez</v>
      </c>
      <c r="I692" s="19">
        <v>2338</v>
      </c>
      <c r="J692" s="19" t="s">
        <v>4550</v>
      </c>
    </row>
    <row r="693" spans="1:10" x14ac:dyDescent="0.2">
      <c r="A693" s="3">
        <v>3705</v>
      </c>
      <c r="B693" s="3" t="s">
        <v>732</v>
      </c>
      <c r="C693" s="3" t="s">
        <v>730</v>
      </c>
      <c r="D693" s="3" t="s">
        <v>309</v>
      </c>
      <c r="E693" s="3" t="str">
        <v>Ursy</v>
      </c>
      <c r="I693" s="19">
        <v>2340</v>
      </c>
      <c r="J693" s="19" t="s">
        <v>4550</v>
      </c>
    </row>
    <row r="694" spans="1:10" x14ac:dyDescent="0.2">
      <c r="A694" s="3">
        <v>3752</v>
      </c>
      <c r="B694" s="3" t="s">
        <v>733</v>
      </c>
      <c r="C694" s="3" t="s">
        <v>733</v>
      </c>
      <c r="D694" s="3" t="s">
        <v>309</v>
      </c>
      <c r="E694" s="3" t="str">
        <v>Vuisternens-devant-Romont</v>
      </c>
      <c r="I694" s="19">
        <v>2345</v>
      </c>
      <c r="J694" s="19" t="s">
        <v>4550</v>
      </c>
    </row>
    <row r="695" spans="1:10" x14ac:dyDescent="0.2">
      <c r="A695" s="3">
        <v>3631</v>
      </c>
      <c r="B695" s="3" t="s">
        <v>734</v>
      </c>
      <c r="C695" s="3" t="s">
        <v>735</v>
      </c>
      <c r="D695" s="3" t="s">
        <v>309</v>
      </c>
      <c r="E695" s="3" t="str">
        <v>Villorsonnens</v>
      </c>
      <c r="I695" s="19">
        <v>2350</v>
      </c>
      <c r="J695" s="19" t="s">
        <v>4550</v>
      </c>
    </row>
    <row r="696" spans="1:10" x14ac:dyDescent="0.2">
      <c r="A696" s="3">
        <v>3632</v>
      </c>
      <c r="B696" s="3" t="s">
        <v>736</v>
      </c>
      <c r="C696" s="3" t="s">
        <v>735</v>
      </c>
      <c r="D696" s="3" t="s">
        <v>309</v>
      </c>
      <c r="E696" s="3" t="str">
        <v>Torny</v>
      </c>
      <c r="I696" s="19">
        <v>2353</v>
      </c>
      <c r="J696" s="19" t="s">
        <v>4550</v>
      </c>
    </row>
    <row r="697" spans="1:10" x14ac:dyDescent="0.2">
      <c r="A697" s="3">
        <v>3632</v>
      </c>
      <c r="B697" s="3" t="s">
        <v>737</v>
      </c>
      <c r="C697" s="3" t="s">
        <v>735</v>
      </c>
      <c r="D697" s="3" t="s">
        <v>309</v>
      </c>
      <c r="E697" s="3" t="str">
        <v>Villaz</v>
      </c>
      <c r="I697" s="19">
        <v>2354</v>
      </c>
      <c r="J697" s="19" t="s">
        <v>4550</v>
      </c>
    </row>
    <row r="698" spans="1:10" x14ac:dyDescent="0.2">
      <c r="A698" s="3">
        <v>3864</v>
      </c>
      <c r="B698" s="3" t="s">
        <v>738</v>
      </c>
      <c r="C698" s="3" t="s">
        <v>738</v>
      </c>
      <c r="D698" s="3" t="s">
        <v>309</v>
      </c>
      <c r="E698" s="3" t="str">
        <v>Haut-Intyamon</v>
      </c>
      <c r="I698" s="19">
        <v>2360</v>
      </c>
      <c r="J698" s="19" t="s">
        <v>4550</v>
      </c>
    </row>
    <row r="699" spans="1:10" x14ac:dyDescent="0.2">
      <c r="A699" s="3">
        <v>6083</v>
      </c>
      <c r="B699" s="3" t="s">
        <v>739</v>
      </c>
      <c r="C699" s="3" t="s">
        <v>740</v>
      </c>
      <c r="D699" s="3" t="s">
        <v>309</v>
      </c>
      <c r="E699" s="3" t="str">
        <v>Pont-en-Ogoz</v>
      </c>
      <c r="I699" s="19">
        <v>2362</v>
      </c>
      <c r="J699" s="19" t="s">
        <v>4550</v>
      </c>
    </row>
    <row r="700" spans="1:10" x14ac:dyDescent="0.2">
      <c r="A700" s="3">
        <v>6084</v>
      </c>
      <c r="B700" s="3" t="s">
        <v>741</v>
      </c>
      <c r="C700" s="3" t="s">
        <v>740</v>
      </c>
      <c r="D700" s="3" t="s">
        <v>309</v>
      </c>
      <c r="E700" s="3" t="str">
        <v>Botterens</v>
      </c>
      <c r="I700" s="19">
        <v>2363</v>
      </c>
      <c r="J700" s="19" t="s">
        <v>4550</v>
      </c>
    </row>
    <row r="701" spans="1:10" x14ac:dyDescent="0.2">
      <c r="A701" s="3">
        <v>6085</v>
      </c>
      <c r="B701" s="3" t="s">
        <v>742</v>
      </c>
      <c r="C701" s="3" t="s">
        <v>740</v>
      </c>
      <c r="D701" s="3" t="s">
        <v>309</v>
      </c>
      <c r="E701" s="3" t="str">
        <v>Broc</v>
      </c>
      <c r="I701" s="19">
        <v>2364</v>
      </c>
      <c r="J701" s="19" t="s">
        <v>4550</v>
      </c>
    </row>
    <row r="702" spans="1:10" x14ac:dyDescent="0.2">
      <c r="A702" s="3">
        <v>6086</v>
      </c>
      <c r="B702" s="3" t="s">
        <v>743</v>
      </c>
      <c r="C702" s="3" t="s">
        <v>740</v>
      </c>
      <c r="D702" s="3" t="s">
        <v>309</v>
      </c>
      <c r="E702" s="3" t="str">
        <v>Bulle</v>
      </c>
      <c r="I702" s="19">
        <v>2400</v>
      </c>
      <c r="J702" s="19" t="s">
        <v>4550</v>
      </c>
    </row>
    <row r="703" spans="1:10" x14ac:dyDescent="0.2">
      <c r="A703" s="3">
        <v>3862</v>
      </c>
      <c r="B703" s="3" t="s">
        <v>744</v>
      </c>
      <c r="C703" s="3" t="s">
        <v>744</v>
      </c>
      <c r="D703" s="3" t="s">
        <v>309</v>
      </c>
      <c r="E703" s="3" t="str">
        <v>Châtel-sur-Montsalvens</v>
      </c>
      <c r="I703" s="19">
        <v>2405</v>
      </c>
      <c r="J703" s="19" t="s">
        <v>4550</v>
      </c>
    </row>
    <row r="704" spans="1:10" x14ac:dyDescent="0.2">
      <c r="A704" s="3">
        <v>3863</v>
      </c>
      <c r="B704" s="3" t="s">
        <v>745</v>
      </c>
      <c r="C704" s="3" t="s">
        <v>744</v>
      </c>
      <c r="D704" s="3" t="s">
        <v>309</v>
      </c>
      <c r="E704" s="3" t="str">
        <v>Corbières</v>
      </c>
      <c r="I704" s="19">
        <v>2406</v>
      </c>
      <c r="J704" s="19" t="s">
        <v>4542</v>
      </c>
    </row>
    <row r="705" spans="1:10" x14ac:dyDescent="0.2">
      <c r="A705" s="3">
        <v>3857</v>
      </c>
      <c r="B705" s="3" t="s">
        <v>746</v>
      </c>
      <c r="C705" s="3" t="s">
        <v>747</v>
      </c>
      <c r="D705" s="3" t="s">
        <v>309</v>
      </c>
      <c r="E705" s="3" t="str">
        <v>Crésuz</v>
      </c>
      <c r="I705" s="19">
        <v>2414</v>
      </c>
      <c r="J705" s="19" t="s">
        <v>4550</v>
      </c>
    </row>
    <row r="706" spans="1:10" x14ac:dyDescent="0.2">
      <c r="A706" s="3">
        <v>3860</v>
      </c>
      <c r="B706" s="3" t="s">
        <v>747</v>
      </c>
      <c r="C706" s="3" t="s">
        <v>747</v>
      </c>
      <c r="D706" s="3" t="s">
        <v>309</v>
      </c>
      <c r="E706" s="3" t="str">
        <v>Echarlens</v>
      </c>
      <c r="I706" s="19">
        <v>2416</v>
      </c>
      <c r="J706" s="19" t="s">
        <v>4550</v>
      </c>
    </row>
    <row r="707" spans="1:10" x14ac:dyDescent="0.2">
      <c r="A707" s="3">
        <v>3860</v>
      </c>
      <c r="B707" s="3" t="s">
        <v>748</v>
      </c>
      <c r="C707" s="3" t="s">
        <v>747</v>
      </c>
      <c r="D707" s="3" t="s">
        <v>309</v>
      </c>
      <c r="E707" s="3" t="str">
        <v>Grandvillard</v>
      </c>
      <c r="I707" s="19">
        <v>2502</v>
      </c>
      <c r="J707" s="19" t="s">
        <v>4546</v>
      </c>
    </row>
    <row r="708" spans="1:10" x14ac:dyDescent="0.2">
      <c r="A708" s="3">
        <v>3860</v>
      </c>
      <c r="B708" s="3" t="s">
        <v>749</v>
      </c>
      <c r="C708" s="3" t="s">
        <v>750</v>
      </c>
      <c r="D708" s="3" t="s">
        <v>309</v>
      </c>
      <c r="E708" s="3" t="str">
        <v>Gruyères</v>
      </c>
      <c r="I708" s="19">
        <v>2503</v>
      </c>
      <c r="J708" s="19" t="s">
        <v>4546</v>
      </c>
    </row>
    <row r="709" spans="1:10" x14ac:dyDescent="0.2">
      <c r="A709" s="3">
        <v>3860</v>
      </c>
      <c r="B709" s="3" t="s">
        <v>750</v>
      </c>
      <c r="C709" s="3" t="s">
        <v>750</v>
      </c>
      <c r="D709" s="3" t="s">
        <v>309</v>
      </c>
      <c r="E709" s="3" t="str">
        <v>Hauteville</v>
      </c>
      <c r="I709" s="19">
        <v>2504</v>
      </c>
      <c r="J709" s="19" t="s">
        <v>4546</v>
      </c>
    </row>
    <row r="710" spans="1:10" x14ac:dyDescent="0.2">
      <c r="A710" s="3">
        <v>3766</v>
      </c>
      <c r="B710" s="3" t="s">
        <v>751</v>
      </c>
      <c r="C710" s="3" t="s">
        <v>751</v>
      </c>
      <c r="D710" s="3" t="s">
        <v>309</v>
      </c>
      <c r="E710" s="3" t="str">
        <v>Jaun</v>
      </c>
      <c r="I710" s="19">
        <v>2505</v>
      </c>
      <c r="J710" s="19" t="s">
        <v>4546</v>
      </c>
    </row>
    <row r="711" spans="1:10" x14ac:dyDescent="0.2">
      <c r="A711" s="3">
        <v>3775</v>
      </c>
      <c r="B711" s="3" t="s">
        <v>752</v>
      </c>
      <c r="C711" s="3" t="s">
        <v>753</v>
      </c>
      <c r="D711" s="3" t="s">
        <v>309</v>
      </c>
      <c r="E711" s="3" t="str">
        <v>Marsens</v>
      </c>
      <c r="I711" s="19">
        <v>2512</v>
      </c>
      <c r="J711" s="19" t="s">
        <v>4546</v>
      </c>
    </row>
    <row r="712" spans="1:10" x14ac:dyDescent="0.2">
      <c r="A712" s="3">
        <v>3772</v>
      </c>
      <c r="B712" s="3" t="s">
        <v>754</v>
      </c>
      <c r="C712" s="3" t="s">
        <v>754</v>
      </c>
      <c r="D712" s="3" t="s">
        <v>309</v>
      </c>
      <c r="E712" s="3" t="str">
        <v>Morlon</v>
      </c>
      <c r="I712" s="19">
        <v>2513</v>
      </c>
      <c r="J712" s="19" t="s">
        <v>4546</v>
      </c>
    </row>
    <row r="713" spans="1:10" x14ac:dyDescent="0.2">
      <c r="A713" s="3">
        <v>3773</v>
      </c>
      <c r="B713" s="3" t="s">
        <v>755</v>
      </c>
      <c r="C713" s="3" t="s">
        <v>754</v>
      </c>
      <c r="D713" s="3" t="s">
        <v>309</v>
      </c>
      <c r="E713" s="3" t="str">
        <v>Le Pâquier (FR)</v>
      </c>
      <c r="I713" s="19">
        <v>2514</v>
      </c>
      <c r="J713" s="19" t="s">
        <v>4546</v>
      </c>
    </row>
    <row r="714" spans="1:10" x14ac:dyDescent="0.2">
      <c r="A714" s="3">
        <v>3770</v>
      </c>
      <c r="B714" s="3" t="s">
        <v>756</v>
      </c>
      <c r="C714" s="3" t="s">
        <v>756</v>
      </c>
      <c r="D714" s="3" t="s">
        <v>309</v>
      </c>
      <c r="E714" s="3" t="str">
        <v>Pont-la-Ville</v>
      </c>
      <c r="I714" s="19">
        <v>2515</v>
      </c>
      <c r="J714" s="19" t="s">
        <v>4546</v>
      </c>
    </row>
    <row r="715" spans="1:10" x14ac:dyDescent="0.2">
      <c r="A715" s="3">
        <v>3771</v>
      </c>
      <c r="B715" s="3" t="s">
        <v>757</v>
      </c>
      <c r="C715" s="3" t="s">
        <v>756</v>
      </c>
      <c r="D715" s="3" t="s">
        <v>309</v>
      </c>
      <c r="E715" s="3" t="str">
        <v>Riaz</v>
      </c>
      <c r="I715" s="19">
        <v>2516</v>
      </c>
      <c r="J715" s="19" t="s">
        <v>4550</v>
      </c>
    </row>
    <row r="716" spans="1:10" x14ac:dyDescent="0.2">
      <c r="A716" s="3">
        <v>3776</v>
      </c>
      <c r="B716" s="3" t="s">
        <v>758</v>
      </c>
      <c r="C716" s="3" t="s">
        <v>756</v>
      </c>
      <c r="D716" s="3" t="s">
        <v>309</v>
      </c>
      <c r="E716" s="3" t="str">
        <v>La Roche</v>
      </c>
      <c r="I716" s="19">
        <v>2517</v>
      </c>
      <c r="J716" s="19" t="s">
        <v>4550</v>
      </c>
    </row>
    <row r="717" spans="1:10" x14ac:dyDescent="0.2">
      <c r="A717" s="3">
        <v>3784</v>
      </c>
      <c r="B717" s="3" t="s">
        <v>759</v>
      </c>
      <c r="C717" s="3" t="s">
        <v>760</v>
      </c>
      <c r="D717" s="3" t="s">
        <v>309</v>
      </c>
      <c r="E717" s="3" t="str">
        <v>Sâles</v>
      </c>
      <c r="I717" s="19">
        <v>2518</v>
      </c>
      <c r="J717" s="19" t="s">
        <v>4550</v>
      </c>
    </row>
    <row r="718" spans="1:10" x14ac:dyDescent="0.2">
      <c r="A718" s="3">
        <v>3785</v>
      </c>
      <c r="B718" s="3" t="s">
        <v>761</v>
      </c>
      <c r="C718" s="3" t="s">
        <v>760</v>
      </c>
      <c r="D718" s="3" t="s">
        <v>309</v>
      </c>
      <c r="E718" s="3" t="str">
        <v>Sorens</v>
      </c>
      <c r="I718" s="19">
        <v>2520</v>
      </c>
      <c r="J718" s="19" t="s">
        <v>4546</v>
      </c>
    </row>
    <row r="719" spans="1:10" x14ac:dyDescent="0.2">
      <c r="A719" s="3">
        <v>3782</v>
      </c>
      <c r="B719" s="3" t="s">
        <v>762</v>
      </c>
      <c r="C719" s="3" t="s">
        <v>763</v>
      </c>
      <c r="D719" s="3" t="s">
        <v>309</v>
      </c>
      <c r="E719" s="3" t="str">
        <v>Vaulruz</v>
      </c>
      <c r="I719" s="19">
        <v>2523</v>
      </c>
      <c r="J719" s="19" t="s">
        <v>4546</v>
      </c>
    </row>
    <row r="720" spans="1:10" x14ac:dyDescent="0.2">
      <c r="A720" s="3">
        <v>1657</v>
      </c>
      <c r="B720" s="3" t="s">
        <v>764</v>
      </c>
      <c r="C720" s="3" t="s">
        <v>765</v>
      </c>
      <c r="D720" s="3" t="s">
        <v>309</v>
      </c>
      <c r="E720" s="3" t="str">
        <v>Vuadens</v>
      </c>
      <c r="I720" s="19">
        <v>2525</v>
      </c>
      <c r="J720" s="19" t="s">
        <v>4546</v>
      </c>
    </row>
    <row r="721" spans="1:10" x14ac:dyDescent="0.2">
      <c r="A721" s="3">
        <v>3777</v>
      </c>
      <c r="B721" s="3" t="s">
        <v>766</v>
      </c>
      <c r="C721" s="3" t="s">
        <v>765</v>
      </c>
      <c r="D721" s="3" t="s">
        <v>309</v>
      </c>
      <c r="E721" s="3" t="str">
        <v>Bas-Intyamon</v>
      </c>
      <c r="I721" s="19">
        <v>2532</v>
      </c>
      <c r="J721" s="19" t="s">
        <v>4546</v>
      </c>
    </row>
    <row r="722" spans="1:10" x14ac:dyDescent="0.2">
      <c r="A722" s="3">
        <v>3778</v>
      </c>
      <c r="B722" s="3" t="s">
        <v>767</v>
      </c>
      <c r="C722" s="3" t="s">
        <v>765</v>
      </c>
      <c r="D722" s="3" t="s">
        <v>309</v>
      </c>
      <c r="E722" s="3" t="str">
        <v>Val-de-Charmey</v>
      </c>
      <c r="I722" s="19">
        <v>2533</v>
      </c>
      <c r="J722" s="19" t="s">
        <v>4546</v>
      </c>
    </row>
    <row r="723" spans="1:10" x14ac:dyDescent="0.2">
      <c r="A723" s="3">
        <v>3780</v>
      </c>
      <c r="B723" s="3" t="s">
        <v>768</v>
      </c>
      <c r="C723" s="3" t="s">
        <v>765</v>
      </c>
      <c r="D723" s="3" t="s">
        <v>309</v>
      </c>
      <c r="E723" s="3" t="str">
        <v>Autigny</v>
      </c>
      <c r="I723" s="19">
        <v>2534</v>
      </c>
      <c r="J723" s="19" t="s">
        <v>4550</v>
      </c>
    </row>
    <row r="724" spans="1:10" x14ac:dyDescent="0.2">
      <c r="A724" s="3">
        <v>3781</v>
      </c>
      <c r="B724" s="3" t="s">
        <v>769</v>
      </c>
      <c r="C724" s="3" t="s">
        <v>765</v>
      </c>
      <c r="D724" s="3" t="s">
        <v>309</v>
      </c>
      <c r="E724" s="3" t="str">
        <v>Avry</v>
      </c>
      <c r="I724" s="19">
        <v>2535</v>
      </c>
      <c r="J724" s="19" t="s">
        <v>4550</v>
      </c>
    </row>
    <row r="725" spans="1:10" x14ac:dyDescent="0.2">
      <c r="A725" s="3">
        <v>3783</v>
      </c>
      <c r="B725" s="3" t="s">
        <v>770</v>
      </c>
      <c r="C725" s="3" t="s">
        <v>765</v>
      </c>
      <c r="D725" s="3" t="s">
        <v>309</v>
      </c>
      <c r="E725" s="3" t="str">
        <v>Belfaux</v>
      </c>
      <c r="I725" s="19">
        <v>2536</v>
      </c>
      <c r="J725" s="19" t="s">
        <v>4550</v>
      </c>
    </row>
    <row r="726" spans="1:10" x14ac:dyDescent="0.2">
      <c r="A726" s="3">
        <v>3792</v>
      </c>
      <c r="B726" s="3" t="s">
        <v>765</v>
      </c>
      <c r="C726" s="3" t="s">
        <v>765</v>
      </c>
      <c r="D726" s="3" t="s">
        <v>309</v>
      </c>
      <c r="E726" s="3" t="str">
        <v>Chénens</v>
      </c>
      <c r="I726" s="19">
        <v>2537</v>
      </c>
      <c r="J726" s="19" t="s">
        <v>4551</v>
      </c>
    </row>
    <row r="727" spans="1:10" x14ac:dyDescent="0.2">
      <c r="A727" s="3">
        <v>1738</v>
      </c>
      <c r="B727" s="3" t="s">
        <v>771</v>
      </c>
      <c r="C727" s="3" t="s">
        <v>772</v>
      </c>
      <c r="D727" s="3" t="s">
        <v>309</v>
      </c>
      <c r="E727" s="3" t="str">
        <v>Corminboeuf</v>
      </c>
      <c r="I727" s="19">
        <v>2538</v>
      </c>
      <c r="J727" s="19" t="s">
        <v>4546</v>
      </c>
    </row>
    <row r="728" spans="1:10" x14ac:dyDescent="0.2">
      <c r="A728" s="3">
        <v>3156</v>
      </c>
      <c r="B728" s="3" t="s">
        <v>773</v>
      </c>
      <c r="C728" s="3" t="s">
        <v>772</v>
      </c>
      <c r="D728" s="3" t="s">
        <v>309</v>
      </c>
      <c r="E728" s="3" t="str">
        <v>Cottens (FR)</v>
      </c>
      <c r="I728" s="19">
        <v>2540</v>
      </c>
      <c r="J728" s="19" t="s">
        <v>4546</v>
      </c>
    </row>
    <row r="729" spans="1:10" x14ac:dyDescent="0.2">
      <c r="A729" s="3">
        <v>3158</v>
      </c>
      <c r="B729" s="3" t="s">
        <v>772</v>
      </c>
      <c r="C729" s="3" t="s">
        <v>772</v>
      </c>
      <c r="D729" s="3" t="s">
        <v>309</v>
      </c>
      <c r="E729" s="3" t="str">
        <v>Ferpicloz</v>
      </c>
      <c r="I729" s="19">
        <v>2542</v>
      </c>
      <c r="J729" s="19" t="s">
        <v>4546</v>
      </c>
    </row>
    <row r="730" spans="1:10" x14ac:dyDescent="0.2">
      <c r="A730" s="3">
        <v>3159</v>
      </c>
      <c r="B730" s="3" t="s">
        <v>774</v>
      </c>
      <c r="C730" s="3" t="s">
        <v>772</v>
      </c>
      <c r="D730" s="3" t="s">
        <v>309</v>
      </c>
      <c r="E730" s="3" t="str">
        <v>Fribourg</v>
      </c>
      <c r="I730" s="19">
        <v>2543</v>
      </c>
      <c r="J730" s="19" t="s">
        <v>4546</v>
      </c>
    </row>
    <row r="731" spans="1:10" x14ac:dyDescent="0.2">
      <c r="A731" s="3">
        <v>3153</v>
      </c>
      <c r="B731" s="3" t="s">
        <v>775</v>
      </c>
      <c r="C731" s="3" t="s">
        <v>776</v>
      </c>
      <c r="D731" s="3" t="s">
        <v>309</v>
      </c>
      <c r="E731" s="3" t="str">
        <v>Givisiez</v>
      </c>
      <c r="I731" s="19">
        <v>2544</v>
      </c>
      <c r="J731" s="19" t="s">
        <v>4546</v>
      </c>
    </row>
    <row r="732" spans="1:10" x14ac:dyDescent="0.2">
      <c r="A732" s="3">
        <v>3154</v>
      </c>
      <c r="B732" s="3" t="s">
        <v>777</v>
      </c>
      <c r="C732" s="3" t="s">
        <v>776</v>
      </c>
      <c r="D732" s="3" t="s">
        <v>309</v>
      </c>
      <c r="E732" s="3" t="str">
        <v>Granges-Paccot</v>
      </c>
      <c r="I732" s="19">
        <v>2545</v>
      </c>
      <c r="J732" s="19" t="s">
        <v>4546</v>
      </c>
    </row>
    <row r="733" spans="1:10" x14ac:dyDescent="0.2">
      <c r="A733" s="3">
        <v>3148</v>
      </c>
      <c r="B733" s="3" t="s">
        <v>778</v>
      </c>
      <c r="C733" s="3" t="s">
        <v>779</v>
      </c>
      <c r="D733" s="3" t="s">
        <v>309</v>
      </c>
      <c r="E733" s="3" t="str">
        <v>Grolley</v>
      </c>
      <c r="I733" s="19">
        <v>2552</v>
      </c>
      <c r="J733" s="19" t="s">
        <v>4546</v>
      </c>
    </row>
    <row r="734" spans="1:10" x14ac:dyDescent="0.2">
      <c r="A734" s="3">
        <v>3150</v>
      </c>
      <c r="B734" s="3" t="s">
        <v>779</v>
      </c>
      <c r="C734" s="3" t="s">
        <v>779</v>
      </c>
      <c r="D734" s="3" t="s">
        <v>309</v>
      </c>
      <c r="E734" s="3" t="str">
        <v>Marly</v>
      </c>
      <c r="I734" s="19">
        <v>2553</v>
      </c>
      <c r="J734" s="19" t="s">
        <v>4546</v>
      </c>
    </row>
    <row r="735" spans="1:10" x14ac:dyDescent="0.2">
      <c r="A735" s="3">
        <v>3152</v>
      </c>
      <c r="B735" s="3" t="s">
        <v>780</v>
      </c>
      <c r="C735" s="3" t="s">
        <v>779</v>
      </c>
      <c r="D735" s="3" t="s">
        <v>309</v>
      </c>
      <c r="E735" s="3" t="str">
        <v>Matran</v>
      </c>
      <c r="I735" s="19">
        <v>2554</v>
      </c>
      <c r="J735" s="19" t="s">
        <v>4546</v>
      </c>
    </row>
    <row r="736" spans="1:10" x14ac:dyDescent="0.2">
      <c r="A736" s="3">
        <v>3157</v>
      </c>
      <c r="B736" s="3" t="s">
        <v>781</v>
      </c>
      <c r="C736" s="3" t="s">
        <v>779</v>
      </c>
      <c r="D736" s="3" t="s">
        <v>309</v>
      </c>
      <c r="E736" s="3" t="str">
        <v>Neyruz (FR)</v>
      </c>
      <c r="I736" s="19">
        <v>2555</v>
      </c>
      <c r="J736" s="19" t="s">
        <v>4546</v>
      </c>
    </row>
    <row r="737" spans="1:10" x14ac:dyDescent="0.2">
      <c r="A737" s="3">
        <v>3183</v>
      </c>
      <c r="B737" s="3" t="s">
        <v>782</v>
      </c>
      <c r="C737" s="3" t="s">
        <v>779</v>
      </c>
      <c r="D737" s="3" t="s">
        <v>309</v>
      </c>
      <c r="E737" s="3" t="str">
        <v>Pierrafortscha</v>
      </c>
      <c r="I737" s="19">
        <v>2556</v>
      </c>
      <c r="J737" s="19" t="s">
        <v>4546</v>
      </c>
    </row>
    <row r="738" spans="1:10" x14ac:dyDescent="0.2">
      <c r="A738" s="3">
        <v>3123</v>
      </c>
      <c r="B738" s="3" t="s">
        <v>783</v>
      </c>
      <c r="C738" s="3" t="s">
        <v>783</v>
      </c>
      <c r="D738" s="3" t="s">
        <v>309</v>
      </c>
      <c r="E738" s="3" t="str">
        <v>Ponthaux</v>
      </c>
      <c r="I738" s="19">
        <v>2557</v>
      </c>
      <c r="J738" s="19" t="s">
        <v>4546</v>
      </c>
    </row>
    <row r="739" spans="1:10" x14ac:dyDescent="0.2">
      <c r="A739" s="3">
        <v>3124</v>
      </c>
      <c r="B739" s="3" t="s">
        <v>784</v>
      </c>
      <c r="C739" s="3" t="s">
        <v>783</v>
      </c>
      <c r="D739" s="3" t="s">
        <v>309</v>
      </c>
      <c r="E739" s="3" t="str">
        <v>Le Mouret</v>
      </c>
      <c r="I739" s="19">
        <v>2558</v>
      </c>
      <c r="J739" s="19" t="s">
        <v>4546</v>
      </c>
    </row>
    <row r="740" spans="1:10" x14ac:dyDescent="0.2">
      <c r="A740" s="3">
        <v>3664</v>
      </c>
      <c r="B740" s="3" t="s">
        <v>785</v>
      </c>
      <c r="C740" s="3" t="s">
        <v>785</v>
      </c>
      <c r="D740" s="3" t="s">
        <v>309</v>
      </c>
      <c r="E740" s="3" t="str">
        <v>Treyvaux</v>
      </c>
      <c r="I740" s="19">
        <v>2560</v>
      </c>
      <c r="J740" s="19" t="s">
        <v>4546</v>
      </c>
    </row>
    <row r="741" spans="1:10" x14ac:dyDescent="0.2">
      <c r="A741" s="3">
        <v>3115</v>
      </c>
      <c r="B741" s="3" t="s">
        <v>786</v>
      </c>
      <c r="C741" s="3" t="s">
        <v>786</v>
      </c>
      <c r="D741" s="3" t="s">
        <v>309</v>
      </c>
      <c r="E741" s="3" t="str">
        <v>Villars-sur-Glâne</v>
      </c>
      <c r="I741" s="19">
        <v>2562</v>
      </c>
      <c r="J741" s="19" t="s">
        <v>4546</v>
      </c>
    </row>
    <row r="742" spans="1:10" x14ac:dyDescent="0.2">
      <c r="A742" s="3">
        <v>3663</v>
      </c>
      <c r="B742" s="3" t="s">
        <v>787</v>
      </c>
      <c r="C742" s="3" t="s">
        <v>787</v>
      </c>
      <c r="D742" s="3" t="s">
        <v>309</v>
      </c>
      <c r="E742" s="3" t="str">
        <v>Villarsel-sur-Marly</v>
      </c>
      <c r="I742" s="19">
        <v>2563</v>
      </c>
      <c r="J742" s="19" t="s">
        <v>4546</v>
      </c>
    </row>
    <row r="743" spans="1:10" x14ac:dyDescent="0.2">
      <c r="A743" s="3">
        <v>3629</v>
      </c>
      <c r="B743" s="3" t="s">
        <v>788</v>
      </c>
      <c r="C743" s="3" t="s">
        <v>788</v>
      </c>
      <c r="D743" s="3" t="s">
        <v>309</v>
      </c>
      <c r="E743" s="3" t="str">
        <v>Hauterive (FR)</v>
      </c>
      <c r="I743" s="19">
        <v>2564</v>
      </c>
      <c r="J743" s="19" t="s">
        <v>4546</v>
      </c>
    </row>
    <row r="744" spans="1:10" x14ac:dyDescent="0.2">
      <c r="A744" s="3">
        <v>3126</v>
      </c>
      <c r="B744" s="3" t="s">
        <v>789</v>
      </c>
      <c r="C744" s="3" t="s">
        <v>789</v>
      </c>
      <c r="D744" s="3" t="s">
        <v>309</v>
      </c>
      <c r="E744" s="3" t="str">
        <v>La Brillaz</v>
      </c>
      <c r="I744" s="19">
        <v>2565</v>
      </c>
      <c r="J744" s="19" t="s">
        <v>4546</v>
      </c>
    </row>
    <row r="745" spans="1:10" x14ac:dyDescent="0.2">
      <c r="A745" s="3">
        <v>3122</v>
      </c>
      <c r="B745" s="3" t="s">
        <v>790</v>
      </c>
      <c r="C745" s="3" t="s">
        <v>790</v>
      </c>
      <c r="D745" s="3" t="s">
        <v>309</v>
      </c>
      <c r="E745" s="3" t="str">
        <v>La Sonnaz</v>
      </c>
      <c r="I745" s="19">
        <v>2572</v>
      </c>
      <c r="J745" s="19" t="s">
        <v>4546</v>
      </c>
    </row>
    <row r="746" spans="1:10" x14ac:dyDescent="0.2">
      <c r="A746" s="3">
        <v>3116</v>
      </c>
      <c r="B746" s="3" t="s">
        <v>791</v>
      </c>
      <c r="C746" s="3" t="s">
        <v>792</v>
      </c>
      <c r="D746" s="3" t="s">
        <v>309</v>
      </c>
      <c r="E746" s="3" t="str">
        <v>Gibloux</v>
      </c>
      <c r="I746" s="19">
        <v>2575</v>
      </c>
      <c r="J746" s="19" t="s">
        <v>4546</v>
      </c>
    </row>
    <row r="747" spans="1:10" x14ac:dyDescent="0.2">
      <c r="A747" s="3">
        <v>3116</v>
      </c>
      <c r="B747" s="3" t="s">
        <v>793</v>
      </c>
      <c r="C747" s="3" t="s">
        <v>792</v>
      </c>
      <c r="D747" s="3" t="s">
        <v>309</v>
      </c>
      <c r="E747" s="3" t="str">
        <v>Prez</v>
      </c>
      <c r="I747" s="19">
        <v>2576</v>
      </c>
      <c r="J747" s="19" t="s">
        <v>4546</v>
      </c>
    </row>
    <row r="748" spans="1:10" x14ac:dyDescent="0.2">
      <c r="A748" s="3">
        <v>3116</v>
      </c>
      <c r="B748" s="3" t="s">
        <v>794</v>
      </c>
      <c r="C748" s="3" t="s">
        <v>792</v>
      </c>
      <c r="D748" s="3" t="s">
        <v>309</v>
      </c>
      <c r="E748" s="3" t="str">
        <v>Bois-d'Amont</v>
      </c>
      <c r="I748" s="19">
        <v>2577</v>
      </c>
      <c r="J748" s="19" t="s">
        <v>4546</v>
      </c>
    </row>
    <row r="749" spans="1:10" x14ac:dyDescent="0.2">
      <c r="A749" s="3">
        <v>3126</v>
      </c>
      <c r="B749" s="3" t="s">
        <v>795</v>
      </c>
      <c r="C749" s="3" t="s">
        <v>792</v>
      </c>
      <c r="D749" s="3" t="s">
        <v>309</v>
      </c>
      <c r="E749" s="3" t="str">
        <v>Courgevaux</v>
      </c>
      <c r="I749" s="19">
        <v>2603</v>
      </c>
      <c r="J749" s="19" t="s">
        <v>4550</v>
      </c>
    </row>
    <row r="750" spans="1:10" x14ac:dyDescent="0.2">
      <c r="A750" s="3">
        <v>3087</v>
      </c>
      <c r="B750" s="3" t="s">
        <v>796</v>
      </c>
      <c r="C750" s="3" t="s">
        <v>796</v>
      </c>
      <c r="D750" s="3" t="s">
        <v>309</v>
      </c>
      <c r="E750" s="3" t="str">
        <v>Courtepin</v>
      </c>
      <c r="I750" s="19">
        <v>2604</v>
      </c>
      <c r="J750" s="19" t="s">
        <v>4550</v>
      </c>
    </row>
    <row r="751" spans="1:10" x14ac:dyDescent="0.2">
      <c r="A751" s="3">
        <v>3099</v>
      </c>
      <c r="B751" s="3" t="s">
        <v>797</v>
      </c>
      <c r="C751" s="3" t="s">
        <v>798</v>
      </c>
      <c r="D751" s="3" t="s">
        <v>309</v>
      </c>
      <c r="E751" s="3" t="str">
        <v>Cressier (FR)</v>
      </c>
      <c r="I751" s="19">
        <v>2605</v>
      </c>
      <c r="J751" s="19" t="s">
        <v>4550</v>
      </c>
    </row>
    <row r="752" spans="1:10" x14ac:dyDescent="0.2">
      <c r="A752" s="3">
        <v>3128</v>
      </c>
      <c r="B752" s="3" t="s">
        <v>799</v>
      </c>
      <c r="C752" s="3" t="s">
        <v>798</v>
      </c>
      <c r="D752" s="3" t="s">
        <v>309</v>
      </c>
      <c r="E752" s="3" t="str">
        <v>Fräschels</v>
      </c>
      <c r="I752" s="19">
        <v>2606</v>
      </c>
      <c r="J752" s="19" t="s">
        <v>4550</v>
      </c>
    </row>
    <row r="753" spans="1:10" x14ac:dyDescent="0.2">
      <c r="A753" s="3">
        <v>3132</v>
      </c>
      <c r="B753" s="3" t="s">
        <v>798</v>
      </c>
      <c r="C753" s="3" t="s">
        <v>798</v>
      </c>
      <c r="D753" s="3" t="s">
        <v>309</v>
      </c>
      <c r="E753" s="3" t="str">
        <v>Greng</v>
      </c>
      <c r="I753" s="19">
        <v>2607</v>
      </c>
      <c r="J753" s="19" t="s">
        <v>4550</v>
      </c>
    </row>
    <row r="754" spans="1:10" x14ac:dyDescent="0.2">
      <c r="A754" s="3">
        <v>3088</v>
      </c>
      <c r="B754" s="3" t="s">
        <v>800</v>
      </c>
      <c r="C754" s="3" t="s">
        <v>800</v>
      </c>
      <c r="D754" s="3" t="s">
        <v>309</v>
      </c>
      <c r="E754" s="3" t="str">
        <v>Gurmels</v>
      </c>
      <c r="I754" s="19">
        <v>2608</v>
      </c>
      <c r="J754" s="19" t="s">
        <v>4550</v>
      </c>
    </row>
    <row r="755" spans="1:10" x14ac:dyDescent="0.2">
      <c r="A755" s="3">
        <v>3088</v>
      </c>
      <c r="B755" s="3" t="s">
        <v>801</v>
      </c>
      <c r="C755" s="3" t="s">
        <v>800</v>
      </c>
      <c r="D755" s="3" t="s">
        <v>309</v>
      </c>
      <c r="E755" s="3" t="str">
        <v>Kerzers</v>
      </c>
      <c r="I755" s="19">
        <v>2610</v>
      </c>
      <c r="J755" s="19" t="s">
        <v>4550</v>
      </c>
    </row>
    <row r="756" spans="1:10" x14ac:dyDescent="0.2">
      <c r="A756" s="3">
        <v>3089</v>
      </c>
      <c r="B756" s="3" t="s">
        <v>802</v>
      </c>
      <c r="C756" s="3" t="s">
        <v>800</v>
      </c>
      <c r="D756" s="3" t="s">
        <v>309</v>
      </c>
      <c r="E756" s="3" t="str">
        <v>Kleinbösingen</v>
      </c>
      <c r="I756" s="19">
        <v>2612</v>
      </c>
      <c r="J756" s="19" t="s">
        <v>4550</v>
      </c>
    </row>
    <row r="757" spans="1:10" x14ac:dyDescent="0.2">
      <c r="A757" s="3">
        <v>3155</v>
      </c>
      <c r="B757" s="3" t="s">
        <v>803</v>
      </c>
      <c r="C757" s="3" t="s">
        <v>800</v>
      </c>
      <c r="D757" s="3" t="s">
        <v>309</v>
      </c>
      <c r="E757" s="3" t="str">
        <v>Meyriez</v>
      </c>
      <c r="I757" s="19">
        <v>2613</v>
      </c>
      <c r="J757" s="19" t="s">
        <v>4550</v>
      </c>
    </row>
    <row r="758" spans="1:10" x14ac:dyDescent="0.2">
      <c r="A758" s="3">
        <v>3662</v>
      </c>
      <c r="B758" s="3" t="s">
        <v>804</v>
      </c>
      <c r="C758" s="3" t="s">
        <v>804</v>
      </c>
      <c r="D758" s="3" t="s">
        <v>309</v>
      </c>
      <c r="E758" s="3" t="str">
        <v>Misery-Courtion</v>
      </c>
      <c r="I758" s="19">
        <v>2615</v>
      </c>
      <c r="J758" s="19" t="s">
        <v>4550</v>
      </c>
    </row>
    <row r="759" spans="1:10" x14ac:dyDescent="0.2">
      <c r="A759" s="3">
        <v>3125</v>
      </c>
      <c r="B759" s="3" t="s">
        <v>805</v>
      </c>
      <c r="C759" s="3" t="s">
        <v>805</v>
      </c>
      <c r="D759" s="3" t="s">
        <v>309</v>
      </c>
      <c r="E759" s="3" t="str">
        <v>Muntelier</v>
      </c>
      <c r="I759" s="19">
        <v>2616</v>
      </c>
      <c r="J759" s="19" t="s">
        <v>4550</v>
      </c>
    </row>
    <row r="760" spans="1:10" x14ac:dyDescent="0.2">
      <c r="A760" s="3">
        <v>3628</v>
      </c>
      <c r="B760" s="3" t="s">
        <v>806</v>
      </c>
      <c r="C760" s="3" t="s">
        <v>806</v>
      </c>
      <c r="D760" s="3" t="s">
        <v>309</v>
      </c>
      <c r="E760" s="3" t="str">
        <v>Murten</v>
      </c>
      <c r="I760" s="19">
        <v>2710</v>
      </c>
      <c r="J760" s="19" t="s">
        <v>4550</v>
      </c>
    </row>
    <row r="761" spans="1:10" x14ac:dyDescent="0.2">
      <c r="A761" s="3">
        <v>3665</v>
      </c>
      <c r="B761" s="3" t="s">
        <v>807</v>
      </c>
      <c r="C761" s="3" t="s">
        <v>807</v>
      </c>
      <c r="D761" s="3" t="s">
        <v>309</v>
      </c>
      <c r="E761" s="3" t="str">
        <v>Ried bei Kerzers</v>
      </c>
      <c r="I761" s="19">
        <v>2712</v>
      </c>
      <c r="J761" s="19" t="s">
        <v>4550</v>
      </c>
    </row>
    <row r="762" spans="1:10" x14ac:dyDescent="0.2">
      <c r="A762" s="3">
        <v>3086</v>
      </c>
      <c r="B762" s="3" t="s">
        <v>808</v>
      </c>
      <c r="C762" s="3" t="s">
        <v>809</v>
      </c>
      <c r="D762" s="3" t="s">
        <v>309</v>
      </c>
      <c r="E762" s="3" t="str">
        <v>Ulmiz</v>
      </c>
      <c r="I762" s="19">
        <v>2713</v>
      </c>
      <c r="J762" s="19" t="s">
        <v>4550</v>
      </c>
    </row>
    <row r="763" spans="1:10" x14ac:dyDescent="0.2">
      <c r="A763" s="3">
        <v>3086</v>
      </c>
      <c r="B763" s="3" t="s">
        <v>810</v>
      </c>
      <c r="C763" s="3" t="s">
        <v>809</v>
      </c>
      <c r="D763" s="3" t="s">
        <v>309</v>
      </c>
      <c r="E763" s="3" t="str">
        <v>Mont-Vully</v>
      </c>
      <c r="I763" s="19">
        <v>2714</v>
      </c>
      <c r="J763" s="19" t="s">
        <v>4550</v>
      </c>
    </row>
    <row r="764" spans="1:10" x14ac:dyDescent="0.2">
      <c r="A764" s="3">
        <v>3127</v>
      </c>
      <c r="B764" s="3" t="s">
        <v>811</v>
      </c>
      <c r="C764" s="3" t="s">
        <v>812</v>
      </c>
      <c r="D764" s="3" t="s">
        <v>309</v>
      </c>
      <c r="E764" s="3" t="str">
        <v>Brünisried</v>
      </c>
      <c r="I764" s="19">
        <v>2715</v>
      </c>
      <c r="J764" s="19" t="s">
        <v>4550</v>
      </c>
    </row>
    <row r="765" spans="1:10" x14ac:dyDescent="0.2">
      <c r="A765" s="3">
        <v>3127</v>
      </c>
      <c r="B765" s="3" t="s">
        <v>813</v>
      </c>
      <c r="C765" s="3" t="s">
        <v>812</v>
      </c>
      <c r="D765" s="3" t="s">
        <v>309</v>
      </c>
      <c r="E765" s="3" t="str">
        <v>Düdingen</v>
      </c>
      <c r="I765" s="19">
        <v>2716</v>
      </c>
      <c r="J765" s="19" t="s">
        <v>4550</v>
      </c>
    </row>
    <row r="766" spans="1:10" x14ac:dyDescent="0.2">
      <c r="A766" s="3">
        <v>3128</v>
      </c>
      <c r="B766" s="3" t="s">
        <v>814</v>
      </c>
      <c r="C766" s="3" t="s">
        <v>812</v>
      </c>
      <c r="D766" s="3" t="s">
        <v>309</v>
      </c>
      <c r="E766" s="3" t="str">
        <v>Giffers</v>
      </c>
      <c r="I766" s="19">
        <v>2717</v>
      </c>
      <c r="J766" s="19" t="s">
        <v>4550</v>
      </c>
    </row>
    <row r="767" spans="1:10" x14ac:dyDescent="0.2">
      <c r="A767" s="3">
        <v>3536</v>
      </c>
      <c r="B767" s="3" t="s">
        <v>815</v>
      </c>
      <c r="C767" s="3" t="s">
        <v>816</v>
      </c>
      <c r="D767" s="3" t="s">
        <v>309</v>
      </c>
      <c r="E767" s="3" t="str">
        <v>Bösingen</v>
      </c>
      <c r="I767" s="19">
        <v>2718</v>
      </c>
      <c r="J767" s="19" t="s">
        <v>4550</v>
      </c>
    </row>
    <row r="768" spans="1:10" x14ac:dyDescent="0.2">
      <c r="A768" s="3">
        <v>3537</v>
      </c>
      <c r="B768" s="3" t="s">
        <v>816</v>
      </c>
      <c r="C768" s="3" t="s">
        <v>816</v>
      </c>
      <c r="D768" s="3" t="s">
        <v>309</v>
      </c>
      <c r="E768" s="3" t="str">
        <v>Heitenried</v>
      </c>
      <c r="I768" s="19">
        <v>2720</v>
      </c>
      <c r="J768" s="19" t="s">
        <v>4550</v>
      </c>
    </row>
    <row r="769" spans="1:10" x14ac:dyDescent="0.2">
      <c r="A769" s="3">
        <v>3550</v>
      </c>
      <c r="B769" s="3" t="s">
        <v>817</v>
      </c>
      <c r="C769" s="3" t="s">
        <v>817</v>
      </c>
      <c r="D769" s="3" t="s">
        <v>309</v>
      </c>
      <c r="E769" s="3" t="str">
        <v>Plaffeien</v>
      </c>
      <c r="I769" s="19">
        <v>2722</v>
      </c>
      <c r="J769" s="19" t="s">
        <v>4550</v>
      </c>
    </row>
    <row r="770" spans="1:10" x14ac:dyDescent="0.2">
      <c r="A770" s="3">
        <v>3551</v>
      </c>
      <c r="B770" s="3" t="s">
        <v>818</v>
      </c>
      <c r="C770" s="3" t="s">
        <v>817</v>
      </c>
      <c r="D770" s="3" t="s">
        <v>309</v>
      </c>
      <c r="E770" s="3" t="str">
        <v>Plasselb</v>
      </c>
      <c r="I770" s="19">
        <v>2723</v>
      </c>
      <c r="J770" s="19" t="s">
        <v>4550</v>
      </c>
    </row>
    <row r="771" spans="1:10" x14ac:dyDescent="0.2">
      <c r="A771" s="3">
        <v>3552</v>
      </c>
      <c r="B771" s="3" t="s">
        <v>819</v>
      </c>
      <c r="C771" s="3" t="s">
        <v>817</v>
      </c>
      <c r="D771" s="3" t="s">
        <v>309</v>
      </c>
      <c r="E771" s="3" t="str">
        <v>Rechthalten</v>
      </c>
      <c r="I771" s="19">
        <v>2732</v>
      </c>
      <c r="J771" s="19" t="s">
        <v>4550</v>
      </c>
    </row>
    <row r="772" spans="1:10" x14ac:dyDescent="0.2">
      <c r="A772" s="3">
        <v>3553</v>
      </c>
      <c r="B772" s="3" t="s">
        <v>820</v>
      </c>
      <c r="C772" s="3" t="s">
        <v>817</v>
      </c>
      <c r="D772" s="3" t="s">
        <v>309</v>
      </c>
      <c r="E772" s="3" t="str">
        <v>St. Silvester</v>
      </c>
      <c r="I772" s="19">
        <v>2733</v>
      </c>
      <c r="J772" s="19" t="s">
        <v>4551</v>
      </c>
    </row>
    <row r="773" spans="1:10" x14ac:dyDescent="0.2">
      <c r="A773" s="3">
        <v>3438</v>
      </c>
      <c r="B773" s="3" t="s">
        <v>821</v>
      </c>
      <c r="C773" s="3" t="s">
        <v>821</v>
      </c>
      <c r="D773" s="3" t="s">
        <v>309</v>
      </c>
      <c r="E773" s="3" t="str">
        <v>St. Ursen</v>
      </c>
      <c r="I773" s="19">
        <v>2735</v>
      </c>
      <c r="J773" s="19" t="s">
        <v>4551</v>
      </c>
    </row>
    <row r="774" spans="1:10" x14ac:dyDescent="0.2">
      <c r="A774" s="3">
        <v>3543</v>
      </c>
      <c r="B774" s="3" t="s">
        <v>822</v>
      </c>
      <c r="C774" s="3" t="s">
        <v>821</v>
      </c>
      <c r="D774" s="3" t="s">
        <v>309</v>
      </c>
      <c r="E774" s="3" t="str">
        <v>Schmitten (FR)</v>
      </c>
      <c r="I774" s="19">
        <v>2736</v>
      </c>
      <c r="J774" s="19" t="s">
        <v>4551</v>
      </c>
    </row>
    <row r="775" spans="1:10" x14ac:dyDescent="0.2">
      <c r="A775" s="3">
        <v>3538</v>
      </c>
      <c r="B775" s="3" t="s">
        <v>823</v>
      </c>
      <c r="C775" s="3" t="s">
        <v>823</v>
      </c>
      <c r="D775" s="3" t="s">
        <v>309</v>
      </c>
      <c r="E775" s="3" t="str">
        <v>Tafers</v>
      </c>
      <c r="I775" s="19">
        <v>2738</v>
      </c>
      <c r="J775" s="19" t="s">
        <v>4551</v>
      </c>
    </row>
    <row r="776" spans="1:10" x14ac:dyDescent="0.2">
      <c r="A776" s="3">
        <v>3433</v>
      </c>
      <c r="B776" s="3" t="s">
        <v>824</v>
      </c>
      <c r="C776" s="3" t="s">
        <v>825</v>
      </c>
      <c r="D776" s="3" t="s">
        <v>309</v>
      </c>
      <c r="E776" s="3" t="str">
        <v>Tentlingen</v>
      </c>
      <c r="I776" s="19">
        <v>2740</v>
      </c>
      <c r="J776" s="19" t="s">
        <v>4551</v>
      </c>
    </row>
    <row r="777" spans="1:10" x14ac:dyDescent="0.2">
      <c r="A777" s="3">
        <v>3436</v>
      </c>
      <c r="B777" s="3" t="s">
        <v>826</v>
      </c>
      <c r="C777" s="3" t="s">
        <v>825</v>
      </c>
      <c r="D777" s="3" t="s">
        <v>309</v>
      </c>
      <c r="E777" s="3" t="str">
        <v>Ueberstorf</v>
      </c>
      <c r="I777" s="19">
        <v>2742</v>
      </c>
      <c r="J777" s="19" t="s">
        <v>4551</v>
      </c>
    </row>
    <row r="778" spans="1:10" x14ac:dyDescent="0.2">
      <c r="A778" s="3">
        <v>3437</v>
      </c>
      <c r="B778" s="3" t="s">
        <v>825</v>
      </c>
      <c r="C778" s="3" t="s">
        <v>825</v>
      </c>
      <c r="D778" s="3" t="s">
        <v>309</v>
      </c>
      <c r="E778" s="3" t="str">
        <v>Wünnewil-Flamatt</v>
      </c>
      <c r="I778" s="19">
        <v>2743</v>
      </c>
      <c r="J778" s="19" t="s">
        <v>4551</v>
      </c>
    </row>
    <row r="779" spans="1:10" x14ac:dyDescent="0.2">
      <c r="A779" s="3">
        <v>6197</v>
      </c>
      <c r="B779" s="3" t="s">
        <v>827</v>
      </c>
      <c r="C779" s="3" t="s">
        <v>827</v>
      </c>
      <c r="D779" s="3" t="s">
        <v>309</v>
      </c>
      <c r="E779" s="3" t="str">
        <v>Attalens</v>
      </c>
      <c r="I779" s="19">
        <v>2744</v>
      </c>
      <c r="J779" s="19" t="s">
        <v>4551</v>
      </c>
    </row>
    <row r="780" spans="1:10" x14ac:dyDescent="0.2">
      <c r="A780" s="3">
        <v>3534</v>
      </c>
      <c r="B780" s="3" t="s">
        <v>828</v>
      </c>
      <c r="C780" s="3" t="s">
        <v>828</v>
      </c>
      <c r="D780" s="3" t="s">
        <v>309</v>
      </c>
      <c r="E780" s="3" t="str">
        <v>Bossonnens</v>
      </c>
      <c r="I780" s="19">
        <v>2745</v>
      </c>
      <c r="J780" s="19" t="s">
        <v>4551</v>
      </c>
    </row>
    <row r="781" spans="1:10" x14ac:dyDescent="0.2">
      <c r="A781" s="3">
        <v>3535</v>
      </c>
      <c r="B781" s="3" t="s">
        <v>829</v>
      </c>
      <c r="C781" s="3" t="s">
        <v>828</v>
      </c>
      <c r="D781" s="3" t="s">
        <v>309</v>
      </c>
      <c r="E781" s="3" t="str">
        <v>Châtel-Saint-Denis</v>
      </c>
      <c r="I781" s="19">
        <v>2746</v>
      </c>
      <c r="J781" s="19" t="s">
        <v>4551</v>
      </c>
    </row>
    <row r="782" spans="1:10" x14ac:dyDescent="0.2">
      <c r="A782" s="3">
        <v>3556</v>
      </c>
      <c r="B782" s="3" t="s">
        <v>830</v>
      </c>
      <c r="C782" s="3" t="s">
        <v>830</v>
      </c>
      <c r="D782" s="3" t="s">
        <v>309</v>
      </c>
      <c r="E782" s="3" t="str">
        <v>Granges (Veveyse)</v>
      </c>
      <c r="I782" s="19">
        <v>2747</v>
      </c>
      <c r="J782" s="19" t="s">
        <v>4551</v>
      </c>
    </row>
    <row r="783" spans="1:10" x14ac:dyDescent="0.2">
      <c r="A783" s="3">
        <v>3557</v>
      </c>
      <c r="B783" s="3" t="s">
        <v>831</v>
      </c>
      <c r="C783" s="3" t="s">
        <v>830</v>
      </c>
      <c r="D783" s="3" t="s">
        <v>309</v>
      </c>
      <c r="E783" s="3" t="str">
        <v>Remaufens</v>
      </c>
      <c r="I783" s="19">
        <v>2748</v>
      </c>
      <c r="J783" s="19" t="s">
        <v>4550</v>
      </c>
    </row>
    <row r="784" spans="1:10" x14ac:dyDescent="0.2">
      <c r="A784" s="3">
        <v>3555</v>
      </c>
      <c r="B784" s="3" t="s">
        <v>832</v>
      </c>
      <c r="C784" s="3" t="s">
        <v>832</v>
      </c>
      <c r="D784" s="3" t="s">
        <v>309</v>
      </c>
      <c r="E784" s="3" t="str">
        <v>Saint-Martin (FR)</v>
      </c>
      <c r="I784" s="19">
        <v>2762</v>
      </c>
      <c r="J784" s="19" t="s">
        <v>4551</v>
      </c>
    </row>
    <row r="785" spans="1:10" x14ac:dyDescent="0.2">
      <c r="A785" s="3">
        <v>3633</v>
      </c>
      <c r="B785" s="3" t="s">
        <v>833</v>
      </c>
      <c r="C785" s="3" t="s">
        <v>833</v>
      </c>
      <c r="D785" s="3" t="s">
        <v>309</v>
      </c>
      <c r="E785" s="3" t="str">
        <v>Semsales</v>
      </c>
      <c r="I785" s="19">
        <v>2800</v>
      </c>
      <c r="J785" s="19" t="s">
        <v>4551</v>
      </c>
    </row>
    <row r="786" spans="1:10" x14ac:dyDescent="0.2">
      <c r="A786" s="3">
        <v>3638</v>
      </c>
      <c r="B786" s="3" t="s">
        <v>834</v>
      </c>
      <c r="C786" s="3" t="s">
        <v>834</v>
      </c>
      <c r="D786" s="3" t="s">
        <v>309</v>
      </c>
      <c r="E786" s="3" t="str">
        <v>Le Flon</v>
      </c>
      <c r="I786" s="19">
        <v>2802</v>
      </c>
      <c r="J786" s="19" t="s">
        <v>4551</v>
      </c>
    </row>
    <row r="787" spans="1:10" x14ac:dyDescent="0.2">
      <c r="A787" s="3">
        <v>3615</v>
      </c>
      <c r="B787" s="3" t="s">
        <v>835</v>
      </c>
      <c r="C787" s="3" t="s">
        <v>836</v>
      </c>
      <c r="D787" s="3" t="s">
        <v>309</v>
      </c>
      <c r="E787" s="3" t="str">
        <v>La Verrerie</v>
      </c>
      <c r="I787" s="19">
        <v>2803</v>
      </c>
      <c r="J787" s="19" t="s">
        <v>4551</v>
      </c>
    </row>
    <row r="788" spans="1:10" x14ac:dyDescent="0.2">
      <c r="A788" s="3">
        <v>3619</v>
      </c>
      <c r="B788" s="3" t="s">
        <v>837</v>
      </c>
      <c r="C788" s="3" t="s">
        <v>837</v>
      </c>
      <c r="D788" s="3" t="s">
        <v>309</v>
      </c>
      <c r="E788" s="3" t="str">
        <v>Egerkingen</v>
      </c>
      <c r="I788" s="19">
        <v>2805</v>
      </c>
      <c r="J788" s="19" t="s">
        <v>4551</v>
      </c>
    </row>
    <row r="789" spans="1:10" x14ac:dyDescent="0.2">
      <c r="A789" s="3">
        <v>3617</v>
      </c>
      <c r="B789" s="3" t="s">
        <v>838</v>
      </c>
      <c r="C789" s="3" t="s">
        <v>839</v>
      </c>
      <c r="D789" s="3" t="s">
        <v>309</v>
      </c>
      <c r="E789" s="3" t="str">
        <v>Härkingen</v>
      </c>
      <c r="I789" s="19">
        <v>2806</v>
      </c>
      <c r="J789" s="19" t="s">
        <v>4551</v>
      </c>
    </row>
    <row r="790" spans="1:10" x14ac:dyDescent="0.2">
      <c r="A790" s="3">
        <v>3625</v>
      </c>
      <c r="B790" s="3" t="s">
        <v>840</v>
      </c>
      <c r="C790" s="3" t="s">
        <v>840</v>
      </c>
      <c r="D790" s="3" t="s">
        <v>309</v>
      </c>
      <c r="E790" s="3" t="str">
        <v>Kestenholz</v>
      </c>
      <c r="I790" s="19">
        <v>2807</v>
      </c>
      <c r="J790" s="19" t="s">
        <v>4552</v>
      </c>
    </row>
    <row r="791" spans="1:10" x14ac:dyDescent="0.2">
      <c r="A791" s="3">
        <v>3627</v>
      </c>
      <c r="B791" s="3" t="s">
        <v>841</v>
      </c>
      <c r="C791" s="3" t="s">
        <v>841</v>
      </c>
      <c r="D791" s="3" t="s">
        <v>309</v>
      </c>
      <c r="E791" s="3" t="str">
        <v>Neuendorf</v>
      </c>
      <c r="I791" s="19">
        <v>2812</v>
      </c>
      <c r="J791" s="19" t="s">
        <v>4552</v>
      </c>
    </row>
    <row r="792" spans="1:10" x14ac:dyDescent="0.2">
      <c r="A792" s="3">
        <v>3626</v>
      </c>
      <c r="B792" s="3" t="s">
        <v>842</v>
      </c>
      <c r="C792" s="3" t="s">
        <v>843</v>
      </c>
      <c r="D792" s="3" t="s">
        <v>309</v>
      </c>
      <c r="E792" s="3" t="str">
        <v>Niederbuchsiten</v>
      </c>
      <c r="I792" s="19">
        <v>2813</v>
      </c>
      <c r="J792" s="19" t="s">
        <v>4552</v>
      </c>
    </row>
    <row r="793" spans="1:10" x14ac:dyDescent="0.2">
      <c r="A793" s="3">
        <v>3652</v>
      </c>
      <c r="B793" s="3" t="s">
        <v>843</v>
      </c>
      <c r="C793" s="3" t="s">
        <v>843</v>
      </c>
      <c r="D793" s="3" t="s">
        <v>309</v>
      </c>
      <c r="E793" s="3" t="str">
        <v>Oberbuchsiten</v>
      </c>
      <c r="I793" s="19">
        <v>2814</v>
      </c>
      <c r="J793" s="19" t="s">
        <v>4552</v>
      </c>
    </row>
    <row r="794" spans="1:10" x14ac:dyDescent="0.2">
      <c r="A794" s="3">
        <v>3622</v>
      </c>
      <c r="B794" s="3" t="s">
        <v>844</v>
      </c>
      <c r="C794" s="3" t="s">
        <v>845</v>
      </c>
      <c r="D794" s="3" t="s">
        <v>309</v>
      </c>
      <c r="E794" s="3" t="str">
        <v>Oensingen</v>
      </c>
      <c r="I794" s="19">
        <v>2822</v>
      </c>
      <c r="J794" s="19" t="s">
        <v>4551</v>
      </c>
    </row>
    <row r="795" spans="1:10" x14ac:dyDescent="0.2">
      <c r="A795" s="3">
        <v>3623</v>
      </c>
      <c r="B795" s="3" t="s">
        <v>846</v>
      </c>
      <c r="C795" s="3" t="s">
        <v>847</v>
      </c>
      <c r="D795" s="3" t="s">
        <v>309</v>
      </c>
      <c r="E795" s="3" t="str">
        <v>Wolfwil</v>
      </c>
      <c r="I795" s="19">
        <v>2823</v>
      </c>
      <c r="J795" s="19" t="s">
        <v>4551</v>
      </c>
    </row>
    <row r="796" spans="1:10" x14ac:dyDescent="0.2">
      <c r="A796" s="3">
        <v>3623</v>
      </c>
      <c r="B796" s="3" t="s">
        <v>848</v>
      </c>
      <c r="C796" s="3" t="s">
        <v>847</v>
      </c>
      <c r="D796" s="3" t="s">
        <v>309</v>
      </c>
      <c r="E796" s="3" t="str">
        <v>Aedermannsdorf</v>
      </c>
      <c r="I796" s="19">
        <v>2824</v>
      </c>
      <c r="J796" s="19" t="s">
        <v>4551</v>
      </c>
    </row>
    <row r="797" spans="1:10" x14ac:dyDescent="0.2">
      <c r="A797" s="3">
        <v>3653</v>
      </c>
      <c r="B797" s="3" t="s">
        <v>849</v>
      </c>
      <c r="C797" s="3" t="s">
        <v>849</v>
      </c>
      <c r="D797" s="3" t="s">
        <v>309</v>
      </c>
      <c r="E797" s="3" t="str">
        <v>Balsthal</v>
      </c>
      <c r="I797" s="19">
        <v>2825</v>
      </c>
      <c r="J797" s="19" t="s">
        <v>4551</v>
      </c>
    </row>
    <row r="798" spans="1:10" x14ac:dyDescent="0.2">
      <c r="A798" s="3">
        <v>3638</v>
      </c>
      <c r="B798" s="3" t="s">
        <v>850</v>
      </c>
      <c r="C798" s="3" t="s">
        <v>850</v>
      </c>
      <c r="D798" s="3" t="s">
        <v>309</v>
      </c>
      <c r="E798" s="3" t="str">
        <v>Herbetswil</v>
      </c>
      <c r="I798" s="19">
        <v>2826</v>
      </c>
      <c r="J798" s="19" t="s">
        <v>4551</v>
      </c>
    </row>
    <row r="799" spans="1:10" x14ac:dyDescent="0.2">
      <c r="A799" s="3">
        <v>3654</v>
      </c>
      <c r="B799" s="3" t="s">
        <v>851</v>
      </c>
      <c r="C799" s="3" t="s">
        <v>852</v>
      </c>
      <c r="D799" s="3" t="s">
        <v>309</v>
      </c>
      <c r="E799" s="3" t="str">
        <v>Holderbank (SO)</v>
      </c>
      <c r="I799" s="19">
        <v>2827</v>
      </c>
      <c r="J799" s="19" t="s">
        <v>4551</v>
      </c>
    </row>
    <row r="800" spans="1:10" x14ac:dyDescent="0.2">
      <c r="A800" s="3">
        <v>3655</v>
      </c>
      <c r="B800" s="3" t="s">
        <v>852</v>
      </c>
      <c r="C800" s="3" t="s">
        <v>852</v>
      </c>
      <c r="D800" s="3" t="s">
        <v>309</v>
      </c>
      <c r="E800" s="3" t="str">
        <v>Laupersdorf</v>
      </c>
      <c r="I800" s="19">
        <v>2828</v>
      </c>
      <c r="J800" s="19" t="s">
        <v>4551</v>
      </c>
    </row>
    <row r="801" spans="1:10" x14ac:dyDescent="0.2">
      <c r="A801" s="3">
        <v>3656</v>
      </c>
      <c r="B801" s="3" t="s">
        <v>853</v>
      </c>
      <c r="C801" s="3" t="s">
        <v>852</v>
      </c>
      <c r="D801" s="3" t="s">
        <v>309</v>
      </c>
      <c r="E801" s="3" t="str">
        <v>Matzendorf</v>
      </c>
      <c r="I801" s="19">
        <v>2829</v>
      </c>
      <c r="J801" s="19" t="s">
        <v>4551</v>
      </c>
    </row>
    <row r="802" spans="1:10" x14ac:dyDescent="0.2">
      <c r="A802" s="3">
        <v>3656</v>
      </c>
      <c r="B802" s="3" t="s">
        <v>854</v>
      </c>
      <c r="C802" s="3" t="s">
        <v>852</v>
      </c>
      <c r="D802" s="3" t="s">
        <v>309</v>
      </c>
      <c r="E802" s="3" t="str">
        <v>Mümliswil-Ramiswil</v>
      </c>
      <c r="I802" s="19">
        <v>2830</v>
      </c>
      <c r="J802" s="19" t="s">
        <v>4551</v>
      </c>
    </row>
    <row r="803" spans="1:10" x14ac:dyDescent="0.2">
      <c r="A803" s="3">
        <v>3656</v>
      </c>
      <c r="B803" s="3" t="s">
        <v>855</v>
      </c>
      <c r="C803" s="3" t="s">
        <v>852</v>
      </c>
      <c r="D803" s="3" t="s">
        <v>309</v>
      </c>
      <c r="E803" s="3" t="str">
        <v>Welschenrohr-Gänsbrunnen</v>
      </c>
      <c r="I803" s="19">
        <v>2832</v>
      </c>
      <c r="J803" s="19" t="s">
        <v>4551</v>
      </c>
    </row>
    <row r="804" spans="1:10" x14ac:dyDescent="0.2">
      <c r="A804" s="3">
        <v>3657</v>
      </c>
      <c r="B804" s="3" t="s">
        <v>856</v>
      </c>
      <c r="C804" s="3" t="s">
        <v>852</v>
      </c>
      <c r="D804" s="3" t="s">
        <v>309</v>
      </c>
      <c r="E804" s="3" t="str">
        <v>Biezwil</v>
      </c>
      <c r="I804" s="19">
        <v>2842</v>
      </c>
      <c r="J804" s="19" t="s">
        <v>4551</v>
      </c>
    </row>
    <row r="805" spans="1:10" x14ac:dyDescent="0.2">
      <c r="A805" s="3">
        <v>3658</v>
      </c>
      <c r="B805" s="3" t="s">
        <v>857</v>
      </c>
      <c r="C805" s="3" t="s">
        <v>852</v>
      </c>
      <c r="D805" s="3" t="s">
        <v>309</v>
      </c>
      <c r="E805" s="3" t="str">
        <v>Lüterkofen-Ichertswil</v>
      </c>
      <c r="I805" s="19">
        <v>2843</v>
      </c>
      <c r="J805" s="19" t="s">
        <v>4551</v>
      </c>
    </row>
    <row r="806" spans="1:10" x14ac:dyDescent="0.2">
      <c r="A806" s="3">
        <v>3612</v>
      </c>
      <c r="B806" s="3" t="s">
        <v>858</v>
      </c>
      <c r="C806" s="3" t="s">
        <v>858</v>
      </c>
      <c r="D806" s="3" t="s">
        <v>309</v>
      </c>
      <c r="E806" s="3" t="str">
        <v>Lüterswil-Gächliwil</v>
      </c>
      <c r="I806" s="19">
        <v>2852</v>
      </c>
      <c r="J806" s="19" t="s">
        <v>4551</v>
      </c>
    </row>
    <row r="807" spans="1:10" x14ac:dyDescent="0.2">
      <c r="A807" s="3">
        <v>3613</v>
      </c>
      <c r="B807" s="3" t="s">
        <v>858</v>
      </c>
      <c r="C807" s="3" t="s">
        <v>858</v>
      </c>
      <c r="D807" s="3" t="s">
        <v>309</v>
      </c>
      <c r="E807" s="3" t="str">
        <v>Messen</v>
      </c>
      <c r="I807" s="19">
        <v>2853</v>
      </c>
      <c r="J807" s="19" t="s">
        <v>4551</v>
      </c>
    </row>
    <row r="808" spans="1:10" x14ac:dyDescent="0.2">
      <c r="A808" s="3">
        <v>3624</v>
      </c>
      <c r="B808" s="3" t="s">
        <v>859</v>
      </c>
      <c r="C808" s="3" t="s">
        <v>858</v>
      </c>
      <c r="D808" s="3" t="s">
        <v>309</v>
      </c>
      <c r="E808" s="3" t="str">
        <v>Schnottwil</v>
      </c>
      <c r="I808" s="19">
        <v>2854</v>
      </c>
      <c r="J808" s="19" t="s">
        <v>4551</v>
      </c>
    </row>
    <row r="809" spans="1:10" x14ac:dyDescent="0.2">
      <c r="A809" s="3">
        <v>3623</v>
      </c>
      <c r="B809" s="3" t="s">
        <v>860</v>
      </c>
      <c r="C809" s="3" t="s">
        <v>861</v>
      </c>
      <c r="D809" s="3" t="s">
        <v>309</v>
      </c>
      <c r="E809" s="3" t="str">
        <v>Unterramsern</v>
      </c>
      <c r="I809" s="19">
        <v>2855</v>
      </c>
      <c r="J809" s="19" t="s">
        <v>4551</v>
      </c>
    </row>
    <row r="810" spans="1:10" x14ac:dyDescent="0.2">
      <c r="A810" s="3">
        <v>3634</v>
      </c>
      <c r="B810" s="3" t="s">
        <v>862</v>
      </c>
      <c r="C810" s="3" t="s">
        <v>862</v>
      </c>
      <c r="D810" s="3" t="s">
        <v>309</v>
      </c>
      <c r="E810" s="3" t="str">
        <v>Lüsslingen-Nennigkofen</v>
      </c>
      <c r="I810" s="19">
        <v>2856</v>
      </c>
      <c r="J810" s="19" t="s">
        <v>4551</v>
      </c>
    </row>
    <row r="811" spans="1:10" x14ac:dyDescent="0.2">
      <c r="A811" s="3">
        <v>3600</v>
      </c>
      <c r="B811" s="3" t="s">
        <v>863</v>
      </c>
      <c r="C811" s="3" t="s">
        <v>863</v>
      </c>
      <c r="D811" s="3" t="s">
        <v>309</v>
      </c>
      <c r="E811" s="3" t="str">
        <v>Buchegg</v>
      </c>
      <c r="I811" s="19">
        <v>2857</v>
      </c>
      <c r="J811" s="19" t="s">
        <v>4551</v>
      </c>
    </row>
    <row r="812" spans="1:10" x14ac:dyDescent="0.2">
      <c r="A812" s="3">
        <v>3603</v>
      </c>
      <c r="B812" s="3" t="s">
        <v>863</v>
      </c>
      <c r="C812" s="3" t="s">
        <v>863</v>
      </c>
      <c r="D812" s="3" t="s">
        <v>309</v>
      </c>
      <c r="E812" s="3" t="str">
        <v>Bättwil</v>
      </c>
      <c r="I812" s="19">
        <v>2863</v>
      </c>
      <c r="J812" s="19" t="s">
        <v>4551</v>
      </c>
    </row>
    <row r="813" spans="1:10" x14ac:dyDescent="0.2">
      <c r="A813" s="3">
        <v>3604</v>
      </c>
      <c r="B813" s="3" t="s">
        <v>863</v>
      </c>
      <c r="C813" s="3" t="s">
        <v>863</v>
      </c>
      <c r="D813" s="3" t="s">
        <v>309</v>
      </c>
      <c r="E813" s="3" t="str">
        <v>Büren (SO)</v>
      </c>
      <c r="I813" s="19">
        <v>2864</v>
      </c>
      <c r="J813" s="19" t="s">
        <v>4551</v>
      </c>
    </row>
    <row r="814" spans="1:10" x14ac:dyDescent="0.2">
      <c r="A814" s="3">
        <v>3608</v>
      </c>
      <c r="B814" s="3" t="s">
        <v>863</v>
      </c>
      <c r="C814" s="3" t="s">
        <v>863</v>
      </c>
      <c r="D814" s="3" t="s">
        <v>309</v>
      </c>
      <c r="E814" s="3" t="str">
        <v>Dornach</v>
      </c>
      <c r="I814" s="19">
        <v>2873</v>
      </c>
      <c r="J814" s="19" t="s">
        <v>4550</v>
      </c>
    </row>
    <row r="815" spans="1:10" x14ac:dyDescent="0.2">
      <c r="A815" s="3">
        <v>3624</v>
      </c>
      <c r="B815" s="3" t="s">
        <v>864</v>
      </c>
      <c r="C815" s="3" t="s">
        <v>863</v>
      </c>
      <c r="D815" s="3" t="s">
        <v>309</v>
      </c>
      <c r="E815" s="3" t="str">
        <v>Gempen</v>
      </c>
      <c r="I815" s="19">
        <v>2882</v>
      </c>
      <c r="J815" s="19" t="s">
        <v>4551</v>
      </c>
    </row>
    <row r="816" spans="1:10" x14ac:dyDescent="0.2">
      <c r="A816" s="3">
        <v>3645</v>
      </c>
      <c r="B816" s="3" t="s">
        <v>865</v>
      </c>
      <c r="C816" s="3" t="s">
        <v>863</v>
      </c>
      <c r="D816" s="3" t="s">
        <v>309</v>
      </c>
      <c r="E816" s="3" t="str">
        <v>Hochwald</v>
      </c>
      <c r="I816" s="19">
        <v>2883</v>
      </c>
      <c r="J816" s="19" t="s">
        <v>4550</v>
      </c>
    </row>
    <row r="817" spans="1:10" x14ac:dyDescent="0.2">
      <c r="A817" s="3">
        <v>3635</v>
      </c>
      <c r="B817" s="3" t="s">
        <v>866</v>
      </c>
      <c r="C817" s="3" t="s">
        <v>866</v>
      </c>
      <c r="D817" s="3" t="s">
        <v>309</v>
      </c>
      <c r="E817" s="3" t="str">
        <v>Hofstetten-Flüh</v>
      </c>
      <c r="I817" s="19">
        <v>2884</v>
      </c>
      <c r="J817" s="19" t="s">
        <v>4550</v>
      </c>
    </row>
    <row r="818" spans="1:10" x14ac:dyDescent="0.2">
      <c r="A818" s="3">
        <v>3661</v>
      </c>
      <c r="B818" s="3" t="s">
        <v>867</v>
      </c>
      <c r="C818" s="3" t="s">
        <v>867</v>
      </c>
      <c r="D818" s="3" t="s">
        <v>309</v>
      </c>
      <c r="E818" s="3" t="str">
        <v>Metzerlen-Mariastein</v>
      </c>
      <c r="I818" s="19">
        <v>2885</v>
      </c>
      <c r="J818" s="19" t="s">
        <v>4550</v>
      </c>
    </row>
    <row r="819" spans="1:10" x14ac:dyDescent="0.2">
      <c r="A819" s="3">
        <v>3614</v>
      </c>
      <c r="B819" s="3" t="s">
        <v>868</v>
      </c>
      <c r="C819" s="3" t="s">
        <v>868</v>
      </c>
      <c r="D819" s="3" t="s">
        <v>309</v>
      </c>
      <c r="E819" s="3" t="str">
        <v>Nuglar-St. Pantaleon</v>
      </c>
      <c r="I819" s="19">
        <v>2886</v>
      </c>
      <c r="J819" s="19" t="s">
        <v>4550</v>
      </c>
    </row>
    <row r="820" spans="1:10" x14ac:dyDescent="0.2">
      <c r="A820" s="3">
        <v>3616</v>
      </c>
      <c r="B820" s="3" t="s">
        <v>869</v>
      </c>
      <c r="C820" s="3" t="s">
        <v>868</v>
      </c>
      <c r="D820" s="3" t="s">
        <v>309</v>
      </c>
      <c r="E820" s="3" t="str">
        <v>Rodersdorf</v>
      </c>
      <c r="I820" s="19">
        <v>2887</v>
      </c>
      <c r="J820" s="19" t="s">
        <v>4550</v>
      </c>
    </row>
    <row r="821" spans="1:10" x14ac:dyDescent="0.2">
      <c r="A821" s="3">
        <v>3618</v>
      </c>
      <c r="B821" s="3" t="s">
        <v>870</v>
      </c>
      <c r="C821" s="3" t="s">
        <v>871</v>
      </c>
      <c r="D821" s="3" t="s">
        <v>309</v>
      </c>
      <c r="E821" s="3" t="str">
        <v>Seewen</v>
      </c>
      <c r="I821" s="19">
        <v>2888</v>
      </c>
      <c r="J821" s="19" t="s">
        <v>4550</v>
      </c>
    </row>
    <row r="822" spans="1:10" x14ac:dyDescent="0.2">
      <c r="A822" s="3">
        <v>3645</v>
      </c>
      <c r="B822" s="3" t="s">
        <v>872</v>
      </c>
      <c r="C822" s="3" t="s">
        <v>872</v>
      </c>
      <c r="D822" s="3" t="s">
        <v>309</v>
      </c>
      <c r="E822" s="3" t="str">
        <v>Witterswil</v>
      </c>
      <c r="I822" s="19">
        <v>2889</v>
      </c>
      <c r="J822" s="19" t="s">
        <v>4550</v>
      </c>
    </row>
    <row r="823" spans="1:10" x14ac:dyDescent="0.2">
      <c r="A823" s="3">
        <v>3636</v>
      </c>
      <c r="B823" s="3" t="s">
        <v>873</v>
      </c>
      <c r="C823" s="3" t="s">
        <v>874</v>
      </c>
      <c r="D823" s="3" t="s">
        <v>309</v>
      </c>
      <c r="E823" s="3" t="str">
        <v>Hauenstein-Ifenthal</v>
      </c>
      <c r="I823" s="19">
        <v>2900</v>
      </c>
      <c r="J823" s="19" t="s">
        <v>4552</v>
      </c>
    </row>
    <row r="824" spans="1:10" x14ac:dyDescent="0.2">
      <c r="A824" s="3">
        <v>3636</v>
      </c>
      <c r="B824" s="3" t="s">
        <v>875</v>
      </c>
      <c r="C824" s="3" t="s">
        <v>874</v>
      </c>
      <c r="D824" s="3" t="s">
        <v>309</v>
      </c>
      <c r="E824" s="3" t="str">
        <v>Kienberg</v>
      </c>
      <c r="I824" s="19">
        <v>2902</v>
      </c>
      <c r="J824" s="19" t="s">
        <v>4552</v>
      </c>
    </row>
    <row r="825" spans="1:10" x14ac:dyDescent="0.2">
      <c r="A825" s="3">
        <v>3416</v>
      </c>
      <c r="B825" s="3" t="s">
        <v>876</v>
      </c>
      <c r="C825" s="3" t="s">
        <v>876</v>
      </c>
      <c r="D825" s="3" t="s">
        <v>309</v>
      </c>
      <c r="E825" s="3" t="str">
        <v>Lostorf</v>
      </c>
      <c r="I825" s="19">
        <v>2903</v>
      </c>
      <c r="J825" s="19" t="s">
        <v>4552</v>
      </c>
    </row>
    <row r="826" spans="1:10" x14ac:dyDescent="0.2">
      <c r="A826" s="3">
        <v>3462</v>
      </c>
      <c r="B826" s="3" t="s">
        <v>877</v>
      </c>
      <c r="C826" s="3" t="s">
        <v>876</v>
      </c>
      <c r="D826" s="3" t="s">
        <v>309</v>
      </c>
      <c r="E826" s="3" t="str">
        <v>Niedergösgen</v>
      </c>
      <c r="I826" s="19">
        <v>2904</v>
      </c>
      <c r="J826" s="19" t="s">
        <v>4552</v>
      </c>
    </row>
    <row r="827" spans="1:10" x14ac:dyDescent="0.2">
      <c r="A827" s="3">
        <v>3463</v>
      </c>
      <c r="B827" s="3" t="s">
        <v>878</v>
      </c>
      <c r="C827" s="3" t="s">
        <v>876</v>
      </c>
      <c r="D827" s="3" t="s">
        <v>309</v>
      </c>
      <c r="E827" s="3" t="str">
        <v>Obergösgen</v>
      </c>
      <c r="I827" s="19">
        <v>2905</v>
      </c>
      <c r="J827" s="19" t="s">
        <v>4552</v>
      </c>
    </row>
    <row r="828" spans="1:10" x14ac:dyDescent="0.2">
      <c r="A828" s="3">
        <v>3465</v>
      </c>
      <c r="B828" s="3" t="s">
        <v>879</v>
      </c>
      <c r="C828" s="3" t="s">
        <v>879</v>
      </c>
      <c r="D828" s="3" t="s">
        <v>309</v>
      </c>
      <c r="E828" s="3" t="str">
        <v>Stüsslingen</v>
      </c>
      <c r="I828" s="19">
        <v>2906</v>
      </c>
      <c r="J828" s="19" t="s">
        <v>4552</v>
      </c>
    </row>
    <row r="829" spans="1:10" x14ac:dyDescent="0.2">
      <c r="A829" s="3">
        <v>4952</v>
      </c>
      <c r="B829" s="3" t="s">
        <v>880</v>
      </c>
      <c r="C829" s="3" t="s">
        <v>880</v>
      </c>
      <c r="D829" s="3" t="s">
        <v>309</v>
      </c>
      <c r="E829" s="3" t="str">
        <v>Trimbach</v>
      </c>
      <c r="I829" s="19">
        <v>2907</v>
      </c>
      <c r="J829" s="19" t="s">
        <v>4552</v>
      </c>
    </row>
    <row r="830" spans="1:10" x14ac:dyDescent="0.2">
      <c r="A830" s="3">
        <v>4950</v>
      </c>
      <c r="B830" s="3" t="s">
        <v>881</v>
      </c>
      <c r="C830" s="3" t="s">
        <v>881</v>
      </c>
      <c r="D830" s="3" t="s">
        <v>309</v>
      </c>
      <c r="E830" s="3" t="str">
        <v>Winznau</v>
      </c>
      <c r="I830" s="19">
        <v>2908</v>
      </c>
      <c r="J830" s="19" t="s">
        <v>4552</v>
      </c>
    </row>
    <row r="831" spans="1:10" x14ac:dyDescent="0.2">
      <c r="A831" s="3">
        <v>4953</v>
      </c>
      <c r="B831" s="3" t="s">
        <v>882</v>
      </c>
      <c r="C831" s="3" t="s">
        <v>881</v>
      </c>
      <c r="D831" s="3" t="s">
        <v>309</v>
      </c>
      <c r="E831" s="3" t="str">
        <v>Wisen (SO)</v>
      </c>
      <c r="I831" s="19">
        <v>2912</v>
      </c>
      <c r="J831" s="19" t="s">
        <v>4552</v>
      </c>
    </row>
    <row r="832" spans="1:10" x14ac:dyDescent="0.2">
      <c r="A832" s="3">
        <v>3432</v>
      </c>
      <c r="B832" s="3" t="s">
        <v>883</v>
      </c>
      <c r="C832" s="3" t="s">
        <v>884</v>
      </c>
      <c r="D832" s="3" t="s">
        <v>309</v>
      </c>
      <c r="E832" s="3" t="str">
        <v>Erlinsbach (SO)</v>
      </c>
      <c r="I832" s="19">
        <v>2914</v>
      </c>
      <c r="J832" s="19" t="s">
        <v>4552</v>
      </c>
    </row>
    <row r="833" spans="1:10" x14ac:dyDescent="0.2">
      <c r="A833" s="3">
        <v>3435</v>
      </c>
      <c r="B833" s="3" t="s">
        <v>885</v>
      </c>
      <c r="C833" s="3" t="s">
        <v>884</v>
      </c>
      <c r="D833" s="3" t="s">
        <v>309</v>
      </c>
      <c r="E833" s="3" t="str">
        <v>Aeschi (SO)</v>
      </c>
      <c r="I833" s="19">
        <v>2915</v>
      </c>
      <c r="J833" s="19" t="s">
        <v>4552</v>
      </c>
    </row>
    <row r="834" spans="1:10" x14ac:dyDescent="0.2">
      <c r="A834" s="3">
        <v>3439</v>
      </c>
      <c r="B834" s="3" t="s">
        <v>886</v>
      </c>
      <c r="C834" s="3" t="s">
        <v>884</v>
      </c>
      <c r="D834" s="3" t="s">
        <v>309</v>
      </c>
      <c r="E834" s="3" t="str">
        <v>Biberist</v>
      </c>
      <c r="I834" s="19">
        <v>2916</v>
      </c>
      <c r="J834" s="19" t="s">
        <v>4552</v>
      </c>
    </row>
    <row r="835" spans="1:10" x14ac:dyDescent="0.2">
      <c r="A835" s="3">
        <v>3452</v>
      </c>
      <c r="B835" s="3" t="s">
        <v>887</v>
      </c>
      <c r="C835" s="3" t="s">
        <v>884</v>
      </c>
      <c r="D835" s="3" t="s">
        <v>309</v>
      </c>
      <c r="E835" s="3" t="str">
        <v>Bolken</v>
      </c>
      <c r="I835" s="19">
        <v>2922</v>
      </c>
      <c r="J835" s="19" t="s">
        <v>4552</v>
      </c>
    </row>
    <row r="836" spans="1:10" x14ac:dyDescent="0.2">
      <c r="A836" s="3">
        <v>3415</v>
      </c>
      <c r="B836" s="3" t="s">
        <v>888</v>
      </c>
      <c r="C836" s="3" t="s">
        <v>889</v>
      </c>
      <c r="D836" s="3" t="s">
        <v>309</v>
      </c>
      <c r="E836" s="3" t="str">
        <v>Deitingen</v>
      </c>
      <c r="I836" s="19">
        <v>2923</v>
      </c>
      <c r="J836" s="19" t="s">
        <v>4552</v>
      </c>
    </row>
    <row r="837" spans="1:10" x14ac:dyDescent="0.2">
      <c r="A837" s="3">
        <v>3417</v>
      </c>
      <c r="B837" s="3" t="s">
        <v>889</v>
      </c>
      <c r="C837" s="3" t="s">
        <v>889</v>
      </c>
      <c r="D837" s="3" t="s">
        <v>309</v>
      </c>
      <c r="E837" s="3" t="str">
        <v>Derendingen</v>
      </c>
      <c r="I837" s="19">
        <v>2924</v>
      </c>
      <c r="J837" s="19" t="s">
        <v>4552</v>
      </c>
    </row>
    <row r="838" spans="1:10" x14ac:dyDescent="0.2">
      <c r="A838" s="3">
        <v>3418</v>
      </c>
      <c r="B838" s="3" t="s">
        <v>890</v>
      </c>
      <c r="C838" s="3" t="s">
        <v>889</v>
      </c>
      <c r="D838" s="3" t="s">
        <v>309</v>
      </c>
      <c r="E838" s="3" t="str">
        <v>Etziken</v>
      </c>
      <c r="I838" s="19">
        <v>2925</v>
      </c>
      <c r="J838" s="19" t="s">
        <v>4552</v>
      </c>
    </row>
    <row r="839" spans="1:10" x14ac:dyDescent="0.2">
      <c r="A839" s="3">
        <v>3454</v>
      </c>
      <c r="B839" s="3" t="s">
        <v>891</v>
      </c>
      <c r="C839" s="3" t="s">
        <v>891</v>
      </c>
      <c r="D839" s="3" t="s">
        <v>309</v>
      </c>
      <c r="E839" s="3" t="str">
        <v>Gerlafingen</v>
      </c>
      <c r="I839" s="19">
        <v>2926</v>
      </c>
      <c r="J839" s="19" t="s">
        <v>4552</v>
      </c>
    </row>
    <row r="840" spans="1:10" x14ac:dyDescent="0.2">
      <c r="A840" s="3">
        <v>3455</v>
      </c>
      <c r="B840" s="3" t="s">
        <v>892</v>
      </c>
      <c r="C840" s="3" t="s">
        <v>891</v>
      </c>
      <c r="D840" s="3" t="s">
        <v>309</v>
      </c>
      <c r="E840" s="3" t="str">
        <v>Halten</v>
      </c>
      <c r="I840" s="19">
        <v>2932</v>
      </c>
      <c r="J840" s="19" t="s">
        <v>4552</v>
      </c>
    </row>
    <row r="841" spans="1:10" x14ac:dyDescent="0.2">
      <c r="A841" s="3">
        <v>3457</v>
      </c>
      <c r="B841" s="3" t="s">
        <v>893</v>
      </c>
      <c r="C841" s="3" t="s">
        <v>891</v>
      </c>
      <c r="D841" s="3" t="s">
        <v>309</v>
      </c>
      <c r="E841" s="3" t="str">
        <v>Horriwil</v>
      </c>
      <c r="I841" s="19">
        <v>2933</v>
      </c>
      <c r="J841" s="19" t="s">
        <v>4552</v>
      </c>
    </row>
    <row r="842" spans="1:10" x14ac:dyDescent="0.2">
      <c r="A842" s="3">
        <v>3453</v>
      </c>
      <c r="B842" s="3" t="s">
        <v>894</v>
      </c>
      <c r="C842" s="3" t="s">
        <v>895</v>
      </c>
      <c r="D842" s="3" t="s">
        <v>309</v>
      </c>
      <c r="E842" s="3" t="str">
        <v>Hüniken</v>
      </c>
      <c r="I842" s="19">
        <v>2935</v>
      </c>
      <c r="J842" s="19" t="s">
        <v>4552</v>
      </c>
    </row>
    <row r="843" spans="1:10" x14ac:dyDescent="0.2">
      <c r="A843" s="3">
        <v>3456</v>
      </c>
      <c r="B843" s="3" t="s">
        <v>895</v>
      </c>
      <c r="C843" s="3" t="s">
        <v>895</v>
      </c>
      <c r="D843" s="3" t="s">
        <v>309</v>
      </c>
      <c r="E843" s="3" t="str">
        <v>Kriegstetten</v>
      </c>
      <c r="I843" s="19">
        <v>2942</v>
      </c>
      <c r="J843" s="19" t="s">
        <v>4552</v>
      </c>
    </row>
    <row r="844" spans="1:10" x14ac:dyDescent="0.2">
      <c r="A844" s="3">
        <v>3464</v>
      </c>
      <c r="B844" s="3" t="s">
        <v>896</v>
      </c>
      <c r="C844" s="3" t="s">
        <v>897</v>
      </c>
      <c r="D844" s="3" t="s">
        <v>309</v>
      </c>
      <c r="E844" s="3" t="str">
        <v>Lohn-Ammannsegg</v>
      </c>
      <c r="I844" s="19">
        <v>2943</v>
      </c>
      <c r="J844" s="19" t="s">
        <v>4552</v>
      </c>
    </row>
    <row r="845" spans="1:10" x14ac:dyDescent="0.2">
      <c r="A845" s="3">
        <v>4942</v>
      </c>
      <c r="B845" s="3" t="s">
        <v>898</v>
      </c>
      <c r="C845" s="3" t="s">
        <v>897</v>
      </c>
      <c r="D845" s="3" t="s">
        <v>309</v>
      </c>
      <c r="E845" s="3" t="str">
        <v>Luterbach</v>
      </c>
      <c r="I845" s="19">
        <v>2944</v>
      </c>
      <c r="J845" s="19" t="s">
        <v>4552</v>
      </c>
    </row>
    <row r="846" spans="1:10" x14ac:dyDescent="0.2">
      <c r="A846" s="3">
        <v>4954</v>
      </c>
      <c r="B846" s="3" t="s">
        <v>899</v>
      </c>
      <c r="C846" s="3" t="s">
        <v>899</v>
      </c>
      <c r="D846" s="3" t="s">
        <v>309</v>
      </c>
      <c r="E846" s="3" t="str">
        <v>Obergerlafingen</v>
      </c>
      <c r="I846" s="19">
        <v>2946</v>
      </c>
      <c r="J846" s="19" t="s">
        <v>4552</v>
      </c>
    </row>
    <row r="847" spans="1:10" x14ac:dyDescent="0.2">
      <c r="A847" s="3">
        <v>4536</v>
      </c>
      <c r="B847" s="3" t="s">
        <v>900</v>
      </c>
      <c r="C847" s="3" t="s">
        <v>900</v>
      </c>
      <c r="D847" s="3" t="s">
        <v>309</v>
      </c>
      <c r="E847" s="3" t="str">
        <v>Oekingen</v>
      </c>
      <c r="I847" s="19">
        <v>2947</v>
      </c>
      <c r="J847" s="19" t="s">
        <v>4552</v>
      </c>
    </row>
    <row r="848" spans="1:10" x14ac:dyDescent="0.2">
      <c r="A848" s="3">
        <v>3376</v>
      </c>
      <c r="B848" s="3" t="s">
        <v>901</v>
      </c>
      <c r="C848" s="3" t="s">
        <v>901</v>
      </c>
      <c r="D848" s="3" t="s">
        <v>309</v>
      </c>
      <c r="E848" s="3" t="str">
        <v>Recherswil</v>
      </c>
      <c r="I848" s="19">
        <v>2950</v>
      </c>
      <c r="J848" s="19" t="s">
        <v>4552</v>
      </c>
    </row>
    <row r="849" spans="1:10" x14ac:dyDescent="0.2">
      <c r="A849" s="3">
        <v>3366</v>
      </c>
      <c r="B849" s="3" t="s">
        <v>902</v>
      </c>
      <c r="C849" s="3" t="s">
        <v>902</v>
      </c>
      <c r="D849" s="3" t="s">
        <v>309</v>
      </c>
      <c r="E849" s="3" t="str">
        <v>Subingen</v>
      </c>
      <c r="I849" s="19">
        <v>2952</v>
      </c>
      <c r="J849" s="19" t="s">
        <v>4552</v>
      </c>
    </row>
    <row r="850" spans="1:10" x14ac:dyDescent="0.2">
      <c r="A850" s="3">
        <v>3366</v>
      </c>
      <c r="B850" s="3" t="s">
        <v>903</v>
      </c>
      <c r="C850" s="3" t="s">
        <v>902</v>
      </c>
      <c r="D850" s="3" t="s">
        <v>309</v>
      </c>
      <c r="E850" s="3" t="str">
        <v>Zuchwil</v>
      </c>
      <c r="I850" s="19">
        <v>2953</v>
      </c>
      <c r="J850" s="19" t="s">
        <v>4552</v>
      </c>
    </row>
    <row r="851" spans="1:10" x14ac:dyDescent="0.2">
      <c r="A851" s="3">
        <v>4539</v>
      </c>
      <c r="B851" s="3" t="s">
        <v>904</v>
      </c>
      <c r="C851" s="3" t="s">
        <v>904</v>
      </c>
      <c r="D851" s="3" t="s">
        <v>309</v>
      </c>
      <c r="E851" s="3" t="str">
        <v>Drei Höfe</v>
      </c>
      <c r="I851" s="19">
        <v>2954</v>
      </c>
      <c r="J851" s="19" t="s">
        <v>4552</v>
      </c>
    </row>
    <row r="852" spans="1:10" x14ac:dyDescent="0.2">
      <c r="A852" s="3">
        <v>3376</v>
      </c>
      <c r="B852" s="3" t="s">
        <v>905</v>
      </c>
      <c r="C852" s="3" t="s">
        <v>905</v>
      </c>
      <c r="D852" s="3" t="s">
        <v>309</v>
      </c>
      <c r="E852" s="3" t="str">
        <v>Balm bei Günsberg</v>
      </c>
      <c r="I852" s="19">
        <v>3004</v>
      </c>
      <c r="J852" s="19" t="s">
        <v>4546</v>
      </c>
    </row>
    <row r="853" spans="1:10" x14ac:dyDescent="0.2">
      <c r="A853" s="3">
        <v>3372</v>
      </c>
      <c r="B853" s="3" t="s">
        <v>906</v>
      </c>
      <c r="C853" s="3" t="s">
        <v>907</v>
      </c>
      <c r="D853" s="3" t="s">
        <v>309</v>
      </c>
      <c r="E853" s="3" t="str">
        <v>Bellach</v>
      </c>
      <c r="I853" s="19">
        <v>3005</v>
      </c>
      <c r="J853" s="19" t="s">
        <v>4546</v>
      </c>
    </row>
    <row r="854" spans="1:10" x14ac:dyDescent="0.2">
      <c r="A854" s="3">
        <v>3373</v>
      </c>
      <c r="B854" s="3" t="s">
        <v>908</v>
      </c>
      <c r="C854" s="3" t="s">
        <v>907</v>
      </c>
      <c r="D854" s="3" t="s">
        <v>309</v>
      </c>
      <c r="E854" s="3" t="str">
        <v>Bettlach</v>
      </c>
      <c r="I854" s="19">
        <v>3006</v>
      </c>
      <c r="J854" s="19" t="s">
        <v>4546</v>
      </c>
    </row>
    <row r="855" spans="1:10" x14ac:dyDescent="0.2">
      <c r="A855" s="3">
        <v>3373</v>
      </c>
      <c r="B855" s="3" t="s">
        <v>907</v>
      </c>
      <c r="C855" s="3" t="s">
        <v>907</v>
      </c>
      <c r="D855" s="3" t="s">
        <v>309</v>
      </c>
      <c r="E855" s="3" t="str">
        <v>Feldbrunnen-St. Niklaus</v>
      </c>
      <c r="I855" s="19">
        <v>3007</v>
      </c>
      <c r="J855" s="19" t="s">
        <v>4546</v>
      </c>
    </row>
    <row r="856" spans="1:10" x14ac:dyDescent="0.2">
      <c r="A856" s="3">
        <v>3360</v>
      </c>
      <c r="B856" s="3" t="s">
        <v>909</v>
      </c>
      <c r="C856" s="3" t="s">
        <v>909</v>
      </c>
      <c r="D856" s="3" t="s">
        <v>309</v>
      </c>
      <c r="E856" s="3" t="str">
        <v>Flumenthal</v>
      </c>
      <c r="I856" s="19">
        <v>3008</v>
      </c>
      <c r="J856" s="19" t="s">
        <v>4546</v>
      </c>
    </row>
    <row r="857" spans="1:10" x14ac:dyDescent="0.2">
      <c r="A857" s="3">
        <v>3363</v>
      </c>
      <c r="B857" s="3" t="s">
        <v>910</v>
      </c>
      <c r="C857" s="3" t="s">
        <v>909</v>
      </c>
      <c r="D857" s="3" t="s">
        <v>309</v>
      </c>
      <c r="E857" s="3" t="str">
        <v>Grenchen</v>
      </c>
      <c r="I857" s="19">
        <v>3010</v>
      </c>
      <c r="J857" s="19" t="s">
        <v>4546</v>
      </c>
    </row>
    <row r="858" spans="1:10" x14ac:dyDescent="0.2">
      <c r="A858" s="3">
        <v>3375</v>
      </c>
      <c r="B858" s="3" t="s">
        <v>911</v>
      </c>
      <c r="C858" s="3" t="s">
        <v>911</v>
      </c>
      <c r="D858" s="3" t="s">
        <v>309</v>
      </c>
      <c r="E858" s="3" t="str">
        <v>Günsberg</v>
      </c>
      <c r="I858" s="19">
        <v>3011</v>
      </c>
      <c r="J858" s="19" t="s">
        <v>4546</v>
      </c>
    </row>
    <row r="859" spans="1:10" x14ac:dyDescent="0.2">
      <c r="A859" s="3">
        <v>4704</v>
      </c>
      <c r="B859" s="3" t="s">
        <v>912</v>
      </c>
      <c r="C859" s="3" t="s">
        <v>912</v>
      </c>
      <c r="D859" s="3" t="s">
        <v>309</v>
      </c>
      <c r="E859" s="3" t="str">
        <v>Hubersdorf</v>
      </c>
      <c r="I859" s="19">
        <v>3012</v>
      </c>
      <c r="J859" s="19" t="s">
        <v>4546</v>
      </c>
    </row>
    <row r="860" spans="1:10" x14ac:dyDescent="0.2">
      <c r="A860" s="3">
        <v>4704</v>
      </c>
      <c r="B860" s="3" t="s">
        <v>913</v>
      </c>
      <c r="C860" s="3" t="s">
        <v>912</v>
      </c>
      <c r="D860" s="3" t="s">
        <v>309</v>
      </c>
      <c r="E860" s="3" t="str">
        <v>Kammersrohr</v>
      </c>
      <c r="I860" s="19">
        <v>3013</v>
      </c>
      <c r="J860" s="19" t="s">
        <v>4546</v>
      </c>
    </row>
    <row r="861" spans="1:10" x14ac:dyDescent="0.2">
      <c r="A861" s="3">
        <v>3362</v>
      </c>
      <c r="B861" s="3" t="s">
        <v>914</v>
      </c>
      <c r="C861" s="3" t="s">
        <v>914</v>
      </c>
      <c r="D861" s="3" t="s">
        <v>309</v>
      </c>
      <c r="E861" s="3" t="str">
        <v>Langendorf</v>
      </c>
      <c r="I861" s="19">
        <v>3014</v>
      </c>
      <c r="J861" s="19" t="s">
        <v>4546</v>
      </c>
    </row>
    <row r="862" spans="1:10" x14ac:dyDescent="0.2">
      <c r="A862" s="3">
        <v>4538</v>
      </c>
      <c r="B862" s="3" t="s">
        <v>915</v>
      </c>
      <c r="C862" s="3" t="s">
        <v>915</v>
      </c>
      <c r="D862" s="3" t="s">
        <v>309</v>
      </c>
      <c r="E862" s="3" t="str">
        <v>Lommiswil</v>
      </c>
      <c r="I862" s="19">
        <v>3015</v>
      </c>
      <c r="J862" s="19" t="s">
        <v>4546</v>
      </c>
    </row>
    <row r="863" spans="1:10" x14ac:dyDescent="0.2">
      <c r="A863" s="3">
        <v>3367</v>
      </c>
      <c r="B863" s="3" t="s">
        <v>916</v>
      </c>
      <c r="C863" s="3" t="s">
        <v>916</v>
      </c>
      <c r="D863" s="3" t="s">
        <v>309</v>
      </c>
      <c r="E863" s="3" t="str">
        <v>Oberdorf (SO)</v>
      </c>
      <c r="I863" s="19">
        <v>3018</v>
      </c>
      <c r="J863" s="19" t="s">
        <v>4546</v>
      </c>
    </row>
    <row r="864" spans="1:10" x14ac:dyDescent="0.2">
      <c r="A864" s="3">
        <v>3476</v>
      </c>
      <c r="B864" s="3" t="s">
        <v>917</v>
      </c>
      <c r="C864" s="3" t="s">
        <v>916</v>
      </c>
      <c r="D864" s="3" t="s">
        <v>309</v>
      </c>
      <c r="E864" s="3" t="str">
        <v>Riedholz</v>
      </c>
      <c r="I864" s="19">
        <v>3019</v>
      </c>
      <c r="J864" s="19" t="s">
        <v>4546</v>
      </c>
    </row>
    <row r="865" spans="1:10" x14ac:dyDescent="0.2">
      <c r="A865" s="3">
        <v>4539</v>
      </c>
      <c r="B865" s="3" t="s">
        <v>918</v>
      </c>
      <c r="C865" s="3" t="s">
        <v>918</v>
      </c>
      <c r="D865" s="3" t="s">
        <v>309</v>
      </c>
      <c r="E865" s="3" t="str">
        <v>Rüttenen</v>
      </c>
      <c r="I865" s="19">
        <v>3020</v>
      </c>
      <c r="J865" s="19" t="s">
        <v>4546</v>
      </c>
    </row>
    <row r="866" spans="1:10" x14ac:dyDescent="0.2">
      <c r="A866" s="3">
        <v>3365</v>
      </c>
      <c r="B866" s="3" t="s">
        <v>919</v>
      </c>
      <c r="C866" s="3" t="s">
        <v>920</v>
      </c>
      <c r="D866" s="3" t="s">
        <v>309</v>
      </c>
      <c r="E866" s="3" t="str">
        <v>Selzach</v>
      </c>
      <c r="I866" s="19">
        <v>3027</v>
      </c>
      <c r="J866" s="19" t="s">
        <v>4546</v>
      </c>
    </row>
    <row r="867" spans="1:10" x14ac:dyDescent="0.2">
      <c r="A867" s="3">
        <v>3365</v>
      </c>
      <c r="B867" s="3" t="s">
        <v>920</v>
      </c>
      <c r="C867" s="3" t="s">
        <v>920</v>
      </c>
      <c r="D867" s="3" t="s">
        <v>309</v>
      </c>
      <c r="E867" s="3" t="str">
        <v>Boningen</v>
      </c>
      <c r="I867" s="19">
        <v>3032</v>
      </c>
      <c r="J867" s="19" t="s">
        <v>4546</v>
      </c>
    </row>
    <row r="868" spans="1:10" x14ac:dyDescent="0.2">
      <c r="A868" s="3">
        <v>3475</v>
      </c>
      <c r="B868" s="3" t="s">
        <v>921</v>
      </c>
      <c r="C868" s="3" t="s">
        <v>920</v>
      </c>
      <c r="D868" s="3" t="s">
        <v>309</v>
      </c>
      <c r="E868" s="3" t="str">
        <v>Däniken</v>
      </c>
      <c r="I868" s="19">
        <v>3033</v>
      </c>
      <c r="J868" s="19" t="s">
        <v>4546</v>
      </c>
    </row>
    <row r="869" spans="1:10" x14ac:dyDescent="0.2">
      <c r="A869" s="3">
        <v>3475</v>
      </c>
      <c r="B869" s="3" t="s">
        <v>922</v>
      </c>
      <c r="C869" s="3" t="s">
        <v>920</v>
      </c>
      <c r="D869" s="3" t="s">
        <v>309</v>
      </c>
      <c r="E869" s="3" t="str">
        <v>Dulliken</v>
      </c>
      <c r="I869" s="19">
        <v>3034</v>
      </c>
      <c r="J869" s="19" t="s">
        <v>4546</v>
      </c>
    </row>
    <row r="870" spans="1:10" x14ac:dyDescent="0.2">
      <c r="A870" s="3">
        <v>3367</v>
      </c>
      <c r="B870" s="3" t="s">
        <v>923</v>
      </c>
      <c r="C870" s="3" t="s">
        <v>923</v>
      </c>
      <c r="D870" s="3" t="s">
        <v>309</v>
      </c>
      <c r="E870" s="3" t="str">
        <v>Eppenberg-Wöschnau</v>
      </c>
      <c r="I870" s="19">
        <v>3035</v>
      </c>
      <c r="J870" s="19" t="s">
        <v>4546</v>
      </c>
    </row>
    <row r="871" spans="1:10" x14ac:dyDescent="0.2">
      <c r="A871" s="3">
        <v>3380</v>
      </c>
      <c r="B871" s="3" t="s">
        <v>924</v>
      </c>
      <c r="C871" s="3" t="s">
        <v>925</v>
      </c>
      <c r="D871" s="3" t="s">
        <v>309</v>
      </c>
      <c r="E871" s="3" t="str">
        <v>Fulenbach</v>
      </c>
      <c r="I871" s="19">
        <v>3036</v>
      </c>
      <c r="J871" s="19" t="s">
        <v>4546</v>
      </c>
    </row>
    <row r="872" spans="1:10" x14ac:dyDescent="0.2">
      <c r="A872" s="3">
        <v>3377</v>
      </c>
      <c r="B872" s="3" t="s">
        <v>926</v>
      </c>
      <c r="C872" s="3" t="s">
        <v>927</v>
      </c>
      <c r="D872" s="3" t="s">
        <v>309</v>
      </c>
      <c r="E872" s="3" t="str">
        <v>Gretzenbach</v>
      </c>
      <c r="I872" s="19">
        <v>3037</v>
      </c>
      <c r="J872" s="19" t="s">
        <v>4546</v>
      </c>
    </row>
    <row r="873" spans="1:10" x14ac:dyDescent="0.2">
      <c r="A873" s="3">
        <v>3380</v>
      </c>
      <c r="B873" s="3" t="s">
        <v>928</v>
      </c>
      <c r="C873" s="3" t="s">
        <v>928</v>
      </c>
      <c r="D873" s="3" t="s">
        <v>309</v>
      </c>
      <c r="E873" s="3" t="str">
        <v>Gunzgen</v>
      </c>
      <c r="I873" s="19">
        <v>3038</v>
      </c>
      <c r="J873" s="19" t="s">
        <v>4546</v>
      </c>
    </row>
    <row r="874" spans="1:10" x14ac:dyDescent="0.2">
      <c r="A874" s="3">
        <v>3374</v>
      </c>
      <c r="B874" s="3" t="s">
        <v>929</v>
      </c>
      <c r="C874" s="3" t="s">
        <v>929</v>
      </c>
      <c r="D874" s="3" t="s">
        <v>309</v>
      </c>
      <c r="E874" s="3" t="str">
        <v>Hägendorf</v>
      </c>
      <c r="I874" s="19">
        <v>3042</v>
      </c>
      <c r="J874" s="19" t="s">
        <v>4546</v>
      </c>
    </row>
    <row r="875" spans="1:10" x14ac:dyDescent="0.2">
      <c r="A875" s="3">
        <v>4537</v>
      </c>
      <c r="B875" s="3" t="s">
        <v>930</v>
      </c>
      <c r="C875" s="3" t="s">
        <v>930</v>
      </c>
      <c r="D875" s="3" t="s">
        <v>309</v>
      </c>
      <c r="E875" s="3" t="str">
        <v>Kappel (SO)</v>
      </c>
      <c r="I875" s="19">
        <v>3043</v>
      </c>
      <c r="J875" s="19" t="s">
        <v>4546</v>
      </c>
    </row>
    <row r="876" spans="1:10" x14ac:dyDescent="0.2">
      <c r="A876" s="3">
        <v>6112</v>
      </c>
      <c r="B876" s="3" t="s">
        <v>931</v>
      </c>
      <c r="C876" s="3" t="s">
        <v>931</v>
      </c>
      <c r="D876" s="3" t="s">
        <v>932</v>
      </c>
      <c r="E876" s="3" t="str">
        <v>Olten</v>
      </c>
      <c r="I876" s="19">
        <v>3044</v>
      </c>
      <c r="J876" s="19" t="s">
        <v>4546</v>
      </c>
    </row>
    <row r="877" spans="1:10" x14ac:dyDescent="0.2">
      <c r="A877" s="3">
        <v>6162</v>
      </c>
      <c r="B877" s="3" t="s">
        <v>933</v>
      </c>
      <c r="C877" s="3" t="s">
        <v>933</v>
      </c>
      <c r="D877" s="3" t="s">
        <v>932</v>
      </c>
      <c r="E877" s="3" t="str">
        <v>Rickenbach (SO)</v>
      </c>
      <c r="I877" s="19">
        <v>3045</v>
      </c>
      <c r="J877" s="19" t="s">
        <v>4546</v>
      </c>
    </row>
    <row r="878" spans="1:10" x14ac:dyDescent="0.2">
      <c r="A878" s="3">
        <v>6162</v>
      </c>
      <c r="B878" s="3" t="s">
        <v>934</v>
      </c>
      <c r="C878" s="3" t="s">
        <v>933</v>
      </c>
      <c r="D878" s="3" t="s">
        <v>932</v>
      </c>
      <c r="E878" s="3" t="str">
        <v>Schönenwerd</v>
      </c>
      <c r="I878" s="19">
        <v>3046</v>
      </c>
      <c r="J878" s="19" t="s">
        <v>4546</v>
      </c>
    </row>
    <row r="879" spans="1:10" x14ac:dyDescent="0.2">
      <c r="A879" s="3">
        <v>6162</v>
      </c>
      <c r="B879" s="3" t="s">
        <v>935</v>
      </c>
      <c r="C879" s="3" t="s">
        <v>933</v>
      </c>
      <c r="D879" s="3" t="s">
        <v>932</v>
      </c>
      <c r="E879" s="3" t="str">
        <v>Starrkirch-Wil</v>
      </c>
      <c r="I879" s="19">
        <v>3047</v>
      </c>
      <c r="J879" s="19" t="s">
        <v>4546</v>
      </c>
    </row>
    <row r="880" spans="1:10" x14ac:dyDescent="0.2">
      <c r="A880" s="3">
        <v>6163</v>
      </c>
      <c r="B880" s="3" t="s">
        <v>936</v>
      </c>
      <c r="C880" s="3" t="s">
        <v>933</v>
      </c>
      <c r="D880" s="3" t="s">
        <v>932</v>
      </c>
      <c r="E880" s="3" t="str">
        <v>Walterswil (SO)</v>
      </c>
      <c r="I880" s="19">
        <v>3048</v>
      </c>
      <c r="J880" s="19" t="s">
        <v>4546</v>
      </c>
    </row>
    <row r="881" spans="1:10" x14ac:dyDescent="0.2">
      <c r="A881" s="3">
        <v>6173</v>
      </c>
      <c r="B881" s="3" t="s">
        <v>937</v>
      </c>
      <c r="C881" s="3" t="s">
        <v>938</v>
      </c>
      <c r="D881" s="3" t="s">
        <v>932</v>
      </c>
      <c r="E881" s="3" t="str">
        <v>Wangen bei Olten</v>
      </c>
      <c r="I881" s="19">
        <v>3049</v>
      </c>
      <c r="J881" s="19" t="s">
        <v>4546</v>
      </c>
    </row>
    <row r="882" spans="1:10" x14ac:dyDescent="0.2">
      <c r="A882" s="3">
        <v>6174</v>
      </c>
      <c r="B882" s="3" t="s">
        <v>939</v>
      </c>
      <c r="C882" s="3" t="s">
        <v>938</v>
      </c>
      <c r="D882" s="3" t="s">
        <v>932</v>
      </c>
      <c r="E882" s="3" t="str">
        <v>Solothurn</v>
      </c>
      <c r="I882" s="19">
        <v>3052</v>
      </c>
      <c r="J882" s="19" t="s">
        <v>4546</v>
      </c>
    </row>
    <row r="883" spans="1:10" x14ac:dyDescent="0.2">
      <c r="A883" s="3">
        <v>6166</v>
      </c>
      <c r="B883" s="3" t="s">
        <v>940</v>
      </c>
      <c r="C883" s="3" t="s">
        <v>941</v>
      </c>
      <c r="D883" s="3" t="s">
        <v>932</v>
      </c>
      <c r="E883" s="3" t="str">
        <v>Bärschwil</v>
      </c>
      <c r="I883" s="19">
        <v>3053</v>
      </c>
      <c r="J883" s="19" t="s">
        <v>4546</v>
      </c>
    </row>
    <row r="884" spans="1:10" x14ac:dyDescent="0.2">
      <c r="A884" s="3">
        <v>6110</v>
      </c>
      <c r="B884" s="3" t="s">
        <v>942</v>
      </c>
      <c r="C884" s="3" t="s">
        <v>943</v>
      </c>
      <c r="D884" s="3" t="s">
        <v>932</v>
      </c>
      <c r="E884" s="3" t="str">
        <v>Beinwil (SO)</v>
      </c>
      <c r="I884" s="19">
        <v>3054</v>
      </c>
      <c r="J884" s="19" t="s">
        <v>4546</v>
      </c>
    </row>
    <row r="885" spans="1:10" x14ac:dyDescent="0.2">
      <c r="A885" s="3">
        <v>6113</v>
      </c>
      <c r="B885" s="3" t="s">
        <v>943</v>
      </c>
      <c r="C885" s="3" t="s">
        <v>943</v>
      </c>
      <c r="D885" s="3" t="s">
        <v>932</v>
      </c>
      <c r="E885" s="3" t="str">
        <v>Breitenbach</v>
      </c>
      <c r="I885" s="19">
        <v>3063</v>
      </c>
      <c r="J885" s="19" t="s">
        <v>4546</v>
      </c>
    </row>
    <row r="886" spans="1:10" x14ac:dyDescent="0.2">
      <c r="A886" s="3">
        <v>6167</v>
      </c>
      <c r="B886" s="3" t="s">
        <v>944</v>
      </c>
      <c r="C886" s="3" t="s">
        <v>943</v>
      </c>
      <c r="D886" s="3" t="s">
        <v>932</v>
      </c>
      <c r="E886" s="3" t="str">
        <v>Büsserach</v>
      </c>
      <c r="I886" s="19">
        <v>3065</v>
      </c>
      <c r="J886" s="19" t="s">
        <v>4546</v>
      </c>
    </row>
    <row r="887" spans="1:10" x14ac:dyDescent="0.2">
      <c r="A887" s="3">
        <v>6170</v>
      </c>
      <c r="B887" s="3" t="s">
        <v>945</v>
      </c>
      <c r="C887" s="3" t="s">
        <v>945</v>
      </c>
      <c r="D887" s="3" t="s">
        <v>932</v>
      </c>
      <c r="E887" s="3" t="str">
        <v>Erschwil</v>
      </c>
      <c r="I887" s="19">
        <v>3066</v>
      </c>
      <c r="J887" s="19" t="s">
        <v>4546</v>
      </c>
    </row>
    <row r="888" spans="1:10" x14ac:dyDescent="0.2">
      <c r="A888" s="3">
        <v>6105</v>
      </c>
      <c r="B888" s="3" t="s">
        <v>946</v>
      </c>
      <c r="C888" s="3" t="s">
        <v>947</v>
      </c>
      <c r="D888" s="3" t="s">
        <v>932</v>
      </c>
      <c r="E888" s="3" t="str">
        <v>Fehren</v>
      </c>
      <c r="I888" s="19">
        <v>3067</v>
      </c>
      <c r="J888" s="19" t="s">
        <v>4546</v>
      </c>
    </row>
    <row r="889" spans="1:10" x14ac:dyDescent="0.2">
      <c r="A889" s="3">
        <v>6106</v>
      </c>
      <c r="B889" s="3" t="s">
        <v>947</v>
      </c>
      <c r="C889" s="3" t="s">
        <v>947</v>
      </c>
      <c r="D889" s="3" t="s">
        <v>932</v>
      </c>
      <c r="E889" s="3" t="str">
        <v>Grindel</v>
      </c>
      <c r="I889" s="19">
        <v>3068</v>
      </c>
      <c r="J889" s="19" t="s">
        <v>4546</v>
      </c>
    </row>
    <row r="890" spans="1:10" x14ac:dyDescent="0.2">
      <c r="A890" s="3">
        <v>6182</v>
      </c>
      <c r="B890" s="3" t="s">
        <v>948</v>
      </c>
      <c r="C890" s="3" t="s">
        <v>949</v>
      </c>
      <c r="D890" s="3" t="s">
        <v>932</v>
      </c>
      <c r="E890" s="3" t="str">
        <v>Himmelried</v>
      </c>
      <c r="I890" s="19">
        <v>3072</v>
      </c>
      <c r="J890" s="19" t="s">
        <v>4546</v>
      </c>
    </row>
    <row r="891" spans="1:10" x14ac:dyDescent="0.2">
      <c r="A891" s="3">
        <v>6192</v>
      </c>
      <c r="B891" s="3" t="s">
        <v>950</v>
      </c>
      <c r="C891" s="3" t="s">
        <v>949</v>
      </c>
      <c r="D891" s="3" t="s">
        <v>932</v>
      </c>
      <c r="E891" s="3" t="str">
        <v>Kleinlützel</v>
      </c>
      <c r="I891" s="19">
        <v>3073</v>
      </c>
      <c r="J891" s="19" t="s">
        <v>4546</v>
      </c>
    </row>
    <row r="892" spans="1:10" x14ac:dyDescent="0.2">
      <c r="A892" s="3">
        <v>6196</v>
      </c>
      <c r="B892" s="3" t="s">
        <v>951</v>
      </c>
      <c r="C892" s="3" t="s">
        <v>949</v>
      </c>
      <c r="D892" s="3" t="s">
        <v>932</v>
      </c>
      <c r="E892" s="3" t="str">
        <v>Meltingen</v>
      </c>
      <c r="I892" s="19">
        <v>3074</v>
      </c>
      <c r="J892" s="19" t="s">
        <v>4546</v>
      </c>
    </row>
    <row r="893" spans="1:10" x14ac:dyDescent="0.2">
      <c r="A893" s="3">
        <v>6287</v>
      </c>
      <c r="B893" s="3" t="s">
        <v>952</v>
      </c>
      <c r="C893" s="3" t="s">
        <v>953</v>
      </c>
      <c r="D893" s="3" t="s">
        <v>932</v>
      </c>
      <c r="E893" s="3" t="str">
        <v>Nunningen</v>
      </c>
      <c r="I893" s="19">
        <v>3075</v>
      </c>
      <c r="J893" s="19" t="s">
        <v>4546</v>
      </c>
    </row>
    <row r="894" spans="1:10" x14ac:dyDescent="0.2">
      <c r="A894" s="3">
        <v>6275</v>
      </c>
      <c r="B894" s="3" t="s">
        <v>954</v>
      </c>
      <c r="C894" s="3" t="s">
        <v>954</v>
      </c>
      <c r="D894" s="3" t="s">
        <v>932</v>
      </c>
      <c r="E894" s="3" t="str">
        <v>Zullwil</v>
      </c>
      <c r="I894" s="19">
        <v>3076</v>
      </c>
      <c r="J894" s="19" t="s">
        <v>4546</v>
      </c>
    </row>
    <row r="895" spans="1:10" x14ac:dyDescent="0.2">
      <c r="A895" s="3">
        <v>6020</v>
      </c>
      <c r="B895" s="3" t="s">
        <v>955</v>
      </c>
      <c r="C895" s="3" t="s">
        <v>956</v>
      </c>
      <c r="D895" s="3" t="s">
        <v>932</v>
      </c>
      <c r="E895" s="3" t="str">
        <v>Basel</v>
      </c>
      <c r="I895" s="19">
        <v>3077</v>
      </c>
      <c r="J895" s="19" t="s">
        <v>4546</v>
      </c>
    </row>
    <row r="896" spans="1:10" x14ac:dyDescent="0.2">
      <c r="A896" s="3">
        <v>6032</v>
      </c>
      <c r="B896" s="3" t="s">
        <v>956</v>
      </c>
      <c r="C896" s="3" t="s">
        <v>956</v>
      </c>
      <c r="D896" s="3" t="s">
        <v>932</v>
      </c>
      <c r="E896" s="3" t="str">
        <v>Bettingen</v>
      </c>
      <c r="I896" s="19">
        <v>3078</v>
      </c>
      <c r="J896" s="19" t="s">
        <v>4546</v>
      </c>
    </row>
    <row r="897" spans="1:10" x14ac:dyDescent="0.2">
      <c r="A897" s="3">
        <v>6294</v>
      </c>
      <c r="B897" s="3" t="s">
        <v>957</v>
      </c>
      <c r="C897" s="3" t="s">
        <v>957</v>
      </c>
      <c r="D897" s="3" t="s">
        <v>932</v>
      </c>
      <c r="E897" s="3" t="str">
        <v>Riehen</v>
      </c>
      <c r="I897" s="19">
        <v>3082</v>
      </c>
      <c r="J897" s="19" t="s">
        <v>4546</v>
      </c>
    </row>
    <row r="898" spans="1:10" x14ac:dyDescent="0.2">
      <c r="A898" s="3">
        <v>6274</v>
      </c>
      <c r="B898" s="3" t="s">
        <v>958</v>
      </c>
      <c r="C898" s="3" t="s">
        <v>959</v>
      </c>
      <c r="D898" s="3" t="s">
        <v>932</v>
      </c>
      <c r="E898" s="3" t="str">
        <v>Aesch (BL)</v>
      </c>
      <c r="I898" s="19">
        <v>3083</v>
      </c>
      <c r="J898" s="19" t="s">
        <v>4546</v>
      </c>
    </row>
    <row r="899" spans="1:10" x14ac:dyDescent="0.2">
      <c r="A899" s="3">
        <v>6284</v>
      </c>
      <c r="B899" s="3" t="s">
        <v>960</v>
      </c>
      <c r="C899" s="3" t="s">
        <v>961</v>
      </c>
      <c r="D899" s="3" t="s">
        <v>932</v>
      </c>
      <c r="E899" s="3" t="str">
        <v>Allschwil</v>
      </c>
      <c r="I899" s="19">
        <v>3084</v>
      </c>
      <c r="J899" s="19" t="s">
        <v>4546</v>
      </c>
    </row>
    <row r="900" spans="1:10" x14ac:dyDescent="0.2">
      <c r="A900" s="3">
        <v>6284</v>
      </c>
      <c r="B900" s="3" t="s">
        <v>962</v>
      </c>
      <c r="C900" s="3" t="s">
        <v>961</v>
      </c>
      <c r="D900" s="3" t="s">
        <v>932</v>
      </c>
      <c r="E900" s="3" t="str">
        <v>Arlesheim</v>
      </c>
      <c r="I900" s="19">
        <v>3086</v>
      </c>
      <c r="J900" s="19" t="s">
        <v>4546</v>
      </c>
    </row>
    <row r="901" spans="1:10" x14ac:dyDescent="0.2">
      <c r="A901" s="3">
        <v>6285</v>
      </c>
      <c r="B901" s="3" t="s">
        <v>961</v>
      </c>
      <c r="C901" s="3" t="s">
        <v>961</v>
      </c>
      <c r="D901" s="3" t="s">
        <v>932</v>
      </c>
      <c r="E901" s="3" t="str">
        <v>Biel-Benken</v>
      </c>
      <c r="I901" s="19">
        <v>3087</v>
      </c>
      <c r="J901" s="19" t="s">
        <v>4546</v>
      </c>
    </row>
    <row r="902" spans="1:10" x14ac:dyDescent="0.2">
      <c r="A902" s="3">
        <v>6285</v>
      </c>
      <c r="B902" s="3" t="s">
        <v>963</v>
      </c>
      <c r="C902" s="3" t="s">
        <v>961</v>
      </c>
      <c r="D902" s="3" t="s">
        <v>932</v>
      </c>
      <c r="E902" s="3" t="str">
        <v>Binningen</v>
      </c>
      <c r="I902" s="19">
        <v>3088</v>
      </c>
      <c r="J902" s="19" t="s">
        <v>4553</v>
      </c>
    </row>
    <row r="903" spans="1:10" x14ac:dyDescent="0.2">
      <c r="A903" s="3">
        <v>6286</v>
      </c>
      <c r="B903" s="3" t="s">
        <v>964</v>
      </c>
      <c r="C903" s="3" t="s">
        <v>961</v>
      </c>
      <c r="D903" s="3" t="s">
        <v>932</v>
      </c>
      <c r="E903" s="3" t="str">
        <v>Birsfelden</v>
      </c>
      <c r="I903" s="19">
        <v>3089</v>
      </c>
      <c r="J903" s="19" t="s">
        <v>4540</v>
      </c>
    </row>
    <row r="904" spans="1:10" x14ac:dyDescent="0.2">
      <c r="A904" s="3">
        <v>6289</v>
      </c>
      <c r="B904" s="3" t="s">
        <v>965</v>
      </c>
      <c r="C904" s="3" t="s">
        <v>961</v>
      </c>
      <c r="D904" s="3" t="s">
        <v>932</v>
      </c>
      <c r="E904" s="3" t="str">
        <v>Bottmingen</v>
      </c>
      <c r="I904" s="19">
        <v>3095</v>
      </c>
      <c r="J904" s="19" t="s">
        <v>4546</v>
      </c>
    </row>
    <row r="905" spans="1:10" x14ac:dyDescent="0.2">
      <c r="A905" s="3">
        <v>6289</v>
      </c>
      <c r="B905" s="3" t="s">
        <v>966</v>
      </c>
      <c r="C905" s="3" t="s">
        <v>961</v>
      </c>
      <c r="D905" s="3" t="s">
        <v>932</v>
      </c>
      <c r="E905" s="3" t="str">
        <v>Ettingen</v>
      </c>
      <c r="I905" s="19">
        <v>3096</v>
      </c>
      <c r="J905" s="19" t="s">
        <v>4546</v>
      </c>
    </row>
    <row r="906" spans="1:10" x14ac:dyDescent="0.2">
      <c r="A906" s="3">
        <v>6289</v>
      </c>
      <c r="B906" s="3" t="s">
        <v>966</v>
      </c>
      <c r="C906" s="3" t="s">
        <v>961</v>
      </c>
      <c r="D906" s="3" t="s">
        <v>932</v>
      </c>
      <c r="E906" s="3" t="str">
        <v>Münchenstein</v>
      </c>
      <c r="I906" s="19">
        <v>3097</v>
      </c>
      <c r="J906" s="19" t="s">
        <v>4546</v>
      </c>
    </row>
    <row r="907" spans="1:10" x14ac:dyDescent="0.2">
      <c r="A907" s="3">
        <v>6295</v>
      </c>
      <c r="B907" s="3" t="s">
        <v>967</v>
      </c>
      <c r="C907" s="3" t="s">
        <v>961</v>
      </c>
      <c r="D907" s="3" t="s">
        <v>932</v>
      </c>
      <c r="E907" s="3" t="str">
        <v>Muttenz</v>
      </c>
      <c r="I907" s="19">
        <v>3098</v>
      </c>
      <c r="J907" s="19" t="s">
        <v>4546</v>
      </c>
    </row>
    <row r="908" spans="1:10" x14ac:dyDescent="0.2">
      <c r="A908" s="3">
        <v>6280</v>
      </c>
      <c r="B908" s="3" t="s">
        <v>968</v>
      </c>
      <c r="C908" s="3" t="s">
        <v>968</v>
      </c>
      <c r="D908" s="3" t="s">
        <v>932</v>
      </c>
      <c r="E908" s="3" t="str">
        <v>Oberwil (BL)</v>
      </c>
      <c r="I908" s="19">
        <v>3099</v>
      </c>
      <c r="J908" s="19" t="s">
        <v>4553</v>
      </c>
    </row>
    <row r="909" spans="1:10" x14ac:dyDescent="0.2">
      <c r="A909" s="3">
        <v>6280</v>
      </c>
      <c r="B909" s="3" t="s">
        <v>969</v>
      </c>
      <c r="C909" s="3" t="s">
        <v>968</v>
      </c>
      <c r="D909" s="3" t="s">
        <v>932</v>
      </c>
      <c r="E909" s="3" t="str">
        <v>Pfeffingen</v>
      </c>
      <c r="I909" s="19">
        <v>3110</v>
      </c>
      <c r="J909" s="19" t="s">
        <v>4546</v>
      </c>
    </row>
    <row r="910" spans="1:10" x14ac:dyDescent="0.2">
      <c r="A910" s="3">
        <v>6283</v>
      </c>
      <c r="B910" s="3" t="s">
        <v>970</v>
      </c>
      <c r="C910" s="3" t="s">
        <v>968</v>
      </c>
      <c r="D910" s="3" t="s">
        <v>932</v>
      </c>
      <c r="E910" s="3" t="str">
        <v>Reinach (BL)</v>
      </c>
      <c r="I910" s="19">
        <v>3111</v>
      </c>
      <c r="J910" s="19" t="s">
        <v>4553</v>
      </c>
    </row>
    <row r="911" spans="1:10" x14ac:dyDescent="0.2">
      <c r="A911" s="3">
        <v>6276</v>
      </c>
      <c r="B911" s="3" t="s">
        <v>971</v>
      </c>
      <c r="C911" s="3" t="s">
        <v>971</v>
      </c>
      <c r="D911" s="3" t="s">
        <v>932</v>
      </c>
      <c r="E911" s="3" t="str">
        <v>Schönenbuch</v>
      </c>
      <c r="I911" s="19">
        <v>3112</v>
      </c>
      <c r="J911" s="19" t="s">
        <v>4546</v>
      </c>
    </row>
    <row r="912" spans="1:10" x14ac:dyDescent="0.2">
      <c r="A912" s="3">
        <v>6277</v>
      </c>
      <c r="B912" s="3" t="s">
        <v>972</v>
      </c>
      <c r="C912" s="3" t="s">
        <v>971</v>
      </c>
      <c r="D912" s="3" t="s">
        <v>932</v>
      </c>
      <c r="E912" s="3" t="str">
        <v>Therwil</v>
      </c>
      <c r="I912" s="19">
        <v>3113</v>
      </c>
      <c r="J912" s="19" t="s">
        <v>4546</v>
      </c>
    </row>
    <row r="913" spans="1:10" x14ac:dyDescent="0.2">
      <c r="A913" s="3">
        <v>6277</v>
      </c>
      <c r="B913" s="3" t="s">
        <v>973</v>
      </c>
      <c r="C913" s="3" t="s">
        <v>971</v>
      </c>
      <c r="D913" s="3" t="s">
        <v>932</v>
      </c>
      <c r="E913" s="3" t="str">
        <v>Blauen</v>
      </c>
      <c r="I913" s="19">
        <v>3114</v>
      </c>
      <c r="J913" s="19" t="s">
        <v>4553</v>
      </c>
    </row>
    <row r="914" spans="1:10" x14ac:dyDescent="0.2">
      <c r="A914" s="3">
        <v>6034</v>
      </c>
      <c r="B914" s="3" t="s">
        <v>974</v>
      </c>
      <c r="C914" s="3" t="s">
        <v>974</v>
      </c>
      <c r="D914" s="3" t="s">
        <v>932</v>
      </c>
      <c r="E914" s="3" t="str">
        <v>Brislach</v>
      </c>
      <c r="I914" s="19">
        <v>3115</v>
      </c>
      <c r="J914" s="19" t="s">
        <v>4553</v>
      </c>
    </row>
    <row r="915" spans="1:10" x14ac:dyDescent="0.2">
      <c r="A915" s="3">
        <v>6026</v>
      </c>
      <c r="B915" s="3" t="s">
        <v>975</v>
      </c>
      <c r="C915" s="3" t="s">
        <v>975</v>
      </c>
      <c r="D915" s="3" t="s">
        <v>932</v>
      </c>
      <c r="E915" s="3" t="str">
        <v>Burg im Leimental</v>
      </c>
      <c r="I915" s="19">
        <v>3116</v>
      </c>
      <c r="J915" s="19" t="s">
        <v>4553</v>
      </c>
    </row>
    <row r="916" spans="1:10" x14ac:dyDescent="0.2">
      <c r="A916" s="3">
        <v>6027</v>
      </c>
      <c r="B916" s="3" t="s">
        <v>976</v>
      </c>
      <c r="C916" s="3" t="s">
        <v>977</v>
      </c>
      <c r="D916" s="3" t="s">
        <v>932</v>
      </c>
      <c r="E916" s="3" t="str">
        <v>Dittingen</v>
      </c>
      <c r="I916" s="19">
        <v>3122</v>
      </c>
      <c r="J916" s="19" t="s">
        <v>4546</v>
      </c>
    </row>
    <row r="917" spans="1:10" x14ac:dyDescent="0.2">
      <c r="A917" s="3">
        <v>6028</v>
      </c>
      <c r="B917" s="3" t="s">
        <v>978</v>
      </c>
      <c r="C917" s="3" t="s">
        <v>977</v>
      </c>
      <c r="D917" s="3" t="s">
        <v>932</v>
      </c>
      <c r="E917" s="3" t="str">
        <v>Duggingen</v>
      </c>
      <c r="I917" s="19">
        <v>3123</v>
      </c>
      <c r="J917" s="19" t="s">
        <v>4546</v>
      </c>
    </row>
    <row r="918" spans="1:10" x14ac:dyDescent="0.2">
      <c r="A918" s="3">
        <v>6023</v>
      </c>
      <c r="B918" s="3" t="s">
        <v>979</v>
      </c>
      <c r="C918" s="3" t="s">
        <v>979</v>
      </c>
      <c r="D918" s="3" t="s">
        <v>932</v>
      </c>
      <c r="E918" s="3" t="str">
        <v>Grellingen</v>
      </c>
      <c r="I918" s="19">
        <v>3124</v>
      </c>
      <c r="J918" s="19" t="s">
        <v>4546</v>
      </c>
    </row>
    <row r="919" spans="1:10" x14ac:dyDescent="0.2">
      <c r="A919" s="3">
        <v>6288</v>
      </c>
      <c r="B919" s="3" t="s">
        <v>980</v>
      </c>
      <c r="C919" s="3" t="s">
        <v>980</v>
      </c>
      <c r="D919" s="3" t="s">
        <v>932</v>
      </c>
      <c r="E919" s="3" t="str">
        <v>Laufen</v>
      </c>
      <c r="I919" s="19">
        <v>3125</v>
      </c>
      <c r="J919" s="19" t="s">
        <v>4546</v>
      </c>
    </row>
    <row r="920" spans="1:10" x14ac:dyDescent="0.2">
      <c r="A920" s="3">
        <v>6043</v>
      </c>
      <c r="B920" s="3" t="s">
        <v>981</v>
      </c>
      <c r="C920" s="3" t="s">
        <v>981</v>
      </c>
      <c r="D920" s="3" t="s">
        <v>932</v>
      </c>
      <c r="E920" s="3" t="str">
        <v>Liesberg</v>
      </c>
      <c r="I920" s="19">
        <v>3126</v>
      </c>
      <c r="J920" s="19" t="s">
        <v>4553</v>
      </c>
    </row>
    <row r="921" spans="1:10" x14ac:dyDescent="0.2">
      <c r="A921" s="3">
        <v>6033</v>
      </c>
      <c r="B921" s="3" t="s">
        <v>982</v>
      </c>
      <c r="C921" s="3" t="s">
        <v>982</v>
      </c>
      <c r="D921" s="3" t="s">
        <v>932</v>
      </c>
      <c r="E921" s="3" t="str">
        <v>Nenzlingen</v>
      </c>
      <c r="I921" s="19">
        <v>3127</v>
      </c>
      <c r="J921" s="19" t="s">
        <v>4553</v>
      </c>
    </row>
    <row r="922" spans="1:10" x14ac:dyDescent="0.2">
      <c r="A922" s="3">
        <v>6035</v>
      </c>
      <c r="B922" s="3" t="s">
        <v>983</v>
      </c>
      <c r="C922" s="3" t="s">
        <v>982</v>
      </c>
      <c r="D922" s="3" t="s">
        <v>932</v>
      </c>
      <c r="E922" s="3" t="str">
        <v>Roggenburg</v>
      </c>
      <c r="I922" s="19">
        <v>3128</v>
      </c>
      <c r="J922" s="19" t="s">
        <v>4553</v>
      </c>
    </row>
    <row r="923" spans="1:10" x14ac:dyDescent="0.2">
      <c r="A923" s="3">
        <v>6036</v>
      </c>
      <c r="B923" s="3" t="s">
        <v>984</v>
      </c>
      <c r="C923" s="3" t="s">
        <v>984</v>
      </c>
      <c r="D923" s="3" t="s">
        <v>932</v>
      </c>
      <c r="E923" s="3" t="str">
        <v>Röschenz</v>
      </c>
      <c r="I923" s="19">
        <v>3132</v>
      </c>
      <c r="J923" s="19" t="s">
        <v>4553</v>
      </c>
    </row>
    <row r="924" spans="1:10" x14ac:dyDescent="0.2">
      <c r="A924" s="3">
        <v>6030</v>
      </c>
      <c r="B924" s="3" t="s">
        <v>985</v>
      </c>
      <c r="C924" s="3" t="s">
        <v>985</v>
      </c>
      <c r="D924" s="3" t="s">
        <v>932</v>
      </c>
      <c r="E924" s="3" t="str">
        <v>Wahlen</v>
      </c>
      <c r="I924" s="19">
        <v>3144</v>
      </c>
      <c r="J924" s="19" t="s">
        <v>4546</v>
      </c>
    </row>
    <row r="925" spans="1:10" x14ac:dyDescent="0.2">
      <c r="A925" s="3">
        <v>6038</v>
      </c>
      <c r="B925" s="3" t="s">
        <v>986</v>
      </c>
      <c r="C925" s="3" t="s">
        <v>986</v>
      </c>
      <c r="D925" s="3" t="s">
        <v>932</v>
      </c>
      <c r="E925" s="3" t="str">
        <v>Zwingen</v>
      </c>
      <c r="I925" s="19">
        <v>3145</v>
      </c>
      <c r="J925" s="19" t="s">
        <v>4546</v>
      </c>
    </row>
    <row r="926" spans="1:10" x14ac:dyDescent="0.2">
      <c r="A926" s="3">
        <v>6404</v>
      </c>
      <c r="B926" s="3" t="s">
        <v>987</v>
      </c>
      <c r="C926" s="3" t="s">
        <v>987</v>
      </c>
      <c r="D926" s="3" t="s">
        <v>932</v>
      </c>
      <c r="E926" s="3" t="str">
        <v>Arisdorf</v>
      </c>
      <c r="I926" s="19">
        <v>3147</v>
      </c>
      <c r="J926" s="19" t="s">
        <v>4546</v>
      </c>
    </row>
    <row r="927" spans="1:10" x14ac:dyDescent="0.2">
      <c r="A927" s="3">
        <v>6038</v>
      </c>
      <c r="B927" s="3" t="s">
        <v>988</v>
      </c>
      <c r="C927" s="3" t="s">
        <v>988</v>
      </c>
      <c r="D927" s="3" t="s">
        <v>932</v>
      </c>
      <c r="E927" s="3" t="str">
        <v>Augst</v>
      </c>
      <c r="I927" s="19">
        <v>3148</v>
      </c>
      <c r="J927" s="19" t="s">
        <v>4546</v>
      </c>
    </row>
    <row r="928" spans="1:10" x14ac:dyDescent="0.2">
      <c r="A928" s="3">
        <v>6005</v>
      </c>
      <c r="B928" s="3" t="s">
        <v>989</v>
      </c>
      <c r="C928" s="3" t="s">
        <v>990</v>
      </c>
      <c r="D928" s="3" t="s">
        <v>932</v>
      </c>
      <c r="E928" s="3" t="str">
        <v>Bubendorf</v>
      </c>
      <c r="I928" s="19">
        <v>3150</v>
      </c>
      <c r="J928" s="19" t="s">
        <v>4540</v>
      </c>
    </row>
    <row r="929" spans="1:10" x14ac:dyDescent="0.2">
      <c r="A929" s="3">
        <v>6047</v>
      </c>
      <c r="B929" s="3" t="s">
        <v>991</v>
      </c>
      <c r="C929" s="3" t="s">
        <v>990</v>
      </c>
      <c r="D929" s="3" t="s">
        <v>932</v>
      </c>
      <c r="E929" s="3" t="str">
        <v>Frenkendorf</v>
      </c>
      <c r="I929" s="19">
        <v>3152</v>
      </c>
      <c r="J929" s="19" t="s">
        <v>4540</v>
      </c>
    </row>
    <row r="930" spans="1:10" x14ac:dyDescent="0.2">
      <c r="A930" s="3">
        <v>6048</v>
      </c>
      <c r="B930" s="3" t="s">
        <v>990</v>
      </c>
      <c r="C930" s="3" t="s">
        <v>990</v>
      </c>
      <c r="D930" s="3" t="s">
        <v>932</v>
      </c>
      <c r="E930" s="3" t="str">
        <v>Füllinsdorf</v>
      </c>
      <c r="I930" s="19">
        <v>3153</v>
      </c>
      <c r="J930" s="19" t="s">
        <v>4540</v>
      </c>
    </row>
    <row r="931" spans="1:10" x14ac:dyDescent="0.2">
      <c r="A931" s="3">
        <v>6010</v>
      </c>
      <c r="B931" s="3" t="s">
        <v>992</v>
      </c>
      <c r="C931" s="3" t="s">
        <v>992</v>
      </c>
      <c r="D931" s="3" t="s">
        <v>932</v>
      </c>
      <c r="E931" s="3" t="str">
        <v>Giebenach</v>
      </c>
      <c r="I931" s="19">
        <v>3154</v>
      </c>
      <c r="J931" s="19" t="s">
        <v>4540</v>
      </c>
    </row>
    <row r="932" spans="1:10" x14ac:dyDescent="0.2">
      <c r="A932" s="3">
        <v>6012</v>
      </c>
      <c r="B932" s="3" t="s">
        <v>993</v>
      </c>
      <c r="C932" s="3" t="s">
        <v>992</v>
      </c>
      <c r="D932" s="3" t="s">
        <v>932</v>
      </c>
      <c r="E932" s="3" t="str">
        <v>Hersberg</v>
      </c>
      <c r="I932" s="19">
        <v>3155</v>
      </c>
      <c r="J932" s="19" t="s">
        <v>4540</v>
      </c>
    </row>
    <row r="933" spans="1:10" x14ac:dyDescent="0.2">
      <c r="A933" s="3">
        <v>6003</v>
      </c>
      <c r="B933" s="3" t="s">
        <v>994</v>
      </c>
      <c r="C933" s="3" t="s">
        <v>994</v>
      </c>
      <c r="D933" s="3" t="s">
        <v>932</v>
      </c>
      <c r="E933" s="3" t="str">
        <v>Lausen</v>
      </c>
      <c r="I933" s="19">
        <v>3156</v>
      </c>
      <c r="J933" s="19" t="s">
        <v>4540</v>
      </c>
    </row>
    <row r="934" spans="1:10" x14ac:dyDescent="0.2">
      <c r="A934" s="3">
        <v>6004</v>
      </c>
      <c r="B934" s="3" t="s">
        <v>994</v>
      </c>
      <c r="C934" s="3" t="s">
        <v>994</v>
      </c>
      <c r="D934" s="3" t="s">
        <v>932</v>
      </c>
      <c r="E934" s="3" t="str">
        <v>Liestal</v>
      </c>
      <c r="I934" s="19">
        <v>3157</v>
      </c>
      <c r="J934" s="19" t="s">
        <v>4540</v>
      </c>
    </row>
    <row r="935" spans="1:10" x14ac:dyDescent="0.2">
      <c r="A935" s="3">
        <v>6005</v>
      </c>
      <c r="B935" s="3" t="s">
        <v>994</v>
      </c>
      <c r="C935" s="3" t="s">
        <v>994</v>
      </c>
      <c r="D935" s="3" t="s">
        <v>932</v>
      </c>
      <c r="E935" s="3" t="str">
        <v>Lupsingen</v>
      </c>
      <c r="I935" s="19">
        <v>3158</v>
      </c>
      <c r="J935" s="19" t="s">
        <v>4540</v>
      </c>
    </row>
    <row r="936" spans="1:10" x14ac:dyDescent="0.2">
      <c r="A936" s="3">
        <v>6006</v>
      </c>
      <c r="B936" s="3" t="s">
        <v>994</v>
      </c>
      <c r="C936" s="3" t="s">
        <v>994</v>
      </c>
      <c r="D936" s="3" t="s">
        <v>932</v>
      </c>
      <c r="E936" s="3" t="str">
        <v>Pratteln</v>
      </c>
      <c r="I936" s="19">
        <v>3159</v>
      </c>
      <c r="J936" s="19" t="s">
        <v>4540</v>
      </c>
    </row>
    <row r="937" spans="1:10" x14ac:dyDescent="0.2">
      <c r="A937" s="3">
        <v>6014</v>
      </c>
      <c r="B937" s="3" t="s">
        <v>994</v>
      </c>
      <c r="C937" s="3" t="s">
        <v>994</v>
      </c>
      <c r="D937" s="3" t="s">
        <v>932</v>
      </c>
      <c r="E937" s="3" t="str">
        <v>Ramlinsburg</v>
      </c>
      <c r="I937" s="19">
        <v>3172</v>
      </c>
      <c r="J937" s="19" t="s">
        <v>4546</v>
      </c>
    </row>
    <row r="938" spans="1:10" x14ac:dyDescent="0.2">
      <c r="A938" s="3">
        <v>6015</v>
      </c>
      <c r="B938" s="3" t="s">
        <v>994</v>
      </c>
      <c r="C938" s="3" t="s">
        <v>994</v>
      </c>
      <c r="D938" s="3" t="s">
        <v>932</v>
      </c>
      <c r="E938" s="3" t="str">
        <v>Seltisberg</v>
      </c>
      <c r="I938" s="19">
        <v>3173</v>
      </c>
      <c r="J938" s="19" t="s">
        <v>4546</v>
      </c>
    </row>
    <row r="939" spans="1:10" x14ac:dyDescent="0.2">
      <c r="A939" s="3">
        <v>6102</v>
      </c>
      <c r="B939" s="3" t="s">
        <v>995</v>
      </c>
      <c r="C939" s="3" t="s">
        <v>995</v>
      </c>
      <c r="D939" s="3" t="s">
        <v>932</v>
      </c>
      <c r="E939" s="3" t="str">
        <v>Ziefen</v>
      </c>
      <c r="I939" s="19">
        <v>3174</v>
      </c>
      <c r="J939" s="19" t="s">
        <v>4546</v>
      </c>
    </row>
    <row r="940" spans="1:10" x14ac:dyDescent="0.2">
      <c r="A940" s="3">
        <v>6045</v>
      </c>
      <c r="B940" s="3" t="s">
        <v>996</v>
      </c>
      <c r="C940" s="3" t="s">
        <v>996</v>
      </c>
      <c r="D940" s="3" t="s">
        <v>932</v>
      </c>
      <c r="E940" s="3" t="str">
        <v>Anwil</v>
      </c>
      <c r="I940" s="19">
        <v>3175</v>
      </c>
      <c r="J940" s="19" t="s">
        <v>4546</v>
      </c>
    </row>
    <row r="941" spans="1:10" x14ac:dyDescent="0.2">
      <c r="A941" s="3">
        <v>6344</v>
      </c>
      <c r="B941" s="3" t="s">
        <v>997</v>
      </c>
      <c r="C941" s="3" t="s">
        <v>997</v>
      </c>
      <c r="D941" s="3" t="s">
        <v>932</v>
      </c>
      <c r="E941" s="3" t="str">
        <v>Böckten</v>
      </c>
      <c r="I941" s="19">
        <v>3176</v>
      </c>
      <c r="J941" s="19" t="s">
        <v>4546</v>
      </c>
    </row>
    <row r="942" spans="1:10" x14ac:dyDescent="0.2">
      <c r="A942" s="3">
        <v>6037</v>
      </c>
      <c r="B942" s="3" t="s">
        <v>998</v>
      </c>
      <c r="C942" s="3" t="s">
        <v>998</v>
      </c>
      <c r="D942" s="3" t="s">
        <v>932</v>
      </c>
      <c r="E942" s="3" t="str">
        <v>Buckten</v>
      </c>
      <c r="I942" s="19">
        <v>3177</v>
      </c>
      <c r="J942" s="19" t="s">
        <v>4543</v>
      </c>
    </row>
    <row r="943" spans="1:10" x14ac:dyDescent="0.2">
      <c r="A943" s="3">
        <v>6039</v>
      </c>
      <c r="B943" s="3" t="s">
        <v>999</v>
      </c>
      <c r="C943" s="3" t="s">
        <v>998</v>
      </c>
      <c r="D943" s="3" t="s">
        <v>932</v>
      </c>
      <c r="E943" s="3" t="str">
        <v>Buus</v>
      </c>
      <c r="I943" s="19">
        <v>3178</v>
      </c>
      <c r="J943" s="19" t="s">
        <v>4543</v>
      </c>
    </row>
    <row r="944" spans="1:10" x14ac:dyDescent="0.2">
      <c r="A944" s="3">
        <v>6013</v>
      </c>
      <c r="B944" s="3" t="s">
        <v>1000</v>
      </c>
      <c r="C944" s="3" t="s">
        <v>1001</v>
      </c>
      <c r="D944" s="3" t="s">
        <v>932</v>
      </c>
      <c r="E944" s="3" t="str">
        <v>Diepflingen</v>
      </c>
      <c r="I944" s="19">
        <v>3179</v>
      </c>
      <c r="J944" s="19" t="s">
        <v>4543</v>
      </c>
    </row>
    <row r="945" spans="1:10" x14ac:dyDescent="0.2">
      <c r="A945" s="3">
        <v>6103</v>
      </c>
      <c r="B945" s="3" t="s">
        <v>1002</v>
      </c>
      <c r="C945" s="3" t="s">
        <v>1001</v>
      </c>
      <c r="D945" s="3" t="s">
        <v>932</v>
      </c>
      <c r="E945" s="3" t="str">
        <v>Gelterkinden</v>
      </c>
      <c r="I945" s="19">
        <v>3182</v>
      </c>
      <c r="J945" s="19" t="s">
        <v>4546</v>
      </c>
    </row>
    <row r="946" spans="1:10" x14ac:dyDescent="0.2">
      <c r="A946" s="3">
        <v>6044</v>
      </c>
      <c r="B946" s="3" t="s">
        <v>1003</v>
      </c>
      <c r="C946" s="3" t="s">
        <v>1003</v>
      </c>
      <c r="D946" s="3" t="s">
        <v>932</v>
      </c>
      <c r="E946" s="3" t="str">
        <v>Häfelfingen</v>
      </c>
      <c r="I946" s="19">
        <v>3183</v>
      </c>
      <c r="J946" s="19" t="s">
        <v>4546</v>
      </c>
    </row>
    <row r="947" spans="1:10" x14ac:dyDescent="0.2">
      <c r="A947" s="3">
        <v>6354</v>
      </c>
      <c r="B947" s="3" t="s">
        <v>1004</v>
      </c>
      <c r="C947" s="3" t="s">
        <v>1004</v>
      </c>
      <c r="D947" s="3" t="s">
        <v>932</v>
      </c>
      <c r="E947" s="3" t="str">
        <v>Hemmiken</v>
      </c>
      <c r="I947" s="19">
        <v>3184</v>
      </c>
      <c r="J947" s="19" t="s">
        <v>4546</v>
      </c>
    </row>
    <row r="948" spans="1:10" x14ac:dyDescent="0.2">
      <c r="A948" s="3">
        <v>6353</v>
      </c>
      <c r="B948" s="3" t="s">
        <v>1005</v>
      </c>
      <c r="C948" s="3" t="s">
        <v>1005</v>
      </c>
      <c r="D948" s="3" t="s">
        <v>932</v>
      </c>
      <c r="E948" s="3" t="str">
        <v>Itingen</v>
      </c>
      <c r="I948" s="19">
        <v>3185</v>
      </c>
      <c r="J948" s="19" t="s">
        <v>4540</v>
      </c>
    </row>
    <row r="949" spans="1:10" x14ac:dyDescent="0.2">
      <c r="A949" s="3">
        <v>6356</v>
      </c>
      <c r="B949" s="3" t="s">
        <v>1006</v>
      </c>
      <c r="C949" s="3" t="s">
        <v>1005</v>
      </c>
      <c r="D949" s="3" t="s">
        <v>932</v>
      </c>
      <c r="E949" s="3" t="str">
        <v>Känerkinden</v>
      </c>
      <c r="I949" s="19">
        <v>3186</v>
      </c>
      <c r="J949" s="19" t="s">
        <v>4540</v>
      </c>
    </row>
    <row r="950" spans="1:10" x14ac:dyDescent="0.2">
      <c r="A950" s="3">
        <v>6025</v>
      </c>
      <c r="B950" s="3" t="s">
        <v>1007</v>
      </c>
      <c r="C950" s="3" t="s">
        <v>1008</v>
      </c>
      <c r="D950" s="3" t="s">
        <v>932</v>
      </c>
      <c r="E950" s="3" t="str">
        <v>Kilchberg (BL)</v>
      </c>
      <c r="I950" s="19">
        <v>3202</v>
      </c>
      <c r="J950" s="19" t="s">
        <v>4546</v>
      </c>
    </row>
    <row r="951" spans="1:10" x14ac:dyDescent="0.2">
      <c r="A951" s="3">
        <v>6215</v>
      </c>
      <c r="B951" s="3" t="s">
        <v>1008</v>
      </c>
      <c r="C951" s="3" t="s">
        <v>1008</v>
      </c>
      <c r="D951" s="3" t="s">
        <v>932</v>
      </c>
      <c r="E951" s="3" t="str">
        <v>Läufelfingen</v>
      </c>
      <c r="I951" s="19">
        <v>3203</v>
      </c>
      <c r="J951" s="19" t="s">
        <v>4546</v>
      </c>
    </row>
    <row r="952" spans="1:10" x14ac:dyDescent="0.2">
      <c r="A952" s="3">
        <v>6215</v>
      </c>
      <c r="B952" s="3" t="s">
        <v>1009</v>
      </c>
      <c r="C952" s="3" t="s">
        <v>1008</v>
      </c>
      <c r="D952" s="3" t="s">
        <v>932</v>
      </c>
      <c r="E952" s="3" t="str">
        <v>Maisprach</v>
      </c>
      <c r="I952" s="19">
        <v>3204</v>
      </c>
      <c r="J952" s="19" t="s">
        <v>4546</v>
      </c>
    </row>
    <row r="953" spans="1:10" x14ac:dyDescent="0.2">
      <c r="A953" s="3">
        <v>6222</v>
      </c>
      <c r="B953" s="3" t="s">
        <v>1010</v>
      </c>
      <c r="C953" s="3" t="s">
        <v>1008</v>
      </c>
      <c r="D953" s="3" t="s">
        <v>932</v>
      </c>
      <c r="E953" s="3" t="str">
        <v>Nusshof</v>
      </c>
      <c r="I953" s="19">
        <v>3205</v>
      </c>
      <c r="J953" s="19" t="s">
        <v>4546</v>
      </c>
    </row>
    <row r="954" spans="1:10" x14ac:dyDescent="0.2">
      <c r="A954" s="3">
        <v>6233</v>
      </c>
      <c r="B954" s="3" t="s">
        <v>1011</v>
      </c>
      <c r="C954" s="3" t="s">
        <v>1011</v>
      </c>
      <c r="D954" s="3" t="s">
        <v>932</v>
      </c>
      <c r="E954" s="3" t="str">
        <v>Oltingen</v>
      </c>
      <c r="I954" s="19">
        <v>3206</v>
      </c>
      <c r="J954" s="19" t="s">
        <v>4543</v>
      </c>
    </row>
    <row r="955" spans="1:10" x14ac:dyDescent="0.2">
      <c r="A955" s="3">
        <v>6018</v>
      </c>
      <c r="B955" s="3" t="s">
        <v>1012</v>
      </c>
      <c r="C955" s="3" t="s">
        <v>1012</v>
      </c>
      <c r="D955" s="3" t="s">
        <v>932</v>
      </c>
      <c r="E955" s="3" t="str">
        <v>Ormalingen</v>
      </c>
      <c r="I955" s="19">
        <v>3207</v>
      </c>
      <c r="J955" s="19" t="s">
        <v>4546</v>
      </c>
    </row>
    <row r="956" spans="1:10" x14ac:dyDescent="0.2">
      <c r="A956" s="3">
        <v>6205</v>
      </c>
      <c r="B956" s="3" t="s">
        <v>1013</v>
      </c>
      <c r="C956" s="3" t="s">
        <v>1013</v>
      </c>
      <c r="D956" s="3" t="s">
        <v>932</v>
      </c>
      <c r="E956" s="3" t="str">
        <v>Rickenbach (BL)</v>
      </c>
      <c r="I956" s="19">
        <v>3208</v>
      </c>
      <c r="J956" s="19" t="s">
        <v>4546</v>
      </c>
    </row>
    <row r="957" spans="1:10" x14ac:dyDescent="0.2">
      <c r="A957" s="3">
        <v>6232</v>
      </c>
      <c r="B957" s="3" t="s">
        <v>1014</v>
      </c>
      <c r="C957" s="3" t="s">
        <v>1014</v>
      </c>
      <c r="D957" s="3" t="s">
        <v>932</v>
      </c>
      <c r="E957" s="3" t="str">
        <v>Rothenfluh</v>
      </c>
      <c r="I957" s="19">
        <v>3210</v>
      </c>
      <c r="J957" s="19" t="s">
        <v>4546</v>
      </c>
    </row>
    <row r="958" spans="1:10" x14ac:dyDescent="0.2">
      <c r="A958" s="3">
        <v>6022</v>
      </c>
      <c r="B958" s="3" t="s">
        <v>1015</v>
      </c>
      <c r="C958" s="3" t="s">
        <v>1015</v>
      </c>
      <c r="D958" s="3" t="s">
        <v>932</v>
      </c>
      <c r="E958" s="3" t="str">
        <v>Rümlingen</v>
      </c>
      <c r="I958" s="19">
        <v>3212</v>
      </c>
      <c r="J958" s="19" t="s">
        <v>4543</v>
      </c>
    </row>
    <row r="959" spans="1:10" x14ac:dyDescent="0.2">
      <c r="A959" s="3">
        <v>6024</v>
      </c>
      <c r="B959" s="3" t="s">
        <v>1016</v>
      </c>
      <c r="C959" s="3" t="s">
        <v>1016</v>
      </c>
      <c r="D959" s="3" t="s">
        <v>932</v>
      </c>
      <c r="E959" s="3" t="str">
        <v>Rünenberg</v>
      </c>
      <c r="I959" s="19">
        <v>3213</v>
      </c>
      <c r="J959" s="19" t="s">
        <v>4543</v>
      </c>
    </row>
    <row r="960" spans="1:10" x14ac:dyDescent="0.2">
      <c r="A960" s="3">
        <v>6212</v>
      </c>
      <c r="B960" s="3" t="s">
        <v>1017</v>
      </c>
      <c r="C960" s="3" t="s">
        <v>1018</v>
      </c>
      <c r="D960" s="3" t="s">
        <v>932</v>
      </c>
      <c r="E960" s="3" t="str">
        <v>Sissach</v>
      </c>
      <c r="I960" s="19">
        <v>3214</v>
      </c>
      <c r="J960" s="19" t="s">
        <v>4543</v>
      </c>
    </row>
    <row r="961" spans="1:10" x14ac:dyDescent="0.2">
      <c r="A961" s="3">
        <v>6213</v>
      </c>
      <c r="B961" s="3" t="s">
        <v>1018</v>
      </c>
      <c r="C961" s="3" t="s">
        <v>1018</v>
      </c>
      <c r="D961" s="3" t="s">
        <v>932</v>
      </c>
      <c r="E961" s="3" t="str">
        <v>Tecknau</v>
      </c>
      <c r="I961" s="19">
        <v>3215</v>
      </c>
      <c r="J961" s="19" t="s">
        <v>4543</v>
      </c>
    </row>
    <row r="962" spans="1:10" x14ac:dyDescent="0.2">
      <c r="A962" s="3">
        <v>6212</v>
      </c>
      <c r="B962" s="3" t="s">
        <v>1019</v>
      </c>
      <c r="C962" s="3" t="s">
        <v>1020</v>
      </c>
      <c r="D962" s="3" t="s">
        <v>932</v>
      </c>
      <c r="E962" s="3" t="str">
        <v>Tenniken</v>
      </c>
      <c r="I962" s="19">
        <v>3216</v>
      </c>
      <c r="J962" s="19" t="s">
        <v>4543</v>
      </c>
    </row>
    <row r="963" spans="1:10" x14ac:dyDescent="0.2">
      <c r="A963" s="3">
        <v>6216</v>
      </c>
      <c r="B963" s="3" t="s">
        <v>1020</v>
      </c>
      <c r="C963" s="3" t="s">
        <v>1020</v>
      </c>
      <c r="D963" s="3" t="s">
        <v>932</v>
      </c>
      <c r="E963" s="3" t="str">
        <v>Thürnen</v>
      </c>
      <c r="I963" s="19">
        <v>3225</v>
      </c>
      <c r="J963" s="19" t="s">
        <v>4543</v>
      </c>
    </row>
    <row r="964" spans="1:10" x14ac:dyDescent="0.2">
      <c r="A964" s="3">
        <v>6016</v>
      </c>
      <c r="B964" s="3" t="s">
        <v>1021</v>
      </c>
      <c r="C964" s="3" t="s">
        <v>1022</v>
      </c>
      <c r="D964" s="3" t="s">
        <v>932</v>
      </c>
      <c r="E964" s="3" t="str">
        <v>Wenslingen</v>
      </c>
      <c r="I964" s="19">
        <v>3226</v>
      </c>
      <c r="J964" s="19" t="s">
        <v>4546</v>
      </c>
    </row>
    <row r="965" spans="1:10" x14ac:dyDescent="0.2">
      <c r="A965" s="3">
        <v>6203</v>
      </c>
      <c r="B965" s="3" t="s">
        <v>1023</v>
      </c>
      <c r="C965" s="3" t="s">
        <v>1022</v>
      </c>
      <c r="D965" s="3" t="s">
        <v>932</v>
      </c>
      <c r="E965" s="3" t="str">
        <v>Wintersingen</v>
      </c>
      <c r="I965" s="19">
        <v>3232</v>
      </c>
      <c r="J965" s="19" t="s">
        <v>4543</v>
      </c>
    </row>
    <row r="966" spans="1:10" x14ac:dyDescent="0.2">
      <c r="A966" s="3">
        <v>6206</v>
      </c>
      <c r="B966" s="3" t="s">
        <v>1022</v>
      </c>
      <c r="C966" s="3" t="s">
        <v>1022</v>
      </c>
      <c r="D966" s="3" t="s">
        <v>932</v>
      </c>
      <c r="E966" s="3" t="str">
        <v>Wittinsburg</v>
      </c>
      <c r="I966" s="19">
        <v>3233</v>
      </c>
      <c r="J966" s="19" t="s">
        <v>4543</v>
      </c>
    </row>
    <row r="967" spans="1:10" x14ac:dyDescent="0.2">
      <c r="A967" s="3">
        <v>6207</v>
      </c>
      <c r="B967" s="3" t="s">
        <v>1024</v>
      </c>
      <c r="C967" s="3" t="s">
        <v>1024</v>
      </c>
      <c r="D967" s="3" t="s">
        <v>932</v>
      </c>
      <c r="E967" s="3" t="str">
        <v>Zeglingen</v>
      </c>
      <c r="I967" s="19">
        <v>3234</v>
      </c>
      <c r="J967" s="19" t="s">
        <v>4546</v>
      </c>
    </row>
    <row r="968" spans="1:10" x14ac:dyDescent="0.2">
      <c r="A968" s="3">
        <v>6208</v>
      </c>
      <c r="B968" s="3" t="s">
        <v>1025</v>
      </c>
      <c r="C968" s="3" t="s">
        <v>1026</v>
      </c>
      <c r="D968" s="3" t="s">
        <v>932</v>
      </c>
      <c r="E968" s="3" t="str">
        <v>Zunzgen</v>
      </c>
      <c r="I968" s="19">
        <v>3235</v>
      </c>
      <c r="J968" s="19" t="s">
        <v>4546</v>
      </c>
    </row>
    <row r="969" spans="1:10" x14ac:dyDescent="0.2">
      <c r="A969" s="3">
        <v>5735</v>
      </c>
      <c r="B969" s="3" t="s">
        <v>1027</v>
      </c>
      <c r="C969" s="3" t="s">
        <v>1028</v>
      </c>
      <c r="D969" s="3" t="s">
        <v>932</v>
      </c>
      <c r="E969" s="3" t="str">
        <v>Arboldswil</v>
      </c>
      <c r="I969" s="19">
        <v>3236</v>
      </c>
      <c r="J969" s="19" t="s">
        <v>4543</v>
      </c>
    </row>
    <row r="970" spans="1:10" x14ac:dyDescent="0.2">
      <c r="A970" s="3">
        <v>6221</v>
      </c>
      <c r="B970" s="3" t="s">
        <v>1029</v>
      </c>
      <c r="C970" s="3" t="s">
        <v>1028</v>
      </c>
      <c r="D970" s="3" t="s">
        <v>932</v>
      </c>
      <c r="E970" s="3" t="str">
        <v>Bennwil</v>
      </c>
      <c r="I970" s="19">
        <v>3237</v>
      </c>
      <c r="J970" s="19" t="s">
        <v>4546</v>
      </c>
    </row>
    <row r="971" spans="1:10" x14ac:dyDescent="0.2">
      <c r="A971" s="3">
        <v>6017</v>
      </c>
      <c r="B971" s="3" t="s">
        <v>1030</v>
      </c>
      <c r="C971" s="3" t="s">
        <v>1030</v>
      </c>
      <c r="D971" s="3" t="s">
        <v>932</v>
      </c>
      <c r="E971" s="3" t="str">
        <v>Bretzwil</v>
      </c>
      <c r="I971" s="19">
        <v>3238</v>
      </c>
      <c r="J971" s="19" t="s">
        <v>4543</v>
      </c>
    </row>
    <row r="972" spans="1:10" x14ac:dyDescent="0.2">
      <c r="A972" s="3">
        <v>6019</v>
      </c>
      <c r="B972" s="3" t="s">
        <v>1031</v>
      </c>
      <c r="C972" s="3" t="s">
        <v>1030</v>
      </c>
      <c r="D972" s="3" t="s">
        <v>932</v>
      </c>
      <c r="E972" s="3" t="str">
        <v>Diegten</v>
      </c>
      <c r="I972" s="19">
        <v>3250</v>
      </c>
      <c r="J972" s="19" t="s">
        <v>4546</v>
      </c>
    </row>
    <row r="973" spans="1:10" x14ac:dyDescent="0.2">
      <c r="A973" s="3">
        <v>6214</v>
      </c>
      <c r="B973" s="3" t="s">
        <v>1032</v>
      </c>
      <c r="C973" s="3" t="s">
        <v>1032</v>
      </c>
      <c r="D973" s="3" t="s">
        <v>932</v>
      </c>
      <c r="E973" s="3" t="str">
        <v>Eptingen</v>
      </c>
      <c r="I973" s="19">
        <v>3251</v>
      </c>
      <c r="J973" s="19" t="s">
        <v>4546</v>
      </c>
    </row>
    <row r="974" spans="1:10" x14ac:dyDescent="0.2">
      <c r="A974" s="3">
        <v>6231</v>
      </c>
      <c r="B974" s="3" t="s">
        <v>1033</v>
      </c>
      <c r="C974" s="3" t="s">
        <v>1033</v>
      </c>
      <c r="D974" s="3" t="s">
        <v>932</v>
      </c>
      <c r="E974" s="3" t="str">
        <v>Hölstein</v>
      </c>
      <c r="I974" s="19">
        <v>3252</v>
      </c>
      <c r="J974" s="19" t="s">
        <v>4546</v>
      </c>
    </row>
    <row r="975" spans="1:10" x14ac:dyDescent="0.2">
      <c r="A975" s="3">
        <v>6204</v>
      </c>
      <c r="B975" s="3" t="s">
        <v>1034</v>
      </c>
      <c r="C975" s="3" t="s">
        <v>1034</v>
      </c>
      <c r="D975" s="3" t="s">
        <v>932</v>
      </c>
      <c r="E975" s="3" t="str">
        <v>Lampenberg</v>
      </c>
      <c r="I975" s="19">
        <v>3253</v>
      </c>
      <c r="J975" s="19" t="s">
        <v>4546</v>
      </c>
    </row>
    <row r="976" spans="1:10" x14ac:dyDescent="0.2">
      <c r="A976" s="3">
        <v>6210</v>
      </c>
      <c r="B976" s="3" t="s">
        <v>1035</v>
      </c>
      <c r="C976" s="3" t="s">
        <v>1035</v>
      </c>
      <c r="D976" s="3" t="s">
        <v>932</v>
      </c>
      <c r="E976" s="3" t="str">
        <v>Langenbruck</v>
      </c>
      <c r="I976" s="19">
        <v>3254</v>
      </c>
      <c r="J976" s="19" t="s">
        <v>4546</v>
      </c>
    </row>
    <row r="977" spans="1:10" x14ac:dyDescent="0.2">
      <c r="A977" s="3">
        <v>6234</v>
      </c>
      <c r="B977" s="3" t="s">
        <v>1036</v>
      </c>
      <c r="C977" s="3" t="s">
        <v>1036</v>
      </c>
      <c r="D977" s="3" t="s">
        <v>932</v>
      </c>
      <c r="E977" s="3" t="str">
        <v>Lauwil</v>
      </c>
      <c r="I977" s="19">
        <v>3255</v>
      </c>
      <c r="J977" s="19" t="s">
        <v>4546</v>
      </c>
    </row>
    <row r="978" spans="1:10" x14ac:dyDescent="0.2">
      <c r="A978" s="3">
        <v>6234</v>
      </c>
      <c r="B978" s="3" t="s">
        <v>1037</v>
      </c>
      <c r="C978" s="3" t="s">
        <v>1036</v>
      </c>
      <c r="D978" s="3" t="s">
        <v>932</v>
      </c>
      <c r="E978" s="3" t="str">
        <v>Liedertswil</v>
      </c>
      <c r="I978" s="19">
        <v>3256</v>
      </c>
      <c r="J978" s="19" t="s">
        <v>4546</v>
      </c>
    </row>
    <row r="979" spans="1:10" x14ac:dyDescent="0.2">
      <c r="A979" s="3">
        <v>6235</v>
      </c>
      <c r="B979" s="3" t="s">
        <v>1038</v>
      </c>
      <c r="C979" s="3" t="s">
        <v>1036</v>
      </c>
      <c r="D979" s="3" t="s">
        <v>932</v>
      </c>
      <c r="E979" s="3" t="str">
        <v>Niederdorf</v>
      </c>
      <c r="I979" s="19">
        <v>3257</v>
      </c>
      <c r="J979" s="19" t="s">
        <v>4546</v>
      </c>
    </row>
    <row r="980" spans="1:10" x14ac:dyDescent="0.2">
      <c r="A980" s="3">
        <v>6236</v>
      </c>
      <c r="B980" s="3" t="s">
        <v>1039</v>
      </c>
      <c r="C980" s="3" t="s">
        <v>1036</v>
      </c>
      <c r="D980" s="3" t="s">
        <v>932</v>
      </c>
      <c r="E980" s="3" t="str">
        <v>Oberdorf (BL)</v>
      </c>
      <c r="I980" s="19">
        <v>3262</v>
      </c>
      <c r="J980" s="19" t="s">
        <v>4546</v>
      </c>
    </row>
    <row r="981" spans="1:10" x14ac:dyDescent="0.2">
      <c r="A981" s="3">
        <v>6110</v>
      </c>
      <c r="B981" s="3" t="s">
        <v>1040</v>
      </c>
      <c r="C981" s="3" t="s">
        <v>1040</v>
      </c>
      <c r="D981" s="3" t="s">
        <v>932</v>
      </c>
      <c r="E981" s="3" t="str">
        <v>Reigoldswil</v>
      </c>
      <c r="I981" s="19">
        <v>3263</v>
      </c>
      <c r="J981" s="19" t="s">
        <v>4546</v>
      </c>
    </row>
    <row r="982" spans="1:10" x14ac:dyDescent="0.2">
      <c r="A982" s="3">
        <v>6114</v>
      </c>
      <c r="B982" s="3" t="s">
        <v>1041</v>
      </c>
      <c r="C982" s="3" t="s">
        <v>1040</v>
      </c>
      <c r="D982" s="3" t="s">
        <v>932</v>
      </c>
      <c r="E982" s="3" t="str">
        <v>Titterten</v>
      </c>
      <c r="I982" s="19">
        <v>3264</v>
      </c>
      <c r="J982" s="19" t="s">
        <v>4546</v>
      </c>
    </row>
    <row r="983" spans="1:10" x14ac:dyDescent="0.2">
      <c r="A983" s="3">
        <v>6248</v>
      </c>
      <c r="B983" s="3" t="s">
        <v>1042</v>
      </c>
      <c r="C983" s="3" t="s">
        <v>1042</v>
      </c>
      <c r="D983" s="3" t="s">
        <v>932</v>
      </c>
      <c r="E983" s="3" t="str">
        <v>Waldenburg</v>
      </c>
      <c r="I983" s="19">
        <v>3266</v>
      </c>
      <c r="J983" s="19" t="s">
        <v>4546</v>
      </c>
    </row>
    <row r="984" spans="1:10" x14ac:dyDescent="0.2">
      <c r="A984" s="3">
        <v>6147</v>
      </c>
      <c r="B984" s="3" t="s">
        <v>1043</v>
      </c>
      <c r="C984" s="3" t="s">
        <v>1043</v>
      </c>
      <c r="D984" s="3" t="s">
        <v>932</v>
      </c>
      <c r="E984" s="3" t="str">
        <v>Gächlingen</v>
      </c>
      <c r="I984" s="19">
        <v>3267</v>
      </c>
      <c r="J984" s="19" t="s">
        <v>4546</v>
      </c>
    </row>
    <row r="985" spans="1:10" x14ac:dyDescent="0.2">
      <c r="A985" s="3">
        <v>6245</v>
      </c>
      <c r="B985" s="3" t="s">
        <v>1044</v>
      </c>
      <c r="C985" s="3" t="s">
        <v>1045</v>
      </c>
      <c r="D985" s="3" t="s">
        <v>932</v>
      </c>
      <c r="E985" s="3" t="str">
        <v>Löhningen</v>
      </c>
      <c r="I985" s="19">
        <v>3268</v>
      </c>
      <c r="J985" s="19" t="s">
        <v>4546</v>
      </c>
    </row>
    <row r="986" spans="1:10" x14ac:dyDescent="0.2">
      <c r="A986" s="3">
        <v>6246</v>
      </c>
      <c r="B986" s="3" t="s">
        <v>1045</v>
      </c>
      <c r="C986" s="3" t="s">
        <v>1045</v>
      </c>
      <c r="D986" s="3" t="s">
        <v>932</v>
      </c>
      <c r="E986" s="3" t="str">
        <v>Neunkirch</v>
      </c>
      <c r="I986" s="19">
        <v>3270</v>
      </c>
      <c r="J986" s="19" t="s">
        <v>4546</v>
      </c>
    </row>
    <row r="987" spans="1:10" x14ac:dyDescent="0.2">
      <c r="A987" s="3">
        <v>6211</v>
      </c>
      <c r="B987" s="3" t="s">
        <v>1046</v>
      </c>
      <c r="C987" s="3" t="s">
        <v>1047</v>
      </c>
      <c r="D987" s="3" t="s">
        <v>932</v>
      </c>
      <c r="E987" s="3" t="str">
        <v>Büttenhardt</v>
      </c>
      <c r="I987" s="19">
        <v>3271</v>
      </c>
      <c r="J987" s="19" t="s">
        <v>4546</v>
      </c>
    </row>
    <row r="988" spans="1:10" x14ac:dyDescent="0.2">
      <c r="A988" s="3">
        <v>6252</v>
      </c>
      <c r="B988" s="3" t="s">
        <v>1047</v>
      </c>
      <c r="C988" s="3" t="s">
        <v>1047</v>
      </c>
      <c r="D988" s="3" t="s">
        <v>932</v>
      </c>
      <c r="E988" s="3" t="str">
        <v>Dörflingen</v>
      </c>
      <c r="I988" s="19">
        <v>3272</v>
      </c>
      <c r="J988" s="19" t="s">
        <v>4546</v>
      </c>
    </row>
    <row r="989" spans="1:10" x14ac:dyDescent="0.2">
      <c r="A989" s="3">
        <v>6253</v>
      </c>
      <c r="B989" s="3" t="s">
        <v>1048</v>
      </c>
      <c r="C989" s="3" t="s">
        <v>1047</v>
      </c>
      <c r="D989" s="3" t="s">
        <v>932</v>
      </c>
      <c r="E989" s="3" t="str">
        <v>Lohn (SH)</v>
      </c>
      <c r="I989" s="19">
        <v>3273</v>
      </c>
      <c r="J989" s="19" t="s">
        <v>4546</v>
      </c>
    </row>
    <row r="990" spans="1:10" x14ac:dyDescent="0.2">
      <c r="A990" s="3">
        <v>6243</v>
      </c>
      <c r="B990" s="3" t="s">
        <v>1049</v>
      </c>
      <c r="C990" s="3" t="s">
        <v>1049</v>
      </c>
      <c r="D990" s="3" t="s">
        <v>932</v>
      </c>
      <c r="E990" s="3" t="str">
        <v>Stetten (SH)</v>
      </c>
      <c r="I990" s="19">
        <v>3274</v>
      </c>
      <c r="J990" s="19" t="s">
        <v>4546</v>
      </c>
    </row>
    <row r="991" spans="1:10" x14ac:dyDescent="0.2">
      <c r="A991" s="3">
        <v>6217</v>
      </c>
      <c r="B991" s="3" t="s">
        <v>1050</v>
      </c>
      <c r="C991" s="3" t="s">
        <v>1051</v>
      </c>
      <c r="D991" s="3" t="s">
        <v>932</v>
      </c>
      <c r="E991" s="3" t="str">
        <v>Thayngen</v>
      </c>
      <c r="I991" s="19">
        <v>3280</v>
      </c>
      <c r="J991" s="19" t="s">
        <v>4543</v>
      </c>
    </row>
    <row r="992" spans="1:10" x14ac:dyDescent="0.2">
      <c r="A992" s="3">
        <v>6218</v>
      </c>
      <c r="B992" s="3" t="s">
        <v>1051</v>
      </c>
      <c r="C992" s="3" t="s">
        <v>1051</v>
      </c>
      <c r="D992" s="3" t="s">
        <v>932</v>
      </c>
      <c r="E992" s="3" t="str">
        <v>Bargen (SH)</v>
      </c>
      <c r="I992" s="19">
        <v>3282</v>
      </c>
      <c r="J992" s="19" t="s">
        <v>4546</v>
      </c>
    </row>
    <row r="993" spans="1:10" x14ac:dyDescent="0.2">
      <c r="A993" s="3">
        <v>6145</v>
      </c>
      <c r="B993" s="3" t="s">
        <v>1052</v>
      </c>
      <c r="C993" s="3" t="s">
        <v>1053</v>
      </c>
      <c r="D993" s="3" t="s">
        <v>932</v>
      </c>
      <c r="E993" s="3" t="str">
        <v>Beringen</v>
      </c>
      <c r="I993" s="19">
        <v>3283</v>
      </c>
      <c r="J993" s="19" t="s">
        <v>4546</v>
      </c>
    </row>
    <row r="994" spans="1:10" x14ac:dyDescent="0.2">
      <c r="A994" s="3">
        <v>6146</v>
      </c>
      <c r="B994" s="3" t="s">
        <v>1054</v>
      </c>
      <c r="C994" s="3" t="s">
        <v>1054</v>
      </c>
      <c r="D994" s="3" t="s">
        <v>932</v>
      </c>
      <c r="E994" s="3" t="str">
        <v>Buchberg</v>
      </c>
      <c r="I994" s="19">
        <v>3284</v>
      </c>
      <c r="J994" s="19" t="s">
        <v>4546</v>
      </c>
    </row>
    <row r="995" spans="1:10" x14ac:dyDescent="0.2">
      <c r="A995" s="3">
        <v>6133</v>
      </c>
      <c r="B995" s="3" t="s">
        <v>1055</v>
      </c>
      <c r="C995" s="3" t="s">
        <v>1056</v>
      </c>
      <c r="D995" s="3" t="s">
        <v>932</v>
      </c>
      <c r="E995" s="3" t="str">
        <v>Merishausen</v>
      </c>
      <c r="I995" s="19">
        <v>3285</v>
      </c>
      <c r="J995" s="19" t="s">
        <v>4543</v>
      </c>
    </row>
    <row r="996" spans="1:10" x14ac:dyDescent="0.2">
      <c r="A996" s="3">
        <v>6154</v>
      </c>
      <c r="B996" s="3" t="s">
        <v>1057</v>
      </c>
      <c r="C996" s="3" t="s">
        <v>1058</v>
      </c>
      <c r="D996" s="3" t="s">
        <v>932</v>
      </c>
      <c r="E996" s="3" t="str">
        <v>Neuhausen am Rheinfall</v>
      </c>
      <c r="I996" s="19">
        <v>3286</v>
      </c>
      <c r="J996" s="19" t="s">
        <v>4543</v>
      </c>
    </row>
    <row r="997" spans="1:10" x14ac:dyDescent="0.2">
      <c r="A997" s="3">
        <v>6156</v>
      </c>
      <c r="B997" s="3" t="s">
        <v>1058</v>
      </c>
      <c r="C997" s="3" t="s">
        <v>1058</v>
      </c>
      <c r="D997" s="3" t="s">
        <v>932</v>
      </c>
      <c r="E997" s="3" t="str">
        <v>Rüdlingen</v>
      </c>
      <c r="I997" s="19">
        <v>3292</v>
      </c>
      <c r="J997" s="19" t="s">
        <v>4546</v>
      </c>
    </row>
    <row r="998" spans="1:10" x14ac:dyDescent="0.2">
      <c r="A998" s="3">
        <v>6156</v>
      </c>
      <c r="B998" s="3" t="s">
        <v>1059</v>
      </c>
      <c r="C998" s="3" t="s">
        <v>1058</v>
      </c>
      <c r="D998" s="3" t="s">
        <v>932</v>
      </c>
      <c r="E998" s="3" t="str">
        <v>Schaffhausen</v>
      </c>
      <c r="I998" s="19">
        <v>3293</v>
      </c>
      <c r="J998" s="19" t="s">
        <v>4546</v>
      </c>
    </row>
    <row r="999" spans="1:10" x14ac:dyDescent="0.2">
      <c r="A999" s="3">
        <v>6122</v>
      </c>
      <c r="B999" s="3" t="s">
        <v>1060</v>
      </c>
      <c r="C999" s="3" t="s">
        <v>1060</v>
      </c>
      <c r="D999" s="3" t="s">
        <v>932</v>
      </c>
      <c r="E999" s="3" t="str">
        <v>Beggingen</v>
      </c>
      <c r="I999" s="19">
        <v>3294</v>
      </c>
      <c r="J999" s="19" t="s">
        <v>4546</v>
      </c>
    </row>
    <row r="1000" spans="1:10" x14ac:dyDescent="0.2">
      <c r="A1000" s="3">
        <v>6123</v>
      </c>
      <c r="B1000" s="3" t="s">
        <v>1061</v>
      </c>
      <c r="C1000" s="3" t="s">
        <v>1060</v>
      </c>
      <c r="D1000" s="3" t="s">
        <v>932</v>
      </c>
      <c r="E1000" s="3" t="str">
        <v>Schleitheim</v>
      </c>
      <c r="I1000" s="19">
        <v>3295</v>
      </c>
      <c r="J1000" s="19" t="s">
        <v>4546</v>
      </c>
    </row>
    <row r="1001" spans="1:10" x14ac:dyDescent="0.2">
      <c r="A1001" s="3">
        <v>6125</v>
      </c>
      <c r="B1001" s="3" t="s">
        <v>1062</v>
      </c>
      <c r="C1001" s="3" t="s">
        <v>1060</v>
      </c>
      <c r="D1001" s="3" t="s">
        <v>932</v>
      </c>
      <c r="E1001" s="3" t="str">
        <v>Siblingen</v>
      </c>
      <c r="I1001" s="19">
        <v>3296</v>
      </c>
      <c r="J1001" s="19" t="s">
        <v>4546</v>
      </c>
    </row>
    <row r="1002" spans="1:10" x14ac:dyDescent="0.2">
      <c r="A1002" s="3">
        <v>6244</v>
      </c>
      <c r="B1002" s="3" t="s">
        <v>1063</v>
      </c>
      <c r="C1002" s="3" t="s">
        <v>1063</v>
      </c>
      <c r="D1002" s="3" t="s">
        <v>932</v>
      </c>
      <c r="E1002" s="3" t="str">
        <v>Buch (SH)</v>
      </c>
      <c r="I1002" s="19">
        <v>3297</v>
      </c>
      <c r="J1002" s="19" t="s">
        <v>4546</v>
      </c>
    </row>
    <row r="1003" spans="1:10" x14ac:dyDescent="0.2">
      <c r="A1003" s="3">
        <v>4915</v>
      </c>
      <c r="B1003" s="3" t="s">
        <v>1064</v>
      </c>
      <c r="C1003" s="3" t="s">
        <v>1065</v>
      </c>
      <c r="D1003" s="3" t="s">
        <v>932</v>
      </c>
      <c r="E1003" s="3" t="str">
        <v>Hemishofen</v>
      </c>
      <c r="I1003" s="19">
        <v>3298</v>
      </c>
      <c r="J1003" s="19" t="s">
        <v>4546</v>
      </c>
    </row>
    <row r="1004" spans="1:10" x14ac:dyDescent="0.2">
      <c r="A1004" s="3">
        <v>6264</v>
      </c>
      <c r="B1004" s="3" t="s">
        <v>1065</v>
      </c>
      <c r="C1004" s="3" t="s">
        <v>1065</v>
      </c>
      <c r="D1004" s="3" t="s">
        <v>932</v>
      </c>
      <c r="E1004" s="3" t="str">
        <v>Ramsen</v>
      </c>
      <c r="I1004" s="19">
        <v>3302</v>
      </c>
      <c r="J1004" s="19" t="s">
        <v>4546</v>
      </c>
    </row>
    <row r="1005" spans="1:10" x14ac:dyDescent="0.2">
      <c r="A1005" s="3">
        <v>6260</v>
      </c>
      <c r="B1005" s="3" t="s">
        <v>1066</v>
      </c>
      <c r="C1005" s="3" t="s">
        <v>1066</v>
      </c>
      <c r="D1005" s="3" t="s">
        <v>932</v>
      </c>
      <c r="E1005" s="3" t="str">
        <v>Stein am Rhein</v>
      </c>
      <c r="I1005" s="19">
        <v>3303</v>
      </c>
      <c r="J1005" s="19" t="s">
        <v>4546</v>
      </c>
    </row>
    <row r="1006" spans="1:10" x14ac:dyDescent="0.2">
      <c r="A1006" s="3">
        <v>6260</v>
      </c>
      <c r="B1006" s="3" t="s">
        <v>1067</v>
      </c>
      <c r="C1006" s="3" t="s">
        <v>1066</v>
      </c>
      <c r="D1006" s="3" t="s">
        <v>932</v>
      </c>
      <c r="E1006" s="3" t="str">
        <v>Hallau</v>
      </c>
      <c r="I1006" s="19">
        <v>3305</v>
      </c>
      <c r="J1006" s="19" t="s">
        <v>4546</v>
      </c>
    </row>
    <row r="1007" spans="1:10" x14ac:dyDescent="0.2">
      <c r="A1007" s="3">
        <v>6260</v>
      </c>
      <c r="B1007" s="3" t="s">
        <v>1068</v>
      </c>
      <c r="C1007" s="3" t="s">
        <v>1066</v>
      </c>
      <c r="D1007" s="3" t="s">
        <v>932</v>
      </c>
      <c r="E1007" s="3" t="str">
        <v>Oberhallau</v>
      </c>
      <c r="I1007" s="19">
        <v>3306</v>
      </c>
      <c r="J1007" s="19" t="s">
        <v>4546</v>
      </c>
    </row>
    <row r="1008" spans="1:10" x14ac:dyDescent="0.2">
      <c r="A1008" s="3">
        <v>6262</v>
      </c>
      <c r="B1008" s="3" t="s">
        <v>1069</v>
      </c>
      <c r="C1008" s="3" t="s">
        <v>1066</v>
      </c>
      <c r="D1008" s="3" t="s">
        <v>932</v>
      </c>
      <c r="E1008" s="3" t="str">
        <v>Trasadingen</v>
      </c>
      <c r="I1008" s="19">
        <v>3307</v>
      </c>
      <c r="J1008" s="19" t="s">
        <v>4546</v>
      </c>
    </row>
    <row r="1009" spans="1:10" x14ac:dyDescent="0.2">
      <c r="A1009" s="3">
        <v>6263</v>
      </c>
      <c r="B1009" s="3" t="s">
        <v>1070</v>
      </c>
      <c r="C1009" s="3" t="s">
        <v>1066</v>
      </c>
      <c r="D1009" s="3" t="s">
        <v>932</v>
      </c>
      <c r="E1009" s="3" t="str">
        <v>Wilchingen</v>
      </c>
      <c r="I1009" s="19">
        <v>3308</v>
      </c>
      <c r="J1009" s="19" t="s">
        <v>4546</v>
      </c>
    </row>
    <row r="1010" spans="1:10" x14ac:dyDescent="0.2">
      <c r="A1010" s="3">
        <v>6265</v>
      </c>
      <c r="B1010" s="3" t="s">
        <v>1071</v>
      </c>
      <c r="C1010" s="3" t="s">
        <v>1071</v>
      </c>
      <c r="D1010" s="3" t="s">
        <v>932</v>
      </c>
      <c r="E1010" s="3" t="str">
        <v>Herisau</v>
      </c>
      <c r="I1010" s="19">
        <v>3309</v>
      </c>
      <c r="J1010" s="19" t="s">
        <v>4546</v>
      </c>
    </row>
    <row r="1011" spans="1:10" x14ac:dyDescent="0.2">
      <c r="A1011" s="3">
        <v>6143</v>
      </c>
      <c r="B1011" s="3" t="s">
        <v>1072</v>
      </c>
      <c r="C1011" s="3" t="s">
        <v>1073</v>
      </c>
      <c r="D1011" s="3" t="s">
        <v>932</v>
      </c>
      <c r="E1011" s="3" t="str">
        <v>Hundwil</v>
      </c>
      <c r="I1011" s="19">
        <v>3312</v>
      </c>
      <c r="J1011" s="19" t="s">
        <v>4546</v>
      </c>
    </row>
    <row r="1012" spans="1:10" x14ac:dyDescent="0.2">
      <c r="A1012" s="3">
        <v>6247</v>
      </c>
      <c r="B1012" s="3" t="s">
        <v>1073</v>
      </c>
      <c r="C1012" s="3" t="s">
        <v>1073</v>
      </c>
      <c r="D1012" s="3" t="s">
        <v>932</v>
      </c>
      <c r="E1012" s="3" t="str">
        <v>Schönengrund</v>
      </c>
      <c r="I1012" s="19">
        <v>3313</v>
      </c>
      <c r="J1012" s="19" t="s">
        <v>4546</v>
      </c>
    </row>
    <row r="1013" spans="1:10" x14ac:dyDescent="0.2">
      <c r="A1013" s="3">
        <v>6153</v>
      </c>
      <c r="B1013" s="3" t="s">
        <v>1074</v>
      </c>
      <c r="C1013" s="3" t="s">
        <v>1074</v>
      </c>
      <c r="D1013" s="3" t="s">
        <v>932</v>
      </c>
      <c r="E1013" s="3" t="str">
        <v>Schwellbrunn</v>
      </c>
      <c r="I1013" s="19">
        <v>3314</v>
      </c>
      <c r="J1013" s="19" t="s">
        <v>4546</v>
      </c>
    </row>
    <row r="1014" spans="1:10" x14ac:dyDescent="0.2">
      <c r="A1014" s="3">
        <v>6242</v>
      </c>
      <c r="B1014" s="3" t="s">
        <v>1075</v>
      </c>
      <c r="C1014" s="3" t="s">
        <v>1075</v>
      </c>
      <c r="D1014" s="3" t="s">
        <v>932</v>
      </c>
      <c r="E1014" s="3" t="str">
        <v>Stein (AR)</v>
      </c>
      <c r="I1014" s="19">
        <v>3315</v>
      </c>
      <c r="J1014" s="19" t="s">
        <v>4546</v>
      </c>
    </row>
    <row r="1015" spans="1:10" x14ac:dyDescent="0.2">
      <c r="A1015" s="3">
        <v>4806</v>
      </c>
      <c r="B1015" s="3" t="s">
        <v>1076</v>
      </c>
      <c r="C1015" s="3" t="s">
        <v>1076</v>
      </c>
      <c r="D1015" s="3" t="s">
        <v>932</v>
      </c>
      <c r="E1015" s="3" t="str">
        <v>Urnäsch</v>
      </c>
      <c r="I1015" s="19">
        <v>3317</v>
      </c>
      <c r="J1015" s="19" t="s">
        <v>4546</v>
      </c>
    </row>
    <row r="1016" spans="1:10" x14ac:dyDescent="0.2">
      <c r="A1016" s="3">
        <v>6260</v>
      </c>
      <c r="B1016" s="3" t="s">
        <v>1077</v>
      </c>
      <c r="C1016" s="3" t="s">
        <v>1076</v>
      </c>
      <c r="D1016" s="3" t="s">
        <v>932</v>
      </c>
      <c r="E1016" s="3" t="str">
        <v>Waldstatt</v>
      </c>
      <c r="I1016" s="19">
        <v>3322</v>
      </c>
      <c r="J1016" s="19" t="s">
        <v>4546</v>
      </c>
    </row>
    <row r="1017" spans="1:10" x14ac:dyDescent="0.2">
      <c r="A1017" s="3">
        <v>6144</v>
      </c>
      <c r="B1017" s="3" t="s">
        <v>1078</v>
      </c>
      <c r="C1017" s="3" t="s">
        <v>1079</v>
      </c>
      <c r="D1017" s="3" t="s">
        <v>932</v>
      </c>
      <c r="E1017" s="3" t="str">
        <v>Bühler</v>
      </c>
      <c r="I1017" s="19">
        <v>3323</v>
      </c>
      <c r="J1017" s="19" t="s">
        <v>4546</v>
      </c>
    </row>
    <row r="1018" spans="1:10" x14ac:dyDescent="0.2">
      <c r="A1018" s="3">
        <v>6152</v>
      </c>
      <c r="B1018" s="3" t="s">
        <v>1080</v>
      </c>
      <c r="C1018" s="3" t="s">
        <v>1079</v>
      </c>
      <c r="D1018" s="3" t="s">
        <v>932</v>
      </c>
      <c r="E1018" s="3" t="str">
        <v>Gais</v>
      </c>
      <c r="I1018" s="19">
        <v>3324</v>
      </c>
      <c r="J1018" s="19" t="s">
        <v>4546</v>
      </c>
    </row>
    <row r="1019" spans="1:10" x14ac:dyDescent="0.2">
      <c r="A1019" s="3">
        <v>6126</v>
      </c>
      <c r="B1019" s="3" t="s">
        <v>1081</v>
      </c>
      <c r="C1019" s="3" t="s">
        <v>1082</v>
      </c>
      <c r="D1019" s="3" t="s">
        <v>932</v>
      </c>
      <c r="E1019" s="3" t="str">
        <v>Speicher</v>
      </c>
      <c r="I1019" s="19">
        <v>3325</v>
      </c>
      <c r="J1019" s="19" t="s">
        <v>4546</v>
      </c>
    </row>
    <row r="1020" spans="1:10" x14ac:dyDescent="0.2">
      <c r="A1020" s="3">
        <v>6130</v>
      </c>
      <c r="B1020" s="3" t="s">
        <v>1082</v>
      </c>
      <c r="C1020" s="3" t="s">
        <v>1082</v>
      </c>
      <c r="D1020" s="3" t="s">
        <v>932</v>
      </c>
      <c r="E1020" s="3" t="str">
        <v>Teufen (AR)</v>
      </c>
      <c r="I1020" s="19">
        <v>3326</v>
      </c>
      <c r="J1020" s="19" t="s">
        <v>4546</v>
      </c>
    </row>
    <row r="1021" spans="1:10" x14ac:dyDescent="0.2">
      <c r="A1021" s="3">
        <v>6132</v>
      </c>
      <c r="B1021" s="3" t="s">
        <v>1083</v>
      </c>
      <c r="C1021" s="3" t="s">
        <v>1082</v>
      </c>
      <c r="D1021" s="3" t="s">
        <v>932</v>
      </c>
      <c r="E1021" s="3" t="str">
        <v>Trogen</v>
      </c>
      <c r="I1021" s="19">
        <v>3360</v>
      </c>
      <c r="J1021" s="19" t="s">
        <v>4554</v>
      </c>
    </row>
    <row r="1022" spans="1:10" x14ac:dyDescent="0.2">
      <c r="A1022" s="3">
        <v>6142</v>
      </c>
      <c r="B1022" s="3" t="s">
        <v>1084</v>
      </c>
      <c r="C1022" s="3" t="s">
        <v>1082</v>
      </c>
      <c r="D1022" s="3" t="s">
        <v>932</v>
      </c>
      <c r="E1022" s="3" t="str">
        <v>Grub (AR)</v>
      </c>
      <c r="I1022" s="19">
        <v>3362</v>
      </c>
      <c r="J1022" s="19" t="s">
        <v>4554</v>
      </c>
    </row>
    <row r="1023" spans="1:10" x14ac:dyDescent="0.2">
      <c r="A1023" s="3">
        <v>6460</v>
      </c>
      <c r="B1023" s="3" t="s">
        <v>1085</v>
      </c>
      <c r="C1023" s="3" t="s">
        <v>1086</v>
      </c>
      <c r="D1023" s="3" t="s">
        <v>1087</v>
      </c>
      <c r="E1023" s="3" t="str">
        <v>Heiden</v>
      </c>
      <c r="I1023" s="19">
        <v>3363</v>
      </c>
      <c r="J1023" s="19" t="s">
        <v>4554</v>
      </c>
    </row>
    <row r="1024" spans="1:10" x14ac:dyDescent="0.2">
      <c r="A1024" s="3">
        <v>6490</v>
      </c>
      <c r="B1024" s="3" t="s">
        <v>1088</v>
      </c>
      <c r="C1024" s="3" t="s">
        <v>1088</v>
      </c>
      <c r="D1024" s="3" t="s">
        <v>1087</v>
      </c>
      <c r="E1024" s="3" t="str">
        <v>Lutzenberg</v>
      </c>
      <c r="I1024" s="19">
        <v>3365</v>
      </c>
      <c r="J1024" s="19" t="s">
        <v>4554</v>
      </c>
    </row>
    <row r="1025" spans="1:10" x14ac:dyDescent="0.2">
      <c r="A1025" s="3">
        <v>6468</v>
      </c>
      <c r="B1025" s="3" t="s">
        <v>1089</v>
      </c>
      <c r="C1025" s="3" t="s">
        <v>1089</v>
      </c>
      <c r="D1025" s="3" t="s">
        <v>1087</v>
      </c>
      <c r="E1025" s="3" t="str">
        <v>Rehetobel</v>
      </c>
      <c r="I1025" s="19">
        <v>3366</v>
      </c>
      <c r="J1025" s="19" t="s">
        <v>4554</v>
      </c>
    </row>
    <row r="1026" spans="1:10" x14ac:dyDescent="0.2">
      <c r="A1026" s="3">
        <v>6463</v>
      </c>
      <c r="B1026" s="3" t="s">
        <v>1090</v>
      </c>
      <c r="C1026" s="3" t="s">
        <v>1091</v>
      </c>
      <c r="D1026" s="3" t="s">
        <v>1087</v>
      </c>
      <c r="E1026" s="3" t="str">
        <v>Reute (AR)</v>
      </c>
      <c r="I1026" s="19">
        <v>3367</v>
      </c>
      <c r="J1026" s="19" t="s">
        <v>4554</v>
      </c>
    </row>
    <row r="1027" spans="1:10" x14ac:dyDescent="0.2">
      <c r="A1027" s="3">
        <v>6472</v>
      </c>
      <c r="B1027" s="3" t="s">
        <v>1092</v>
      </c>
      <c r="C1027" s="3" t="s">
        <v>1092</v>
      </c>
      <c r="D1027" s="3" t="s">
        <v>1087</v>
      </c>
      <c r="E1027" s="3" t="str">
        <v>Wald (AR)</v>
      </c>
      <c r="I1027" s="19">
        <v>3368</v>
      </c>
      <c r="J1027" s="19" t="s">
        <v>4554</v>
      </c>
    </row>
    <row r="1028" spans="1:10" x14ac:dyDescent="0.2">
      <c r="A1028" s="3">
        <v>6454</v>
      </c>
      <c r="B1028" s="3" t="s">
        <v>1093</v>
      </c>
      <c r="C1028" s="3" t="s">
        <v>1093</v>
      </c>
      <c r="D1028" s="3" t="s">
        <v>1087</v>
      </c>
      <c r="E1028" s="3" t="str">
        <v>Walzenhausen</v>
      </c>
      <c r="I1028" s="19">
        <v>3372</v>
      </c>
      <c r="J1028" s="19" t="s">
        <v>4554</v>
      </c>
    </row>
    <row r="1029" spans="1:10" x14ac:dyDescent="0.2">
      <c r="A1029" s="3">
        <v>6487</v>
      </c>
      <c r="B1029" s="3" t="s">
        <v>1094</v>
      </c>
      <c r="C1029" s="3" t="s">
        <v>1094</v>
      </c>
      <c r="D1029" s="3" t="s">
        <v>1087</v>
      </c>
      <c r="E1029" s="3" t="str">
        <v>Wolfhalden</v>
      </c>
      <c r="I1029" s="19">
        <v>3373</v>
      </c>
      <c r="J1029" s="19" t="s">
        <v>4554</v>
      </c>
    </row>
    <row r="1030" spans="1:10" x14ac:dyDescent="0.2">
      <c r="A1030" s="3">
        <v>6476</v>
      </c>
      <c r="B1030" s="3" t="s">
        <v>1095</v>
      </c>
      <c r="C1030" s="3" t="s">
        <v>1096</v>
      </c>
      <c r="D1030" s="3" t="s">
        <v>1087</v>
      </c>
      <c r="E1030" s="3" t="str">
        <v>Appenzell</v>
      </c>
      <c r="I1030" s="19">
        <v>3374</v>
      </c>
      <c r="J1030" s="19" t="s">
        <v>4554</v>
      </c>
    </row>
    <row r="1031" spans="1:10" x14ac:dyDescent="0.2">
      <c r="A1031" s="3">
        <v>6482</v>
      </c>
      <c r="B1031" s="3" t="s">
        <v>1096</v>
      </c>
      <c r="C1031" s="3" t="s">
        <v>1096</v>
      </c>
      <c r="D1031" s="3" t="s">
        <v>1087</v>
      </c>
      <c r="E1031" s="3" t="str">
        <v>Gonten</v>
      </c>
      <c r="I1031" s="19">
        <v>3375</v>
      </c>
      <c r="J1031" s="19" t="s">
        <v>4554</v>
      </c>
    </row>
    <row r="1032" spans="1:10" x14ac:dyDescent="0.2">
      <c r="A1032" s="3">
        <v>6493</v>
      </c>
      <c r="B1032" s="3" t="s">
        <v>1097</v>
      </c>
      <c r="C1032" s="3" t="s">
        <v>1097</v>
      </c>
      <c r="D1032" s="3" t="s">
        <v>1087</v>
      </c>
      <c r="E1032" s="3" t="str">
        <v>Schlatt-Haslen</v>
      </c>
      <c r="I1032" s="19">
        <v>3376</v>
      </c>
      <c r="J1032" s="19" t="s">
        <v>4554</v>
      </c>
    </row>
    <row r="1033" spans="1:10" x14ac:dyDescent="0.2">
      <c r="A1033" s="3">
        <v>6461</v>
      </c>
      <c r="B1033" s="3" t="s">
        <v>1098</v>
      </c>
      <c r="C1033" s="3" t="s">
        <v>1098</v>
      </c>
      <c r="D1033" s="3" t="s">
        <v>1087</v>
      </c>
      <c r="E1033" s="3" t="str">
        <v>Oberegg</v>
      </c>
      <c r="I1033" s="19">
        <v>3377</v>
      </c>
      <c r="J1033" s="19" t="s">
        <v>4554</v>
      </c>
    </row>
    <row r="1034" spans="1:10" x14ac:dyDescent="0.2">
      <c r="A1034" s="3">
        <v>6491</v>
      </c>
      <c r="B1034" s="3" t="s">
        <v>1099</v>
      </c>
      <c r="C1034" s="3" t="s">
        <v>1099</v>
      </c>
      <c r="D1034" s="3" t="s">
        <v>1087</v>
      </c>
      <c r="E1034" s="3" t="str">
        <v>Schwende-Rüte</v>
      </c>
      <c r="I1034" s="19">
        <v>3380</v>
      </c>
      <c r="J1034" s="19" t="s">
        <v>4554</v>
      </c>
    </row>
    <row r="1035" spans="1:10" x14ac:dyDescent="0.2">
      <c r="A1035" s="3">
        <v>6467</v>
      </c>
      <c r="B1035" s="3" t="s">
        <v>1100</v>
      </c>
      <c r="C1035" s="3" t="s">
        <v>1100</v>
      </c>
      <c r="D1035" s="3" t="s">
        <v>1087</v>
      </c>
      <c r="E1035" s="3" t="str">
        <v>Häggenschwil</v>
      </c>
      <c r="I1035" s="19">
        <v>3400</v>
      </c>
      <c r="J1035" s="19" t="s">
        <v>4546</v>
      </c>
    </row>
    <row r="1036" spans="1:10" x14ac:dyDescent="0.2">
      <c r="A1036" s="3">
        <v>6469</v>
      </c>
      <c r="B1036" s="3" t="s">
        <v>1101</v>
      </c>
      <c r="C1036" s="3" t="s">
        <v>1100</v>
      </c>
      <c r="D1036" s="3" t="s">
        <v>1087</v>
      </c>
      <c r="E1036" s="3" t="str">
        <v>Muolen</v>
      </c>
      <c r="I1036" s="19">
        <v>3412</v>
      </c>
      <c r="J1036" s="19" t="s">
        <v>4546</v>
      </c>
    </row>
    <row r="1037" spans="1:10" x14ac:dyDescent="0.2">
      <c r="A1037" s="3">
        <v>6462</v>
      </c>
      <c r="B1037" s="3" t="s">
        <v>1102</v>
      </c>
      <c r="C1037" s="3" t="s">
        <v>1103</v>
      </c>
      <c r="D1037" s="3" t="s">
        <v>1087</v>
      </c>
      <c r="E1037" s="3" t="str">
        <v>St. Gallen</v>
      </c>
      <c r="I1037" s="19">
        <v>3413</v>
      </c>
      <c r="J1037" s="19" t="s">
        <v>4546</v>
      </c>
    </row>
    <row r="1038" spans="1:10" x14ac:dyDescent="0.2">
      <c r="A1038" s="3">
        <v>6466</v>
      </c>
      <c r="B1038" s="3" t="s">
        <v>1104</v>
      </c>
      <c r="C1038" s="3" t="s">
        <v>1103</v>
      </c>
      <c r="D1038" s="3" t="s">
        <v>1087</v>
      </c>
      <c r="E1038" s="3" t="str">
        <v>Wittenbach</v>
      </c>
      <c r="I1038" s="19">
        <v>3414</v>
      </c>
      <c r="J1038" s="19" t="s">
        <v>4546</v>
      </c>
    </row>
    <row r="1039" spans="1:10" x14ac:dyDescent="0.2">
      <c r="A1039" s="3">
        <v>6377</v>
      </c>
      <c r="B1039" s="3" t="s">
        <v>1105</v>
      </c>
      <c r="C1039" s="3" t="s">
        <v>1105</v>
      </c>
      <c r="D1039" s="3" t="s">
        <v>1087</v>
      </c>
      <c r="E1039" s="3" t="str">
        <v>Berg (SG)</v>
      </c>
      <c r="I1039" s="19">
        <v>3415</v>
      </c>
      <c r="J1039" s="19" t="s">
        <v>4546</v>
      </c>
    </row>
    <row r="1040" spans="1:10" x14ac:dyDescent="0.2">
      <c r="A1040" s="3">
        <v>6441</v>
      </c>
      <c r="B1040" s="3" t="s">
        <v>1106</v>
      </c>
      <c r="C1040" s="3" t="s">
        <v>1105</v>
      </c>
      <c r="D1040" s="3" t="s">
        <v>1087</v>
      </c>
      <c r="E1040" s="3" t="str">
        <v>Eggersriet</v>
      </c>
      <c r="I1040" s="19">
        <v>3416</v>
      </c>
      <c r="J1040" s="19" t="s">
        <v>4554</v>
      </c>
    </row>
    <row r="1041" spans="1:10" x14ac:dyDescent="0.2">
      <c r="A1041" s="3">
        <v>6473</v>
      </c>
      <c r="B1041" s="3" t="s">
        <v>1107</v>
      </c>
      <c r="C1041" s="3" t="s">
        <v>1107</v>
      </c>
      <c r="D1041" s="3" t="s">
        <v>1087</v>
      </c>
      <c r="E1041" s="3" t="str">
        <v>Goldach</v>
      </c>
      <c r="I1041" s="19">
        <v>3417</v>
      </c>
      <c r="J1041" s="19" t="s">
        <v>4546</v>
      </c>
    </row>
    <row r="1042" spans="1:10" x14ac:dyDescent="0.2">
      <c r="A1042" s="3">
        <v>6474</v>
      </c>
      <c r="B1042" s="3" t="s">
        <v>1108</v>
      </c>
      <c r="C1042" s="3" t="s">
        <v>1107</v>
      </c>
      <c r="D1042" s="3" t="s">
        <v>1087</v>
      </c>
      <c r="E1042" s="3" t="str">
        <v>Mörschwil</v>
      </c>
      <c r="I1042" s="19">
        <v>3418</v>
      </c>
      <c r="J1042" s="19" t="s">
        <v>4546</v>
      </c>
    </row>
    <row r="1043" spans="1:10" x14ac:dyDescent="0.2">
      <c r="A1043" s="3">
        <v>6475</v>
      </c>
      <c r="B1043" s="3" t="s">
        <v>1109</v>
      </c>
      <c r="C1043" s="3" t="s">
        <v>1107</v>
      </c>
      <c r="D1043" s="3" t="s">
        <v>1087</v>
      </c>
      <c r="E1043" s="3" t="str">
        <v>Rorschach</v>
      </c>
      <c r="I1043" s="19">
        <v>3419</v>
      </c>
      <c r="J1043" s="19" t="s">
        <v>4546</v>
      </c>
    </row>
    <row r="1044" spans="1:10" x14ac:dyDescent="0.2">
      <c r="A1044" s="3">
        <v>6452</v>
      </c>
      <c r="B1044" s="3" t="s">
        <v>1110</v>
      </c>
      <c r="C1044" s="3" t="s">
        <v>1110</v>
      </c>
      <c r="D1044" s="3" t="s">
        <v>1087</v>
      </c>
      <c r="E1044" s="3" t="str">
        <v>Rorschacherberg</v>
      </c>
      <c r="I1044" s="19">
        <v>3421</v>
      </c>
      <c r="J1044" s="19" t="s">
        <v>4546</v>
      </c>
    </row>
    <row r="1045" spans="1:10" x14ac:dyDescent="0.2">
      <c r="A1045" s="3">
        <v>6464</v>
      </c>
      <c r="B1045" s="3" t="s">
        <v>1111</v>
      </c>
      <c r="C1045" s="3" t="s">
        <v>1111</v>
      </c>
      <c r="D1045" s="3" t="s">
        <v>1087</v>
      </c>
      <c r="E1045" s="3" t="str">
        <v>Steinach</v>
      </c>
      <c r="I1045" s="19">
        <v>3422</v>
      </c>
      <c r="J1045" s="19" t="s">
        <v>4546</v>
      </c>
    </row>
    <row r="1046" spans="1:10" x14ac:dyDescent="0.2">
      <c r="A1046" s="3">
        <v>8751</v>
      </c>
      <c r="B1046" s="3" t="s">
        <v>1112</v>
      </c>
      <c r="C1046" s="3" t="s">
        <v>1111</v>
      </c>
      <c r="D1046" s="3" t="s">
        <v>1087</v>
      </c>
      <c r="E1046" s="3" t="str">
        <v>Tübach</v>
      </c>
      <c r="I1046" s="19">
        <v>3423</v>
      </c>
      <c r="J1046" s="19" t="s">
        <v>4546</v>
      </c>
    </row>
    <row r="1047" spans="1:10" x14ac:dyDescent="0.2">
      <c r="A1047" s="3">
        <v>6465</v>
      </c>
      <c r="B1047" s="3" t="s">
        <v>1113</v>
      </c>
      <c r="C1047" s="3" t="s">
        <v>1113</v>
      </c>
      <c r="D1047" s="3" t="s">
        <v>1087</v>
      </c>
      <c r="E1047" s="3" t="str">
        <v>Untereggen</v>
      </c>
      <c r="I1047" s="19">
        <v>3424</v>
      </c>
      <c r="J1047" s="19" t="s">
        <v>4546</v>
      </c>
    </row>
    <row r="1048" spans="1:10" x14ac:dyDescent="0.2">
      <c r="A1048" s="3">
        <v>6484</v>
      </c>
      <c r="B1048" s="3" t="s">
        <v>1114</v>
      </c>
      <c r="C1048" s="3" t="s">
        <v>1115</v>
      </c>
      <c r="D1048" s="3" t="s">
        <v>1087</v>
      </c>
      <c r="E1048" s="3" t="str">
        <v>Au (SG)</v>
      </c>
      <c r="I1048" s="19">
        <v>3425</v>
      </c>
      <c r="J1048" s="19" t="s">
        <v>4546</v>
      </c>
    </row>
    <row r="1049" spans="1:10" x14ac:dyDescent="0.2">
      <c r="A1049" s="3">
        <v>6485</v>
      </c>
      <c r="B1049" s="3" t="s">
        <v>1116</v>
      </c>
      <c r="C1049" s="3" t="s">
        <v>1115</v>
      </c>
      <c r="D1049" s="3" t="s">
        <v>1087</v>
      </c>
      <c r="E1049" s="3" t="str">
        <v>Balgach</v>
      </c>
      <c r="I1049" s="19">
        <v>3426</v>
      </c>
      <c r="J1049" s="19" t="s">
        <v>4546</v>
      </c>
    </row>
    <row r="1050" spans="1:10" x14ac:dyDescent="0.2">
      <c r="A1050" s="3">
        <v>8836</v>
      </c>
      <c r="B1050" s="3" t="s">
        <v>1117</v>
      </c>
      <c r="C1050" s="3" t="s">
        <v>1118</v>
      </c>
      <c r="D1050" s="3" t="s">
        <v>1119</v>
      </c>
      <c r="E1050" s="3" t="str">
        <v>Berneck</v>
      </c>
      <c r="I1050" s="19">
        <v>3427</v>
      </c>
      <c r="J1050" s="19" t="s">
        <v>4546</v>
      </c>
    </row>
    <row r="1051" spans="1:10" x14ac:dyDescent="0.2">
      <c r="A1051" s="3">
        <v>8840</v>
      </c>
      <c r="B1051" s="3" t="s">
        <v>1118</v>
      </c>
      <c r="C1051" s="3" t="s">
        <v>1118</v>
      </c>
      <c r="D1051" s="3" t="s">
        <v>1119</v>
      </c>
      <c r="E1051" s="3" t="str">
        <v>Diepoldsau</v>
      </c>
      <c r="I1051" s="19">
        <v>3428</v>
      </c>
      <c r="J1051" s="19" t="s">
        <v>4546</v>
      </c>
    </row>
    <row r="1052" spans="1:10" x14ac:dyDescent="0.2">
      <c r="A1052" s="3">
        <v>8840</v>
      </c>
      <c r="B1052" s="3" t="s">
        <v>1120</v>
      </c>
      <c r="C1052" s="3" t="s">
        <v>1118</v>
      </c>
      <c r="D1052" s="3" t="s">
        <v>1119</v>
      </c>
      <c r="E1052" s="3" t="str">
        <v>Rheineck</v>
      </c>
      <c r="I1052" s="19">
        <v>3429</v>
      </c>
      <c r="J1052" s="19" t="s">
        <v>4554</v>
      </c>
    </row>
    <row r="1053" spans="1:10" x14ac:dyDescent="0.2">
      <c r="A1053" s="3">
        <v>8841</v>
      </c>
      <c r="B1053" s="3" t="s">
        <v>1121</v>
      </c>
      <c r="C1053" s="3" t="s">
        <v>1118</v>
      </c>
      <c r="D1053" s="3" t="s">
        <v>1119</v>
      </c>
      <c r="E1053" s="3" t="str">
        <v>St. Margrethen</v>
      </c>
      <c r="I1053" s="19">
        <v>3432</v>
      </c>
      <c r="J1053" s="19" t="s">
        <v>4546</v>
      </c>
    </row>
    <row r="1054" spans="1:10" x14ac:dyDescent="0.2">
      <c r="A1054" s="3">
        <v>8844</v>
      </c>
      <c r="B1054" s="3" t="s">
        <v>1122</v>
      </c>
      <c r="C1054" s="3" t="s">
        <v>1118</v>
      </c>
      <c r="D1054" s="3" t="s">
        <v>1119</v>
      </c>
      <c r="E1054" s="3" t="str">
        <v>Thal</v>
      </c>
      <c r="I1054" s="19">
        <v>3433</v>
      </c>
      <c r="J1054" s="19" t="s">
        <v>4546</v>
      </c>
    </row>
    <row r="1055" spans="1:10" x14ac:dyDescent="0.2">
      <c r="A1055" s="3">
        <v>8846</v>
      </c>
      <c r="B1055" s="3" t="s">
        <v>1123</v>
      </c>
      <c r="C1055" s="3" t="s">
        <v>1118</v>
      </c>
      <c r="D1055" s="3" t="s">
        <v>1119</v>
      </c>
      <c r="E1055" s="3" t="str">
        <v>Widnau</v>
      </c>
      <c r="I1055" s="19">
        <v>3434</v>
      </c>
      <c r="J1055" s="19" t="s">
        <v>4546</v>
      </c>
    </row>
    <row r="1056" spans="1:10" x14ac:dyDescent="0.2">
      <c r="A1056" s="3">
        <v>8847</v>
      </c>
      <c r="B1056" s="3" t="s">
        <v>1124</v>
      </c>
      <c r="C1056" s="3" t="s">
        <v>1118</v>
      </c>
      <c r="D1056" s="3" t="s">
        <v>1119</v>
      </c>
      <c r="E1056" s="3" t="str">
        <v>Altstätten</v>
      </c>
      <c r="I1056" s="19">
        <v>3435</v>
      </c>
      <c r="J1056" s="19" t="s">
        <v>4546</v>
      </c>
    </row>
    <row r="1057" spans="1:10" x14ac:dyDescent="0.2">
      <c r="A1057" s="3">
        <v>6410</v>
      </c>
      <c r="B1057" s="3" t="s">
        <v>1125</v>
      </c>
      <c r="C1057" s="3" t="s">
        <v>1126</v>
      </c>
      <c r="D1057" s="3" t="s">
        <v>1119</v>
      </c>
      <c r="E1057" s="3" t="str">
        <v>Eichberg</v>
      </c>
      <c r="I1057" s="19">
        <v>3436</v>
      </c>
      <c r="J1057" s="19" t="s">
        <v>4546</v>
      </c>
    </row>
    <row r="1058" spans="1:10" x14ac:dyDescent="0.2">
      <c r="A1058" s="3">
        <v>6442</v>
      </c>
      <c r="B1058" s="3" t="s">
        <v>1126</v>
      </c>
      <c r="C1058" s="3" t="s">
        <v>1126</v>
      </c>
      <c r="D1058" s="3" t="s">
        <v>1119</v>
      </c>
      <c r="E1058" s="3" t="str">
        <v>Marbach (SG)</v>
      </c>
      <c r="I1058" s="19">
        <v>3437</v>
      </c>
      <c r="J1058" s="19" t="s">
        <v>4546</v>
      </c>
    </row>
    <row r="1059" spans="1:10" x14ac:dyDescent="0.2">
      <c r="A1059" s="3">
        <v>8834</v>
      </c>
      <c r="B1059" s="3" t="s">
        <v>1127</v>
      </c>
      <c r="C1059" s="3" t="s">
        <v>1128</v>
      </c>
      <c r="D1059" s="3" t="s">
        <v>1119</v>
      </c>
      <c r="E1059" s="3" t="str">
        <v>Oberriet (SG)</v>
      </c>
      <c r="I1059" s="19">
        <v>3438</v>
      </c>
      <c r="J1059" s="19" t="s">
        <v>4546</v>
      </c>
    </row>
    <row r="1060" spans="1:10" x14ac:dyDescent="0.2">
      <c r="A1060" s="3">
        <v>8835</v>
      </c>
      <c r="B1060" s="3" t="s">
        <v>1128</v>
      </c>
      <c r="C1060" s="3" t="s">
        <v>1128</v>
      </c>
      <c r="D1060" s="3" t="s">
        <v>1119</v>
      </c>
      <c r="E1060" s="3" t="str">
        <v>Rebstein</v>
      </c>
      <c r="I1060" s="19">
        <v>3439</v>
      </c>
      <c r="J1060" s="19" t="s">
        <v>4546</v>
      </c>
    </row>
    <row r="1061" spans="1:10" x14ac:dyDescent="0.2">
      <c r="A1061" s="3">
        <v>8640</v>
      </c>
      <c r="B1061" s="3" t="s">
        <v>1129</v>
      </c>
      <c r="C1061" s="3" t="s">
        <v>1130</v>
      </c>
      <c r="D1061" s="3" t="s">
        <v>1119</v>
      </c>
      <c r="E1061" s="3" t="str">
        <v>Rüthi (SG)</v>
      </c>
      <c r="I1061" s="19">
        <v>3452</v>
      </c>
      <c r="J1061" s="19" t="s">
        <v>4546</v>
      </c>
    </row>
    <row r="1062" spans="1:10" x14ac:dyDescent="0.2">
      <c r="A1062" s="3">
        <v>8806</v>
      </c>
      <c r="B1062" s="3" t="s">
        <v>1131</v>
      </c>
      <c r="C1062" s="3" t="s">
        <v>1130</v>
      </c>
      <c r="D1062" s="3" t="s">
        <v>1119</v>
      </c>
      <c r="E1062" s="3" t="str">
        <v>Buchs (SG)</v>
      </c>
      <c r="I1062" s="19">
        <v>3453</v>
      </c>
      <c r="J1062" s="19" t="s">
        <v>4546</v>
      </c>
    </row>
    <row r="1063" spans="1:10" x14ac:dyDescent="0.2">
      <c r="A1063" s="3">
        <v>8807</v>
      </c>
      <c r="B1063" s="3" t="s">
        <v>1130</v>
      </c>
      <c r="C1063" s="3" t="s">
        <v>1130</v>
      </c>
      <c r="D1063" s="3" t="s">
        <v>1119</v>
      </c>
      <c r="E1063" s="3" t="str">
        <v>Gams</v>
      </c>
      <c r="I1063" s="19">
        <v>3454</v>
      </c>
      <c r="J1063" s="19" t="s">
        <v>4546</v>
      </c>
    </row>
    <row r="1064" spans="1:10" x14ac:dyDescent="0.2">
      <c r="A1064" s="3">
        <v>8808</v>
      </c>
      <c r="B1064" s="3" t="s">
        <v>1132</v>
      </c>
      <c r="C1064" s="3" t="s">
        <v>1130</v>
      </c>
      <c r="D1064" s="3" t="s">
        <v>1119</v>
      </c>
      <c r="E1064" s="3" t="str">
        <v>Grabs</v>
      </c>
      <c r="I1064" s="19">
        <v>3455</v>
      </c>
      <c r="J1064" s="19" t="s">
        <v>4546</v>
      </c>
    </row>
    <row r="1065" spans="1:10" x14ac:dyDescent="0.2">
      <c r="A1065" s="3">
        <v>8832</v>
      </c>
      <c r="B1065" s="3" t="s">
        <v>1133</v>
      </c>
      <c r="C1065" s="3" t="s">
        <v>1130</v>
      </c>
      <c r="D1065" s="3" t="s">
        <v>1119</v>
      </c>
      <c r="E1065" s="3" t="str">
        <v>Sennwald</v>
      </c>
      <c r="I1065" s="19">
        <v>3456</v>
      </c>
      <c r="J1065" s="19" t="s">
        <v>4546</v>
      </c>
    </row>
    <row r="1066" spans="1:10" x14ac:dyDescent="0.2">
      <c r="A1066" s="3">
        <v>8832</v>
      </c>
      <c r="B1066" s="3" t="s">
        <v>1134</v>
      </c>
      <c r="C1066" s="3" t="s">
        <v>1130</v>
      </c>
      <c r="D1066" s="3" t="s">
        <v>1119</v>
      </c>
      <c r="E1066" s="3" t="str">
        <v>Sevelen</v>
      </c>
      <c r="I1066" s="19">
        <v>3457</v>
      </c>
      <c r="J1066" s="19" t="s">
        <v>4554</v>
      </c>
    </row>
    <row r="1067" spans="1:10" x14ac:dyDescent="0.2">
      <c r="A1067" s="3">
        <v>8832</v>
      </c>
      <c r="B1067" s="3" t="s">
        <v>1133</v>
      </c>
      <c r="C1067" s="3" t="s">
        <v>1133</v>
      </c>
      <c r="D1067" s="3" t="s">
        <v>1119</v>
      </c>
      <c r="E1067" s="3" t="str">
        <v>Wartau</v>
      </c>
      <c r="I1067" s="19">
        <v>3462</v>
      </c>
      <c r="J1067" s="19" t="s">
        <v>4554</v>
      </c>
    </row>
    <row r="1068" spans="1:10" x14ac:dyDescent="0.2">
      <c r="A1068" s="3">
        <v>6402</v>
      </c>
      <c r="B1068" s="3" t="s">
        <v>1135</v>
      </c>
      <c r="C1068" s="3" t="s">
        <v>1136</v>
      </c>
      <c r="D1068" s="3" t="s">
        <v>1119</v>
      </c>
      <c r="E1068" s="3" t="str">
        <v>Bad Ragaz</v>
      </c>
      <c r="I1068" s="19">
        <v>3463</v>
      </c>
      <c r="J1068" s="19" t="s">
        <v>4554</v>
      </c>
    </row>
    <row r="1069" spans="1:10" x14ac:dyDescent="0.2">
      <c r="A1069" s="3">
        <v>6403</v>
      </c>
      <c r="B1069" s="3" t="s">
        <v>1137</v>
      </c>
      <c r="C1069" s="3" t="s">
        <v>1136</v>
      </c>
      <c r="D1069" s="3" t="s">
        <v>1119</v>
      </c>
      <c r="E1069" s="3" t="str">
        <v>Flums</v>
      </c>
      <c r="I1069" s="19">
        <v>3464</v>
      </c>
      <c r="J1069" s="19" t="s">
        <v>4554</v>
      </c>
    </row>
    <row r="1070" spans="1:10" x14ac:dyDescent="0.2">
      <c r="A1070" s="3">
        <v>6405</v>
      </c>
      <c r="B1070" s="3" t="s">
        <v>1138</v>
      </c>
      <c r="C1070" s="3" t="s">
        <v>1136</v>
      </c>
      <c r="D1070" s="3" t="s">
        <v>1119</v>
      </c>
      <c r="E1070" s="3" t="str">
        <v>Mels</v>
      </c>
      <c r="I1070" s="19">
        <v>3465</v>
      </c>
      <c r="J1070" s="19" t="s">
        <v>4554</v>
      </c>
    </row>
    <row r="1071" spans="1:10" x14ac:dyDescent="0.2">
      <c r="A1071" s="3">
        <v>8852</v>
      </c>
      <c r="B1071" s="3" t="s">
        <v>1139</v>
      </c>
      <c r="C1071" s="3" t="s">
        <v>1139</v>
      </c>
      <c r="D1071" s="3" t="s">
        <v>1119</v>
      </c>
      <c r="E1071" s="3" t="str">
        <v>Pfäfers</v>
      </c>
      <c r="I1071" s="19">
        <v>3472</v>
      </c>
      <c r="J1071" s="19" t="s">
        <v>4554</v>
      </c>
    </row>
    <row r="1072" spans="1:10" x14ac:dyDescent="0.2">
      <c r="A1072" s="3">
        <v>8854</v>
      </c>
      <c r="B1072" s="3" t="s">
        <v>1140</v>
      </c>
      <c r="C1072" s="3" t="s">
        <v>1140</v>
      </c>
      <c r="D1072" s="3" t="s">
        <v>1119</v>
      </c>
      <c r="E1072" s="3" t="str">
        <v>Quarten</v>
      </c>
      <c r="I1072" s="19">
        <v>3473</v>
      </c>
      <c r="J1072" s="19" t="s">
        <v>4554</v>
      </c>
    </row>
    <row r="1073" spans="1:10" x14ac:dyDescent="0.2">
      <c r="A1073" s="3">
        <v>8858</v>
      </c>
      <c r="B1073" s="3" t="s">
        <v>1141</v>
      </c>
      <c r="C1073" s="3" t="s">
        <v>1141</v>
      </c>
      <c r="D1073" s="3" t="s">
        <v>1119</v>
      </c>
      <c r="E1073" s="3" t="str">
        <v>Sargans</v>
      </c>
      <c r="I1073" s="19">
        <v>3474</v>
      </c>
      <c r="J1073" s="19" t="s">
        <v>4554</v>
      </c>
    </row>
    <row r="1074" spans="1:10" x14ac:dyDescent="0.2">
      <c r="A1074" s="3">
        <v>8853</v>
      </c>
      <c r="B1074" s="3" t="s">
        <v>1142</v>
      </c>
      <c r="C1074" s="3" t="s">
        <v>1143</v>
      </c>
      <c r="D1074" s="3" t="s">
        <v>1119</v>
      </c>
      <c r="E1074" s="3" t="str">
        <v>Vilters-Wangs</v>
      </c>
      <c r="I1074" s="19">
        <v>3475</v>
      </c>
      <c r="J1074" s="19" t="s">
        <v>4554</v>
      </c>
    </row>
    <row r="1075" spans="1:10" x14ac:dyDescent="0.2">
      <c r="A1075" s="3">
        <v>8864</v>
      </c>
      <c r="B1075" s="3" t="s">
        <v>1144</v>
      </c>
      <c r="C1075" s="3" t="s">
        <v>1144</v>
      </c>
      <c r="D1075" s="3" t="s">
        <v>1119</v>
      </c>
      <c r="E1075" s="3" t="str">
        <v>Walenstadt</v>
      </c>
      <c r="I1075" s="19">
        <v>3476</v>
      </c>
      <c r="J1075" s="19" t="s">
        <v>4554</v>
      </c>
    </row>
    <row r="1076" spans="1:10" x14ac:dyDescent="0.2">
      <c r="A1076" s="3">
        <v>8854</v>
      </c>
      <c r="B1076" s="3" t="s">
        <v>1145</v>
      </c>
      <c r="C1076" s="3" t="s">
        <v>1146</v>
      </c>
      <c r="D1076" s="3" t="s">
        <v>1119</v>
      </c>
      <c r="E1076" s="3" t="str">
        <v>Amden</v>
      </c>
      <c r="I1076" s="19">
        <v>3503</v>
      </c>
      <c r="J1076" s="19" t="s">
        <v>4546</v>
      </c>
    </row>
    <row r="1077" spans="1:10" x14ac:dyDescent="0.2">
      <c r="A1077" s="3">
        <v>8862</v>
      </c>
      <c r="B1077" s="3" t="s">
        <v>1146</v>
      </c>
      <c r="C1077" s="3" t="s">
        <v>1146</v>
      </c>
      <c r="D1077" s="3" t="s">
        <v>1119</v>
      </c>
      <c r="E1077" s="3" t="str">
        <v>Benken (SG)</v>
      </c>
      <c r="I1077" s="19">
        <v>3504</v>
      </c>
      <c r="J1077" s="19" t="s">
        <v>4553</v>
      </c>
    </row>
    <row r="1078" spans="1:10" x14ac:dyDescent="0.2">
      <c r="A1078" s="3">
        <v>8863</v>
      </c>
      <c r="B1078" s="3" t="s">
        <v>1147</v>
      </c>
      <c r="C1078" s="3" t="s">
        <v>1146</v>
      </c>
      <c r="D1078" s="3" t="s">
        <v>1119</v>
      </c>
      <c r="E1078" s="3" t="str">
        <v>Kaltbrunn</v>
      </c>
      <c r="I1078" s="19">
        <v>3506</v>
      </c>
      <c r="J1078" s="19" t="s">
        <v>4553</v>
      </c>
    </row>
    <row r="1079" spans="1:10" x14ac:dyDescent="0.2">
      <c r="A1079" s="3">
        <v>8856</v>
      </c>
      <c r="B1079" s="3" t="s">
        <v>1148</v>
      </c>
      <c r="C1079" s="3" t="s">
        <v>1148</v>
      </c>
      <c r="D1079" s="3" t="s">
        <v>1119</v>
      </c>
      <c r="E1079" s="3" t="str">
        <v>Schänis</v>
      </c>
      <c r="I1079" s="19">
        <v>3507</v>
      </c>
      <c r="J1079" s="19" t="s">
        <v>4546</v>
      </c>
    </row>
    <row r="1080" spans="1:10" x14ac:dyDescent="0.2">
      <c r="A1080" s="3">
        <v>8857</v>
      </c>
      <c r="B1080" s="3" t="s">
        <v>1149</v>
      </c>
      <c r="C1080" s="3" t="s">
        <v>1149</v>
      </c>
      <c r="D1080" s="3" t="s">
        <v>1119</v>
      </c>
      <c r="E1080" s="3" t="str">
        <v>Weesen</v>
      </c>
      <c r="I1080" s="19">
        <v>3508</v>
      </c>
      <c r="J1080" s="19" t="s">
        <v>4546</v>
      </c>
    </row>
    <row r="1081" spans="1:10" x14ac:dyDescent="0.2">
      <c r="A1081" s="3">
        <v>8855</v>
      </c>
      <c r="B1081" s="3" t="s">
        <v>1150</v>
      </c>
      <c r="C1081" s="3" t="s">
        <v>1151</v>
      </c>
      <c r="D1081" s="3" t="s">
        <v>1119</v>
      </c>
      <c r="E1081" s="3" t="str">
        <v>Schmerikon</v>
      </c>
      <c r="I1081" s="19">
        <v>3510</v>
      </c>
      <c r="J1081" s="19" t="s">
        <v>4553</v>
      </c>
    </row>
    <row r="1082" spans="1:10" x14ac:dyDescent="0.2">
      <c r="A1082" s="3">
        <v>8849</v>
      </c>
      <c r="B1082" s="3" t="s">
        <v>1152</v>
      </c>
      <c r="C1082" s="3" t="s">
        <v>1152</v>
      </c>
      <c r="D1082" s="3" t="s">
        <v>1119</v>
      </c>
      <c r="E1082" s="3" t="str">
        <v>Uznach</v>
      </c>
      <c r="I1082" s="19">
        <v>3512</v>
      </c>
      <c r="J1082" s="19" t="s">
        <v>4546</v>
      </c>
    </row>
    <row r="1083" spans="1:10" x14ac:dyDescent="0.2">
      <c r="A1083" s="3">
        <v>6410</v>
      </c>
      <c r="B1083" s="3" t="s">
        <v>1153</v>
      </c>
      <c r="C1083" s="3" t="s">
        <v>1154</v>
      </c>
      <c r="D1083" s="3" t="s">
        <v>1119</v>
      </c>
      <c r="E1083" s="3" t="str">
        <v>Rapperswil-Jona</v>
      </c>
      <c r="I1083" s="19">
        <v>3513</v>
      </c>
      <c r="J1083" s="19" t="s">
        <v>4546</v>
      </c>
    </row>
    <row r="1084" spans="1:10" x14ac:dyDescent="0.2">
      <c r="A1084" s="3">
        <v>6410</v>
      </c>
      <c r="B1084" s="3" t="s">
        <v>1155</v>
      </c>
      <c r="C1084" s="3" t="s">
        <v>1154</v>
      </c>
      <c r="D1084" s="3" t="s">
        <v>1119</v>
      </c>
      <c r="E1084" s="3" t="str">
        <v>Gommiswald</v>
      </c>
      <c r="I1084" s="19">
        <v>3531</v>
      </c>
      <c r="J1084" s="19" t="s">
        <v>4546</v>
      </c>
    </row>
    <row r="1085" spans="1:10" x14ac:dyDescent="0.2">
      <c r="A1085" s="3">
        <v>6410</v>
      </c>
      <c r="B1085" s="3" t="s">
        <v>1156</v>
      </c>
      <c r="C1085" s="3" t="s">
        <v>1154</v>
      </c>
      <c r="D1085" s="3" t="s">
        <v>1119</v>
      </c>
      <c r="E1085" s="3" t="str">
        <v>Eschenbach (SG)</v>
      </c>
      <c r="I1085" s="19">
        <v>3532</v>
      </c>
      <c r="J1085" s="19" t="s">
        <v>4546</v>
      </c>
    </row>
    <row r="1086" spans="1:10" x14ac:dyDescent="0.2">
      <c r="A1086" s="3">
        <v>6410</v>
      </c>
      <c r="B1086" s="3" t="s">
        <v>1157</v>
      </c>
      <c r="C1086" s="3" t="s">
        <v>1154</v>
      </c>
      <c r="D1086" s="3" t="s">
        <v>1119</v>
      </c>
      <c r="E1086" s="3" t="str">
        <v>Ebnat-Kappel</v>
      </c>
      <c r="I1086" s="19">
        <v>3533</v>
      </c>
      <c r="J1086" s="19" t="s">
        <v>4546</v>
      </c>
    </row>
    <row r="1087" spans="1:10" x14ac:dyDescent="0.2">
      <c r="A1087" s="3">
        <v>6414</v>
      </c>
      <c r="B1087" s="3" t="s">
        <v>1158</v>
      </c>
      <c r="C1087" s="3" t="s">
        <v>1154</v>
      </c>
      <c r="D1087" s="3" t="s">
        <v>1119</v>
      </c>
      <c r="E1087" s="3" t="str">
        <v>Wildhaus-Alt St. Johann</v>
      </c>
      <c r="I1087" s="19">
        <v>3534</v>
      </c>
      <c r="J1087" s="19" t="s">
        <v>4546</v>
      </c>
    </row>
    <row r="1088" spans="1:10" x14ac:dyDescent="0.2">
      <c r="A1088" s="3">
        <v>6415</v>
      </c>
      <c r="B1088" s="3" t="s">
        <v>1154</v>
      </c>
      <c r="C1088" s="3" t="s">
        <v>1154</v>
      </c>
      <c r="D1088" s="3" t="s">
        <v>1119</v>
      </c>
      <c r="E1088" s="3" t="str">
        <v>Nesslau</v>
      </c>
      <c r="I1088" s="19">
        <v>3535</v>
      </c>
      <c r="J1088" s="19" t="s">
        <v>4546</v>
      </c>
    </row>
    <row r="1089" spans="1:10" x14ac:dyDescent="0.2">
      <c r="A1089" s="3">
        <v>6434</v>
      </c>
      <c r="B1089" s="3" t="s">
        <v>1159</v>
      </c>
      <c r="C1089" s="3" t="s">
        <v>1159</v>
      </c>
      <c r="D1089" s="3" t="s">
        <v>1119</v>
      </c>
      <c r="E1089" s="3" t="str">
        <v>Hemberg</v>
      </c>
      <c r="I1089" s="19">
        <v>3536</v>
      </c>
      <c r="J1089" s="19" t="s">
        <v>4546</v>
      </c>
    </row>
    <row r="1090" spans="1:10" x14ac:dyDescent="0.2">
      <c r="A1090" s="3">
        <v>6440</v>
      </c>
      <c r="B1090" s="3" t="s">
        <v>1160</v>
      </c>
      <c r="C1090" s="3" t="s">
        <v>1161</v>
      </c>
      <c r="D1090" s="3" t="s">
        <v>1119</v>
      </c>
      <c r="E1090" s="3" t="str">
        <v>Lichtensteig</v>
      </c>
      <c r="I1090" s="19">
        <v>3537</v>
      </c>
      <c r="J1090" s="19" t="s">
        <v>4546</v>
      </c>
    </row>
    <row r="1091" spans="1:10" x14ac:dyDescent="0.2">
      <c r="A1091" s="3">
        <v>6424</v>
      </c>
      <c r="B1091" s="3" t="s">
        <v>1162</v>
      </c>
      <c r="C1091" s="3" t="s">
        <v>1162</v>
      </c>
      <c r="D1091" s="3" t="s">
        <v>1119</v>
      </c>
      <c r="E1091" s="3" t="str">
        <v>Oberhelfenschwil</v>
      </c>
      <c r="I1091" s="19">
        <v>3538</v>
      </c>
      <c r="J1091" s="19" t="s">
        <v>4546</v>
      </c>
    </row>
    <row r="1092" spans="1:10" x14ac:dyDescent="0.2">
      <c r="A1092" s="3">
        <v>6433</v>
      </c>
      <c r="B1092" s="3" t="s">
        <v>1163</v>
      </c>
      <c r="C1092" s="3" t="s">
        <v>1164</v>
      </c>
      <c r="D1092" s="3" t="s">
        <v>1119</v>
      </c>
      <c r="E1092" s="3" t="str">
        <v>Neckertal</v>
      </c>
      <c r="I1092" s="19">
        <v>3543</v>
      </c>
      <c r="J1092" s="19" t="s">
        <v>4546</v>
      </c>
    </row>
    <row r="1093" spans="1:10" x14ac:dyDescent="0.2">
      <c r="A1093" s="3">
        <v>6443</v>
      </c>
      <c r="B1093" s="3" t="s">
        <v>1164</v>
      </c>
      <c r="C1093" s="3" t="s">
        <v>1164</v>
      </c>
      <c r="D1093" s="3" t="s">
        <v>1119</v>
      </c>
      <c r="E1093" s="3" t="str">
        <v>Wattwil</v>
      </c>
      <c r="I1093" s="19">
        <v>3550</v>
      </c>
      <c r="J1093" s="19" t="s">
        <v>4546</v>
      </c>
    </row>
    <row r="1094" spans="1:10" x14ac:dyDescent="0.2">
      <c r="A1094" s="3">
        <v>6436</v>
      </c>
      <c r="B1094" s="3" t="s">
        <v>1165</v>
      </c>
      <c r="C1094" s="3" t="s">
        <v>1165</v>
      </c>
      <c r="D1094" s="3" t="s">
        <v>1119</v>
      </c>
      <c r="E1094" s="3" t="str">
        <v>Kirchberg (SG)</v>
      </c>
      <c r="I1094" s="19">
        <v>3551</v>
      </c>
      <c r="J1094" s="19" t="s">
        <v>4546</v>
      </c>
    </row>
    <row r="1095" spans="1:10" x14ac:dyDescent="0.2">
      <c r="A1095" s="3">
        <v>6436</v>
      </c>
      <c r="B1095" s="3" t="s">
        <v>1166</v>
      </c>
      <c r="C1095" s="3" t="s">
        <v>1165</v>
      </c>
      <c r="D1095" s="3" t="s">
        <v>1119</v>
      </c>
      <c r="E1095" s="3" t="str">
        <v>Lütisburg</v>
      </c>
      <c r="I1095" s="19">
        <v>3552</v>
      </c>
      <c r="J1095" s="19" t="s">
        <v>4546</v>
      </c>
    </row>
    <row r="1096" spans="1:10" x14ac:dyDescent="0.2">
      <c r="A1096" s="3">
        <v>6436</v>
      </c>
      <c r="B1096" s="3" t="s">
        <v>1167</v>
      </c>
      <c r="C1096" s="3" t="s">
        <v>1165</v>
      </c>
      <c r="D1096" s="3" t="s">
        <v>1119</v>
      </c>
      <c r="E1096" s="3" t="str">
        <v>Mosnang</v>
      </c>
      <c r="I1096" s="19">
        <v>3553</v>
      </c>
      <c r="J1096" s="19" t="s">
        <v>4546</v>
      </c>
    </row>
    <row r="1097" spans="1:10" x14ac:dyDescent="0.2">
      <c r="A1097" s="3">
        <v>8843</v>
      </c>
      <c r="B1097" s="3" t="s">
        <v>1168</v>
      </c>
      <c r="C1097" s="3" t="s">
        <v>1168</v>
      </c>
      <c r="D1097" s="3" t="s">
        <v>1119</v>
      </c>
      <c r="E1097" s="3" t="str">
        <v>Bütschwil-Ganterschwil</v>
      </c>
      <c r="I1097" s="19">
        <v>3555</v>
      </c>
      <c r="J1097" s="19" t="s">
        <v>4546</v>
      </c>
    </row>
    <row r="1098" spans="1:10" x14ac:dyDescent="0.2">
      <c r="A1098" s="3">
        <v>6452</v>
      </c>
      <c r="B1098" s="3" t="s">
        <v>1169</v>
      </c>
      <c r="C1098" s="3" t="s">
        <v>1169</v>
      </c>
      <c r="D1098" s="3" t="s">
        <v>1119</v>
      </c>
      <c r="E1098" s="3" t="str">
        <v>Degersheim</v>
      </c>
      <c r="I1098" s="19">
        <v>3556</v>
      </c>
      <c r="J1098" s="19" t="s">
        <v>4546</v>
      </c>
    </row>
    <row r="1099" spans="1:10" x14ac:dyDescent="0.2">
      <c r="A1099" s="3">
        <v>6418</v>
      </c>
      <c r="B1099" s="3" t="s">
        <v>1170</v>
      </c>
      <c r="C1099" s="3" t="s">
        <v>1170</v>
      </c>
      <c r="D1099" s="3" t="s">
        <v>1119</v>
      </c>
      <c r="E1099" s="3" t="str">
        <v>Flawil</v>
      </c>
      <c r="I1099" s="19">
        <v>3557</v>
      </c>
      <c r="J1099" s="19" t="s">
        <v>4555</v>
      </c>
    </row>
    <row r="1100" spans="1:10" x14ac:dyDescent="0.2">
      <c r="A1100" s="3">
        <v>6417</v>
      </c>
      <c r="B1100" s="3" t="s">
        <v>1171</v>
      </c>
      <c r="C1100" s="3" t="s">
        <v>1171</v>
      </c>
      <c r="D1100" s="3" t="s">
        <v>1119</v>
      </c>
      <c r="E1100" s="3" t="str">
        <v>Jonschwil</v>
      </c>
      <c r="I1100" s="19">
        <v>3600</v>
      </c>
      <c r="J1100" s="19" t="s">
        <v>4553</v>
      </c>
    </row>
    <row r="1101" spans="1:10" x14ac:dyDescent="0.2">
      <c r="A1101" s="3">
        <v>6423</v>
      </c>
      <c r="B1101" s="3" t="s">
        <v>1172</v>
      </c>
      <c r="C1101" s="3" t="s">
        <v>1173</v>
      </c>
      <c r="D1101" s="3" t="s">
        <v>1119</v>
      </c>
      <c r="E1101" s="3" t="str">
        <v>Oberuzwil</v>
      </c>
      <c r="I1101" s="19">
        <v>3603</v>
      </c>
      <c r="J1101" s="19" t="s">
        <v>4553</v>
      </c>
    </row>
    <row r="1102" spans="1:10" x14ac:dyDescent="0.2">
      <c r="A1102" s="3">
        <v>6430</v>
      </c>
      <c r="B1102" s="3" t="s">
        <v>1173</v>
      </c>
      <c r="C1102" s="3" t="s">
        <v>1173</v>
      </c>
      <c r="D1102" s="3" t="s">
        <v>1119</v>
      </c>
      <c r="E1102" s="3" t="str">
        <v>Uzwil</v>
      </c>
      <c r="I1102" s="19">
        <v>3604</v>
      </c>
      <c r="J1102" s="19" t="s">
        <v>4553</v>
      </c>
    </row>
    <row r="1103" spans="1:10" x14ac:dyDescent="0.2">
      <c r="A1103" s="3">
        <v>6432</v>
      </c>
      <c r="B1103" s="3" t="s">
        <v>1174</v>
      </c>
      <c r="C1103" s="3" t="s">
        <v>1173</v>
      </c>
      <c r="D1103" s="3" t="s">
        <v>1119</v>
      </c>
      <c r="E1103" s="3" t="str">
        <v>Niederbüren</v>
      </c>
      <c r="I1103" s="19">
        <v>3608</v>
      </c>
      <c r="J1103" s="19" t="s">
        <v>4553</v>
      </c>
    </row>
    <row r="1104" spans="1:10" x14ac:dyDescent="0.2">
      <c r="A1104" s="3">
        <v>6438</v>
      </c>
      <c r="B1104" s="3" t="s">
        <v>1175</v>
      </c>
      <c r="C1104" s="3" t="s">
        <v>1173</v>
      </c>
      <c r="D1104" s="3" t="s">
        <v>1119</v>
      </c>
      <c r="E1104" s="3" t="str">
        <v>Niederhelfenschwil</v>
      </c>
      <c r="I1104" s="19">
        <v>3612</v>
      </c>
      <c r="J1104" s="19" t="s">
        <v>4553</v>
      </c>
    </row>
    <row r="1105" spans="1:10" x14ac:dyDescent="0.2">
      <c r="A1105" s="3">
        <v>6422</v>
      </c>
      <c r="B1105" s="3" t="s">
        <v>1176</v>
      </c>
      <c r="C1105" s="3" t="s">
        <v>1176</v>
      </c>
      <c r="D1105" s="3" t="s">
        <v>1119</v>
      </c>
      <c r="E1105" s="3" t="str">
        <v>Oberbüren</v>
      </c>
      <c r="I1105" s="19">
        <v>3613</v>
      </c>
      <c r="J1105" s="19" t="s">
        <v>4553</v>
      </c>
    </row>
    <row r="1106" spans="1:10" x14ac:dyDescent="0.2">
      <c r="A1106" s="3">
        <v>6416</v>
      </c>
      <c r="B1106" s="3" t="s">
        <v>1177</v>
      </c>
      <c r="C1106" s="3" t="s">
        <v>1177</v>
      </c>
      <c r="D1106" s="3" t="s">
        <v>1119</v>
      </c>
      <c r="E1106" s="3" t="str">
        <v>Zuzwil (SG)</v>
      </c>
      <c r="I1106" s="19">
        <v>3614</v>
      </c>
      <c r="J1106" s="19" t="s">
        <v>4553</v>
      </c>
    </row>
    <row r="1107" spans="1:10" x14ac:dyDescent="0.2">
      <c r="A1107" s="3">
        <v>8842</v>
      </c>
      <c r="B1107" s="3" t="s">
        <v>1178</v>
      </c>
      <c r="C1107" s="3" t="s">
        <v>1178</v>
      </c>
      <c r="D1107" s="3" t="s">
        <v>1119</v>
      </c>
      <c r="E1107" s="3" t="str">
        <v>Wil (SG)</v>
      </c>
      <c r="I1107" s="19">
        <v>3615</v>
      </c>
      <c r="J1107" s="19" t="s">
        <v>4553</v>
      </c>
    </row>
    <row r="1108" spans="1:10" x14ac:dyDescent="0.2">
      <c r="A1108" s="3">
        <v>8845</v>
      </c>
      <c r="B1108" s="3" t="s">
        <v>1179</v>
      </c>
      <c r="C1108" s="3" t="s">
        <v>1178</v>
      </c>
      <c r="D1108" s="3" t="s">
        <v>1119</v>
      </c>
      <c r="E1108" s="3" t="str">
        <v>Andwil (SG)</v>
      </c>
      <c r="I1108" s="19">
        <v>3616</v>
      </c>
      <c r="J1108" s="19" t="s">
        <v>4553</v>
      </c>
    </row>
    <row r="1109" spans="1:10" x14ac:dyDescent="0.2">
      <c r="A1109" s="3">
        <v>6010</v>
      </c>
      <c r="B1109" s="3" t="s">
        <v>1180</v>
      </c>
      <c r="C1109" s="3" t="s">
        <v>1181</v>
      </c>
      <c r="D1109" s="3" t="s">
        <v>1182</v>
      </c>
      <c r="E1109" s="3" t="str">
        <v>Gaiserwald</v>
      </c>
      <c r="I1109" s="19">
        <v>3617</v>
      </c>
      <c r="J1109" s="19" t="s">
        <v>4553</v>
      </c>
    </row>
    <row r="1110" spans="1:10" x14ac:dyDescent="0.2">
      <c r="A1110" s="3">
        <v>6053</v>
      </c>
      <c r="B1110" s="3" t="s">
        <v>1183</v>
      </c>
      <c r="C1110" s="3" t="s">
        <v>1181</v>
      </c>
      <c r="D1110" s="3" t="s">
        <v>1182</v>
      </c>
      <c r="E1110" s="3" t="str">
        <v>Gossau (SG)</v>
      </c>
      <c r="I1110" s="19">
        <v>3618</v>
      </c>
      <c r="J1110" s="19" t="s">
        <v>4553</v>
      </c>
    </row>
    <row r="1111" spans="1:10" x14ac:dyDescent="0.2">
      <c r="A1111" s="3">
        <v>6055</v>
      </c>
      <c r="B1111" s="3" t="s">
        <v>1184</v>
      </c>
      <c r="C1111" s="3" t="s">
        <v>1181</v>
      </c>
      <c r="D1111" s="3" t="s">
        <v>1182</v>
      </c>
      <c r="E1111" s="3" t="str">
        <v>Waldkirch</v>
      </c>
      <c r="I1111" s="19">
        <v>3619</v>
      </c>
      <c r="J1111" s="19" t="s">
        <v>4553</v>
      </c>
    </row>
    <row r="1112" spans="1:10" x14ac:dyDescent="0.2">
      <c r="A1112" s="3">
        <v>6388</v>
      </c>
      <c r="B1112" s="3" t="s">
        <v>1185</v>
      </c>
      <c r="C1112" s="3" t="s">
        <v>1186</v>
      </c>
      <c r="D1112" s="3" t="s">
        <v>1182</v>
      </c>
      <c r="E1112" s="3" t="str">
        <v>Vaz/Obervaz</v>
      </c>
      <c r="I1112" s="19">
        <v>3622</v>
      </c>
      <c r="J1112" s="19" t="s">
        <v>4553</v>
      </c>
    </row>
    <row r="1113" spans="1:10" x14ac:dyDescent="0.2">
      <c r="A1113" s="3">
        <v>6390</v>
      </c>
      <c r="B1113" s="3" t="s">
        <v>1186</v>
      </c>
      <c r="C1113" s="3" t="s">
        <v>1186</v>
      </c>
      <c r="D1113" s="3" t="s">
        <v>1182</v>
      </c>
      <c r="E1113" s="3" t="str">
        <v>Lantsch/Lenz</v>
      </c>
      <c r="I1113" s="19">
        <v>3623</v>
      </c>
      <c r="J1113" s="19" t="s">
        <v>4553</v>
      </c>
    </row>
    <row r="1114" spans="1:10" x14ac:dyDescent="0.2">
      <c r="A1114" s="3">
        <v>6074</v>
      </c>
      <c r="B1114" s="3" t="s">
        <v>1187</v>
      </c>
      <c r="C1114" s="3" t="s">
        <v>1187</v>
      </c>
      <c r="D1114" s="3" t="s">
        <v>1182</v>
      </c>
      <c r="E1114" s="3" t="str">
        <v>Schmitten (GR)</v>
      </c>
      <c r="I1114" s="19">
        <v>3624</v>
      </c>
      <c r="J1114" s="19" t="s">
        <v>4553</v>
      </c>
    </row>
    <row r="1115" spans="1:10" x14ac:dyDescent="0.2">
      <c r="A1115" s="3">
        <v>6064</v>
      </c>
      <c r="B1115" s="3" t="s">
        <v>1188</v>
      </c>
      <c r="C1115" s="3" t="s">
        <v>1188</v>
      </c>
      <c r="D1115" s="3" t="s">
        <v>1182</v>
      </c>
      <c r="E1115" s="3" t="str">
        <v>Albula/Alvra</v>
      </c>
      <c r="I1115" s="19">
        <v>3625</v>
      </c>
      <c r="J1115" s="19" t="s">
        <v>4553</v>
      </c>
    </row>
    <row r="1116" spans="1:10" x14ac:dyDescent="0.2">
      <c r="A1116" s="3">
        <v>6066</v>
      </c>
      <c r="B1116" s="3" t="s">
        <v>1189</v>
      </c>
      <c r="C1116" s="3" t="s">
        <v>1188</v>
      </c>
      <c r="D1116" s="3" t="s">
        <v>1182</v>
      </c>
      <c r="E1116" s="3" t="str">
        <v>Surses</v>
      </c>
      <c r="I1116" s="19">
        <v>3626</v>
      </c>
      <c r="J1116" s="19" t="s">
        <v>4553</v>
      </c>
    </row>
    <row r="1117" spans="1:10" x14ac:dyDescent="0.2">
      <c r="A1117" s="3">
        <v>6067</v>
      </c>
      <c r="B1117" s="3" t="s">
        <v>1190</v>
      </c>
      <c r="C1117" s="3" t="s">
        <v>1188</v>
      </c>
      <c r="D1117" s="3" t="s">
        <v>1182</v>
      </c>
      <c r="E1117" s="3" t="str">
        <v>Bergün Filisur</v>
      </c>
      <c r="I1117" s="19">
        <v>3627</v>
      </c>
      <c r="J1117" s="19" t="s">
        <v>4553</v>
      </c>
    </row>
    <row r="1118" spans="1:10" x14ac:dyDescent="0.2">
      <c r="A1118" s="3">
        <v>6068</v>
      </c>
      <c r="B1118" s="3" t="s">
        <v>1191</v>
      </c>
      <c r="C1118" s="3" t="s">
        <v>1188</v>
      </c>
      <c r="D1118" s="3" t="s">
        <v>1182</v>
      </c>
      <c r="E1118" s="3" t="str">
        <v>Brusio</v>
      </c>
      <c r="I1118" s="19">
        <v>3628</v>
      </c>
      <c r="J1118" s="19" t="s">
        <v>4553</v>
      </c>
    </row>
    <row r="1119" spans="1:10" x14ac:dyDescent="0.2">
      <c r="A1119" s="3">
        <v>6078</v>
      </c>
      <c r="B1119" s="3" t="s">
        <v>1192</v>
      </c>
      <c r="C1119" s="3" t="s">
        <v>1192</v>
      </c>
      <c r="D1119" s="3" t="s">
        <v>1182</v>
      </c>
      <c r="E1119" s="3" t="str">
        <v>Poschiavo</v>
      </c>
      <c r="I1119" s="19">
        <v>3629</v>
      </c>
      <c r="J1119" s="19" t="s">
        <v>4553</v>
      </c>
    </row>
    <row r="1120" spans="1:10" x14ac:dyDescent="0.2">
      <c r="A1120" s="3">
        <v>6078</v>
      </c>
      <c r="B1120" s="3" t="s">
        <v>1193</v>
      </c>
      <c r="C1120" s="3" t="s">
        <v>1192</v>
      </c>
      <c r="D1120" s="3" t="s">
        <v>1182</v>
      </c>
      <c r="E1120" s="3" t="str">
        <v>Falera</v>
      </c>
      <c r="I1120" s="19">
        <v>3631</v>
      </c>
      <c r="J1120" s="19" t="s">
        <v>4553</v>
      </c>
    </row>
    <row r="1121" spans="1:10" x14ac:dyDescent="0.2">
      <c r="A1121" s="3">
        <v>6072</v>
      </c>
      <c r="B1121" s="3" t="s">
        <v>1194</v>
      </c>
      <c r="C1121" s="3" t="s">
        <v>1194</v>
      </c>
      <c r="D1121" s="3" t="s">
        <v>1182</v>
      </c>
      <c r="E1121" s="3" t="str">
        <v>Laax</v>
      </c>
      <c r="I1121" s="19">
        <v>3632</v>
      </c>
      <c r="J1121" s="19" t="s">
        <v>4553</v>
      </c>
    </row>
    <row r="1122" spans="1:10" x14ac:dyDescent="0.2">
      <c r="A1122" s="3">
        <v>6073</v>
      </c>
      <c r="B1122" s="3" t="s">
        <v>1195</v>
      </c>
      <c r="C1122" s="3" t="s">
        <v>1194</v>
      </c>
      <c r="D1122" s="3" t="s">
        <v>1182</v>
      </c>
      <c r="E1122" s="3" t="str">
        <v>Sagogn</v>
      </c>
      <c r="I1122" s="19">
        <v>3633</v>
      </c>
      <c r="J1122" s="19" t="s">
        <v>4553</v>
      </c>
    </row>
    <row r="1123" spans="1:10" x14ac:dyDescent="0.2">
      <c r="A1123" s="3">
        <v>6056</v>
      </c>
      <c r="B1123" s="3" t="s">
        <v>1196</v>
      </c>
      <c r="C1123" s="3" t="s">
        <v>1197</v>
      </c>
      <c r="D1123" s="3" t="s">
        <v>1182</v>
      </c>
      <c r="E1123" s="3" t="str">
        <v>Schluein</v>
      </c>
      <c r="I1123" s="19">
        <v>3634</v>
      </c>
      <c r="J1123" s="19" t="s">
        <v>4553</v>
      </c>
    </row>
    <row r="1124" spans="1:10" x14ac:dyDescent="0.2">
      <c r="A1124" s="3">
        <v>6060</v>
      </c>
      <c r="B1124" s="3" t="s">
        <v>1197</v>
      </c>
      <c r="C1124" s="3" t="s">
        <v>1197</v>
      </c>
      <c r="D1124" s="3" t="s">
        <v>1182</v>
      </c>
      <c r="E1124" s="3" t="str">
        <v>Vals</v>
      </c>
      <c r="I1124" s="19">
        <v>3635</v>
      </c>
      <c r="J1124" s="19" t="s">
        <v>4553</v>
      </c>
    </row>
    <row r="1125" spans="1:10" x14ac:dyDescent="0.2">
      <c r="A1125" s="3">
        <v>6060</v>
      </c>
      <c r="B1125" s="3" t="s">
        <v>1198</v>
      </c>
      <c r="C1125" s="3" t="s">
        <v>1197</v>
      </c>
      <c r="D1125" s="3" t="s">
        <v>1182</v>
      </c>
      <c r="E1125" s="3" t="str">
        <v>Lumnezia</v>
      </c>
      <c r="I1125" s="19">
        <v>3636</v>
      </c>
      <c r="J1125" s="19" t="s">
        <v>4553</v>
      </c>
    </row>
    <row r="1126" spans="1:10" x14ac:dyDescent="0.2">
      <c r="A1126" s="3">
        <v>6062</v>
      </c>
      <c r="B1126" s="3" t="s">
        <v>1199</v>
      </c>
      <c r="C1126" s="3" t="s">
        <v>1197</v>
      </c>
      <c r="D1126" s="3" t="s">
        <v>1182</v>
      </c>
      <c r="E1126" s="3" t="str">
        <v>Ilanz/Glion</v>
      </c>
      <c r="I1126" s="19">
        <v>3638</v>
      </c>
      <c r="J1126" s="19" t="s">
        <v>4553</v>
      </c>
    </row>
    <row r="1127" spans="1:10" x14ac:dyDescent="0.2">
      <c r="A1127" s="3">
        <v>6063</v>
      </c>
      <c r="B1127" s="3" t="s">
        <v>1200</v>
      </c>
      <c r="C1127" s="3" t="s">
        <v>1197</v>
      </c>
      <c r="D1127" s="3" t="s">
        <v>1182</v>
      </c>
      <c r="E1127" s="3" t="str">
        <v>Fürstenau</v>
      </c>
      <c r="I1127" s="19">
        <v>3645</v>
      </c>
      <c r="J1127" s="19" t="s">
        <v>4553</v>
      </c>
    </row>
    <row r="1128" spans="1:10" x14ac:dyDescent="0.2">
      <c r="A1128" s="3">
        <v>6375</v>
      </c>
      <c r="B1128" s="3" t="s">
        <v>1201</v>
      </c>
      <c r="C1128" s="3" t="s">
        <v>1201</v>
      </c>
      <c r="D1128" s="3" t="s">
        <v>1202</v>
      </c>
      <c r="E1128" s="3" t="str">
        <v>Rothenbrunnen</v>
      </c>
      <c r="I1128" s="19">
        <v>3646</v>
      </c>
      <c r="J1128" s="19" t="s">
        <v>4553</v>
      </c>
    </row>
    <row r="1129" spans="1:10" x14ac:dyDescent="0.2">
      <c r="A1129" s="3">
        <v>6374</v>
      </c>
      <c r="B1129" s="3" t="s">
        <v>1203</v>
      </c>
      <c r="C1129" s="3" t="s">
        <v>1203</v>
      </c>
      <c r="D1129" s="3" t="s">
        <v>1202</v>
      </c>
      <c r="E1129" s="3" t="str">
        <v>Scharans</v>
      </c>
      <c r="I1129" s="19">
        <v>3647</v>
      </c>
      <c r="J1129" s="19" t="s">
        <v>4553</v>
      </c>
    </row>
    <row r="1130" spans="1:10" x14ac:dyDescent="0.2">
      <c r="A1130" s="3">
        <v>6383</v>
      </c>
      <c r="B1130" s="3" t="s">
        <v>1204</v>
      </c>
      <c r="C1130" s="3" t="s">
        <v>1204</v>
      </c>
      <c r="D1130" s="3" t="s">
        <v>1202</v>
      </c>
      <c r="E1130" s="3" t="str">
        <v>Sils im Domleschg</v>
      </c>
      <c r="I1130" s="19">
        <v>3652</v>
      </c>
      <c r="J1130" s="19" t="s">
        <v>4553</v>
      </c>
    </row>
    <row r="1131" spans="1:10" x14ac:dyDescent="0.2">
      <c r="A1131" s="3">
        <v>6383</v>
      </c>
      <c r="B1131" s="3" t="s">
        <v>1205</v>
      </c>
      <c r="C1131" s="3" t="s">
        <v>1204</v>
      </c>
      <c r="D1131" s="3" t="s">
        <v>1202</v>
      </c>
      <c r="E1131" s="3" t="str">
        <v>Cazis</v>
      </c>
      <c r="I1131" s="19">
        <v>3653</v>
      </c>
      <c r="J1131" s="19" t="s">
        <v>4553</v>
      </c>
    </row>
    <row r="1132" spans="1:10" x14ac:dyDescent="0.2">
      <c r="A1132" s="3">
        <v>6383</v>
      </c>
      <c r="B1132" s="3" t="s">
        <v>1206</v>
      </c>
      <c r="C1132" s="3" t="s">
        <v>1204</v>
      </c>
      <c r="D1132" s="3" t="s">
        <v>1202</v>
      </c>
      <c r="E1132" s="3" t="str">
        <v>Flerden</v>
      </c>
      <c r="I1132" s="19">
        <v>3654</v>
      </c>
      <c r="J1132" s="19" t="s">
        <v>4553</v>
      </c>
    </row>
    <row r="1133" spans="1:10" x14ac:dyDescent="0.2">
      <c r="A1133" s="3">
        <v>6376</v>
      </c>
      <c r="B1133" s="3" t="s">
        <v>1207</v>
      </c>
      <c r="C1133" s="3" t="s">
        <v>1207</v>
      </c>
      <c r="D1133" s="3" t="s">
        <v>1202</v>
      </c>
      <c r="E1133" s="3" t="str">
        <v>Masein</v>
      </c>
      <c r="I1133" s="19">
        <v>3655</v>
      </c>
      <c r="J1133" s="19" t="s">
        <v>4553</v>
      </c>
    </row>
    <row r="1134" spans="1:10" x14ac:dyDescent="0.2">
      <c r="A1134" s="3">
        <v>6363</v>
      </c>
      <c r="B1134" s="3" t="s">
        <v>1208</v>
      </c>
      <c r="C1134" s="3" t="s">
        <v>1209</v>
      </c>
      <c r="D1134" s="3" t="s">
        <v>1202</v>
      </c>
      <c r="E1134" s="3" t="str">
        <v>Thusis</v>
      </c>
      <c r="I1134" s="19">
        <v>3656</v>
      </c>
      <c r="J1134" s="19" t="s">
        <v>4553</v>
      </c>
    </row>
    <row r="1135" spans="1:10" x14ac:dyDescent="0.2">
      <c r="A1135" s="3">
        <v>6373</v>
      </c>
      <c r="B1135" s="3" t="s">
        <v>1209</v>
      </c>
      <c r="C1135" s="3" t="s">
        <v>1209</v>
      </c>
      <c r="D1135" s="3" t="s">
        <v>1202</v>
      </c>
      <c r="E1135" s="3" t="str">
        <v>Tschappina</v>
      </c>
      <c r="I1135" s="19">
        <v>3657</v>
      </c>
      <c r="J1135" s="19" t="s">
        <v>4553</v>
      </c>
    </row>
    <row r="1136" spans="1:10" x14ac:dyDescent="0.2">
      <c r="A1136" s="3">
        <v>6372</v>
      </c>
      <c r="B1136" s="3" t="s">
        <v>1210</v>
      </c>
      <c r="C1136" s="3" t="s">
        <v>1210</v>
      </c>
      <c r="D1136" s="3" t="s">
        <v>1202</v>
      </c>
      <c r="E1136" s="3" t="str">
        <v>Urmein</v>
      </c>
      <c r="I1136" s="19">
        <v>3658</v>
      </c>
      <c r="J1136" s="19" t="s">
        <v>4553</v>
      </c>
    </row>
    <row r="1137" spans="1:10" x14ac:dyDescent="0.2">
      <c r="A1137" s="3">
        <v>6052</v>
      </c>
      <c r="B1137" s="3" t="s">
        <v>1211</v>
      </c>
      <c r="C1137" s="3" t="s">
        <v>1212</v>
      </c>
      <c r="D1137" s="3" t="s">
        <v>1202</v>
      </c>
      <c r="E1137" s="3" t="str">
        <v>Safiental</v>
      </c>
      <c r="I1137" s="19">
        <v>3661</v>
      </c>
      <c r="J1137" s="19" t="s">
        <v>4553</v>
      </c>
    </row>
    <row r="1138" spans="1:10" x14ac:dyDescent="0.2">
      <c r="A1138" s="3">
        <v>6370</v>
      </c>
      <c r="B1138" s="3" t="s">
        <v>1213</v>
      </c>
      <c r="C1138" s="3" t="s">
        <v>1214</v>
      </c>
      <c r="D1138" s="3" t="s">
        <v>1202</v>
      </c>
      <c r="E1138" s="3" t="str">
        <v>Domleschg</v>
      </c>
      <c r="I1138" s="19">
        <v>3662</v>
      </c>
      <c r="J1138" s="19" t="s">
        <v>4553</v>
      </c>
    </row>
    <row r="1139" spans="1:10" x14ac:dyDescent="0.2">
      <c r="A1139" s="3">
        <v>6382</v>
      </c>
      <c r="B1139" s="3" t="s">
        <v>1215</v>
      </c>
      <c r="C1139" s="3" t="s">
        <v>1214</v>
      </c>
      <c r="D1139" s="3" t="s">
        <v>1202</v>
      </c>
      <c r="E1139" s="3" t="str">
        <v>Avers</v>
      </c>
      <c r="I1139" s="19">
        <v>3663</v>
      </c>
      <c r="J1139" s="19" t="s">
        <v>4553</v>
      </c>
    </row>
    <row r="1140" spans="1:10" x14ac:dyDescent="0.2">
      <c r="A1140" s="3">
        <v>6383</v>
      </c>
      <c r="B1140" s="3" t="s">
        <v>1216</v>
      </c>
      <c r="C1140" s="3" t="s">
        <v>1214</v>
      </c>
      <c r="D1140" s="3" t="s">
        <v>1202</v>
      </c>
      <c r="E1140" s="3" t="str">
        <v>Sufers</v>
      </c>
      <c r="I1140" s="19">
        <v>3664</v>
      </c>
      <c r="J1140" s="19" t="s">
        <v>4553</v>
      </c>
    </row>
    <row r="1141" spans="1:10" x14ac:dyDescent="0.2">
      <c r="A1141" s="3">
        <v>6370</v>
      </c>
      <c r="B1141" s="3" t="s">
        <v>1217</v>
      </c>
      <c r="C1141" s="3" t="s">
        <v>1217</v>
      </c>
      <c r="D1141" s="3" t="s">
        <v>1202</v>
      </c>
      <c r="E1141" s="3" t="str">
        <v>Andeer</v>
      </c>
      <c r="I1141" s="19">
        <v>3665</v>
      </c>
      <c r="J1141" s="19" t="s">
        <v>4553</v>
      </c>
    </row>
    <row r="1142" spans="1:10" x14ac:dyDescent="0.2">
      <c r="A1142" s="3">
        <v>6362</v>
      </c>
      <c r="B1142" s="3" t="s">
        <v>1218</v>
      </c>
      <c r="C1142" s="3" t="s">
        <v>1218</v>
      </c>
      <c r="D1142" s="3" t="s">
        <v>1202</v>
      </c>
      <c r="E1142" s="3" t="str">
        <v>Rongellen</v>
      </c>
      <c r="I1142" s="19">
        <v>3671</v>
      </c>
      <c r="J1142" s="19" t="s">
        <v>4553</v>
      </c>
    </row>
    <row r="1143" spans="1:10" x14ac:dyDescent="0.2">
      <c r="A1143" s="3">
        <v>6363</v>
      </c>
      <c r="B1143" s="3" t="s">
        <v>1219</v>
      </c>
      <c r="C1143" s="3" t="s">
        <v>1218</v>
      </c>
      <c r="D1143" s="3" t="s">
        <v>1202</v>
      </c>
      <c r="E1143" s="3" t="str">
        <v>Zillis-Reischen</v>
      </c>
      <c r="I1143" s="19">
        <v>3672</v>
      </c>
      <c r="J1143" s="19" t="s">
        <v>4553</v>
      </c>
    </row>
    <row r="1144" spans="1:10" x14ac:dyDescent="0.2">
      <c r="A1144" s="3">
        <v>6363</v>
      </c>
      <c r="B1144" s="3" t="s">
        <v>1220</v>
      </c>
      <c r="C1144" s="3" t="s">
        <v>1218</v>
      </c>
      <c r="D1144" s="3" t="s">
        <v>1202</v>
      </c>
      <c r="E1144" s="3" t="str">
        <v>Ferrera</v>
      </c>
      <c r="I1144" s="19">
        <v>3673</v>
      </c>
      <c r="J1144" s="19" t="s">
        <v>4553</v>
      </c>
    </row>
    <row r="1145" spans="1:10" x14ac:dyDescent="0.2">
      <c r="A1145" s="3">
        <v>6365</v>
      </c>
      <c r="B1145" s="3" t="s">
        <v>1221</v>
      </c>
      <c r="C1145" s="3" t="s">
        <v>1218</v>
      </c>
      <c r="D1145" s="3" t="s">
        <v>1202</v>
      </c>
      <c r="E1145" s="3" t="str">
        <v>Rheinwald</v>
      </c>
      <c r="I1145" s="19">
        <v>3674</v>
      </c>
      <c r="J1145" s="19" t="s">
        <v>4553</v>
      </c>
    </row>
    <row r="1146" spans="1:10" x14ac:dyDescent="0.2">
      <c r="A1146" s="3">
        <v>6386</v>
      </c>
      <c r="B1146" s="3" t="s">
        <v>1222</v>
      </c>
      <c r="C1146" s="3" t="s">
        <v>1222</v>
      </c>
      <c r="D1146" s="3" t="s">
        <v>1202</v>
      </c>
      <c r="E1146" s="3" t="str">
        <v>Muntogna da Schons</v>
      </c>
      <c r="I1146" s="19">
        <v>3700</v>
      </c>
      <c r="J1146" s="19" t="s">
        <v>4553</v>
      </c>
    </row>
    <row r="1147" spans="1:10" x14ac:dyDescent="0.2">
      <c r="A1147" s="3">
        <v>6387</v>
      </c>
      <c r="B1147" s="3" t="s">
        <v>1223</v>
      </c>
      <c r="C1147" s="3" t="s">
        <v>1222</v>
      </c>
      <c r="D1147" s="3" t="s">
        <v>1202</v>
      </c>
      <c r="E1147" s="3" t="str">
        <v>Bonaduz</v>
      </c>
      <c r="I1147" s="19">
        <v>3702</v>
      </c>
      <c r="J1147" s="19" t="s">
        <v>4553</v>
      </c>
    </row>
    <row r="1148" spans="1:10" x14ac:dyDescent="0.2">
      <c r="A1148" s="3">
        <v>8752</v>
      </c>
      <c r="B1148" s="3" t="s">
        <v>1224</v>
      </c>
      <c r="C1148" s="3" t="s">
        <v>1225</v>
      </c>
      <c r="D1148" s="3" t="s">
        <v>1226</v>
      </c>
      <c r="E1148" s="3" t="str">
        <v>Domat/Ems</v>
      </c>
      <c r="I1148" s="19">
        <v>3703</v>
      </c>
      <c r="J1148" s="19" t="s">
        <v>4553</v>
      </c>
    </row>
    <row r="1149" spans="1:10" x14ac:dyDescent="0.2">
      <c r="A1149" s="3">
        <v>8753</v>
      </c>
      <c r="B1149" s="3" t="s">
        <v>1227</v>
      </c>
      <c r="C1149" s="3" t="s">
        <v>1225</v>
      </c>
      <c r="D1149" s="3" t="s">
        <v>1226</v>
      </c>
      <c r="E1149" s="3" t="str">
        <v>Rhäzüns</v>
      </c>
      <c r="I1149" s="19">
        <v>3704</v>
      </c>
      <c r="J1149" s="19" t="s">
        <v>4553</v>
      </c>
    </row>
    <row r="1150" spans="1:10" x14ac:dyDescent="0.2">
      <c r="A1150" s="3">
        <v>8757</v>
      </c>
      <c r="B1150" s="3" t="s">
        <v>1228</v>
      </c>
      <c r="C1150" s="3" t="s">
        <v>1225</v>
      </c>
      <c r="D1150" s="3" t="s">
        <v>1226</v>
      </c>
      <c r="E1150" s="3" t="str">
        <v>Felsberg</v>
      </c>
      <c r="I1150" s="19">
        <v>3705</v>
      </c>
      <c r="J1150" s="19" t="s">
        <v>4553</v>
      </c>
    </row>
    <row r="1151" spans="1:10" x14ac:dyDescent="0.2">
      <c r="A1151" s="3">
        <v>8758</v>
      </c>
      <c r="B1151" s="3" t="s">
        <v>1229</v>
      </c>
      <c r="C1151" s="3" t="s">
        <v>1225</v>
      </c>
      <c r="D1151" s="3" t="s">
        <v>1226</v>
      </c>
      <c r="E1151" s="3" t="str">
        <v>Flims</v>
      </c>
      <c r="I1151" s="19">
        <v>3706</v>
      </c>
      <c r="J1151" s="19" t="s">
        <v>4553</v>
      </c>
    </row>
    <row r="1152" spans="1:10" x14ac:dyDescent="0.2">
      <c r="A1152" s="3">
        <v>8865</v>
      </c>
      <c r="B1152" s="3" t="s">
        <v>1230</v>
      </c>
      <c r="C1152" s="3" t="s">
        <v>1225</v>
      </c>
      <c r="D1152" s="3" t="s">
        <v>1226</v>
      </c>
      <c r="E1152" s="3" t="str">
        <v>Tamins</v>
      </c>
      <c r="I1152" s="19">
        <v>3707</v>
      </c>
      <c r="J1152" s="19" t="s">
        <v>4553</v>
      </c>
    </row>
    <row r="1153" spans="1:10" x14ac:dyDescent="0.2">
      <c r="A1153" s="3">
        <v>8867</v>
      </c>
      <c r="B1153" s="3" t="s">
        <v>1231</v>
      </c>
      <c r="C1153" s="3" t="s">
        <v>1225</v>
      </c>
      <c r="D1153" s="3" t="s">
        <v>1226</v>
      </c>
      <c r="E1153" s="3" t="str">
        <v>Trin</v>
      </c>
      <c r="I1153" s="19">
        <v>3711</v>
      </c>
      <c r="J1153" s="19" t="s">
        <v>4553</v>
      </c>
    </row>
    <row r="1154" spans="1:10" x14ac:dyDescent="0.2">
      <c r="A1154" s="3">
        <v>8868</v>
      </c>
      <c r="B1154" s="3" t="s">
        <v>1232</v>
      </c>
      <c r="C1154" s="3" t="s">
        <v>1225</v>
      </c>
      <c r="D1154" s="3" t="s">
        <v>1226</v>
      </c>
      <c r="E1154" s="3" t="str">
        <v>Zernez</v>
      </c>
      <c r="I1154" s="19">
        <v>3713</v>
      </c>
      <c r="J1154" s="19" t="s">
        <v>4553</v>
      </c>
    </row>
    <row r="1155" spans="1:10" x14ac:dyDescent="0.2">
      <c r="A1155" s="3">
        <v>8874</v>
      </c>
      <c r="B1155" s="3" t="s">
        <v>1233</v>
      </c>
      <c r="C1155" s="3" t="s">
        <v>1225</v>
      </c>
      <c r="D1155" s="3" t="s">
        <v>1226</v>
      </c>
      <c r="E1155" s="3" t="str">
        <v>Samnaun</v>
      </c>
      <c r="I1155" s="19">
        <v>3714</v>
      </c>
      <c r="J1155" s="19" t="s">
        <v>4553</v>
      </c>
    </row>
    <row r="1156" spans="1:10" x14ac:dyDescent="0.2">
      <c r="A1156" s="3">
        <v>8756</v>
      </c>
      <c r="B1156" s="3" t="s">
        <v>1234</v>
      </c>
      <c r="C1156" s="3" t="s">
        <v>1235</v>
      </c>
      <c r="D1156" s="3" t="s">
        <v>1226</v>
      </c>
      <c r="E1156" s="3" t="str">
        <v>Scuol</v>
      </c>
      <c r="I1156" s="19">
        <v>3715</v>
      </c>
      <c r="J1156" s="19" t="s">
        <v>4544</v>
      </c>
    </row>
    <row r="1157" spans="1:10" x14ac:dyDescent="0.2">
      <c r="A1157" s="3">
        <v>8762</v>
      </c>
      <c r="B1157" s="3" t="s">
        <v>1236</v>
      </c>
      <c r="C1157" s="3" t="s">
        <v>1235</v>
      </c>
      <c r="D1157" s="3" t="s">
        <v>1226</v>
      </c>
      <c r="E1157" s="3" t="str">
        <v>Valsot</v>
      </c>
      <c r="I1157" s="19">
        <v>3716</v>
      </c>
      <c r="J1157" s="19" t="s">
        <v>4553</v>
      </c>
    </row>
    <row r="1158" spans="1:10" x14ac:dyDescent="0.2">
      <c r="A1158" s="3">
        <v>8762</v>
      </c>
      <c r="B1158" s="3" t="s">
        <v>1237</v>
      </c>
      <c r="C1158" s="3" t="s">
        <v>1235</v>
      </c>
      <c r="D1158" s="3" t="s">
        <v>1226</v>
      </c>
      <c r="E1158" s="3" t="str">
        <v>Bever</v>
      </c>
      <c r="I1158" s="19">
        <v>3717</v>
      </c>
      <c r="J1158" s="19" t="s">
        <v>4553</v>
      </c>
    </row>
    <row r="1159" spans="1:10" x14ac:dyDescent="0.2">
      <c r="A1159" s="3">
        <v>8762</v>
      </c>
      <c r="B1159" s="3" t="s">
        <v>1238</v>
      </c>
      <c r="C1159" s="3" t="s">
        <v>1235</v>
      </c>
      <c r="D1159" s="3" t="s">
        <v>1226</v>
      </c>
      <c r="E1159" s="3" t="str">
        <v>Celerina/Schlarigna</v>
      </c>
      <c r="I1159" s="19">
        <v>3718</v>
      </c>
      <c r="J1159" s="19" t="s">
        <v>4544</v>
      </c>
    </row>
    <row r="1160" spans="1:10" x14ac:dyDescent="0.2">
      <c r="A1160" s="3">
        <v>8765</v>
      </c>
      <c r="B1160" s="3" t="s">
        <v>1239</v>
      </c>
      <c r="C1160" s="3" t="s">
        <v>1235</v>
      </c>
      <c r="D1160" s="3" t="s">
        <v>1226</v>
      </c>
      <c r="E1160" s="3" t="str">
        <v>Madulain</v>
      </c>
      <c r="I1160" s="19">
        <v>3722</v>
      </c>
      <c r="J1160" s="19" t="s">
        <v>4553</v>
      </c>
    </row>
    <row r="1161" spans="1:10" x14ac:dyDescent="0.2">
      <c r="A1161" s="3">
        <v>8766</v>
      </c>
      <c r="B1161" s="3" t="s">
        <v>1240</v>
      </c>
      <c r="C1161" s="3" t="s">
        <v>1235</v>
      </c>
      <c r="D1161" s="3" t="s">
        <v>1226</v>
      </c>
      <c r="E1161" s="3" t="str">
        <v>Pontresina</v>
      </c>
      <c r="I1161" s="19">
        <v>3723</v>
      </c>
      <c r="J1161" s="19" t="s">
        <v>4553</v>
      </c>
    </row>
    <row r="1162" spans="1:10" x14ac:dyDescent="0.2">
      <c r="A1162" s="3">
        <v>8767</v>
      </c>
      <c r="B1162" s="3" t="s">
        <v>1241</v>
      </c>
      <c r="C1162" s="3" t="s">
        <v>1235</v>
      </c>
      <c r="D1162" s="3" t="s">
        <v>1226</v>
      </c>
      <c r="E1162" s="3" t="str">
        <v>La Punt Chamues-ch</v>
      </c>
      <c r="I1162" s="19">
        <v>3724</v>
      </c>
      <c r="J1162" s="19" t="s">
        <v>4544</v>
      </c>
    </row>
    <row r="1163" spans="1:10" x14ac:dyDescent="0.2">
      <c r="A1163" s="3">
        <v>8772</v>
      </c>
      <c r="B1163" s="3" t="s">
        <v>1242</v>
      </c>
      <c r="C1163" s="3" t="s">
        <v>1235</v>
      </c>
      <c r="D1163" s="3" t="s">
        <v>1226</v>
      </c>
      <c r="E1163" s="3" t="str">
        <v>Samedan</v>
      </c>
      <c r="I1163" s="19">
        <v>3725</v>
      </c>
      <c r="J1163" s="19" t="s">
        <v>4544</v>
      </c>
    </row>
    <row r="1164" spans="1:10" x14ac:dyDescent="0.2">
      <c r="A1164" s="3">
        <v>8773</v>
      </c>
      <c r="B1164" s="3" t="s">
        <v>1243</v>
      </c>
      <c r="C1164" s="3" t="s">
        <v>1235</v>
      </c>
      <c r="D1164" s="3" t="s">
        <v>1226</v>
      </c>
      <c r="E1164" s="3" t="str">
        <v>St. Moritz</v>
      </c>
      <c r="I1164" s="19">
        <v>3752</v>
      </c>
      <c r="J1164" s="19" t="s">
        <v>4553</v>
      </c>
    </row>
    <row r="1165" spans="1:10" x14ac:dyDescent="0.2">
      <c r="A1165" s="3">
        <v>8774</v>
      </c>
      <c r="B1165" s="3" t="s">
        <v>1244</v>
      </c>
      <c r="C1165" s="3" t="s">
        <v>1235</v>
      </c>
      <c r="D1165" s="3" t="s">
        <v>1226</v>
      </c>
      <c r="E1165" s="3" t="str">
        <v>S-chanf</v>
      </c>
      <c r="I1165" s="19">
        <v>3753</v>
      </c>
      <c r="J1165" s="19" t="s">
        <v>4553</v>
      </c>
    </row>
    <row r="1166" spans="1:10" x14ac:dyDescent="0.2">
      <c r="A1166" s="3">
        <v>8775</v>
      </c>
      <c r="B1166" s="3" t="s">
        <v>1245</v>
      </c>
      <c r="C1166" s="3" t="s">
        <v>1235</v>
      </c>
      <c r="D1166" s="3" t="s">
        <v>1226</v>
      </c>
      <c r="E1166" s="3" t="str">
        <v>Sils im Engadin/Segl</v>
      </c>
      <c r="I1166" s="19">
        <v>3754</v>
      </c>
      <c r="J1166" s="19" t="s">
        <v>4553</v>
      </c>
    </row>
    <row r="1167" spans="1:10" x14ac:dyDescent="0.2">
      <c r="A1167" s="3">
        <v>8775</v>
      </c>
      <c r="B1167" s="3" t="s">
        <v>1246</v>
      </c>
      <c r="C1167" s="3" t="s">
        <v>1235</v>
      </c>
      <c r="D1167" s="3" t="s">
        <v>1226</v>
      </c>
      <c r="E1167" s="3" t="str">
        <v>Silvaplana</v>
      </c>
      <c r="I1167" s="19">
        <v>3755</v>
      </c>
      <c r="J1167" s="19" t="s">
        <v>4544</v>
      </c>
    </row>
    <row r="1168" spans="1:10" x14ac:dyDescent="0.2">
      <c r="A1168" s="3">
        <v>8777</v>
      </c>
      <c r="B1168" s="3" t="s">
        <v>1247</v>
      </c>
      <c r="C1168" s="3" t="s">
        <v>1235</v>
      </c>
      <c r="D1168" s="3" t="s">
        <v>1226</v>
      </c>
      <c r="E1168" s="3" t="str">
        <v>Zuoz</v>
      </c>
      <c r="I1168" s="19">
        <v>3756</v>
      </c>
      <c r="J1168" s="19" t="s">
        <v>4544</v>
      </c>
    </row>
    <row r="1169" spans="1:10" x14ac:dyDescent="0.2">
      <c r="A1169" s="3">
        <v>8777</v>
      </c>
      <c r="B1169" s="3" t="s">
        <v>1248</v>
      </c>
      <c r="C1169" s="3" t="s">
        <v>1235</v>
      </c>
      <c r="D1169" s="3" t="s">
        <v>1226</v>
      </c>
      <c r="E1169" s="3" t="str">
        <v>Bregaglia</v>
      </c>
      <c r="I1169" s="19">
        <v>3757</v>
      </c>
      <c r="J1169" s="19" t="s">
        <v>4544</v>
      </c>
    </row>
    <row r="1170" spans="1:10" x14ac:dyDescent="0.2">
      <c r="A1170" s="3">
        <v>8782</v>
      </c>
      <c r="B1170" s="3" t="s">
        <v>1249</v>
      </c>
      <c r="C1170" s="3" t="s">
        <v>1235</v>
      </c>
      <c r="D1170" s="3" t="s">
        <v>1226</v>
      </c>
      <c r="E1170" s="3" t="str">
        <v>Buseno</v>
      </c>
      <c r="I1170" s="19">
        <v>3758</v>
      </c>
      <c r="J1170" s="19" t="s">
        <v>4553</v>
      </c>
    </row>
    <row r="1171" spans="1:10" x14ac:dyDescent="0.2">
      <c r="A1171" s="3">
        <v>8783</v>
      </c>
      <c r="B1171" s="3" t="s">
        <v>1250</v>
      </c>
      <c r="C1171" s="3" t="s">
        <v>1235</v>
      </c>
      <c r="D1171" s="3" t="s">
        <v>1226</v>
      </c>
      <c r="E1171" s="3" t="str">
        <v>Castaneda</v>
      </c>
      <c r="I1171" s="19">
        <v>3762</v>
      </c>
      <c r="J1171" s="19" t="s">
        <v>4553</v>
      </c>
    </row>
    <row r="1172" spans="1:10" x14ac:dyDescent="0.2">
      <c r="A1172" s="3">
        <v>8784</v>
      </c>
      <c r="B1172" s="3" t="s">
        <v>1251</v>
      </c>
      <c r="C1172" s="3" t="s">
        <v>1235</v>
      </c>
      <c r="D1172" s="3" t="s">
        <v>1226</v>
      </c>
      <c r="E1172" s="3" t="str">
        <v>Rossa</v>
      </c>
      <c r="I1172" s="19">
        <v>3763</v>
      </c>
      <c r="J1172" s="19" t="s">
        <v>4553</v>
      </c>
    </row>
    <row r="1173" spans="1:10" x14ac:dyDescent="0.2">
      <c r="A1173" s="3">
        <v>8750</v>
      </c>
      <c r="B1173" s="3" t="s">
        <v>1252</v>
      </c>
      <c r="C1173" s="3" t="s">
        <v>1252</v>
      </c>
      <c r="D1173" s="3" t="s">
        <v>1226</v>
      </c>
      <c r="E1173" s="3" t="str">
        <v>Santa Maria in Calanca</v>
      </c>
      <c r="I1173" s="19">
        <v>3764</v>
      </c>
      <c r="J1173" s="19" t="s">
        <v>4553</v>
      </c>
    </row>
    <row r="1174" spans="1:10" x14ac:dyDescent="0.2">
      <c r="A1174" s="3">
        <v>8750</v>
      </c>
      <c r="B1174" s="3" t="s">
        <v>1253</v>
      </c>
      <c r="C1174" s="3" t="s">
        <v>1252</v>
      </c>
      <c r="D1174" s="3" t="s">
        <v>1226</v>
      </c>
      <c r="E1174" s="3" t="str">
        <v>Lostallo</v>
      </c>
      <c r="I1174" s="19">
        <v>3765</v>
      </c>
      <c r="J1174" s="19" t="s">
        <v>4553</v>
      </c>
    </row>
    <row r="1175" spans="1:10" x14ac:dyDescent="0.2">
      <c r="A1175" s="3">
        <v>8750</v>
      </c>
      <c r="B1175" s="3" t="s">
        <v>1254</v>
      </c>
      <c r="C1175" s="3" t="s">
        <v>1252</v>
      </c>
      <c r="D1175" s="3" t="s">
        <v>1226</v>
      </c>
      <c r="E1175" s="3" t="str">
        <v>Mesocco</v>
      </c>
      <c r="I1175" s="19">
        <v>3766</v>
      </c>
      <c r="J1175" s="19" t="s">
        <v>4544</v>
      </c>
    </row>
    <row r="1176" spans="1:10" x14ac:dyDescent="0.2">
      <c r="A1176" s="3">
        <v>8754</v>
      </c>
      <c r="B1176" s="3" t="s">
        <v>1255</v>
      </c>
      <c r="C1176" s="3" t="s">
        <v>1252</v>
      </c>
      <c r="D1176" s="3" t="s">
        <v>1226</v>
      </c>
      <c r="E1176" s="3" t="str">
        <v>Soazza</v>
      </c>
      <c r="I1176" s="19">
        <v>3770</v>
      </c>
      <c r="J1176" s="19" t="s">
        <v>4544</v>
      </c>
    </row>
    <row r="1177" spans="1:10" x14ac:dyDescent="0.2">
      <c r="A1177" s="3">
        <v>8755</v>
      </c>
      <c r="B1177" s="3" t="s">
        <v>1256</v>
      </c>
      <c r="C1177" s="3" t="s">
        <v>1252</v>
      </c>
      <c r="D1177" s="3" t="s">
        <v>1226</v>
      </c>
      <c r="E1177" s="3" t="str">
        <v>Cama</v>
      </c>
      <c r="I1177" s="19">
        <v>3771</v>
      </c>
      <c r="J1177" s="19" t="s">
        <v>4544</v>
      </c>
    </row>
    <row r="1178" spans="1:10" x14ac:dyDescent="0.2">
      <c r="A1178" s="3">
        <v>6319</v>
      </c>
      <c r="B1178" s="3" t="s">
        <v>1257</v>
      </c>
      <c r="C1178" s="3" t="s">
        <v>1258</v>
      </c>
      <c r="D1178" s="3" t="s">
        <v>1259</v>
      </c>
      <c r="E1178" s="3" t="str">
        <v>Grono</v>
      </c>
      <c r="I1178" s="19">
        <v>3772</v>
      </c>
      <c r="J1178" s="19" t="s">
        <v>4544</v>
      </c>
    </row>
    <row r="1179" spans="1:10" x14ac:dyDescent="0.2">
      <c r="A1179" s="3">
        <v>6340</v>
      </c>
      <c r="B1179" s="3" t="s">
        <v>1258</v>
      </c>
      <c r="C1179" s="3" t="s">
        <v>1258</v>
      </c>
      <c r="D1179" s="3" t="s">
        <v>1259</v>
      </c>
      <c r="E1179" s="3" t="str">
        <v>Roveredo (GR)</v>
      </c>
      <c r="I1179" s="19">
        <v>3773</v>
      </c>
      <c r="J1179" s="19" t="s">
        <v>4544</v>
      </c>
    </row>
    <row r="1180" spans="1:10" x14ac:dyDescent="0.2">
      <c r="A1180" s="3">
        <v>6330</v>
      </c>
      <c r="B1180" s="3" t="s">
        <v>1260</v>
      </c>
      <c r="C1180" s="3" t="s">
        <v>1260</v>
      </c>
      <c r="D1180" s="3" t="s">
        <v>1259</v>
      </c>
      <c r="E1180" s="3" t="str">
        <v>San Vittore</v>
      </c>
      <c r="I1180" s="19">
        <v>3775</v>
      </c>
      <c r="J1180" s="19" t="s">
        <v>4544</v>
      </c>
    </row>
    <row r="1181" spans="1:10" x14ac:dyDescent="0.2">
      <c r="A1181" s="3">
        <v>6332</v>
      </c>
      <c r="B1181" s="3" t="s">
        <v>1261</v>
      </c>
      <c r="C1181" s="3" t="s">
        <v>1260</v>
      </c>
      <c r="D1181" s="3" t="s">
        <v>1259</v>
      </c>
      <c r="E1181" s="3" t="str">
        <v>Calanca</v>
      </c>
      <c r="I1181" s="19">
        <v>3776</v>
      </c>
      <c r="J1181" s="19" t="s">
        <v>4544</v>
      </c>
    </row>
    <row r="1182" spans="1:10" x14ac:dyDescent="0.2">
      <c r="A1182" s="3">
        <v>6331</v>
      </c>
      <c r="B1182" s="3" t="s">
        <v>1262</v>
      </c>
      <c r="C1182" s="3" t="s">
        <v>1262</v>
      </c>
      <c r="D1182" s="3" t="s">
        <v>1259</v>
      </c>
      <c r="E1182" s="3" t="str">
        <v>Val Müstair</v>
      </c>
      <c r="I1182" s="19">
        <v>3777</v>
      </c>
      <c r="J1182" s="19" t="s">
        <v>4544</v>
      </c>
    </row>
    <row r="1183" spans="1:10" x14ac:dyDescent="0.2">
      <c r="A1183" s="3">
        <v>6333</v>
      </c>
      <c r="B1183" s="3" t="s">
        <v>1263</v>
      </c>
      <c r="C1183" s="3" t="s">
        <v>1262</v>
      </c>
      <c r="D1183" s="3" t="s">
        <v>1259</v>
      </c>
      <c r="E1183" s="3" t="str">
        <v>Davos</v>
      </c>
      <c r="I1183" s="19">
        <v>3778</v>
      </c>
      <c r="J1183" s="19" t="s">
        <v>4544</v>
      </c>
    </row>
    <row r="1184" spans="1:10" x14ac:dyDescent="0.2">
      <c r="A1184" s="3">
        <v>6313</v>
      </c>
      <c r="B1184" s="3" t="s">
        <v>1264</v>
      </c>
      <c r="C1184" s="3" t="s">
        <v>1264</v>
      </c>
      <c r="D1184" s="3" t="s">
        <v>1259</v>
      </c>
      <c r="E1184" s="3" t="str">
        <v>Fideris</v>
      </c>
      <c r="I1184" s="19">
        <v>3780</v>
      </c>
      <c r="J1184" s="19" t="s">
        <v>4544</v>
      </c>
    </row>
    <row r="1185" spans="1:10" x14ac:dyDescent="0.2">
      <c r="A1185" s="3">
        <v>6313</v>
      </c>
      <c r="B1185" s="3" t="s">
        <v>1264</v>
      </c>
      <c r="C1185" s="3" t="s">
        <v>1264</v>
      </c>
      <c r="D1185" s="3" t="s">
        <v>1259</v>
      </c>
      <c r="E1185" s="3" t="str">
        <v>Furna</v>
      </c>
      <c r="I1185" s="19">
        <v>3781</v>
      </c>
      <c r="J1185" s="19" t="s">
        <v>4544</v>
      </c>
    </row>
    <row r="1186" spans="1:10" x14ac:dyDescent="0.2">
      <c r="A1186" s="3">
        <v>6313</v>
      </c>
      <c r="B1186" s="3" t="s">
        <v>1265</v>
      </c>
      <c r="C1186" s="3" t="s">
        <v>1264</v>
      </c>
      <c r="D1186" s="3" t="s">
        <v>1259</v>
      </c>
      <c r="E1186" s="3" t="str">
        <v>Jenaz</v>
      </c>
      <c r="I1186" s="19">
        <v>3782</v>
      </c>
      <c r="J1186" s="19" t="s">
        <v>4544</v>
      </c>
    </row>
    <row r="1187" spans="1:10" x14ac:dyDescent="0.2">
      <c r="A1187" s="3">
        <v>6313</v>
      </c>
      <c r="B1187" s="3" t="s">
        <v>1266</v>
      </c>
      <c r="C1187" s="3" t="s">
        <v>1264</v>
      </c>
      <c r="D1187" s="3" t="s">
        <v>1259</v>
      </c>
      <c r="E1187" s="3" t="str">
        <v>Klosters</v>
      </c>
      <c r="I1187" s="19">
        <v>3783</v>
      </c>
      <c r="J1187" s="19" t="s">
        <v>4544</v>
      </c>
    </row>
    <row r="1188" spans="1:10" x14ac:dyDescent="0.2">
      <c r="A1188" s="3">
        <v>6340</v>
      </c>
      <c r="B1188" s="3" t="s">
        <v>1267</v>
      </c>
      <c r="C1188" s="3" t="s">
        <v>1268</v>
      </c>
      <c r="D1188" s="3" t="s">
        <v>1259</v>
      </c>
      <c r="E1188" s="3" t="str">
        <v>Conters im Prättigau</v>
      </c>
      <c r="I1188" s="19">
        <v>3784</v>
      </c>
      <c r="J1188" s="19" t="s">
        <v>4544</v>
      </c>
    </row>
    <row r="1189" spans="1:10" x14ac:dyDescent="0.2">
      <c r="A1189" s="3">
        <v>6345</v>
      </c>
      <c r="B1189" s="3" t="s">
        <v>1268</v>
      </c>
      <c r="C1189" s="3" t="s">
        <v>1268</v>
      </c>
      <c r="D1189" s="3" t="s">
        <v>1259</v>
      </c>
      <c r="E1189" s="3" t="str">
        <v>Küblis</v>
      </c>
      <c r="I1189" s="19">
        <v>3785</v>
      </c>
      <c r="J1189" s="19" t="s">
        <v>4544</v>
      </c>
    </row>
    <row r="1190" spans="1:10" x14ac:dyDescent="0.2">
      <c r="A1190" s="3">
        <v>6315</v>
      </c>
      <c r="B1190" s="3" t="s">
        <v>1269</v>
      </c>
      <c r="C1190" s="3" t="s">
        <v>1269</v>
      </c>
      <c r="D1190" s="3" t="s">
        <v>1259</v>
      </c>
      <c r="E1190" s="3" t="str">
        <v>Luzein</v>
      </c>
      <c r="I1190" s="19">
        <v>3792</v>
      </c>
      <c r="J1190" s="19" t="s">
        <v>4544</v>
      </c>
    </row>
    <row r="1191" spans="1:10" x14ac:dyDescent="0.2">
      <c r="A1191" s="3">
        <v>6315</v>
      </c>
      <c r="B1191" s="3" t="s">
        <v>1270</v>
      </c>
      <c r="C1191" s="3" t="s">
        <v>1269</v>
      </c>
      <c r="D1191" s="3" t="s">
        <v>1259</v>
      </c>
      <c r="E1191" s="3" t="str">
        <v>Chur</v>
      </c>
      <c r="I1191" s="19">
        <v>3800</v>
      </c>
      <c r="J1191" s="19" t="s">
        <v>4553</v>
      </c>
    </row>
    <row r="1192" spans="1:10" x14ac:dyDescent="0.2">
      <c r="A1192" s="3">
        <v>6315</v>
      </c>
      <c r="B1192" s="3" t="s">
        <v>1271</v>
      </c>
      <c r="C1192" s="3" t="s">
        <v>1269</v>
      </c>
      <c r="D1192" s="3" t="s">
        <v>1259</v>
      </c>
      <c r="E1192" s="3" t="str">
        <v>Churwalden</v>
      </c>
      <c r="I1192" s="19">
        <v>3801</v>
      </c>
      <c r="J1192" s="19" t="s">
        <v>4553</v>
      </c>
    </row>
    <row r="1193" spans="1:10" x14ac:dyDescent="0.2">
      <c r="A1193" s="3">
        <v>6343</v>
      </c>
      <c r="B1193" s="3" t="s">
        <v>1272</v>
      </c>
      <c r="C1193" s="3" t="s">
        <v>1273</v>
      </c>
      <c r="D1193" s="3" t="s">
        <v>1259</v>
      </c>
      <c r="E1193" s="3" t="str">
        <v>Arosa</v>
      </c>
      <c r="I1193" s="19">
        <v>3803</v>
      </c>
      <c r="J1193" s="19" t="s">
        <v>4553</v>
      </c>
    </row>
    <row r="1194" spans="1:10" x14ac:dyDescent="0.2">
      <c r="A1194" s="3">
        <v>6343</v>
      </c>
      <c r="B1194" s="3" t="s">
        <v>1274</v>
      </c>
      <c r="C1194" s="3" t="s">
        <v>1273</v>
      </c>
      <c r="D1194" s="3" t="s">
        <v>1259</v>
      </c>
      <c r="E1194" s="3" t="str">
        <v>Tschiertschen-Praden</v>
      </c>
      <c r="I1194" s="19">
        <v>3804</v>
      </c>
      <c r="J1194" s="19" t="s">
        <v>4553</v>
      </c>
    </row>
    <row r="1195" spans="1:10" x14ac:dyDescent="0.2">
      <c r="A1195" s="3">
        <v>6343</v>
      </c>
      <c r="B1195" s="3" t="s">
        <v>1273</v>
      </c>
      <c r="C1195" s="3" t="s">
        <v>1273</v>
      </c>
      <c r="D1195" s="3" t="s">
        <v>1259</v>
      </c>
      <c r="E1195" s="3" t="str">
        <v>Trimmis</v>
      </c>
      <c r="I1195" s="19">
        <v>3805</v>
      </c>
      <c r="J1195" s="19" t="s">
        <v>4553</v>
      </c>
    </row>
    <row r="1196" spans="1:10" x14ac:dyDescent="0.2">
      <c r="A1196" s="3">
        <v>6343</v>
      </c>
      <c r="B1196" s="3" t="s">
        <v>1275</v>
      </c>
      <c r="C1196" s="3" t="s">
        <v>1273</v>
      </c>
      <c r="D1196" s="3" t="s">
        <v>1259</v>
      </c>
      <c r="E1196" s="3" t="str">
        <v>Untervaz</v>
      </c>
      <c r="I1196" s="19">
        <v>3806</v>
      </c>
      <c r="J1196" s="19" t="s">
        <v>4553</v>
      </c>
    </row>
    <row r="1197" spans="1:10" x14ac:dyDescent="0.2">
      <c r="A1197" s="3">
        <v>6312</v>
      </c>
      <c r="B1197" s="3" t="s">
        <v>1276</v>
      </c>
      <c r="C1197" s="3" t="s">
        <v>1276</v>
      </c>
      <c r="D1197" s="3" t="s">
        <v>1259</v>
      </c>
      <c r="E1197" s="3" t="str">
        <v>Zizers</v>
      </c>
      <c r="I1197" s="19">
        <v>3807</v>
      </c>
      <c r="J1197" s="19" t="s">
        <v>4553</v>
      </c>
    </row>
    <row r="1198" spans="1:10" x14ac:dyDescent="0.2">
      <c r="A1198" s="3">
        <v>6314</v>
      </c>
      <c r="B1198" s="3" t="s">
        <v>1277</v>
      </c>
      <c r="C1198" s="3" t="s">
        <v>1277</v>
      </c>
      <c r="D1198" s="3" t="s">
        <v>1259</v>
      </c>
      <c r="E1198" s="3" t="str">
        <v>Fläsch</v>
      </c>
      <c r="I1198" s="19">
        <v>3812</v>
      </c>
      <c r="J1198" s="19" t="s">
        <v>4553</v>
      </c>
    </row>
    <row r="1199" spans="1:10" x14ac:dyDescent="0.2">
      <c r="A1199" s="3">
        <v>6314</v>
      </c>
      <c r="B1199" s="3" t="s">
        <v>1278</v>
      </c>
      <c r="C1199" s="3" t="s">
        <v>1277</v>
      </c>
      <c r="D1199" s="3" t="s">
        <v>1259</v>
      </c>
      <c r="E1199" s="3" t="str">
        <v>Jenins</v>
      </c>
      <c r="I1199" s="19">
        <v>3813</v>
      </c>
      <c r="J1199" s="19" t="s">
        <v>4553</v>
      </c>
    </row>
    <row r="1200" spans="1:10" x14ac:dyDescent="0.2">
      <c r="A1200" s="3">
        <v>6318</v>
      </c>
      <c r="B1200" s="3" t="s">
        <v>1279</v>
      </c>
      <c r="C1200" s="3" t="s">
        <v>1279</v>
      </c>
      <c r="D1200" s="3" t="s">
        <v>1259</v>
      </c>
      <c r="E1200" s="3" t="str">
        <v>Maienfeld</v>
      </c>
      <c r="I1200" s="19">
        <v>3814</v>
      </c>
      <c r="J1200" s="19" t="s">
        <v>4553</v>
      </c>
    </row>
    <row r="1201" spans="1:10" x14ac:dyDescent="0.2">
      <c r="A1201" s="3">
        <v>6300</v>
      </c>
      <c r="B1201" s="3" t="s">
        <v>1280</v>
      </c>
      <c r="C1201" s="3" t="s">
        <v>1280</v>
      </c>
      <c r="D1201" s="3" t="s">
        <v>1259</v>
      </c>
      <c r="E1201" s="3" t="str">
        <v>Malans</v>
      </c>
      <c r="I1201" s="19">
        <v>3815</v>
      </c>
      <c r="J1201" s="19" t="s">
        <v>4553</v>
      </c>
    </row>
    <row r="1202" spans="1:10" x14ac:dyDescent="0.2">
      <c r="A1202" s="3">
        <v>6300</v>
      </c>
      <c r="B1202" s="3" t="s">
        <v>1281</v>
      </c>
      <c r="C1202" s="3" t="s">
        <v>1280</v>
      </c>
      <c r="D1202" s="3" t="s">
        <v>1259</v>
      </c>
      <c r="E1202" s="3" t="str">
        <v>Landquart</v>
      </c>
      <c r="I1202" s="19">
        <v>3816</v>
      </c>
      <c r="J1202" s="19" t="s">
        <v>4553</v>
      </c>
    </row>
    <row r="1203" spans="1:10" x14ac:dyDescent="0.2">
      <c r="A1203" s="3">
        <v>6317</v>
      </c>
      <c r="B1203" s="3" t="s">
        <v>1282</v>
      </c>
      <c r="C1203" s="3" t="s">
        <v>1280</v>
      </c>
      <c r="D1203" s="3" t="s">
        <v>1259</v>
      </c>
      <c r="E1203" s="3" t="str">
        <v>Grüsch</v>
      </c>
      <c r="I1203" s="19">
        <v>3818</v>
      </c>
      <c r="J1203" s="19" t="s">
        <v>4553</v>
      </c>
    </row>
    <row r="1204" spans="1:10" x14ac:dyDescent="0.2">
      <c r="A1204" s="3">
        <v>1473</v>
      </c>
      <c r="B1204" s="3" t="s">
        <v>1283</v>
      </c>
      <c r="C1204" s="3" t="s">
        <v>1284</v>
      </c>
      <c r="D1204" s="3" t="s">
        <v>1285</v>
      </c>
      <c r="E1204" s="3" t="str">
        <v>Schiers</v>
      </c>
      <c r="I1204" s="19">
        <v>3822</v>
      </c>
      <c r="J1204" s="19" t="s">
        <v>4553</v>
      </c>
    </row>
    <row r="1205" spans="1:10" x14ac:dyDescent="0.2">
      <c r="A1205" s="3">
        <v>1482</v>
      </c>
      <c r="B1205" s="3" t="s">
        <v>1286</v>
      </c>
      <c r="C1205" s="3" t="s">
        <v>1287</v>
      </c>
      <c r="D1205" s="3" t="s">
        <v>1285</v>
      </c>
      <c r="E1205" s="3" t="str">
        <v>Seewis im Prättigau</v>
      </c>
      <c r="I1205" s="19">
        <v>3823</v>
      </c>
      <c r="J1205" s="19" t="s">
        <v>4553</v>
      </c>
    </row>
    <row r="1206" spans="1:10" x14ac:dyDescent="0.2">
      <c r="A1206" s="3">
        <v>1483</v>
      </c>
      <c r="B1206" s="3" t="s">
        <v>1288</v>
      </c>
      <c r="C1206" s="3" t="s">
        <v>1287</v>
      </c>
      <c r="D1206" s="3" t="s">
        <v>1285</v>
      </c>
      <c r="E1206" s="3" t="str">
        <v>Breil/Brigels</v>
      </c>
      <c r="I1206" s="19">
        <v>3824</v>
      </c>
      <c r="J1206" s="19" t="s">
        <v>4553</v>
      </c>
    </row>
    <row r="1207" spans="1:10" x14ac:dyDescent="0.2">
      <c r="A1207" s="3">
        <v>1532</v>
      </c>
      <c r="B1207" s="3" t="s">
        <v>1289</v>
      </c>
      <c r="C1207" s="3" t="s">
        <v>1289</v>
      </c>
      <c r="D1207" s="3" t="s">
        <v>1285</v>
      </c>
      <c r="E1207" s="3" t="str">
        <v>Disentis/Mustér</v>
      </c>
      <c r="I1207" s="19">
        <v>3825</v>
      </c>
      <c r="J1207" s="19" t="s">
        <v>4544</v>
      </c>
    </row>
    <row r="1208" spans="1:10" x14ac:dyDescent="0.2">
      <c r="A1208" s="3">
        <v>1544</v>
      </c>
      <c r="B1208" s="3" t="s">
        <v>1290</v>
      </c>
      <c r="C1208" s="3" t="s">
        <v>1290</v>
      </c>
      <c r="D1208" s="3" t="s">
        <v>1285</v>
      </c>
      <c r="E1208" s="3" t="str">
        <v>Medel (Lucmagn)</v>
      </c>
      <c r="I1208" s="19">
        <v>3826</v>
      </c>
      <c r="J1208" s="19" t="s">
        <v>4544</v>
      </c>
    </row>
    <row r="1209" spans="1:10" x14ac:dyDescent="0.2">
      <c r="A1209" s="3">
        <v>1470</v>
      </c>
      <c r="B1209" s="3" t="s">
        <v>1291</v>
      </c>
      <c r="C1209" s="3" t="s">
        <v>1292</v>
      </c>
      <c r="D1209" s="3" t="s">
        <v>1285</v>
      </c>
      <c r="E1209" s="3" t="str">
        <v>Sumvitg</v>
      </c>
      <c r="I1209" s="19">
        <v>3852</v>
      </c>
      <c r="J1209" s="19" t="s">
        <v>4553</v>
      </c>
    </row>
    <row r="1210" spans="1:10" x14ac:dyDescent="0.2">
      <c r="A1210" s="3">
        <v>1470</v>
      </c>
      <c r="B1210" s="3" t="s">
        <v>1293</v>
      </c>
      <c r="C1210" s="3" t="s">
        <v>1292</v>
      </c>
      <c r="D1210" s="3" t="s">
        <v>1285</v>
      </c>
      <c r="E1210" s="3" t="str">
        <v>Tujetsch</v>
      </c>
      <c r="I1210" s="19">
        <v>3853</v>
      </c>
      <c r="J1210" s="19" t="s">
        <v>4553</v>
      </c>
    </row>
    <row r="1211" spans="1:10" x14ac:dyDescent="0.2">
      <c r="A1211" s="3">
        <v>1470</v>
      </c>
      <c r="B1211" s="3" t="s">
        <v>1294</v>
      </c>
      <c r="C1211" s="3" t="s">
        <v>1292</v>
      </c>
      <c r="D1211" s="3" t="s">
        <v>1285</v>
      </c>
      <c r="E1211" s="3" t="str">
        <v>Trun</v>
      </c>
      <c r="I1211" s="19">
        <v>3854</v>
      </c>
      <c r="J1211" s="19" t="s">
        <v>4553</v>
      </c>
    </row>
    <row r="1212" spans="1:10" x14ac:dyDescent="0.2">
      <c r="A1212" s="3">
        <v>1533</v>
      </c>
      <c r="B1212" s="3" t="s">
        <v>1295</v>
      </c>
      <c r="C1212" s="3" t="s">
        <v>1295</v>
      </c>
      <c r="D1212" s="3" t="s">
        <v>1285</v>
      </c>
      <c r="E1212" s="3" t="str">
        <v>Obersaxen Mundaun</v>
      </c>
      <c r="I1212" s="19">
        <v>3855</v>
      </c>
      <c r="J1212" s="19" t="s">
        <v>4553</v>
      </c>
    </row>
    <row r="1213" spans="1:10" x14ac:dyDescent="0.2">
      <c r="A1213" s="3">
        <v>1774</v>
      </c>
      <c r="B1213" s="3" t="s">
        <v>1296</v>
      </c>
      <c r="C1213" s="3" t="s">
        <v>1297</v>
      </c>
      <c r="D1213" s="3" t="s">
        <v>1285</v>
      </c>
      <c r="E1213" s="3" t="str">
        <v>Aarau</v>
      </c>
      <c r="I1213" s="19">
        <v>3856</v>
      </c>
      <c r="J1213" s="19" t="s">
        <v>4553</v>
      </c>
    </row>
    <row r="1214" spans="1:10" x14ac:dyDescent="0.2">
      <c r="A1214" s="3">
        <v>1774</v>
      </c>
      <c r="B1214" s="3" t="s">
        <v>1296</v>
      </c>
      <c r="C1214" s="3" t="s">
        <v>1297</v>
      </c>
      <c r="D1214" s="3" t="s">
        <v>1285</v>
      </c>
      <c r="E1214" s="3" t="str">
        <v>Biberstein</v>
      </c>
      <c r="I1214" s="19">
        <v>3857</v>
      </c>
      <c r="J1214" s="19" t="s">
        <v>4553</v>
      </c>
    </row>
    <row r="1215" spans="1:10" x14ac:dyDescent="0.2">
      <c r="A1215" s="3">
        <v>1774</v>
      </c>
      <c r="B1215" s="3" t="s">
        <v>1298</v>
      </c>
      <c r="C1215" s="3" t="s">
        <v>1297</v>
      </c>
      <c r="D1215" s="3" t="s">
        <v>1285</v>
      </c>
      <c r="E1215" s="3" t="str">
        <v>Buchs (AG)</v>
      </c>
      <c r="I1215" s="19">
        <v>3858</v>
      </c>
      <c r="J1215" s="19" t="s">
        <v>4553</v>
      </c>
    </row>
    <row r="1216" spans="1:10" x14ac:dyDescent="0.2">
      <c r="A1216" s="3">
        <v>1775</v>
      </c>
      <c r="B1216" s="3" t="s">
        <v>1299</v>
      </c>
      <c r="C1216" s="3" t="s">
        <v>1297</v>
      </c>
      <c r="D1216" s="3" t="s">
        <v>1285</v>
      </c>
      <c r="E1216" s="3" t="str">
        <v>Densbüren</v>
      </c>
      <c r="I1216" s="19">
        <v>3860</v>
      </c>
      <c r="J1216" s="19" t="s">
        <v>4553</v>
      </c>
    </row>
    <row r="1217" spans="1:10" x14ac:dyDescent="0.2">
      <c r="A1217" s="3">
        <v>1775</v>
      </c>
      <c r="B1217" s="3" t="s">
        <v>1300</v>
      </c>
      <c r="C1217" s="3" t="s">
        <v>1297</v>
      </c>
      <c r="D1217" s="3" t="s">
        <v>1285</v>
      </c>
      <c r="E1217" s="3" t="str">
        <v>Erlinsbach (AG)</v>
      </c>
      <c r="I1217" s="19">
        <v>3862</v>
      </c>
      <c r="J1217" s="19" t="s">
        <v>4553</v>
      </c>
    </row>
    <row r="1218" spans="1:10" x14ac:dyDescent="0.2">
      <c r="A1218" s="3">
        <v>1776</v>
      </c>
      <c r="B1218" s="3" t="s">
        <v>1301</v>
      </c>
      <c r="C1218" s="3" t="s">
        <v>1297</v>
      </c>
      <c r="D1218" s="3" t="s">
        <v>1285</v>
      </c>
      <c r="E1218" s="3" t="str">
        <v>Gränichen</v>
      </c>
      <c r="I1218" s="19">
        <v>3863</v>
      </c>
      <c r="J1218" s="19" t="s">
        <v>4553</v>
      </c>
    </row>
    <row r="1219" spans="1:10" x14ac:dyDescent="0.2">
      <c r="A1219" s="3">
        <v>1485</v>
      </c>
      <c r="B1219" s="3" t="s">
        <v>1302</v>
      </c>
      <c r="C1219" s="3" t="s">
        <v>1302</v>
      </c>
      <c r="D1219" s="3" t="s">
        <v>1285</v>
      </c>
      <c r="E1219" s="3" t="str">
        <v>Hirschthal</v>
      </c>
      <c r="I1219" s="19">
        <v>3864</v>
      </c>
      <c r="J1219" s="19" t="s">
        <v>4553</v>
      </c>
    </row>
    <row r="1220" spans="1:10" x14ac:dyDescent="0.2">
      <c r="A1220" s="3">
        <v>1410</v>
      </c>
      <c r="B1220" s="3" t="s">
        <v>1303</v>
      </c>
      <c r="C1220" s="3" t="s">
        <v>1303</v>
      </c>
      <c r="D1220" s="3" t="s">
        <v>1285</v>
      </c>
      <c r="E1220" s="3" t="str">
        <v>Küttigen</v>
      </c>
      <c r="I1220" s="19">
        <v>3900</v>
      </c>
      <c r="J1220" s="19" t="s">
        <v>4547</v>
      </c>
    </row>
    <row r="1221" spans="1:10" x14ac:dyDescent="0.2">
      <c r="A1221" s="3">
        <v>1566</v>
      </c>
      <c r="B1221" s="3" t="s">
        <v>1304</v>
      </c>
      <c r="C1221" s="3" t="s">
        <v>1305</v>
      </c>
      <c r="D1221" s="3" t="s">
        <v>1285</v>
      </c>
      <c r="E1221" s="3" t="str">
        <v>Muhen</v>
      </c>
      <c r="I1221" s="19">
        <v>3901</v>
      </c>
      <c r="J1221" s="19" t="s">
        <v>4549</v>
      </c>
    </row>
    <row r="1222" spans="1:10" x14ac:dyDescent="0.2">
      <c r="A1222" s="3">
        <v>1566</v>
      </c>
      <c r="B1222" s="3" t="s">
        <v>1306</v>
      </c>
      <c r="C1222" s="3" t="s">
        <v>1305</v>
      </c>
      <c r="D1222" s="3" t="s">
        <v>1285</v>
      </c>
      <c r="E1222" s="3" t="str">
        <v>Oberentfelden</v>
      </c>
      <c r="I1222" s="19">
        <v>3902</v>
      </c>
      <c r="J1222" s="19" t="s">
        <v>4547</v>
      </c>
    </row>
    <row r="1223" spans="1:10" x14ac:dyDescent="0.2">
      <c r="A1223" s="3">
        <v>1541</v>
      </c>
      <c r="B1223" s="3" t="s">
        <v>1307</v>
      </c>
      <c r="C1223" s="3" t="s">
        <v>1307</v>
      </c>
      <c r="D1223" s="3" t="s">
        <v>1285</v>
      </c>
      <c r="E1223" s="3" t="str">
        <v>Suhr</v>
      </c>
      <c r="I1223" s="19">
        <v>3903</v>
      </c>
      <c r="J1223" s="19" t="s">
        <v>4548</v>
      </c>
    </row>
    <row r="1224" spans="1:10" x14ac:dyDescent="0.2">
      <c r="A1224" s="3">
        <v>1527</v>
      </c>
      <c r="B1224" s="3" t="s">
        <v>1308</v>
      </c>
      <c r="C1224" s="3" t="s">
        <v>1309</v>
      </c>
      <c r="D1224" s="3" t="s">
        <v>1285</v>
      </c>
      <c r="E1224" s="3" t="str">
        <v>Unterentfelden</v>
      </c>
      <c r="I1224" s="19">
        <v>3904</v>
      </c>
      <c r="J1224" s="19" t="s">
        <v>4547</v>
      </c>
    </row>
    <row r="1225" spans="1:10" x14ac:dyDescent="0.2">
      <c r="A1225" s="3">
        <v>1528</v>
      </c>
      <c r="B1225" s="3" t="s">
        <v>1309</v>
      </c>
      <c r="C1225" s="3" t="s">
        <v>1309</v>
      </c>
      <c r="D1225" s="3" t="s">
        <v>1285</v>
      </c>
      <c r="E1225" s="3" t="str">
        <v>Baden</v>
      </c>
      <c r="I1225" s="19">
        <v>3905</v>
      </c>
      <c r="J1225" s="19" t="s">
        <v>4549</v>
      </c>
    </row>
    <row r="1226" spans="1:10" x14ac:dyDescent="0.2">
      <c r="A1226" s="3">
        <v>1528</v>
      </c>
      <c r="B1226" s="3" t="s">
        <v>1310</v>
      </c>
      <c r="C1226" s="3" t="s">
        <v>1309</v>
      </c>
      <c r="D1226" s="3" t="s">
        <v>1285</v>
      </c>
      <c r="E1226" s="3" t="str">
        <v>Bellikon</v>
      </c>
      <c r="I1226" s="19">
        <v>3906</v>
      </c>
      <c r="J1226" s="19" t="s">
        <v>4549</v>
      </c>
    </row>
    <row r="1227" spans="1:10" x14ac:dyDescent="0.2">
      <c r="A1227" s="3">
        <v>1529</v>
      </c>
      <c r="B1227" s="3" t="s">
        <v>1311</v>
      </c>
      <c r="C1227" s="3" t="s">
        <v>1309</v>
      </c>
      <c r="D1227" s="3" t="s">
        <v>1285</v>
      </c>
      <c r="E1227" s="3" t="str">
        <v>Bergdietikon</v>
      </c>
      <c r="I1227" s="19">
        <v>3907</v>
      </c>
      <c r="J1227" s="19" t="s">
        <v>4556</v>
      </c>
    </row>
    <row r="1228" spans="1:10" x14ac:dyDescent="0.2">
      <c r="A1228" s="3">
        <v>1534</v>
      </c>
      <c r="B1228" s="3" t="s">
        <v>1312</v>
      </c>
      <c r="C1228" s="3" t="s">
        <v>1309</v>
      </c>
      <c r="D1228" s="3" t="s">
        <v>1285</v>
      </c>
      <c r="E1228" s="3" t="str">
        <v>Birmenstorf (AG)</v>
      </c>
      <c r="I1228" s="19">
        <v>3908</v>
      </c>
      <c r="J1228" s="19" t="s">
        <v>4549</v>
      </c>
    </row>
    <row r="1229" spans="1:10" x14ac:dyDescent="0.2">
      <c r="A1229" s="3">
        <v>1565</v>
      </c>
      <c r="B1229" s="3" t="s">
        <v>1313</v>
      </c>
      <c r="C1229" s="3" t="s">
        <v>1313</v>
      </c>
      <c r="D1229" s="3" t="s">
        <v>1285</v>
      </c>
      <c r="E1229" s="3" t="str">
        <v>Ennetbaden</v>
      </c>
      <c r="I1229" s="19">
        <v>3910</v>
      </c>
      <c r="J1229" s="19" t="s">
        <v>4549</v>
      </c>
    </row>
    <row r="1230" spans="1:10" x14ac:dyDescent="0.2">
      <c r="A1230" s="3">
        <v>1483</v>
      </c>
      <c r="B1230" s="3" t="s">
        <v>1314</v>
      </c>
      <c r="C1230" s="3" t="s">
        <v>1315</v>
      </c>
      <c r="D1230" s="3" t="s">
        <v>1285</v>
      </c>
      <c r="E1230" s="3" t="str">
        <v>Fislisbach</v>
      </c>
      <c r="I1230" s="19">
        <v>3911</v>
      </c>
      <c r="J1230" s="19" t="s">
        <v>4548</v>
      </c>
    </row>
    <row r="1231" spans="1:10" x14ac:dyDescent="0.2">
      <c r="A1231" s="3">
        <v>1483</v>
      </c>
      <c r="B1231" s="3" t="s">
        <v>1316</v>
      </c>
      <c r="C1231" s="3" t="s">
        <v>1315</v>
      </c>
      <c r="D1231" s="3" t="s">
        <v>1285</v>
      </c>
      <c r="E1231" s="3" t="str">
        <v>Freienwil</v>
      </c>
      <c r="I1231" s="19">
        <v>3912</v>
      </c>
      <c r="J1231" s="19" t="s">
        <v>4548</v>
      </c>
    </row>
    <row r="1232" spans="1:10" x14ac:dyDescent="0.2">
      <c r="A1232" s="3">
        <v>1484</v>
      </c>
      <c r="B1232" s="3" t="s">
        <v>1317</v>
      </c>
      <c r="C1232" s="3" t="s">
        <v>1315</v>
      </c>
      <c r="D1232" s="3" t="s">
        <v>1285</v>
      </c>
      <c r="E1232" s="3" t="str">
        <v>Gebenstorf</v>
      </c>
      <c r="I1232" s="19">
        <v>3913</v>
      </c>
      <c r="J1232" s="19" t="s">
        <v>4557</v>
      </c>
    </row>
    <row r="1233" spans="1:10" x14ac:dyDescent="0.2">
      <c r="A1233" s="3">
        <v>1484</v>
      </c>
      <c r="B1233" s="3" t="s">
        <v>1318</v>
      </c>
      <c r="C1233" s="3" t="s">
        <v>1315</v>
      </c>
      <c r="D1233" s="3" t="s">
        <v>1285</v>
      </c>
      <c r="E1233" s="3" t="str">
        <v>Killwangen</v>
      </c>
      <c r="I1233" s="19">
        <v>3914</v>
      </c>
      <c r="J1233" s="19" t="s">
        <v>4548</v>
      </c>
    </row>
    <row r="1234" spans="1:10" x14ac:dyDescent="0.2">
      <c r="A1234" s="3">
        <v>1567</v>
      </c>
      <c r="B1234" s="3" t="s">
        <v>1319</v>
      </c>
      <c r="C1234" s="3" t="s">
        <v>1320</v>
      </c>
      <c r="D1234" s="3" t="s">
        <v>1285</v>
      </c>
      <c r="E1234" s="3" t="str">
        <v>Künten</v>
      </c>
      <c r="I1234" s="19">
        <v>3916</v>
      </c>
      <c r="J1234" s="19" t="s">
        <v>4548</v>
      </c>
    </row>
    <row r="1235" spans="1:10" x14ac:dyDescent="0.2">
      <c r="A1235" s="3">
        <v>1568</v>
      </c>
      <c r="B1235" s="3" t="s">
        <v>1321</v>
      </c>
      <c r="C1235" s="3" t="s">
        <v>1320</v>
      </c>
      <c r="D1235" s="3" t="s">
        <v>1285</v>
      </c>
      <c r="E1235" s="3" t="str">
        <v>Mägenwil</v>
      </c>
      <c r="I1235" s="19">
        <v>3917</v>
      </c>
      <c r="J1235" s="19" t="s">
        <v>4548</v>
      </c>
    </row>
    <row r="1236" spans="1:10" x14ac:dyDescent="0.2">
      <c r="A1236" s="3">
        <v>1563</v>
      </c>
      <c r="B1236" s="3" t="s">
        <v>1322</v>
      </c>
      <c r="C1236" s="3" t="s">
        <v>1323</v>
      </c>
      <c r="D1236" s="3" t="s">
        <v>1285</v>
      </c>
      <c r="E1236" s="3" t="str">
        <v>Mellingen</v>
      </c>
      <c r="I1236" s="19">
        <v>3918</v>
      </c>
      <c r="J1236" s="19" t="s">
        <v>4548</v>
      </c>
    </row>
    <row r="1237" spans="1:10" x14ac:dyDescent="0.2">
      <c r="A1237" s="3">
        <v>1564</v>
      </c>
      <c r="B1237" s="3" t="s">
        <v>1324</v>
      </c>
      <c r="C1237" s="3" t="s">
        <v>1323</v>
      </c>
      <c r="D1237" s="3" t="s">
        <v>1285</v>
      </c>
      <c r="E1237" s="3" t="str">
        <v>Neuenhof</v>
      </c>
      <c r="I1237" s="19">
        <v>3919</v>
      </c>
      <c r="J1237" s="19" t="s">
        <v>4548</v>
      </c>
    </row>
    <row r="1238" spans="1:10" x14ac:dyDescent="0.2">
      <c r="A1238" s="3">
        <v>1773</v>
      </c>
      <c r="B1238" s="3" t="s">
        <v>1325</v>
      </c>
      <c r="C1238" s="3" t="s">
        <v>1323</v>
      </c>
      <c r="D1238" s="3" t="s">
        <v>1285</v>
      </c>
      <c r="E1238" s="3" t="str">
        <v>Niederrohrdorf</v>
      </c>
      <c r="I1238" s="19">
        <v>3920</v>
      </c>
      <c r="J1238" s="19" t="s">
        <v>4549</v>
      </c>
    </row>
    <row r="1239" spans="1:10" x14ac:dyDescent="0.2">
      <c r="A1239" s="3">
        <v>1773</v>
      </c>
      <c r="B1239" s="3" t="s">
        <v>1326</v>
      </c>
      <c r="C1239" s="3" t="s">
        <v>1323</v>
      </c>
      <c r="D1239" s="3" t="s">
        <v>1285</v>
      </c>
      <c r="E1239" s="3" t="str">
        <v>Oberrohrdorf</v>
      </c>
      <c r="I1239" s="19">
        <v>3922</v>
      </c>
      <c r="J1239" s="19" t="s">
        <v>4547</v>
      </c>
    </row>
    <row r="1240" spans="1:10" x14ac:dyDescent="0.2">
      <c r="A1240" s="3">
        <v>1773</v>
      </c>
      <c r="B1240" s="3" t="s">
        <v>1327</v>
      </c>
      <c r="C1240" s="3" t="s">
        <v>1323</v>
      </c>
      <c r="D1240" s="3" t="s">
        <v>1285</v>
      </c>
      <c r="E1240" s="3" t="str">
        <v>Obersiggenthal</v>
      </c>
      <c r="I1240" s="19">
        <v>3923</v>
      </c>
      <c r="J1240" s="19" t="s">
        <v>4548</v>
      </c>
    </row>
    <row r="1241" spans="1:10" x14ac:dyDescent="0.2">
      <c r="A1241" s="3">
        <v>1470</v>
      </c>
      <c r="B1241" s="3" t="s">
        <v>1328</v>
      </c>
      <c r="C1241" s="3" t="s">
        <v>1329</v>
      </c>
      <c r="D1241" s="3" t="s">
        <v>1285</v>
      </c>
      <c r="E1241" s="3" t="str">
        <v>Remetschwil</v>
      </c>
      <c r="I1241" s="19">
        <v>3924</v>
      </c>
      <c r="J1241" s="19" t="s">
        <v>4549</v>
      </c>
    </row>
    <row r="1242" spans="1:10" x14ac:dyDescent="0.2">
      <c r="A1242" s="3">
        <v>1473</v>
      </c>
      <c r="B1242" s="3" t="s">
        <v>1330</v>
      </c>
      <c r="C1242" s="3" t="s">
        <v>1329</v>
      </c>
      <c r="D1242" s="3" t="s">
        <v>1285</v>
      </c>
      <c r="E1242" s="3" t="str">
        <v>Spreitenbach</v>
      </c>
      <c r="I1242" s="19">
        <v>3925</v>
      </c>
      <c r="J1242" s="19" t="s">
        <v>4549</v>
      </c>
    </row>
    <row r="1243" spans="1:10" x14ac:dyDescent="0.2">
      <c r="A1243" s="3">
        <v>1473</v>
      </c>
      <c r="B1243" s="3" t="s">
        <v>1330</v>
      </c>
      <c r="C1243" s="3" t="s">
        <v>1329</v>
      </c>
      <c r="D1243" s="3" t="s">
        <v>1285</v>
      </c>
      <c r="E1243" s="3" t="str">
        <v>Stetten (AG)</v>
      </c>
      <c r="I1243" s="19">
        <v>3926</v>
      </c>
      <c r="J1243" s="19" t="s">
        <v>4548</v>
      </c>
    </row>
    <row r="1244" spans="1:10" x14ac:dyDescent="0.2">
      <c r="A1244" s="3">
        <v>1475</v>
      </c>
      <c r="B1244" s="3" t="s">
        <v>1331</v>
      </c>
      <c r="C1244" s="3" t="s">
        <v>1329</v>
      </c>
      <c r="D1244" s="3" t="s">
        <v>1285</v>
      </c>
      <c r="E1244" s="3" t="str">
        <v>Turgi</v>
      </c>
      <c r="I1244" s="19">
        <v>3927</v>
      </c>
      <c r="J1244" s="19" t="s">
        <v>4549</v>
      </c>
    </row>
    <row r="1245" spans="1:10" x14ac:dyDescent="0.2">
      <c r="A1245" s="3">
        <v>1475</v>
      </c>
      <c r="B1245" s="3" t="s">
        <v>1332</v>
      </c>
      <c r="C1245" s="3" t="s">
        <v>1329</v>
      </c>
      <c r="D1245" s="3" t="s">
        <v>1285</v>
      </c>
      <c r="E1245" s="3" t="str">
        <v>Untersiggenthal</v>
      </c>
      <c r="I1245" s="19">
        <v>3928</v>
      </c>
      <c r="J1245" s="19" t="s">
        <v>4549</v>
      </c>
    </row>
    <row r="1246" spans="1:10" x14ac:dyDescent="0.2">
      <c r="A1246" s="3">
        <v>1475</v>
      </c>
      <c r="B1246" s="3" t="s">
        <v>1333</v>
      </c>
      <c r="C1246" s="3" t="s">
        <v>1329</v>
      </c>
      <c r="D1246" s="3" t="s">
        <v>1285</v>
      </c>
      <c r="E1246" s="3" t="str">
        <v>Wettingen</v>
      </c>
      <c r="I1246" s="19">
        <v>3929</v>
      </c>
      <c r="J1246" s="19" t="s">
        <v>4549</v>
      </c>
    </row>
    <row r="1247" spans="1:10" x14ac:dyDescent="0.2">
      <c r="A1247" s="3">
        <v>1486</v>
      </c>
      <c r="B1247" s="3" t="s">
        <v>1334</v>
      </c>
      <c r="C1247" s="3" t="s">
        <v>1329</v>
      </c>
      <c r="D1247" s="3" t="s">
        <v>1285</v>
      </c>
      <c r="E1247" s="3" t="str">
        <v>Wohlenschwil</v>
      </c>
      <c r="I1247" s="19">
        <v>3930</v>
      </c>
      <c r="J1247" s="19" t="s">
        <v>4547</v>
      </c>
    </row>
    <row r="1248" spans="1:10" x14ac:dyDescent="0.2">
      <c r="A1248" s="3">
        <v>1489</v>
      </c>
      <c r="B1248" s="3" t="s">
        <v>1335</v>
      </c>
      <c r="C1248" s="3" t="s">
        <v>1329</v>
      </c>
      <c r="D1248" s="3" t="s">
        <v>1285</v>
      </c>
      <c r="E1248" s="3" t="str">
        <v>Würenlingen</v>
      </c>
      <c r="I1248" s="19">
        <v>3931</v>
      </c>
      <c r="J1248" s="19" t="s">
        <v>4547</v>
      </c>
    </row>
    <row r="1249" spans="1:10" x14ac:dyDescent="0.2">
      <c r="A1249" s="3">
        <v>1541</v>
      </c>
      <c r="B1249" s="3" t="s">
        <v>1336</v>
      </c>
      <c r="C1249" s="3" t="s">
        <v>1329</v>
      </c>
      <c r="D1249" s="3" t="s">
        <v>1285</v>
      </c>
      <c r="E1249" s="3" t="str">
        <v>Würenlos</v>
      </c>
      <c r="I1249" s="19">
        <v>3932</v>
      </c>
      <c r="J1249" s="19" t="s">
        <v>4548</v>
      </c>
    </row>
    <row r="1250" spans="1:10" x14ac:dyDescent="0.2">
      <c r="A1250" s="3">
        <v>1541</v>
      </c>
      <c r="B1250" s="3" t="s">
        <v>1337</v>
      </c>
      <c r="C1250" s="3" t="s">
        <v>1329</v>
      </c>
      <c r="D1250" s="3" t="s">
        <v>1285</v>
      </c>
      <c r="E1250" s="3" t="str">
        <v>Ehrendingen</v>
      </c>
      <c r="I1250" s="19">
        <v>3933</v>
      </c>
      <c r="J1250" s="19" t="s">
        <v>4548</v>
      </c>
    </row>
    <row r="1251" spans="1:10" x14ac:dyDescent="0.2">
      <c r="A1251" s="3">
        <v>1542</v>
      </c>
      <c r="B1251" s="3" t="s">
        <v>1338</v>
      </c>
      <c r="C1251" s="3" t="s">
        <v>1329</v>
      </c>
      <c r="D1251" s="3" t="s">
        <v>1285</v>
      </c>
      <c r="E1251" s="3" t="str">
        <v>Arni (AG)</v>
      </c>
      <c r="I1251" s="19">
        <v>3934</v>
      </c>
      <c r="J1251" s="19" t="s">
        <v>4548</v>
      </c>
    </row>
    <row r="1252" spans="1:10" x14ac:dyDescent="0.2">
      <c r="A1252" s="3">
        <v>1468</v>
      </c>
      <c r="B1252" s="3" t="s">
        <v>1339</v>
      </c>
      <c r="C1252" s="3" t="s">
        <v>1340</v>
      </c>
      <c r="D1252" s="3" t="s">
        <v>1285</v>
      </c>
      <c r="E1252" s="3" t="str">
        <v>Berikon</v>
      </c>
      <c r="I1252" s="19">
        <v>3935</v>
      </c>
      <c r="J1252" s="19" t="s">
        <v>4548</v>
      </c>
    </row>
    <row r="1253" spans="1:10" x14ac:dyDescent="0.2">
      <c r="A1253" s="3">
        <v>1474</v>
      </c>
      <c r="B1253" s="3" t="s">
        <v>1341</v>
      </c>
      <c r="C1253" s="3" t="s">
        <v>1340</v>
      </c>
      <c r="D1253" s="3" t="s">
        <v>1285</v>
      </c>
      <c r="E1253" s="3" t="str">
        <v>Bremgarten (AG)</v>
      </c>
      <c r="I1253" s="19">
        <v>3937</v>
      </c>
      <c r="J1253" s="19" t="s">
        <v>4547</v>
      </c>
    </row>
    <row r="1254" spans="1:10" x14ac:dyDescent="0.2">
      <c r="A1254" s="3">
        <v>1673</v>
      </c>
      <c r="B1254" s="3" t="s">
        <v>1342</v>
      </c>
      <c r="C1254" s="3" t="s">
        <v>1342</v>
      </c>
      <c r="D1254" s="3" t="s">
        <v>1285</v>
      </c>
      <c r="E1254" s="3" t="str">
        <v>Büttikon</v>
      </c>
      <c r="I1254" s="19">
        <v>3938</v>
      </c>
      <c r="J1254" s="19" t="s">
        <v>4548</v>
      </c>
    </row>
    <row r="1255" spans="1:10" x14ac:dyDescent="0.2">
      <c r="A1255" s="3">
        <v>1681</v>
      </c>
      <c r="B1255" s="3" t="s">
        <v>1343</v>
      </c>
      <c r="C1255" s="3" t="s">
        <v>1344</v>
      </c>
      <c r="D1255" s="3" t="s">
        <v>1285</v>
      </c>
      <c r="E1255" s="3" t="str">
        <v>Dottikon</v>
      </c>
      <c r="I1255" s="19">
        <v>3939</v>
      </c>
      <c r="J1255" s="19" t="s">
        <v>4547</v>
      </c>
    </row>
    <row r="1256" spans="1:10" x14ac:dyDescent="0.2">
      <c r="A1256" s="3">
        <v>1681</v>
      </c>
      <c r="B1256" s="3" t="s">
        <v>1345</v>
      </c>
      <c r="C1256" s="3" t="s">
        <v>1344</v>
      </c>
      <c r="D1256" s="3" t="s">
        <v>1285</v>
      </c>
      <c r="E1256" s="3" t="str">
        <v>Eggenwil</v>
      </c>
      <c r="I1256" s="19">
        <v>3940</v>
      </c>
      <c r="J1256" s="19" t="s">
        <v>4547</v>
      </c>
    </row>
    <row r="1257" spans="1:10" x14ac:dyDescent="0.2">
      <c r="A1257" s="3">
        <v>1608</v>
      </c>
      <c r="B1257" s="3" t="s">
        <v>1346</v>
      </c>
      <c r="C1257" s="3" t="s">
        <v>1346</v>
      </c>
      <c r="D1257" s="3" t="s">
        <v>1285</v>
      </c>
      <c r="E1257" s="3" t="str">
        <v>Fischbach-Göslikon</v>
      </c>
      <c r="I1257" s="19">
        <v>3942</v>
      </c>
      <c r="J1257" s="19" t="s">
        <v>4547</v>
      </c>
    </row>
    <row r="1258" spans="1:10" x14ac:dyDescent="0.2">
      <c r="A1258" s="3">
        <v>1689</v>
      </c>
      <c r="B1258" s="3" t="s">
        <v>1347</v>
      </c>
      <c r="C1258" s="3" t="s">
        <v>1348</v>
      </c>
      <c r="D1258" s="3" t="s">
        <v>1285</v>
      </c>
      <c r="E1258" s="3" t="str">
        <v>Hägglingen</v>
      </c>
      <c r="I1258" s="19">
        <v>3943</v>
      </c>
      <c r="J1258" s="19" t="s">
        <v>4548</v>
      </c>
    </row>
    <row r="1259" spans="1:10" x14ac:dyDescent="0.2">
      <c r="A1259" s="3">
        <v>1553</v>
      </c>
      <c r="B1259" s="3" t="s">
        <v>1349</v>
      </c>
      <c r="C1259" s="3" t="s">
        <v>1349</v>
      </c>
      <c r="D1259" s="3" t="s">
        <v>1285</v>
      </c>
      <c r="E1259" s="3" t="str">
        <v>Jonen</v>
      </c>
      <c r="I1259" s="19">
        <v>3944</v>
      </c>
      <c r="J1259" s="19" t="s">
        <v>4548</v>
      </c>
    </row>
    <row r="1260" spans="1:10" x14ac:dyDescent="0.2">
      <c r="A1260" s="3">
        <v>1673</v>
      </c>
      <c r="B1260" s="3" t="s">
        <v>1350</v>
      </c>
      <c r="C1260" s="3" t="s">
        <v>1351</v>
      </c>
      <c r="D1260" s="3" t="s">
        <v>1285</v>
      </c>
      <c r="E1260" s="3" t="str">
        <v>Niederwil (AG)</v>
      </c>
      <c r="I1260" s="19">
        <v>3945</v>
      </c>
      <c r="J1260" s="19" t="s">
        <v>4547</v>
      </c>
    </row>
    <row r="1261" spans="1:10" x14ac:dyDescent="0.2">
      <c r="A1261" s="3">
        <v>1686</v>
      </c>
      <c r="B1261" s="3" t="s">
        <v>1352</v>
      </c>
      <c r="C1261" s="3" t="s">
        <v>1353</v>
      </c>
      <c r="D1261" s="3" t="s">
        <v>1285</v>
      </c>
      <c r="E1261" s="3" t="str">
        <v>Oberlunkhofen</v>
      </c>
      <c r="I1261" s="19">
        <v>3946</v>
      </c>
      <c r="J1261" s="19" t="s">
        <v>4547</v>
      </c>
    </row>
    <row r="1262" spans="1:10" x14ac:dyDescent="0.2">
      <c r="A1262" s="3">
        <v>1692</v>
      </c>
      <c r="B1262" s="3" t="s">
        <v>1354</v>
      </c>
      <c r="C1262" s="3" t="s">
        <v>1354</v>
      </c>
      <c r="D1262" s="3" t="s">
        <v>1285</v>
      </c>
      <c r="E1262" s="3" t="str">
        <v>Oberwil-Lieli</v>
      </c>
      <c r="I1262" s="19">
        <v>3947</v>
      </c>
      <c r="J1262" s="19" t="s">
        <v>4548</v>
      </c>
    </row>
    <row r="1263" spans="1:10" x14ac:dyDescent="0.2">
      <c r="A1263" s="3">
        <v>1680</v>
      </c>
      <c r="B1263" s="3" t="s">
        <v>1355</v>
      </c>
      <c r="C1263" s="3" t="s">
        <v>1356</v>
      </c>
      <c r="D1263" s="3" t="s">
        <v>1285</v>
      </c>
      <c r="E1263" s="3" t="str">
        <v>Rudolfstetten-Friedlisberg</v>
      </c>
      <c r="I1263" s="19">
        <v>3948</v>
      </c>
      <c r="J1263" s="19" t="s">
        <v>4548</v>
      </c>
    </row>
    <row r="1264" spans="1:10" x14ac:dyDescent="0.2">
      <c r="A1264" s="3">
        <v>1684</v>
      </c>
      <c r="B1264" s="3" t="s">
        <v>1357</v>
      </c>
      <c r="C1264" s="3" t="s">
        <v>1356</v>
      </c>
      <c r="D1264" s="3" t="s">
        <v>1285</v>
      </c>
      <c r="E1264" s="3" t="str">
        <v>Sarmenstorf</v>
      </c>
      <c r="I1264" s="19">
        <v>3949</v>
      </c>
      <c r="J1264" s="19" t="s">
        <v>4547</v>
      </c>
    </row>
    <row r="1265" spans="1:10" x14ac:dyDescent="0.2">
      <c r="A1265" s="3">
        <v>1674</v>
      </c>
      <c r="B1265" s="3" t="s">
        <v>1358</v>
      </c>
      <c r="C1265" s="3" t="s">
        <v>1358</v>
      </c>
      <c r="D1265" s="3" t="s">
        <v>1285</v>
      </c>
      <c r="E1265" s="3" t="str">
        <v>Tägerig</v>
      </c>
      <c r="I1265" s="19">
        <v>3951</v>
      </c>
      <c r="J1265" s="19" t="s">
        <v>4547</v>
      </c>
    </row>
    <row r="1266" spans="1:10" x14ac:dyDescent="0.2">
      <c r="A1266" s="3">
        <v>1680</v>
      </c>
      <c r="B1266" s="3" t="s">
        <v>1359</v>
      </c>
      <c r="C1266" s="3" t="s">
        <v>1360</v>
      </c>
      <c r="D1266" s="3" t="s">
        <v>1285</v>
      </c>
      <c r="E1266" s="3" t="str">
        <v>Uezwil</v>
      </c>
      <c r="I1266" s="19">
        <v>3952</v>
      </c>
      <c r="J1266" s="19" t="s">
        <v>4547</v>
      </c>
    </row>
    <row r="1267" spans="1:10" x14ac:dyDescent="0.2">
      <c r="A1267" s="3">
        <v>1673</v>
      </c>
      <c r="B1267" s="3" t="s">
        <v>1361</v>
      </c>
      <c r="C1267" s="3" t="s">
        <v>1362</v>
      </c>
      <c r="D1267" s="3" t="s">
        <v>1285</v>
      </c>
      <c r="E1267" s="3" t="str">
        <v>Unterlunkhofen</v>
      </c>
      <c r="I1267" s="19">
        <v>3953</v>
      </c>
      <c r="J1267" s="19" t="s">
        <v>4547</v>
      </c>
    </row>
    <row r="1268" spans="1:10" x14ac:dyDescent="0.2">
      <c r="A1268" s="3">
        <v>1673</v>
      </c>
      <c r="B1268" s="3" t="s">
        <v>1363</v>
      </c>
      <c r="C1268" s="3" t="s">
        <v>1362</v>
      </c>
      <c r="D1268" s="3" t="s">
        <v>1285</v>
      </c>
      <c r="E1268" s="3" t="str">
        <v>Villmergen</v>
      </c>
      <c r="I1268" s="19">
        <v>3954</v>
      </c>
      <c r="J1268" s="19" t="s">
        <v>4548</v>
      </c>
    </row>
    <row r="1269" spans="1:10" x14ac:dyDescent="0.2">
      <c r="A1269" s="3">
        <v>1673</v>
      </c>
      <c r="B1269" s="3" t="s">
        <v>1362</v>
      </c>
      <c r="C1269" s="3" t="s">
        <v>1362</v>
      </c>
      <c r="D1269" s="3" t="s">
        <v>1285</v>
      </c>
      <c r="E1269" s="3" t="str">
        <v>Widen</v>
      </c>
      <c r="I1269" s="19">
        <v>3955</v>
      </c>
      <c r="J1269" s="19" t="s">
        <v>4548</v>
      </c>
    </row>
    <row r="1270" spans="1:10" x14ac:dyDescent="0.2">
      <c r="A1270" s="3">
        <v>1675</v>
      </c>
      <c r="B1270" s="3" t="s">
        <v>1364</v>
      </c>
      <c r="C1270" s="3" t="s">
        <v>1362</v>
      </c>
      <c r="D1270" s="3" t="s">
        <v>1285</v>
      </c>
      <c r="E1270" s="3" t="str">
        <v>Wohlen (AG)</v>
      </c>
      <c r="I1270" s="19">
        <v>3956</v>
      </c>
      <c r="J1270" s="19" t="s">
        <v>4548</v>
      </c>
    </row>
    <row r="1271" spans="1:10" x14ac:dyDescent="0.2">
      <c r="A1271" s="3">
        <v>1676</v>
      </c>
      <c r="B1271" s="3" t="s">
        <v>1365</v>
      </c>
      <c r="C1271" s="3" t="s">
        <v>1366</v>
      </c>
      <c r="D1271" s="3" t="s">
        <v>1285</v>
      </c>
      <c r="E1271" s="3" t="str">
        <v>Zufikon</v>
      </c>
      <c r="I1271" s="19">
        <v>3957</v>
      </c>
      <c r="J1271" s="19" t="s">
        <v>4548</v>
      </c>
    </row>
    <row r="1272" spans="1:10" x14ac:dyDescent="0.2">
      <c r="A1272" s="3">
        <v>1677</v>
      </c>
      <c r="B1272" s="3" t="s">
        <v>1367</v>
      </c>
      <c r="C1272" s="3" t="s">
        <v>1366</v>
      </c>
      <c r="D1272" s="3" t="s">
        <v>1285</v>
      </c>
      <c r="E1272" s="3" t="str">
        <v>Islisberg</v>
      </c>
      <c r="I1272" s="19">
        <v>3960</v>
      </c>
      <c r="J1272" s="19" t="s">
        <v>4547</v>
      </c>
    </row>
    <row r="1273" spans="1:10" x14ac:dyDescent="0.2">
      <c r="A1273" s="3">
        <v>1678</v>
      </c>
      <c r="B1273" s="3" t="s">
        <v>1366</v>
      </c>
      <c r="C1273" s="3" t="s">
        <v>1366</v>
      </c>
      <c r="D1273" s="3" t="s">
        <v>1285</v>
      </c>
      <c r="E1273" s="3" t="str">
        <v>Auenstein</v>
      </c>
      <c r="I1273" s="19">
        <v>3961</v>
      </c>
      <c r="J1273" s="19" t="s">
        <v>4548</v>
      </c>
    </row>
    <row r="1274" spans="1:10" x14ac:dyDescent="0.2">
      <c r="A1274" s="3">
        <v>1679</v>
      </c>
      <c r="B1274" s="3" t="s">
        <v>1368</v>
      </c>
      <c r="C1274" s="3" t="s">
        <v>1366</v>
      </c>
      <c r="D1274" s="3" t="s">
        <v>1285</v>
      </c>
      <c r="E1274" s="3" t="str">
        <v>Birr</v>
      </c>
      <c r="I1274" s="19">
        <v>3963</v>
      </c>
      <c r="J1274" s="19" t="s">
        <v>4548</v>
      </c>
    </row>
    <row r="1275" spans="1:10" x14ac:dyDescent="0.2">
      <c r="A1275" s="3">
        <v>1670</v>
      </c>
      <c r="B1275" s="3" t="s">
        <v>1369</v>
      </c>
      <c r="C1275" s="3" t="s">
        <v>1369</v>
      </c>
      <c r="D1275" s="3" t="s">
        <v>1285</v>
      </c>
      <c r="E1275" s="3" t="str">
        <v>Birrhard</v>
      </c>
      <c r="I1275" s="19">
        <v>3965</v>
      </c>
      <c r="J1275" s="19" t="s">
        <v>4547</v>
      </c>
    </row>
    <row r="1276" spans="1:10" x14ac:dyDescent="0.2">
      <c r="A1276" s="3">
        <v>1670</v>
      </c>
      <c r="B1276" s="3" t="s">
        <v>1370</v>
      </c>
      <c r="C1276" s="3" t="s">
        <v>1369</v>
      </c>
      <c r="D1276" s="3" t="s">
        <v>1285</v>
      </c>
      <c r="E1276" s="3" t="str">
        <v>Brugg</v>
      </c>
      <c r="I1276" s="19">
        <v>3966</v>
      </c>
      <c r="J1276" s="19" t="s">
        <v>4547</v>
      </c>
    </row>
    <row r="1277" spans="1:10" x14ac:dyDescent="0.2">
      <c r="A1277" s="3">
        <v>1670</v>
      </c>
      <c r="B1277" s="3" t="s">
        <v>1371</v>
      </c>
      <c r="C1277" s="3" t="s">
        <v>1369</v>
      </c>
      <c r="D1277" s="3" t="s">
        <v>1285</v>
      </c>
      <c r="E1277" s="3" t="str">
        <v>Habsburg</v>
      </c>
      <c r="I1277" s="19">
        <v>3967</v>
      </c>
      <c r="J1277" s="19" t="s">
        <v>4548</v>
      </c>
    </row>
    <row r="1278" spans="1:10" x14ac:dyDescent="0.2">
      <c r="A1278" s="3">
        <v>1674</v>
      </c>
      <c r="B1278" s="3" t="s">
        <v>1372</v>
      </c>
      <c r="C1278" s="3" t="s">
        <v>1369</v>
      </c>
      <c r="D1278" s="3" t="s">
        <v>1285</v>
      </c>
      <c r="E1278" s="3" t="str">
        <v>Hausen (AG)</v>
      </c>
      <c r="I1278" s="19">
        <v>3968</v>
      </c>
      <c r="J1278" s="19" t="s">
        <v>4547</v>
      </c>
    </row>
    <row r="1279" spans="1:10" x14ac:dyDescent="0.2">
      <c r="A1279" s="3">
        <v>1674</v>
      </c>
      <c r="B1279" s="3" t="s">
        <v>1373</v>
      </c>
      <c r="C1279" s="3" t="s">
        <v>1369</v>
      </c>
      <c r="D1279" s="3" t="s">
        <v>1285</v>
      </c>
      <c r="E1279" s="3" t="str">
        <v>Lupfig</v>
      </c>
      <c r="I1279" s="19">
        <v>3970</v>
      </c>
      <c r="J1279" s="19" t="s">
        <v>4547</v>
      </c>
    </row>
    <row r="1280" spans="1:10" x14ac:dyDescent="0.2">
      <c r="A1280" s="3">
        <v>1675</v>
      </c>
      <c r="B1280" s="3" t="s">
        <v>1374</v>
      </c>
      <c r="C1280" s="3" t="s">
        <v>1369</v>
      </c>
      <c r="D1280" s="3" t="s">
        <v>1285</v>
      </c>
      <c r="E1280" s="3" t="str">
        <v>Mandach</v>
      </c>
      <c r="I1280" s="19">
        <v>3971</v>
      </c>
      <c r="J1280" s="19" t="s">
        <v>4548</v>
      </c>
    </row>
    <row r="1281" spans="1:10" x14ac:dyDescent="0.2">
      <c r="A1281" s="3">
        <v>1675</v>
      </c>
      <c r="B1281" s="3" t="s">
        <v>1375</v>
      </c>
      <c r="C1281" s="3" t="s">
        <v>1369</v>
      </c>
      <c r="D1281" s="3" t="s">
        <v>1285</v>
      </c>
      <c r="E1281" s="3" t="str">
        <v>Mönthal</v>
      </c>
      <c r="I1281" s="19">
        <v>3972</v>
      </c>
      <c r="J1281" s="19" t="s">
        <v>4547</v>
      </c>
    </row>
    <row r="1282" spans="1:10" x14ac:dyDescent="0.2">
      <c r="A1282" s="3">
        <v>1685</v>
      </c>
      <c r="B1282" s="3" t="s">
        <v>1376</v>
      </c>
      <c r="C1282" s="3" t="s">
        <v>1377</v>
      </c>
      <c r="D1282" s="3" t="s">
        <v>1285</v>
      </c>
      <c r="E1282" s="3" t="str">
        <v>Mülligen</v>
      </c>
      <c r="I1282" s="19">
        <v>3973</v>
      </c>
      <c r="J1282" s="19" t="s">
        <v>4547</v>
      </c>
    </row>
    <row r="1283" spans="1:10" x14ac:dyDescent="0.2">
      <c r="A1283" s="3">
        <v>1686</v>
      </c>
      <c r="B1283" s="3" t="s">
        <v>1378</v>
      </c>
      <c r="C1283" s="3" t="s">
        <v>1377</v>
      </c>
      <c r="D1283" s="3" t="s">
        <v>1285</v>
      </c>
      <c r="E1283" s="3" t="str">
        <v>Remigen</v>
      </c>
      <c r="I1283" s="19">
        <v>3974</v>
      </c>
      <c r="J1283" s="19" t="s">
        <v>4548</v>
      </c>
    </row>
    <row r="1284" spans="1:10" x14ac:dyDescent="0.2">
      <c r="A1284" s="3">
        <v>1687</v>
      </c>
      <c r="B1284" s="3" t="s">
        <v>1377</v>
      </c>
      <c r="C1284" s="3" t="s">
        <v>1377</v>
      </c>
      <c r="D1284" s="3" t="s">
        <v>1285</v>
      </c>
      <c r="E1284" s="3" t="str">
        <v>Riniken</v>
      </c>
      <c r="I1284" s="19">
        <v>3975</v>
      </c>
      <c r="J1284" s="19" t="s">
        <v>4548</v>
      </c>
    </row>
    <row r="1285" spans="1:10" x14ac:dyDescent="0.2">
      <c r="A1285" s="3">
        <v>1687</v>
      </c>
      <c r="B1285" s="3" t="s">
        <v>1379</v>
      </c>
      <c r="C1285" s="3" t="s">
        <v>1377</v>
      </c>
      <c r="D1285" s="3" t="s">
        <v>1285</v>
      </c>
      <c r="E1285" s="3" t="str">
        <v>Rüfenach</v>
      </c>
      <c r="I1285" s="19">
        <v>3976</v>
      </c>
      <c r="J1285" s="19" t="s">
        <v>4547</v>
      </c>
    </row>
    <row r="1286" spans="1:10" x14ac:dyDescent="0.2">
      <c r="A1286" s="3">
        <v>1687</v>
      </c>
      <c r="B1286" s="3" t="s">
        <v>1380</v>
      </c>
      <c r="C1286" s="3" t="s">
        <v>1377</v>
      </c>
      <c r="D1286" s="3" t="s">
        <v>1285</v>
      </c>
      <c r="E1286" s="3" t="str">
        <v>Thalheim (AG)</v>
      </c>
      <c r="I1286" s="19">
        <v>3977</v>
      </c>
      <c r="J1286" s="19" t="s">
        <v>4547</v>
      </c>
    </row>
    <row r="1287" spans="1:10" x14ac:dyDescent="0.2">
      <c r="A1287" s="3">
        <v>1688</v>
      </c>
      <c r="B1287" s="3" t="s">
        <v>1381</v>
      </c>
      <c r="C1287" s="3" t="s">
        <v>1377</v>
      </c>
      <c r="D1287" s="3" t="s">
        <v>1285</v>
      </c>
      <c r="E1287" s="3" t="str">
        <v>Veltheim (AG)</v>
      </c>
      <c r="I1287" s="19">
        <v>3978</v>
      </c>
      <c r="J1287" s="19" t="s">
        <v>4547</v>
      </c>
    </row>
    <row r="1288" spans="1:10" x14ac:dyDescent="0.2">
      <c r="A1288" s="3">
        <v>1688</v>
      </c>
      <c r="B1288" s="3" t="s">
        <v>1382</v>
      </c>
      <c r="C1288" s="3" t="s">
        <v>1377</v>
      </c>
      <c r="D1288" s="3" t="s">
        <v>1285</v>
      </c>
      <c r="E1288" s="3" t="str">
        <v>Villigen</v>
      </c>
      <c r="I1288" s="19">
        <v>3979</v>
      </c>
      <c r="J1288" s="19" t="s">
        <v>4547</v>
      </c>
    </row>
    <row r="1289" spans="1:10" x14ac:dyDescent="0.2">
      <c r="A1289" s="3">
        <v>1697</v>
      </c>
      <c r="B1289" s="3" t="s">
        <v>1383</v>
      </c>
      <c r="C1289" s="3" t="s">
        <v>1377</v>
      </c>
      <c r="D1289" s="3" t="s">
        <v>1285</v>
      </c>
      <c r="E1289" s="3" t="str">
        <v>Villnachern</v>
      </c>
      <c r="I1289" s="19">
        <v>3982</v>
      </c>
      <c r="J1289" s="19" t="s">
        <v>4547</v>
      </c>
    </row>
    <row r="1290" spans="1:10" x14ac:dyDescent="0.2">
      <c r="A1290" s="3">
        <v>1697</v>
      </c>
      <c r="B1290" s="3" t="s">
        <v>1384</v>
      </c>
      <c r="C1290" s="3" t="s">
        <v>1377</v>
      </c>
      <c r="D1290" s="3" t="s">
        <v>1285</v>
      </c>
      <c r="E1290" s="3" t="str">
        <v>Windisch</v>
      </c>
      <c r="I1290" s="19">
        <v>3983</v>
      </c>
      <c r="J1290" s="19" t="s">
        <v>4557</v>
      </c>
    </row>
    <row r="1291" spans="1:10" x14ac:dyDescent="0.2">
      <c r="A1291" s="3">
        <v>1694</v>
      </c>
      <c r="B1291" s="3" t="s">
        <v>1385</v>
      </c>
      <c r="C1291" s="3" t="s">
        <v>1386</v>
      </c>
      <c r="D1291" s="3" t="s">
        <v>1285</v>
      </c>
      <c r="E1291" s="3" t="str">
        <v>Bözberg</v>
      </c>
      <c r="I1291" s="19">
        <v>3984</v>
      </c>
      <c r="J1291" s="19" t="s">
        <v>4557</v>
      </c>
    </row>
    <row r="1292" spans="1:10" x14ac:dyDescent="0.2">
      <c r="A1292" s="3">
        <v>1694</v>
      </c>
      <c r="B1292" s="3" t="s">
        <v>1387</v>
      </c>
      <c r="C1292" s="3" t="s">
        <v>1386</v>
      </c>
      <c r="D1292" s="3" t="s">
        <v>1285</v>
      </c>
      <c r="E1292" s="3" t="str">
        <v>Schinznach</v>
      </c>
      <c r="I1292" s="19">
        <v>3985</v>
      </c>
      <c r="J1292" s="19" t="s">
        <v>4557</v>
      </c>
    </row>
    <row r="1293" spans="1:10" x14ac:dyDescent="0.2">
      <c r="A1293" s="3">
        <v>1694</v>
      </c>
      <c r="B1293" s="3" t="s">
        <v>1388</v>
      </c>
      <c r="C1293" s="3" t="s">
        <v>1386</v>
      </c>
      <c r="D1293" s="3" t="s">
        <v>1285</v>
      </c>
      <c r="E1293" s="3" t="str">
        <v>Beinwil am See</v>
      </c>
      <c r="I1293" s="19">
        <v>3986</v>
      </c>
      <c r="J1293" s="19" t="s">
        <v>4548</v>
      </c>
    </row>
    <row r="1294" spans="1:10" x14ac:dyDescent="0.2">
      <c r="A1294" s="3">
        <v>1694</v>
      </c>
      <c r="B1294" s="3" t="s">
        <v>1389</v>
      </c>
      <c r="C1294" s="3" t="s">
        <v>1386</v>
      </c>
      <c r="D1294" s="3" t="s">
        <v>1285</v>
      </c>
      <c r="E1294" s="3" t="str">
        <v>Birrwil</v>
      </c>
      <c r="I1294" s="19">
        <v>3987</v>
      </c>
      <c r="J1294" s="19" t="s">
        <v>4557</v>
      </c>
    </row>
    <row r="1295" spans="1:10" x14ac:dyDescent="0.2">
      <c r="A1295" s="3">
        <v>1748</v>
      </c>
      <c r="B1295" s="3" t="s">
        <v>1390</v>
      </c>
      <c r="C1295" s="3" t="s">
        <v>1391</v>
      </c>
      <c r="D1295" s="3" t="s">
        <v>1285</v>
      </c>
      <c r="E1295" s="3" t="str">
        <v>Burg (AG)</v>
      </c>
      <c r="I1295" s="19">
        <v>3988</v>
      </c>
      <c r="J1295" s="19" t="s">
        <v>4557</v>
      </c>
    </row>
    <row r="1296" spans="1:10" x14ac:dyDescent="0.2">
      <c r="A1296" s="3">
        <v>1749</v>
      </c>
      <c r="B1296" s="3" t="s">
        <v>1392</v>
      </c>
      <c r="C1296" s="3" t="s">
        <v>1391</v>
      </c>
      <c r="D1296" s="3" t="s">
        <v>1285</v>
      </c>
      <c r="E1296" s="3" t="str">
        <v>Dürrenäsch</v>
      </c>
      <c r="I1296" s="19">
        <v>3989</v>
      </c>
      <c r="J1296" s="19" t="s">
        <v>4557</v>
      </c>
    </row>
    <row r="1297" spans="1:10" x14ac:dyDescent="0.2">
      <c r="A1297" s="3">
        <v>1690</v>
      </c>
      <c r="B1297" s="3" t="s">
        <v>1393</v>
      </c>
      <c r="C1297" s="3" t="s">
        <v>1394</v>
      </c>
      <c r="D1297" s="3" t="s">
        <v>1285</v>
      </c>
      <c r="E1297" s="3" t="str">
        <v>Gontenschwil</v>
      </c>
      <c r="I1297" s="19">
        <v>3991</v>
      </c>
      <c r="J1297" s="19" t="s">
        <v>4557</v>
      </c>
    </row>
    <row r="1298" spans="1:10" x14ac:dyDescent="0.2">
      <c r="A1298" s="3">
        <v>1690</v>
      </c>
      <c r="B1298" s="3" t="s">
        <v>1395</v>
      </c>
      <c r="C1298" s="3" t="s">
        <v>1394</v>
      </c>
      <c r="D1298" s="3" t="s">
        <v>1285</v>
      </c>
      <c r="E1298" s="3" t="str">
        <v>Holziken</v>
      </c>
      <c r="I1298" s="19">
        <v>3992</v>
      </c>
      <c r="J1298" s="19" t="s">
        <v>4557</v>
      </c>
    </row>
    <row r="1299" spans="1:10" x14ac:dyDescent="0.2">
      <c r="A1299" s="3">
        <v>1691</v>
      </c>
      <c r="B1299" s="3" t="s">
        <v>1396</v>
      </c>
      <c r="C1299" s="3" t="s">
        <v>1394</v>
      </c>
      <c r="D1299" s="3" t="s">
        <v>1285</v>
      </c>
      <c r="E1299" s="3" t="str">
        <v>Leimbach (AG)</v>
      </c>
      <c r="I1299" s="19">
        <v>3993</v>
      </c>
      <c r="J1299" s="19" t="s">
        <v>4557</v>
      </c>
    </row>
    <row r="1300" spans="1:10" x14ac:dyDescent="0.2">
      <c r="A1300" s="3">
        <v>1669</v>
      </c>
      <c r="B1300" s="3" t="s">
        <v>1397</v>
      </c>
      <c r="C1300" s="3" t="s">
        <v>1398</v>
      </c>
      <c r="D1300" s="3" t="s">
        <v>1285</v>
      </c>
      <c r="E1300" s="3" t="str">
        <v>Leutwil</v>
      </c>
      <c r="I1300" s="19">
        <v>3994</v>
      </c>
      <c r="J1300" s="19" t="s">
        <v>4557</v>
      </c>
    </row>
    <row r="1301" spans="1:10" x14ac:dyDescent="0.2">
      <c r="A1301" s="3">
        <v>1669</v>
      </c>
      <c r="B1301" s="3" t="s">
        <v>1399</v>
      </c>
      <c r="C1301" s="3" t="s">
        <v>1398</v>
      </c>
      <c r="D1301" s="3" t="s">
        <v>1285</v>
      </c>
      <c r="E1301" s="3" t="str">
        <v>Menziken</v>
      </c>
      <c r="I1301" s="19">
        <v>3995</v>
      </c>
      <c r="J1301" s="19" t="s">
        <v>4557</v>
      </c>
    </row>
    <row r="1302" spans="1:10" x14ac:dyDescent="0.2">
      <c r="A1302" s="3">
        <v>1669</v>
      </c>
      <c r="B1302" s="3" t="s">
        <v>1400</v>
      </c>
      <c r="C1302" s="3" t="s">
        <v>1398</v>
      </c>
      <c r="D1302" s="3" t="s">
        <v>1285</v>
      </c>
      <c r="E1302" s="3" t="str">
        <v>Oberkulm</v>
      </c>
      <c r="I1302" s="19">
        <v>3996</v>
      </c>
      <c r="J1302" s="19" t="s">
        <v>4557</v>
      </c>
    </row>
    <row r="1303" spans="1:10" x14ac:dyDescent="0.2">
      <c r="A1303" s="3">
        <v>1669</v>
      </c>
      <c r="B1303" s="3" t="s">
        <v>1401</v>
      </c>
      <c r="C1303" s="3" t="s">
        <v>1398</v>
      </c>
      <c r="D1303" s="3" t="s">
        <v>1285</v>
      </c>
      <c r="E1303" s="3" t="str">
        <v>Reinach (AG)</v>
      </c>
      <c r="I1303" s="19">
        <v>3997</v>
      </c>
      <c r="J1303" s="19" t="s">
        <v>4557</v>
      </c>
    </row>
    <row r="1304" spans="1:10" x14ac:dyDescent="0.2">
      <c r="A1304" s="3">
        <v>1669</v>
      </c>
      <c r="B1304" s="3" t="s">
        <v>1402</v>
      </c>
      <c r="C1304" s="3" t="s">
        <v>1398</v>
      </c>
      <c r="D1304" s="3" t="s">
        <v>1285</v>
      </c>
      <c r="E1304" s="3" t="str">
        <v>Schlossrued</v>
      </c>
      <c r="I1304" s="19">
        <v>3998</v>
      </c>
      <c r="J1304" s="19" t="s">
        <v>4557</v>
      </c>
    </row>
    <row r="1305" spans="1:10" x14ac:dyDescent="0.2">
      <c r="A1305" s="3">
        <v>1643</v>
      </c>
      <c r="B1305" s="3" t="s">
        <v>1403</v>
      </c>
      <c r="C1305" s="3" t="s">
        <v>1404</v>
      </c>
      <c r="D1305" s="3" t="s">
        <v>1285</v>
      </c>
      <c r="E1305" s="3" t="str">
        <v>Schmiedrued</v>
      </c>
      <c r="I1305" s="19">
        <v>3999</v>
      </c>
      <c r="J1305" s="19" t="s">
        <v>4557</v>
      </c>
    </row>
    <row r="1306" spans="1:10" x14ac:dyDescent="0.2">
      <c r="A1306" s="3">
        <v>1644</v>
      </c>
      <c r="B1306" s="3" t="s">
        <v>1405</v>
      </c>
      <c r="C1306" s="3" t="s">
        <v>1404</v>
      </c>
      <c r="D1306" s="3" t="s">
        <v>1285</v>
      </c>
      <c r="E1306" s="3" t="str">
        <v>Schöftland</v>
      </c>
      <c r="I1306" s="19">
        <v>4001</v>
      </c>
      <c r="J1306" s="19" t="s">
        <v>4552</v>
      </c>
    </row>
    <row r="1307" spans="1:10" x14ac:dyDescent="0.2">
      <c r="A1307" s="3">
        <v>1645</v>
      </c>
      <c r="B1307" s="3" t="s">
        <v>1406</v>
      </c>
      <c r="C1307" s="3" t="s">
        <v>1404</v>
      </c>
      <c r="D1307" s="3" t="s">
        <v>1285</v>
      </c>
      <c r="E1307" s="3" t="str">
        <v>Teufenthal (AG)</v>
      </c>
      <c r="I1307" s="19">
        <v>4031</v>
      </c>
      <c r="J1307" s="19" t="s">
        <v>4552</v>
      </c>
    </row>
    <row r="1308" spans="1:10" x14ac:dyDescent="0.2">
      <c r="A1308" s="3">
        <v>1652</v>
      </c>
      <c r="B1308" s="3" t="s">
        <v>1407</v>
      </c>
      <c r="C1308" s="3" t="s">
        <v>1407</v>
      </c>
      <c r="D1308" s="3" t="s">
        <v>1285</v>
      </c>
      <c r="E1308" s="3" t="str">
        <v>Unterkulm</v>
      </c>
      <c r="I1308" s="19">
        <v>4051</v>
      </c>
      <c r="J1308" s="19" t="s">
        <v>4552</v>
      </c>
    </row>
    <row r="1309" spans="1:10" x14ac:dyDescent="0.2">
      <c r="A1309" s="3">
        <v>1652</v>
      </c>
      <c r="B1309" s="3" t="s">
        <v>1408</v>
      </c>
      <c r="C1309" s="3" t="s">
        <v>1407</v>
      </c>
      <c r="D1309" s="3" t="s">
        <v>1285</v>
      </c>
      <c r="E1309" s="3" t="str">
        <v>Zetzwil</v>
      </c>
      <c r="I1309" s="19">
        <v>4052</v>
      </c>
      <c r="J1309" s="19" t="s">
        <v>4552</v>
      </c>
    </row>
    <row r="1310" spans="1:10" x14ac:dyDescent="0.2">
      <c r="A1310" s="3">
        <v>1636</v>
      </c>
      <c r="B1310" s="3" t="s">
        <v>1409</v>
      </c>
      <c r="C1310" s="3" t="s">
        <v>1409</v>
      </c>
      <c r="D1310" s="3" t="s">
        <v>1285</v>
      </c>
      <c r="E1310" s="3" t="str">
        <v>Eiken</v>
      </c>
      <c r="I1310" s="19">
        <v>4053</v>
      </c>
      <c r="J1310" s="19" t="s">
        <v>4552</v>
      </c>
    </row>
    <row r="1311" spans="1:10" x14ac:dyDescent="0.2">
      <c r="A1311" s="3">
        <v>1630</v>
      </c>
      <c r="B1311" s="3" t="s">
        <v>1410</v>
      </c>
      <c r="C1311" s="3" t="s">
        <v>1410</v>
      </c>
      <c r="D1311" s="3" t="s">
        <v>1285</v>
      </c>
      <c r="E1311" s="3" t="str">
        <v>Frick</v>
      </c>
      <c r="I1311" s="19">
        <v>4054</v>
      </c>
      <c r="J1311" s="19" t="s">
        <v>4552</v>
      </c>
    </row>
    <row r="1312" spans="1:10" x14ac:dyDescent="0.2">
      <c r="A1312" s="3">
        <v>1635</v>
      </c>
      <c r="B1312" s="3" t="s">
        <v>1411</v>
      </c>
      <c r="C1312" s="3" t="s">
        <v>1410</v>
      </c>
      <c r="D1312" s="3" t="s">
        <v>1285</v>
      </c>
      <c r="E1312" s="3" t="str">
        <v>Gansingen</v>
      </c>
      <c r="I1312" s="19">
        <v>4055</v>
      </c>
      <c r="J1312" s="19" t="s">
        <v>4552</v>
      </c>
    </row>
    <row r="1313" spans="1:10" x14ac:dyDescent="0.2">
      <c r="A1313" s="3">
        <v>1653</v>
      </c>
      <c r="B1313" s="3" t="s">
        <v>1412</v>
      </c>
      <c r="C1313" s="3" t="s">
        <v>1412</v>
      </c>
      <c r="D1313" s="3" t="s">
        <v>1285</v>
      </c>
      <c r="E1313" s="3" t="str">
        <v>Gipf-Oberfrick</v>
      </c>
      <c r="I1313" s="19">
        <v>4056</v>
      </c>
      <c r="J1313" s="19" t="s">
        <v>4552</v>
      </c>
    </row>
    <row r="1314" spans="1:10" x14ac:dyDescent="0.2">
      <c r="A1314" s="3">
        <v>1647</v>
      </c>
      <c r="B1314" s="3" t="s">
        <v>1413</v>
      </c>
      <c r="C1314" s="3" t="s">
        <v>1413</v>
      </c>
      <c r="D1314" s="3" t="s">
        <v>1285</v>
      </c>
      <c r="E1314" s="3" t="str">
        <v>Herznach</v>
      </c>
      <c r="I1314" s="19">
        <v>4057</v>
      </c>
      <c r="J1314" s="19" t="s">
        <v>4552</v>
      </c>
    </row>
    <row r="1315" spans="1:10" x14ac:dyDescent="0.2">
      <c r="A1315" s="3">
        <v>1651</v>
      </c>
      <c r="B1315" s="3" t="s">
        <v>1414</v>
      </c>
      <c r="C1315" s="3" t="s">
        <v>1413</v>
      </c>
      <c r="D1315" s="3" t="s">
        <v>1285</v>
      </c>
      <c r="E1315" s="3" t="str">
        <v>Kaisten</v>
      </c>
      <c r="I1315" s="19">
        <v>4058</v>
      </c>
      <c r="J1315" s="19" t="s">
        <v>4552</v>
      </c>
    </row>
    <row r="1316" spans="1:10" x14ac:dyDescent="0.2">
      <c r="A1316" s="3">
        <v>1653</v>
      </c>
      <c r="B1316" s="3" t="s">
        <v>1415</v>
      </c>
      <c r="C1316" s="3" t="s">
        <v>1415</v>
      </c>
      <c r="D1316" s="3" t="s">
        <v>1285</v>
      </c>
      <c r="E1316" s="3" t="str">
        <v>Laufenburg</v>
      </c>
      <c r="I1316" s="19">
        <v>4059</v>
      </c>
      <c r="J1316" s="19" t="s">
        <v>4552</v>
      </c>
    </row>
    <row r="1317" spans="1:10" x14ac:dyDescent="0.2">
      <c r="A1317" s="3">
        <v>1646</v>
      </c>
      <c r="B1317" s="3" t="s">
        <v>1416</v>
      </c>
      <c r="C1317" s="3" t="s">
        <v>1416</v>
      </c>
      <c r="D1317" s="3" t="s">
        <v>1285</v>
      </c>
      <c r="E1317" s="3" t="str">
        <v>Münchwilen (AG)</v>
      </c>
      <c r="I1317" s="19">
        <v>4101</v>
      </c>
      <c r="J1317" s="19" t="s">
        <v>4552</v>
      </c>
    </row>
    <row r="1318" spans="1:10" x14ac:dyDescent="0.2">
      <c r="A1318" s="3">
        <v>1666</v>
      </c>
      <c r="B1318" s="3" t="s">
        <v>1417</v>
      </c>
      <c r="C1318" s="3" t="s">
        <v>1417</v>
      </c>
      <c r="D1318" s="3" t="s">
        <v>1285</v>
      </c>
      <c r="E1318" s="3" t="str">
        <v>Oberhof</v>
      </c>
      <c r="I1318" s="19">
        <v>4102</v>
      </c>
      <c r="J1318" s="19" t="s">
        <v>4552</v>
      </c>
    </row>
    <row r="1319" spans="1:10" x14ac:dyDescent="0.2">
      <c r="A1319" s="3">
        <v>1663</v>
      </c>
      <c r="B1319" s="3" t="s">
        <v>1418</v>
      </c>
      <c r="C1319" s="3" t="s">
        <v>1418</v>
      </c>
      <c r="D1319" s="3" t="s">
        <v>1285</v>
      </c>
      <c r="E1319" s="3" t="str">
        <v>Oeschgen</v>
      </c>
      <c r="I1319" s="19">
        <v>4103</v>
      </c>
      <c r="J1319" s="19" t="s">
        <v>4552</v>
      </c>
    </row>
    <row r="1320" spans="1:10" x14ac:dyDescent="0.2">
      <c r="A1320" s="3">
        <v>1663</v>
      </c>
      <c r="B1320" s="3" t="s">
        <v>1419</v>
      </c>
      <c r="C1320" s="3" t="s">
        <v>1418</v>
      </c>
      <c r="D1320" s="3" t="s">
        <v>1285</v>
      </c>
      <c r="E1320" s="3" t="str">
        <v>Schwaderloch</v>
      </c>
      <c r="I1320" s="19">
        <v>4104</v>
      </c>
      <c r="J1320" s="19" t="s">
        <v>4552</v>
      </c>
    </row>
    <row r="1321" spans="1:10" x14ac:dyDescent="0.2">
      <c r="A1321" s="3">
        <v>1663</v>
      </c>
      <c r="B1321" s="3" t="s">
        <v>1420</v>
      </c>
      <c r="C1321" s="3" t="s">
        <v>1418</v>
      </c>
      <c r="D1321" s="3" t="s">
        <v>1285</v>
      </c>
      <c r="E1321" s="3" t="str">
        <v>Sisseln</v>
      </c>
      <c r="I1321" s="19">
        <v>4105</v>
      </c>
      <c r="J1321" s="19" t="s">
        <v>4552</v>
      </c>
    </row>
    <row r="1322" spans="1:10" x14ac:dyDescent="0.2">
      <c r="A1322" s="3">
        <v>1663</v>
      </c>
      <c r="B1322" s="3" t="s">
        <v>1421</v>
      </c>
      <c r="C1322" s="3" t="s">
        <v>1418</v>
      </c>
      <c r="D1322" s="3" t="s">
        <v>1285</v>
      </c>
      <c r="E1322" s="3" t="str">
        <v>Ueken</v>
      </c>
      <c r="I1322" s="19">
        <v>4106</v>
      </c>
      <c r="J1322" s="19" t="s">
        <v>4552</v>
      </c>
    </row>
    <row r="1323" spans="1:10" x14ac:dyDescent="0.2">
      <c r="A1323" s="3">
        <v>1648</v>
      </c>
      <c r="B1323" s="3" t="s">
        <v>1422</v>
      </c>
      <c r="C1323" s="3" t="s">
        <v>1422</v>
      </c>
      <c r="D1323" s="3" t="s">
        <v>1285</v>
      </c>
      <c r="E1323" s="3" t="str">
        <v>Wittnau</v>
      </c>
      <c r="I1323" s="19">
        <v>4107</v>
      </c>
      <c r="J1323" s="19" t="s">
        <v>4552</v>
      </c>
    </row>
    <row r="1324" spans="1:10" x14ac:dyDescent="0.2">
      <c r="A1324" s="3">
        <v>1656</v>
      </c>
      <c r="B1324" s="3" t="s">
        <v>1423</v>
      </c>
      <c r="C1324" s="3" t="s">
        <v>1423</v>
      </c>
      <c r="D1324" s="3" t="s">
        <v>1285</v>
      </c>
      <c r="E1324" s="3" t="str">
        <v>Wölflinswil</v>
      </c>
      <c r="I1324" s="19">
        <v>4108</v>
      </c>
      <c r="J1324" s="19" t="s">
        <v>4552</v>
      </c>
    </row>
    <row r="1325" spans="1:10" x14ac:dyDescent="0.2">
      <c r="A1325" s="3">
        <v>1656</v>
      </c>
      <c r="B1325" s="3" t="s">
        <v>1424</v>
      </c>
      <c r="C1325" s="3" t="s">
        <v>1423</v>
      </c>
      <c r="D1325" s="3" t="s">
        <v>1285</v>
      </c>
      <c r="E1325" s="3" t="str">
        <v>Zeihen</v>
      </c>
      <c r="I1325" s="19">
        <v>4112</v>
      </c>
      <c r="J1325" s="19" t="s">
        <v>4552</v>
      </c>
    </row>
    <row r="1326" spans="1:10" x14ac:dyDescent="0.2">
      <c r="A1326" s="3">
        <v>1633</v>
      </c>
      <c r="B1326" s="3" t="s">
        <v>1425</v>
      </c>
      <c r="C1326" s="3" t="s">
        <v>1425</v>
      </c>
      <c r="D1326" s="3" t="s">
        <v>1285</v>
      </c>
      <c r="E1326" s="3" t="str">
        <v>Mettauertal</v>
      </c>
      <c r="I1326" s="19">
        <v>4114</v>
      </c>
      <c r="J1326" s="19" t="s">
        <v>4552</v>
      </c>
    </row>
    <row r="1327" spans="1:10" x14ac:dyDescent="0.2">
      <c r="A1327" s="3">
        <v>1633</v>
      </c>
      <c r="B1327" s="3" t="s">
        <v>1426</v>
      </c>
      <c r="C1327" s="3" t="s">
        <v>1425</v>
      </c>
      <c r="D1327" s="3" t="s">
        <v>1285</v>
      </c>
      <c r="E1327" s="3" t="str">
        <v>Böztal</v>
      </c>
      <c r="I1327" s="19">
        <v>4115</v>
      </c>
      <c r="J1327" s="19" t="s">
        <v>4552</v>
      </c>
    </row>
    <row r="1328" spans="1:10" x14ac:dyDescent="0.2">
      <c r="A1328" s="3">
        <v>1638</v>
      </c>
      <c r="B1328" s="3" t="s">
        <v>1427</v>
      </c>
      <c r="C1328" s="3" t="s">
        <v>1427</v>
      </c>
      <c r="D1328" s="3" t="s">
        <v>1285</v>
      </c>
      <c r="E1328" s="3" t="str">
        <v>Ammerswil</v>
      </c>
      <c r="I1328" s="19">
        <v>4116</v>
      </c>
      <c r="J1328" s="19" t="s">
        <v>4552</v>
      </c>
    </row>
    <row r="1329" spans="1:10" x14ac:dyDescent="0.2">
      <c r="A1329" s="3">
        <v>1661</v>
      </c>
      <c r="B1329" s="3" t="s">
        <v>1428</v>
      </c>
      <c r="C1329" s="3" t="s">
        <v>1429</v>
      </c>
      <c r="D1329" s="3" t="s">
        <v>1285</v>
      </c>
      <c r="E1329" s="3" t="str">
        <v>Boniswil</v>
      </c>
      <c r="I1329" s="19">
        <v>4117</v>
      </c>
      <c r="J1329" s="19" t="s">
        <v>4552</v>
      </c>
    </row>
    <row r="1330" spans="1:10" x14ac:dyDescent="0.2">
      <c r="A1330" s="3">
        <v>1649</v>
      </c>
      <c r="B1330" s="3" t="s">
        <v>1430</v>
      </c>
      <c r="C1330" s="3" t="s">
        <v>1430</v>
      </c>
      <c r="D1330" s="3" t="s">
        <v>1285</v>
      </c>
      <c r="E1330" s="3" t="str">
        <v>Brunegg</v>
      </c>
      <c r="I1330" s="19">
        <v>4118</v>
      </c>
      <c r="J1330" s="19" t="s">
        <v>4552</v>
      </c>
    </row>
    <row r="1331" spans="1:10" x14ac:dyDescent="0.2">
      <c r="A1331" s="3">
        <v>1632</v>
      </c>
      <c r="B1331" s="3" t="s">
        <v>1431</v>
      </c>
      <c r="C1331" s="3" t="s">
        <v>1431</v>
      </c>
      <c r="D1331" s="3" t="s">
        <v>1285</v>
      </c>
      <c r="E1331" s="3" t="str">
        <v>Dintikon</v>
      </c>
      <c r="I1331" s="19">
        <v>4123</v>
      </c>
      <c r="J1331" s="19" t="s">
        <v>4552</v>
      </c>
    </row>
    <row r="1332" spans="1:10" x14ac:dyDescent="0.2">
      <c r="A1332" s="3">
        <v>1634</v>
      </c>
      <c r="B1332" s="3" t="s">
        <v>1432</v>
      </c>
      <c r="C1332" s="3" t="s">
        <v>1433</v>
      </c>
      <c r="D1332" s="3" t="s">
        <v>1285</v>
      </c>
      <c r="E1332" s="3" t="str">
        <v>Egliswil</v>
      </c>
      <c r="I1332" s="19">
        <v>4124</v>
      </c>
      <c r="J1332" s="19" t="s">
        <v>4552</v>
      </c>
    </row>
    <row r="1333" spans="1:10" x14ac:dyDescent="0.2">
      <c r="A1333" s="3">
        <v>1625</v>
      </c>
      <c r="B1333" s="3" t="s">
        <v>1434</v>
      </c>
      <c r="C1333" s="3" t="s">
        <v>1435</v>
      </c>
      <c r="D1333" s="3" t="s">
        <v>1285</v>
      </c>
      <c r="E1333" s="3" t="str">
        <v>Fahrwangen</v>
      </c>
      <c r="I1333" s="19">
        <v>4125</v>
      </c>
      <c r="J1333" s="19" t="s">
        <v>4552</v>
      </c>
    </row>
    <row r="1334" spans="1:10" x14ac:dyDescent="0.2">
      <c r="A1334" s="3">
        <v>1625</v>
      </c>
      <c r="B1334" s="3" t="s">
        <v>1436</v>
      </c>
      <c r="C1334" s="3" t="s">
        <v>1435</v>
      </c>
      <c r="D1334" s="3" t="s">
        <v>1285</v>
      </c>
      <c r="E1334" s="3" t="str">
        <v>Hallwil</v>
      </c>
      <c r="I1334" s="19">
        <v>4126</v>
      </c>
      <c r="J1334" s="19" t="s">
        <v>4552</v>
      </c>
    </row>
    <row r="1335" spans="1:10" x14ac:dyDescent="0.2">
      <c r="A1335" s="3">
        <v>1626</v>
      </c>
      <c r="B1335" s="3" t="s">
        <v>1437</v>
      </c>
      <c r="C1335" s="3" t="s">
        <v>1435</v>
      </c>
      <c r="D1335" s="3" t="s">
        <v>1285</v>
      </c>
      <c r="E1335" s="3" t="str">
        <v>Hendschiken</v>
      </c>
      <c r="I1335" s="19">
        <v>4127</v>
      </c>
      <c r="J1335" s="19" t="s">
        <v>4552</v>
      </c>
    </row>
    <row r="1336" spans="1:10" x14ac:dyDescent="0.2">
      <c r="A1336" s="3">
        <v>1626</v>
      </c>
      <c r="B1336" s="3" t="s">
        <v>1438</v>
      </c>
      <c r="C1336" s="3" t="s">
        <v>1435</v>
      </c>
      <c r="D1336" s="3" t="s">
        <v>1285</v>
      </c>
      <c r="E1336" s="3" t="str">
        <v>Holderbank (AG)</v>
      </c>
      <c r="I1336" s="19">
        <v>4132</v>
      </c>
      <c r="J1336" s="19" t="s">
        <v>4552</v>
      </c>
    </row>
    <row r="1337" spans="1:10" x14ac:dyDescent="0.2">
      <c r="A1337" s="3">
        <v>1626</v>
      </c>
      <c r="B1337" s="3" t="s">
        <v>1439</v>
      </c>
      <c r="C1337" s="3" t="s">
        <v>1435</v>
      </c>
      <c r="D1337" s="3" t="s">
        <v>1285</v>
      </c>
      <c r="E1337" s="3" t="str">
        <v>Hunzenschwil</v>
      </c>
      <c r="I1337" s="19">
        <v>4133</v>
      </c>
      <c r="J1337" s="19" t="s">
        <v>4552</v>
      </c>
    </row>
    <row r="1338" spans="1:10" x14ac:dyDescent="0.2">
      <c r="A1338" s="3">
        <v>1642</v>
      </c>
      <c r="B1338" s="3" t="s">
        <v>1440</v>
      </c>
      <c r="C1338" s="3" t="s">
        <v>1440</v>
      </c>
      <c r="D1338" s="3" t="s">
        <v>1285</v>
      </c>
      <c r="E1338" s="3" t="str">
        <v>Lenzburg</v>
      </c>
      <c r="I1338" s="19">
        <v>4142</v>
      </c>
      <c r="J1338" s="19" t="s">
        <v>4552</v>
      </c>
    </row>
    <row r="1339" spans="1:10" x14ac:dyDescent="0.2">
      <c r="A1339" s="3">
        <v>1627</v>
      </c>
      <c r="B1339" s="3" t="s">
        <v>1441</v>
      </c>
      <c r="C1339" s="3" t="s">
        <v>1441</v>
      </c>
      <c r="D1339" s="3" t="s">
        <v>1285</v>
      </c>
      <c r="E1339" s="3" t="str">
        <v>Meisterschwanden</v>
      </c>
      <c r="I1339" s="19">
        <v>4143</v>
      </c>
      <c r="J1339" s="19" t="s">
        <v>4552</v>
      </c>
    </row>
    <row r="1340" spans="1:10" x14ac:dyDescent="0.2">
      <c r="A1340" s="3">
        <v>1628</v>
      </c>
      <c r="B1340" s="3" t="s">
        <v>1442</v>
      </c>
      <c r="C1340" s="3" t="s">
        <v>1442</v>
      </c>
      <c r="D1340" s="3" t="s">
        <v>1285</v>
      </c>
      <c r="E1340" s="3" t="str">
        <v>Möriken-Wildegg</v>
      </c>
      <c r="I1340" s="19">
        <v>4144</v>
      </c>
      <c r="J1340" s="19" t="s">
        <v>4552</v>
      </c>
    </row>
    <row r="1341" spans="1:10" x14ac:dyDescent="0.2">
      <c r="A1341" s="3">
        <v>1665</v>
      </c>
      <c r="B1341" s="3" t="s">
        <v>1443</v>
      </c>
      <c r="C1341" s="3" t="s">
        <v>1444</v>
      </c>
      <c r="D1341" s="3" t="s">
        <v>1285</v>
      </c>
      <c r="E1341" s="3" t="str">
        <v>Niederlenz</v>
      </c>
      <c r="I1341" s="19">
        <v>4145</v>
      </c>
      <c r="J1341" s="19" t="s">
        <v>4552</v>
      </c>
    </row>
    <row r="1342" spans="1:10" x14ac:dyDescent="0.2">
      <c r="A1342" s="3">
        <v>1666</v>
      </c>
      <c r="B1342" s="3" t="s">
        <v>1445</v>
      </c>
      <c r="C1342" s="3" t="s">
        <v>1444</v>
      </c>
      <c r="D1342" s="3" t="s">
        <v>1285</v>
      </c>
      <c r="E1342" s="3" t="str">
        <v>Othmarsingen</v>
      </c>
      <c r="I1342" s="19">
        <v>4146</v>
      </c>
      <c r="J1342" s="19" t="s">
        <v>4552</v>
      </c>
    </row>
    <row r="1343" spans="1:10" x14ac:dyDescent="0.2">
      <c r="A1343" s="3">
        <v>1667</v>
      </c>
      <c r="B1343" s="3" t="s">
        <v>1446</v>
      </c>
      <c r="C1343" s="3" t="s">
        <v>1444</v>
      </c>
      <c r="D1343" s="3" t="s">
        <v>1285</v>
      </c>
      <c r="E1343" s="3" t="str">
        <v>Rupperswil</v>
      </c>
      <c r="I1343" s="19">
        <v>4147</v>
      </c>
      <c r="J1343" s="19" t="s">
        <v>4552</v>
      </c>
    </row>
    <row r="1344" spans="1:10" x14ac:dyDescent="0.2">
      <c r="A1344" s="3">
        <v>1637</v>
      </c>
      <c r="B1344" s="3" t="s">
        <v>1447</v>
      </c>
      <c r="C1344" s="3" t="s">
        <v>1448</v>
      </c>
      <c r="D1344" s="3" t="s">
        <v>1285</v>
      </c>
      <c r="E1344" s="3" t="str">
        <v>Schafisheim</v>
      </c>
      <c r="I1344" s="19">
        <v>4148</v>
      </c>
      <c r="J1344" s="19" t="s">
        <v>4552</v>
      </c>
    </row>
    <row r="1345" spans="1:10" x14ac:dyDescent="0.2">
      <c r="A1345" s="3">
        <v>1654</v>
      </c>
      <c r="B1345" s="3" t="s">
        <v>1449</v>
      </c>
      <c r="C1345" s="3" t="s">
        <v>1448</v>
      </c>
      <c r="D1345" s="3" t="s">
        <v>1285</v>
      </c>
      <c r="E1345" s="3" t="str">
        <v>Seengen</v>
      </c>
      <c r="I1345" s="19">
        <v>4153</v>
      </c>
      <c r="J1345" s="19" t="s">
        <v>4552</v>
      </c>
    </row>
    <row r="1346" spans="1:10" x14ac:dyDescent="0.2">
      <c r="A1346" s="3">
        <v>1742</v>
      </c>
      <c r="B1346" s="3" t="s">
        <v>1450</v>
      </c>
      <c r="C1346" s="3" t="s">
        <v>1450</v>
      </c>
      <c r="D1346" s="3" t="s">
        <v>1285</v>
      </c>
      <c r="E1346" s="3" t="str">
        <v>Seon</v>
      </c>
      <c r="I1346" s="19">
        <v>4202</v>
      </c>
      <c r="J1346" s="19" t="s">
        <v>4552</v>
      </c>
    </row>
    <row r="1347" spans="1:10" x14ac:dyDescent="0.2">
      <c r="A1347" s="3">
        <v>1754</v>
      </c>
      <c r="B1347" s="3" t="s">
        <v>1451</v>
      </c>
      <c r="C1347" s="3" t="s">
        <v>1452</v>
      </c>
      <c r="D1347" s="3" t="s">
        <v>1285</v>
      </c>
      <c r="E1347" s="3" t="str">
        <v>Staufen</v>
      </c>
      <c r="I1347" s="19">
        <v>4203</v>
      </c>
      <c r="J1347" s="19" t="s">
        <v>4552</v>
      </c>
    </row>
    <row r="1348" spans="1:10" x14ac:dyDescent="0.2">
      <c r="A1348" s="3">
        <v>1754</v>
      </c>
      <c r="B1348" s="3" t="s">
        <v>1453</v>
      </c>
      <c r="C1348" s="3" t="s">
        <v>1452</v>
      </c>
      <c r="D1348" s="3" t="s">
        <v>1285</v>
      </c>
      <c r="E1348" s="3" t="str">
        <v>Abtwil</v>
      </c>
      <c r="I1348" s="19">
        <v>4204</v>
      </c>
      <c r="J1348" s="19" t="s">
        <v>4552</v>
      </c>
    </row>
    <row r="1349" spans="1:10" x14ac:dyDescent="0.2">
      <c r="A1349" s="3">
        <v>1782</v>
      </c>
      <c r="B1349" s="3" t="s">
        <v>1454</v>
      </c>
      <c r="C1349" s="3" t="s">
        <v>1454</v>
      </c>
      <c r="D1349" s="3" t="s">
        <v>1285</v>
      </c>
      <c r="E1349" s="3" t="str">
        <v>Aristau</v>
      </c>
      <c r="I1349" s="19">
        <v>4206</v>
      </c>
      <c r="J1349" s="19" t="s">
        <v>4552</v>
      </c>
    </row>
    <row r="1350" spans="1:10" x14ac:dyDescent="0.2">
      <c r="A1350" s="3">
        <v>1782</v>
      </c>
      <c r="B1350" s="3" t="s">
        <v>1455</v>
      </c>
      <c r="C1350" s="3" t="s">
        <v>1454</v>
      </c>
      <c r="D1350" s="3" t="s">
        <v>1285</v>
      </c>
      <c r="E1350" s="3" t="str">
        <v>Auw</v>
      </c>
      <c r="I1350" s="19">
        <v>4207</v>
      </c>
      <c r="J1350" s="19" t="s">
        <v>4552</v>
      </c>
    </row>
    <row r="1351" spans="1:10" x14ac:dyDescent="0.2">
      <c r="A1351" s="3">
        <v>1744</v>
      </c>
      <c r="B1351" s="3" t="s">
        <v>1456</v>
      </c>
      <c r="C1351" s="3" t="s">
        <v>1456</v>
      </c>
      <c r="D1351" s="3" t="s">
        <v>1285</v>
      </c>
      <c r="E1351" s="3" t="str">
        <v>Beinwil (Freiamt)</v>
      </c>
      <c r="I1351" s="19">
        <v>4208</v>
      </c>
      <c r="J1351" s="19" t="s">
        <v>4552</v>
      </c>
    </row>
    <row r="1352" spans="1:10" x14ac:dyDescent="0.2">
      <c r="A1352" s="3">
        <v>1720</v>
      </c>
      <c r="B1352" s="3" t="s">
        <v>1457</v>
      </c>
      <c r="C1352" s="3" t="s">
        <v>1457</v>
      </c>
      <c r="D1352" s="3" t="s">
        <v>1285</v>
      </c>
      <c r="E1352" s="3" t="str">
        <v>Besenbüren</v>
      </c>
      <c r="I1352" s="19">
        <v>4222</v>
      </c>
      <c r="J1352" s="19" t="s">
        <v>4552</v>
      </c>
    </row>
    <row r="1353" spans="1:10" x14ac:dyDescent="0.2">
      <c r="A1353" s="3">
        <v>1720</v>
      </c>
      <c r="B1353" s="3" t="s">
        <v>1458</v>
      </c>
      <c r="C1353" s="3" t="s">
        <v>1457</v>
      </c>
      <c r="D1353" s="3" t="s">
        <v>1285</v>
      </c>
      <c r="E1353" s="3" t="str">
        <v>Bettwil</v>
      </c>
      <c r="I1353" s="19">
        <v>4223</v>
      </c>
      <c r="J1353" s="19" t="s">
        <v>4552</v>
      </c>
    </row>
    <row r="1354" spans="1:10" x14ac:dyDescent="0.2">
      <c r="A1354" s="3">
        <v>1741</v>
      </c>
      <c r="B1354" s="3" t="s">
        <v>1459</v>
      </c>
      <c r="C1354" s="3" t="s">
        <v>1460</v>
      </c>
      <c r="D1354" s="3" t="s">
        <v>1285</v>
      </c>
      <c r="E1354" s="3" t="str">
        <v>Boswil</v>
      </c>
      <c r="I1354" s="19">
        <v>4224</v>
      </c>
      <c r="J1354" s="19" t="s">
        <v>4552</v>
      </c>
    </row>
    <row r="1355" spans="1:10" x14ac:dyDescent="0.2">
      <c r="A1355" s="3">
        <v>1724</v>
      </c>
      <c r="B1355" s="3" t="s">
        <v>1461</v>
      </c>
      <c r="C1355" s="3" t="s">
        <v>1461</v>
      </c>
      <c r="D1355" s="3" t="s">
        <v>1285</v>
      </c>
      <c r="E1355" s="3" t="str">
        <v>Bünzen</v>
      </c>
      <c r="I1355" s="19">
        <v>4225</v>
      </c>
      <c r="J1355" s="19" t="s">
        <v>4552</v>
      </c>
    </row>
    <row r="1356" spans="1:10" x14ac:dyDescent="0.2">
      <c r="A1356" s="3">
        <v>1700</v>
      </c>
      <c r="B1356" s="3" t="s">
        <v>1462</v>
      </c>
      <c r="C1356" s="3" t="s">
        <v>1462</v>
      </c>
      <c r="D1356" s="3" t="s">
        <v>1285</v>
      </c>
      <c r="E1356" s="3" t="str">
        <v>Buttwil</v>
      </c>
      <c r="I1356" s="19">
        <v>4226</v>
      </c>
      <c r="J1356" s="19" t="s">
        <v>4552</v>
      </c>
    </row>
    <row r="1357" spans="1:10" x14ac:dyDescent="0.2">
      <c r="A1357" s="3">
        <v>1722</v>
      </c>
      <c r="B1357" s="3" t="s">
        <v>1463</v>
      </c>
      <c r="C1357" s="3" t="s">
        <v>1462</v>
      </c>
      <c r="D1357" s="3" t="s">
        <v>1285</v>
      </c>
      <c r="E1357" s="3" t="str">
        <v>Dietwil</v>
      </c>
      <c r="I1357" s="19">
        <v>4227</v>
      </c>
      <c r="J1357" s="19" t="s">
        <v>4552</v>
      </c>
    </row>
    <row r="1358" spans="1:10" x14ac:dyDescent="0.2">
      <c r="A1358" s="3">
        <v>1762</v>
      </c>
      <c r="B1358" s="3" t="s">
        <v>1464</v>
      </c>
      <c r="C1358" s="3" t="s">
        <v>1464</v>
      </c>
      <c r="D1358" s="3" t="s">
        <v>1285</v>
      </c>
      <c r="E1358" s="3" t="str">
        <v>Geltwil</v>
      </c>
      <c r="I1358" s="19">
        <v>4228</v>
      </c>
      <c r="J1358" s="19" t="s">
        <v>4552</v>
      </c>
    </row>
    <row r="1359" spans="1:10" x14ac:dyDescent="0.2">
      <c r="A1359" s="3">
        <v>1763</v>
      </c>
      <c r="B1359" s="3" t="s">
        <v>1465</v>
      </c>
      <c r="C1359" s="3" t="s">
        <v>1465</v>
      </c>
      <c r="D1359" s="3" t="s">
        <v>1285</v>
      </c>
      <c r="E1359" s="3" t="str">
        <v>Kallern</v>
      </c>
      <c r="I1359" s="19">
        <v>4229</v>
      </c>
      <c r="J1359" s="19" t="s">
        <v>4552</v>
      </c>
    </row>
    <row r="1360" spans="1:10" x14ac:dyDescent="0.2">
      <c r="A1360" s="3">
        <v>1772</v>
      </c>
      <c r="B1360" s="3" t="s">
        <v>1466</v>
      </c>
      <c r="C1360" s="3" t="s">
        <v>1466</v>
      </c>
      <c r="D1360" s="3" t="s">
        <v>1285</v>
      </c>
      <c r="E1360" s="3" t="str">
        <v>Merenschwand</v>
      </c>
      <c r="I1360" s="19">
        <v>4232</v>
      </c>
      <c r="J1360" s="19" t="s">
        <v>4552</v>
      </c>
    </row>
    <row r="1361" spans="1:10" x14ac:dyDescent="0.2">
      <c r="A1361" s="3">
        <v>1723</v>
      </c>
      <c r="B1361" s="3" t="s">
        <v>1467</v>
      </c>
      <c r="C1361" s="3" t="s">
        <v>1467</v>
      </c>
      <c r="D1361" s="3" t="s">
        <v>1285</v>
      </c>
      <c r="E1361" s="3" t="str">
        <v>Mühlau</v>
      </c>
      <c r="I1361" s="19">
        <v>4233</v>
      </c>
      <c r="J1361" s="19" t="s">
        <v>4552</v>
      </c>
    </row>
    <row r="1362" spans="1:10" x14ac:dyDescent="0.2">
      <c r="A1362" s="3">
        <v>1753</v>
      </c>
      <c r="B1362" s="3" t="s">
        <v>1468</v>
      </c>
      <c r="C1362" s="3" t="s">
        <v>1468</v>
      </c>
      <c r="D1362" s="3" t="s">
        <v>1285</v>
      </c>
      <c r="E1362" s="3" t="str">
        <v>Muri (AG)</v>
      </c>
      <c r="I1362" s="19">
        <v>4234</v>
      </c>
      <c r="J1362" s="19" t="s">
        <v>4552</v>
      </c>
    </row>
    <row r="1363" spans="1:10" x14ac:dyDescent="0.2">
      <c r="A1363" s="3">
        <v>1740</v>
      </c>
      <c r="B1363" s="3" t="s">
        <v>1469</v>
      </c>
      <c r="C1363" s="3" t="s">
        <v>1470</v>
      </c>
      <c r="D1363" s="3" t="s">
        <v>1285</v>
      </c>
      <c r="E1363" s="3" t="str">
        <v>Oberrüti</v>
      </c>
      <c r="I1363" s="19">
        <v>4242</v>
      </c>
      <c r="J1363" s="19" t="s">
        <v>4552</v>
      </c>
    </row>
    <row r="1364" spans="1:10" x14ac:dyDescent="0.2">
      <c r="A1364" s="3">
        <v>1723</v>
      </c>
      <c r="B1364" s="3" t="s">
        <v>1471</v>
      </c>
      <c r="C1364" s="3" t="s">
        <v>1471</v>
      </c>
      <c r="D1364" s="3" t="s">
        <v>1285</v>
      </c>
      <c r="E1364" s="3" t="str">
        <v>Rottenschwil</v>
      </c>
      <c r="I1364" s="19">
        <v>4243</v>
      </c>
      <c r="J1364" s="19" t="s">
        <v>4552</v>
      </c>
    </row>
    <row r="1365" spans="1:10" x14ac:dyDescent="0.2">
      <c r="A1365" s="3">
        <v>1772</v>
      </c>
      <c r="B1365" s="3" t="s">
        <v>1472</v>
      </c>
      <c r="C1365" s="3" t="s">
        <v>1473</v>
      </c>
      <c r="D1365" s="3" t="s">
        <v>1285</v>
      </c>
      <c r="E1365" s="3" t="str">
        <v>Sins</v>
      </c>
      <c r="I1365" s="19">
        <v>4244</v>
      </c>
      <c r="J1365" s="19" t="s">
        <v>4552</v>
      </c>
    </row>
    <row r="1366" spans="1:10" x14ac:dyDescent="0.2">
      <c r="A1366" s="3">
        <v>1772</v>
      </c>
      <c r="B1366" s="3" t="s">
        <v>1473</v>
      </c>
      <c r="C1366" s="3" t="s">
        <v>1473</v>
      </c>
      <c r="D1366" s="3" t="s">
        <v>1285</v>
      </c>
      <c r="E1366" s="3" t="str">
        <v>Waltenschwil</v>
      </c>
      <c r="I1366" s="19">
        <v>4245</v>
      </c>
      <c r="J1366" s="19" t="s">
        <v>4552</v>
      </c>
    </row>
    <row r="1367" spans="1:10" x14ac:dyDescent="0.2">
      <c r="A1367" s="3">
        <v>1724</v>
      </c>
      <c r="B1367" s="3" t="s">
        <v>1474</v>
      </c>
      <c r="C1367" s="3" t="s">
        <v>1474</v>
      </c>
      <c r="D1367" s="3" t="s">
        <v>1285</v>
      </c>
      <c r="E1367" s="3" t="str">
        <v>Hellikon</v>
      </c>
      <c r="I1367" s="19">
        <v>4246</v>
      </c>
      <c r="J1367" s="19" t="s">
        <v>4552</v>
      </c>
    </row>
    <row r="1368" spans="1:10" x14ac:dyDescent="0.2">
      <c r="A1368" s="3">
        <v>1724</v>
      </c>
      <c r="B1368" s="3" t="s">
        <v>1475</v>
      </c>
      <c r="C1368" s="3" t="s">
        <v>1474</v>
      </c>
      <c r="D1368" s="3" t="s">
        <v>1285</v>
      </c>
      <c r="E1368" s="3" t="str">
        <v>Kaiseraugst</v>
      </c>
      <c r="I1368" s="19">
        <v>4247</v>
      </c>
      <c r="J1368" s="19" t="s">
        <v>4552</v>
      </c>
    </row>
    <row r="1369" spans="1:10" x14ac:dyDescent="0.2">
      <c r="A1369" s="3">
        <v>1724</v>
      </c>
      <c r="B1369" s="3" t="s">
        <v>1476</v>
      </c>
      <c r="C1369" s="3" t="s">
        <v>1474</v>
      </c>
      <c r="D1369" s="3" t="s">
        <v>1285</v>
      </c>
      <c r="E1369" s="3" t="str">
        <v>Magden</v>
      </c>
      <c r="I1369" s="19">
        <v>4252</v>
      </c>
      <c r="J1369" s="19" t="s">
        <v>4552</v>
      </c>
    </row>
    <row r="1370" spans="1:10" x14ac:dyDescent="0.2">
      <c r="A1370" s="3">
        <v>1724</v>
      </c>
      <c r="B1370" s="3" t="s">
        <v>1477</v>
      </c>
      <c r="C1370" s="3" t="s">
        <v>1474</v>
      </c>
      <c r="D1370" s="3" t="s">
        <v>1285</v>
      </c>
      <c r="E1370" s="3" t="str">
        <v>Möhlin</v>
      </c>
      <c r="I1370" s="19">
        <v>4253</v>
      </c>
      <c r="J1370" s="19" t="s">
        <v>4552</v>
      </c>
    </row>
    <row r="1371" spans="1:10" x14ac:dyDescent="0.2">
      <c r="A1371" s="3">
        <v>1724</v>
      </c>
      <c r="B1371" s="3" t="s">
        <v>1478</v>
      </c>
      <c r="C1371" s="3" t="s">
        <v>1474</v>
      </c>
      <c r="D1371" s="3" t="s">
        <v>1285</v>
      </c>
      <c r="E1371" s="3" t="str">
        <v>Mumpf</v>
      </c>
      <c r="I1371" s="19">
        <v>4254</v>
      </c>
      <c r="J1371" s="19" t="s">
        <v>4552</v>
      </c>
    </row>
    <row r="1372" spans="1:10" x14ac:dyDescent="0.2">
      <c r="A1372" s="3">
        <v>1724</v>
      </c>
      <c r="B1372" s="3" t="s">
        <v>1479</v>
      </c>
      <c r="C1372" s="3" t="s">
        <v>1474</v>
      </c>
      <c r="D1372" s="3" t="s">
        <v>1285</v>
      </c>
      <c r="E1372" s="3" t="str">
        <v>Obermumpf</v>
      </c>
      <c r="I1372" s="19">
        <v>4302</v>
      </c>
      <c r="J1372" s="19" t="s">
        <v>4552</v>
      </c>
    </row>
    <row r="1373" spans="1:10" x14ac:dyDescent="0.2">
      <c r="A1373" s="3">
        <v>1733</v>
      </c>
      <c r="B1373" s="3" t="s">
        <v>1480</v>
      </c>
      <c r="C1373" s="3" t="s">
        <v>1480</v>
      </c>
      <c r="D1373" s="3" t="s">
        <v>1285</v>
      </c>
      <c r="E1373" s="3" t="str">
        <v>Olsberg</v>
      </c>
      <c r="I1373" s="19">
        <v>4303</v>
      </c>
      <c r="J1373" s="19" t="s">
        <v>4552</v>
      </c>
    </row>
    <row r="1374" spans="1:10" x14ac:dyDescent="0.2">
      <c r="A1374" s="3">
        <v>1752</v>
      </c>
      <c r="B1374" s="3" t="s">
        <v>1481</v>
      </c>
      <c r="C1374" s="3" t="s">
        <v>1481</v>
      </c>
      <c r="D1374" s="3" t="s">
        <v>1285</v>
      </c>
      <c r="E1374" s="3" t="str">
        <v>Rheinfelden</v>
      </c>
      <c r="I1374" s="19">
        <v>4304</v>
      </c>
      <c r="J1374" s="19" t="s">
        <v>4552</v>
      </c>
    </row>
    <row r="1375" spans="1:10" x14ac:dyDescent="0.2">
      <c r="A1375" s="3">
        <v>1723</v>
      </c>
      <c r="B1375" s="3" t="s">
        <v>1482</v>
      </c>
      <c r="C1375" s="3" t="s">
        <v>1482</v>
      </c>
      <c r="D1375" s="3" t="s">
        <v>1285</v>
      </c>
      <c r="E1375" s="3" t="str">
        <v>Schupfart</v>
      </c>
      <c r="I1375" s="19">
        <v>4305</v>
      </c>
      <c r="J1375" s="19" t="s">
        <v>4552</v>
      </c>
    </row>
    <row r="1376" spans="1:10" x14ac:dyDescent="0.2">
      <c r="A1376" s="3">
        <v>1725</v>
      </c>
      <c r="B1376" s="3" t="s">
        <v>1483</v>
      </c>
      <c r="C1376" s="3" t="s">
        <v>1484</v>
      </c>
      <c r="D1376" s="3" t="s">
        <v>1285</v>
      </c>
      <c r="E1376" s="3" t="str">
        <v>Stein (AG)</v>
      </c>
      <c r="I1376" s="19">
        <v>4310</v>
      </c>
      <c r="J1376" s="19" t="s">
        <v>4552</v>
      </c>
    </row>
    <row r="1377" spans="1:10" x14ac:dyDescent="0.2">
      <c r="A1377" s="3">
        <v>1730</v>
      </c>
      <c r="B1377" s="3" t="s">
        <v>1485</v>
      </c>
      <c r="C1377" s="3" t="s">
        <v>1484</v>
      </c>
      <c r="D1377" s="3" t="s">
        <v>1285</v>
      </c>
      <c r="E1377" s="3" t="str">
        <v>Wallbach</v>
      </c>
      <c r="I1377" s="19">
        <v>4312</v>
      </c>
      <c r="J1377" s="19" t="s">
        <v>4552</v>
      </c>
    </row>
    <row r="1378" spans="1:10" x14ac:dyDescent="0.2">
      <c r="A1378" s="3">
        <v>1745</v>
      </c>
      <c r="B1378" s="3" t="s">
        <v>1486</v>
      </c>
      <c r="C1378" s="3" t="s">
        <v>1487</v>
      </c>
      <c r="D1378" s="3" t="s">
        <v>1285</v>
      </c>
      <c r="E1378" s="3" t="str">
        <v>Wegenstetten</v>
      </c>
      <c r="I1378" s="19">
        <v>4313</v>
      </c>
      <c r="J1378" s="19" t="s">
        <v>4552</v>
      </c>
    </row>
    <row r="1379" spans="1:10" x14ac:dyDescent="0.2">
      <c r="A1379" s="3">
        <v>1756</v>
      </c>
      <c r="B1379" s="3" t="s">
        <v>1488</v>
      </c>
      <c r="C1379" s="3" t="s">
        <v>1487</v>
      </c>
      <c r="D1379" s="3" t="s">
        <v>1285</v>
      </c>
      <c r="E1379" s="3" t="str">
        <v>Zeiningen</v>
      </c>
      <c r="I1379" s="19">
        <v>4314</v>
      </c>
      <c r="J1379" s="19" t="s">
        <v>4551</v>
      </c>
    </row>
    <row r="1380" spans="1:10" x14ac:dyDescent="0.2">
      <c r="A1380" s="3">
        <v>1756</v>
      </c>
      <c r="B1380" s="3" t="s">
        <v>1489</v>
      </c>
      <c r="C1380" s="3" t="s">
        <v>1487</v>
      </c>
      <c r="D1380" s="3" t="s">
        <v>1285</v>
      </c>
      <c r="E1380" s="3" t="str">
        <v>Zuzgen</v>
      </c>
      <c r="I1380" s="19">
        <v>4315</v>
      </c>
      <c r="J1380" s="19" t="s">
        <v>4551</v>
      </c>
    </row>
    <row r="1381" spans="1:10" x14ac:dyDescent="0.2">
      <c r="A1381" s="3">
        <v>1782</v>
      </c>
      <c r="B1381" s="3" t="s">
        <v>1490</v>
      </c>
      <c r="C1381" s="3" t="s">
        <v>1491</v>
      </c>
      <c r="D1381" s="3" t="s">
        <v>1285</v>
      </c>
      <c r="E1381" s="3" t="str">
        <v>Aarburg</v>
      </c>
      <c r="I1381" s="19">
        <v>4316</v>
      </c>
      <c r="J1381" s="19" t="s">
        <v>4551</v>
      </c>
    </row>
    <row r="1382" spans="1:10" x14ac:dyDescent="0.2">
      <c r="A1382" s="3">
        <v>1782</v>
      </c>
      <c r="B1382" s="3" t="s">
        <v>1492</v>
      </c>
      <c r="C1382" s="3" t="s">
        <v>1491</v>
      </c>
      <c r="D1382" s="3" t="s">
        <v>1285</v>
      </c>
      <c r="E1382" s="3" t="str">
        <v>Bottenwil</v>
      </c>
      <c r="I1382" s="19">
        <v>4317</v>
      </c>
      <c r="J1382" s="19" t="s">
        <v>4551</v>
      </c>
    </row>
    <row r="1383" spans="1:10" x14ac:dyDescent="0.2">
      <c r="A1383" s="3">
        <v>1782</v>
      </c>
      <c r="B1383" s="3" t="s">
        <v>1493</v>
      </c>
      <c r="C1383" s="3" t="s">
        <v>1491</v>
      </c>
      <c r="D1383" s="3" t="s">
        <v>1285</v>
      </c>
      <c r="E1383" s="3" t="str">
        <v>Brittnau</v>
      </c>
      <c r="I1383" s="19">
        <v>4322</v>
      </c>
      <c r="J1383" s="19" t="s">
        <v>4551</v>
      </c>
    </row>
    <row r="1384" spans="1:10" x14ac:dyDescent="0.2">
      <c r="A1384" s="3">
        <v>1782</v>
      </c>
      <c r="B1384" s="3" t="s">
        <v>1494</v>
      </c>
      <c r="C1384" s="3" t="s">
        <v>1491</v>
      </c>
      <c r="D1384" s="3" t="s">
        <v>1285</v>
      </c>
      <c r="E1384" s="3" t="str">
        <v>Kirchleerau</v>
      </c>
      <c r="I1384" s="19">
        <v>4323</v>
      </c>
      <c r="J1384" s="19" t="s">
        <v>4551</v>
      </c>
    </row>
    <row r="1385" spans="1:10" x14ac:dyDescent="0.2">
      <c r="A1385" s="3">
        <v>1695</v>
      </c>
      <c r="B1385" s="3" t="s">
        <v>1495</v>
      </c>
      <c r="C1385" s="3" t="s">
        <v>1496</v>
      </c>
      <c r="D1385" s="3" t="s">
        <v>1285</v>
      </c>
      <c r="E1385" s="3" t="str">
        <v>Kölliken</v>
      </c>
      <c r="I1385" s="19">
        <v>4324</v>
      </c>
      <c r="J1385" s="19" t="s">
        <v>4551</v>
      </c>
    </row>
    <row r="1386" spans="1:10" x14ac:dyDescent="0.2">
      <c r="A1386" s="3">
        <v>1695</v>
      </c>
      <c r="B1386" s="3" t="s">
        <v>1497</v>
      </c>
      <c r="C1386" s="3" t="s">
        <v>1496</v>
      </c>
      <c r="D1386" s="3" t="s">
        <v>1285</v>
      </c>
      <c r="E1386" s="3" t="str">
        <v>Moosleerau</v>
      </c>
      <c r="I1386" s="19">
        <v>4325</v>
      </c>
      <c r="J1386" s="19" t="s">
        <v>4551</v>
      </c>
    </row>
    <row r="1387" spans="1:10" x14ac:dyDescent="0.2">
      <c r="A1387" s="3">
        <v>1695</v>
      </c>
      <c r="B1387" s="3" t="s">
        <v>1498</v>
      </c>
      <c r="C1387" s="3" t="s">
        <v>1496</v>
      </c>
      <c r="D1387" s="3" t="s">
        <v>1285</v>
      </c>
      <c r="E1387" s="3" t="str">
        <v>Murgenthal</v>
      </c>
      <c r="I1387" s="19">
        <v>4332</v>
      </c>
      <c r="J1387" s="19" t="s">
        <v>4551</v>
      </c>
    </row>
    <row r="1388" spans="1:10" x14ac:dyDescent="0.2">
      <c r="A1388" s="3">
        <v>1695</v>
      </c>
      <c r="B1388" s="3" t="s">
        <v>1499</v>
      </c>
      <c r="C1388" s="3" t="s">
        <v>1496</v>
      </c>
      <c r="D1388" s="3" t="s">
        <v>1285</v>
      </c>
      <c r="E1388" s="3" t="str">
        <v>Oftringen</v>
      </c>
      <c r="I1388" s="19">
        <v>4333</v>
      </c>
      <c r="J1388" s="19" t="s">
        <v>4551</v>
      </c>
    </row>
    <row r="1389" spans="1:10" x14ac:dyDescent="0.2">
      <c r="A1389" s="3">
        <v>1696</v>
      </c>
      <c r="B1389" s="3" t="s">
        <v>1500</v>
      </c>
      <c r="C1389" s="3" t="s">
        <v>1496</v>
      </c>
      <c r="D1389" s="3" t="s">
        <v>1285</v>
      </c>
      <c r="E1389" s="3" t="str">
        <v>Reitnau</v>
      </c>
      <c r="I1389" s="19">
        <v>4334</v>
      </c>
      <c r="J1389" s="19" t="s">
        <v>4551</v>
      </c>
    </row>
    <row r="1390" spans="1:10" x14ac:dyDescent="0.2">
      <c r="A1390" s="3">
        <v>1726</v>
      </c>
      <c r="B1390" s="3" t="s">
        <v>1501</v>
      </c>
      <c r="C1390" s="3" t="s">
        <v>1496</v>
      </c>
      <c r="D1390" s="3" t="s">
        <v>1285</v>
      </c>
      <c r="E1390" s="3" t="str">
        <v>Rothrist</v>
      </c>
      <c r="I1390" s="19">
        <v>4402</v>
      </c>
      <c r="J1390" s="19" t="s">
        <v>4552</v>
      </c>
    </row>
    <row r="1391" spans="1:10" x14ac:dyDescent="0.2">
      <c r="A1391" s="3">
        <v>1726</v>
      </c>
      <c r="B1391" s="3" t="s">
        <v>1502</v>
      </c>
      <c r="C1391" s="3" t="s">
        <v>1496</v>
      </c>
      <c r="D1391" s="3" t="s">
        <v>1285</v>
      </c>
      <c r="E1391" s="3" t="str">
        <v>Safenwil</v>
      </c>
      <c r="I1391" s="19">
        <v>4410</v>
      </c>
      <c r="J1391" s="19" t="s">
        <v>4552</v>
      </c>
    </row>
    <row r="1392" spans="1:10" x14ac:dyDescent="0.2">
      <c r="A1392" s="3">
        <v>1726</v>
      </c>
      <c r="B1392" s="3" t="s">
        <v>1503</v>
      </c>
      <c r="C1392" s="3" t="s">
        <v>1496</v>
      </c>
      <c r="D1392" s="3" t="s">
        <v>1285</v>
      </c>
      <c r="E1392" s="3" t="str">
        <v>Staffelbach</v>
      </c>
      <c r="I1392" s="19">
        <v>4411</v>
      </c>
      <c r="J1392" s="19" t="s">
        <v>4552</v>
      </c>
    </row>
    <row r="1393" spans="1:10" x14ac:dyDescent="0.2">
      <c r="A1393" s="3">
        <v>1726</v>
      </c>
      <c r="B1393" s="3" t="s">
        <v>1504</v>
      </c>
      <c r="C1393" s="3" t="s">
        <v>1496</v>
      </c>
      <c r="D1393" s="3" t="s">
        <v>1285</v>
      </c>
      <c r="E1393" s="3" t="str">
        <v>Strengelbach</v>
      </c>
      <c r="I1393" s="19">
        <v>4412</v>
      </c>
      <c r="J1393" s="19" t="s">
        <v>4552</v>
      </c>
    </row>
    <row r="1394" spans="1:10" x14ac:dyDescent="0.2">
      <c r="A1394" s="3">
        <v>1727</v>
      </c>
      <c r="B1394" s="3" t="s">
        <v>1505</v>
      </c>
      <c r="C1394" s="3" t="s">
        <v>1496</v>
      </c>
      <c r="D1394" s="3" t="s">
        <v>1285</v>
      </c>
      <c r="E1394" s="3" t="str">
        <v>Uerkheim</v>
      </c>
      <c r="I1394" s="19">
        <v>4413</v>
      </c>
      <c r="J1394" s="19" t="s">
        <v>4552</v>
      </c>
    </row>
    <row r="1395" spans="1:10" x14ac:dyDescent="0.2">
      <c r="A1395" s="3">
        <v>1727</v>
      </c>
      <c r="B1395" s="3" t="s">
        <v>1506</v>
      </c>
      <c r="C1395" s="3" t="s">
        <v>1496</v>
      </c>
      <c r="D1395" s="3" t="s">
        <v>1285</v>
      </c>
      <c r="E1395" s="3" t="str">
        <v>Vordemwald</v>
      </c>
      <c r="I1395" s="19">
        <v>4414</v>
      </c>
      <c r="J1395" s="19" t="s">
        <v>4552</v>
      </c>
    </row>
    <row r="1396" spans="1:10" x14ac:dyDescent="0.2">
      <c r="A1396" s="3">
        <v>1728</v>
      </c>
      <c r="B1396" s="3" t="s">
        <v>1507</v>
      </c>
      <c r="C1396" s="3" t="s">
        <v>1496</v>
      </c>
      <c r="D1396" s="3" t="s">
        <v>1285</v>
      </c>
      <c r="E1396" s="3" t="str">
        <v>Wiliberg</v>
      </c>
      <c r="I1396" s="19">
        <v>4415</v>
      </c>
      <c r="J1396" s="19" t="s">
        <v>4552</v>
      </c>
    </row>
    <row r="1397" spans="1:10" x14ac:dyDescent="0.2">
      <c r="A1397" s="3">
        <v>1746</v>
      </c>
      <c r="B1397" s="3" t="s">
        <v>1508</v>
      </c>
      <c r="C1397" s="3" t="s">
        <v>1509</v>
      </c>
      <c r="D1397" s="3" t="s">
        <v>1285</v>
      </c>
      <c r="E1397" s="3" t="str">
        <v>Zofingen</v>
      </c>
      <c r="I1397" s="19">
        <v>4416</v>
      </c>
      <c r="J1397" s="19" t="s">
        <v>4552</v>
      </c>
    </row>
    <row r="1398" spans="1:10" x14ac:dyDescent="0.2">
      <c r="A1398" s="3">
        <v>1747</v>
      </c>
      <c r="B1398" s="3" t="s">
        <v>1510</v>
      </c>
      <c r="C1398" s="3" t="s">
        <v>1509</v>
      </c>
      <c r="D1398" s="3" t="s">
        <v>1285</v>
      </c>
      <c r="E1398" s="3" t="str">
        <v>Böttstein</v>
      </c>
      <c r="I1398" s="19">
        <v>4417</v>
      </c>
      <c r="J1398" s="19" t="s">
        <v>4552</v>
      </c>
    </row>
    <row r="1399" spans="1:10" x14ac:dyDescent="0.2">
      <c r="A1399" s="3">
        <v>1757</v>
      </c>
      <c r="B1399" s="3" t="s">
        <v>1511</v>
      </c>
      <c r="C1399" s="3" t="s">
        <v>1509</v>
      </c>
      <c r="D1399" s="3" t="s">
        <v>1285</v>
      </c>
      <c r="E1399" s="3" t="str">
        <v>Döttingen</v>
      </c>
      <c r="I1399" s="19">
        <v>4418</v>
      </c>
      <c r="J1399" s="19" t="s">
        <v>4552</v>
      </c>
    </row>
    <row r="1400" spans="1:10" x14ac:dyDescent="0.2">
      <c r="A1400" s="3">
        <v>1724</v>
      </c>
      <c r="B1400" s="3" t="s">
        <v>1512</v>
      </c>
      <c r="C1400" s="3" t="s">
        <v>1513</v>
      </c>
      <c r="D1400" s="3" t="s">
        <v>1285</v>
      </c>
      <c r="E1400" s="3" t="str">
        <v>Endingen</v>
      </c>
      <c r="I1400" s="19">
        <v>4419</v>
      </c>
      <c r="J1400" s="19" t="s">
        <v>4552</v>
      </c>
    </row>
    <row r="1401" spans="1:10" x14ac:dyDescent="0.2">
      <c r="A1401" s="3">
        <v>1731</v>
      </c>
      <c r="B1401" s="3" t="s">
        <v>1514</v>
      </c>
      <c r="C1401" s="3" t="s">
        <v>1513</v>
      </c>
      <c r="D1401" s="3" t="s">
        <v>1285</v>
      </c>
      <c r="E1401" s="3" t="str">
        <v>Fisibach</v>
      </c>
      <c r="I1401" s="19">
        <v>4421</v>
      </c>
      <c r="J1401" s="19" t="s">
        <v>4552</v>
      </c>
    </row>
    <row r="1402" spans="1:10" x14ac:dyDescent="0.2">
      <c r="A1402" s="3">
        <v>1732</v>
      </c>
      <c r="B1402" s="3" t="s">
        <v>1515</v>
      </c>
      <c r="C1402" s="3" t="s">
        <v>1513</v>
      </c>
      <c r="D1402" s="3" t="s">
        <v>1285</v>
      </c>
      <c r="E1402" s="3" t="str">
        <v>Full-Reuenthal</v>
      </c>
      <c r="I1402" s="19">
        <v>4422</v>
      </c>
      <c r="J1402" s="19" t="s">
        <v>4552</v>
      </c>
    </row>
    <row r="1403" spans="1:10" x14ac:dyDescent="0.2">
      <c r="A1403" s="3">
        <v>1796</v>
      </c>
      <c r="B1403" s="3" t="s">
        <v>1516</v>
      </c>
      <c r="C1403" s="3" t="s">
        <v>1516</v>
      </c>
      <c r="D1403" s="3" t="s">
        <v>1285</v>
      </c>
      <c r="E1403" s="3" t="str">
        <v>Klingnau</v>
      </c>
      <c r="I1403" s="19">
        <v>4423</v>
      </c>
      <c r="J1403" s="19" t="s">
        <v>4552</v>
      </c>
    </row>
    <row r="1404" spans="1:10" x14ac:dyDescent="0.2">
      <c r="A1404" s="3">
        <v>1583</v>
      </c>
      <c r="B1404" s="3" t="s">
        <v>1517</v>
      </c>
      <c r="C1404" s="3" t="s">
        <v>1518</v>
      </c>
      <c r="D1404" s="3" t="s">
        <v>1285</v>
      </c>
      <c r="E1404" s="3" t="str">
        <v>Koblenz</v>
      </c>
      <c r="I1404" s="19">
        <v>4424</v>
      </c>
      <c r="J1404" s="19" t="s">
        <v>4551</v>
      </c>
    </row>
    <row r="1405" spans="1:10" x14ac:dyDescent="0.2">
      <c r="A1405" s="3">
        <v>1783</v>
      </c>
      <c r="B1405" s="3" t="s">
        <v>1519</v>
      </c>
      <c r="C1405" s="3" t="s">
        <v>1518</v>
      </c>
      <c r="D1405" s="3" t="s">
        <v>1285</v>
      </c>
      <c r="E1405" s="3" t="str">
        <v>Leibstadt</v>
      </c>
      <c r="I1405" s="19">
        <v>4425</v>
      </c>
      <c r="J1405" s="19" t="s">
        <v>4551</v>
      </c>
    </row>
    <row r="1406" spans="1:10" x14ac:dyDescent="0.2">
      <c r="A1406" s="3">
        <v>1783</v>
      </c>
      <c r="B1406" s="3" t="s">
        <v>1520</v>
      </c>
      <c r="C1406" s="3" t="s">
        <v>1518</v>
      </c>
      <c r="D1406" s="3" t="s">
        <v>1285</v>
      </c>
      <c r="E1406" s="3" t="str">
        <v>Lengnau (AG)</v>
      </c>
      <c r="I1406" s="19">
        <v>4426</v>
      </c>
      <c r="J1406" s="19" t="s">
        <v>4551</v>
      </c>
    </row>
    <row r="1407" spans="1:10" x14ac:dyDescent="0.2">
      <c r="A1407" s="3">
        <v>1784</v>
      </c>
      <c r="B1407" s="3" t="s">
        <v>1518</v>
      </c>
      <c r="C1407" s="3" t="s">
        <v>1518</v>
      </c>
      <c r="D1407" s="3" t="s">
        <v>1285</v>
      </c>
      <c r="E1407" s="3" t="str">
        <v>Leuggern</v>
      </c>
      <c r="I1407" s="19">
        <v>4431</v>
      </c>
      <c r="J1407" s="19" t="s">
        <v>4551</v>
      </c>
    </row>
    <row r="1408" spans="1:10" x14ac:dyDescent="0.2">
      <c r="A1408" s="3">
        <v>1784</v>
      </c>
      <c r="B1408" s="3" t="s">
        <v>1521</v>
      </c>
      <c r="C1408" s="3" t="s">
        <v>1518</v>
      </c>
      <c r="D1408" s="3" t="s">
        <v>1285</v>
      </c>
      <c r="E1408" s="3" t="str">
        <v>Mellikon</v>
      </c>
      <c r="I1408" s="19">
        <v>4432</v>
      </c>
      <c r="J1408" s="19" t="s">
        <v>4551</v>
      </c>
    </row>
    <row r="1409" spans="1:10" x14ac:dyDescent="0.2">
      <c r="A1409" s="3">
        <v>1791</v>
      </c>
      <c r="B1409" s="3" t="s">
        <v>1522</v>
      </c>
      <c r="C1409" s="3" t="s">
        <v>1518</v>
      </c>
      <c r="D1409" s="3" t="s">
        <v>1285</v>
      </c>
      <c r="E1409" s="3" t="str">
        <v>Schneisingen</v>
      </c>
      <c r="I1409" s="19">
        <v>4433</v>
      </c>
      <c r="J1409" s="19" t="s">
        <v>4551</v>
      </c>
    </row>
    <row r="1410" spans="1:10" x14ac:dyDescent="0.2">
      <c r="A1410" s="3">
        <v>1785</v>
      </c>
      <c r="B1410" s="3" t="s">
        <v>1523</v>
      </c>
      <c r="C1410" s="3" t="s">
        <v>1524</v>
      </c>
      <c r="D1410" s="3" t="s">
        <v>1285</v>
      </c>
      <c r="E1410" s="3" t="str">
        <v>Siglistorf</v>
      </c>
      <c r="I1410" s="19">
        <v>4434</v>
      </c>
      <c r="J1410" s="19" t="s">
        <v>4551</v>
      </c>
    </row>
    <row r="1411" spans="1:10" x14ac:dyDescent="0.2">
      <c r="A1411" s="3">
        <v>3284</v>
      </c>
      <c r="B1411" s="3" t="s">
        <v>1525</v>
      </c>
      <c r="C1411" s="3" t="s">
        <v>1525</v>
      </c>
      <c r="D1411" s="3" t="s">
        <v>1285</v>
      </c>
      <c r="E1411" s="3" t="str">
        <v>Tegerfelden</v>
      </c>
      <c r="I1411" s="19">
        <v>4435</v>
      </c>
      <c r="J1411" s="19" t="s">
        <v>4551</v>
      </c>
    </row>
    <row r="1412" spans="1:10" x14ac:dyDescent="0.2">
      <c r="A1412" s="3">
        <v>3280</v>
      </c>
      <c r="B1412" s="3" t="s">
        <v>1526</v>
      </c>
      <c r="C1412" s="3" t="s">
        <v>1526</v>
      </c>
      <c r="D1412" s="3" t="s">
        <v>1285</v>
      </c>
      <c r="E1412" s="3" t="str">
        <v>Zurzach</v>
      </c>
      <c r="I1412" s="19">
        <v>4436</v>
      </c>
      <c r="J1412" s="19" t="s">
        <v>4551</v>
      </c>
    </row>
    <row r="1413" spans="1:10" x14ac:dyDescent="0.2">
      <c r="A1413" s="3">
        <v>1792</v>
      </c>
      <c r="B1413" s="3" t="s">
        <v>1527</v>
      </c>
      <c r="C1413" s="3" t="s">
        <v>1528</v>
      </c>
      <c r="D1413" s="3" t="s">
        <v>1285</v>
      </c>
      <c r="E1413" s="3" t="str">
        <v>Arbon</v>
      </c>
      <c r="I1413" s="19">
        <v>4437</v>
      </c>
      <c r="J1413" s="19" t="s">
        <v>4551</v>
      </c>
    </row>
    <row r="1414" spans="1:10" x14ac:dyDescent="0.2">
      <c r="A1414" s="3">
        <v>1792</v>
      </c>
      <c r="B1414" s="3" t="s">
        <v>1529</v>
      </c>
      <c r="C1414" s="3" t="s">
        <v>1528</v>
      </c>
      <c r="D1414" s="3" t="s">
        <v>1285</v>
      </c>
      <c r="E1414" s="3" t="str">
        <v>Dozwil</v>
      </c>
      <c r="I1414" s="19">
        <v>4438</v>
      </c>
      <c r="J1414" s="19" t="s">
        <v>4551</v>
      </c>
    </row>
    <row r="1415" spans="1:10" x14ac:dyDescent="0.2">
      <c r="A1415" s="3">
        <v>3206</v>
      </c>
      <c r="B1415" s="3" t="s">
        <v>1530</v>
      </c>
      <c r="C1415" s="3" t="s">
        <v>1528</v>
      </c>
      <c r="D1415" s="3" t="s">
        <v>1285</v>
      </c>
      <c r="E1415" s="3" t="str">
        <v>Egnach</v>
      </c>
      <c r="I1415" s="19">
        <v>4441</v>
      </c>
      <c r="J1415" s="19" t="s">
        <v>4551</v>
      </c>
    </row>
    <row r="1416" spans="1:10" x14ac:dyDescent="0.2">
      <c r="A1416" s="3">
        <v>3212</v>
      </c>
      <c r="B1416" s="3" t="s">
        <v>1528</v>
      </c>
      <c r="C1416" s="3" t="s">
        <v>1528</v>
      </c>
      <c r="D1416" s="3" t="s">
        <v>1285</v>
      </c>
      <c r="E1416" s="3" t="str">
        <v>Hefenhofen</v>
      </c>
      <c r="I1416" s="19">
        <v>4442</v>
      </c>
      <c r="J1416" s="19" t="s">
        <v>4551</v>
      </c>
    </row>
    <row r="1417" spans="1:10" x14ac:dyDescent="0.2">
      <c r="A1417" s="3">
        <v>3212</v>
      </c>
      <c r="B1417" s="3" t="s">
        <v>1531</v>
      </c>
      <c r="C1417" s="3" t="s">
        <v>1528</v>
      </c>
      <c r="D1417" s="3" t="s">
        <v>1285</v>
      </c>
      <c r="E1417" s="3" t="str">
        <v>Horn</v>
      </c>
      <c r="I1417" s="19">
        <v>4443</v>
      </c>
      <c r="J1417" s="19" t="s">
        <v>4551</v>
      </c>
    </row>
    <row r="1418" spans="1:10" x14ac:dyDescent="0.2">
      <c r="A1418" s="3">
        <v>3213</v>
      </c>
      <c r="B1418" s="3" t="s">
        <v>1532</v>
      </c>
      <c r="C1418" s="3" t="s">
        <v>1528</v>
      </c>
      <c r="D1418" s="3" t="s">
        <v>1285</v>
      </c>
      <c r="E1418" s="3" t="str">
        <v>Kesswil</v>
      </c>
      <c r="I1418" s="19">
        <v>4444</v>
      </c>
      <c r="J1418" s="19" t="s">
        <v>4551</v>
      </c>
    </row>
    <row r="1419" spans="1:10" x14ac:dyDescent="0.2">
      <c r="A1419" s="3">
        <v>3210</v>
      </c>
      <c r="B1419" s="3" t="s">
        <v>1533</v>
      </c>
      <c r="C1419" s="3" t="s">
        <v>1533</v>
      </c>
      <c r="D1419" s="3" t="s">
        <v>1285</v>
      </c>
      <c r="E1419" s="3" t="str">
        <v>Roggwil (TG)</v>
      </c>
      <c r="I1419" s="19">
        <v>4445</v>
      </c>
      <c r="J1419" s="19" t="s">
        <v>4551</v>
      </c>
    </row>
    <row r="1420" spans="1:10" x14ac:dyDescent="0.2">
      <c r="A1420" s="3">
        <v>3213</v>
      </c>
      <c r="B1420" s="3" t="s">
        <v>1534</v>
      </c>
      <c r="C1420" s="3" t="s">
        <v>1534</v>
      </c>
      <c r="D1420" s="3" t="s">
        <v>1285</v>
      </c>
      <c r="E1420" s="3" t="str">
        <v>Romanshorn</v>
      </c>
      <c r="I1420" s="19">
        <v>4446</v>
      </c>
      <c r="J1420" s="19" t="s">
        <v>4551</v>
      </c>
    </row>
    <row r="1421" spans="1:10" x14ac:dyDescent="0.2">
      <c r="A1421" s="3">
        <v>3280</v>
      </c>
      <c r="B1421" s="3" t="s">
        <v>1535</v>
      </c>
      <c r="C1421" s="3" t="s">
        <v>1535</v>
      </c>
      <c r="D1421" s="3" t="s">
        <v>1285</v>
      </c>
      <c r="E1421" s="3" t="str">
        <v>Salmsach</v>
      </c>
      <c r="I1421" s="19">
        <v>4447</v>
      </c>
      <c r="J1421" s="19" t="s">
        <v>4551</v>
      </c>
    </row>
    <row r="1422" spans="1:10" x14ac:dyDescent="0.2">
      <c r="A1422" s="3">
        <v>1721</v>
      </c>
      <c r="B1422" s="3" t="s">
        <v>1536</v>
      </c>
      <c r="C1422" s="3" t="s">
        <v>1537</v>
      </c>
      <c r="D1422" s="3" t="s">
        <v>1285</v>
      </c>
      <c r="E1422" s="3" t="str">
        <v>Sommeri</v>
      </c>
      <c r="I1422" s="19">
        <v>4448</v>
      </c>
      <c r="J1422" s="19" t="s">
        <v>4551</v>
      </c>
    </row>
    <row r="1423" spans="1:10" x14ac:dyDescent="0.2">
      <c r="A1423" s="3">
        <v>1721</v>
      </c>
      <c r="B1423" s="3" t="s">
        <v>1538</v>
      </c>
      <c r="C1423" s="3" t="s">
        <v>1537</v>
      </c>
      <c r="D1423" s="3" t="s">
        <v>1285</v>
      </c>
      <c r="E1423" s="3" t="str">
        <v>Uttwil</v>
      </c>
      <c r="I1423" s="19">
        <v>4450</v>
      </c>
      <c r="J1423" s="19" t="s">
        <v>4551</v>
      </c>
    </row>
    <row r="1424" spans="1:10" x14ac:dyDescent="0.2">
      <c r="A1424" s="3">
        <v>1721</v>
      </c>
      <c r="B1424" s="3" t="s">
        <v>1539</v>
      </c>
      <c r="C1424" s="3" t="s">
        <v>1537</v>
      </c>
      <c r="D1424" s="3" t="s">
        <v>1285</v>
      </c>
      <c r="E1424" s="3" t="str">
        <v>Amriswil</v>
      </c>
      <c r="I1424" s="19">
        <v>4451</v>
      </c>
      <c r="J1424" s="19" t="s">
        <v>4551</v>
      </c>
    </row>
    <row r="1425" spans="1:10" x14ac:dyDescent="0.2">
      <c r="A1425" s="3">
        <v>1721</v>
      </c>
      <c r="B1425" s="3" t="s">
        <v>1540</v>
      </c>
      <c r="C1425" s="3" t="s">
        <v>1537</v>
      </c>
      <c r="D1425" s="3" t="s">
        <v>1285</v>
      </c>
      <c r="E1425" s="3" t="str">
        <v>Bischofszell</v>
      </c>
      <c r="I1425" s="19">
        <v>4452</v>
      </c>
      <c r="J1425" s="19" t="s">
        <v>4551</v>
      </c>
    </row>
    <row r="1426" spans="1:10" x14ac:dyDescent="0.2">
      <c r="A1426" s="3">
        <v>3286</v>
      </c>
      <c r="B1426" s="3" t="s">
        <v>1541</v>
      </c>
      <c r="C1426" s="3" t="s">
        <v>1541</v>
      </c>
      <c r="D1426" s="3" t="s">
        <v>1285</v>
      </c>
      <c r="E1426" s="3" t="str">
        <v>Erlen</v>
      </c>
      <c r="I1426" s="19">
        <v>4453</v>
      </c>
      <c r="J1426" s="19" t="s">
        <v>4551</v>
      </c>
    </row>
    <row r="1427" spans="1:10" x14ac:dyDescent="0.2">
      <c r="A1427" s="3">
        <v>1595</v>
      </c>
      <c r="B1427" s="3" t="s">
        <v>1542</v>
      </c>
      <c r="C1427" s="3" t="s">
        <v>1543</v>
      </c>
      <c r="D1427" s="3" t="s">
        <v>1285</v>
      </c>
      <c r="E1427" s="3" t="str">
        <v>Hauptwil-Gottshaus</v>
      </c>
      <c r="I1427" s="19">
        <v>4455</v>
      </c>
      <c r="J1427" s="19" t="s">
        <v>4551</v>
      </c>
    </row>
    <row r="1428" spans="1:10" x14ac:dyDescent="0.2">
      <c r="A1428" s="3">
        <v>1793</v>
      </c>
      <c r="B1428" s="3" t="s">
        <v>1544</v>
      </c>
      <c r="C1428" s="3" t="s">
        <v>1543</v>
      </c>
      <c r="D1428" s="3" t="s">
        <v>1285</v>
      </c>
      <c r="E1428" s="3" t="str">
        <v>Hohentannen</v>
      </c>
      <c r="I1428" s="19">
        <v>4456</v>
      </c>
      <c r="J1428" s="19" t="s">
        <v>4551</v>
      </c>
    </row>
    <row r="1429" spans="1:10" x14ac:dyDescent="0.2">
      <c r="A1429" s="3">
        <v>1794</v>
      </c>
      <c r="B1429" s="3" t="s">
        <v>1545</v>
      </c>
      <c r="C1429" s="3" t="s">
        <v>1543</v>
      </c>
      <c r="D1429" s="3" t="s">
        <v>1285</v>
      </c>
      <c r="E1429" s="3" t="str">
        <v>Kradolf-Schönenberg</v>
      </c>
      <c r="I1429" s="19">
        <v>4457</v>
      </c>
      <c r="J1429" s="19" t="s">
        <v>4551</v>
      </c>
    </row>
    <row r="1430" spans="1:10" x14ac:dyDescent="0.2">
      <c r="A1430" s="3">
        <v>1795</v>
      </c>
      <c r="B1430" s="3" t="s">
        <v>1546</v>
      </c>
      <c r="C1430" s="3" t="s">
        <v>1543</v>
      </c>
      <c r="D1430" s="3" t="s">
        <v>1285</v>
      </c>
      <c r="E1430" s="3" t="str">
        <v>Sulgen</v>
      </c>
      <c r="I1430" s="19">
        <v>4458</v>
      </c>
      <c r="J1430" s="19" t="s">
        <v>4551</v>
      </c>
    </row>
    <row r="1431" spans="1:10" x14ac:dyDescent="0.2">
      <c r="A1431" s="3">
        <v>3215</v>
      </c>
      <c r="B1431" s="3" t="s">
        <v>1547</v>
      </c>
      <c r="C1431" s="3" t="s">
        <v>1543</v>
      </c>
      <c r="D1431" s="3" t="s">
        <v>1285</v>
      </c>
      <c r="E1431" s="3" t="str">
        <v>Zihlschlacht-Sitterdorf</v>
      </c>
      <c r="I1431" s="19">
        <v>4460</v>
      </c>
      <c r="J1431" s="19" t="s">
        <v>4551</v>
      </c>
    </row>
    <row r="1432" spans="1:10" x14ac:dyDescent="0.2">
      <c r="A1432" s="3">
        <v>3215</v>
      </c>
      <c r="B1432" s="3" t="s">
        <v>1548</v>
      </c>
      <c r="C1432" s="3" t="s">
        <v>1543</v>
      </c>
      <c r="D1432" s="3" t="s">
        <v>1285</v>
      </c>
      <c r="E1432" s="3" t="str">
        <v>Basadingen-Schlattingen</v>
      </c>
      <c r="I1432" s="19">
        <v>4461</v>
      </c>
      <c r="J1432" s="19" t="s">
        <v>4551</v>
      </c>
    </row>
    <row r="1433" spans="1:10" x14ac:dyDescent="0.2">
      <c r="A1433" s="3">
        <v>3215</v>
      </c>
      <c r="B1433" s="3" t="s">
        <v>1549</v>
      </c>
      <c r="C1433" s="3" t="s">
        <v>1543</v>
      </c>
      <c r="D1433" s="3" t="s">
        <v>1285</v>
      </c>
      <c r="E1433" s="3" t="str">
        <v>Diessenhofen</v>
      </c>
      <c r="I1433" s="19">
        <v>4462</v>
      </c>
      <c r="J1433" s="19" t="s">
        <v>4551</v>
      </c>
    </row>
    <row r="1434" spans="1:10" x14ac:dyDescent="0.2">
      <c r="A1434" s="3">
        <v>3280</v>
      </c>
      <c r="B1434" s="3" t="s">
        <v>1543</v>
      </c>
      <c r="C1434" s="3" t="s">
        <v>1543</v>
      </c>
      <c r="D1434" s="3" t="s">
        <v>1285</v>
      </c>
      <c r="E1434" s="3" t="str">
        <v>Schlatt (TG)</v>
      </c>
      <c r="I1434" s="19">
        <v>4463</v>
      </c>
      <c r="J1434" s="19" t="s">
        <v>4551</v>
      </c>
    </row>
    <row r="1435" spans="1:10" x14ac:dyDescent="0.2">
      <c r="A1435" s="3">
        <v>3285</v>
      </c>
      <c r="B1435" s="3" t="s">
        <v>1550</v>
      </c>
      <c r="C1435" s="3" t="s">
        <v>1543</v>
      </c>
      <c r="D1435" s="3" t="s">
        <v>1285</v>
      </c>
      <c r="E1435" s="3" t="str">
        <v>Aadorf</v>
      </c>
      <c r="I1435" s="19">
        <v>4464</v>
      </c>
      <c r="J1435" s="19" t="s">
        <v>4551</v>
      </c>
    </row>
    <row r="1436" spans="1:10" x14ac:dyDescent="0.2">
      <c r="A1436" s="3">
        <v>3216</v>
      </c>
      <c r="B1436" s="3" t="s">
        <v>1551</v>
      </c>
      <c r="C1436" s="3" t="s">
        <v>1552</v>
      </c>
      <c r="D1436" s="3" t="s">
        <v>1285</v>
      </c>
      <c r="E1436" s="3" t="str">
        <v>Felben-Wellhausen</v>
      </c>
      <c r="I1436" s="19">
        <v>4465</v>
      </c>
      <c r="J1436" s="19" t="s">
        <v>4551</v>
      </c>
    </row>
    <row r="1437" spans="1:10" x14ac:dyDescent="0.2">
      <c r="A1437" s="3">
        <v>3216</v>
      </c>
      <c r="B1437" s="3" t="s">
        <v>1553</v>
      </c>
      <c r="C1437" s="3" t="s">
        <v>1552</v>
      </c>
      <c r="D1437" s="3" t="s">
        <v>1285</v>
      </c>
      <c r="E1437" s="3" t="str">
        <v>Frauenfeld</v>
      </c>
      <c r="I1437" s="19">
        <v>4466</v>
      </c>
      <c r="J1437" s="19" t="s">
        <v>4551</v>
      </c>
    </row>
    <row r="1438" spans="1:10" x14ac:dyDescent="0.2">
      <c r="A1438" s="3">
        <v>3214</v>
      </c>
      <c r="B1438" s="3" t="s">
        <v>1554</v>
      </c>
      <c r="C1438" s="3" t="s">
        <v>1554</v>
      </c>
      <c r="D1438" s="3" t="s">
        <v>1285</v>
      </c>
      <c r="E1438" s="3" t="str">
        <v>Gachnang</v>
      </c>
      <c r="I1438" s="19">
        <v>4467</v>
      </c>
      <c r="J1438" s="19" t="s">
        <v>4551</v>
      </c>
    </row>
    <row r="1439" spans="1:10" x14ac:dyDescent="0.2">
      <c r="A1439" s="3">
        <v>1786</v>
      </c>
      <c r="B1439" s="3" t="s">
        <v>1555</v>
      </c>
      <c r="C1439" s="3" t="s">
        <v>1556</v>
      </c>
      <c r="D1439" s="3" t="s">
        <v>1285</v>
      </c>
      <c r="E1439" s="3" t="str">
        <v>Hüttlingen</v>
      </c>
      <c r="I1439" s="19">
        <v>4468</v>
      </c>
      <c r="J1439" s="19" t="s">
        <v>4551</v>
      </c>
    </row>
    <row r="1440" spans="1:10" x14ac:dyDescent="0.2">
      <c r="A1440" s="3">
        <v>1787</v>
      </c>
      <c r="B1440" s="3" t="s">
        <v>1557</v>
      </c>
      <c r="C1440" s="3" t="s">
        <v>1556</v>
      </c>
      <c r="D1440" s="3" t="s">
        <v>1285</v>
      </c>
      <c r="E1440" s="3" t="str">
        <v>Matzingen</v>
      </c>
      <c r="I1440" s="19">
        <v>4469</v>
      </c>
      <c r="J1440" s="19" t="s">
        <v>4551</v>
      </c>
    </row>
    <row r="1441" spans="1:10" x14ac:dyDescent="0.2">
      <c r="A1441" s="3">
        <v>1787</v>
      </c>
      <c r="B1441" s="3" t="s">
        <v>1558</v>
      </c>
      <c r="C1441" s="3" t="s">
        <v>1556</v>
      </c>
      <c r="D1441" s="3" t="s">
        <v>1285</v>
      </c>
      <c r="E1441" s="3" t="str">
        <v>Neunforn</v>
      </c>
      <c r="I1441" s="19">
        <v>4492</v>
      </c>
      <c r="J1441" s="19" t="s">
        <v>4551</v>
      </c>
    </row>
    <row r="1442" spans="1:10" x14ac:dyDescent="0.2">
      <c r="A1442" s="3">
        <v>1788</v>
      </c>
      <c r="B1442" s="3" t="s">
        <v>1559</v>
      </c>
      <c r="C1442" s="3" t="s">
        <v>1556</v>
      </c>
      <c r="D1442" s="3" t="s">
        <v>1285</v>
      </c>
      <c r="E1442" s="3" t="str">
        <v>Stettfurt</v>
      </c>
      <c r="I1442" s="19">
        <v>4493</v>
      </c>
      <c r="J1442" s="19" t="s">
        <v>4551</v>
      </c>
    </row>
    <row r="1443" spans="1:10" x14ac:dyDescent="0.2">
      <c r="A1443" s="3">
        <v>1789</v>
      </c>
      <c r="B1443" s="3" t="s">
        <v>1560</v>
      </c>
      <c r="C1443" s="3" t="s">
        <v>1556</v>
      </c>
      <c r="D1443" s="3" t="s">
        <v>1285</v>
      </c>
      <c r="E1443" s="3" t="str">
        <v>Thundorf</v>
      </c>
      <c r="I1443" s="19">
        <v>4494</v>
      </c>
      <c r="J1443" s="19" t="s">
        <v>4551</v>
      </c>
    </row>
    <row r="1444" spans="1:10" x14ac:dyDescent="0.2">
      <c r="A1444" s="3">
        <v>1719</v>
      </c>
      <c r="B1444" s="3" t="s">
        <v>1561</v>
      </c>
      <c r="C1444" s="3" t="s">
        <v>1561</v>
      </c>
      <c r="D1444" s="3" t="s">
        <v>1285</v>
      </c>
      <c r="E1444" s="3" t="str">
        <v>Uesslingen-Buch</v>
      </c>
      <c r="I1444" s="19">
        <v>4495</v>
      </c>
      <c r="J1444" s="19" t="s">
        <v>4551</v>
      </c>
    </row>
    <row r="1445" spans="1:10" x14ac:dyDescent="0.2">
      <c r="A1445" s="3">
        <v>3186</v>
      </c>
      <c r="B1445" s="3" t="s">
        <v>1562</v>
      </c>
      <c r="C1445" s="3" t="s">
        <v>1562</v>
      </c>
      <c r="D1445" s="3" t="s">
        <v>1285</v>
      </c>
      <c r="E1445" s="3" t="str">
        <v>Warth-Weiningen</v>
      </c>
      <c r="I1445" s="19">
        <v>4496</v>
      </c>
      <c r="J1445" s="19" t="s">
        <v>4551</v>
      </c>
    </row>
    <row r="1446" spans="1:10" x14ac:dyDescent="0.2">
      <c r="A1446" s="3">
        <v>1735</v>
      </c>
      <c r="B1446" s="3" t="s">
        <v>1563</v>
      </c>
      <c r="C1446" s="3" t="s">
        <v>1563</v>
      </c>
      <c r="D1446" s="3" t="s">
        <v>1285</v>
      </c>
      <c r="E1446" s="3" t="str">
        <v>Altnau</v>
      </c>
      <c r="I1446" s="19">
        <v>4497</v>
      </c>
      <c r="J1446" s="19" t="s">
        <v>4551</v>
      </c>
    </row>
    <row r="1447" spans="1:10" x14ac:dyDescent="0.2">
      <c r="A1447" s="3">
        <v>3178</v>
      </c>
      <c r="B1447" s="3" t="s">
        <v>1564</v>
      </c>
      <c r="C1447" s="3" t="s">
        <v>1564</v>
      </c>
      <c r="D1447" s="3" t="s">
        <v>1285</v>
      </c>
      <c r="E1447" s="3" t="str">
        <v>Bottighofen</v>
      </c>
      <c r="I1447" s="19">
        <v>4500</v>
      </c>
      <c r="J1447" s="19" t="s">
        <v>4554</v>
      </c>
    </row>
    <row r="1448" spans="1:10" x14ac:dyDescent="0.2">
      <c r="A1448" s="3">
        <v>1714</v>
      </c>
      <c r="B1448" s="3" t="s">
        <v>1565</v>
      </c>
      <c r="C1448" s="3" t="s">
        <v>1565</v>
      </c>
      <c r="D1448" s="3" t="s">
        <v>1285</v>
      </c>
      <c r="E1448" s="3" t="str">
        <v>Ermatingen</v>
      </c>
      <c r="I1448" s="19">
        <v>4512</v>
      </c>
      <c r="J1448" s="19" t="s">
        <v>4554</v>
      </c>
    </row>
    <row r="1449" spans="1:10" x14ac:dyDescent="0.2">
      <c r="A1449" s="3">
        <v>1716</v>
      </c>
      <c r="B1449" s="3" t="s">
        <v>1566</v>
      </c>
      <c r="C1449" s="3" t="s">
        <v>1566</v>
      </c>
      <c r="D1449" s="3" t="s">
        <v>1285</v>
      </c>
      <c r="E1449" s="3" t="str">
        <v>Gottlieben</v>
      </c>
      <c r="I1449" s="19">
        <v>4513</v>
      </c>
      <c r="J1449" s="19" t="s">
        <v>4554</v>
      </c>
    </row>
    <row r="1450" spans="1:10" x14ac:dyDescent="0.2">
      <c r="A1450" s="3">
        <v>1716</v>
      </c>
      <c r="B1450" s="3" t="s">
        <v>1567</v>
      </c>
      <c r="C1450" s="3" t="s">
        <v>1566</v>
      </c>
      <c r="D1450" s="3" t="s">
        <v>1285</v>
      </c>
      <c r="E1450" s="3" t="str">
        <v>Güttingen</v>
      </c>
      <c r="I1450" s="19">
        <v>4514</v>
      </c>
      <c r="J1450" s="19" t="s">
        <v>4554</v>
      </c>
    </row>
    <row r="1451" spans="1:10" x14ac:dyDescent="0.2">
      <c r="A1451" s="3">
        <v>1716</v>
      </c>
      <c r="B1451" s="3" t="s">
        <v>1568</v>
      </c>
      <c r="C1451" s="3" t="s">
        <v>1566</v>
      </c>
      <c r="D1451" s="3" t="s">
        <v>1285</v>
      </c>
      <c r="E1451" s="3" t="str">
        <v>Kemmental</v>
      </c>
      <c r="I1451" s="19">
        <v>4515</v>
      </c>
      <c r="J1451" s="19" t="s">
        <v>4554</v>
      </c>
    </row>
    <row r="1452" spans="1:10" x14ac:dyDescent="0.2">
      <c r="A1452" s="3">
        <v>1719</v>
      </c>
      <c r="B1452" s="3" t="s">
        <v>1569</v>
      </c>
      <c r="C1452" s="3" t="s">
        <v>1566</v>
      </c>
      <c r="D1452" s="3" t="s">
        <v>1285</v>
      </c>
      <c r="E1452" s="3" t="str">
        <v>Kreuzlingen</v>
      </c>
      <c r="I1452" s="19">
        <v>4522</v>
      </c>
      <c r="J1452" s="19" t="s">
        <v>4554</v>
      </c>
    </row>
    <row r="1453" spans="1:10" x14ac:dyDescent="0.2">
      <c r="A1453" s="3">
        <v>1737</v>
      </c>
      <c r="B1453" s="3" t="s">
        <v>1570</v>
      </c>
      <c r="C1453" s="3" t="s">
        <v>1570</v>
      </c>
      <c r="D1453" s="3" t="s">
        <v>1285</v>
      </c>
      <c r="E1453" s="3" t="str">
        <v>Langrickenbach</v>
      </c>
      <c r="I1453" s="19">
        <v>4523</v>
      </c>
      <c r="J1453" s="19" t="s">
        <v>4554</v>
      </c>
    </row>
    <row r="1454" spans="1:10" x14ac:dyDescent="0.2">
      <c r="A1454" s="3">
        <v>1718</v>
      </c>
      <c r="B1454" s="3" t="s">
        <v>1571</v>
      </c>
      <c r="C1454" s="3" t="s">
        <v>1571</v>
      </c>
      <c r="D1454" s="3" t="s">
        <v>1285</v>
      </c>
      <c r="E1454" s="3" t="str">
        <v>Lengwil</v>
      </c>
      <c r="I1454" s="19">
        <v>4524</v>
      </c>
      <c r="J1454" s="19" t="s">
        <v>4554</v>
      </c>
    </row>
    <row r="1455" spans="1:10" x14ac:dyDescent="0.2">
      <c r="A1455" s="3">
        <v>1736</v>
      </c>
      <c r="B1455" s="3" t="s">
        <v>1572</v>
      </c>
      <c r="C1455" s="3" t="s">
        <v>1572</v>
      </c>
      <c r="D1455" s="3" t="s">
        <v>1285</v>
      </c>
      <c r="E1455" s="3" t="str">
        <v>Münsterlingen</v>
      </c>
      <c r="I1455" s="19">
        <v>4525</v>
      </c>
      <c r="J1455" s="19" t="s">
        <v>4554</v>
      </c>
    </row>
    <row r="1456" spans="1:10" x14ac:dyDescent="0.2">
      <c r="A1456" s="3">
        <v>1717</v>
      </c>
      <c r="B1456" s="3" t="s">
        <v>1573</v>
      </c>
      <c r="C1456" s="3" t="s">
        <v>1573</v>
      </c>
      <c r="D1456" s="3" t="s">
        <v>1285</v>
      </c>
      <c r="E1456" s="3" t="str">
        <v>Tägerwilen</v>
      </c>
      <c r="I1456" s="19">
        <v>4528</v>
      </c>
      <c r="J1456" s="19" t="s">
        <v>4554</v>
      </c>
    </row>
    <row r="1457" spans="1:10" x14ac:dyDescent="0.2">
      <c r="A1457" s="3">
        <v>3185</v>
      </c>
      <c r="B1457" s="3" t="s">
        <v>1574</v>
      </c>
      <c r="C1457" s="3" t="s">
        <v>1575</v>
      </c>
      <c r="D1457" s="3" t="s">
        <v>1285</v>
      </c>
      <c r="E1457" s="3" t="str">
        <v>Wäldi</v>
      </c>
      <c r="I1457" s="19">
        <v>4532</v>
      </c>
      <c r="J1457" s="19" t="s">
        <v>4554</v>
      </c>
    </row>
    <row r="1458" spans="1:10" x14ac:dyDescent="0.2">
      <c r="A1458" s="3">
        <v>1712</v>
      </c>
      <c r="B1458" s="3" t="s">
        <v>1576</v>
      </c>
      <c r="C1458" s="3" t="s">
        <v>1576</v>
      </c>
      <c r="D1458" s="3" t="s">
        <v>1285</v>
      </c>
      <c r="E1458" s="3" t="str">
        <v>Affeltrangen</v>
      </c>
      <c r="I1458" s="19">
        <v>4533</v>
      </c>
      <c r="J1458" s="19" t="s">
        <v>4554</v>
      </c>
    </row>
    <row r="1459" spans="1:10" x14ac:dyDescent="0.2">
      <c r="A1459" s="3">
        <v>1713</v>
      </c>
      <c r="B1459" s="3" t="s">
        <v>1577</v>
      </c>
      <c r="C1459" s="3" t="s">
        <v>1576</v>
      </c>
      <c r="D1459" s="3" t="s">
        <v>1285</v>
      </c>
      <c r="E1459" s="3" t="str">
        <v>Bettwiesen</v>
      </c>
      <c r="I1459" s="19">
        <v>4534</v>
      </c>
      <c r="J1459" s="19" t="s">
        <v>4554</v>
      </c>
    </row>
    <row r="1460" spans="1:10" x14ac:dyDescent="0.2">
      <c r="A1460" s="3">
        <v>1715</v>
      </c>
      <c r="B1460" s="3" t="s">
        <v>1578</v>
      </c>
      <c r="C1460" s="3" t="s">
        <v>1576</v>
      </c>
      <c r="D1460" s="3" t="s">
        <v>1285</v>
      </c>
      <c r="E1460" s="3" t="str">
        <v>Bichelsee-Balterswil</v>
      </c>
      <c r="I1460" s="19">
        <v>4535</v>
      </c>
      <c r="J1460" s="19" t="s">
        <v>4554</v>
      </c>
    </row>
    <row r="1461" spans="1:10" x14ac:dyDescent="0.2">
      <c r="A1461" s="3">
        <v>1734</v>
      </c>
      <c r="B1461" s="3" t="s">
        <v>1579</v>
      </c>
      <c r="C1461" s="3" t="s">
        <v>1579</v>
      </c>
      <c r="D1461" s="3" t="s">
        <v>1285</v>
      </c>
      <c r="E1461" s="3" t="str">
        <v>Braunau</v>
      </c>
      <c r="I1461" s="19">
        <v>4536</v>
      </c>
      <c r="J1461" s="19" t="s">
        <v>4554</v>
      </c>
    </row>
    <row r="1462" spans="1:10" x14ac:dyDescent="0.2">
      <c r="A1462" s="3">
        <v>3182</v>
      </c>
      <c r="B1462" s="3" t="s">
        <v>1580</v>
      </c>
      <c r="C1462" s="3" t="s">
        <v>1580</v>
      </c>
      <c r="D1462" s="3" t="s">
        <v>1285</v>
      </c>
      <c r="E1462" s="3" t="str">
        <v>Eschlikon</v>
      </c>
      <c r="I1462" s="19">
        <v>4537</v>
      </c>
      <c r="J1462" s="19" t="s">
        <v>4554</v>
      </c>
    </row>
    <row r="1463" spans="1:10" x14ac:dyDescent="0.2">
      <c r="A1463" s="3">
        <v>3175</v>
      </c>
      <c r="B1463" s="3" t="s">
        <v>1581</v>
      </c>
      <c r="C1463" s="3" t="s">
        <v>1582</v>
      </c>
      <c r="D1463" s="3" t="s">
        <v>1285</v>
      </c>
      <c r="E1463" s="3" t="str">
        <v>Fischingen</v>
      </c>
      <c r="I1463" s="19">
        <v>4538</v>
      </c>
      <c r="J1463" s="19" t="s">
        <v>4554</v>
      </c>
    </row>
    <row r="1464" spans="1:10" x14ac:dyDescent="0.2">
      <c r="A1464" s="3">
        <v>3184</v>
      </c>
      <c r="B1464" s="3" t="s">
        <v>1583</v>
      </c>
      <c r="C1464" s="3" t="s">
        <v>1582</v>
      </c>
      <c r="D1464" s="3" t="s">
        <v>1285</v>
      </c>
      <c r="E1464" s="3" t="str">
        <v>Lommis</v>
      </c>
      <c r="I1464" s="19">
        <v>4539</v>
      </c>
      <c r="J1464" s="19" t="s">
        <v>4554</v>
      </c>
    </row>
    <row r="1465" spans="1:10" x14ac:dyDescent="0.2">
      <c r="A1465" s="3">
        <v>1616</v>
      </c>
      <c r="B1465" s="3" t="s">
        <v>1584</v>
      </c>
      <c r="C1465" s="3" t="s">
        <v>1584</v>
      </c>
      <c r="D1465" s="3" t="s">
        <v>1285</v>
      </c>
      <c r="E1465" s="3" t="str">
        <v>Münchwilen (TG)</v>
      </c>
      <c r="I1465" s="19">
        <v>4542</v>
      </c>
      <c r="J1465" s="19" t="s">
        <v>4554</v>
      </c>
    </row>
    <row r="1466" spans="1:10" x14ac:dyDescent="0.2">
      <c r="A1466" s="3">
        <v>1617</v>
      </c>
      <c r="B1466" s="3" t="s">
        <v>1585</v>
      </c>
      <c r="C1466" s="3" t="s">
        <v>1584</v>
      </c>
      <c r="D1466" s="3" t="s">
        <v>1285</v>
      </c>
      <c r="E1466" s="3" t="str">
        <v>Rickenbach (TG)</v>
      </c>
      <c r="I1466" s="19">
        <v>4543</v>
      </c>
      <c r="J1466" s="19" t="s">
        <v>4554</v>
      </c>
    </row>
    <row r="1467" spans="1:10" x14ac:dyDescent="0.2">
      <c r="A1467" s="3">
        <v>1615</v>
      </c>
      <c r="B1467" s="3" t="s">
        <v>1586</v>
      </c>
      <c r="C1467" s="3" t="s">
        <v>1586</v>
      </c>
      <c r="D1467" s="3" t="s">
        <v>1285</v>
      </c>
      <c r="E1467" s="3" t="str">
        <v>Schönholzerswilen</v>
      </c>
      <c r="I1467" s="19">
        <v>4552</v>
      </c>
      <c r="J1467" s="19" t="s">
        <v>4554</v>
      </c>
    </row>
    <row r="1468" spans="1:10" x14ac:dyDescent="0.2">
      <c r="A1468" s="3">
        <v>1618</v>
      </c>
      <c r="B1468" s="3" t="s">
        <v>1587</v>
      </c>
      <c r="C1468" s="3" t="s">
        <v>1588</v>
      </c>
      <c r="D1468" s="3" t="s">
        <v>1285</v>
      </c>
      <c r="E1468" s="3" t="str">
        <v>Sirnach</v>
      </c>
      <c r="I1468" s="19">
        <v>4553</v>
      </c>
      <c r="J1468" s="19" t="s">
        <v>4554</v>
      </c>
    </row>
    <row r="1469" spans="1:10" x14ac:dyDescent="0.2">
      <c r="A1469" s="3">
        <v>1619</v>
      </c>
      <c r="B1469" s="3" t="s">
        <v>1589</v>
      </c>
      <c r="C1469" s="3" t="s">
        <v>1588</v>
      </c>
      <c r="D1469" s="3" t="s">
        <v>1285</v>
      </c>
      <c r="E1469" s="3" t="str">
        <v>Tobel-Tägerschen</v>
      </c>
      <c r="I1469" s="19">
        <v>4554</v>
      </c>
      <c r="J1469" s="19" t="s">
        <v>4554</v>
      </c>
    </row>
    <row r="1470" spans="1:10" x14ac:dyDescent="0.2">
      <c r="A1470" s="3">
        <v>1614</v>
      </c>
      <c r="B1470" s="3" t="s">
        <v>1590</v>
      </c>
      <c r="C1470" s="3" t="s">
        <v>1590</v>
      </c>
      <c r="D1470" s="3" t="s">
        <v>1285</v>
      </c>
      <c r="E1470" s="3" t="str">
        <v>Wängi</v>
      </c>
      <c r="I1470" s="19">
        <v>4556</v>
      </c>
      <c r="J1470" s="19" t="s">
        <v>4554</v>
      </c>
    </row>
    <row r="1471" spans="1:10" x14ac:dyDescent="0.2">
      <c r="A1471" s="3">
        <v>1617</v>
      </c>
      <c r="B1471" s="3" t="s">
        <v>1591</v>
      </c>
      <c r="C1471" s="3" t="s">
        <v>1591</v>
      </c>
      <c r="D1471" s="3" t="s">
        <v>1285</v>
      </c>
      <c r="E1471" s="3" t="str">
        <v>Wilen (TG)</v>
      </c>
      <c r="I1471" s="19">
        <v>4557</v>
      </c>
      <c r="J1471" s="19" t="s">
        <v>4554</v>
      </c>
    </row>
    <row r="1472" spans="1:10" x14ac:dyDescent="0.2">
      <c r="A1472" s="3">
        <v>1609</v>
      </c>
      <c r="B1472" s="3" t="s">
        <v>1592</v>
      </c>
      <c r="C1472" s="3" t="s">
        <v>1593</v>
      </c>
      <c r="D1472" s="3" t="s">
        <v>1285</v>
      </c>
      <c r="E1472" s="3" t="str">
        <v>Wuppenau</v>
      </c>
      <c r="I1472" s="19">
        <v>4558</v>
      </c>
      <c r="J1472" s="19" t="s">
        <v>4554</v>
      </c>
    </row>
    <row r="1473" spans="1:10" x14ac:dyDescent="0.2">
      <c r="A1473" s="3">
        <v>1609</v>
      </c>
      <c r="B1473" s="3" t="s">
        <v>1594</v>
      </c>
      <c r="C1473" s="3" t="s">
        <v>1593</v>
      </c>
      <c r="D1473" s="3" t="s">
        <v>1285</v>
      </c>
      <c r="E1473" s="3" t="str">
        <v>Berlingen</v>
      </c>
      <c r="I1473" s="19">
        <v>4562</v>
      </c>
      <c r="J1473" s="19" t="s">
        <v>4554</v>
      </c>
    </row>
    <row r="1474" spans="1:10" x14ac:dyDescent="0.2">
      <c r="A1474" s="3">
        <v>1609</v>
      </c>
      <c r="B1474" s="3" t="s">
        <v>1595</v>
      </c>
      <c r="C1474" s="3" t="s">
        <v>1593</v>
      </c>
      <c r="D1474" s="3" t="s">
        <v>1285</v>
      </c>
      <c r="E1474" s="3" t="str">
        <v>Eschenz</v>
      </c>
      <c r="I1474" s="19">
        <v>4563</v>
      </c>
      <c r="J1474" s="19" t="s">
        <v>4554</v>
      </c>
    </row>
    <row r="1475" spans="1:10" x14ac:dyDescent="0.2">
      <c r="A1475" s="3">
        <v>1623</v>
      </c>
      <c r="B1475" s="3" t="s">
        <v>1596</v>
      </c>
      <c r="C1475" s="3" t="s">
        <v>1596</v>
      </c>
      <c r="D1475" s="3" t="s">
        <v>1285</v>
      </c>
      <c r="E1475" s="3" t="str">
        <v>Herdern</v>
      </c>
      <c r="I1475" s="19">
        <v>4564</v>
      </c>
      <c r="J1475" s="19" t="s">
        <v>4554</v>
      </c>
    </row>
    <row r="1476" spans="1:10" x14ac:dyDescent="0.2">
      <c r="A1476" s="3">
        <v>1699</v>
      </c>
      <c r="B1476" s="3" t="s">
        <v>1597</v>
      </c>
      <c r="C1476" s="3" t="s">
        <v>1598</v>
      </c>
      <c r="D1476" s="3" t="s">
        <v>1285</v>
      </c>
      <c r="E1476" s="3" t="str">
        <v>Homburg</v>
      </c>
      <c r="I1476" s="19">
        <v>4565</v>
      </c>
      <c r="J1476" s="19" t="s">
        <v>4554</v>
      </c>
    </row>
    <row r="1477" spans="1:10" x14ac:dyDescent="0.2">
      <c r="A1477" s="3">
        <v>1699</v>
      </c>
      <c r="B1477" s="3" t="s">
        <v>1599</v>
      </c>
      <c r="C1477" s="3" t="s">
        <v>1598</v>
      </c>
      <c r="D1477" s="3" t="s">
        <v>1285</v>
      </c>
      <c r="E1477" s="3" t="str">
        <v>Hüttwilen</v>
      </c>
      <c r="I1477" s="19">
        <v>4566</v>
      </c>
      <c r="J1477" s="19" t="s">
        <v>4554</v>
      </c>
    </row>
    <row r="1478" spans="1:10" x14ac:dyDescent="0.2">
      <c r="A1478" s="3">
        <v>1699</v>
      </c>
      <c r="B1478" s="3" t="s">
        <v>1600</v>
      </c>
      <c r="C1478" s="3" t="s">
        <v>1598</v>
      </c>
      <c r="D1478" s="3" t="s">
        <v>1285</v>
      </c>
      <c r="E1478" s="3" t="str">
        <v>Mammern</v>
      </c>
      <c r="I1478" s="19">
        <v>4571</v>
      </c>
      <c r="J1478" s="19" t="s">
        <v>4546</v>
      </c>
    </row>
    <row r="1479" spans="1:10" x14ac:dyDescent="0.2">
      <c r="A1479" s="3">
        <v>1611</v>
      </c>
      <c r="B1479" s="3" t="s">
        <v>1601</v>
      </c>
      <c r="C1479" s="3" t="s">
        <v>1602</v>
      </c>
      <c r="D1479" s="3" t="s">
        <v>1285</v>
      </c>
      <c r="E1479" s="3" t="str">
        <v>Müllheim</v>
      </c>
      <c r="I1479" s="19">
        <v>4573</v>
      </c>
      <c r="J1479" s="19" t="s">
        <v>4546</v>
      </c>
    </row>
    <row r="1480" spans="1:10" x14ac:dyDescent="0.2">
      <c r="A1480" s="3">
        <v>1624</v>
      </c>
      <c r="B1480" s="3" t="s">
        <v>1602</v>
      </c>
      <c r="C1480" s="3" t="s">
        <v>1602</v>
      </c>
      <c r="D1480" s="3" t="s">
        <v>1285</v>
      </c>
      <c r="E1480" s="3" t="str">
        <v>Pfyn</v>
      </c>
      <c r="I1480" s="19">
        <v>4574</v>
      </c>
      <c r="J1480" s="19" t="s">
        <v>4546</v>
      </c>
    </row>
    <row r="1481" spans="1:10" x14ac:dyDescent="0.2">
      <c r="A1481" s="3">
        <v>1624</v>
      </c>
      <c r="B1481" s="3" t="s">
        <v>1603</v>
      </c>
      <c r="C1481" s="3" t="s">
        <v>1602</v>
      </c>
      <c r="D1481" s="3" t="s">
        <v>1285</v>
      </c>
      <c r="E1481" s="3" t="str">
        <v>Raperswilen</v>
      </c>
      <c r="I1481" s="19">
        <v>4576</v>
      </c>
      <c r="J1481" s="19" t="s">
        <v>4546</v>
      </c>
    </row>
    <row r="1482" spans="1:10" x14ac:dyDescent="0.2">
      <c r="A1482" s="3">
        <v>1624</v>
      </c>
      <c r="B1482" s="3" t="s">
        <v>1604</v>
      </c>
      <c r="C1482" s="3" t="s">
        <v>1602</v>
      </c>
      <c r="D1482" s="3" t="s">
        <v>1285</v>
      </c>
      <c r="E1482" s="3" t="str">
        <v>Salenstein</v>
      </c>
      <c r="I1482" s="19">
        <v>4577</v>
      </c>
      <c r="J1482" s="19" t="s">
        <v>4546</v>
      </c>
    </row>
    <row r="1483" spans="1:10" x14ac:dyDescent="0.2">
      <c r="A1483" s="3">
        <v>1624</v>
      </c>
      <c r="B1483" s="3" t="s">
        <v>1604</v>
      </c>
      <c r="C1483" s="3" t="s">
        <v>1602</v>
      </c>
      <c r="D1483" s="3" t="s">
        <v>1285</v>
      </c>
      <c r="E1483" s="3" t="str">
        <v>Steckborn</v>
      </c>
      <c r="I1483" s="19">
        <v>4578</v>
      </c>
      <c r="J1483" s="19" t="s">
        <v>4546</v>
      </c>
    </row>
    <row r="1484" spans="1:10" x14ac:dyDescent="0.2">
      <c r="A1484" s="3">
        <v>4622</v>
      </c>
      <c r="B1484" s="3" t="s">
        <v>1605</v>
      </c>
      <c r="C1484" s="3" t="s">
        <v>1605</v>
      </c>
      <c r="D1484" s="3" t="s">
        <v>1606</v>
      </c>
      <c r="E1484" s="3" t="str">
        <v>Wagenhausen</v>
      </c>
      <c r="I1484" s="19">
        <v>4579</v>
      </c>
      <c r="J1484" s="19" t="s">
        <v>4546</v>
      </c>
    </row>
    <row r="1485" spans="1:10" x14ac:dyDescent="0.2">
      <c r="A1485" s="3">
        <v>4624</v>
      </c>
      <c r="B1485" s="3" t="s">
        <v>1607</v>
      </c>
      <c r="C1485" s="3" t="s">
        <v>1607</v>
      </c>
      <c r="D1485" s="3" t="s">
        <v>1606</v>
      </c>
      <c r="E1485" s="3" t="str">
        <v>Amlikon-Bissegg</v>
      </c>
      <c r="I1485" s="19">
        <v>4581</v>
      </c>
      <c r="J1485" s="19" t="s">
        <v>4546</v>
      </c>
    </row>
    <row r="1486" spans="1:10" x14ac:dyDescent="0.2">
      <c r="A1486" s="3">
        <v>4703</v>
      </c>
      <c r="B1486" s="3" t="s">
        <v>1608</v>
      </c>
      <c r="C1486" s="3" t="s">
        <v>1608</v>
      </c>
      <c r="D1486" s="3" t="s">
        <v>1606</v>
      </c>
      <c r="E1486" s="3" t="str">
        <v>Berg (TG)</v>
      </c>
      <c r="I1486" s="19">
        <v>4582</v>
      </c>
      <c r="J1486" s="19" t="s">
        <v>4546</v>
      </c>
    </row>
    <row r="1487" spans="1:10" x14ac:dyDescent="0.2">
      <c r="A1487" s="3">
        <v>4623</v>
      </c>
      <c r="B1487" s="3" t="s">
        <v>1609</v>
      </c>
      <c r="C1487" s="3" t="s">
        <v>1609</v>
      </c>
      <c r="D1487" s="3" t="s">
        <v>1606</v>
      </c>
      <c r="E1487" s="3" t="str">
        <v>Birwinken</v>
      </c>
      <c r="I1487" s="19">
        <v>4583</v>
      </c>
      <c r="J1487" s="19" t="s">
        <v>4546</v>
      </c>
    </row>
    <row r="1488" spans="1:10" x14ac:dyDescent="0.2">
      <c r="A1488" s="3">
        <v>4626</v>
      </c>
      <c r="B1488" s="3" t="s">
        <v>1610</v>
      </c>
      <c r="C1488" s="3" t="s">
        <v>1610</v>
      </c>
      <c r="D1488" s="3" t="s">
        <v>1606</v>
      </c>
      <c r="E1488" s="3" t="str">
        <v>Bürglen (TG)</v>
      </c>
      <c r="I1488" s="19">
        <v>4584</v>
      </c>
      <c r="J1488" s="19" t="s">
        <v>4546</v>
      </c>
    </row>
    <row r="1489" spans="1:10" x14ac:dyDescent="0.2">
      <c r="A1489" s="3">
        <v>4625</v>
      </c>
      <c r="B1489" s="3" t="s">
        <v>1611</v>
      </c>
      <c r="C1489" s="3" t="s">
        <v>1611</v>
      </c>
      <c r="D1489" s="3" t="s">
        <v>1606</v>
      </c>
      <c r="E1489" s="3" t="str">
        <v>Bussnang</v>
      </c>
      <c r="I1489" s="19">
        <v>4585</v>
      </c>
      <c r="J1489" s="19" t="s">
        <v>4546</v>
      </c>
    </row>
    <row r="1490" spans="1:10" x14ac:dyDescent="0.2">
      <c r="A1490" s="3">
        <v>4702</v>
      </c>
      <c r="B1490" s="3" t="s">
        <v>1612</v>
      </c>
      <c r="C1490" s="3" t="s">
        <v>1612</v>
      </c>
      <c r="D1490" s="3" t="s">
        <v>1606</v>
      </c>
      <c r="E1490" s="3" t="str">
        <v>Märstetten</v>
      </c>
      <c r="I1490" s="19">
        <v>4586</v>
      </c>
      <c r="J1490" s="19" t="s">
        <v>4546</v>
      </c>
    </row>
    <row r="1491" spans="1:10" x14ac:dyDescent="0.2">
      <c r="A1491" s="3">
        <v>4628</v>
      </c>
      <c r="B1491" s="3" t="s">
        <v>1613</v>
      </c>
      <c r="C1491" s="3" t="s">
        <v>1613</v>
      </c>
      <c r="D1491" s="3" t="s">
        <v>1606</v>
      </c>
      <c r="E1491" s="3" t="str">
        <v>Weinfelden</v>
      </c>
      <c r="I1491" s="19">
        <v>4587</v>
      </c>
      <c r="J1491" s="19" t="s">
        <v>4546</v>
      </c>
    </row>
    <row r="1492" spans="1:10" x14ac:dyDescent="0.2">
      <c r="A1492" s="3">
        <v>4714</v>
      </c>
      <c r="B1492" s="3" t="s">
        <v>1614</v>
      </c>
      <c r="C1492" s="3" t="s">
        <v>1614</v>
      </c>
      <c r="D1492" s="3" t="s">
        <v>1606</v>
      </c>
      <c r="E1492" s="3" t="str">
        <v>Wigoltingen</v>
      </c>
      <c r="I1492" s="19">
        <v>4588</v>
      </c>
      <c r="J1492" s="19" t="s">
        <v>4546</v>
      </c>
    </row>
    <row r="1493" spans="1:10" x14ac:dyDescent="0.2">
      <c r="A1493" s="3">
        <v>4710</v>
      </c>
      <c r="B1493" s="3" t="s">
        <v>1615</v>
      </c>
      <c r="C1493" s="3" t="s">
        <v>1615</v>
      </c>
      <c r="D1493" s="3" t="s">
        <v>1606</v>
      </c>
      <c r="E1493" s="3" t="str">
        <v>Arbedo-Castione</v>
      </c>
      <c r="I1493" s="19">
        <v>4600</v>
      </c>
      <c r="J1493" s="19" t="s">
        <v>4558</v>
      </c>
    </row>
    <row r="1494" spans="1:10" x14ac:dyDescent="0.2">
      <c r="A1494" s="3">
        <v>4715</v>
      </c>
      <c r="B1494" s="3" t="s">
        <v>1616</v>
      </c>
      <c r="C1494" s="3" t="s">
        <v>1616</v>
      </c>
      <c r="D1494" s="3" t="s">
        <v>1606</v>
      </c>
      <c r="E1494" s="3" t="str">
        <v>Bellinzona</v>
      </c>
      <c r="I1494" s="19">
        <v>4612</v>
      </c>
      <c r="J1494" s="19" t="s">
        <v>4554</v>
      </c>
    </row>
    <row r="1495" spans="1:10" x14ac:dyDescent="0.2">
      <c r="A1495" s="3">
        <v>4718</v>
      </c>
      <c r="B1495" s="3" t="s">
        <v>1617</v>
      </c>
      <c r="C1495" s="3" t="s">
        <v>1618</v>
      </c>
      <c r="D1495" s="3" t="s">
        <v>1606</v>
      </c>
      <c r="E1495" s="3" t="str">
        <v>Cadenazzo</v>
      </c>
      <c r="I1495" s="19">
        <v>4613</v>
      </c>
      <c r="J1495" s="19" t="s">
        <v>4554</v>
      </c>
    </row>
    <row r="1496" spans="1:10" x14ac:dyDescent="0.2">
      <c r="A1496" s="3">
        <v>4712</v>
      </c>
      <c r="B1496" s="3" t="s">
        <v>1619</v>
      </c>
      <c r="C1496" s="3" t="s">
        <v>1619</v>
      </c>
      <c r="D1496" s="3" t="s">
        <v>1606</v>
      </c>
      <c r="E1496" s="3" t="str">
        <v>Isone</v>
      </c>
      <c r="I1496" s="19">
        <v>4614</v>
      </c>
      <c r="J1496" s="19" t="s">
        <v>4554</v>
      </c>
    </row>
    <row r="1497" spans="1:10" x14ac:dyDescent="0.2">
      <c r="A1497" s="3">
        <v>4713</v>
      </c>
      <c r="B1497" s="3" t="s">
        <v>1620</v>
      </c>
      <c r="C1497" s="3" t="s">
        <v>1620</v>
      </c>
      <c r="D1497" s="3" t="s">
        <v>1606</v>
      </c>
      <c r="E1497" s="3" t="str">
        <v>Lumino</v>
      </c>
      <c r="I1497" s="19">
        <v>4615</v>
      </c>
      <c r="J1497" s="19" t="s">
        <v>4554</v>
      </c>
    </row>
    <row r="1498" spans="1:10" x14ac:dyDescent="0.2">
      <c r="A1498" s="3">
        <v>4717</v>
      </c>
      <c r="B1498" s="3" t="s">
        <v>1621</v>
      </c>
      <c r="C1498" s="3" t="s">
        <v>1622</v>
      </c>
      <c r="D1498" s="3" t="s">
        <v>1606</v>
      </c>
      <c r="E1498" s="3" t="str">
        <v>Sant'Antonino</v>
      </c>
      <c r="I1498" s="19">
        <v>4616</v>
      </c>
      <c r="J1498" s="19" t="s">
        <v>4554</v>
      </c>
    </row>
    <row r="1499" spans="1:10" x14ac:dyDescent="0.2">
      <c r="A1499" s="3">
        <v>4719</v>
      </c>
      <c r="B1499" s="3" t="s">
        <v>1623</v>
      </c>
      <c r="C1499" s="3" t="s">
        <v>1622</v>
      </c>
      <c r="D1499" s="3" t="s">
        <v>1606</v>
      </c>
      <c r="E1499" s="3" t="str">
        <v>Acquarossa</v>
      </c>
      <c r="I1499" s="19">
        <v>4617</v>
      </c>
      <c r="J1499" s="19" t="s">
        <v>4554</v>
      </c>
    </row>
    <row r="1500" spans="1:10" x14ac:dyDescent="0.2">
      <c r="A1500" s="3">
        <v>4716</v>
      </c>
      <c r="B1500" s="3" t="s">
        <v>1624</v>
      </c>
      <c r="C1500" s="3" t="s">
        <v>1625</v>
      </c>
      <c r="D1500" s="3" t="s">
        <v>1606</v>
      </c>
      <c r="E1500" s="3" t="str">
        <v>Blenio</v>
      </c>
      <c r="I1500" s="19">
        <v>4618</v>
      </c>
      <c r="J1500" s="19" t="s">
        <v>4554</v>
      </c>
    </row>
    <row r="1501" spans="1:10" x14ac:dyDescent="0.2">
      <c r="A1501" s="3">
        <v>4716</v>
      </c>
      <c r="B1501" s="3" t="s">
        <v>1626</v>
      </c>
      <c r="C1501" s="3" t="s">
        <v>1625</v>
      </c>
      <c r="D1501" s="3" t="s">
        <v>1606</v>
      </c>
      <c r="E1501" s="3" t="str">
        <v>Serravalle</v>
      </c>
      <c r="I1501" s="19">
        <v>4622</v>
      </c>
      <c r="J1501" s="19" t="s">
        <v>4554</v>
      </c>
    </row>
    <row r="1502" spans="1:10" x14ac:dyDescent="0.2">
      <c r="A1502" s="3">
        <v>4585</v>
      </c>
      <c r="B1502" s="3" t="s">
        <v>1627</v>
      </c>
      <c r="C1502" s="3" t="s">
        <v>1627</v>
      </c>
      <c r="D1502" s="3" t="s">
        <v>1606</v>
      </c>
      <c r="E1502" s="3" t="str">
        <v>Airolo</v>
      </c>
      <c r="I1502" s="19">
        <v>4623</v>
      </c>
      <c r="J1502" s="19" t="s">
        <v>4554</v>
      </c>
    </row>
    <row r="1503" spans="1:10" x14ac:dyDescent="0.2">
      <c r="A1503" s="3">
        <v>4571</v>
      </c>
      <c r="B1503" s="3" t="s">
        <v>1628</v>
      </c>
      <c r="C1503" s="3" t="s">
        <v>1629</v>
      </c>
      <c r="D1503" s="3" t="s">
        <v>1606</v>
      </c>
      <c r="E1503" s="3" t="str">
        <v>Bedretto</v>
      </c>
      <c r="I1503" s="19">
        <v>4624</v>
      </c>
      <c r="J1503" s="19" t="s">
        <v>4554</v>
      </c>
    </row>
    <row r="1504" spans="1:10" x14ac:dyDescent="0.2">
      <c r="A1504" s="3">
        <v>4571</v>
      </c>
      <c r="B1504" s="3" t="s">
        <v>1630</v>
      </c>
      <c r="C1504" s="3" t="s">
        <v>1629</v>
      </c>
      <c r="D1504" s="3" t="s">
        <v>1606</v>
      </c>
      <c r="E1504" s="3" t="str">
        <v>Bodio</v>
      </c>
      <c r="I1504" s="19">
        <v>4625</v>
      </c>
      <c r="J1504" s="19" t="s">
        <v>4554</v>
      </c>
    </row>
    <row r="1505" spans="1:10" x14ac:dyDescent="0.2">
      <c r="A1505" s="3">
        <v>4584</v>
      </c>
      <c r="B1505" s="3" t="s">
        <v>1631</v>
      </c>
      <c r="C1505" s="3" t="s">
        <v>1632</v>
      </c>
      <c r="D1505" s="3" t="s">
        <v>1606</v>
      </c>
      <c r="E1505" s="3" t="str">
        <v>Dalpe</v>
      </c>
      <c r="I1505" s="19">
        <v>4626</v>
      </c>
      <c r="J1505" s="19" t="s">
        <v>4554</v>
      </c>
    </row>
    <row r="1506" spans="1:10" x14ac:dyDescent="0.2">
      <c r="A1506" s="3">
        <v>4584</v>
      </c>
      <c r="B1506" s="3" t="s">
        <v>1633</v>
      </c>
      <c r="C1506" s="3" t="s">
        <v>1632</v>
      </c>
      <c r="D1506" s="3" t="s">
        <v>1606</v>
      </c>
      <c r="E1506" s="3" t="str">
        <v>Faido</v>
      </c>
      <c r="I1506" s="19">
        <v>4628</v>
      </c>
      <c r="J1506" s="19" t="s">
        <v>4554</v>
      </c>
    </row>
    <row r="1507" spans="1:10" x14ac:dyDescent="0.2">
      <c r="A1507" s="3">
        <v>3254</v>
      </c>
      <c r="B1507" s="3" t="s">
        <v>1634</v>
      </c>
      <c r="C1507" s="3" t="s">
        <v>1634</v>
      </c>
      <c r="D1507" s="3" t="s">
        <v>1606</v>
      </c>
      <c r="E1507" s="3" t="str">
        <v>Giornico</v>
      </c>
      <c r="I1507" s="19">
        <v>4629</v>
      </c>
      <c r="J1507" s="19" t="s">
        <v>4554</v>
      </c>
    </row>
    <row r="1508" spans="1:10" x14ac:dyDescent="0.2">
      <c r="A1508" s="3">
        <v>3254</v>
      </c>
      <c r="B1508" s="3" t="s">
        <v>1635</v>
      </c>
      <c r="C1508" s="3" t="s">
        <v>1634</v>
      </c>
      <c r="D1508" s="3" t="s">
        <v>1606</v>
      </c>
      <c r="E1508" s="3" t="str">
        <v>Personico</v>
      </c>
      <c r="I1508" s="19">
        <v>4632</v>
      </c>
      <c r="J1508" s="19" t="s">
        <v>4558</v>
      </c>
    </row>
    <row r="1509" spans="1:10" x14ac:dyDescent="0.2">
      <c r="A1509" s="3">
        <v>3307</v>
      </c>
      <c r="B1509" s="3" t="s">
        <v>1636</v>
      </c>
      <c r="C1509" s="3" t="s">
        <v>1634</v>
      </c>
      <c r="D1509" s="3" t="s">
        <v>1606</v>
      </c>
      <c r="E1509" s="3" t="str">
        <v>Pollegio</v>
      </c>
      <c r="I1509" s="19">
        <v>4633</v>
      </c>
      <c r="J1509" s="19" t="s">
        <v>4558</v>
      </c>
    </row>
    <row r="1510" spans="1:10" x14ac:dyDescent="0.2">
      <c r="A1510" s="3">
        <v>4588</v>
      </c>
      <c r="B1510" s="3" t="s">
        <v>1637</v>
      </c>
      <c r="C1510" s="3" t="s">
        <v>1634</v>
      </c>
      <c r="D1510" s="3" t="s">
        <v>1606</v>
      </c>
      <c r="E1510" s="3" t="str">
        <v>Prato (Leventina)</v>
      </c>
      <c r="I1510" s="19">
        <v>4634</v>
      </c>
      <c r="J1510" s="19" t="s">
        <v>4551</v>
      </c>
    </row>
    <row r="1511" spans="1:10" x14ac:dyDescent="0.2">
      <c r="A1511" s="3">
        <v>3253</v>
      </c>
      <c r="B1511" s="3" t="s">
        <v>1638</v>
      </c>
      <c r="C1511" s="3" t="s">
        <v>1638</v>
      </c>
      <c r="D1511" s="3" t="s">
        <v>1606</v>
      </c>
      <c r="E1511" s="3" t="str">
        <v>Quinto</v>
      </c>
      <c r="I1511" s="19">
        <v>4652</v>
      </c>
      <c r="J1511" s="19" t="s">
        <v>4558</v>
      </c>
    </row>
    <row r="1512" spans="1:10" x14ac:dyDescent="0.2">
      <c r="A1512" s="3">
        <v>4588</v>
      </c>
      <c r="B1512" s="3" t="s">
        <v>1639</v>
      </c>
      <c r="C1512" s="3" t="s">
        <v>1639</v>
      </c>
      <c r="D1512" s="3" t="s">
        <v>1606</v>
      </c>
      <c r="E1512" s="3" t="str">
        <v>Ascona</v>
      </c>
      <c r="I1512" s="19">
        <v>4653</v>
      </c>
      <c r="J1512" s="19" t="s">
        <v>4558</v>
      </c>
    </row>
    <row r="1513" spans="1:10" x14ac:dyDescent="0.2">
      <c r="A1513" s="3">
        <v>4574</v>
      </c>
      <c r="B1513" s="3" t="s">
        <v>1640</v>
      </c>
      <c r="C1513" s="3" t="s">
        <v>1641</v>
      </c>
      <c r="D1513" s="3" t="s">
        <v>1606</v>
      </c>
      <c r="E1513" s="3" t="str">
        <v>Brione sopra Minusio</v>
      </c>
      <c r="I1513" s="19">
        <v>4654</v>
      </c>
      <c r="J1513" s="19" t="s">
        <v>4558</v>
      </c>
    </row>
    <row r="1514" spans="1:10" x14ac:dyDescent="0.2">
      <c r="A1514" s="3">
        <v>4574</v>
      </c>
      <c r="B1514" s="3" t="s">
        <v>1642</v>
      </c>
      <c r="C1514" s="3" t="s">
        <v>1641</v>
      </c>
      <c r="D1514" s="3" t="s">
        <v>1606</v>
      </c>
      <c r="E1514" s="3" t="str">
        <v>Brissago</v>
      </c>
      <c r="I1514" s="19">
        <v>4655</v>
      </c>
      <c r="J1514" s="19" t="s">
        <v>4558</v>
      </c>
    </row>
    <row r="1515" spans="1:10" x14ac:dyDescent="0.2">
      <c r="A1515" s="3">
        <v>4576</v>
      </c>
      <c r="B1515" s="3" t="s">
        <v>1643</v>
      </c>
      <c r="C1515" s="3" t="s">
        <v>1644</v>
      </c>
      <c r="D1515" s="3" t="s">
        <v>1606</v>
      </c>
      <c r="E1515" s="3" t="str">
        <v>Gordola</v>
      </c>
      <c r="I1515" s="19">
        <v>4656</v>
      </c>
      <c r="J1515" s="19" t="s">
        <v>4558</v>
      </c>
    </row>
    <row r="1516" spans="1:10" x14ac:dyDescent="0.2">
      <c r="A1516" s="3">
        <v>4577</v>
      </c>
      <c r="B1516" s="3" t="s">
        <v>1645</v>
      </c>
      <c r="C1516" s="3" t="s">
        <v>1644</v>
      </c>
      <c r="D1516" s="3" t="s">
        <v>1606</v>
      </c>
      <c r="E1516" s="3" t="str">
        <v>Lavertezzo</v>
      </c>
      <c r="I1516" s="19">
        <v>4657</v>
      </c>
      <c r="J1516" s="19" t="s">
        <v>4558</v>
      </c>
    </row>
    <row r="1517" spans="1:10" x14ac:dyDescent="0.2">
      <c r="A1517" s="3">
        <v>4578</v>
      </c>
      <c r="B1517" s="3" t="s">
        <v>1646</v>
      </c>
      <c r="C1517" s="3" t="s">
        <v>1644</v>
      </c>
      <c r="D1517" s="3" t="s">
        <v>1606</v>
      </c>
      <c r="E1517" s="3" t="str">
        <v>Locarno</v>
      </c>
      <c r="I1517" s="19">
        <v>4658</v>
      </c>
      <c r="J1517" s="19" t="s">
        <v>4558</v>
      </c>
    </row>
    <row r="1518" spans="1:10" x14ac:dyDescent="0.2">
      <c r="A1518" s="3">
        <v>4579</v>
      </c>
      <c r="B1518" s="3" t="s">
        <v>1647</v>
      </c>
      <c r="C1518" s="3" t="s">
        <v>1644</v>
      </c>
      <c r="D1518" s="3" t="s">
        <v>1606</v>
      </c>
      <c r="E1518" s="3" t="str">
        <v>Losone</v>
      </c>
      <c r="I1518" s="19">
        <v>4663</v>
      </c>
      <c r="J1518" s="19" t="s">
        <v>4554</v>
      </c>
    </row>
    <row r="1519" spans="1:10" x14ac:dyDescent="0.2">
      <c r="A1519" s="3">
        <v>4581</v>
      </c>
      <c r="B1519" s="3" t="s">
        <v>1648</v>
      </c>
      <c r="C1519" s="3" t="s">
        <v>1644</v>
      </c>
      <c r="D1519" s="3" t="s">
        <v>1606</v>
      </c>
      <c r="E1519" s="3" t="str">
        <v>Mergoscia</v>
      </c>
      <c r="I1519" s="19">
        <v>4665</v>
      </c>
      <c r="J1519" s="19" t="s">
        <v>4558</v>
      </c>
    </row>
    <row r="1520" spans="1:10" x14ac:dyDescent="0.2">
      <c r="A1520" s="3">
        <v>4582</v>
      </c>
      <c r="B1520" s="3" t="s">
        <v>1649</v>
      </c>
      <c r="C1520" s="3" t="s">
        <v>1644</v>
      </c>
      <c r="D1520" s="3" t="s">
        <v>1606</v>
      </c>
      <c r="E1520" s="3" t="str">
        <v>Minusio</v>
      </c>
      <c r="I1520" s="19">
        <v>4702</v>
      </c>
      <c r="J1520" s="19" t="s">
        <v>4554</v>
      </c>
    </row>
    <row r="1521" spans="1:10" x14ac:dyDescent="0.2">
      <c r="A1521" s="3">
        <v>4583</v>
      </c>
      <c r="B1521" s="3" t="s">
        <v>1650</v>
      </c>
      <c r="C1521" s="3" t="s">
        <v>1644</v>
      </c>
      <c r="D1521" s="3" t="s">
        <v>1606</v>
      </c>
      <c r="E1521" s="3" t="str">
        <v>Muralto</v>
      </c>
      <c r="I1521" s="19">
        <v>4703</v>
      </c>
      <c r="J1521" s="19" t="s">
        <v>4554</v>
      </c>
    </row>
    <row r="1522" spans="1:10" x14ac:dyDescent="0.2">
      <c r="A1522" s="3">
        <v>4583</v>
      </c>
      <c r="B1522" s="3" t="s">
        <v>1651</v>
      </c>
      <c r="C1522" s="3" t="s">
        <v>1644</v>
      </c>
      <c r="D1522" s="3" t="s">
        <v>1606</v>
      </c>
      <c r="E1522" s="3" t="str">
        <v>Orselina</v>
      </c>
      <c r="I1522" s="19">
        <v>4704</v>
      </c>
      <c r="J1522" s="19" t="s">
        <v>4554</v>
      </c>
    </row>
    <row r="1523" spans="1:10" x14ac:dyDescent="0.2">
      <c r="A1523" s="3">
        <v>4586</v>
      </c>
      <c r="B1523" s="3" t="s">
        <v>1652</v>
      </c>
      <c r="C1523" s="3" t="s">
        <v>1644</v>
      </c>
      <c r="D1523" s="3" t="s">
        <v>1606</v>
      </c>
      <c r="E1523" s="3" t="str">
        <v>Ronco sopra Ascona</v>
      </c>
      <c r="I1523" s="19">
        <v>4710</v>
      </c>
      <c r="J1523" s="19" t="s">
        <v>4551</v>
      </c>
    </row>
    <row r="1524" spans="1:10" x14ac:dyDescent="0.2">
      <c r="A1524" s="3">
        <v>4587</v>
      </c>
      <c r="B1524" s="3" t="s">
        <v>1653</v>
      </c>
      <c r="C1524" s="3" t="s">
        <v>1644</v>
      </c>
      <c r="D1524" s="3" t="s">
        <v>1606</v>
      </c>
      <c r="E1524" s="3" t="str">
        <v>Tenero-Contra</v>
      </c>
      <c r="I1524" s="19">
        <v>4712</v>
      </c>
      <c r="J1524" s="19" t="s">
        <v>4551</v>
      </c>
    </row>
    <row r="1525" spans="1:10" x14ac:dyDescent="0.2">
      <c r="A1525" s="3">
        <v>4588</v>
      </c>
      <c r="B1525" s="3" t="s">
        <v>1654</v>
      </c>
      <c r="C1525" s="3" t="s">
        <v>1644</v>
      </c>
      <c r="D1525" s="3" t="s">
        <v>1606</v>
      </c>
      <c r="E1525" s="3" t="str">
        <v>Onsernone</v>
      </c>
      <c r="I1525" s="19">
        <v>4713</v>
      </c>
      <c r="J1525" s="19" t="s">
        <v>4551</v>
      </c>
    </row>
    <row r="1526" spans="1:10" x14ac:dyDescent="0.2">
      <c r="A1526" s="3">
        <v>4112</v>
      </c>
      <c r="B1526" s="3" t="s">
        <v>1655</v>
      </c>
      <c r="C1526" s="3" t="s">
        <v>1655</v>
      </c>
      <c r="D1526" s="3" t="s">
        <v>1606</v>
      </c>
      <c r="E1526" s="3" t="str">
        <v>Cugnasco-Gerra</v>
      </c>
      <c r="I1526" s="19">
        <v>4714</v>
      </c>
      <c r="J1526" s="19" t="s">
        <v>4551</v>
      </c>
    </row>
    <row r="1527" spans="1:10" x14ac:dyDescent="0.2">
      <c r="A1527" s="3">
        <v>4413</v>
      </c>
      <c r="B1527" s="3" t="s">
        <v>1656</v>
      </c>
      <c r="C1527" s="3" t="s">
        <v>1657</v>
      </c>
      <c r="D1527" s="3" t="s">
        <v>1606</v>
      </c>
      <c r="E1527" s="3" t="str">
        <v>Agno</v>
      </c>
      <c r="I1527" s="19">
        <v>4715</v>
      </c>
      <c r="J1527" s="19" t="s">
        <v>4551</v>
      </c>
    </row>
    <row r="1528" spans="1:10" x14ac:dyDescent="0.2">
      <c r="A1528" s="3">
        <v>4143</v>
      </c>
      <c r="B1528" s="3" t="s">
        <v>1658</v>
      </c>
      <c r="C1528" s="3" t="s">
        <v>1658</v>
      </c>
      <c r="D1528" s="3" t="s">
        <v>1606</v>
      </c>
      <c r="E1528" s="3" t="str">
        <v>Aranno</v>
      </c>
      <c r="I1528" s="19">
        <v>4716</v>
      </c>
      <c r="J1528" s="19" t="s">
        <v>4551</v>
      </c>
    </row>
    <row r="1529" spans="1:10" x14ac:dyDescent="0.2">
      <c r="A1529" s="3">
        <v>4145</v>
      </c>
      <c r="B1529" s="3" t="s">
        <v>1659</v>
      </c>
      <c r="C1529" s="3" t="s">
        <v>1659</v>
      </c>
      <c r="D1529" s="3" t="s">
        <v>1606</v>
      </c>
      <c r="E1529" s="3" t="str">
        <v>Arogno</v>
      </c>
      <c r="I1529" s="19">
        <v>4717</v>
      </c>
      <c r="J1529" s="19" t="s">
        <v>4551</v>
      </c>
    </row>
    <row r="1530" spans="1:10" x14ac:dyDescent="0.2">
      <c r="A1530" s="3">
        <v>4146</v>
      </c>
      <c r="B1530" s="3" t="s">
        <v>1660</v>
      </c>
      <c r="C1530" s="3" t="s">
        <v>1660</v>
      </c>
      <c r="D1530" s="3" t="s">
        <v>1606</v>
      </c>
      <c r="E1530" s="3" t="str">
        <v>Astano</v>
      </c>
      <c r="I1530" s="19">
        <v>4718</v>
      </c>
      <c r="J1530" s="19" t="s">
        <v>4551</v>
      </c>
    </row>
    <row r="1531" spans="1:10" x14ac:dyDescent="0.2">
      <c r="A1531" s="3">
        <v>4112</v>
      </c>
      <c r="B1531" s="3" t="s">
        <v>1661</v>
      </c>
      <c r="C1531" s="3" t="s">
        <v>1662</v>
      </c>
      <c r="D1531" s="3" t="s">
        <v>1606</v>
      </c>
      <c r="E1531" s="3" t="str">
        <v>Bedano</v>
      </c>
      <c r="I1531" s="19">
        <v>4719</v>
      </c>
      <c r="J1531" s="19" t="s">
        <v>4551</v>
      </c>
    </row>
    <row r="1532" spans="1:10" x14ac:dyDescent="0.2">
      <c r="A1532" s="3">
        <v>4114</v>
      </c>
      <c r="B1532" s="3" t="s">
        <v>1663</v>
      </c>
      <c r="C1532" s="3" t="s">
        <v>1662</v>
      </c>
      <c r="D1532" s="3" t="s">
        <v>1606</v>
      </c>
      <c r="E1532" s="3" t="str">
        <v>Bedigliora</v>
      </c>
      <c r="I1532" s="19">
        <v>4800</v>
      </c>
      <c r="J1532" s="19" t="s">
        <v>4558</v>
      </c>
    </row>
    <row r="1533" spans="1:10" x14ac:dyDescent="0.2">
      <c r="A1533" s="3">
        <v>4115</v>
      </c>
      <c r="B1533" s="3" t="s">
        <v>1664</v>
      </c>
      <c r="C1533" s="3" t="s">
        <v>1665</v>
      </c>
      <c r="D1533" s="3" t="s">
        <v>1606</v>
      </c>
      <c r="E1533" s="3" t="str">
        <v>Bioggio</v>
      </c>
      <c r="I1533" s="19">
        <v>4802</v>
      </c>
      <c r="J1533" s="19" t="s">
        <v>4554</v>
      </c>
    </row>
    <row r="1534" spans="1:10" x14ac:dyDescent="0.2">
      <c r="A1534" s="3">
        <v>4116</v>
      </c>
      <c r="B1534" s="3" t="s">
        <v>1666</v>
      </c>
      <c r="C1534" s="3" t="s">
        <v>1665</v>
      </c>
      <c r="D1534" s="3" t="s">
        <v>1606</v>
      </c>
      <c r="E1534" s="3" t="str">
        <v>Bissone</v>
      </c>
      <c r="I1534" s="19">
        <v>4803</v>
      </c>
      <c r="J1534" s="19" t="s">
        <v>4554</v>
      </c>
    </row>
    <row r="1535" spans="1:10" x14ac:dyDescent="0.2">
      <c r="A1535" s="3">
        <v>4412</v>
      </c>
      <c r="B1535" s="3" t="s">
        <v>1667</v>
      </c>
      <c r="C1535" s="3" t="s">
        <v>1668</v>
      </c>
      <c r="D1535" s="3" t="s">
        <v>1606</v>
      </c>
      <c r="E1535" s="3" t="str">
        <v>Brusino Arsizio</v>
      </c>
      <c r="I1535" s="19">
        <v>4805</v>
      </c>
      <c r="J1535" s="19" t="s">
        <v>4554</v>
      </c>
    </row>
    <row r="1536" spans="1:10" x14ac:dyDescent="0.2">
      <c r="A1536" s="3">
        <v>4421</v>
      </c>
      <c r="B1536" s="3" t="s">
        <v>1669</v>
      </c>
      <c r="C1536" s="3" t="s">
        <v>1668</v>
      </c>
      <c r="D1536" s="3" t="s">
        <v>1606</v>
      </c>
      <c r="E1536" s="3" t="str">
        <v>Cademario</v>
      </c>
      <c r="I1536" s="19">
        <v>4806</v>
      </c>
      <c r="J1536" s="19" t="s">
        <v>4558</v>
      </c>
    </row>
    <row r="1537" spans="1:10" x14ac:dyDescent="0.2">
      <c r="A1537" s="3">
        <v>4118</v>
      </c>
      <c r="B1537" s="3" t="s">
        <v>1670</v>
      </c>
      <c r="C1537" s="3" t="s">
        <v>1670</v>
      </c>
      <c r="D1537" s="3" t="s">
        <v>1606</v>
      </c>
      <c r="E1537" s="3" t="str">
        <v>Cadempino</v>
      </c>
      <c r="I1537" s="19">
        <v>4812</v>
      </c>
      <c r="J1537" s="19" t="s">
        <v>4558</v>
      </c>
    </row>
    <row r="1538" spans="1:10" x14ac:dyDescent="0.2">
      <c r="A1538" s="3">
        <v>4206</v>
      </c>
      <c r="B1538" s="3" t="s">
        <v>1671</v>
      </c>
      <c r="C1538" s="3" t="s">
        <v>1672</v>
      </c>
      <c r="D1538" s="3" t="s">
        <v>1606</v>
      </c>
      <c r="E1538" s="3" t="str">
        <v>Canobbio</v>
      </c>
      <c r="I1538" s="19">
        <v>4813</v>
      </c>
      <c r="J1538" s="19" t="s">
        <v>4558</v>
      </c>
    </row>
    <row r="1539" spans="1:10" x14ac:dyDescent="0.2">
      <c r="A1539" s="3">
        <v>4108</v>
      </c>
      <c r="B1539" s="3" t="s">
        <v>1673</v>
      </c>
      <c r="C1539" s="3" t="s">
        <v>1673</v>
      </c>
      <c r="D1539" s="3" t="s">
        <v>1606</v>
      </c>
      <c r="E1539" s="3" t="str">
        <v>Caslano</v>
      </c>
      <c r="I1539" s="19">
        <v>4814</v>
      </c>
      <c r="J1539" s="19" t="s">
        <v>4558</v>
      </c>
    </row>
    <row r="1540" spans="1:10" x14ac:dyDescent="0.2">
      <c r="A1540" s="3">
        <v>4633</v>
      </c>
      <c r="B1540" s="3" t="s">
        <v>1674</v>
      </c>
      <c r="C1540" s="3" t="s">
        <v>1675</v>
      </c>
      <c r="D1540" s="3" t="s">
        <v>1606</v>
      </c>
      <c r="E1540" s="3" t="str">
        <v>Comano</v>
      </c>
      <c r="I1540" s="19">
        <v>4852</v>
      </c>
      <c r="J1540" s="19" t="s">
        <v>4554</v>
      </c>
    </row>
    <row r="1541" spans="1:10" x14ac:dyDescent="0.2">
      <c r="A1541" s="3">
        <v>4468</v>
      </c>
      <c r="B1541" s="3" t="s">
        <v>1676</v>
      </c>
      <c r="C1541" s="3" t="s">
        <v>1676</v>
      </c>
      <c r="D1541" s="3" t="s">
        <v>1606</v>
      </c>
      <c r="E1541" s="3" t="str">
        <v>Cureglia</v>
      </c>
      <c r="I1541" s="19">
        <v>4853</v>
      </c>
      <c r="J1541" s="19" t="s">
        <v>4554</v>
      </c>
    </row>
    <row r="1542" spans="1:10" x14ac:dyDescent="0.2">
      <c r="A1542" s="3">
        <v>4654</v>
      </c>
      <c r="B1542" s="3" t="s">
        <v>1677</v>
      </c>
      <c r="C1542" s="3" t="s">
        <v>1677</v>
      </c>
      <c r="D1542" s="3" t="s">
        <v>1606</v>
      </c>
      <c r="E1542" s="3" t="str">
        <v>Curio</v>
      </c>
      <c r="I1542" s="19">
        <v>4856</v>
      </c>
      <c r="J1542" s="19" t="s">
        <v>4554</v>
      </c>
    </row>
    <row r="1543" spans="1:10" x14ac:dyDescent="0.2">
      <c r="A1543" s="3">
        <v>5013</v>
      </c>
      <c r="B1543" s="3" t="s">
        <v>1678</v>
      </c>
      <c r="C1543" s="3" t="s">
        <v>1678</v>
      </c>
      <c r="D1543" s="3" t="s">
        <v>1606</v>
      </c>
      <c r="E1543" s="3" t="str">
        <v>Grancia</v>
      </c>
      <c r="I1543" s="19">
        <v>4900</v>
      </c>
      <c r="J1543" s="19" t="s">
        <v>4554</v>
      </c>
    </row>
    <row r="1544" spans="1:10" x14ac:dyDescent="0.2">
      <c r="A1544" s="3">
        <v>4653</v>
      </c>
      <c r="B1544" s="3" t="s">
        <v>1679</v>
      </c>
      <c r="C1544" s="3" t="s">
        <v>1679</v>
      </c>
      <c r="D1544" s="3" t="s">
        <v>1606</v>
      </c>
      <c r="E1544" s="3" t="str">
        <v>Gravesano</v>
      </c>
      <c r="I1544" s="19">
        <v>4911</v>
      </c>
      <c r="J1544" s="19" t="s">
        <v>4554</v>
      </c>
    </row>
    <row r="1545" spans="1:10" x14ac:dyDescent="0.2">
      <c r="A1545" s="3">
        <v>4655</v>
      </c>
      <c r="B1545" s="3" t="s">
        <v>1680</v>
      </c>
      <c r="C1545" s="3" t="s">
        <v>1680</v>
      </c>
      <c r="D1545" s="3" t="s">
        <v>1606</v>
      </c>
      <c r="E1545" s="3" t="str">
        <v>Lamone</v>
      </c>
      <c r="I1545" s="19">
        <v>4912</v>
      </c>
      <c r="J1545" s="19" t="s">
        <v>4554</v>
      </c>
    </row>
    <row r="1546" spans="1:10" x14ac:dyDescent="0.2">
      <c r="A1546" s="3">
        <v>4655</v>
      </c>
      <c r="B1546" s="3" t="s">
        <v>1681</v>
      </c>
      <c r="C1546" s="3" t="s">
        <v>1680</v>
      </c>
      <c r="D1546" s="3" t="s">
        <v>1606</v>
      </c>
      <c r="E1546" s="3" t="str">
        <v>Lugano</v>
      </c>
      <c r="I1546" s="19">
        <v>4913</v>
      </c>
      <c r="J1546" s="19" t="s">
        <v>4554</v>
      </c>
    </row>
    <row r="1547" spans="1:10" x14ac:dyDescent="0.2">
      <c r="A1547" s="3">
        <v>4632</v>
      </c>
      <c r="B1547" s="3" t="s">
        <v>1682</v>
      </c>
      <c r="C1547" s="3" t="s">
        <v>1682</v>
      </c>
      <c r="D1547" s="3" t="s">
        <v>1606</v>
      </c>
      <c r="E1547" s="3" t="str">
        <v>Magliaso</v>
      </c>
      <c r="I1547" s="19">
        <v>4914</v>
      </c>
      <c r="J1547" s="19" t="s">
        <v>4554</v>
      </c>
    </row>
    <row r="1548" spans="1:10" x14ac:dyDescent="0.2">
      <c r="A1548" s="3">
        <v>4652</v>
      </c>
      <c r="B1548" s="3" t="s">
        <v>1683</v>
      </c>
      <c r="C1548" s="3" t="s">
        <v>1683</v>
      </c>
      <c r="D1548" s="3" t="s">
        <v>1606</v>
      </c>
      <c r="E1548" s="3" t="str">
        <v>Manno</v>
      </c>
      <c r="I1548" s="19">
        <v>4915</v>
      </c>
      <c r="J1548" s="19" t="s">
        <v>4554</v>
      </c>
    </row>
    <row r="1549" spans="1:10" x14ac:dyDescent="0.2">
      <c r="A1549" s="3">
        <v>4634</v>
      </c>
      <c r="B1549" s="3" t="s">
        <v>1684</v>
      </c>
      <c r="C1549" s="3" t="s">
        <v>1685</v>
      </c>
      <c r="D1549" s="3" t="s">
        <v>1606</v>
      </c>
      <c r="E1549" s="3" t="str">
        <v>Massagno</v>
      </c>
      <c r="I1549" s="19">
        <v>4916</v>
      </c>
      <c r="J1549" s="19" t="s">
        <v>4554</v>
      </c>
    </row>
    <row r="1550" spans="1:10" x14ac:dyDescent="0.2">
      <c r="A1550" s="3">
        <v>5015</v>
      </c>
      <c r="B1550" s="3" t="s">
        <v>1686</v>
      </c>
      <c r="C1550" s="3" t="s">
        <v>1687</v>
      </c>
      <c r="D1550" s="3" t="s">
        <v>1606</v>
      </c>
      <c r="E1550" s="3" t="str">
        <v>Melide</v>
      </c>
      <c r="I1550" s="19">
        <v>4917</v>
      </c>
      <c r="J1550" s="19" t="s">
        <v>4554</v>
      </c>
    </row>
    <row r="1551" spans="1:10" x14ac:dyDescent="0.2">
      <c r="A1551" s="3">
        <v>4556</v>
      </c>
      <c r="B1551" s="3" t="s">
        <v>1688</v>
      </c>
      <c r="C1551" s="3" t="s">
        <v>1689</v>
      </c>
      <c r="D1551" s="3" t="s">
        <v>1606</v>
      </c>
      <c r="E1551" s="3" t="str">
        <v>Mezzovico-Vira</v>
      </c>
      <c r="I1551" s="19">
        <v>4919</v>
      </c>
      <c r="J1551" s="19" t="s">
        <v>4554</v>
      </c>
    </row>
    <row r="1552" spans="1:10" x14ac:dyDescent="0.2">
      <c r="A1552" s="3">
        <v>4556</v>
      </c>
      <c r="B1552" s="3" t="s">
        <v>1690</v>
      </c>
      <c r="C1552" s="3" t="s">
        <v>1689</v>
      </c>
      <c r="D1552" s="3" t="s">
        <v>1606</v>
      </c>
      <c r="E1552" s="3" t="str">
        <v>Miglieglia</v>
      </c>
      <c r="I1552" s="19">
        <v>4922</v>
      </c>
      <c r="J1552" s="19" t="s">
        <v>4554</v>
      </c>
    </row>
    <row r="1553" spans="1:10" x14ac:dyDescent="0.2">
      <c r="A1553" s="3">
        <v>4556</v>
      </c>
      <c r="B1553" s="3" t="s">
        <v>1691</v>
      </c>
      <c r="C1553" s="3" t="s">
        <v>1689</v>
      </c>
      <c r="D1553" s="3" t="s">
        <v>1606</v>
      </c>
      <c r="E1553" s="3" t="str">
        <v>Morcote</v>
      </c>
      <c r="I1553" s="19">
        <v>4923</v>
      </c>
      <c r="J1553" s="19" t="s">
        <v>4554</v>
      </c>
    </row>
    <row r="1554" spans="1:10" x14ac:dyDescent="0.2">
      <c r="A1554" s="3">
        <v>4562</v>
      </c>
      <c r="B1554" s="3" t="s">
        <v>1692</v>
      </c>
      <c r="C1554" s="3" t="s">
        <v>1692</v>
      </c>
      <c r="D1554" s="3" t="s">
        <v>1606</v>
      </c>
      <c r="E1554" s="3" t="str">
        <v>Muzzano</v>
      </c>
      <c r="I1554" s="19">
        <v>4924</v>
      </c>
      <c r="J1554" s="19" t="s">
        <v>4554</v>
      </c>
    </row>
    <row r="1555" spans="1:10" x14ac:dyDescent="0.2">
      <c r="A1555" s="3">
        <v>4556</v>
      </c>
      <c r="B1555" s="3" t="s">
        <v>1693</v>
      </c>
      <c r="C1555" s="3" t="s">
        <v>1693</v>
      </c>
      <c r="D1555" s="3" t="s">
        <v>1606</v>
      </c>
      <c r="E1555" s="3" t="str">
        <v>Neggio</v>
      </c>
      <c r="I1555" s="19">
        <v>4932</v>
      </c>
      <c r="J1555" s="19" t="s">
        <v>4554</v>
      </c>
    </row>
    <row r="1556" spans="1:10" x14ac:dyDescent="0.2">
      <c r="A1556" s="3">
        <v>4543</v>
      </c>
      <c r="B1556" s="3" t="s">
        <v>1694</v>
      </c>
      <c r="C1556" s="3" t="s">
        <v>1694</v>
      </c>
      <c r="D1556" s="3" t="s">
        <v>1606</v>
      </c>
      <c r="E1556" s="3" t="str">
        <v>Novaggio</v>
      </c>
      <c r="I1556" s="19">
        <v>4933</v>
      </c>
      <c r="J1556" s="19" t="s">
        <v>4554</v>
      </c>
    </row>
    <row r="1557" spans="1:10" x14ac:dyDescent="0.2">
      <c r="A1557" s="3">
        <v>4552</v>
      </c>
      <c r="B1557" s="3" t="s">
        <v>1695</v>
      </c>
      <c r="C1557" s="3" t="s">
        <v>1695</v>
      </c>
      <c r="D1557" s="3" t="s">
        <v>1606</v>
      </c>
      <c r="E1557" s="3" t="str">
        <v>Origlio</v>
      </c>
      <c r="I1557" s="19">
        <v>4934</v>
      </c>
      <c r="J1557" s="19" t="s">
        <v>4554</v>
      </c>
    </row>
    <row r="1558" spans="1:10" x14ac:dyDescent="0.2">
      <c r="A1558" s="3">
        <v>4554</v>
      </c>
      <c r="B1558" s="3" t="s">
        <v>1696</v>
      </c>
      <c r="C1558" s="3" t="s">
        <v>1696</v>
      </c>
      <c r="D1558" s="3" t="s">
        <v>1606</v>
      </c>
      <c r="E1558" s="3" t="str">
        <v>Paradiso</v>
      </c>
      <c r="I1558" s="19">
        <v>4935</v>
      </c>
      <c r="J1558" s="19" t="s">
        <v>4554</v>
      </c>
    </row>
    <row r="1559" spans="1:10" x14ac:dyDescent="0.2">
      <c r="A1559" s="3">
        <v>4563</v>
      </c>
      <c r="B1559" s="3" t="s">
        <v>1697</v>
      </c>
      <c r="C1559" s="3" t="s">
        <v>1697</v>
      </c>
      <c r="D1559" s="3" t="s">
        <v>1606</v>
      </c>
      <c r="E1559" s="3" t="str">
        <v>Ponte Capriasca</v>
      </c>
      <c r="I1559" s="19">
        <v>4936</v>
      </c>
      <c r="J1559" s="19" t="s">
        <v>4554</v>
      </c>
    </row>
    <row r="1560" spans="1:10" x14ac:dyDescent="0.2">
      <c r="A1560" s="3">
        <v>4566</v>
      </c>
      <c r="B1560" s="3" t="s">
        <v>1698</v>
      </c>
      <c r="C1560" s="3" t="s">
        <v>1698</v>
      </c>
      <c r="D1560" s="3" t="s">
        <v>1606</v>
      </c>
      <c r="E1560" s="3" t="str">
        <v>Porza</v>
      </c>
      <c r="I1560" s="19">
        <v>4937</v>
      </c>
      <c r="J1560" s="19" t="s">
        <v>4554</v>
      </c>
    </row>
    <row r="1561" spans="1:10" x14ac:dyDescent="0.2">
      <c r="A1561" s="3">
        <v>4557</v>
      </c>
      <c r="B1561" s="3" t="s">
        <v>1699</v>
      </c>
      <c r="C1561" s="3" t="s">
        <v>1699</v>
      </c>
      <c r="D1561" s="3" t="s">
        <v>1606</v>
      </c>
      <c r="E1561" s="3" t="str">
        <v>Pura</v>
      </c>
      <c r="I1561" s="19">
        <v>4938</v>
      </c>
      <c r="J1561" s="19" t="s">
        <v>4554</v>
      </c>
    </row>
    <row r="1562" spans="1:10" x14ac:dyDescent="0.2">
      <c r="A1562" s="3">
        <v>4554</v>
      </c>
      <c r="B1562" s="3" t="s">
        <v>1700</v>
      </c>
      <c r="C1562" s="3" t="s">
        <v>1700</v>
      </c>
      <c r="D1562" s="3" t="s">
        <v>1606</v>
      </c>
      <c r="E1562" s="3" t="str">
        <v>Savosa</v>
      </c>
      <c r="I1562" s="19">
        <v>4942</v>
      </c>
      <c r="J1562" s="19" t="s">
        <v>4554</v>
      </c>
    </row>
    <row r="1563" spans="1:10" x14ac:dyDescent="0.2">
      <c r="A1563" s="3">
        <v>4566</v>
      </c>
      <c r="B1563" s="3" t="s">
        <v>1701</v>
      </c>
      <c r="C1563" s="3" t="s">
        <v>1701</v>
      </c>
      <c r="D1563" s="3" t="s">
        <v>1606</v>
      </c>
      <c r="E1563" s="3" t="str">
        <v>Sorengo</v>
      </c>
      <c r="I1563" s="19">
        <v>4943</v>
      </c>
      <c r="J1563" s="19" t="s">
        <v>4554</v>
      </c>
    </row>
    <row r="1564" spans="1:10" x14ac:dyDescent="0.2">
      <c r="A1564" s="3">
        <v>4573</v>
      </c>
      <c r="B1564" s="3" t="s">
        <v>1702</v>
      </c>
      <c r="C1564" s="3" t="s">
        <v>1702</v>
      </c>
      <c r="D1564" s="3" t="s">
        <v>1606</v>
      </c>
      <c r="E1564" s="3" t="str">
        <v>Capriasca</v>
      </c>
      <c r="I1564" s="19">
        <v>4944</v>
      </c>
      <c r="J1564" s="19" t="s">
        <v>4554</v>
      </c>
    </row>
    <row r="1565" spans="1:10" x14ac:dyDescent="0.2">
      <c r="A1565" s="3">
        <v>4542</v>
      </c>
      <c r="B1565" s="3" t="s">
        <v>1703</v>
      </c>
      <c r="C1565" s="3" t="s">
        <v>1703</v>
      </c>
      <c r="D1565" s="3" t="s">
        <v>1606</v>
      </c>
      <c r="E1565" s="3" t="str">
        <v>Torricella-Taverne</v>
      </c>
      <c r="I1565" s="19">
        <v>4950</v>
      </c>
      <c r="J1565" s="19" t="s">
        <v>4554</v>
      </c>
    </row>
    <row r="1566" spans="1:10" x14ac:dyDescent="0.2">
      <c r="A1566" s="3">
        <v>4564</v>
      </c>
      <c r="B1566" s="3" t="s">
        <v>1704</v>
      </c>
      <c r="C1566" s="3" t="s">
        <v>1704</v>
      </c>
      <c r="D1566" s="3" t="s">
        <v>1606</v>
      </c>
      <c r="E1566" s="3" t="str">
        <v>Vernate</v>
      </c>
      <c r="I1566" s="19">
        <v>4952</v>
      </c>
      <c r="J1566" s="19" t="s">
        <v>4554</v>
      </c>
    </row>
    <row r="1567" spans="1:10" x14ac:dyDescent="0.2">
      <c r="A1567" s="3">
        <v>4566</v>
      </c>
      <c r="B1567" s="3" t="s">
        <v>1705</v>
      </c>
      <c r="C1567" s="3" t="s">
        <v>1705</v>
      </c>
      <c r="D1567" s="3" t="s">
        <v>1606</v>
      </c>
      <c r="E1567" s="3" t="str">
        <v>Vezia</v>
      </c>
      <c r="I1567" s="19">
        <v>4953</v>
      </c>
      <c r="J1567" s="19" t="s">
        <v>4554</v>
      </c>
    </row>
    <row r="1568" spans="1:10" x14ac:dyDescent="0.2">
      <c r="A1568" s="3">
        <v>4565</v>
      </c>
      <c r="B1568" s="3" t="s">
        <v>1706</v>
      </c>
      <c r="C1568" s="3" t="s">
        <v>1706</v>
      </c>
      <c r="D1568" s="3" t="s">
        <v>1606</v>
      </c>
      <c r="E1568" s="3" t="str">
        <v>Vico Morcote</v>
      </c>
      <c r="I1568" s="19">
        <v>4954</v>
      </c>
      <c r="J1568" s="19" t="s">
        <v>4554</v>
      </c>
    </row>
    <row r="1569" spans="1:10" x14ac:dyDescent="0.2">
      <c r="A1569" s="3">
        <v>4553</v>
      </c>
      <c r="B1569" s="3" t="s">
        <v>1707</v>
      </c>
      <c r="C1569" s="3" t="s">
        <v>1707</v>
      </c>
      <c r="D1569" s="3" t="s">
        <v>1606</v>
      </c>
      <c r="E1569" s="3" t="str">
        <v>Collina d'Oro</v>
      </c>
      <c r="I1569" s="19">
        <v>4955</v>
      </c>
      <c r="J1569" s="19" t="s">
        <v>4554</v>
      </c>
    </row>
    <row r="1570" spans="1:10" x14ac:dyDescent="0.2">
      <c r="A1570" s="3">
        <v>4528</v>
      </c>
      <c r="B1570" s="3" t="s">
        <v>1708</v>
      </c>
      <c r="C1570" s="3" t="s">
        <v>1708</v>
      </c>
      <c r="D1570" s="3" t="s">
        <v>1606</v>
      </c>
      <c r="E1570" s="3" t="str">
        <v>Alto Malcantone</v>
      </c>
      <c r="I1570" s="19">
        <v>5000</v>
      </c>
      <c r="J1570" s="19" t="s">
        <v>4558</v>
      </c>
    </row>
    <row r="1571" spans="1:10" x14ac:dyDescent="0.2">
      <c r="A1571" s="3">
        <v>4558</v>
      </c>
      <c r="B1571" s="3" t="s">
        <v>1709</v>
      </c>
      <c r="C1571" s="3" t="s">
        <v>1710</v>
      </c>
      <c r="D1571" s="3" t="s">
        <v>1606</v>
      </c>
      <c r="E1571" s="3" t="str">
        <v>Monteceneri</v>
      </c>
      <c r="I1571" s="19">
        <v>5004</v>
      </c>
      <c r="J1571" s="19" t="s">
        <v>4558</v>
      </c>
    </row>
    <row r="1572" spans="1:10" x14ac:dyDescent="0.2">
      <c r="A1572" s="3">
        <v>4558</v>
      </c>
      <c r="B1572" s="3" t="s">
        <v>1711</v>
      </c>
      <c r="C1572" s="3" t="s">
        <v>1710</v>
      </c>
      <c r="D1572" s="3" t="s">
        <v>1606</v>
      </c>
      <c r="E1572" s="3" t="str">
        <v>Tresa</v>
      </c>
      <c r="I1572" s="19">
        <v>5012</v>
      </c>
      <c r="J1572" s="19" t="s">
        <v>4558</v>
      </c>
    </row>
    <row r="1573" spans="1:10" x14ac:dyDescent="0.2">
      <c r="A1573" s="3">
        <v>4558</v>
      </c>
      <c r="B1573" s="3" t="s">
        <v>1712</v>
      </c>
      <c r="C1573" s="3" t="s">
        <v>1710</v>
      </c>
      <c r="D1573" s="3" t="s">
        <v>1606</v>
      </c>
      <c r="E1573" s="3" t="str">
        <v>Val Mara</v>
      </c>
      <c r="I1573" s="19">
        <v>5013</v>
      </c>
      <c r="J1573" s="19" t="s">
        <v>4558</v>
      </c>
    </row>
    <row r="1574" spans="1:10" x14ac:dyDescent="0.2">
      <c r="A1574" s="3">
        <v>4524</v>
      </c>
      <c r="B1574" s="3" t="s">
        <v>1713</v>
      </c>
      <c r="C1574" s="3" t="s">
        <v>1714</v>
      </c>
      <c r="D1574" s="3" t="s">
        <v>1606</v>
      </c>
      <c r="E1574" s="3" t="str">
        <v>Balerna</v>
      </c>
      <c r="I1574" s="19">
        <v>5014</v>
      </c>
      <c r="J1574" s="19" t="s">
        <v>4558</v>
      </c>
    </row>
    <row r="1575" spans="1:10" x14ac:dyDescent="0.2">
      <c r="A1575" s="3">
        <v>4524</v>
      </c>
      <c r="B1575" s="3" t="s">
        <v>1715</v>
      </c>
      <c r="C1575" s="3" t="s">
        <v>1714</v>
      </c>
      <c r="D1575" s="3" t="s">
        <v>1606</v>
      </c>
      <c r="E1575" s="3" t="str">
        <v>Castel San Pietro</v>
      </c>
      <c r="I1575" s="19">
        <v>5015</v>
      </c>
      <c r="J1575" s="19" t="s">
        <v>4558</v>
      </c>
    </row>
    <row r="1576" spans="1:10" x14ac:dyDescent="0.2">
      <c r="A1576" s="3">
        <v>4525</v>
      </c>
      <c r="B1576" s="3" t="s">
        <v>1716</v>
      </c>
      <c r="C1576" s="3" t="s">
        <v>1714</v>
      </c>
      <c r="D1576" s="3" t="s">
        <v>1606</v>
      </c>
      <c r="E1576" s="3" t="str">
        <v>Chiasso</v>
      </c>
      <c r="I1576" s="19">
        <v>5017</v>
      </c>
      <c r="J1576" s="19" t="s">
        <v>4551</v>
      </c>
    </row>
    <row r="1577" spans="1:10" x14ac:dyDescent="0.2">
      <c r="A1577" s="3">
        <v>4512</v>
      </c>
      <c r="B1577" s="3" t="s">
        <v>1717</v>
      </c>
      <c r="C1577" s="3" t="s">
        <v>1717</v>
      </c>
      <c r="D1577" s="3" t="s">
        <v>1606</v>
      </c>
      <c r="E1577" s="3" t="str">
        <v>Coldrerio</v>
      </c>
      <c r="I1577" s="19">
        <v>5018</v>
      </c>
      <c r="J1577" s="19" t="s">
        <v>4558</v>
      </c>
    </row>
    <row r="1578" spans="1:10" x14ac:dyDescent="0.2">
      <c r="A1578" s="3">
        <v>2544</v>
      </c>
      <c r="B1578" s="3" t="s">
        <v>1718</v>
      </c>
      <c r="C1578" s="3" t="s">
        <v>1718</v>
      </c>
      <c r="D1578" s="3" t="s">
        <v>1606</v>
      </c>
      <c r="E1578" s="3" t="str">
        <v>Mendrisio</v>
      </c>
      <c r="I1578" s="19">
        <v>5022</v>
      </c>
      <c r="J1578" s="19" t="s">
        <v>4558</v>
      </c>
    </row>
    <row r="1579" spans="1:10" x14ac:dyDescent="0.2">
      <c r="A1579" s="3">
        <v>4532</v>
      </c>
      <c r="B1579" s="3" t="s">
        <v>1719</v>
      </c>
      <c r="C1579" s="3" t="s">
        <v>1720</v>
      </c>
      <c r="D1579" s="3" t="s">
        <v>1606</v>
      </c>
      <c r="E1579" s="3" t="str">
        <v>Morbio Inferiore</v>
      </c>
      <c r="I1579" s="19">
        <v>5023</v>
      </c>
      <c r="J1579" s="19" t="s">
        <v>4558</v>
      </c>
    </row>
    <row r="1580" spans="1:10" x14ac:dyDescent="0.2">
      <c r="A1580" s="3">
        <v>4534</v>
      </c>
      <c r="B1580" s="3" t="s">
        <v>1721</v>
      </c>
      <c r="C1580" s="3" t="s">
        <v>1721</v>
      </c>
      <c r="D1580" s="3" t="s">
        <v>1606</v>
      </c>
      <c r="E1580" s="3" t="str">
        <v>Novazzano</v>
      </c>
      <c r="I1580" s="19">
        <v>5024</v>
      </c>
      <c r="J1580" s="19" t="s">
        <v>4558</v>
      </c>
    </row>
    <row r="1581" spans="1:10" x14ac:dyDescent="0.2">
      <c r="A1581" s="3">
        <v>2540</v>
      </c>
      <c r="B1581" s="3" t="s">
        <v>1722</v>
      </c>
      <c r="C1581" s="3" t="s">
        <v>1722</v>
      </c>
      <c r="D1581" s="3" t="s">
        <v>1606</v>
      </c>
      <c r="E1581" s="3" t="str">
        <v>Riva San Vitale</v>
      </c>
      <c r="I1581" s="19">
        <v>5025</v>
      </c>
      <c r="J1581" s="19" t="s">
        <v>4551</v>
      </c>
    </row>
    <row r="1582" spans="1:10" x14ac:dyDescent="0.2">
      <c r="A1582" s="3">
        <v>4524</v>
      </c>
      <c r="B1582" s="3" t="s">
        <v>1723</v>
      </c>
      <c r="C1582" s="3" t="s">
        <v>1723</v>
      </c>
      <c r="D1582" s="3" t="s">
        <v>1606</v>
      </c>
      <c r="E1582" s="3" t="str">
        <v>Stabio</v>
      </c>
      <c r="I1582" s="19">
        <v>5026</v>
      </c>
      <c r="J1582" s="19" t="s">
        <v>4551</v>
      </c>
    </row>
    <row r="1583" spans="1:10" x14ac:dyDescent="0.2">
      <c r="A1583" s="3">
        <v>4535</v>
      </c>
      <c r="B1583" s="3" t="s">
        <v>1724</v>
      </c>
      <c r="C1583" s="3" t="s">
        <v>1724</v>
      </c>
      <c r="D1583" s="3" t="s">
        <v>1606</v>
      </c>
      <c r="E1583" s="3" t="str">
        <v>Vacallo</v>
      </c>
      <c r="I1583" s="19">
        <v>5027</v>
      </c>
      <c r="J1583" s="19" t="s">
        <v>4551</v>
      </c>
    </row>
    <row r="1584" spans="1:10" x14ac:dyDescent="0.2">
      <c r="A1584" s="3">
        <v>4535</v>
      </c>
      <c r="B1584" s="3" t="s">
        <v>1725</v>
      </c>
      <c r="C1584" s="3" t="s">
        <v>1725</v>
      </c>
      <c r="D1584" s="3" t="s">
        <v>1606</v>
      </c>
      <c r="E1584" s="3" t="str">
        <v>Breggia</v>
      </c>
      <c r="I1584" s="19">
        <v>5028</v>
      </c>
      <c r="J1584" s="19" t="s">
        <v>4551</v>
      </c>
    </row>
    <row r="1585" spans="1:10" x14ac:dyDescent="0.2">
      <c r="A1585" s="3">
        <v>4513</v>
      </c>
      <c r="B1585" s="3" t="s">
        <v>1726</v>
      </c>
      <c r="C1585" s="3" t="s">
        <v>1726</v>
      </c>
      <c r="D1585" s="3" t="s">
        <v>1606</v>
      </c>
      <c r="E1585" s="3" t="str">
        <v>Biasca</v>
      </c>
      <c r="I1585" s="19">
        <v>5032</v>
      </c>
      <c r="J1585" s="19" t="s">
        <v>4558</v>
      </c>
    </row>
    <row r="1586" spans="1:10" x14ac:dyDescent="0.2">
      <c r="A1586" s="3">
        <v>4514</v>
      </c>
      <c r="B1586" s="3" t="s">
        <v>1727</v>
      </c>
      <c r="C1586" s="3" t="s">
        <v>1727</v>
      </c>
      <c r="D1586" s="3" t="s">
        <v>1606</v>
      </c>
      <c r="E1586" s="3" t="str">
        <v>Riviera</v>
      </c>
      <c r="I1586" s="19">
        <v>5033</v>
      </c>
      <c r="J1586" s="19" t="s">
        <v>4558</v>
      </c>
    </row>
    <row r="1587" spans="1:10" x14ac:dyDescent="0.2">
      <c r="A1587" s="3">
        <v>4515</v>
      </c>
      <c r="B1587" s="3" t="s">
        <v>1728</v>
      </c>
      <c r="C1587" s="3" t="s">
        <v>1729</v>
      </c>
      <c r="D1587" s="3" t="s">
        <v>1606</v>
      </c>
      <c r="E1587" s="3" t="str">
        <v>Bosco/Gurin</v>
      </c>
      <c r="I1587" s="19">
        <v>5034</v>
      </c>
      <c r="J1587" s="19" t="s">
        <v>4558</v>
      </c>
    </row>
    <row r="1588" spans="1:10" x14ac:dyDescent="0.2">
      <c r="A1588" s="3">
        <v>4515</v>
      </c>
      <c r="B1588" s="3" t="s">
        <v>1730</v>
      </c>
      <c r="C1588" s="3" t="s">
        <v>1729</v>
      </c>
      <c r="D1588" s="3" t="s">
        <v>1606</v>
      </c>
      <c r="E1588" s="3" t="str">
        <v>Campo (Vallemaggia)</v>
      </c>
      <c r="I1588" s="19">
        <v>5035</v>
      </c>
      <c r="J1588" s="19" t="s">
        <v>4558</v>
      </c>
    </row>
    <row r="1589" spans="1:10" x14ac:dyDescent="0.2">
      <c r="A1589" s="3">
        <v>4523</v>
      </c>
      <c r="B1589" s="3" t="s">
        <v>1731</v>
      </c>
      <c r="C1589" s="3" t="s">
        <v>1732</v>
      </c>
      <c r="D1589" s="3" t="s">
        <v>1606</v>
      </c>
      <c r="E1589" s="3" t="str">
        <v>Cerentino</v>
      </c>
      <c r="I1589" s="19">
        <v>5036</v>
      </c>
      <c r="J1589" s="19" t="s">
        <v>4558</v>
      </c>
    </row>
    <row r="1590" spans="1:10" x14ac:dyDescent="0.2">
      <c r="A1590" s="3">
        <v>4533</v>
      </c>
      <c r="B1590" s="3" t="s">
        <v>1732</v>
      </c>
      <c r="C1590" s="3" t="s">
        <v>1732</v>
      </c>
      <c r="D1590" s="3" t="s">
        <v>1606</v>
      </c>
      <c r="E1590" s="3" t="str">
        <v>Cevio</v>
      </c>
      <c r="I1590" s="19">
        <v>5037</v>
      </c>
      <c r="J1590" s="19" t="s">
        <v>4558</v>
      </c>
    </row>
    <row r="1591" spans="1:10" x14ac:dyDescent="0.2">
      <c r="A1591" s="3">
        <v>4522</v>
      </c>
      <c r="B1591" s="3" t="s">
        <v>1733</v>
      </c>
      <c r="C1591" s="3" t="s">
        <v>1733</v>
      </c>
      <c r="D1591" s="3" t="s">
        <v>1606</v>
      </c>
      <c r="E1591" s="3" t="str">
        <v>Linescio</v>
      </c>
      <c r="I1591" s="19">
        <v>5040</v>
      </c>
      <c r="J1591" s="19" t="s">
        <v>4558</v>
      </c>
    </row>
    <row r="1592" spans="1:10" x14ac:dyDescent="0.2">
      <c r="A1592" s="3">
        <v>2545</v>
      </c>
      <c r="B1592" s="3" t="s">
        <v>1734</v>
      </c>
      <c r="C1592" s="3" t="s">
        <v>1734</v>
      </c>
      <c r="D1592" s="3" t="s">
        <v>1606</v>
      </c>
      <c r="E1592" s="3" t="str">
        <v>Maggia</v>
      </c>
      <c r="I1592" s="19">
        <v>5042</v>
      </c>
      <c r="J1592" s="19" t="s">
        <v>4558</v>
      </c>
    </row>
    <row r="1593" spans="1:10" x14ac:dyDescent="0.2">
      <c r="A1593" s="3">
        <v>4618</v>
      </c>
      <c r="B1593" s="3" t="s">
        <v>1735</v>
      </c>
      <c r="C1593" s="3" t="s">
        <v>1735</v>
      </c>
      <c r="D1593" s="3" t="s">
        <v>1606</v>
      </c>
      <c r="E1593" s="3" t="str">
        <v>Lavizzara</v>
      </c>
      <c r="I1593" s="19">
        <v>5043</v>
      </c>
      <c r="J1593" s="19" t="s">
        <v>4558</v>
      </c>
    </row>
    <row r="1594" spans="1:10" x14ac:dyDescent="0.2">
      <c r="A1594" s="3">
        <v>4658</v>
      </c>
      <c r="B1594" s="3" t="s">
        <v>1736</v>
      </c>
      <c r="C1594" s="3" t="s">
        <v>1737</v>
      </c>
      <c r="D1594" s="3" t="s">
        <v>1606</v>
      </c>
      <c r="E1594" s="3" t="str">
        <v>Avegno Gordevio</v>
      </c>
      <c r="I1594" s="19">
        <v>5044</v>
      </c>
      <c r="J1594" s="19" t="s">
        <v>4558</v>
      </c>
    </row>
    <row r="1595" spans="1:10" x14ac:dyDescent="0.2">
      <c r="A1595" s="3">
        <v>4657</v>
      </c>
      <c r="B1595" s="3" t="s">
        <v>1738</v>
      </c>
      <c r="C1595" s="3" t="s">
        <v>1738</v>
      </c>
      <c r="D1595" s="3" t="s">
        <v>1606</v>
      </c>
      <c r="E1595" s="3" t="str">
        <v>Comunanza Cadenazzo/Monteceneri</v>
      </c>
      <c r="I1595" s="19">
        <v>5046</v>
      </c>
      <c r="J1595" s="19" t="s">
        <v>4558</v>
      </c>
    </row>
    <row r="1596" spans="1:10" x14ac:dyDescent="0.2">
      <c r="A1596" s="3">
        <v>5012</v>
      </c>
      <c r="B1596" s="3" t="s">
        <v>1739</v>
      </c>
      <c r="C1596" s="3" t="s">
        <v>1740</v>
      </c>
      <c r="D1596" s="3" t="s">
        <v>1606</v>
      </c>
      <c r="E1596" s="3" t="str">
        <v>Terre di Pedemonte</v>
      </c>
      <c r="I1596" s="19">
        <v>5053</v>
      </c>
      <c r="J1596" s="19" t="s">
        <v>4558</v>
      </c>
    </row>
    <row r="1597" spans="1:10" x14ac:dyDescent="0.2">
      <c r="A1597" s="3">
        <v>5012</v>
      </c>
      <c r="B1597" s="3" t="s">
        <v>1741</v>
      </c>
      <c r="C1597" s="3" t="s">
        <v>1740</v>
      </c>
      <c r="D1597" s="3" t="s">
        <v>1606</v>
      </c>
      <c r="E1597" s="3" t="str">
        <v>Centovalli</v>
      </c>
      <c r="I1597" s="19">
        <v>5054</v>
      </c>
      <c r="J1597" s="19" t="s">
        <v>4558</v>
      </c>
    </row>
    <row r="1598" spans="1:10" x14ac:dyDescent="0.2">
      <c r="A1598" s="3">
        <v>4629</v>
      </c>
      <c r="B1598" s="3" t="s">
        <v>1742</v>
      </c>
      <c r="C1598" s="3" t="s">
        <v>1742</v>
      </c>
      <c r="D1598" s="3" t="s">
        <v>1606</v>
      </c>
      <c r="E1598" s="3" t="str">
        <v>Gambarogno</v>
      </c>
      <c r="I1598" s="19">
        <v>5056</v>
      </c>
      <c r="J1598" s="19" t="s">
        <v>4558</v>
      </c>
    </row>
    <row r="1599" spans="1:10" x14ac:dyDescent="0.2">
      <c r="A1599" s="3">
        <v>5014</v>
      </c>
      <c r="B1599" s="3" t="s">
        <v>1743</v>
      </c>
      <c r="C1599" s="3" t="s">
        <v>1743</v>
      </c>
      <c r="D1599" s="3" t="s">
        <v>1606</v>
      </c>
      <c r="E1599" s="3" t="str">
        <v>Verzasca</v>
      </c>
      <c r="I1599" s="19">
        <v>5057</v>
      </c>
      <c r="J1599" s="19" t="s">
        <v>4558</v>
      </c>
    </row>
    <row r="1600" spans="1:10" x14ac:dyDescent="0.2">
      <c r="A1600" s="3">
        <v>4617</v>
      </c>
      <c r="B1600" s="3" t="s">
        <v>1744</v>
      </c>
      <c r="C1600" s="3" t="s">
        <v>1744</v>
      </c>
      <c r="D1600" s="3" t="s">
        <v>1606</v>
      </c>
      <c r="E1600" s="3" t="str">
        <v>Aigle</v>
      </c>
      <c r="I1600" s="19">
        <v>5058</v>
      </c>
      <c r="J1600" s="19" t="s">
        <v>4558</v>
      </c>
    </row>
    <row r="1601" spans="1:10" x14ac:dyDescent="0.2">
      <c r="A1601" s="3">
        <v>4614</v>
      </c>
      <c r="B1601" s="3" t="s">
        <v>1745</v>
      </c>
      <c r="C1601" s="3" t="s">
        <v>1745</v>
      </c>
      <c r="D1601" s="3" t="s">
        <v>1606</v>
      </c>
      <c r="E1601" s="3" t="str">
        <v>Bex</v>
      </c>
      <c r="I1601" s="19">
        <v>5062</v>
      </c>
      <c r="J1601" s="19" t="s">
        <v>4551</v>
      </c>
    </row>
    <row r="1602" spans="1:10" x14ac:dyDescent="0.2">
      <c r="A1602" s="3">
        <v>4615</v>
      </c>
      <c r="B1602" s="3" t="s">
        <v>1746</v>
      </c>
      <c r="C1602" s="3" t="s">
        <v>1745</v>
      </c>
      <c r="D1602" s="3" t="s">
        <v>1606</v>
      </c>
      <c r="E1602" s="3" t="str">
        <v>Chessel</v>
      </c>
      <c r="I1602" s="19">
        <v>5063</v>
      </c>
      <c r="J1602" s="19" t="s">
        <v>4551</v>
      </c>
    </row>
    <row r="1603" spans="1:10" x14ac:dyDescent="0.2">
      <c r="A1603" s="3">
        <v>4616</v>
      </c>
      <c r="B1603" s="3" t="s">
        <v>1747</v>
      </c>
      <c r="C1603" s="3" t="s">
        <v>1748</v>
      </c>
      <c r="D1603" s="3" t="s">
        <v>1606</v>
      </c>
      <c r="E1603" s="3" t="str">
        <v>Corbeyrier</v>
      </c>
      <c r="I1603" s="19">
        <v>5064</v>
      </c>
      <c r="J1603" s="19" t="s">
        <v>4551</v>
      </c>
    </row>
    <row r="1604" spans="1:10" x14ac:dyDescent="0.2">
      <c r="A1604" s="3">
        <v>4600</v>
      </c>
      <c r="B1604" s="3" t="s">
        <v>1749</v>
      </c>
      <c r="C1604" s="3" t="s">
        <v>1749</v>
      </c>
      <c r="D1604" s="3" t="s">
        <v>1606</v>
      </c>
      <c r="E1604" s="3" t="str">
        <v>Gryon</v>
      </c>
      <c r="I1604" s="19">
        <v>5070</v>
      </c>
      <c r="J1604" s="19" t="s">
        <v>4551</v>
      </c>
    </row>
    <row r="1605" spans="1:10" x14ac:dyDescent="0.2">
      <c r="A1605" s="3">
        <v>4613</v>
      </c>
      <c r="B1605" s="3" t="s">
        <v>1750</v>
      </c>
      <c r="C1605" s="3" t="s">
        <v>1751</v>
      </c>
      <c r="D1605" s="3" t="s">
        <v>1606</v>
      </c>
      <c r="E1605" s="3" t="str">
        <v>Lavey-Morcles</v>
      </c>
      <c r="I1605" s="19">
        <v>5072</v>
      </c>
      <c r="J1605" s="19" t="s">
        <v>4551</v>
      </c>
    </row>
    <row r="1606" spans="1:10" x14ac:dyDescent="0.2">
      <c r="A1606" s="3">
        <v>5012</v>
      </c>
      <c r="B1606" s="3" t="s">
        <v>1752</v>
      </c>
      <c r="C1606" s="3" t="s">
        <v>1752</v>
      </c>
      <c r="D1606" s="3" t="s">
        <v>1606</v>
      </c>
      <c r="E1606" s="3" t="str">
        <v>Leysin</v>
      </c>
      <c r="I1606" s="19">
        <v>5073</v>
      </c>
      <c r="J1606" s="19" t="s">
        <v>4551</v>
      </c>
    </row>
    <row r="1607" spans="1:10" x14ac:dyDescent="0.2">
      <c r="A1607" s="3">
        <v>4656</v>
      </c>
      <c r="B1607" s="3" t="s">
        <v>1753</v>
      </c>
      <c r="C1607" s="3" t="s">
        <v>1753</v>
      </c>
      <c r="D1607" s="3" t="s">
        <v>1606</v>
      </c>
      <c r="E1607" s="3" t="str">
        <v>Noville</v>
      </c>
      <c r="I1607" s="19">
        <v>5074</v>
      </c>
      <c r="J1607" s="19" t="s">
        <v>4551</v>
      </c>
    </row>
    <row r="1608" spans="1:10" x14ac:dyDescent="0.2">
      <c r="A1608" s="3">
        <v>5746</v>
      </c>
      <c r="B1608" s="3" t="s">
        <v>1754</v>
      </c>
      <c r="C1608" s="3" t="s">
        <v>1755</v>
      </c>
      <c r="D1608" s="3" t="s">
        <v>1606</v>
      </c>
      <c r="E1608" s="3" t="str">
        <v>Ollon</v>
      </c>
      <c r="I1608" s="19">
        <v>5075</v>
      </c>
      <c r="J1608" s="19" t="s">
        <v>4551</v>
      </c>
    </row>
    <row r="1609" spans="1:10" x14ac:dyDescent="0.2">
      <c r="A1609" s="3">
        <v>4612</v>
      </c>
      <c r="B1609" s="3" t="s">
        <v>1756</v>
      </c>
      <c r="C1609" s="3" t="s">
        <v>1757</v>
      </c>
      <c r="D1609" s="3" t="s">
        <v>1606</v>
      </c>
      <c r="E1609" s="3" t="str">
        <v>Ormont-Dessous</v>
      </c>
      <c r="I1609" s="19">
        <v>5076</v>
      </c>
      <c r="J1609" s="19" t="s">
        <v>4551</v>
      </c>
    </row>
    <row r="1610" spans="1:10" x14ac:dyDescent="0.2">
      <c r="A1610" s="3">
        <v>4500</v>
      </c>
      <c r="B1610" s="3" t="s">
        <v>1758</v>
      </c>
      <c r="C1610" s="3" t="s">
        <v>1758</v>
      </c>
      <c r="D1610" s="3" t="s">
        <v>1606</v>
      </c>
      <c r="E1610" s="3" t="str">
        <v>Ormont-Dessus</v>
      </c>
      <c r="I1610" s="19">
        <v>5077</v>
      </c>
      <c r="J1610" s="19" t="s">
        <v>4551</v>
      </c>
    </row>
    <row r="1611" spans="1:10" x14ac:dyDescent="0.2">
      <c r="A1611" s="3">
        <v>4252</v>
      </c>
      <c r="B1611" s="3" t="s">
        <v>1759</v>
      </c>
      <c r="C1611" s="3" t="s">
        <v>1759</v>
      </c>
      <c r="D1611" s="3" t="s">
        <v>1606</v>
      </c>
      <c r="E1611" s="3" t="str">
        <v>Rennaz</v>
      </c>
      <c r="I1611" s="19">
        <v>5078</v>
      </c>
      <c r="J1611" s="19" t="s">
        <v>4551</v>
      </c>
    </row>
    <row r="1612" spans="1:10" x14ac:dyDescent="0.2">
      <c r="A1612" s="3">
        <v>4229</v>
      </c>
      <c r="B1612" s="3" t="s">
        <v>1760</v>
      </c>
      <c r="C1612" s="3" t="s">
        <v>1761</v>
      </c>
      <c r="D1612" s="3" t="s">
        <v>1606</v>
      </c>
      <c r="E1612" s="3" t="str">
        <v>Roche (VD)</v>
      </c>
      <c r="I1612" s="19">
        <v>5079</v>
      </c>
      <c r="J1612" s="19" t="s">
        <v>4551</v>
      </c>
    </row>
    <row r="1613" spans="1:10" x14ac:dyDescent="0.2">
      <c r="A1613" s="3">
        <v>4226</v>
      </c>
      <c r="B1613" s="3" t="s">
        <v>1762</v>
      </c>
      <c r="C1613" s="3" t="s">
        <v>1762</v>
      </c>
      <c r="D1613" s="3" t="s">
        <v>1606</v>
      </c>
      <c r="E1613" s="3" t="str">
        <v>Villeneuve (VD)</v>
      </c>
      <c r="I1613" s="19">
        <v>5080</v>
      </c>
      <c r="J1613" s="19" t="s">
        <v>4551</v>
      </c>
    </row>
    <row r="1614" spans="1:10" x14ac:dyDescent="0.2">
      <c r="A1614" s="3">
        <v>4227</v>
      </c>
      <c r="B1614" s="3" t="s">
        <v>1763</v>
      </c>
      <c r="C1614" s="3" t="s">
        <v>1763</v>
      </c>
      <c r="D1614" s="3" t="s">
        <v>1606</v>
      </c>
      <c r="E1614" s="3" t="str">
        <v>Yvorne</v>
      </c>
      <c r="I1614" s="19">
        <v>5082</v>
      </c>
      <c r="J1614" s="19" t="s">
        <v>4551</v>
      </c>
    </row>
    <row r="1615" spans="1:10" x14ac:dyDescent="0.2">
      <c r="A1615" s="3">
        <v>4228</v>
      </c>
      <c r="B1615" s="3" t="s">
        <v>1764</v>
      </c>
      <c r="C1615" s="3" t="s">
        <v>1764</v>
      </c>
      <c r="D1615" s="3" t="s">
        <v>1606</v>
      </c>
      <c r="E1615" s="3" t="str">
        <v>Aubonne</v>
      </c>
      <c r="I1615" s="19">
        <v>5083</v>
      </c>
      <c r="J1615" s="19" t="s">
        <v>4551</v>
      </c>
    </row>
    <row r="1616" spans="1:10" x14ac:dyDescent="0.2">
      <c r="A1616" s="3">
        <v>4232</v>
      </c>
      <c r="B1616" s="3" t="s">
        <v>1765</v>
      </c>
      <c r="C1616" s="3" t="s">
        <v>1765</v>
      </c>
      <c r="D1616" s="3" t="s">
        <v>1606</v>
      </c>
      <c r="E1616" s="3" t="str">
        <v>Ballens</v>
      </c>
      <c r="I1616" s="19">
        <v>5084</v>
      </c>
      <c r="J1616" s="19" t="s">
        <v>4551</v>
      </c>
    </row>
    <row r="1617" spans="1:10" x14ac:dyDescent="0.2">
      <c r="A1617" s="3">
        <v>4247</v>
      </c>
      <c r="B1617" s="3" t="s">
        <v>1766</v>
      </c>
      <c r="C1617" s="3" t="s">
        <v>1766</v>
      </c>
      <c r="D1617" s="3" t="s">
        <v>1606</v>
      </c>
      <c r="E1617" s="3" t="str">
        <v>Berolle</v>
      </c>
      <c r="I1617" s="19">
        <v>5085</v>
      </c>
      <c r="J1617" s="19" t="s">
        <v>4551</v>
      </c>
    </row>
    <row r="1618" spans="1:10" x14ac:dyDescent="0.2">
      <c r="A1618" s="3">
        <v>4204</v>
      </c>
      <c r="B1618" s="3" t="s">
        <v>1767</v>
      </c>
      <c r="C1618" s="3" t="s">
        <v>1767</v>
      </c>
      <c r="D1618" s="3" t="s">
        <v>1606</v>
      </c>
      <c r="E1618" s="3" t="str">
        <v>Bière</v>
      </c>
      <c r="I1618" s="19">
        <v>5102</v>
      </c>
      <c r="J1618" s="19" t="s">
        <v>4558</v>
      </c>
    </row>
    <row r="1619" spans="1:10" x14ac:dyDescent="0.2">
      <c r="A1619" s="3">
        <v>4245</v>
      </c>
      <c r="B1619" s="3" t="s">
        <v>1768</v>
      </c>
      <c r="C1619" s="3" t="s">
        <v>1768</v>
      </c>
      <c r="D1619" s="3" t="s">
        <v>1606</v>
      </c>
      <c r="E1619" s="3" t="str">
        <v>Bougy-Villars</v>
      </c>
      <c r="I1619" s="19">
        <v>5103</v>
      </c>
      <c r="J1619" s="19" t="s">
        <v>4558</v>
      </c>
    </row>
    <row r="1620" spans="1:10" x14ac:dyDescent="0.2">
      <c r="A1620" s="3">
        <v>4233</v>
      </c>
      <c r="B1620" s="3" t="s">
        <v>1769</v>
      </c>
      <c r="C1620" s="3" t="s">
        <v>1769</v>
      </c>
      <c r="D1620" s="3" t="s">
        <v>1606</v>
      </c>
      <c r="E1620" s="3" t="str">
        <v>Féchy</v>
      </c>
      <c r="I1620" s="19">
        <v>5105</v>
      </c>
      <c r="J1620" s="19" t="s">
        <v>4558</v>
      </c>
    </row>
    <row r="1621" spans="1:10" x14ac:dyDescent="0.2">
      <c r="A1621" s="3">
        <v>4208</v>
      </c>
      <c r="B1621" s="3" t="s">
        <v>1770</v>
      </c>
      <c r="C1621" s="3" t="s">
        <v>1770</v>
      </c>
      <c r="D1621" s="3" t="s">
        <v>1606</v>
      </c>
      <c r="E1621" s="3" t="str">
        <v>Gimel</v>
      </c>
      <c r="I1621" s="19">
        <v>5106</v>
      </c>
      <c r="J1621" s="19" t="s">
        <v>4558</v>
      </c>
    </row>
    <row r="1622" spans="1:10" x14ac:dyDescent="0.2">
      <c r="A1622" s="3">
        <v>4234</v>
      </c>
      <c r="B1622" s="3" t="s">
        <v>1771</v>
      </c>
      <c r="C1622" s="3" t="s">
        <v>1771</v>
      </c>
      <c r="D1622" s="3" t="s">
        <v>1606</v>
      </c>
      <c r="E1622" s="3" t="str">
        <v>Longirod</v>
      </c>
      <c r="I1622" s="19">
        <v>5107</v>
      </c>
      <c r="J1622" s="19" t="s">
        <v>4558</v>
      </c>
    </row>
    <row r="1623" spans="1:10" x14ac:dyDescent="0.2">
      <c r="A1623" s="3">
        <v>4001</v>
      </c>
      <c r="B1623" s="3" t="s">
        <v>1772</v>
      </c>
      <c r="C1623" s="3" t="s">
        <v>1772</v>
      </c>
      <c r="D1623" s="3" t="s">
        <v>1773</v>
      </c>
      <c r="E1623" s="3" t="str">
        <v>Marchissy</v>
      </c>
      <c r="I1623" s="19">
        <v>5108</v>
      </c>
      <c r="J1623" s="19" t="s">
        <v>4558</v>
      </c>
    </row>
    <row r="1624" spans="1:10" x14ac:dyDescent="0.2">
      <c r="A1624" s="3">
        <v>4031</v>
      </c>
      <c r="B1624" s="3" t="s">
        <v>1772</v>
      </c>
      <c r="C1624" s="3" t="s">
        <v>1772</v>
      </c>
      <c r="D1624" s="3" t="s">
        <v>1773</v>
      </c>
      <c r="E1624" s="3" t="str">
        <v>Mollens (VD)</v>
      </c>
      <c r="I1624" s="19">
        <v>5112</v>
      </c>
      <c r="J1624" s="19" t="s">
        <v>4558</v>
      </c>
    </row>
    <row r="1625" spans="1:10" x14ac:dyDescent="0.2">
      <c r="A1625" s="3">
        <v>4031</v>
      </c>
      <c r="B1625" s="3" t="s">
        <v>1772</v>
      </c>
      <c r="C1625" s="3" t="s">
        <v>1772</v>
      </c>
      <c r="D1625" s="3" t="s">
        <v>1773</v>
      </c>
      <c r="E1625" s="3" t="str">
        <v>Saint-George</v>
      </c>
      <c r="I1625" s="19">
        <v>5113</v>
      </c>
      <c r="J1625" s="19" t="s">
        <v>4558</v>
      </c>
    </row>
    <row r="1626" spans="1:10" x14ac:dyDescent="0.2">
      <c r="A1626" s="3">
        <v>4051</v>
      </c>
      <c r="B1626" s="3" t="s">
        <v>1772</v>
      </c>
      <c r="C1626" s="3" t="s">
        <v>1772</v>
      </c>
      <c r="D1626" s="3" t="s">
        <v>1773</v>
      </c>
      <c r="E1626" s="3" t="str">
        <v>Saint-Livres</v>
      </c>
      <c r="I1626" s="19">
        <v>5116</v>
      </c>
      <c r="J1626" s="19" t="s">
        <v>4558</v>
      </c>
    </row>
    <row r="1627" spans="1:10" x14ac:dyDescent="0.2">
      <c r="A1627" s="3">
        <v>4052</v>
      </c>
      <c r="B1627" s="3" t="s">
        <v>1772</v>
      </c>
      <c r="C1627" s="3" t="s">
        <v>1772</v>
      </c>
      <c r="D1627" s="3" t="s">
        <v>1773</v>
      </c>
      <c r="E1627" s="3" t="str">
        <v>Saint-Oyens</v>
      </c>
      <c r="I1627" s="19">
        <v>5200</v>
      </c>
      <c r="J1627" s="19" t="s">
        <v>4558</v>
      </c>
    </row>
    <row r="1628" spans="1:10" x14ac:dyDescent="0.2">
      <c r="A1628" s="3">
        <v>4052</v>
      </c>
      <c r="B1628" s="3" t="s">
        <v>1772</v>
      </c>
      <c r="C1628" s="3" t="s">
        <v>1772</v>
      </c>
      <c r="D1628" s="3" t="s">
        <v>1773</v>
      </c>
      <c r="E1628" s="3" t="str">
        <v>Saubraz</v>
      </c>
      <c r="I1628" s="19">
        <v>5210</v>
      </c>
      <c r="J1628" s="19" t="s">
        <v>4558</v>
      </c>
    </row>
    <row r="1629" spans="1:10" x14ac:dyDescent="0.2">
      <c r="A1629" s="3">
        <v>4053</v>
      </c>
      <c r="B1629" s="3" t="s">
        <v>1772</v>
      </c>
      <c r="C1629" s="3" t="s">
        <v>1772</v>
      </c>
      <c r="D1629" s="3" t="s">
        <v>1773</v>
      </c>
      <c r="E1629" s="3" t="str">
        <v>Avenches</v>
      </c>
      <c r="I1629" s="19">
        <v>5212</v>
      </c>
      <c r="J1629" s="19" t="s">
        <v>4558</v>
      </c>
    </row>
    <row r="1630" spans="1:10" x14ac:dyDescent="0.2">
      <c r="A1630" s="3">
        <v>4054</v>
      </c>
      <c r="B1630" s="3" t="s">
        <v>1772</v>
      </c>
      <c r="C1630" s="3" t="s">
        <v>1772</v>
      </c>
      <c r="D1630" s="3" t="s">
        <v>1773</v>
      </c>
      <c r="E1630" s="3" t="str">
        <v>Cudrefin</v>
      </c>
      <c r="I1630" s="19">
        <v>5213</v>
      </c>
      <c r="J1630" s="19" t="s">
        <v>4558</v>
      </c>
    </row>
    <row r="1631" spans="1:10" x14ac:dyDescent="0.2">
      <c r="A1631" s="3">
        <v>4055</v>
      </c>
      <c r="B1631" s="3" t="s">
        <v>1772</v>
      </c>
      <c r="C1631" s="3" t="s">
        <v>1772</v>
      </c>
      <c r="D1631" s="3" t="s">
        <v>1773</v>
      </c>
      <c r="E1631" s="3" t="str">
        <v>Faoug</v>
      </c>
      <c r="I1631" s="19">
        <v>5222</v>
      </c>
      <c r="J1631" s="19" t="s">
        <v>4558</v>
      </c>
    </row>
    <row r="1632" spans="1:10" x14ac:dyDescent="0.2">
      <c r="A1632" s="3">
        <v>4056</v>
      </c>
      <c r="B1632" s="3" t="s">
        <v>1772</v>
      </c>
      <c r="C1632" s="3" t="s">
        <v>1772</v>
      </c>
      <c r="D1632" s="3" t="s">
        <v>1773</v>
      </c>
      <c r="E1632" s="3" t="str">
        <v>Vully-les-Lacs</v>
      </c>
      <c r="I1632" s="19">
        <v>5223</v>
      </c>
      <c r="J1632" s="19" t="s">
        <v>4558</v>
      </c>
    </row>
    <row r="1633" spans="1:10" x14ac:dyDescent="0.2">
      <c r="A1633" s="3">
        <v>4057</v>
      </c>
      <c r="B1633" s="3" t="s">
        <v>1772</v>
      </c>
      <c r="C1633" s="3" t="s">
        <v>1772</v>
      </c>
      <c r="D1633" s="3" t="s">
        <v>1773</v>
      </c>
      <c r="E1633" s="3" t="str">
        <v>Bettens</v>
      </c>
      <c r="I1633" s="19">
        <v>5225</v>
      </c>
      <c r="J1633" s="19" t="s">
        <v>4558</v>
      </c>
    </row>
    <row r="1634" spans="1:10" x14ac:dyDescent="0.2">
      <c r="A1634" s="3">
        <v>4058</v>
      </c>
      <c r="B1634" s="3" t="s">
        <v>1772</v>
      </c>
      <c r="C1634" s="3" t="s">
        <v>1772</v>
      </c>
      <c r="D1634" s="3" t="s">
        <v>1773</v>
      </c>
      <c r="E1634" s="3" t="str">
        <v>Bournens</v>
      </c>
      <c r="I1634" s="19">
        <v>5233</v>
      </c>
      <c r="J1634" s="19" t="s">
        <v>4559</v>
      </c>
    </row>
    <row r="1635" spans="1:10" x14ac:dyDescent="0.2">
      <c r="A1635" s="3">
        <v>4059</v>
      </c>
      <c r="B1635" s="3" t="s">
        <v>1772</v>
      </c>
      <c r="C1635" s="3" t="s">
        <v>1772</v>
      </c>
      <c r="D1635" s="3" t="s">
        <v>1773</v>
      </c>
      <c r="E1635" s="3" t="str">
        <v>Boussens</v>
      </c>
      <c r="I1635" s="19">
        <v>5234</v>
      </c>
      <c r="J1635" s="19" t="s">
        <v>4558</v>
      </c>
    </row>
    <row r="1636" spans="1:10" x14ac:dyDescent="0.2">
      <c r="A1636" s="3">
        <v>4126</v>
      </c>
      <c r="B1636" s="3" t="s">
        <v>1774</v>
      </c>
      <c r="C1636" s="3" t="s">
        <v>1774</v>
      </c>
      <c r="D1636" s="3" t="s">
        <v>1773</v>
      </c>
      <c r="E1636" s="3" t="str">
        <v>La Chaux (Cossonay)</v>
      </c>
      <c r="I1636" s="19">
        <v>5235</v>
      </c>
      <c r="J1636" s="19" t="s">
        <v>4558</v>
      </c>
    </row>
    <row r="1637" spans="1:10" x14ac:dyDescent="0.2">
      <c r="A1637" s="3">
        <v>4125</v>
      </c>
      <c r="B1637" s="3" t="s">
        <v>1775</v>
      </c>
      <c r="C1637" s="3" t="s">
        <v>1775</v>
      </c>
      <c r="D1637" s="3" t="s">
        <v>1773</v>
      </c>
      <c r="E1637" s="3" t="str">
        <v>Chavannes-le-Veyron</v>
      </c>
      <c r="I1637" s="19">
        <v>5236</v>
      </c>
      <c r="J1637" s="19" t="s">
        <v>4558</v>
      </c>
    </row>
    <row r="1638" spans="1:10" x14ac:dyDescent="0.2">
      <c r="A1638" s="3">
        <v>4147</v>
      </c>
      <c r="B1638" s="3" t="s">
        <v>1776</v>
      </c>
      <c r="C1638" s="3" t="s">
        <v>1777</v>
      </c>
      <c r="D1638" s="3" t="s">
        <v>1778</v>
      </c>
      <c r="E1638" s="3" t="str">
        <v>Chevilly</v>
      </c>
      <c r="I1638" s="19">
        <v>5237</v>
      </c>
      <c r="J1638" s="19" t="s">
        <v>4551</v>
      </c>
    </row>
    <row r="1639" spans="1:10" x14ac:dyDescent="0.2">
      <c r="A1639" s="3">
        <v>4123</v>
      </c>
      <c r="B1639" s="3" t="s">
        <v>1779</v>
      </c>
      <c r="C1639" s="3" t="s">
        <v>1779</v>
      </c>
      <c r="D1639" s="3" t="s">
        <v>1778</v>
      </c>
      <c r="E1639" s="3" t="str">
        <v>Cossonay</v>
      </c>
      <c r="I1639" s="19">
        <v>5242</v>
      </c>
      <c r="J1639" s="19" t="s">
        <v>4558</v>
      </c>
    </row>
    <row r="1640" spans="1:10" x14ac:dyDescent="0.2">
      <c r="A1640" s="3">
        <v>4144</v>
      </c>
      <c r="B1640" s="3" t="s">
        <v>1780</v>
      </c>
      <c r="C1640" s="3" t="s">
        <v>1780</v>
      </c>
      <c r="D1640" s="3" t="s">
        <v>1778</v>
      </c>
      <c r="E1640" s="3" t="str">
        <v>Cuarnens</v>
      </c>
      <c r="I1640" s="19">
        <v>5243</v>
      </c>
      <c r="J1640" s="19" t="s">
        <v>4558</v>
      </c>
    </row>
    <row r="1641" spans="1:10" x14ac:dyDescent="0.2">
      <c r="A1641" s="3">
        <v>4105</v>
      </c>
      <c r="B1641" s="3" t="s">
        <v>1781</v>
      </c>
      <c r="C1641" s="3" t="s">
        <v>1782</v>
      </c>
      <c r="D1641" s="3" t="s">
        <v>1778</v>
      </c>
      <c r="E1641" s="3" t="str">
        <v>Daillens</v>
      </c>
      <c r="I1641" s="19">
        <v>5244</v>
      </c>
      <c r="J1641" s="19" t="s">
        <v>4558</v>
      </c>
    </row>
    <row r="1642" spans="1:10" x14ac:dyDescent="0.2">
      <c r="A1642" s="3">
        <v>4101</v>
      </c>
      <c r="B1642" s="3" t="s">
        <v>1783</v>
      </c>
      <c r="C1642" s="3" t="s">
        <v>1784</v>
      </c>
      <c r="D1642" s="3" t="s">
        <v>1778</v>
      </c>
      <c r="E1642" s="3" t="str">
        <v>Dizy</v>
      </c>
      <c r="I1642" s="19">
        <v>5245</v>
      </c>
      <c r="J1642" s="19" t="s">
        <v>4558</v>
      </c>
    </row>
    <row r="1643" spans="1:10" x14ac:dyDescent="0.2">
      <c r="A1643" s="3">
        <v>4102</v>
      </c>
      <c r="B1643" s="3" t="s">
        <v>1784</v>
      </c>
      <c r="C1643" s="3" t="s">
        <v>1784</v>
      </c>
      <c r="D1643" s="3" t="s">
        <v>1778</v>
      </c>
      <c r="E1643" s="3" t="str">
        <v>Eclépens</v>
      </c>
      <c r="I1643" s="19">
        <v>5246</v>
      </c>
      <c r="J1643" s="19" t="s">
        <v>4558</v>
      </c>
    </row>
    <row r="1644" spans="1:10" x14ac:dyDescent="0.2">
      <c r="A1644" s="3">
        <v>4127</v>
      </c>
      <c r="B1644" s="3" t="s">
        <v>1785</v>
      </c>
      <c r="C1644" s="3" t="s">
        <v>1785</v>
      </c>
      <c r="D1644" s="3" t="s">
        <v>1778</v>
      </c>
      <c r="E1644" s="3" t="str">
        <v>Ferreyres</v>
      </c>
      <c r="I1644" s="19">
        <v>5272</v>
      </c>
      <c r="J1644" s="19" t="s">
        <v>4551</v>
      </c>
    </row>
    <row r="1645" spans="1:10" x14ac:dyDescent="0.2">
      <c r="A1645" s="3">
        <v>4103</v>
      </c>
      <c r="B1645" s="3" t="s">
        <v>1786</v>
      </c>
      <c r="C1645" s="3" t="s">
        <v>1786</v>
      </c>
      <c r="D1645" s="3" t="s">
        <v>1778</v>
      </c>
      <c r="E1645" s="3" t="str">
        <v>Gollion</v>
      </c>
      <c r="I1645" s="19">
        <v>5273</v>
      </c>
      <c r="J1645" s="19" t="s">
        <v>4551</v>
      </c>
    </row>
    <row r="1646" spans="1:10" x14ac:dyDescent="0.2">
      <c r="A1646" s="3">
        <v>4107</v>
      </c>
      <c r="B1646" s="3" t="s">
        <v>1787</v>
      </c>
      <c r="C1646" s="3" t="s">
        <v>1787</v>
      </c>
      <c r="D1646" s="3" t="s">
        <v>1778</v>
      </c>
      <c r="E1646" s="3" t="str">
        <v>Grancy</v>
      </c>
      <c r="I1646" s="19">
        <v>5274</v>
      </c>
      <c r="J1646" s="19" t="s">
        <v>4551</v>
      </c>
    </row>
    <row r="1647" spans="1:10" x14ac:dyDescent="0.2">
      <c r="A1647" s="3">
        <v>4142</v>
      </c>
      <c r="B1647" s="3" t="s">
        <v>1788</v>
      </c>
      <c r="C1647" s="3" t="s">
        <v>1788</v>
      </c>
      <c r="D1647" s="3" t="s">
        <v>1778</v>
      </c>
      <c r="E1647" s="3" t="str">
        <v>L'Isle</v>
      </c>
      <c r="I1647" s="19">
        <v>5275</v>
      </c>
      <c r="J1647" s="19" t="s">
        <v>4551</v>
      </c>
    </row>
    <row r="1648" spans="1:10" x14ac:dyDescent="0.2">
      <c r="A1648" s="3">
        <v>4132</v>
      </c>
      <c r="B1648" s="3" t="s">
        <v>1789</v>
      </c>
      <c r="C1648" s="3" t="s">
        <v>1789</v>
      </c>
      <c r="D1648" s="3" t="s">
        <v>1778</v>
      </c>
      <c r="E1648" s="3" t="str">
        <v>Lussery-Villars</v>
      </c>
      <c r="I1648" s="19">
        <v>5276</v>
      </c>
      <c r="J1648" s="19" t="s">
        <v>4551</v>
      </c>
    </row>
    <row r="1649" spans="1:10" x14ac:dyDescent="0.2">
      <c r="A1649" s="3">
        <v>4104</v>
      </c>
      <c r="B1649" s="3" t="s">
        <v>1790</v>
      </c>
      <c r="C1649" s="3" t="s">
        <v>1791</v>
      </c>
      <c r="D1649" s="3" t="s">
        <v>1778</v>
      </c>
      <c r="E1649" s="3" t="str">
        <v>Mauraz</v>
      </c>
      <c r="I1649" s="19">
        <v>5277</v>
      </c>
      <c r="J1649" s="19" t="s">
        <v>4551</v>
      </c>
    </row>
    <row r="1650" spans="1:10" x14ac:dyDescent="0.2">
      <c r="A1650" s="3">
        <v>4148</v>
      </c>
      <c r="B1650" s="3" t="s">
        <v>1792</v>
      </c>
      <c r="C1650" s="3" t="s">
        <v>1792</v>
      </c>
      <c r="D1650" s="3" t="s">
        <v>1778</v>
      </c>
      <c r="E1650" s="3" t="str">
        <v>Mex (VD)</v>
      </c>
      <c r="I1650" s="19">
        <v>5300</v>
      </c>
      <c r="J1650" s="19" t="s">
        <v>4559</v>
      </c>
    </row>
    <row r="1651" spans="1:10" x14ac:dyDescent="0.2">
      <c r="A1651" s="3">
        <v>4153</v>
      </c>
      <c r="B1651" s="3" t="s">
        <v>1793</v>
      </c>
      <c r="C1651" s="3" t="s">
        <v>1794</v>
      </c>
      <c r="D1651" s="3" t="s">
        <v>1778</v>
      </c>
      <c r="E1651" s="3" t="str">
        <v>Moiry</v>
      </c>
      <c r="I1651" s="19">
        <v>5301</v>
      </c>
      <c r="J1651" s="19" t="s">
        <v>4559</v>
      </c>
    </row>
    <row r="1652" spans="1:10" x14ac:dyDescent="0.2">
      <c r="A1652" s="3">
        <v>4124</v>
      </c>
      <c r="B1652" s="3" t="s">
        <v>1795</v>
      </c>
      <c r="C1652" s="3" t="s">
        <v>1795</v>
      </c>
      <c r="D1652" s="3" t="s">
        <v>1778</v>
      </c>
      <c r="E1652" s="3" t="str">
        <v>Mont-la-Ville</v>
      </c>
      <c r="I1652" s="19">
        <v>5303</v>
      </c>
      <c r="J1652" s="19" t="s">
        <v>4559</v>
      </c>
    </row>
    <row r="1653" spans="1:10" x14ac:dyDescent="0.2">
      <c r="A1653" s="3">
        <v>4106</v>
      </c>
      <c r="B1653" s="3" t="s">
        <v>1796</v>
      </c>
      <c r="C1653" s="3" t="s">
        <v>1796</v>
      </c>
      <c r="D1653" s="3" t="s">
        <v>1778</v>
      </c>
      <c r="E1653" s="3" t="str">
        <v>Montricher</v>
      </c>
      <c r="I1653" s="19">
        <v>5304</v>
      </c>
      <c r="J1653" s="19" t="s">
        <v>4559</v>
      </c>
    </row>
    <row r="1654" spans="1:10" x14ac:dyDescent="0.2">
      <c r="A1654" s="3">
        <v>4223</v>
      </c>
      <c r="B1654" s="3" t="s">
        <v>1797</v>
      </c>
      <c r="C1654" s="3" t="s">
        <v>1797</v>
      </c>
      <c r="D1654" s="3" t="s">
        <v>1778</v>
      </c>
      <c r="E1654" s="3" t="str">
        <v>Orny</v>
      </c>
      <c r="I1654" s="19">
        <v>5305</v>
      </c>
      <c r="J1654" s="19" t="s">
        <v>4559</v>
      </c>
    </row>
    <row r="1655" spans="1:10" x14ac:dyDescent="0.2">
      <c r="A1655" s="3">
        <v>4225</v>
      </c>
      <c r="B1655" s="3" t="s">
        <v>1798</v>
      </c>
      <c r="C1655" s="3" t="s">
        <v>1798</v>
      </c>
      <c r="D1655" s="3" t="s">
        <v>1778</v>
      </c>
      <c r="E1655" s="3" t="str">
        <v>Penthalaz</v>
      </c>
      <c r="I1655" s="19">
        <v>5306</v>
      </c>
      <c r="J1655" s="19" t="s">
        <v>4559</v>
      </c>
    </row>
    <row r="1656" spans="1:10" x14ac:dyDescent="0.2">
      <c r="A1656" s="3">
        <v>4117</v>
      </c>
      <c r="B1656" s="3" t="s">
        <v>1799</v>
      </c>
      <c r="C1656" s="3" t="s">
        <v>1799</v>
      </c>
      <c r="D1656" s="3" t="s">
        <v>1778</v>
      </c>
      <c r="E1656" s="3" t="str">
        <v>Penthaz</v>
      </c>
      <c r="I1656" s="19">
        <v>5312</v>
      </c>
      <c r="J1656" s="19" t="s">
        <v>4559</v>
      </c>
    </row>
    <row r="1657" spans="1:10" x14ac:dyDescent="0.2">
      <c r="A1657" s="3">
        <v>4243</v>
      </c>
      <c r="B1657" s="3" t="s">
        <v>1800</v>
      </c>
      <c r="C1657" s="3" t="s">
        <v>1800</v>
      </c>
      <c r="D1657" s="3" t="s">
        <v>1778</v>
      </c>
      <c r="E1657" s="3" t="str">
        <v>Pompaples</v>
      </c>
      <c r="I1657" s="19">
        <v>5313</v>
      </c>
      <c r="J1657" s="19" t="s">
        <v>4559</v>
      </c>
    </row>
    <row r="1658" spans="1:10" x14ac:dyDescent="0.2">
      <c r="A1658" s="3">
        <v>4202</v>
      </c>
      <c r="B1658" s="3" t="s">
        <v>1801</v>
      </c>
      <c r="C1658" s="3" t="s">
        <v>1801</v>
      </c>
      <c r="D1658" s="3" t="s">
        <v>1778</v>
      </c>
      <c r="E1658" s="3" t="str">
        <v>La Sarraz</v>
      </c>
      <c r="I1658" s="19">
        <v>5314</v>
      </c>
      <c r="J1658" s="19" t="s">
        <v>4559</v>
      </c>
    </row>
    <row r="1659" spans="1:10" x14ac:dyDescent="0.2">
      <c r="A1659" s="3">
        <v>4203</v>
      </c>
      <c r="B1659" s="3" t="s">
        <v>1802</v>
      </c>
      <c r="C1659" s="3" t="s">
        <v>1802</v>
      </c>
      <c r="D1659" s="3" t="s">
        <v>1778</v>
      </c>
      <c r="E1659" s="3" t="str">
        <v>Senarclens</v>
      </c>
      <c r="I1659" s="19">
        <v>5315</v>
      </c>
      <c r="J1659" s="19" t="s">
        <v>4559</v>
      </c>
    </row>
    <row r="1660" spans="1:10" x14ac:dyDescent="0.2">
      <c r="A1660" s="3">
        <v>4242</v>
      </c>
      <c r="B1660" s="3" t="s">
        <v>1803</v>
      </c>
      <c r="C1660" s="3" t="s">
        <v>1803</v>
      </c>
      <c r="D1660" s="3" t="s">
        <v>1778</v>
      </c>
      <c r="E1660" s="3" t="str">
        <v>Sullens</v>
      </c>
      <c r="I1660" s="19">
        <v>5316</v>
      </c>
      <c r="J1660" s="19" t="s">
        <v>4559</v>
      </c>
    </row>
    <row r="1661" spans="1:10" x14ac:dyDescent="0.2">
      <c r="A1661" s="3">
        <v>4253</v>
      </c>
      <c r="B1661" s="3" t="s">
        <v>1804</v>
      </c>
      <c r="C1661" s="3" t="s">
        <v>1804</v>
      </c>
      <c r="D1661" s="3" t="s">
        <v>1778</v>
      </c>
      <c r="E1661" s="3" t="str">
        <v>Vufflens-la-Ville</v>
      </c>
      <c r="I1661" s="19">
        <v>5317</v>
      </c>
      <c r="J1661" s="19" t="s">
        <v>4551</v>
      </c>
    </row>
    <row r="1662" spans="1:10" x14ac:dyDescent="0.2">
      <c r="A1662" s="3">
        <v>4254</v>
      </c>
      <c r="B1662" s="3" t="s">
        <v>1805</v>
      </c>
      <c r="C1662" s="3" t="s">
        <v>1804</v>
      </c>
      <c r="D1662" s="3" t="s">
        <v>1778</v>
      </c>
      <c r="E1662" s="3" t="str">
        <v>Assens</v>
      </c>
      <c r="I1662" s="19">
        <v>5318</v>
      </c>
      <c r="J1662" s="19" t="s">
        <v>4558</v>
      </c>
    </row>
    <row r="1663" spans="1:10" x14ac:dyDescent="0.2">
      <c r="A1663" s="3">
        <v>4224</v>
      </c>
      <c r="B1663" s="3" t="s">
        <v>1806</v>
      </c>
      <c r="C1663" s="3" t="s">
        <v>1806</v>
      </c>
      <c r="D1663" s="3" t="s">
        <v>1778</v>
      </c>
      <c r="E1663" s="3" t="str">
        <v>Bercher</v>
      </c>
      <c r="I1663" s="19">
        <v>5322</v>
      </c>
      <c r="J1663" s="19" t="s">
        <v>4559</v>
      </c>
    </row>
    <row r="1664" spans="1:10" x14ac:dyDescent="0.2">
      <c r="A1664" s="3">
        <v>2814</v>
      </c>
      <c r="B1664" s="3" t="s">
        <v>1807</v>
      </c>
      <c r="C1664" s="3" t="s">
        <v>1807</v>
      </c>
      <c r="D1664" s="3" t="s">
        <v>1778</v>
      </c>
      <c r="E1664" s="3" t="str">
        <v>Bottens</v>
      </c>
      <c r="I1664" s="19">
        <v>5323</v>
      </c>
      <c r="J1664" s="19" t="s">
        <v>4559</v>
      </c>
    </row>
    <row r="1665" spans="1:10" x14ac:dyDescent="0.2">
      <c r="A1665" s="3">
        <v>4244</v>
      </c>
      <c r="B1665" s="3" t="s">
        <v>1808</v>
      </c>
      <c r="C1665" s="3" t="s">
        <v>1808</v>
      </c>
      <c r="D1665" s="3" t="s">
        <v>1778</v>
      </c>
      <c r="E1665" s="3" t="str">
        <v>Bretigny-sur-Morrens</v>
      </c>
      <c r="I1665" s="19">
        <v>5324</v>
      </c>
      <c r="J1665" s="19" t="s">
        <v>4551</v>
      </c>
    </row>
    <row r="1666" spans="1:10" x14ac:dyDescent="0.2">
      <c r="A1666" s="3">
        <v>4246</v>
      </c>
      <c r="B1666" s="3" t="s">
        <v>1809</v>
      </c>
      <c r="C1666" s="3" t="s">
        <v>1810</v>
      </c>
      <c r="D1666" s="3" t="s">
        <v>1778</v>
      </c>
      <c r="E1666" s="3" t="str">
        <v>Cugy (VD)</v>
      </c>
      <c r="I1666" s="19">
        <v>5325</v>
      </c>
      <c r="J1666" s="19" t="s">
        <v>4551</v>
      </c>
    </row>
    <row r="1667" spans="1:10" x14ac:dyDescent="0.2">
      <c r="A1667" s="3">
        <v>4222</v>
      </c>
      <c r="B1667" s="3" t="s">
        <v>1811</v>
      </c>
      <c r="C1667" s="3" t="s">
        <v>1811</v>
      </c>
      <c r="D1667" s="3" t="s">
        <v>1778</v>
      </c>
      <c r="E1667" s="3" t="str">
        <v>Echallens</v>
      </c>
      <c r="I1667" s="19">
        <v>5326</v>
      </c>
      <c r="J1667" s="19" t="s">
        <v>4551</v>
      </c>
    </row>
    <row r="1668" spans="1:10" x14ac:dyDescent="0.2">
      <c r="A1668" s="3">
        <v>4422</v>
      </c>
      <c r="B1668" s="3" t="s">
        <v>1812</v>
      </c>
      <c r="C1668" s="3" t="s">
        <v>1812</v>
      </c>
      <c r="D1668" s="3" t="s">
        <v>1778</v>
      </c>
      <c r="E1668" s="3" t="str">
        <v>Essertines-sur-Yverdon</v>
      </c>
      <c r="I1668" s="19">
        <v>5330</v>
      </c>
      <c r="J1668" s="19" t="s">
        <v>4559</v>
      </c>
    </row>
    <row r="1669" spans="1:10" x14ac:dyDescent="0.2">
      <c r="A1669" s="3">
        <v>4302</v>
      </c>
      <c r="B1669" s="3" t="s">
        <v>1813</v>
      </c>
      <c r="C1669" s="3" t="s">
        <v>1814</v>
      </c>
      <c r="D1669" s="3" t="s">
        <v>1778</v>
      </c>
      <c r="E1669" s="3" t="str">
        <v>Etagnières</v>
      </c>
      <c r="I1669" s="19">
        <v>5332</v>
      </c>
      <c r="J1669" s="19" t="s">
        <v>4559</v>
      </c>
    </row>
    <row r="1670" spans="1:10" x14ac:dyDescent="0.2">
      <c r="A1670" s="3">
        <v>4416</v>
      </c>
      <c r="B1670" s="3" t="s">
        <v>1815</v>
      </c>
      <c r="C1670" s="3" t="s">
        <v>1815</v>
      </c>
      <c r="D1670" s="3" t="s">
        <v>1778</v>
      </c>
      <c r="E1670" s="3" t="str">
        <v>Fey</v>
      </c>
      <c r="I1670" s="19">
        <v>5333</v>
      </c>
      <c r="J1670" s="19" t="s">
        <v>4559</v>
      </c>
    </row>
    <row r="1671" spans="1:10" x14ac:dyDescent="0.2">
      <c r="A1671" s="3">
        <v>4402</v>
      </c>
      <c r="B1671" s="3" t="s">
        <v>1816</v>
      </c>
      <c r="C1671" s="3" t="s">
        <v>1816</v>
      </c>
      <c r="D1671" s="3" t="s">
        <v>1778</v>
      </c>
      <c r="E1671" s="3" t="str">
        <v>Froideville</v>
      </c>
      <c r="I1671" s="19">
        <v>5334</v>
      </c>
      <c r="J1671" s="19" t="s">
        <v>4559</v>
      </c>
    </row>
    <row r="1672" spans="1:10" x14ac:dyDescent="0.2">
      <c r="A1672" s="3">
        <v>4414</v>
      </c>
      <c r="B1672" s="3" t="s">
        <v>1817</v>
      </c>
      <c r="C1672" s="3" t="s">
        <v>1817</v>
      </c>
      <c r="D1672" s="3" t="s">
        <v>1778</v>
      </c>
      <c r="E1672" s="3" t="str">
        <v>Morrens (VD)</v>
      </c>
      <c r="I1672" s="19">
        <v>5400</v>
      </c>
      <c r="J1672" s="19" t="s">
        <v>4559</v>
      </c>
    </row>
    <row r="1673" spans="1:10" x14ac:dyDescent="0.2">
      <c r="A1673" s="3">
        <v>4304</v>
      </c>
      <c r="B1673" s="3" t="s">
        <v>1818</v>
      </c>
      <c r="C1673" s="3" t="s">
        <v>1818</v>
      </c>
      <c r="D1673" s="3" t="s">
        <v>1778</v>
      </c>
      <c r="E1673" s="3" t="str">
        <v>Oulens-sous-Echallens</v>
      </c>
      <c r="I1673" s="19">
        <v>5404</v>
      </c>
      <c r="J1673" s="19" t="s">
        <v>4559</v>
      </c>
    </row>
    <row r="1674" spans="1:10" x14ac:dyDescent="0.2">
      <c r="A1674" s="3">
        <v>4423</v>
      </c>
      <c r="B1674" s="3" t="s">
        <v>1819</v>
      </c>
      <c r="C1674" s="3" t="s">
        <v>1819</v>
      </c>
      <c r="D1674" s="3" t="s">
        <v>1778</v>
      </c>
      <c r="E1674" s="3" t="str">
        <v>Pailly</v>
      </c>
      <c r="I1674" s="19">
        <v>5405</v>
      </c>
      <c r="J1674" s="19" t="s">
        <v>4559</v>
      </c>
    </row>
    <row r="1675" spans="1:10" x14ac:dyDescent="0.2">
      <c r="A1675" s="3">
        <v>4415</v>
      </c>
      <c r="B1675" s="3" t="s">
        <v>1820</v>
      </c>
      <c r="C1675" s="3" t="s">
        <v>1820</v>
      </c>
      <c r="D1675" s="3" t="s">
        <v>1778</v>
      </c>
      <c r="E1675" s="3" t="str">
        <v>Penthéréaz</v>
      </c>
      <c r="I1675" s="19">
        <v>5406</v>
      </c>
      <c r="J1675" s="19" t="s">
        <v>4558</v>
      </c>
    </row>
    <row r="1676" spans="1:10" x14ac:dyDescent="0.2">
      <c r="A1676" s="3">
        <v>4410</v>
      </c>
      <c r="B1676" s="3" t="s">
        <v>1821</v>
      </c>
      <c r="C1676" s="3" t="s">
        <v>1821</v>
      </c>
      <c r="D1676" s="3" t="s">
        <v>1778</v>
      </c>
      <c r="E1676" s="3" t="str">
        <v>Poliez-Pittet</v>
      </c>
      <c r="I1676" s="19">
        <v>5408</v>
      </c>
      <c r="J1676" s="19" t="s">
        <v>4559</v>
      </c>
    </row>
    <row r="1677" spans="1:10" x14ac:dyDescent="0.2">
      <c r="A1677" s="3">
        <v>4419</v>
      </c>
      <c r="B1677" s="3" t="s">
        <v>1822</v>
      </c>
      <c r="C1677" s="3" t="s">
        <v>1822</v>
      </c>
      <c r="D1677" s="3" t="s">
        <v>1778</v>
      </c>
      <c r="E1677" s="3" t="str">
        <v>Rueyres</v>
      </c>
      <c r="I1677" s="19">
        <v>5412</v>
      </c>
      <c r="J1677" s="19" t="s">
        <v>4558</v>
      </c>
    </row>
    <row r="1678" spans="1:10" x14ac:dyDescent="0.2">
      <c r="A1678" s="3">
        <v>4133</v>
      </c>
      <c r="B1678" s="3" t="s">
        <v>1823</v>
      </c>
      <c r="C1678" s="3" t="s">
        <v>1823</v>
      </c>
      <c r="D1678" s="3" t="s">
        <v>1778</v>
      </c>
      <c r="E1678" s="3" t="str">
        <v>Saint-Barthélemy (VD)</v>
      </c>
      <c r="I1678" s="19">
        <v>5413</v>
      </c>
      <c r="J1678" s="19" t="s">
        <v>4558</v>
      </c>
    </row>
    <row r="1679" spans="1:10" x14ac:dyDescent="0.2">
      <c r="A1679" s="3">
        <v>4433</v>
      </c>
      <c r="B1679" s="3" t="s">
        <v>1824</v>
      </c>
      <c r="C1679" s="3" t="s">
        <v>1824</v>
      </c>
      <c r="D1679" s="3" t="s">
        <v>1778</v>
      </c>
      <c r="E1679" s="3" t="str">
        <v>Villars-le-Terroir</v>
      </c>
      <c r="I1679" s="19">
        <v>5415</v>
      </c>
      <c r="J1679" s="19" t="s">
        <v>4559</v>
      </c>
    </row>
    <row r="1680" spans="1:10" x14ac:dyDescent="0.2">
      <c r="A1680" s="3">
        <v>4411</v>
      </c>
      <c r="B1680" s="3" t="s">
        <v>1825</v>
      </c>
      <c r="C1680" s="3" t="s">
        <v>1825</v>
      </c>
      <c r="D1680" s="3" t="s">
        <v>1778</v>
      </c>
      <c r="E1680" s="3" t="str">
        <v>Vuarrens</v>
      </c>
      <c r="I1680" s="19">
        <v>5416</v>
      </c>
      <c r="J1680" s="19" t="s">
        <v>4559</v>
      </c>
    </row>
    <row r="1681" spans="1:10" x14ac:dyDescent="0.2">
      <c r="A1681" s="3">
        <v>4417</v>
      </c>
      <c r="B1681" s="3" t="s">
        <v>1826</v>
      </c>
      <c r="C1681" s="3" t="s">
        <v>1826</v>
      </c>
      <c r="D1681" s="3" t="s">
        <v>1778</v>
      </c>
      <c r="E1681" s="3" t="str">
        <v>Montilliez</v>
      </c>
      <c r="I1681" s="19">
        <v>5417</v>
      </c>
      <c r="J1681" s="19" t="s">
        <v>4559</v>
      </c>
    </row>
    <row r="1682" spans="1:10" x14ac:dyDescent="0.2">
      <c r="A1682" s="3">
        <v>4469</v>
      </c>
      <c r="B1682" s="3" t="s">
        <v>1827</v>
      </c>
      <c r="C1682" s="3" t="s">
        <v>1827</v>
      </c>
      <c r="D1682" s="3" t="s">
        <v>1778</v>
      </c>
      <c r="E1682" s="3" t="str">
        <v>Goumoëns</v>
      </c>
      <c r="I1682" s="19">
        <v>5420</v>
      </c>
      <c r="J1682" s="19" t="s">
        <v>4559</v>
      </c>
    </row>
    <row r="1683" spans="1:10" x14ac:dyDescent="0.2">
      <c r="A1683" s="3">
        <v>4461</v>
      </c>
      <c r="B1683" s="3" t="s">
        <v>1828</v>
      </c>
      <c r="C1683" s="3" t="s">
        <v>1828</v>
      </c>
      <c r="D1683" s="3" t="s">
        <v>1778</v>
      </c>
      <c r="E1683" s="3" t="str">
        <v>Bonvillars</v>
      </c>
      <c r="I1683" s="19">
        <v>5423</v>
      </c>
      <c r="J1683" s="19" t="s">
        <v>4559</v>
      </c>
    </row>
    <row r="1684" spans="1:10" x14ac:dyDescent="0.2">
      <c r="A1684" s="3">
        <v>4446</v>
      </c>
      <c r="B1684" s="3" t="s">
        <v>1829</v>
      </c>
      <c r="C1684" s="3" t="s">
        <v>1829</v>
      </c>
      <c r="D1684" s="3" t="s">
        <v>1778</v>
      </c>
      <c r="E1684" s="3" t="str">
        <v>Bullet</v>
      </c>
      <c r="I1684" s="19">
        <v>5425</v>
      </c>
      <c r="J1684" s="19" t="s">
        <v>4559</v>
      </c>
    </row>
    <row r="1685" spans="1:10" x14ac:dyDescent="0.2">
      <c r="A1685" s="3">
        <v>4463</v>
      </c>
      <c r="B1685" s="3" t="s">
        <v>1830</v>
      </c>
      <c r="C1685" s="3" t="s">
        <v>1830</v>
      </c>
      <c r="D1685" s="3" t="s">
        <v>1778</v>
      </c>
      <c r="E1685" s="3" t="str">
        <v>Champagne</v>
      </c>
      <c r="I1685" s="19">
        <v>5426</v>
      </c>
      <c r="J1685" s="19" t="s">
        <v>4559</v>
      </c>
    </row>
    <row r="1686" spans="1:10" x14ac:dyDescent="0.2">
      <c r="A1686" s="3">
        <v>4442</v>
      </c>
      <c r="B1686" s="3" t="s">
        <v>1831</v>
      </c>
      <c r="C1686" s="3" t="s">
        <v>1831</v>
      </c>
      <c r="D1686" s="3" t="s">
        <v>1778</v>
      </c>
      <c r="E1686" s="3" t="str">
        <v>Concise</v>
      </c>
      <c r="I1686" s="19">
        <v>5430</v>
      </c>
      <c r="J1686" s="19" t="s">
        <v>4559</v>
      </c>
    </row>
    <row r="1687" spans="1:10" x14ac:dyDescent="0.2">
      <c r="A1687" s="3">
        <v>4460</v>
      </c>
      <c r="B1687" s="3" t="s">
        <v>1832</v>
      </c>
      <c r="C1687" s="3" t="s">
        <v>1832</v>
      </c>
      <c r="D1687" s="3" t="s">
        <v>1778</v>
      </c>
      <c r="E1687" s="3" t="str">
        <v>Corcelles-près-Concise</v>
      </c>
      <c r="I1687" s="19">
        <v>5432</v>
      </c>
      <c r="J1687" s="19" t="s">
        <v>4559</v>
      </c>
    </row>
    <row r="1688" spans="1:10" x14ac:dyDescent="0.2">
      <c r="A1688" s="3">
        <v>4445</v>
      </c>
      <c r="B1688" s="3" t="s">
        <v>1833</v>
      </c>
      <c r="C1688" s="3" t="s">
        <v>1833</v>
      </c>
      <c r="D1688" s="3" t="s">
        <v>1778</v>
      </c>
      <c r="E1688" s="3" t="str">
        <v>Fiez</v>
      </c>
      <c r="I1688" s="19">
        <v>5436</v>
      </c>
      <c r="J1688" s="19" t="s">
        <v>4559</v>
      </c>
    </row>
    <row r="1689" spans="1:10" x14ac:dyDescent="0.2">
      <c r="A1689" s="3">
        <v>4465</v>
      </c>
      <c r="B1689" s="3" t="s">
        <v>1834</v>
      </c>
      <c r="C1689" s="3" t="s">
        <v>1834</v>
      </c>
      <c r="D1689" s="3" t="s">
        <v>1778</v>
      </c>
      <c r="E1689" s="3" t="str">
        <v>Fontaines-sur-Grandson</v>
      </c>
      <c r="I1689" s="19">
        <v>5442</v>
      </c>
      <c r="J1689" s="19" t="s">
        <v>4559</v>
      </c>
    </row>
    <row r="1690" spans="1:10" x14ac:dyDescent="0.2">
      <c r="A1690" s="3">
        <v>4452</v>
      </c>
      <c r="B1690" s="3" t="s">
        <v>1835</v>
      </c>
      <c r="C1690" s="3" t="s">
        <v>1835</v>
      </c>
      <c r="D1690" s="3" t="s">
        <v>1778</v>
      </c>
      <c r="E1690" s="3" t="str">
        <v>Giez</v>
      </c>
      <c r="I1690" s="19">
        <v>5443</v>
      </c>
      <c r="J1690" s="19" t="s">
        <v>4559</v>
      </c>
    </row>
    <row r="1691" spans="1:10" x14ac:dyDescent="0.2">
      <c r="A1691" s="3">
        <v>4447</v>
      </c>
      <c r="B1691" s="3" t="s">
        <v>1836</v>
      </c>
      <c r="C1691" s="3" t="s">
        <v>1836</v>
      </c>
      <c r="D1691" s="3" t="s">
        <v>1778</v>
      </c>
      <c r="E1691" s="3" t="str">
        <v>Grandevent</v>
      </c>
      <c r="I1691" s="19">
        <v>5444</v>
      </c>
      <c r="J1691" s="19" t="s">
        <v>4558</v>
      </c>
    </row>
    <row r="1692" spans="1:10" x14ac:dyDescent="0.2">
      <c r="A1692" s="3">
        <v>4496</v>
      </c>
      <c r="B1692" s="3" t="s">
        <v>1837</v>
      </c>
      <c r="C1692" s="3" t="s">
        <v>1838</v>
      </c>
      <c r="D1692" s="3" t="s">
        <v>1778</v>
      </c>
      <c r="E1692" s="3" t="str">
        <v>Grandson</v>
      </c>
      <c r="I1692" s="19">
        <v>5445</v>
      </c>
      <c r="J1692" s="19" t="s">
        <v>4558</v>
      </c>
    </row>
    <row r="1693" spans="1:10" x14ac:dyDescent="0.2">
      <c r="A1693" s="3">
        <v>4448</v>
      </c>
      <c r="B1693" s="3" t="s">
        <v>1839</v>
      </c>
      <c r="C1693" s="3" t="s">
        <v>1839</v>
      </c>
      <c r="D1693" s="3" t="s">
        <v>1778</v>
      </c>
      <c r="E1693" s="3" t="str">
        <v>Mauborget</v>
      </c>
      <c r="I1693" s="19">
        <v>5452</v>
      </c>
      <c r="J1693" s="19" t="s">
        <v>4559</v>
      </c>
    </row>
    <row r="1694" spans="1:10" x14ac:dyDescent="0.2">
      <c r="A1694" s="3">
        <v>4464</v>
      </c>
      <c r="B1694" s="3" t="s">
        <v>1840</v>
      </c>
      <c r="C1694" s="3" t="s">
        <v>1840</v>
      </c>
      <c r="D1694" s="3" t="s">
        <v>1778</v>
      </c>
      <c r="E1694" s="3" t="str">
        <v>Mutrux</v>
      </c>
      <c r="I1694" s="19">
        <v>5453</v>
      </c>
      <c r="J1694" s="19" t="s">
        <v>4559</v>
      </c>
    </row>
    <row r="1695" spans="1:10" x14ac:dyDescent="0.2">
      <c r="A1695" s="3">
        <v>4453</v>
      </c>
      <c r="B1695" s="3" t="s">
        <v>1841</v>
      </c>
      <c r="C1695" s="3" t="s">
        <v>1841</v>
      </c>
      <c r="D1695" s="3" t="s">
        <v>1778</v>
      </c>
      <c r="E1695" s="3" t="str">
        <v>Novalles</v>
      </c>
      <c r="I1695" s="19">
        <v>5454</v>
      </c>
      <c r="J1695" s="19" t="s">
        <v>4560</v>
      </c>
    </row>
    <row r="1696" spans="1:10" x14ac:dyDescent="0.2">
      <c r="A1696" s="3">
        <v>4494</v>
      </c>
      <c r="B1696" s="3" t="s">
        <v>1842</v>
      </c>
      <c r="C1696" s="3" t="s">
        <v>1842</v>
      </c>
      <c r="D1696" s="3" t="s">
        <v>1778</v>
      </c>
      <c r="E1696" s="3" t="str">
        <v>Onnens (VD)</v>
      </c>
      <c r="I1696" s="19">
        <v>5462</v>
      </c>
      <c r="J1696" s="19" t="s">
        <v>4559</v>
      </c>
    </row>
    <row r="1697" spans="1:10" x14ac:dyDescent="0.2">
      <c r="A1697" s="3">
        <v>4466</v>
      </c>
      <c r="B1697" s="3" t="s">
        <v>1843</v>
      </c>
      <c r="C1697" s="3" t="s">
        <v>1843</v>
      </c>
      <c r="D1697" s="3" t="s">
        <v>1778</v>
      </c>
      <c r="E1697" s="3" t="str">
        <v>Provence</v>
      </c>
      <c r="I1697" s="19">
        <v>5463</v>
      </c>
      <c r="J1697" s="19" t="s">
        <v>4559</v>
      </c>
    </row>
    <row r="1698" spans="1:10" x14ac:dyDescent="0.2">
      <c r="A1698" s="3">
        <v>4462</v>
      </c>
      <c r="B1698" s="3" t="s">
        <v>1844</v>
      </c>
      <c r="C1698" s="3" t="s">
        <v>1845</v>
      </c>
      <c r="D1698" s="3" t="s">
        <v>1778</v>
      </c>
      <c r="E1698" s="3" t="str">
        <v>Sainte-Croix</v>
      </c>
      <c r="I1698" s="19">
        <v>5464</v>
      </c>
      <c r="J1698" s="19" t="s">
        <v>4559</v>
      </c>
    </row>
    <row r="1699" spans="1:10" x14ac:dyDescent="0.2">
      <c r="A1699" s="3">
        <v>4467</v>
      </c>
      <c r="B1699" s="3" t="s">
        <v>1846</v>
      </c>
      <c r="C1699" s="3" t="s">
        <v>1846</v>
      </c>
      <c r="D1699" s="3" t="s">
        <v>1778</v>
      </c>
      <c r="E1699" s="3" t="str">
        <v>Tévenon</v>
      </c>
      <c r="I1699" s="19">
        <v>5465</v>
      </c>
      <c r="J1699" s="19" t="s">
        <v>4559</v>
      </c>
    </row>
    <row r="1700" spans="1:10" x14ac:dyDescent="0.2">
      <c r="A1700" s="3">
        <v>4444</v>
      </c>
      <c r="B1700" s="3" t="s">
        <v>1847</v>
      </c>
      <c r="C1700" s="3" t="s">
        <v>1847</v>
      </c>
      <c r="D1700" s="3" t="s">
        <v>1778</v>
      </c>
      <c r="E1700" s="3" t="str">
        <v>Belmont-sur-Lausanne</v>
      </c>
      <c r="I1700" s="19">
        <v>5466</v>
      </c>
      <c r="J1700" s="19" t="s">
        <v>4559</v>
      </c>
    </row>
    <row r="1701" spans="1:10" x14ac:dyDescent="0.2">
      <c r="A1701" s="3">
        <v>4497</v>
      </c>
      <c r="B1701" s="3" t="s">
        <v>1848</v>
      </c>
      <c r="C1701" s="3" t="s">
        <v>1848</v>
      </c>
      <c r="D1701" s="3" t="s">
        <v>1778</v>
      </c>
      <c r="E1701" s="3" t="str">
        <v>Cheseaux-sur-Lausanne</v>
      </c>
      <c r="I1701" s="19">
        <v>5467</v>
      </c>
      <c r="J1701" s="19" t="s">
        <v>4559</v>
      </c>
    </row>
    <row r="1702" spans="1:10" x14ac:dyDescent="0.2">
      <c r="A1702" s="3">
        <v>4450</v>
      </c>
      <c r="B1702" s="3" t="s">
        <v>1849</v>
      </c>
      <c r="C1702" s="3" t="s">
        <v>1849</v>
      </c>
      <c r="D1702" s="3" t="s">
        <v>1778</v>
      </c>
      <c r="E1702" s="3" t="str">
        <v>Crissier</v>
      </c>
      <c r="I1702" s="19">
        <v>5502</v>
      </c>
      <c r="J1702" s="19" t="s">
        <v>4558</v>
      </c>
    </row>
    <row r="1703" spans="1:10" x14ac:dyDescent="0.2">
      <c r="A1703" s="3">
        <v>4492</v>
      </c>
      <c r="B1703" s="3" t="s">
        <v>1850</v>
      </c>
      <c r="C1703" s="3" t="s">
        <v>1850</v>
      </c>
      <c r="D1703" s="3" t="s">
        <v>1778</v>
      </c>
      <c r="E1703" s="3" t="str">
        <v>Epalinges</v>
      </c>
      <c r="I1703" s="19">
        <v>5503</v>
      </c>
      <c r="J1703" s="19" t="s">
        <v>4558</v>
      </c>
    </row>
    <row r="1704" spans="1:10" x14ac:dyDescent="0.2">
      <c r="A1704" s="3">
        <v>4456</v>
      </c>
      <c r="B1704" s="3" t="s">
        <v>1851</v>
      </c>
      <c r="C1704" s="3" t="s">
        <v>1851</v>
      </c>
      <c r="D1704" s="3" t="s">
        <v>1778</v>
      </c>
      <c r="E1704" s="3" t="str">
        <v>Jouxtens-Mézery</v>
      </c>
      <c r="I1704" s="19">
        <v>5504</v>
      </c>
      <c r="J1704" s="19" t="s">
        <v>4558</v>
      </c>
    </row>
    <row r="1705" spans="1:10" x14ac:dyDescent="0.2">
      <c r="A1705" s="3">
        <v>4441</v>
      </c>
      <c r="B1705" s="3" t="s">
        <v>1852</v>
      </c>
      <c r="C1705" s="3" t="s">
        <v>1852</v>
      </c>
      <c r="D1705" s="3" t="s">
        <v>1778</v>
      </c>
      <c r="E1705" s="3" t="str">
        <v>Lausanne</v>
      </c>
      <c r="I1705" s="19">
        <v>5505</v>
      </c>
      <c r="J1705" s="19" t="s">
        <v>4558</v>
      </c>
    </row>
    <row r="1706" spans="1:10" x14ac:dyDescent="0.2">
      <c r="A1706" s="3">
        <v>4493</v>
      </c>
      <c r="B1706" s="3" t="s">
        <v>1853</v>
      </c>
      <c r="C1706" s="3" t="s">
        <v>1853</v>
      </c>
      <c r="D1706" s="3" t="s">
        <v>1778</v>
      </c>
      <c r="E1706" s="3" t="str">
        <v>Le Mont-sur-Lausanne</v>
      </c>
      <c r="I1706" s="19">
        <v>5506</v>
      </c>
      <c r="J1706" s="19" t="s">
        <v>4558</v>
      </c>
    </row>
    <row r="1707" spans="1:10" x14ac:dyDescent="0.2">
      <c r="A1707" s="3">
        <v>4451</v>
      </c>
      <c r="B1707" s="3" t="s">
        <v>1854</v>
      </c>
      <c r="C1707" s="3" t="s">
        <v>1854</v>
      </c>
      <c r="D1707" s="3" t="s">
        <v>1778</v>
      </c>
      <c r="E1707" s="3" t="str">
        <v>Paudex</v>
      </c>
      <c r="I1707" s="19">
        <v>5507</v>
      </c>
      <c r="J1707" s="19" t="s">
        <v>4558</v>
      </c>
    </row>
    <row r="1708" spans="1:10" x14ac:dyDescent="0.2">
      <c r="A1708" s="3">
        <v>4443</v>
      </c>
      <c r="B1708" s="3" t="s">
        <v>1855</v>
      </c>
      <c r="C1708" s="3" t="s">
        <v>1855</v>
      </c>
      <c r="D1708" s="3" t="s">
        <v>1778</v>
      </c>
      <c r="E1708" s="3" t="str">
        <v>Prilly</v>
      </c>
      <c r="I1708" s="19">
        <v>5512</v>
      </c>
      <c r="J1708" s="19" t="s">
        <v>4558</v>
      </c>
    </row>
    <row r="1709" spans="1:10" x14ac:dyDescent="0.2">
      <c r="A1709" s="3">
        <v>4495</v>
      </c>
      <c r="B1709" s="3" t="s">
        <v>1856</v>
      </c>
      <c r="C1709" s="3" t="s">
        <v>1856</v>
      </c>
      <c r="D1709" s="3" t="s">
        <v>1778</v>
      </c>
      <c r="E1709" s="3" t="str">
        <v>Pully</v>
      </c>
      <c r="I1709" s="19">
        <v>5522</v>
      </c>
      <c r="J1709" s="19" t="s">
        <v>4558</v>
      </c>
    </row>
    <row r="1710" spans="1:10" x14ac:dyDescent="0.2">
      <c r="A1710" s="3">
        <v>4455</v>
      </c>
      <c r="B1710" s="3" t="s">
        <v>1857</v>
      </c>
      <c r="C1710" s="3" t="s">
        <v>1857</v>
      </c>
      <c r="D1710" s="3" t="s">
        <v>1778</v>
      </c>
      <c r="E1710" s="3" t="str">
        <v>Renens (VD)</v>
      </c>
      <c r="I1710" s="19">
        <v>5524</v>
      </c>
      <c r="J1710" s="19" t="s">
        <v>4558</v>
      </c>
    </row>
    <row r="1711" spans="1:10" x14ac:dyDescent="0.2">
      <c r="A1711" s="3">
        <v>4424</v>
      </c>
      <c r="B1711" s="3" t="s">
        <v>1858</v>
      </c>
      <c r="C1711" s="3" t="s">
        <v>1858</v>
      </c>
      <c r="D1711" s="3" t="s">
        <v>1778</v>
      </c>
      <c r="E1711" s="3" t="str">
        <v>Romanel-sur-Lausanne</v>
      </c>
      <c r="I1711" s="19">
        <v>5525</v>
      </c>
      <c r="J1711" s="19" t="s">
        <v>4558</v>
      </c>
    </row>
    <row r="1712" spans="1:10" x14ac:dyDescent="0.2">
      <c r="A1712" s="3">
        <v>4431</v>
      </c>
      <c r="B1712" s="3" t="s">
        <v>1859</v>
      </c>
      <c r="C1712" s="3" t="s">
        <v>1859</v>
      </c>
      <c r="D1712" s="3" t="s">
        <v>1778</v>
      </c>
      <c r="E1712" s="3" t="str">
        <v>Chexbres</v>
      </c>
      <c r="I1712" s="19">
        <v>5600</v>
      </c>
      <c r="J1712" s="19" t="s">
        <v>4558</v>
      </c>
    </row>
    <row r="1713" spans="1:10" x14ac:dyDescent="0.2">
      <c r="A1713" s="3">
        <v>4207</v>
      </c>
      <c r="B1713" s="3" t="s">
        <v>1860</v>
      </c>
      <c r="C1713" s="3" t="s">
        <v>1860</v>
      </c>
      <c r="D1713" s="3" t="s">
        <v>1778</v>
      </c>
      <c r="E1713" s="3" t="str">
        <v>Forel (Lavaux)</v>
      </c>
      <c r="I1713" s="19">
        <v>5603</v>
      </c>
      <c r="J1713" s="19" t="s">
        <v>4558</v>
      </c>
    </row>
    <row r="1714" spans="1:10" x14ac:dyDescent="0.2">
      <c r="A1714" s="3">
        <v>4457</v>
      </c>
      <c r="B1714" s="3" t="s">
        <v>1861</v>
      </c>
      <c r="C1714" s="3" t="s">
        <v>1861</v>
      </c>
      <c r="D1714" s="3" t="s">
        <v>1778</v>
      </c>
      <c r="E1714" s="3" t="str">
        <v>Lutry</v>
      </c>
      <c r="I1714" s="19">
        <v>5604</v>
      </c>
      <c r="J1714" s="19" t="s">
        <v>4558</v>
      </c>
    </row>
    <row r="1715" spans="1:10" x14ac:dyDescent="0.2">
      <c r="A1715" s="3">
        <v>4458</v>
      </c>
      <c r="B1715" s="3" t="s">
        <v>1862</v>
      </c>
      <c r="C1715" s="3" t="s">
        <v>1862</v>
      </c>
      <c r="D1715" s="3" t="s">
        <v>1778</v>
      </c>
      <c r="E1715" s="3" t="str">
        <v>Puidoux</v>
      </c>
      <c r="I1715" s="19">
        <v>5605</v>
      </c>
      <c r="J1715" s="19" t="s">
        <v>4558</v>
      </c>
    </row>
    <row r="1716" spans="1:10" x14ac:dyDescent="0.2">
      <c r="A1716" s="3">
        <v>4434</v>
      </c>
      <c r="B1716" s="3" t="s">
        <v>1863</v>
      </c>
      <c r="C1716" s="3" t="s">
        <v>1863</v>
      </c>
      <c r="D1716" s="3" t="s">
        <v>1778</v>
      </c>
      <c r="E1716" s="3" t="str">
        <v>Rivaz</v>
      </c>
      <c r="I1716" s="19">
        <v>5606</v>
      </c>
      <c r="J1716" s="19" t="s">
        <v>4558</v>
      </c>
    </row>
    <row r="1717" spans="1:10" x14ac:dyDescent="0.2">
      <c r="A1717" s="3">
        <v>4432</v>
      </c>
      <c r="B1717" s="3" t="s">
        <v>1864</v>
      </c>
      <c r="C1717" s="3" t="s">
        <v>1864</v>
      </c>
      <c r="D1717" s="3" t="s">
        <v>1778</v>
      </c>
      <c r="E1717" s="3" t="str">
        <v>Saint-Saphorin (Lavaux)</v>
      </c>
      <c r="I1717" s="19">
        <v>5607</v>
      </c>
      <c r="J1717" s="19" t="s">
        <v>4558</v>
      </c>
    </row>
    <row r="1718" spans="1:10" x14ac:dyDescent="0.2">
      <c r="A1718" s="3">
        <v>4438</v>
      </c>
      <c r="B1718" s="3" t="s">
        <v>1865</v>
      </c>
      <c r="C1718" s="3" t="s">
        <v>1865</v>
      </c>
      <c r="D1718" s="3" t="s">
        <v>1778</v>
      </c>
      <c r="E1718" s="3" t="str">
        <v>Savigny</v>
      </c>
      <c r="I1718" s="19">
        <v>5608</v>
      </c>
      <c r="J1718" s="19" t="s">
        <v>4558</v>
      </c>
    </row>
    <row r="1719" spans="1:10" x14ac:dyDescent="0.2">
      <c r="A1719" s="3">
        <v>4426</v>
      </c>
      <c r="B1719" s="3" t="s">
        <v>1866</v>
      </c>
      <c r="C1719" s="3" t="s">
        <v>1866</v>
      </c>
      <c r="D1719" s="3" t="s">
        <v>1778</v>
      </c>
      <c r="E1719" s="3" t="str">
        <v>Bourg-en-Lavaux</v>
      </c>
      <c r="I1719" s="19">
        <v>5610</v>
      </c>
      <c r="J1719" s="19" t="s">
        <v>4558</v>
      </c>
    </row>
    <row r="1720" spans="1:10" x14ac:dyDescent="0.2">
      <c r="A1720" s="3">
        <v>4436</v>
      </c>
      <c r="B1720" s="3" t="s">
        <v>1867</v>
      </c>
      <c r="C1720" s="3" t="s">
        <v>1867</v>
      </c>
      <c r="D1720" s="3" t="s">
        <v>1778</v>
      </c>
      <c r="E1720" s="3" t="str">
        <v>Aclens</v>
      </c>
      <c r="I1720" s="19">
        <v>5611</v>
      </c>
      <c r="J1720" s="19" t="s">
        <v>4558</v>
      </c>
    </row>
    <row r="1721" spans="1:10" x14ac:dyDescent="0.2">
      <c r="A1721" s="3">
        <v>4435</v>
      </c>
      <c r="B1721" s="3" t="s">
        <v>1868</v>
      </c>
      <c r="C1721" s="3" t="s">
        <v>1868</v>
      </c>
      <c r="D1721" s="3" t="s">
        <v>1778</v>
      </c>
      <c r="E1721" s="3" t="str">
        <v>Bremblens</v>
      </c>
      <c r="I1721" s="19">
        <v>5612</v>
      </c>
      <c r="J1721" s="19" t="s">
        <v>4558</v>
      </c>
    </row>
    <row r="1722" spans="1:10" x14ac:dyDescent="0.2">
      <c r="A1722" s="3">
        <v>4436</v>
      </c>
      <c r="B1722" s="3" t="s">
        <v>1869</v>
      </c>
      <c r="C1722" s="3" t="s">
        <v>1870</v>
      </c>
      <c r="D1722" s="3" t="s">
        <v>1778</v>
      </c>
      <c r="E1722" s="3" t="str">
        <v>Buchillon</v>
      </c>
      <c r="I1722" s="19">
        <v>5613</v>
      </c>
      <c r="J1722" s="19" t="s">
        <v>4558</v>
      </c>
    </row>
    <row r="1723" spans="1:10" x14ac:dyDescent="0.2">
      <c r="A1723" s="3">
        <v>4418</v>
      </c>
      <c r="B1723" s="3" t="s">
        <v>1871</v>
      </c>
      <c r="C1723" s="3" t="s">
        <v>1871</v>
      </c>
      <c r="D1723" s="3" t="s">
        <v>1778</v>
      </c>
      <c r="E1723" s="3" t="str">
        <v>Bussigny</v>
      </c>
      <c r="I1723" s="19">
        <v>5614</v>
      </c>
      <c r="J1723" s="19" t="s">
        <v>4558</v>
      </c>
    </row>
    <row r="1724" spans="1:10" x14ac:dyDescent="0.2">
      <c r="A1724" s="3">
        <v>4425</v>
      </c>
      <c r="B1724" s="3" t="s">
        <v>1872</v>
      </c>
      <c r="C1724" s="3" t="s">
        <v>1872</v>
      </c>
      <c r="D1724" s="3" t="s">
        <v>1778</v>
      </c>
      <c r="E1724" s="3" t="str">
        <v>Chavannes-près-Renens</v>
      </c>
      <c r="I1724" s="19">
        <v>5615</v>
      </c>
      <c r="J1724" s="19" t="s">
        <v>4558</v>
      </c>
    </row>
    <row r="1725" spans="1:10" x14ac:dyDescent="0.2">
      <c r="A1725" s="3">
        <v>4437</v>
      </c>
      <c r="B1725" s="3" t="s">
        <v>1873</v>
      </c>
      <c r="C1725" s="3" t="s">
        <v>1873</v>
      </c>
      <c r="D1725" s="3" t="s">
        <v>1778</v>
      </c>
      <c r="E1725" s="3" t="str">
        <v>Chigny</v>
      </c>
      <c r="I1725" s="19">
        <v>5616</v>
      </c>
      <c r="J1725" s="19" t="s">
        <v>4558</v>
      </c>
    </row>
    <row r="1726" spans="1:10" x14ac:dyDescent="0.2">
      <c r="A1726" s="3">
        <v>8214</v>
      </c>
      <c r="B1726" s="3" t="s">
        <v>1874</v>
      </c>
      <c r="C1726" s="3" t="s">
        <v>1874</v>
      </c>
      <c r="D1726" s="3" t="s">
        <v>1875</v>
      </c>
      <c r="E1726" s="3" t="str">
        <v>Clarmont</v>
      </c>
      <c r="I1726" s="19">
        <v>5617</v>
      </c>
      <c r="J1726" s="19" t="s">
        <v>4558</v>
      </c>
    </row>
    <row r="1727" spans="1:10" x14ac:dyDescent="0.2">
      <c r="A1727" s="3">
        <v>8214</v>
      </c>
      <c r="B1727" s="3" t="s">
        <v>1874</v>
      </c>
      <c r="C1727" s="3" t="s">
        <v>1874</v>
      </c>
      <c r="D1727" s="3" t="s">
        <v>1875</v>
      </c>
      <c r="E1727" s="3" t="str">
        <v>Denens</v>
      </c>
      <c r="I1727" s="19">
        <v>5618</v>
      </c>
      <c r="J1727" s="19" t="s">
        <v>4558</v>
      </c>
    </row>
    <row r="1728" spans="1:10" x14ac:dyDescent="0.2">
      <c r="A1728" s="3">
        <v>8224</v>
      </c>
      <c r="B1728" s="3" t="s">
        <v>1876</v>
      </c>
      <c r="C1728" s="3" t="s">
        <v>1876</v>
      </c>
      <c r="D1728" s="3" t="s">
        <v>1875</v>
      </c>
      <c r="E1728" s="3" t="str">
        <v>Denges</v>
      </c>
      <c r="I1728" s="19">
        <v>5619</v>
      </c>
      <c r="J1728" s="19" t="s">
        <v>4558</v>
      </c>
    </row>
    <row r="1729" spans="1:10" x14ac:dyDescent="0.2">
      <c r="A1729" s="3">
        <v>8213</v>
      </c>
      <c r="B1729" s="3" t="s">
        <v>1877</v>
      </c>
      <c r="C1729" s="3" t="s">
        <v>1877</v>
      </c>
      <c r="D1729" s="3" t="s">
        <v>1875</v>
      </c>
      <c r="E1729" s="3" t="str">
        <v>Echandens</v>
      </c>
      <c r="I1729" s="19">
        <v>5620</v>
      </c>
      <c r="J1729" s="19" t="s">
        <v>4558</v>
      </c>
    </row>
    <row r="1730" spans="1:10" x14ac:dyDescent="0.2">
      <c r="A1730" s="3">
        <v>8236</v>
      </c>
      <c r="B1730" s="3" t="s">
        <v>1878</v>
      </c>
      <c r="C1730" s="3" t="s">
        <v>1878</v>
      </c>
      <c r="D1730" s="3" t="s">
        <v>1875</v>
      </c>
      <c r="E1730" s="3" t="str">
        <v>Echichens</v>
      </c>
      <c r="I1730" s="19">
        <v>5621</v>
      </c>
      <c r="J1730" s="19" t="s">
        <v>4558</v>
      </c>
    </row>
    <row r="1731" spans="1:10" x14ac:dyDescent="0.2">
      <c r="A1731" s="3">
        <v>8239</v>
      </c>
      <c r="B1731" s="3" t="s">
        <v>1879</v>
      </c>
      <c r="C1731" s="3" t="s">
        <v>1879</v>
      </c>
      <c r="D1731" s="3" t="s">
        <v>1875</v>
      </c>
      <c r="E1731" s="3" t="str">
        <v>Ecublens (VD)</v>
      </c>
      <c r="I1731" s="19">
        <v>5622</v>
      </c>
      <c r="J1731" s="19" t="s">
        <v>4558</v>
      </c>
    </row>
    <row r="1732" spans="1:10" x14ac:dyDescent="0.2">
      <c r="A1732" s="3">
        <v>8235</v>
      </c>
      <c r="B1732" s="3" t="s">
        <v>1880</v>
      </c>
      <c r="C1732" s="3" t="s">
        <v>1881</v>
      </c>
      <c r="D1732" s="3" t="s">
        <v>1875</v>
      </c>
      <c r="E1732" s="3" t="str">
        <v>Etoy</v>
      </c>
      <c r="I1732" s="19">
        <v>5623</v>
      </c>
      <c r="J1732" s="19" t="s">
        <v>4558</v>
      </c>
    </row>
    <row r="1733" spans="1:10" x14ac:dyDescent="0.2">
      <c r="A1733" s="3">
        <v>8234</v>
      </c>
      <c r="B1733" s="3" t="s">
        <v>1882</v>
      </c>
      <c r="C1733" s="3" t="s">
        <v>1883</v>
      </c>
      <c r="D1733" s="3" t="s">
        <v>1875</v>
      </c>
      <c r="E1733" s="3" t="str">
        <v>Lavigny</v>
      </c>
      <c r="I1733" s="19">
        <v>5624</v>
      </c>
      <c r="J1733" s="19" t="s">
        <v>4558</v>
      </c>
    </row>
    <row r="1734" spans="1:10" x14ac:dyDescent="0.2">
      <c r="A1734" s="3">
        <v>8236</v>
      </c>
      <c r="B1734" s="3" t="s">
        <v>1884</v>
      </c>
      <c r="C1734" s="3" t="s">
        <v>1885</v>
      </c>
      <c r="D1734" s="3" t="s">
        <v>1875</v>
      </c>
      <c r="E1734" s="3" t="str">
        <v>Lonay</v>
      </c>
      <c r="I1734" s="19">
        <v>5625</v>
      </c>
      <c r="J1734" s="19" t="s">
        <v>4558</v>
      </c>
    </row>
    <row r="1735" spans="1:10" x14ac:dyDescent="0.2">
      <c r="A1735" s="3">
        <v>8240</v>
      </c>
      <c r="B1735" s="3" t="s">
        <v>1885</v>
      </c>
      <c r="C1735" s="3" t="s">
        <v>1885</v>
      </c>
      <c r="D1735" s="3" t="s">
        <v>1875</v>
      </c>
      <c r="E1735" s="3" t="str">
        <v>Lully (VD)</v>
      </c>
      <c r="I1735" s="19">
        <v>5626</v>
      </c>
      <c r="J1735" s="19" t="s">
        <v>4558</v>
      </c>
    </row>
    <row r="1736" spans="1:10" x14ac:dyDescent="0.2">
      <c r="A1736" s="3">
        <v>8241</v>
      </c>
      <c r="B1736" s="3" t="s">
        <v>1886</v>
      </c>
      <c r="C1736" s="3" t="s">
        <v>1885</v>
      </c>
      <c r="D1736" s="3" t="s">
        <v>1875</v>
      </c>
      <c r="E1736" s="3" t="str">
        <v>Lussy-sur-Morges</v>
      </c>
      <c r="I1736" s="19">
        <v>5627</v>
      </c>
      <c r="J1736" s="19" t="s">
        <v>4558</v>
      </c>
    </row>
    <row r="1737" spans="1:10" x14ac:dyDescent="0.2">
      <c r="A1737" s="3">
        <v>8242</v>
      </c>
      <c r="B1737" s="3" t="s">
        <v>1887</v>
      </c>
      <c r="C1737" s="3" t="s">
        <v>1885</v>
      </c>
      <c r="D1737" s="3" t="s">
        <v>1875</v>
      </c>
      <c r="E1737" s="3" t="str">
        <v>Morges</v>
      </c>
      <c r="I1737" s="19">
        <v>5628</v>
      </c>
      <c r="J1737" s="19" t="s">
        <v>4558</v>
      </c>
    </row>
    <row r="1738" spans="1:10" x14ac:dyDescent="0.2">
      <c r="A1738" s="3">
        <v>8242</v>
      </c>
      <c r="B1738" s="3" t="s">
        <v>1888</v>
      </c>
      <c r="C1738" s="3" t="s">
        <v>1885</v>
      </c>
      <c r="D1738" s="3" t="s">
        <v>1875</v>
      </c>
      <c r="E1738" s="3" t="str">
        <v>Préverenges</v>
      </c>
      <c r="I1738" s="19">
        <v>5630</v>
      </c>
      <c r="J1738" s="19" t="s">
        <v>4558</v>
      </c>
    </row>
    <row r="1739" spans="1:10" x14ac:dyDescent="0.2">
      <c r="A1739" s="3">
        <v>8243</v>
      </c>
      <c r="B1739" s="3" t="s">
        <v>1889</v>
      </c>
      <c r="C1739" s="3" t="s">
        <v>1885</v>
      </c>
      <c r="D1739" s="3" t="s">
        <v>1875</v>
      </c>
      <c r="E1739" s="3" t="str">
        <v>Romanel-sur-Morges</v>
      </c>
      <c r="I1739" s="19">
        <v>5632</v>
      </c>
      <c r="J1739" s="19" t="s">
        <v>4558</v>
      </c>
    </row>
    <row r="1740" spans="1:10" x14ac:dyDescent="0.2">
      <c r="A1740" s="3">
        <v>8233</v>
      </c>
      <c r="B1740" s="3" t="s">
        <v>1890</v>
      </c>
      <c r="C1740" s="3" t="s">
        <v>1891</v>
      </c>
      <c r="D1740" s="3" t="s">
        <v>1875</v>
      </c>
      <c r="E1740" s="3" t="str">
        <v>Saint-Prex</v>
      </c>
      <c r="I1740" s="19">
        <v>5634</v>
      </c>
      <c r="J1740" s="19" t="s">
        <v>4555</v>
      </c>
    </row>
    <row r="1741" spans="1:10" x14ac:dyDescent="0.2">
      <c r="A1741" s="3">
        <v>8222</v>
      </c>
      <c r="B1741" s="3" t="s">
        <v>1892</v>
      </c>
      <c r="C1741" s="3" t="s">
        <v>1892</v>
      </c>
      <c r="D1741" s="3" t="s">
        <v>1875</v>
      </c>
      <c r="E1741" s="3" t="str">
        <v>Saint-Sulpice (VD)</v>
      </c>
      <c r="I1741" s="19">
        <v>5636</v>
      </c>
      <c r="J1741" s="19" t="s">
        <v>4555</v>
      </c>
    </row>
    <row r="1742" spans="1:10" x14ac:dyDescent="0.2">
      <c r="A1742" s="3">
        <v>8223</v>
      </c>
      <c r="B1742" s="3" t="s">
        <v>1893</v>
      </c>
      <c r="C1742" s="3" t="s">
        <v>1892</v>
      </c>
      <c r="D1742" s="3" t="s">
        <v>1875</v>
      </c>
      <c r="E1742" s="3" t="str">
        <v>Tolochenaz</v>
      </c>
      <c r="I1742" s="19">
        <v>5637</v>
      </c>
      <c r="J1742" s="19" t="s">
        <v>4555</v>
      </c>
    </row>
    <row r="1743" spans="1:10" x14ac:dyDescent="0.2">
      <c r="A1743" s="3">
        <v>8454</v>
      </c>
      <c r="B1743" s="3" t="s">
        <v>1894</v>
      </c>
      <c r="C1743" s="3" t="s">
        <v>1894</v>
      </c>
      <c r="D1743" s="3" t="s">
        <v>1875</v>
      </c>
      <c r="E1743" s="3" t="str">
        <v>Vaux-sur-Morges</v>
      </c>
      <c r="I1743" s="19">
        <v>5642</v>
      </c>
      <c r="J1743" s="19" t="s">
        <v>4555</v>
      </c>
    </row>
    <row r="1744" spans="1:10" x14ac:dyDescent="0.2">
      <c r="A1744" s="3">
        <v>8232</v>
      </c>
      <c r="B1744" s="3" t="s">
        <v>1895</v>
      </c>
      <c r="C1744" s="3" t="s">
        <v>1895</v>
      </c>
      <c r="D1744" s="3" t="s">
        <v>1875</v>
      </c>
      <c r="E1744" s="3" t="str">
        <v>Villars-Sainte-Croix</v>
      </c>
      <c r="I1744" s="19">
        <v>5643</v>
      </c>
      <c r="J1744" s="19" t="s">
        <v>4555</v>
      </c>
    </row>
    <row r="1745" spans="1:10" x14ac:dyDescent="0.2">
      <c r="A1745" s="3">
        <v>8212</v>
      </c>
      <c r="B1745" s="3" t="s">
        <v>1896</v>
      </c>
      <c r="C1745" s="3" t="s">
        <v>1896</v>
      </c>
      <c r="D1745" s="3" t="s">
        <v>1875</v>
      </c>
      <c r="E1745" s="3" t="str">
        <v>Villars-sous-Yens</v>
      </c>
      <c r="I1745" s="19">
        <v>5644</v>
      </c>
      <c r="J1745" s="19" t="s">
        <v>4555</v>
      </c>
    </row>
    <row r="1746" spans="1:10" x14ac:dyDescent="0.2">
      <c r="A1746" s="3">
        <v>8455</v>
      </c>
      <c r="B1746" s="3" t="s">
        <v>1897</v>
      </c>
      <c r="C1746" s="3" t="s">
        <v>1897</v>
      </c>
      <c r="D1746" s="3" t="s">
        <v>1875</v>
      </c>
      <c r="E1746" s="3" t="str">
        <v>Vufflens-le-Château</v>
      </c>
      <c r="I1746" s="19">
        <v>5645</v>
      </c>
      <c r="J1746" s="19" t="s">
        <v>4555</v>
      </c>
    </row>
    <row r="1747" spans="1:10" x14ac:dyDescent="0.2">
      <c r="A1747" s="3">
        <v>8200</v>
      </c>
      <c r="B1747" s="3" t="s">
        <v>1898</v>
      </c>
      <c r="C1747" s="3" t="s">
        <v>1898</v>
      </c>
      <c r="D1747" s="3" t="s">
        <v>1875</v>
      </c>
      <c r="E1747" s="3" t="str">
        <v>Vullierens</v>
      </c>
      <c r="I1747" s="19">
        <v>5646</v>
      </c>
      <c r="J1747" s="19" t="s">
        <v>4555</v>
      </c>
    </row>
    <row r="1748" spans="1:10" x14ac:dyDescent="0.2">
      <c r="A1748" s="3">
        <v>8203</v>
      </c>
      <c r="B1748" s="3" t="s">
        <v>1898</v>
      </c>
      <c r="C1748" s="3" t="s">
        <v>1898</v>
      </c>
      <c r="D1748" s="3" t="s">
        <v>1875</v>
      </c>
      <c r="E1748" s="3" t="str">
        <v>Yens</v>
      </c>
      <c r="I1748" s="19">
        <v>5647</v>
      </c>
      <c r="J1748" s="19" t="s">
        <v>4555</v>
      </c>
    </row>
    <row r="1749" spans="1:10" x14ac:dyDescent="0.2">
      <c r="A1749" s="3">
        <v>8207</v>
      </c>
      <c r="B1749" s="3" t="s">
        <v>1898</v>
      </c>
      <c r="C1749" s="3" t="s">
        <v>1898</v>
      </c>
      <c r="D1749" s="3" t="s">
        <v>1875</v>
      </c>
      <c r="E1749" s="3" t="str">
        <v>Hautemorges</v>
      </c>
      <c r="I1749" s="19">
        <v>5702</v>
      </c>
      <c r="J1749" s="19" t="s">
        <v>4558</v>
      </c>
    </row>
    <row r="1750" spans="1:10" x14ac:dyDescent="0.2">
      <c r="A1750" s="3">
        <v>8208</v>
      </c>
      <c r="B1750" s="3" t="s">
        <v>1898</v>
      </c>
      <c r="C1750" s="3" t="s">
        <v>1898</v>
      </c>
      <c r="D1750" s="3" t="s">
        <v>1875</v>
      </c>
      <c r="E1750" s="3" t="str">
        <v>Boulens</v>
      </c>
      <c r="I1750" s="19">
        <v>5703</v>
      </c>
      <c r="J1750" s="19" t="s">
        <v>4558</v>
      </c>
    </row>
    <row r="1751" spans="1:10" x14ac:dyDescent="0.2">
      <c r="A1751" s="3">
        <v>8231</v>
      </c>
      <c r="B1751" s="3" t="s">
        <v>1899</v>
      </c>
      <c r="C1751" s="3" t="s">
        <v>1898</v>
      </c>
      <c r="D1751" s="3" t="s">
        <v>1875</v>
      </c>
      <c r="E1751" s="3" t="str">
        <v>Bussy-sur-Moudon</v>
      </c>
      <c r="I1751" s="19">
        <v>5704</v>
      </c>
      <c r="J1751" s="19" t="s">
        <v>4558</v>
      </c>
    </row>
    <row r="1752" spans="1:10" x14ac:dyDescent="0.2">
      <c r="A1752" s="3">
        <v>8228</v>
      </c>
      <c r="B1752" s="3" t="s">
        <v>1900</v>
      </c>
      <c r="C1752" s="3" t="s">
        <v>1900</v>
      </c>
      <c r="D1752" s="3" t="s">
        <v>1875</v>
      </c>
      <c r="E1752" s="3" t="str">
        <v>Chavannes-sur-Moudon</v>
      </c>
      <c r="I1752" s="19">
        <v>5705</v>
      </c>
      <c r="J1752" s="19" t="s">
        <v>4558</v>
      </c>
    </row>
    <row r="1753" spans="1:10" x14ac:dyDescent="0.2">
      <c r="A1753" s="3">
        <v>8226</v>
      </c>
      <c r="B1753" s="3" t="s">
        <v>1901</v>
      </c>
      <c r="C1753" s="3" t="s">
        <v>1901</v>
      </c>
      <c r="D1753" s="3" t="s">
        <v>1875</v>
      </c>
      <c r="E1753" s="3" t="str">
        <v>Curtilles</v>
      </c>
      <c r="I1753" s="19">
        <v>5706</v>
      </c>
      <c r="J1753" s="19" t="s">
        <v>4558</v>
      </c>
    </row>
    <row r="1754" spans="1:10" x14ac:dyDescent="0.2">
      <c r="A1754" s="3">
        <v>8225</v>
      </c>
      <c r="B1754" s="3" t="s">
        <v>1902</v>
      </c>
      <c r="C1754" s="3" t="s">
        <v>1902</v>
      </c>
      <c r="D1754" s="3" t="s">
        <v>1875</v>
      </c>
      <c r="E1754" s="3" t="str">
        <v>Dompierre (VD)</v>
      </c>
      <c r="I1754" s="19">
        <v>5707</v>
      </c>
      <c r="J1754" s="19" t="s">
        <v>4558</v>
      </c>
    </row>
    <row r="1755" spans="1:10" x14ac:dyDescent="0.2">
      <c r="A1755" s="3">
        <v>8263</v>
      </c>
      <c r="B1755" s="3" t="s">
        <v>1903</v>
      </c>
      <c r="C1755" s="3" t="s">
        <v>1904</v>
      </c>
      <c r="D1755" s="3" t="s">
        <v>1875</v>
      </c>
      <c r="E1755" s="3" t="str">
        <v>Hermenches</v>
      </c>
      <c r="I1755" s="19">
        <v>5708</v>
      </c>
      <c r="J1755" s="19" t="s">
        <v>4558</v>
      </c>
    </row>
    <row r="1756" spans="1:10" x14ac:dyDescent="0.2">
      <c r="A1756" s="3">
        <v>8261</v>
      </c>
      <c r="B1756" s="3" t="s">
        <v>1905</v>
      </c>
      <c r="C1756" s="3" t="s">
        <v>1905</v>
      </c>
      <c r="D1756" s="3" t="s">
        <v>1875</v>
      </c>
      <c r="E1756" s="3" t="str">
        <v>Lovatens</v>
      </c>
      <c r="I1756" s="19">
        <v>5712</v>
      </c>
      <c r="J1756" s="19" t="s">
        <v>4558</v>
      </c>
    </row>
    <row r="1757" spans="1:10" x14ac:dyDescent="0.2">
      <c r="A1757" s="3">
        <v>8262</v>
      </c>
      <c r="B1757" s="3" t="s">
        <v>1906</v>
      </c>
      <c r="C1757" s="3" t="s">
        <v>1906</v>
      </c>
      <c r="D1757" s="3" t="s">
        <v>1875</v>
      </c>
      <c r="E1757" s="3" t="str">
        <v>Lucens</v>
      </c>
      <c r="I1757" s="19">
        <v>5722</v>
      </c>
      <c r="J1757" s="19" t="s">
        <v>4558</v>
      </c>
    </row>
    <row r="1758" spans="1:10" x14ac:dyDescent="0.2">
      <c r="A1758" s="3">
        <v>8260</v>
      </c>
      <c r="B1758" s="3" t="s">
        <v>1907</v>
      </c>
      <c r="C1758" s="3" t="s">
        <v>1907</v>
      </c>
      <c r="D1758" s="3" t="s">
        <v>1875</v>
      </c>
      <c r="E1758" s="3" t="str">
        <v>Moudon</v>
      </c>
      <c r="I1758" s="19">
        <v>5723</v>
      </c>
      <c r="J1758" s="19" t="s">
        <v>4558</v>
      </c>
    </row>
    <row r="1759" spans="1:10" x14ac:dyDescent="0.2">
      <c r="A1759" s="3">
        <v>8215</v>
      </c>
      <c r="B1759" s="3" t="s">
        <v>1908</v>
      </c>
      <c r="C1759" s="3" t="s">
        <v>1908</v>
      </c>
      <c r="D1759" s="3" t="s">
        <v>1875</v>
      </c>
      <c r="E1759" s="3" t="str">
        <v>Ogens</v>
      </c>
      <c r="I1759" s="19">
        <v>5724</v>
      </c>
      <c r="J1759" s="19" t="s">
        <v>4558</v>
      </c>
    </row>
    <row r="1760" spans="1:10" x14ac:dyDescent="0.2">
      <c r="A1760" s="3">
        <v>8216</v>
      </c>
      <c r="B1760" s="3" t="s">
        <v>1909</v>
      </c>
      <c r="C1760" s="3" t="s">
        <v>1909</v>
      </c>
      <c r="D1760" s="3" t="s">
        <v>1875</v>
      </c>
      <c r="E1760" s="3" t="str">
        <v>Prévonloup</v>
      </c>
      <c r="I1760" s="19">
        <v>5725</v>
      </c>
      <c r="J1760" s="19" t="s">
        <v>4558</v>
      </c>
    </row>
    <row r="1761" spans="1:10" x14ac:dyDescent="0.2">
      <c r="A1761" s="3">
        <v>8219</v>
      </c>
      <c r="B1761" s="3" t="s">
        <v>1910</v>
      </c>
      <c r="C1761" s="3" t="s">
        <v>1910</v>
      </c>
      <c r="D1761" s="3" t="s">
        <v>1875</v>
      </c>
      <c r="E1761" s="3" t="str">
        <v>Rossenges</v>
      </c>
      <c r="I1761" s="19">
        <v>5726</v>
      </c>
      <c r="J1761" s="19" t="s">
        <v>4558</v>
      </c>
    </row>
    <row r="1762" spans="1:10" x14ac:dyDescent="0.2">
      <c r="A1762" s="3">
        <v>8217</v>
      </c>
      <c r="B1762" s="3" t="s">
        <v>1911</v>
      </c>
      <c r="C1762" s="3" t="s">
        <v>1911</v>
      </c>
      <c r="D1762" s="3" t="s">
        <v>1875</v>
      </c>
      <c r="E1762" s="3" t="str">
        <v>Syens</v>
      </c>
      <c r="I1762" s="19">
        <v>5727</v>
      </c>
      <c r="J1762" s="19" t="s">
        <v>4558</v>
      </c>
    </row>
    <row r="1763" spans="1:10" x14ac:dyDescent="0.2">
      <c r="A1763" s="3">
        <v>8217</v>
      </c>
      <c r="B1763" s="3" t="s">
        <v>1911</v>
      </c>
      <c r="C1763" s="3" t="s">
        <v>1911</v>
      </c>
      <c r="D1763" s="3" t="s">
        <v>1875</v>
      </c>
      <c r="E1763" s="3" t="str">
        <v>Villars-le-Comte</v>
      </c>
      <c r="I1763" s="19">
        <v>5728</v>
      </c>
      <c r="J1763" s="19" t="s">
        <v>4558</v>
      </c>
    </row>
    <row r="1764" spans="1:10" x14ac:dyDescent="0.2">
      <c r="A1764" s="3">
        <v>8218</v>
      </c>
      <c r="B1764" s="3" t="s">
        <v>1912</v>
      </c>
      <c r="C1764" s="3" t="s">
        <v>1911</v>
      </c>
      <c r="D1764" s="3" t="s">
        <v>1875</v>
      </c>
      <c r="E1764" s="3" t="str">
        <v>Vucherens</v>
      </c>
      <c r="I1764" s="19">
        <v>5732</v>
      </c>
      <c r="J1764" s="19" t="s">
        <v>4558</v>
      </c>
    </row>
    <row r="1765" spans="1:10" x14ac:dyDescent="0.2">
      <c r="A1765" s="3">
        <v>9100</v>
      </c>
      <c r="B1765" s="3" t="s">
        <v>1913</v>
      </c>
      <c r="C1765" s="3" t="s">
        <v>1913</v>
      </c>
      <c r="D1765" s="3" t="s">
        <v>1914</v>
      </c>
      <c r="E1765" s="3" t="str">
        <v>Montanaire</v>
      </c>
      <c r="I1765" s="19">
        <v>5733</v>
      </c>
      <c r="J1765" s="19" t="s">
        <v>4558</v>
      </c>
    </row>
    <row r="1766" spans="1:10" x14ac:dyDescent="0.2">
      <c r="A1766" s="3">
        <v>9112</v>
      </c>
      <c r="B1766" s="3" t="s">
        <v>1915</v>
      </c>
      <c r="C1766" s="3" t="s">
        <v>1913</v>
      </c>
      <c r="D1766" s="3" t="s">
        <v>1914</v>
      </c>
      <c r="E1766" s="3" t="str">
        <v>Arnex-sur-Nyon</v>
      </c>
      <c r="I1766" s="19">
        <v>5734</v>
      </c>
      <c r="J1766" s="19" t="s">
        <v>4558</v>
      </c>
    </row>
    <row r="1767" spans="1:10" x14ac:dyDescent="0.2">
      <c r="A1767" s="3">
        <v>9064</v>
      </c>
      <c r="B1767" s="3" t="s">
        <v>1916</v>
      </c>
      <c r="C1767" s="3" t="s">
        <v>1916</v>
      </c>
      <c r="D1767" s="3" t="s">
        <v>1914</v>
      </c>
      <c r="E1767" s="3" t="str">
        <v>Arzier-Le Muids</v>
      </c>
      <c r="I1767" s="19">
        <v>5735</v>
      </c>
      <c r="J1767" s="19" t="s">
        <v>4558</v>
      </c>
    </row>
    <row r="1768" spans="1:10" x14ac:dyDescent="0.2">
      <c r="A1768" s="3">
        <v>9105</v>
      </c>
      <c r="B1768" s="3" t="s">
        <v>1917</v>
      </c>
      <c r="C1768" s="3" t="s">
        <v>1917</v>
      </c>
      <c r="D1768" s="3" t="s">
        <v>1914</v>
      </c>
      <c r="E1768" s="3" t="str">
        <v>Bassins</v>
      </c>
      <c r="I1768" s="19">
        <v>5736</v>
      </c>
      <c r="J1768" s="19" t="s">
        <v>4558</v>
      </c>
    </row>
    <row r="1769" spans="1:10" x14ac:dyDescent="0.2">
      <c r="A1769" s="3">
        <v>9103</v>
      </c>
      <c r="B1769" s="3" t="s">
        <v>1918</v>
      </c>
      <c r="C1769" s="3" t="s">
        <v>1918</v>
      </c>
      <c r="D1769" s="3" t="s">
        <v>1914</v>
      </c>
      <c r="E1769" s="3" t="str">
        <v>Begnins</v>
      </c>
      <c r="I1769" s="19">
        <v>5737</v>
      </c>
      <c r="J1769" s="19" t="s">
        <v>4558</v>
      </c>
    </row>
    <row r="1770" spans="1:10" x14ac:dyDescent="0.2">
      <c r="A1770" s="3">
        <v>9063</v>
      </c>
      <c r="B1770" s="3" t="s">
        <v>1919</v>
      </c>
      <c r="C1770" s="3" t="s">
        <v>1920</v>
      </c>
      <c r="D1770" s="3" t="s">
        <v>1914</v>
      </c>
      <c r="E1770" s="3" t="str">
        <v>Bogis-Bossey</v>
      </c>
      <c r="I1770" s="19">
        <v>5742</v>
      </c>
      <c r="J1770" s="19" t="s">
        <v>4558</v>
      </c>
    </row>
    <row r="1771" spans="1:10" x14ac:dyDescent="0.2">
      <c r="A1771" s="3">
        <v>9107</v>
      </c>
      <c r="B1771" s="3" t="s">
        <v>1921</v>
      </c>
      <c r="C1771" s="3" t="s">
        <v>1921</v>
      </c>
      <c r="D1771" s="3" t="s">
        <v>1914</v>
      </c>
      <c r="E1771" s="3" t="str">
        <v>Borex</v>
      </c>
      <c r="I1771" s="19">
        <v>5745</v>
      </c>
      <c r="J1771" s="19" t="s">
        <v>4558</v>
      </c>
    </row>
    <row r="1772" spans="1:10" x14ac:dyDescent="0.2">
      <c r="A1772" s="3">
        <v>9104</v>
      </c>
      <c r="B1772" s="3" t="s">
        <v>1922</v>
      </c>
      <c r="C1772" s="3" t="s">
        <v>1922</v>
      </c>
      <c r="D1772" s="3" t="s">
        <v>1914</v>
      </c>
      <c r="E1772" s="3" t="str">
        <v>Chavannes-de-Bogis</v>
      </c>
      <c r="I1772" s="19">
        <v>5746</v>
      </c>
      <c r="J1772" s="19" t="s">
        <v>4558</v>
      </c>
    </row>
    <row r="1773" spans="1:10" x14ac:dyDescent="0.2">
      <c r="A1773" s="3">
        <v>9055</v>
      </c>
      <c r="B1773" s="3" t="s">
        <v>1923</v>
      </c>
      <c r="C1773" s="3" t="s">
        <v>1923</v>
      </c>
      <c r="D1773" s="3" t="s">
        <v>1914</v>
      </c>
      <c r="E1773" s="3" t="str">
        <v>Chavannes-des-Bois</v>
      </c>
      <c r="I1773" s="19">
        <v>6003</v>
      </c>
      <c r="J1773" s="19" t="s">
        <v>4555</v>
      </c>
    </row>
    <row r="1774" spans="1:10" x14ac:dyDescent="0.2">
      <c r="A1774" s="3">
        <v>9056</v>
      </c>
      <c r="B1774" s="3" t="s">
        <v>1924</v>
      </c>
      <c r="C1774" s="3" t="s">
        <v>1924</v>
      </c>
      <c r="D1774" s="3" t="s">
        <v>1914</v>
      </c>
      <c r="E1774" s="3" t="str">
        <v>Chéserex</v>
      </c>
      <c r="I1774" s="19">
        <v>6004</v>
      </c>
      <c r="J1774" s="19" t="s">
        <v>4555</v>
      </c>
    </row>
    <row r="1775" spans="1:10" x14ac:dyDescent="0.2">
      <c r="A1775" s="3">
        <v>9037</v>
      </c>
      <c r="B1775" s="3" t="s">
        <v>1925</v>
      </c>
      <c r="C1775" s="3" t="s">
        <v>1926</v>
      </c>
      <c r="D1775" s="3" t="s">
        <v>1914</v>
      </c>
      <c r="E1775" s="3" t="str">
        <v>Coinsins</v>
      </c>
      <c r="I1775" s="19">
        <v>6005</v>
      </c>
      <c r="J1775" s="19" t="s">
        <v>4555</v>
      </c>
    </row>
    <row r="1776" spans="1:10" x14ac:dyDescent="0.2">
      <c r="A1776" s="3">
        <v>9042</v>
      </c>
      <c r="B1776" s="3" t="s">
        <v>1926</v>
      </c>
      <c r="C1776" s="3" t="s">
        <v>1926</v>
      </c>
      <c r="D1776" s="3" t="s">
        <v>1914</v>
      </c>
      <c r="E1776" s="3" t="str">
        <v>Commugny</v>
      </c>
      <c r="I1776" s="19">
        <v>6006</v>
      </c>
      <c r="J1776" s="19" t="s">
        <v>4555</v>
      </c>
    </row>
    <row r="1777" spans="1:10" x14ac:dyDescent="0.2">
      <c r="A1777" s="3">
        <v>9052</v>
      </c>
      <c r="B1777" s="3" t="s">
        <v>1927</v>
      </c>
      <c r="C1777" s="3" t="s">
        <v>1928</v>
      </c>
      <c r="D1777" s="3" t="s">
        <v>1914</v>
      </c>
      <c r="E1777" s="3" t="str">
        <v>Coppet</v>
      </c>
      <c r="I1777" s="19">
        <v>6010</v>
      </c>
      <c r="J1777" s="19" t="s">
        <v>4555</v>
      </c>
    </row>
    <row r="1778" spans="1:10" x14ac:dyDescent="0.2">
      <c r="A1778" s="3">
        <v>9053</v>
      </c>
      <c r="B1778" s="3" t="s">
        <v>1929</v>
      </c>
      <c r="C1778" s="3" t="s">
        <v>1928</v>
      </c>
      <c r="D1778" s="3" t="s">
        <v>1914</v>
      </c>
      <c r="E1778" s="3" t="str">
        <v>Crans (VD)</v>
      </c>
      <c r="I1778" s="19">
        <v>6012</v>
      </c>
      <c r="J1778" s="19" t="s">
        <v>4555</v>
      </c>
    </row>
    <row r="1779" spans="1:10" x14ac:dyDescent="0.2">
      <c r="A1779" s="3">
        <v>9062</v>
      </c>
      <c r="B1779" s="3" t="s">
        <v>1930</v>
      </c>
      <c r="C1779" s="3" t="s">
        <v>1928</v>
      </c>
      <c r="D1779" s="3" t="s">
        <v>1914</v>
      </c>
      <c r="E1779" s="3" t="str">
        <v>Crassier</v>
      </c>
      <c r="I1779" s="19">
        <v>6013</v>
      </c>
      <c r="J1779" s="19" t="s">
        <v>4555</v>
      </c>
    </row>
    <row r="1780" spans="1:10" x14ac:dyDescent="0.2">
      <c r="A1780" s="3">
        <v>9043</v>
      </c>
      <c r="B1780" s="3" t="s">
        <v>1931</v>
      </c>
      <c r="C1780" s="3" t="s">
        <v>1931</v>
      </c>
      <c r="D1780" s="3" t="s">
        <v>1914</v>
      </c>
      <c r="E1780" s="3" t="str">
        <v>Duillier</v>
      </c>
      <c r="I1780" s="19">
        <v>6014</v>
      </c>
      <c r="J1780" s="19" t="s">
        <v>4555</v>
      </c>
    </row>
    <row r="1781" spans="1:10" x14ac:dyDescent="0.2">
      <c r="A1781" s="3">
        <v>9035</v>
      </c>
      <c r="B1781" s="3" t="s">
        <v>1932</v>
      </c>
      <c r="C1781" s="3" t="s">
        <v>1933</v>
      </c>
      <c r="D1781" s="3" t="s">
        <v>1914</v>
      </c>
      <c r="E1781" s="3" t="str">
        <v>Eysins</v>
      </c>
      <c r="I1781" s="19">
        <v>6015</v>
      </c>
      <c r="J1781" s="19" t="s">
        <v>4555</v>
      </c>
    </row>
    <row r="1782" spans="1:10" x14ac:dyDescent="0.2">
      <c r="A1782" s="3">
        <v>9410</v>
      </c>
      <c r="B1782" s="3" t="s">
        <v>1934</v>
      </c>
      <c r="C1782" s="3" t="s">
        <v>1934</v>
      </c>
      <c r="D1782" s="3" t="s">
        <v>1914</v>
      </c>
      <c r="E1782" s="3" t="str">
        <v>Founex</v>
      </c>
      <c r="I1782" s="19">
        <v>6016</v>
      </c>
      <c r="J1782" s="19" t="s">
        <v>4555</v>
      </c>
    </row>
    <row r="1783" spans="1:10" x14ac:dyDescent="0.2">
      <c r="A1783" s="3">
        <v>9405</v>
      </c>
      <c r="B1783" s="3" t="s">
        <v>1935</v>
      </c>
      <c r="C1783" s="3" t="s">
        <v>1936</v>
      </c>
      <c r="D1783" s="3" t="s">
        <v>1914</v>
      </c>
      <c r="E1783" s="3" t="str">
        <v>Genolier</v>
      </c>
      <c r="I1783" s="19">
        <v>6017</v>
      </c>
      <c r="J1783" s="19" t="s">
        <v>4555</v>
      </c>
    </row>
    <row r="1784" spans="1:10" x14ac:dyDescent="0.2">
      <c r="A1784" s="3">
        <v>9426</v>
      </c>
      <c r="B1784" s="3" t="s">
        <v>1936</v>
      </c>
      <c r="C1784" s="3" t="s">
        <v>1936</v>
      </c>
      <c r="D1784" s="3" t="s">
        <v>1914</v>
      </c>
      <c r="E1784" s="3" t="str">
        <v>Gingins</v>
      </c>
      <c r="I1784" s="19">
        <v>6018</v>
      </c>
      <c r="J1784" s="19" t="s">
        <v>4555</v>
      </c>
    </row>
    <row r="1785" spans="1:10" x14ac:dyDescent="0.2">
      <c r="A1785" s="3">
        <v>9038</v>
      </c>
      <c r="B1785" s="3" t="s">
        <v>1937</v>
      </c>
      <c r="C1785" s="3" t="s">
        <v>1937</v>
      </c>
      <c r="D1785" s="3" t="s">
        <v>1914</v>
      </c>
      <c r="E1785" s="3" t="str">
        <v>Givrins</v>
      </c>
      <c r="I1785" s="19">
        <v>6019</v>
      </c>
      <c r="J1785" s="19" t="s">
        <v>4555</v>
      </c>
    </row>
    <row r="1786" spans="1:10" x14ac:dyDescent="0.2">
      <c r="A1786" s="3">
        <v>9411</v>
      </c>
      <c r="B1786" s="3" t="s">
        <v>1938</v>
      </c>
      <c r="C1786" s="3" t="s">
        <v>1939</v>
      </c>
      <c r="D1786" s="3" t="s">
        <v>1914</v>
      </c>
      <c r="E1786" s="3" t="str">
        <v>Gland</v>
      </c>
      <c r="I1786" s="19">
        <v>6020</v>
      </c>
      <c r="J1786" s="19" t="s">
        <v>4555</v>
      </c>
    </row>
    <row r="1787" spans="1:10" x14ac:dyDescent="0.2">
      <c r="A1787" s="3">
        <v>9411</v>
      </c>
      <c r="B1787" s="3" t="s">
        <v>1940</v>
      </c>
      <c r="C1787" s="3" t="s">
        <v>1939</v>
      </c>
      <c r="D1787" s="3" t="s">
        <v>1914</v>
      </c>
      <c r="E1787" s="3" t="str">
        <v>Grens</v>
      </c>
      <c r="I1787" s="19">
        <v>6022</v>
      </c>
      <c r="J1787" s="19" t="s">
        <v>4555</v>
      </c>
    </row>
    <row r="1788" spans="1:10" x14ac:dyDescent="0.2">
      <c r="A1788" s="3">
        <v>9044</v>
      </c>
      <c r="B1788" s="3" t="s">
        <v>1941</v>
      </c>
      <c r="C1788" s="3" t="s">
        <v>1942</v>
      </c>
      <c r="D1788" s="3" t="s">
        <v>1914</v>
      </c>
      <c r="E1788" s="3" t="str">
        <v>Mies</v>
      </c>
      <c r="I1788" s="19">
        <v>6023</v>
      </c>
      <c r="J1788" s="19" t="s">
        <v>4555</v>
      </c>
    </row>
    <row r="1789" spans="1:10" x14ac:dyDescent="0.2">
      <c r="A1789" s="3">
        <v>9428</v>
      </c>
      <c r="B1789" s="3" t="s">
        <v>1943</v>
      </c>
      <c r="C1789" s="3" t="s">
        <v>1943</v>
      </c>
      <c r="D1789" s="3" t="s">
        <v>1914</v>
      </c>
      <c r="E1789" s="3" t="str">
        <v>Nyon</v>
      </c>
      <c r="I1789" s="19">
        <v>6024</v>
      </c>
      <c r="J1789" s="19" t="s">
        <v>4555</v>
      </c>
    </row>
    <row r="1790" spans="1:10" x14ac:dyDescent="0.2">
      <c r="A1790" s="3">
        <v>9427</v>
      </c>
      <c r="B1790" s="3" t="s">
        <v>1944</v>
      </c>
      <c r="C1790" s="3" t="s">
        <v>1944</v>
      </c>
      <c r="D1790" s="3" t="s">
        <v>1914</v>
      </c>
      <c r="E1790" s="3" t="str">
        <v>Prangins</v>
      </c>
      <c r="I1790" s="19">
        <v>6025</v>
      </c>
      <c r="J1790" s="19" t="s">
        <v>4555</v>
      </c>
    </row>
    <row r="1791" spans="1:10" x14ac:dyDescent="0.2">
      <c r="A1791" s="3">
        <v>9050</v>
      </c>
      <c r="B1791" s="3" t="s">
        <v>1945</v>
      </c>
      <c r="C1791" s="3" t="s">
        <v>1945</v>
      </c>
      <c r="D1791" s="3" t="s">
        <v>1946</v>
      </c>
      <c r="E1791" s="3" t="str">
        <v>La Rippe</v>
      </c>
      <c r="I1791" s="19">
        <v>6026</v>
      </c>
      <c r="J1791" s="19" t="s">
        <v>4555</v>
      </c>
    </row>
    <row r="1792" spans="1:10" x14ac:dyDescent="0.2">
      <c r="A1792" s="3">
        <v>9050</v>
      </c>
      <c r="B1792" s="3" t="s">
        <v>1947</v>
      </c>
      <c r="C1792" s="3" t="s">
        <v>1945</v>
      </c>
      <c r="D1792" s="3" t="s">
        <v>1946</v>
      </c>
      <c r="E1792" s="3" t="str">
        <v>Saint-Cergue</v>
      </c>
      <c r="I1792" s="19">
        <v>6027</v>
      </c>
      <c r="J1792" s="19" t="s">
        <v>4555</v>
      </c>
    </row>
    <row r="1793" spans="1:10" x14ac:dyDescent="0.2">
      <c r="A1793" s="3">
        <v>9108</v>
      </c>
      <c r="B1793" s="3" t="s">
        <v>1948</v>
      </c>
      <c r="C1793" s="3" t="s">
        <v>1948</v>
      </c>
      <c r="D1793" s="3" t="s">
        <v>1946</v>
      </c>
      <c r="E1793" s="3" t="str">
        <v>Signy-Avenex</v>
      </c>
      <c r="I1793" s="19">
        <v>6028</v>
      </c>
      <c r="J1793" s="19" t="s">
        <v>4555</v>
      </c>
    </row>
    <row r="1794" spans="1:10" x14ac:dyDescent="0.2">
      <c r="A1794" s="3">
        <v>9108</v>
      </c>
      <c r="B1794" s="3" t="s">
        <v>1949</v>
      </c>
      <c r="C1794" s="3" t="s">
        <v>1948</v>
      </c>
      <c r="D1794" s="3" t="s">
        <v>1946</v>
      </c>
      <c r="E1794" s="3" t="str">
        <v>Tannay</v>
      </c>
      <c r="I1794" s="19">
        <v>6030</v>
      </c>
      <c r="J1794" s="19" t="s">
        <v>4555</v>
      </c>
    </row>
    <row r="1795" spans="1:10" x14ac:dyDescent="0.2">
      <c r="A1795" s="3">
        <v>9108</v>
      </c>
      <c r="B1795" s="3" t="s">
        <v>1950</v>
      </c>
      <c r="C1795" s="3" t="s">
        <v>1948</v>
      </c>
      <c r="D1795" s="3" t="s">
        <v>1946</v>
      </c>
      <c r="E1795" s="3" t="str">
        <v>Trélex</v>
      </c>
      <c r="I1795" s="19">
        <v>6032</v>
      </c>
      <c r="J1795" s="19" t="s">
        <v>4555</v>
      </c>
    </row>
    <row r="1796" spans="1:10" x14ac:dyDescent="0.2">
      <c r="A1796" s="3">
        <v>9050</v>
      </c>
      <c r="B1796" s="3" t="s">
        <v>1951</v>
      </c>
      <c r="C1796" s="3" t="s">
        <v>1952</v>
      </c>
      <c r="D1796" s="3" t="s">
        <v>1946</v>
      </c>
      <c r="E1796" s="3" t="str">
        <v>Le Vaud</v>
      </c>
      <c r="I1796" s="19">
        <v>6033</v>
      </c>
      <c r="J1796" s="19" t="s">
        <v>4555</v>
      </c>
    </row>
    <row r="1797" spans="1:10" x14ac:dyDescent="0.2">
      <c r="A1797" s="3">
        <v>9050</v>
      </c>
      <c r="B1797" s="3" t="s">
        <v>1953</v>
      </c>
      <c r="C1797" s="3" t="s">
        <v>1952</v>
      </c>
      <c r="D1797" s="3" t="s">
        <v>1946</v>
      </c>
      <c r="E1797" s="3" t="str">
        <v>Vich</v>
      </c>
      <c r="I1797" s="19">
        <v>6034</v>
      </c>
      <c r="J1797" s="19" t="s">
        <v>4555</v>
      </c>
    </row>
    <row r="1798" spans="1:10" x14ac:dyDescent="0.2">
      <c r="A1798" s="3">
        <v>9054</v>
      </c>
      <c r="B1798" s="3" t="s">
        <v>1954</v>
      </c>
      <c r="C1798" s="3" t="s">
        <v>1952</v>
      </c>
      <c r="D1798" s="3" t="s">
        <v>1946</v>
      </c>
      <c r="E1798" s="3" t="str">
        <v>L'Abergement</v>
      </c>
      <c r="I1798" s="19">
        <v>6035</v>
      </c>
      <c r="J1798" s="19" t="s">
        <v>4555</v>
      </c>
    </row>
    <row r="1799" spans="1:10" x14ac:dyDescent="0.2">
      <c r="A1799" s="3">
        <v>9413</v>
      </c>
      <c r="B1799" s="3" t="s">
        <v>1955</v>
      </c>
      <c r="C1799" s="3" t="s">
        <v>1955</v>
      </c>
      <c r="D1799" s="3" t="s">
        <v>1946</v>
      </c>
      <c r="E1799" s="3" t="str">
        <v>Agiez</v>
      </c>
      <c r="I1799" s="19">
        <v>6036</v>
      </c>
      <c r="J1799" s="19" t="s">
        <v>4555</v>
      </c>
    </row>
    <row r="1800" spans="1:10" x14ac:dyDescent="0.2">
      <c r="A1800" s="3">
        <v>9413</v>
      </c>
      <c r="B1800" s="3" t="s">
        <v>1955</v>
      </c>
      <c r="C1800" s="3" t="s">
        <v>1955</v>
      </c>
      <c r="D1800" s="3" t="s">
        <v>1946</v>
      </c>
      <c r="E1800" s="3" t="str">
        <v>Arnex-sur-Orbe</v>
      </c>
      <c r="I1800" s="19">
        <v>6037</v>
      </c>
      <c r="J1800" s="19" t="s">
        <v>4555</v>
      </c>
    </row>
    <row r="1801" spans="1:10" x14ac:dyDescent="0.2">
      <c r="A1801" s="3">
        <v>9442</v>
      </c>
      <c r="B1801" s="3" t="s">
        <v>1956</v>
      </c>
      <c r="C1801" s="3" t="s">
        <v>1955</v>
      </c>
      <c r="D1801" s="3" t="s">
        <v>1946</v>
      </c>
      <c r="E1801" s="3" t="str">
        <v>Ballaigues</v>
      </c>
      <c r="I1801" s="19">
        <v>6038</v>
      </c>
      <c r="J1801" s="19" t="s">
        <v>4555</v>
      </c>
    </row>
    <row r="1802" spans="1:10" x14ac:dyDescent="0.2">
      <c r="A1802" s="3">
        <v>9050</v>
      </c>
      <c r="B1802" s="3" t="s">
        <v>1957</v>
      </c>
      <c r="C1802" s="3" t="s">
        <v>1958</v>
      </c>
      <c r="D1802" s="3" t="s">
        <v>1946</v>
      </c>
      <c r="E1802" s="3" t="str">
        <v>Baulmes</v>
      </c>
      <c r="I1802" s="19">
        <v>6039</v>
      </c>
      <c r="J1802" s="19" t="s">
        <v>4555</v>
      </c>
    </row>
    <row r="1803" spans="1:10" x14ac:dyDescent="0.2">
      <c r="A1803" s="3">
        <v>9050</v>
      </c>
      <c r="B1803" s="3" t="s">
        <v>1959</v>
      </c>
      <c r="C1803" s="3" t="s">
        <v>1958</v>
      </c>
      <c r="D1803" s="3" t="s">
        <v>1946</v>
      </c>
      <c r="E1803" s="3" t="str">
        <v>Bavois</v>
      </c>
      <c r="I1803" s="19">
        <v>6042</v>
      </c>
      <c r="J1803" s="19" t="s">
        <v>4555</v>
      </c>
    </row>
    <row r="1804" spans="1:10" x14ac:dyDescent="0.2">
      <c r="A1804" s="3">
        <v>9057</v>
      </c>
      <c r="B1804" s="3" t="s">
        <v>1960</v>
      </c>
      <c r="C1804" s="3" t="s">
        <v>1958</v>
      </c>
      <c r="D1804" s="3" t="s">
        <v>1946</v>
      </c>
      <c r="E1804" s="3" t="str">
        <v>Bofflens</v>
      </c>
      <c r="I1804" s="19">
        <v>6043</v>
      </c>
      <c r="J1804" s="19" t="s">
        <v>4555</v>
      </c>
    </row>
    <row r="1805" spans="1:10" x14ac:dyDescent="0.2">
      <c r="A1805" s="3">
        <v>9057</v>
      </c>
      <c r="B1805" s="3" t="s">
        <v>1961</v>
      </c>
      <c r="C1805" s="3" t="s">
        <v>1958</v>
      </c>
      <c r="D1805" s="3" t="s">
        <v>1946</v>
      </c>
      <c r="E1805" s="3" t="str">
        <v>Bretonnières</v>
      </c>
      <c r="I1805" s="19">
        <v>6044</v>
      </c>
      <c r="J1805" s="19" t="s">
        <v>4555</v>
      </c>
    </row>
    <row r="1806" spans="1:10" x14ac:dyDescent="0.2">
      <c r="A1806" s="3">
        <v>9057</v>
      </c>
      <c r="B1806" s="3" t="s">
        <v>1962</v>
      </c>
      <c r="C1806" s="3" t="s">
        <v>1958</v>
      </c>
      <c r="D1806" s="3" t="s">
        <v>1946</v>
      </c>
      <c r="E1806" s="3" t="str">
        <v>Chavornay</v>
      </c>
      <c r="I1806" s="19">
        <v>6045</v>
      </c>
      <c r="J1806" s="19" t="s">
        <v>4555</v>
      </c>
    </row>
    <row r="1807" spans="1:10" x14ac:dyDescent="0.2">
      <c r="A1807" s="3">
        <v>9058</v>
      </c>
      <c r="B1807" s="3" t="s">
        <v>1963</v>
      </c>
      <c r="C1807" s="3" t="s">
        <v>1958</v>
      </c>
      <c r="D1807" s="3" t="s">
        <v>1946</v>
      </c>
      <c r="E1807" s="3" t="str">
        <v>Les Clées</v>
      </c>
      <c r="I1807" s="19">
        <v>6047</v>
      </c>
      <c r="J1807" s="19" t="s">
        <v>4555</v>
      </c>
    </row>
    <row r="1808" spans="1:10" x14ac:dyDescent="0.2">
      <c r="A1808" s="3">
        <v>9308</v>
      </c>
      <c r="B1808" s="3" t="s">
        <v>1964</v>
      </c>
      <c r="C1808" s="3" t="s">
        <v>1965</v>
      </c>
      <c r="D1808" s="3" t="s">
        <v>1966</v>
      </c>
      <c r="E1808" s="3" t="str">
        <v>Croy</v>
      </c>
      <c r="I1808" s="19">
        <v>6048</v>
      </c>
      <c r="J1808" s="19" t="s">
        <v>4555</v>
      </c>
    </row>
    <row r="1809" spans="1:10" x14ac:dyDescent="0.2">
      <c r="A1809" s="3">
        <v>9312</v>
      </c>
      <c r="B1809" s="3" t="s">
        <v>1965</v>
      </c>
      <c r="C1809" s="3" t="s">
        <v>1965</v>
      </c>
      <c r="D1809" s="3" t="s">
        <v>1966</v>
      </c>
      <c r="E1809" s="3" t="str">
        <v>Juriens</v>
      </c>
      <c r="I1809" s="19">
        <v>6052</v>
      </c>
      <c r="J1809" s="19" t="s">
        <v>4555</v>
      </c>
    </row>
    <row r="1810" spans="1:10" x14ac:dyDescent="0.2">
      <c r="A1810" s="3">
        <v>9313</v>
      </c>
      <c r="B1810" s="3" t="s">
        <v>1967</v>
      </c>
      <c r="C1810" s="3" t="s">
        <v>1967</v>
      </c>
      <c r="D1810" s="3" t="s">
        <v>1966</v>
      </c>
      <c r="E1810" s="3" t="str">
        <v>Lignerolle</v>
      </c>
      <c r="I1810" s="19">
        <v>6053</v>
      </c>
      <c r="J1810" s="19" t="s">
        <v>4555</v>
      </c>
    </row>
    <row r="1811" spans="1:10" x14ac:dyDescent="0.2">
      <c r="A1811" s="3">
        <v>9000</v>
      </c>
      <c r="B1811" s="3" t="s">
        <v>1968</v>
      </c>
      <c r="C1811" s="3" t="s">
        <v>1968</v>
      </c>
      <c r="D1811" s="3" t="s">
        <v>1966</v>
      </c>
      <c r="E1811" s="3" t="str">
        <v>Montcherand</v>
      </c>
      <c r="I1811" s="19">
        <v>6055</v>
      </c>
      <c r="J1811" s="19" t="s">
        <v>4555</v>
      </c>
    </row>
    <row r="1812" spans="1:10" x14ac:dyDescent="0.2">
      <c r="A1812" s="3">
        <v>9008</v>
      </c>
      <c r="B1812" s="3" t="s">
        <v>1968</v>
      </c>
      <c r="C1812" s="3" t="s">
        <v>1968</v>
      </c>
      <c r="D1812" s="3" t="s">
        <v>1966</v>
      </c>
      <c r="E1812" s="3" t="str">
        <v>Orbe</v>
      </c>
      <c r="I1812" s="19">
        <v>6056</v>
      </c>
      <c r="J1812" s="19" t="s">
        <v>4555</v>
      </c>
    </row>
    <row r="1813" spans="1:10" x14ac:dyDescent="0.2">
      <c r="A1813" s="3">
        <v>9010</v>
      </c>
      <c r="B1813" s="3" t="s">
        <v>1968</v>
      </c>
      <c r="C1813" s="3" t="s">
        <v>1968</v>
      </c>
      <c r="D1813" s="3" t="s">
        <v>1966</v>
      </c>
      <c r="E1813" s="3" t="str">
        <v>La Praz</v>
      </c>
      <c r="I1813" s="19">
        <v>6060</v>
      </c>
      <c r="J1813" s="19" t="s">
        <v>4555</v>
      </c>
    </row>
    <row r="1814" spans="1:10" x14ac:dyDescent="0.2">
      <c r="A1814" s="3">
        <v>9011</v>
      </c>
      <c r="B1814" s="3" t="s">
        <v>1968</v>
      </c>
      <c r="C1814" s="3" t="s">
        <v>1968</v>
      </c>
      <c r="D1814" s="3" t="s">
        <v>1966</v>
      </c>
      <c r="E1814" s="3" t="str">
        <v>Premier</v>
      </c>
      <c r="I1814" s="19">
        <v>6062</v>
      </c>
      <c r="J1814" s="19" t="s">
        <v>4555</v>
      </c>
    </row>
    <row r="1815" spans="1:10" x14ac:dyDescent="0.2">
      <c r="A1815" s="3">
        <v>9012</v>
      </c>
      <c r="B1815" s="3" t="s">
        <v>1968</v>
      </c>
      <c r="C1815" s="3" t="s">
        <v>1968</v>
      </c>
      <c r="D1815" s="3" t="s">
        <v>1966</v>
      </c>
      <c r="E1815" s="3" t="str">
        <v>Rances</v>
      </c>
      <c r="I1815" s="19">
        <v>6063</v>
      </c>
      <c r="J1815" s="19" t="s">
        <v>4555</v>
      </c>
    </row>
    <row r="1816" spans="1:10" x14ac:dyDescent="0.2">
      <c r="A1816" s="3">
        <v>9014</v>
      </c>
      <c r="B1816" s="3" t="s">
        <v>1968</v>
      </c>
      <c r="C1816" s="3" t="s">
        <v>1968</v>
      </c>
      <c r="D1816" s="3" t="s">
        <v>1966</v>
      </c>
      <c r="E1816" s="3" t="str">
        <v>Romainmôtier-Envy</v>
      </c>
      <c r="I1816" s="19">
        <v>6064</v>
      </c>
      <c r="J1816" s="19" t="s">
        <v>4555</v>
      </c>
    </row>
    <row r="1817" spans="1:10" x14ac:dyDescent="0.2">
      <c r="A1817" s="3">
        <v>9015</v>
      </c>
      <c r="B1817" s="3" t="s">
        <v>1968</v>
      </c>
      <c r="C1817" s="3" t="s">
        <v>1968</v>
      </c>
      <c r="D1817" s="3" t="s">
        <v>1966</v>
      </c>
      <c r="E1817" s="3" t="str">
        <v>Sergey</v>
      </c>
      <c r="I1817" s="19">
        <v>6066</v>
      </c>
      <c r="J1817" s="19" t="s">
        <v>4555</v>
      </c>
    </row>
    <row r="1818" spans="1:10" x14ac:dyDescent="0.2">
      <c r="A1818" s="3">
        <v>9016</v>
      </c>
      <c r="B1818" s="3" t="s">
        <v>1968</v>
      </c>
      <c r="C1818" s="3" t="s">
        <v>1968</v>
      </c>
      <c r="D1818" s="3" t="s">
        <v>1966</v>
      </c>
      <c r="E1818" s="3" t="str">
        <v>Valeyres-sous-Rances</v>
      </c>
      <c r="I1818" s="19">
        <v>6067</v>
      </c>
      <c r="J1818" s="19" t="s">
        <v>4561</v>
      </c>
    </row>
    <row r="1819" spans="1:10" x14ac:dyDescent="0.2">
      <c r="A1819" s="3">
        <v>9300</v>
      </c>
      <c r="B1819" s="3" t="s">
        <v>1969</v>
      </c>
      <c r="C1819" s="3" t="s">
        <v>1969</v>
      </c>
      <c r="D1819" s="3" t="s">
        <v>1966</v>
      </c>
      <c r="E1819" s="3" t="str">
        <v>Vallorbe</v>
      </c>
      <c r="I1819" s="19">
        <v>6068</v>
      </c>
      <c r="J1819" s="19" t="s">
        <v>4561</v>
      </c>
    </row>
    <row r="1820" spans="1:10" x14ac:dyDescent="0.2">
      <c r="A1820" s="3">
        <v>9305</v>
      </c>
      <c r="B1820" s="3" t="s">
        <v>1970</v>
      </c>
      <c r="C1820" s="3" t="s">
        <v>1971</v>
      </c>
      <c r="D1820" s="3" t="s">
        <v>1966</v>
      </c>
      <c r="E1820" s="3" t="str">
        <v>Vaulion</v>
      </c>
      <c r="I1820" s="19">
        <v>6072</v>
      </c>
      <c r="J1820" s="19" t="s">
        <v>4555</v>
      </c>
    </row>
    <row r="1821" spans="1:10" x14ac:dyDescent="0.2">
      <c r="A1821" s="3">
        <v>9034</v>
      </c>
      <c r="B1821" s="3" t="s">
        <v>1972</v>
      </c>
      <c r="C1821" s="3" t="s">
        <v>1972</v>
      </c>
      <c r="D1821" s="3" t="s">
        <v>1966</v>
      </c>
      <c r="E1821" s="3" t="str">
        <v>Vuiteboeuf</v>
      </c>
      <c r="I1821" s="19">
        <v>6073</v>
      </c>
      <c r="J1821" s="19" t="s">
        <v>4555</v>
      </c>
    </row>
    <row r="1822" spans="1:10" x14ac:dyDescent="0.2">
      <c r="A1822" s="3">
        <v>9036</v>
      </c>
      <c r="B1822" s="3" t="s">
        <v>1973</v>
      </c>
      <c r="C1822" s="3" t="s">
        <v>1972</v>
      </c>
      <c r="D1822" s="3" t="s">
        <v>1966</v>
      </c>
      <c r="E1822" s="3" t="str">
        <v>Corcelles-le-Jorat</v>
      </c>
      <c r="I1822" s="19">
        <v>6074</v>
      </c>
      <c r="J1822" s="19" t="s">
        <v>4555</v>
      </c>
    </row>
    <row r="1823" spans="1:10" x14ac:dyDescent="0.2">
      <c r="A1823" s="3">
        <v>9403</v>
      </c>
      <c r="B1823" s="3" t="s">
        <v>1974</v>
      </c>
      <c r="C1823" s="3" t="s">
        <v>1974</v>
      </c>
      <c r="D1823" s="3" t="s">
        <v>1966</v>
      </c>
      <c r="E1823" s="3" t="str">
        <v>Maracon</v>
      </c>
      <c r="I1823" s="19">
        <v>6078</v>
      </c>
      <c r="J1823" s="19" t="s">
        <v>4555</v>
      </c>
    </row>
    <row r="1824" spans="1:10" x14ac:dyDescent="0.2">
      <c r="A1824" s="3">
        <v>9402</v>
      </c>
      <c r="B1824" s="3" t="s">
        <v>1975</v>
      </c>
      <c r="C1824" s="3" t="s">
        <v>1975</v>
      </c>
      <c r="D1824" s="3" t="s">
        <v>1966</v>
      </c>
      <c r="E1824" s="3" t="str">
        <v>Montpreveyres</v>
      </c>
      <c r="I1824" s="19">
        <v>6083</v>
      </c>
      <c r="J1824" s="19" t="s">
        <v>4553</v>
      </c>
    </row>
    <row r="1825" spans="1:10" x14ac:dyDescent="0.2">
      <c r="A1825" s="3">
        <v>9400</v>
      </c>
      <c r="B1825" s="3" t="s">
        <v>1976</v>
      </c>
      <c r="C1825" s="3" t="s">
        <v>1976</v>
      </c>
      <c r="D1825" s="3" t="s">
        <v>1966</v>
      </c>
      <c r="E1825" s="3" t="str">
        <v>Ropraz</v>
      </c>
      <c r="I1825" s="19">
        <v>6084</v>
      </c>
      <c r="J1825" s="19" t="s">
        <v>4553</v>
      </c>
    </row>
    <row r="1826" spans="1:10" x14ac:dyDescent="0.2">
      <c r="A1826" s="3">
        <v>9404</v>
      </c>
      <c r="B1826" s="3" t="s">
        <v>1977</v>
      </c>
      <c r="C1826" s="3" t="s">
        <v>1977</v>
      </c>
      <c r="D1826" s="3" t="s">
        <v>1966</v>
      </c>
      <c r="E1826" s="3" t="str">
        <v>Servion</v>
      </c>
      <c r="I1826" s="19">
        <v>6085</v>
      </c>
      <c r="J1826" s="19" t="s">
        <v>4553</v>
      </c>
    </row>
    <row r="1827" spans="1:10" x14ac:dyDescent="0.2">
      <c r="A1827" s="3">
        <v>9323</v>
      </c>
      <c r="B1827" s="3" t="s">
        <v>1978</v>
      </c>
      <c r="C1827" s="3" t="s">
        <v>1978</v>
      </c>
      <c r="D1827" s="3" t="s">
        <v>1966</v>
      </c>
      <c r="E1827" s="3" t="str">
        <v>Vulliens</v>
      </c>
      <c r="I1827" s="19">
        <v>6086</v>
      </c>
      <c r="J1827" s="19" t="s">
        <v>4553</v>
      </c>
    </row>
    <row r="1828" spans="1:10" x14ac:dyDescent="0.2">
      <c r="A1828" s="3">
        <v>9327</v>
      </c>
      <c r="B1828" s="3" t="s">
        <v>1979</v>
      </c>
      <c r="C1828" s="3" t="s">
        <v>1979</v>
      </c>
      <c r="D1828" s="3" t="s">
        <v>1966</v>
      </c>
      <c r="E1828" s="3" t="str">
        <v>Jorat-Menthue</v>
      </c>
      <c r="I1828" s="19">
        <v>6102</v>
      </c>
      <c r="J1828" s="19" t="s">
        <v>4555</v>
      </c>
    </row>
    <row r="1829" spans="1:10" x14ac:dyDescent="0.2">
      <c r="A1829" s="3">
        <v>9033</v>
      </c>
      <c r="B1829" s="3" t="s">
        <v>1980</v>
      </c>
      <c r="C1829" s="3" t="s">
        <v>1980</v>
      </c>
      <c r="D1829" s="3" t="s">
        <v>1966</v>
      </c>
      <c r="E1829" s="3" t="str">
        <v>Oron</v>
      </c>
      <c r="I1829" s="19">
        <v>6103</v>
      </c>
      <c r="J1829" s="19" t="s">
        <v>4555</v>
      </c>
    </row>
    <row r="1830" spans="1:10" x14ac:dyDescent="0.2">
      <c r="A1830" s="3">
        <v>9434</v>
      </c>
      <c r="B1830" s="3" t="s">
        <v>1981</v>
      </c>
      <c r="C1830" s="3" t="s">
        <v>1982</v>
      </c>
      <c r="D1830" s="3" t="s">
        <v>1966</v>
      </c>
      <c r="E1830" s="3" t="str">
        <v>Jorat-Mézières</v>
      </c>
      <c r="I1830" s="19">
        <v>6105</v>
      </c>
      <c r="J1830" s="19" t="s">
        <v>4555</v>
      </c>
    </row>
    <row r="1831" spans="1:10" x14ac:dyDescent="0.2">
      <c r="A1831" s="3">
        <v>9435</v>
      </c>
      <c r="B1831" s="3" t="s">
        <v>1983</v>
      </c>
      <c r="C1831" s="3" t="s">
        <v>1982</v>
      </c>
      <c r="D1831" s="3" t="s">
        <v>1966</v>
      </c>
      <c r="E1831" s="3" t="str">
        <v>Champtauroz</v>
      </c>
      <c r="I1831" s="19">
        <v>6106</v>
      </c>
      <c r="J1831" s="19" t="s">
        <v>4555</v>
      </c>
    </row>
    <row r="1832" spans="1:10" x14ac:dyDescent="0.2">
      <c r="A1832" s="3">
        <v>9436</v>
      </c>
      <c r="B1832" s="3" t="s">
        <v>1984</v>
      </c>
      <c r="C1832" s="3" t="s">
        <v>1984</v>
      </c>
      <c r="D1832" s="3" t="s">
        <v>1966</v>
      </c>
      <c r="E1832" s="3" t="str">
        <v>Chevroux</v>
      </c>
      <c r="I1832" s="19">
        <v>6110</v>
      </c>
      <c r="J1832" s="19" t="s">
        <v>4555</v>
      </c>
    </row>
    <row r="1833" spans="1:10" x14ac:dyDescent="0.2">
      <c r="A1833" s="3">
        <v>9411</v>
      </c>
      <c r="B1833" s="3" t="s">
        <v>1938</v>
      </c>
      <c r="C1833" s="3" t="s">
        <v>1985</v>
      </c>
      <c r="D1833" s="3" t="s">
        <v>1966</v>
      </c>
      <c r="E1833" s="3" t="str">
        <v>Corcelles-près-Payerne</v>
      </c>
      <c r="I1833" s="19">
        <v>6112</v>
      </c>
      <c r="J1833" s="19" t="s">
        <v>4555</v>
      </c>
    </row>
    <row r="1834" spans="1:10" x14ac:dyDescent="0.2">
      <c r="A1834" s="3">
        <v>9442</v>
      </c>
      <c r="B1834" s="3" t="s">
        <v>1985</v>
      </c>
      <c r="C1834" s="3" t="s">
        <v>1985</v>
      </c>
      <c r="D1834" s="3" t="s">
        <v>1966</v>
      </c>
      <c r="E1834" s="3" t="str">
        <v>Grandcour</v>
      </c>
      <c r="I1834" s="19">
        <v>6113</v>
      </c>
      <c r="J1834" s="19" t="s">
        <v>4555</v>
      </c>
    </row>
    <row r="1835" spans="1:10" x14ac:dyDescent="0.2">
      <c r="A1835" s="3">
        <v>9444</v>
      </c>
      <c r="B1835" s="3" t="s">
        <v>1986</v>
      </c>
      <c r="C1835" s="3" t="s">
        <v>1986</v>
      </c>
      <c r="D1835" s="3" t="s">
        <v>1966</v>
      </c>
      <c r="E1835" s="3" t="str">
        <v>Henniez</v>
      </c>
      <c r="I1835" s="19">
        <v>6114</v>
      </c>
      <c r="J1835" s="19" t="s">
        <v>4555</v>
      </c>
    </row>
    <row r="1836" spans="1:10" x14ac:dyDescent="0.2">
      <c r="A1836" s="3">
        <v>9424</v>
      </c>
      <c r="B1836" s="3" t="s">
        <v>1987</v>
      </c>
      <c r="C1836" s="3" t="s">
        <v>1987</v>
      </c>
      <c r="D1836" s="3" t="s">
        <v>1966</v>
      </c>
      <c r="E1836" s="3" t="str">
        <v>Missy</v>
      </c>
      <c r="I1836" s="19">
        <v>6122</v>
      </c>
      <c r="J1836" s="19" t="s">
        <v>4555</v>
      </c>
    </row>
    <row r="1837" spans="1:10" x14ac:dyDescent="0.2">
      <c r="A1837" s="3">
        <v>9430</v>
      </c>
      <c r="B1837" s="3" t="s">
        <v>1988</v>
      </c>
      <c r="C1837" s="3" t="s">
        <v>1989</v>
      </c>
      <c r="D1837" s="3" t="s">
        <v>1966</v>
      </c>
      <c r="E1837" s="3" t="str">
        <v>Payerne</v>
      </c>
      <c r="I1837" s="19">
        <v>6123</v>
      </c>
      <c r="J1837" s="19" t="s">
        <v>4555</v>
      </c>
    </row>
    <row r="1838" spans="1:10" x14ac:dyDescent="0.2">
      <c r="A1838" s="3">
        <v>9422</v>
      </c>
      <c r="B1838" s="3" t="s">
        <v>1990</v>
      </c>
      <c r="C1838" s="3" t="s">
        <v>1991</v>
      </c>
      <c r="D1838" s="3" t="s">
        <v>1966</v>
      </c>
      <c r="E1838" s="3" t="str">
        <v>Trey</v>
      </c>
      <c r="I1838" s="19">
        <v>6125</v>
      </c>
      <c r="J1838" s="19" t="s">
        <v>4555</v>
      </c>
    </row>
    <row r="1839" spans="1:10" x14ac:dyDescent="0.2">
      <c r="A1839" s="3">
        <v>9423</v>
      </c>
      <c r="B1839" s="3" t="s">
        <v>1992</v>
      </c>
      <c r="C1839" s="3" t="s">
        <v>1991</v>
      </c>
      <c r="D1839" s="3" t="s">
        <v>1966</v>
      </c>
      <c r="E1839" s="3" t="str">
        <v>Treytorrens (Payerne)</v>
      </c>
      <c r="I1839" s="19">
        <v>6126</v>
      </c>
      <c r="J1839" s="19" t="s">
        <v>4555</v>
      </c>
    </row>
    <row r="1840" spans="1:10" x14ac:dyDescent="0.2">
      <c r="A1840" s="3">
        <v>9425</v>
      </c>
      <c r="B1840" s="3" t="s">
        <v>1991</v>
      </c>
      <c r="C1840" s="3" t="s">
        <v>1991</v>
      </c>
      <c r="D1840" s="3" t="s">
        <v>1966</v>
      </c>
      <c r="E1840" s="3" t="str">
        <v>Villarzel</v>
      </c>
      <c r="I1840" s="19">
        <v>6130</v>
      </c>
      <c r="J1840" s="19" t="s">
        <v>4554</v>
      </c>
    </row>
    <row r="1841" spans="1:10" x14ac:dyDescent="0.2">
      <c r="A1841" s="3">
        <v>9443</v>
      </c>
      <c r="B1841" s="3" t="s">
        <v>1993</v>
      </c>
      <c r="C1841" s="3" t="s">
        <v>1993</v>
      </c>
      <c r="D1841" s="3" t="s">
        <v>1966</v>
      </c>
      <c r="E1841" s="3" t="str">
        <v>Valbroye</v>
      </c>
      <c r="I1841" s="19">
        <v>6132</v>
      </c>
      <c r="J1841" s="19" t="s">
        <v>4554</v>
      </c>
    </row>
    <row r="1842" spans="1:10" x14ac:dyDescent="0.2">
      <c r="A1842" s="3">
        <v>9450</v>
      </c>
      <c r="B1842" s="3" t="s">
        <v>1994</v>
      </c>
      <c r="C1842" s="3" t="s">
        <v>1995</v>
      </c>
      <c r="D1842" s="3" t="s">
        <v>1966</v>
      </c>
      <c r="E1842" s="3" t="str">
        <v>Château-d'Oex</v>
      </c>
      <c r="I1842" s="19">
        <v>6133</v>
      </c>
      <c r="J1842" s="19" t="s">
        <v>4554</v>
      </c>
    </row>
    <row r="1843" spans="1:10" x14ac:dyDescent="0.2">
      <c r="A1843" s="3">
        <v>9450</v>
      </c>
      <c r="B1843" s="3" t="s">
        <v>1996</v>
      </c>
      <c r="C1843" s="3" t="s">
        <v>1995</v>
      </c>
      <c r="D1843" s="3" t="s">
        <v>1966</v>
      </c>
      <c r="E1843" s="3" t="str">
        <v>Rossinière</v>
      </c>
      <c r="I1843" s="19">
        <v>6142</v>
      </c>
      <c r="J1843" s="19" t="s">
        <v>4554</v>
      </c>
    </row>
    <row r="1844" spans="1:10" x14ac:dyDescent="0.2">
      <c r="A1844" s="3">
        <v>9452</v>
      </c>
      <c r="B1844" s="3" t="s">
        <v>1997</v>
      </c>
      <c r="C1844" s="3" t="s">
        <v>1995</v>
      </c>
      <c r="D1844" s="3" t="s">
        <v>1966</v>
      </c>
      <c r="E1844" s="3" t="str">
        <v>Rougemont</v>
      </c>
      <c r="I1844" s="19">
        <v>6143</v>
      </c>
      <c r="J1844" s="19" t="s">
        <v>4554</v>
      </c>
    </row>
    <row r="1845" spans="1:10" x14ac:dyDescent="0.2">
      <c r="A1845" s="3">
        <v>9464</v>
      </c>
      <c r="B1845" s="3" t="s">
        <v>1998</v>
      </c>
      <c r="C1845" s="3" t="s">
        <v>1995</v>
      </c>
      <c r="D1845" s="3" t="s">
        <v>1966</v>
      </c>
      <c r="E1845" s="3" t="str">
        <v>Allaman</v>
      </c>
      <c r="I1845" s="19">
        <v>6144</v>
      </c>
      <c r="J1845" s="19" t="s">
        <v>4554</v>
      </c>
    </row>
    <row r="1846" spans="1:10" x14ac:dyDescent="0.2">
      <c r="A1846" s="3">
        <v>9453</v>
      </c>
      <c r="B1846" s="3" t="s">
        <v>1999</v>
      </c>
      <c r="C1846" s="3" t="s">
        <v>1999</v>
      </c>
      <c r="D1846" s="3" t="s">
        <v>1966</v>
      </c>
      <c r="E1846" s="3" t="str">
        <v>Bursinel</v>
      </c>
      <c r="I1846" s="19">
        <v>6145</v>
      </c>
      <c r="J1846" s="19" t="s">
        <v>4554</v>
      </c>
    </row>
    <row r="1847" spans="1:10" x14ac:dyDescent="0.2">
      <c r="A1847" s="3">
        <v>9437</v>
      </c>
      <c r="B1847" s="3" t="s">
        <v>2000</v>
      </c>
      <c r="C1847" s="3" t="s">
        <v>2001</v>
      </c>
      <c r="D1847" s="3" t="s">
        <v>1966</v>
      </c>
      <c r="E1847" s="3" t="str">
        <v>Bursins</v>
      </c>
      <c r="I1847" s="19">
        <v>6146</v>
      </c>
      <c r="J1847" s="19" t="s">
        <v>4554</v>
      </c>
    </row>
    <row r="1848" spans="1:10" x14ac:dyDescent="0.2">
      <c r="A1848" s="3">
        <v>9451</v>
      </c>
      <c r="B1848" s="3" t="s">
        <v>2002</v>
      </c>
      <c r="C1848" s="3" t="s">
        <v>2003</v>
      </c>
      <c r="D1848" s="3" t="s">
        <v>1966</v>
      </c>
      <c r="E1848" s="3" t="str">
        <v>Burtigny</v>
      </c>
      <c r="I1848" s="19">
        <v>6147</v>
      </c>
      <c r="J1848" s="19" t="s">
        <v>4554</v>
      </c>
    </row>
    <row r="1849" spans="1:10" x14ac:dyDescent="0.2">
      <c r="A1849" s="3">
        <v>9462</v>
      </c>
      <c r="B1849" s="3" t="s">
        <v>2004</v>
      </c>
      <c r="C1849" s="3" t="s">
        <v>2003</v>
      </c>
      <c r="D1849" s="3" t="s">
        <v>1966</v>
      </c>
      <c r="E1849" s="3" t="str">
        <v>Dully</v>
      </c>
      <c r="I1849" s="19">
        <v>6152</v>
      </c>
      <c r="J1849" s="19" t="s">
        <v>4554</v>
      </c>
    </row>
    <row r="1850" spans="1:10" x14ac:dyDescent="0.2">
      <c r="A1850" s="3">
        <v>9463</v>
      </c>
      <c r="B1850" s="3" t="s">
        <v>2005</v>
      </c>
      <c r="C1850" s="3" t="s">
        <v>2003</v>
      </c>
      <c r="D1850" s="3" t="s">
        <v>1966</v>
      </c>
      <c r="E1850" s="3" t="str">
        <v>Essertines-sur-Rolle</v>
      </c>
      <c r="I1850" s="19">
        <v>6153</v>
      </c>
      <c r="J1850" s="19" t="s">
        <v>4554</v>
      </c>
    </row>
    <row r="1851" spans="1:10" x14ac:dyDescent="0.2">
      <c r="A1851" s="3">
        <v>9445</v>
      </c>
      <c r="B1851" s="3" t="s">
        <v>2006</v>
      </c>
      <c r="C1851" s="3" t="s">
        <v>2006</v>
      </c>
      <c r="D1851" s="3" t="s">
        <v>1966</v>
      </c>
      <c r="E1851" s="3" t="str">
        <v>Gilly</v>
      </c>
      <c r="I1851" s="19">
        <v>6154</v>
      </c>
      <c r="J1851" s="19" t="s">
        <v>4554</v>
      </c>
    </row>
    <row r="1852" spans="1:10" x14ac:dyDescent="0.2">
      <c r="A1852" s="3">
        <v>9464</v>
      </c>
      <c r="B1852" s="3" t="s">
        <v>2007</v>
      </c>
      <c r="C1852" s="3" t="s">
        <v>2008</v>
      </c>
      <c r="D1852" s="3" t="s">
        <v>1966</v>
      </c>
      <c r="E1852" s="3" t="str">
        <v>Luins</v>
      </c>
      <c r="I1852" s="19">
        <v>6156</v>
      </c>
      <c r="J1852" s="19" t="s">
        <v>4554</v>
      </c>
    </row>
    <row r="1853" spans="1:10" x14ac:dyDescent="0.2">
      <c r="A1853" s="3">
        <v>9470</v>
      </c>
      <c r="B1853" s="3" t="s">
        <v>2009</v>
      </c>
      <c r="C1853" s="3" t="s">
        <v>2010</v>
      </c>
      <c r="D1853" s="3" t="s">
        <v>1966</v>
      </c>
      <c r="E1853" s="3" t="str">
        <v>Mont-sur-Rolle</v>
      </c>
      <c r="I1853" s="19">
        <v>6162</v>
      </c>
      <c r="J1853" s="19" t="s">
        <v>4555</v>
      </c>
    </row>
    <row r="1854" spans="1:10" x14ac:dyDescent="0.2">
      <c r="A1854" s="3">
        <v>9473</v>
      </c>
      <c r="B1854" s="3" t="s">
        <v>2011</v>
      </c>
      <c r="C1854" s="3" t="s">
        <v>2011</v>
      </c>
      <c r="D1854" s="3" t="s">
        <v>1966</v>
      </c>
      <c r="E1854" s="3" t="str">
        <v>Perroy</v>
      </c>
      <c r="I1854" s="19">
        <v>6163</v>
      </c>
      <c r="J1854" s="19" t="s">
        <v>4555</v>
      </c>
    </row>
    <row r="1855" spans="1:10" x14ac:dyDescent="0.2">
      <c r="A1855" s="3">
        <v>9470</v>
      </c>
      <c r="B1855" s="3" t="s">
        <v>2012</v>
      </c>
      <c r="C1855" s="3" t="s">
        <v>2013</v>
      </c>
      <c r="D1855" s="3" t="s">
        <v>1966</v>
      </c>
      <c r="E1855" s="3" t="str">
        <v>Rolle</v>
      </c>
      <c r="I1855" s="19">
        <v>6166</v>
      </c>
      <c r="J1855" s="19" t="s">
        <v>4555</v>
      </c>
    </row>
    <row r="1856" spans="1:10" x14ac:dyDescent="0.2">
      <c r="A1856" s="3">
        <v>9472</v>
      </c>
      <c r="B1856" s="3" t="s">
        <v>2013</v>
      </c>
      <c r="C1856" s="3" t="s">
        <v>2013</v>
      </c>
      <c r="D1856" s="3" t="s">
        <v>1966</v>
      </c>
      <c r="E1856" s="3" t="str">
        <v>Tartegnin</v>
      </c>
      <c r="I1856" s="19">
        <v>6167</v>
      </c>
      <c r="J1856" s="19" t="s">
        <v>4555</v>
      </c>
    </row>
    <row r="1857" spans="1:10" x14ac:dyDescent="0.2">
      <c r="A1857" s="3">
        <v>9472</v>
      </c>
      <c r="B1857" s="3" t="s">
        <v>2014</v>
      </c>
      <c r="C1857" s="3" t="s">
        <v>2013</v>
      </c>
      <c r="D1857" s="3" t="s">
        <v>1966</v>
      </c>
      <c r="E1857" s="3" t="str">
        <v>Vinzel</v>
      </c>
      <c r="I1857" s="19">
        <v>6170</v>
      </c>
      <c r="J1857" s="19" t="s">
        <v>4555</v>
      </c>
    </row>
    <row r="1858" spans="1:10" x14ac:dyDescent="0.2">
      <c r="A1858" s="3">
        <v>9465</v>
      </c>
      <c r="B1858" s="3" t="s">
        <v>2015</v>
      </c>
      <c r="C1858" s="3" t="s">
        <v>2016</v>
      </c>
      <c r="D1858" s="3" t="s">
        <v>1966</v>
      </c>
      <c r="E1858" s="3" t="str">
        <v>L'Abbaye</v>
      </c>
      <c r="I1858" s="19">
        <v>6173</v>
      </c>
      <c r="J1858" s="19" t="s">
        <v>4555</v>
      </c>
    </row>
    <row r="1859" spans="1:10" x14ac:dyDescent="0.2">
      <c r="A1859" s="3">
        <v>9466</v>
      </c>
      <c r="B1859" s="3" t="s">
        <v>2016</v>
      </c>
      <c r="C1859" s="3" t="s">
        <v>2016</v>
      </c>
      <c r="D1859" s="3" t="s">
        <v>1966</v>
      </c>
      <c r="E1859" s="3" t="str">
        <v>Le Chenit</v>
      </c>
      <c r="I1859" s="19">
        <v>6174</v>
      </c>
      <c r="J1859" s="19" t="s">
        <v>4561</v>
      </c>
    </row>
    <row r="1860" spans="1:10" x14ac:dyDescent="0.2">
      <c r="A1860" s="3">
        <v>9467</v>
      </c>
      <c r="B1860" s="3" t="s">
        <v>2017</v>
      </c>
      <c r="C1860" s="3" t="s">
        <v>2016</v>
      </c>
      <c r="D1860" s="3" t="s">
        <v>1966</v>
      </c>
      <c r="E1860" s="3" t="str">
        <v>Le Lieu</v>
      </c>
      <c r="I1860" s="19">
        <v>6182</v>
      </c>
      <c r="J1860" s="19" t="s">
        <v>4555</v>
      </c>
    </row>
    <row r="1861" spans="1:10" x14ac:dyDescent="0.2">
      <c r="A1861" s="3">
        <v>9468</v>
      </c>
      <c r="B1861" s="3" t="s">
        <v>2018</v>
      </c>
      <c r="C1861" s="3" t="s">
        <v>2016</v>
      </c>
      <c r="D1861" s="3" t="s">
        <v>1966</v>
      </c>
      <c r="E1861" s="3" t="str">
        <v>Chardonne</v>
      </c>
      <c r="I1861" s="19">
        <v>6192</v>
      </c>
      <c r="J1861" s="19" t="s">
        <v>4546</v>
      </c>
    </row>
    <row r="1862" spans="1:10" x14ac:dyDescent="0.2">
      <c r="A1862" s="3">
        <v>9469</v>
      </c>
      <c r="B1862" s="3" t="s">
        <v>2019</v>
      </c>
      <c r="C1862" s="3" t="s">
        <v>2016</v>
      </c>
      <c r="D1862" s="3" t="s">
        <v>1966</v>
      </c>
      <c r="E1862" s="3" t="str">
        <v>Corseaux</v>
      </c>
      <c r="I1862" s="19">
        <v>6196</v>
      </c>
      <c r="J1862" s="19" t="s">
        <v>4546</v>
      </c>
    </row>
    <row r="1863" spans="1:10" x14ac:dyDescent="0.2">
      <c r="A1863" s="3">
        <v>9475</v>
      </c>
      <c r="B1863" s="3" t="s">
        <v>2020</v>
      </c>
      <c r="C1863" s="3" t="s">
        <v>2020</v>
      </c>
      <c r="D1863" s="3" t="s">
        <v>1966</v>
      </c>
      <c r="E1863" s="3" t="str">
        <v>Corsier-sur-Vevey</v>
      </c>
      <c r="I1863" s="19">
        <v>6197</v>
      </c>
      <c r="J1863" s="19" t="s">
        <v>4546</v>
      </c>
    </row>
    <row r="1864" spans="1:10" x14ac:dyDescent="0.2">
      <c r="A1864" s="3">
        <v>9476</v>
      </c>
      <c r="B1864" s="3" t="s">
        <v>2021</v>
      </c>
      <c r="C1864" s="3" t="s">
        <v>2022</v>
      </c>
      <c r="D1864" s="3" t="s">
        <v>1966</v>
      </c>
      <c r="E1864" s="3" t="str">
        <v>Jongny</v>
      </c>
      <c r="I1864" s="19">
        <v>6203</v>
      </c>
      <c r="J1864" s="19" t="s">
        <v>4555</v>
      </c>
    </row>
    <row r="1865" spans="1:10" x14ac:dyDescent="0.2">
      <c r="A1865" s="3">
        <v>9476</v>
      </c>
      <c r="B1865" s="3" t="s">
        <v>2023</v>
      </c>
      <c r="C1865" s="3" t="s">
        <v>2022</v>
      </c>
      <c r="D1865" s="3" t="s">
        <v>1966</v>
      </c>
      <c r="E1865" s="3" t="str">
        <v>Montreux</v>
      </c>
      <c r="I1865" s="19">
        <v>6204</v>
      </c>
      <c r="J1865" s="19" t="s">
        <v>4555</v>
      </c>
    </row>
    <row r="1866" spans="1:10" x14ac:dyDescent="0.2">
      <c r="A1866" s="3">
        <v>9477</v>
      </c>
      <c r="B1866" s="3" t="s">
        <v>2024</v>
      </c>
      <c r="C1866" s="3" t="s">
        <v>2022</v>
      </c>
      <c r="D1866" s="3" t="s">
        <v>1966</v>
      </c>
      <c r="E1866" s="3" t="str">
        <v>La Tour-de-Peilz</v>
      </c>
      <c r="I1866" s="19">
        <v>6205</v>
      </c>
      <c r="J1866" s="19" t="s">
        <v>4555</v>
      </c>
    </row>
    <row r="1867" spans="1:10" x14ac:dyDescent="0.2">
      <c r="A1867" s="3">
        <v>9478</v>
      </c>
      <c r="B1867" s="3" t="s">
        <v>2025</v>
      </c>
      <c r="C1867" s="3" t="s">
        <v>2022</v>
      </c>
      <c r="D1867" s="3" t="s">
        <v>1966</v>
      </c>
      <c r="E1867" s="3" t="str">
        <v>Vevey</v>
      </c>
      <c r="I1867" s="19">
        <v>6206</v>
      </c>
      <c r="J1867" s="19" t="s">
        <v>4555</v>
      </c>
    </row>
    <row r="1868" spans="1:10" x14ac:dyDescent="0.2">
      <c r="A1868" s="3">
        <v>9479</v>
      </c>
      <c r="B1868" s="3" t="s">
        <v>2026</v>
      </c>
      <c r="C1868" s="3" t="s">
        <v>2022</v>
      </c>
      <c r="D1868" s="3" t="s">
        <v>1966</v>
      </c>
      <c r="E1868" s="3" t="str">
        <v>Veytaux</v>
      </c>
      <c r="I1868" s="19">
        <v>6207</v>
      </c>
      <c r="J1868" s="19" t="s">
        <v>4555</v>
      </c>
    </row>
    <row r="1869" spans="1:10" x14ac:dyDescent="0.2">
      <c r="A1869" s="3">
        <v>9479</v>
      </c>
      <c r="B1869" s="3" t="s">
        <v>2027</v>
      </c>
      <c r="C1869" s="3" t="s">
        <v>2022</v>
      </c>
      <c r="D1869" s="3" t="s">
        <v>1966</v>
      </c>
      <c r="E1869" s="3" t="str">
        <v>Blonay - Saint-Légier</v>
      </c>
      <c r="I1869" s="19">
        <v>6208</v>
      </c>
      <c r="J1869" s="19" t="s">
        <v>4555</v>
      </c>
    </row>
    <row r="1870" spans="1:10" x14ac:dyDescent="0.2">
      <c r="A1870" s="3">
        <v>9479</v>
      </c>
      <c r="B1870" s="3" t="s">
        <v>2028</v>
      </c>
      <c r="C1870" s="3" t="s">
        <v>2022</v>
      </c>
      <c r="D1870" s="3" t="s">
        <v>1966</v>
      </c>
      <c r="E1870" s="3" t="str">
        <v>Belmont-sur-Yverdon</v>
      </c>
      <c r="I1870" s="19">
        <v>6210</v>
      </c>
      <c r="J1870" s="19" t="s">
        <v>4555</v>
      </c>
    </row>
    <row r="1871" spans="1:10" x14ac:dyDescent="0.2">
      <c r="A1871" s="3">
        <v>7310</v>
      </c>
      <c r="B1871" s="3" t="s">
        <v>2029</v>
      </c>
      <c r="C1871" s="3" t="s">
        <v>2029</v>
      </c>
      <c r="D1871" s="3" t="s">
        <v>1966</v>
      </c>
      <c r="E1871" s="3" t="str">
        <v>Bioley-Magnoux</v>
      </c>
      <c r="I1871" s="19">
        <v>6211</v>
      </c>
      <c r="J1871" s="19" t="s">
        <v>4558</v>
      </c>
    </row>
    <row r="1872" spans="1:10" x14ac:dyDescent="0.2">
      <c r="A1872" s="3">
        <v>8890</v>
      </c>
      <c r="B1872" s="3" t="s">
        <v>2030</v>
      </c>
      <c r="C1872" s="3" t="s">
        <v>2030</v>
      </c>
      <c r="D1872" s="3" t="s">
        <v>1966</v>
      </c>
      <c r="E1872" s="3" t="str">
        <v>Chamblon</v>
      </c>
      <c r="I1872" s="19">
        <v>6212</v>
      </c>
      <c r="J1872" s="19" t="s">
        <v>4558</v>
      </c>
    </row>
    <row r="1873" spans="1:10" x14ac:dyDescent="0.2">
      <c r="A1873" s="3">
        <v>8893</v>
      </c>
      <c r="B1873" s="3" t="s">
        <v>2031</v>
      </c>
      <c r="C1873" s="3" t="s">
        <v>2030</v>
      </c>
      <c r="D1873" s="3" t="s">
        <v>1966</v>
      </c>
      <c r="E1873" s="3" t="str">
        <v>Champvent</v>
      </c>
      <c r="I1873" s="19">
        <v>6213</v>
      </c>
      <c r="J1873" s="19" t="s">
        <v>4558</v>
      </c>
    </row>
    <row r="1874" spans="1:10" x14ac:dyDescent="0.2">
      <c r="A1874" s="3">
        <v>8894</v>
      </c>
      <c r="B1874" s="3" t="s">
        <v>2032</v>
      </c>
      <c r="C1874" s="3" t="s">
        <v>2030</v>
      </c>
      <c r="D1874" s="3" t="s">
        <v>1966</v>
      </c>
      <c r="E1874" s="3" t="str">
        <v>Chavannes-le-Chêne</v>
      </c>
      <c r="I1874" s="19">
        <v>6214</v>
      </c>
      <c r="J1874" s="19" t="s">
        <v>4555</v>
      </c>
    </row>
    <row r="1875" spans="1:10" x14ac:dyDescent="0.2">
      <c r="A1875" s="3">
        <v>8895</v>
      </c>
      <c r="B1875" s="3" t="s">
        <v>2033</v>
      </c>
      <c r="C1875" s="3" t="s">
        <v>2030</v>
      </c>
      <c r="D1875" s="3" t="s">
        <v>1966</v>
      </c>
      <c r="E1875" s="3" t="str">
        <v>Chêne-Pâquier</v>
      </c>
      <c r="I1875" s="19">
        <v>6215</v>
      </c>
      <c r="J1875" s="19" t="s">
        <v>4555</v>
      </c>
    </row>
    <row r="1876" spans="1:10" x14ac:dyDescent="0.2">
      <c r="A1876" s="3">
        <v>8896</v>
      </c>
      <c r="B1876" s="3" t="s">
        <v>2034</v>
      </c>
      <c r="C1876" s="3" t="s">
        <v>2030</v>
      </c>
      <c r="D1876" s="3" t="s">
        <v>1966</v>
      </c>
      <c r="E1876" s="3" t="str">
        <v>Cheseaux-Noréaz</v>
      </c>
      <c r="I1876" s="19">
        <v>6216</v>
      </c>
      <c r="J1876" s="19" t="s">
        <v>4555</v>
      </c>
    </row>
    <row r="1877" spans="1:10" x14ac:dyDescent="0.2">
      <c r="A1877" s="3">
        <v>8897</v>
      </c>
      <c r="B1877" s="3" t="s">
        <v>2035</v>
      </c>
      <c r="C1877" s="3" t="s">
        <v>2030</v>
      </c>
      <c r="D1877" s="3" t="s">
        <v>1966</v>
      </c>
      <c r="E1877" s="3" t="str">
        <v>Cronay</v>
      </c>
      <c r="I1877" s="19">
        <v>6217</v>
      </c>
      <c r="J1877" s="19" t="s">
        <v>4555</v>
      </c>
    </row>
    <row r="1878" spans="1:10" x14ac:dyDescent="0.2">
      <c r="A1878" s="3">
        <v>8898</v>
      </c>
      <c r="B1878" s="3" t="s">
        <v>2036</v>
      </c>
      <c r="C1878" s="3" t="s">
        <v>2030</v>
      </c>
      <c r="D1878" s="3" t="s">
        <v>1966</v>
      </c>
      <c r="E1878" s="3" t="str">
        <v>Cuarny</v>
      </c>
      <c r="I1878" s="19">
        <v>6218</v>
      </c>
      <c r="J1878" s="19" t="s">
        <v>4554</v>
      </c>
    </row>
    <row r="1879" spans="1:10" x14ac:dyDescent="0.2">
      <c r="A1879" s="3">
        <v>7325</v>
      </c>
      <c r="B1879" s="3" t="s">
        <v>2037</v>
      </c>
      <c r="C1879" s="3" t="s">
        <v>2038</v>
      </c>
      <c r="D1879" s="3" t="s">
        <v>1966</v>
      </c>
      <c r="E1879" s="3" t="str">
        <v>Démoret</v>
      </c>
      <c r="I1879" s="19">
        <v>6221</v>
      </c>
      <c r="J1879" s="19" t="s">
        <v>4558</v>
      </c>
    </row>
    <row r="1880" spans="1:10" x14ac:dyDescent="0.2">
      <c r="A1880" s="3">
        <v>7326</v>
      </c>
      <c r="B1880" s="3" t="s">
        <v>2039</v>
      </c>
      <c r="C1880" s="3" t="s">
        <v>2038</v>
      </c>
      <c r="D1880" s="3" t="s">
        <v>1966</v>
      </c>
      <c r="E1880" s="3" t="str">
        <v>Donneloye</v>
      </c>
      <c r="I1880" s="19">
        <v>6222</v>
      </c>
      <c r="J1880" s="19" t="s">
        <v>4558</v>
      </c>
    </row>
    <row r="1881" spans="1:10" x14ac:dyDescent="0.2">
      <c r="A1881" s="3">
        <v>8886</v>
      </c>
      <c r="B1881" s="3" t="s">
        <v>2040</v>
      </c>
      <c r="C1881" s="3" t="s">
        <v>2038</v>
      </c>
      <c r="D1881" s="3" t="s">
        <v>1966</v>
      </c>
      <c r="E1881" s="3" t="str">
        <v>Ependes (VD)</v>
      </c>
      <c r="I1881" s="19">
        <v>6231</v>
      </c>
      <c r="J1881" s="19" t="s">
        <v>4558</v>
      </c>
    </row>
    <row r="1882" spans="1:10" x14ac:dyDescent="0.2">
      <c r="A1882" s="3">
        <v>8887</v>
      </c>
      <c r="B1882" s="3" t="s">
        <v>2038</v>
      </c>
      <c r="C1882" s="3" t="s">
        <v>2038</v>
      </c>
      <c r="D1882" s="3" t="s">
        <v>1966</v>
      </c>
      <c r="E1882" s="3" t="str">
        <v>Mathod</v>
      </c>
      <c r="I1882" s="19">
        <v>6232</v>
      </c>
      <c r="J1882" s="19" t="s">
        <v>4558</v>
      </c>
    </row>
    <row r="1883" spans="1:10" x14ac:dyDescent="0.2">
      <c r="A1883" s="3">
        <v>8888</v>
      </c>
      <c r="B1883" s="3" t="s">
        <v>2041</v>
      </c>
      <c r="C1883" s="3" t="s">
        <v>2038</v>
      </c>
      <c r="D1883" s="3" t="s">
        <v>1966</v>
      </c>
      <c r="E1883" s="3" t="str">
        <v>Molondin</v>
      </c>
      <c r="I1883" s="19">
        <v>6233</v>
      </c>
      <c r="J1883" s="19" t="s">
        <v>4558</v>
      </c>
    </row>
    <row r="1884" spans="1:10" x14ac:dyDescent="0.2">
      <c r="A1884" s="3">
        <v>8889</v>
      </c>
      <c r="B1884" s="3" t="s">
        <v>2042</v>
      </c>
      <c r="C1884" s="3" t="s">
        <v>2038</v>
      </c>
      <c r="D1884" s="3" t="s">
        <v>1966</v>
      </c>
      <c r="E1884" s="3" t="str">
        <v>Montagny-près-Yverdon</v>
      </c>
      <c r="I1884" s="19">
        <v>6234</v>
      </c>
      <c r="J1884" s="19" t="s">
        <v>4558</v>
      </c>
    </row>
    <row r="1885" spans="1:10" x14ac:dyDescent="0.2">
      <c r="A1885" s="3">
        <v>7312</v>
      </c>
      <c r="B1885" s="3" t="s">
        <v>2043</v>
      </c>
      <c r="C1885" s="3" t="s">
        <v>2043</v>
      </c>
      <c r="D1885" s="3" t="s">
        <v>1966</v>
      </c>
      <c r="E1885" s="3" t="str">
        <v>Oppens</v>
      </c>
      <c r="I1885" s="19">
        <v>6235</v>
      </c>
      <c r="J1885" s="19" t="s">
        <v>4558</v>
      </c>
    </row>
    <row r="1886" spans="1:10" x14ac:dyDescent="0.2">
      <c r="A1886" s="3">
        <v>7313</v>
      </c>
      <c r="B1886" s="3" t="s">
        <v>2044</v>
      </c>
      <c r="C1886" s="3" t="s">
        <v>2043</v>
      </c>
      <c r="D1886" s="3" t="s">
        <v>1966</v>
      </c>
      <c r="E1886" s="3" t="str">
        <v>Orges</v>
      </c>
      <c r="I1886" s="19">
        <v>6236</v>
      </c>
      <c r="J1886" s="19" t="s">
        <v>4558</v>
      </c>
    </row>
    <row r="1887" spans="1:10" x14ac:dyDescent="0.2">
      <c r="A1887" s="3">
        <v>7314</v>
      </c>
      <c r="B1887" s="3" t="s">
        <v>2045</v>
      </c>
      <c r="C1887" s="3" t="s">
        <v>2043</v>
      </c>
      <c r="D1887" s="3" t="s">
        <v>1966</v>
      </c>
      <c r="E1887" s="3" t="str">
        <v>Orzens</v>
      </c>
      <c r="I1887" s="19">
        <v>6242</v>
      </c>
      <c r="J1887" s="19" t="s">
        <v>4558</v>
      </c>
    </row>
    <row r="1888" spans="1:10" x14ac:dyDescent="0.2">
      <c r="A1888" s="3">
        <v>7315</v>
      </c>
      <c r="B1888" s="3" t="s">
        <v>2046</v>
      </c>
      <c r="C1888" s="3" t="s">
        <v>2043</v>
      </c>
      <c r="D1888" s="3" t="s">
        <v>1966</v>
      </c>
      <c r="E1888" s="3" t="str">
        <v>Pomy</v>
      </c>
      <c r="I1888" s="19">
        <v>6243</v>
      </c>
      <c r="J1888" s="19" t="s">
        <v>4554</v>
      </c>
    </row>
    <row r="1889" spans="1:10" x14ac:dyDescent="0.2">
      <c r="A1889" s="3">
        <v>7317</v>
      </c>
      <c r="B1889" s="3" t="s">
        <v>2047</v>
      </c>
      <c r="C1889" s="3" t="s">
        <v>2043</v>
      </c>
      <c r="D1889" s="3" t="s">
        <v>1966</v>
      </c>
      <c r="E1889" s="3" t="str">
        <v>Rovray</v>
      </c>
      <c r="I1889" s="19">
        <v>6244</v>
      </c>
      <c r="J1889" s="19" t="s">
        <v>4554</v>
      </c>
    </row>
    <row r="1890" spans="1:10" x14ac:dyDescent="0.2">
      <c r="A1890" s="3">
        <v>7317</v>
      </c>
      <c r="B1890" s="3" t="s">
        <v>2048</v>
      </c>
      <c r="C1890" s="3" t="s">
        <v>2043</v>
      </c>
      <c r="D1890" s="3" t="s">
        <v>1966</v>
      </c>
      <c r="E1890" s="3" t="str">
        <v>Suchy</v>
      </c>
      <c r="I1890" s="19">
        <v>6245</v>
      </c>
      <c r="J1890" s="19" t="s">
        <v>4554</v>
      </c>
    </row>
    <row r="1891" spans="1:10" x14ac:dyDescent="0.2">
      <c r="A1891" s="3">
        <v>8877</v>
      </c>
      <c r="B1891" s="3" t="s">
        <v>2049</v>
      </c>
      <c r="C1891" s="3" t="s">
        <v>2050</v>
      </c>
      <c r="D1891" s="3" t="s">
        <v>1966</v>
      </c>
      <c r="E1891" s="3" t="str">
        <v>Suscévaz</v>
      </c>
      <c r="I1891" s="19">
        <v>6246</v>
      </c>
      <c r="J1891" s="19" t="s">
        <v>4554</v>
      </c>
    </row>
    <row r="1892" spans="1:10" x14ac:dyDescent="0.2">
      <c r="A1892" s="3">
        <v>8878</v>
      </c>
      <c r="B1892" s="3" t="s">
        <v>2051</v>
      </c>
      <c r="C1892" s="3" t="s">
        <v>2050</v>
      </c>
      <c r="D1892" s="3" t="s">
        <v>1966</v>
      </c>
      <c r="E1892" s="3" t="str">
        <v>Treycovagnes</v>
      </c>
      <c r="I1892" s="19">
        <v>6247</v>
      </c>
      <c r="J1892" s="19" t="s">
        <v>4554</v>
      </c>
    </row>
    <row r="1893" spans="1:10" x14ac:dyDescent="0.2">
      <c r="A1893" s="3">
        <v>8882</v>
      </c>
      <c r="B1893" s="3" t="s">
        <v>2052</v>
      </c>
      <c r="C1893" s="3" t="s">
        <v>2050</v>
      </c>
      <c r="D1893" s="3" t="s">
        <v>1966</v>
      </c>
      <c r="E1893" s="3" t="str">
        <v>Ursins</v>
      </c>
      <c r="I1893" s="19">
        <v>6248</v>
      </c>
      <c r="J1893" s="19" t="s">
        <v>4554</v>
      </c>
    </row>
    <row r="1894" spans="1:10" x14ac:dyDescent="0.2">
      <c r="A1894" s="3">
        <v>8883</v>
      </c>
      <c r="B1894" s="3" t="s">
        <v>2050</v>
      </c>
      <c r="C1894" s="3" t="s">
        <v>2050</v>
      </c>
      <c r="D1894" s="3" t="s">
        <v>1966</v>
      </c>
      <c r="E1894" s="3" t="str">
        <v>Valeyres-sous-Montagny</v>
      </c>
      <c r="I1894" s="19">
        <v>6252</v>
      </c>
      <c r="J1894" s="19" t="s">
        <v>4554</v>
      </c>
    </row>
    <row r="1895" spans="1:10" x14ac:dyDescent="0.2">
      <c r="A1895" s="3">
        <v>8884</v>
      </c>
      <c r="B1895" s="3" t="s">
        <v>2053</v>
      </c>
      <c r="C1895" s="3" t="s">
        <v>2050</v>
      </c>
      <c r="D1895" s="3" t="s">
        <v>1966</v>
      </c>
      <c r="E1895" s="3" t="str">
        <v>Valeyres-sous-Ursins</v>
      </c>
      <c r="I1895" s="19">
        <v>6253</v>
      </c>
      <c r="J1895" s="19" t="s">
        <v>4558</v>
      </c>
    </row>
    <row r="1896" spans="1:10" x14ac:dyDescent="0.2">
      <c r="A1896" s="3">
        <v>8885</v>
      </c>
      <c r="B1896" s="3" t="s">
        <v>2054</v>
      </c>
      <c r="C1896" s="3" t="s">
        <v>2050</v>
      </c>
      <c r="D1896" s="3" t="s">
        <v>1966</v>
      </c>
      <c r="E1896" s="3" t="str">
        <v>Villars-Epeney</v>
      </c>
      <c r="I1896" s="19">
        <v>6260</v>
      </c>
      <c r="J1896" s="19" t="s">
        <v>4558</v>
      </c>
    </row>
    <row r="1897" spans="1:10" x14ac:dyDescent="0.2">
      <c r="A1897" s="3">
        <v>7320</v>
      </c>
      <c r="B1897" s="3" t="s">
        <v>2055</v>
      </c>
      <c r="C1897" s="3" t="s">
        <v>2055</v>
      </c>
      <c r="D1897" s="3" t="s">
        <v>1966</v>
      </c>
      <c r="E1897" s="3" t="str">
        <v>Vugelles-La Mothe</v>
      </c>
      <c r="I1897" s="19">
        <v>6262</v>
      </c>
      <c r="J1897" s="19" t="s">
        <v>4554</v>
      </c>
    </row>
    <row r="1898" spans="1:10" x14ac:dyDescent="0.2">
      <c r="A1898" s="3">
        <v>7323</v>
      </c>
      <c r="B1898" s="3" t="s">
        <v>2056</v>
      </c>
      <c r="C1898" s="3" t="s">
        <v>2057</v>
      </c>
      <c r="D1898" s="3" t="s">
        <v>1966</v>
      </c>
      <c r="E1898" s="3" t="str">
        <v>Yverdon-les-Bains</v>
      </c>
      <c r="I1898" s="19">
        <v>6263</v>
      </c>
      <c r="J1898" s="19" t="s">
        <v>4554</v>
      </c>
    </row>
    <row r="1899" spans="1:10" x14ac:dyDescent="0.2">
      <c r="A1899" s="3">
        <v>7323</v>
      </c>
      <c r="B1899" s="3" t="s">
        <v>2056</v>
      </c>
      <c r="C1899" s="3" t="s">
        <v>2057</v>
      </c>
      <c r="D1899" s="3" t="s">
        <v>1966</v>
      </c>
      <c r="E1899" s="3" t="str">
        <v>Yvonand</v>
      </c>
      <c r="I1899" s="19">
        <v>6264</v>
      </c>
      <c r="J1899" s="19" t="s">
        <v>4554</v>
      </c>
    </row>
    <row r="1900" spans="1:10" x14ac:dyDescent="0.2">
      <c r="A1900" s="3">
        <v>7324</v>
      </c>
      <c r="B1900" s="3" t="s">
        <v>2058</v>
      </c>
      <c r="C1900" s="3" t="s">
        <v>2057</v>
      </c>
      <c r="D1900" s="3" t="s">
        <v>1966</v>
      </c>
      <c r="E1900" s="3" t="str">
        <v>Brig-Glis</v>
      </c>
      <c r="I1900" s="19">
        <v>6265</v>
      </c>
      <c r="J1900" s="19" t="s">
        <v>4554</v>
      </c>
    </row>
    <row r="1901" spans="1:10" x14ac:dyDescent="0.2">
      <c r="A1901" s="3">
        <v>8880</v>
      </c>
      <c r="B1901" s="3" t="s">
        <v>2059</v>
      </c>
      <c r="C1901" s="3" t="s">
        <v>2059</v>
      </c>
      <c r="D1901" s="3" t="s">
        <v>1966</v>
      </c>
      <c r="E1901" s="3" t="str">
        <v>Eggerberg</v>
      </c>
      <c r="I1901" s="19">
        <v>6274</v>
      </c>
      <c r="J1901" s="19" t="s">
        <v>4555</v>
      </c>
    </row>
    <row r="1902" spans="1:10" x14ac:dyDescent="0.2">
      <c r="A1902" s="3">
        <v>8881</v>
      </c>
      <c r="B1902" s="3" t="s">
        <v>2060</v>
      </c>
      <c r="C1902" s="3" t="s">
        <v>2059</v>
      </c>
      <c r="D1902" s="3" t="s">
        <v>1966</v>
      </c>
      <c r="E1902" s="3" t="str">
        <v>Naters</v>
      </c>
      <c r="I1902" s="19">
        <v>6275</v>
      </c>
      <c r="J1902" s="19" t="s">
        <v>4555</v>
      </c>
    </row>
    <row r="1903" spans="1:10" x14ac:dyDescent="0.2">
      <c r="A1903" s="3">
        <v>8881</v>
      </c>
      <c r="B1903" s="3" t="s">
        <v>2061</v>
      </c>
      <c r="C1903" s="3" t="s">
        <v>2059</v>
      </c>
      <c r="D1903" s="3" t="s">
        <v>1966</v>
      </c>
      <c r="E1903" s="3" t="str">
        <v>Ried-Brig</v>
      </c>
      <c r="I1903" s="19">
        <v>6276</v>
      </c>
      <c r="J1903" s="19" t="s">
        <v>4555</v>
      </c>
    </row>
    <row r="1904" spans="1:10" x14ac:dyDescent="0.2">
      <c r="A1904" s="3">
        <v>8892</v>
      </c>
      <c r="B1904" s="3" t="s">
        <v>2062</v>
      </c>
      <c r="C1904" s="3" t="s">
        <v>2059</v>
      </c>
      <c r="D1904" s="3" t="s">
        <v>1966</v>
      </c>
      <c r="E1904" s="3" t="str">
        <v>Simplon</v>
      </c>
      <c r="I1904" s="19">
        <v>6277</v>
      </c>
      <c r="J1904" s="19" t="s">
        <v>4555</v>
      </c>
    </row>
    <row r="1905" spans="1:10" x14ac:dyDescent="0.2">
      <c r="A1905" s="3">
        <v>8873</v>
      </c>
      <c r="B1905" s="3" t="s">
        <v>2063</v>
      </c>
      <c r="C1905" s="3" t="s">
        <v>2063</v>
      </c>
      <c r="D1905" s="3" t="s">
        <v>1966</v>
      </c>
      <c r="E1905" s="3" t="str">
        <v>Termen</v>
      </c>
      <c r="I1905" s="19">
        <v>6280</v>
      </c>
      <c r="J1905" s="19" t="s">
        <v>4555</v>
      </c>
    </row>
    <row r="1906" spans="1:10" x14ac:dyDescent="0.2">
      <c r="A1906" s="3">
        <v>8717</v>
      </c>
      <c r="B1906" s="3" t="s">
        <v>2064</v>
      </c>
      <c r="C1906" s="3" t="s">
        <v>2065</v>
      </c>
      <c r="D1906" s="3" t="s">
        <v>1966</v>
      </c>
      <c r="E1906" s="3" t="str">
        <v>Zwischbergen</v>
      </c>
      <c r="I1906" s="19">
        <v>6283</v>
      </c>
      <c r="J1906" s="19" t="s">
        <v>4555</v>
      </c>
    </row>
    <row r="1907" spans="1:10" x14ac:dyDescent="0.2">
      <c r="A1907" s="3">
        <v>8722</v>
      </c>
      <c r="B1907" s="3" t="s">
        <v>2066</v>
      </c>
      <c r="C1907" s="3" t="s">
        <v>2066</v>
      </c>
      <c r="D1907" s="3" t="s">
        <v>1966</v>
      </c>
      <c r="E1907" s="3" t="str">
        <v>Ardon</v>
      </c>
      <c r="I1907" s="19">
        <v>6284</v>
      </c>
      <c r="J1907" s="19" t="s">
        <v>4555</v>
      </c>
    </row>
    <row r="1908" spans="1:10" x14ac:dyDescent="0.2">
      <c r="A1908" s="3">
        <v>8718</v>
      </c>
      <c r="B1908" s="3" t="s">
        <v>2067</v>
      </c>
      <c r="C1908" s="3" t="s">
        <v>2067</v>
      </c>
      <c r="D1908" s="3" t="s">
        <v>1966</v>
      </c>
      <c r="E1908" s="3" t="str">
        <v>Chamoson</v>
      </c>
      <c r="I1908" s="19">
        <v>6285</v>
      </c>
      <c r="J1908" s="19" t="s">
        <v>4555</v>
      </c>
    </row>
    <row r="1909" spans="1:10" x14ac:dyDescent="0.2">
      <c r="A1909" s="3">
        <v>8723</v>
      </c>
      <c r="B1909" s="3" t="s">
        <v>2068</v>
      </c>
      <c r="C1909" s="3" t="s">
        <v>2067</v>
      </c>
      <c r="D1909" s="3" t="s">
        <v>1966</v>
      </c>
      <c r="E1909" s="3" t="str">
        <v>Conthey</v>
      </c>
      <c r="I1909" s="19">
        <v>6286</v>
      </c>
      <c r="J1909" s="19" t="s">
        <v>4558</v>
      </c>
    </row>
    <row r="1910" spans="1:10" x14ac:dyDescent="0.2">
      <c r="A1910" s="3">
        <v>8723</v>
      </c>
      <c r="B1910" s="3" t="s">
        <v>2069</v>
      </c>
      <c r="C1910" s="3" t="s">
        <v>2067</v>
      </c>
      <c r="D1910" s="3" t="s">
        <v>1966</v>
      </c>
      <c r="E1910" s="3" t="str">
        <v>Nendaz</v>
      </c>
      <c r="I1910" s="19">
        <v>6287</v>
      </c>
      <c r="J1910" s="19" t="s">
        <v>4558</v>
      </c>
    </row>
    <row r="1911" spans="1:10" x14ac:dyDescent="0.2">
      <c r="A1911" s="3">
        <v>8866</v>
      </c>
      <c r="B1911" s="3" t="s">
        <v>2070</v>
      </c>
      <c r="C1911" s="3" t="s">
        <v>2067</v>
      </c>
      <c r="D1911" s="3" t="s">
        <v>1966</v>
      </c>
      <c r="E1911" s="3" t="str">
        <v>Vétroz</v>
      </c>
      <c r="I1911" s="19">
        <v>6288</v>
      </c>
      <c r="J1911" s="19" t="s">
        <v>4558</v>
      </c>
    </row>
    <row r="1912" spans="1:10" x14ac:dyDescent="0.2">
      <c r="A1912" s="3">
        <v>8872</v>
      </c>
      <c r="B1912" s="3" t="s">
        <v>2071</v>
      </c>
      <c r="C1912" s="3" t="s">
        <v>2071</v>
      </c>
      <c r="D1912" s="3" t="s">
        <v>1966</v>
      </c>
      <c r="E1912" s="3" t="str">
        <v>Bourg-Saint-Pierre</v>
      </c>
      <c r="I1912" s="19">
        <v>6289</v>
      </c>
      <c r="J1912" s="19" t="s">
        <v>4558</v>
      </c>
    </row>
    <row r="1913" spans="1:10" x14ac:dyDescent="0.2">
      <c r="A1913" s="3">
        <v>8716</v>
      </c>
      <c r="B1913" s="3" t="s">
        <v>2072</v>
      </c>
      <c r="C1913" s="3" t="s">
        <v>2072</v>
      </c>
      <c r="D1913" s="3" t="s">
        <v>1966</v>
      </c>
      <c r="E1913" s="3" t="str">
        <v>Liddes</v>
      </c>
      <c r="I1913" s="19">
        <v>6294</v>
      </c>
      <c r="J1913" s="19" t="s">
        <v>4558</v>
      </c>
    </row>
    <row r="1914" spans="1:10" x14ac:dyDescent="0.2">
      <c r="A1914" s="3">
        <v>8730</v>
      </c>
      <c r="B1914" s="3" t="s">
        <v>2073</v>
      </c>
      <c r="C1914" s="3" t="s">
        <v>2073</v>
      </c>
      <c r="D1914" s="3" t="s">
        <v>1966</v>
      </c>
      <c r="E1914" s="3" t="str">
        <v>Orsières</v>
      </c>
      <c r="I1914" s="19">
        <v>6295</v>
      </c>
      <c r="J1914" s="19" t="s">
        <v>4558</v>
      </c>
    </row>
    <row r="1915" spans="1:10" x14ac:dyDescent="0.2">
      <c r="A1915" s="3">
        <v>8640</v>
      </c>
      <c r="B1915" s="3" t="s">
        <v>2074</v>
      </c>
      <c r="C1915" s="3" t="s">
        <v>2075</v>
      </c>
      <c r="D1915" s="3" t="s">
        <v>1966</v>
      </c>
      <c r="E1915" s="3" t="str">
        <v>Sembrancher</v>
      </c>
      <c r="I1915" s="19">
        <v>6300</v>
      </c>
      <c r="J1915" s="19" t="s">
        <v>4555</v>
      </c>
    </row>
    <row r="1916" spans="1:10" x14ac:dyDescent="0.2">
      <c r="A1916" s="3">
        <v>8645</v>
      </c>
      <c r="B1916" s="3" t="s">
        <v>2076</v>
      </c>
      <c r="C1916" s="3" t="s">
        <v>2075</v>
      </c>
      <c r="D1916" s="3" t="s">
        <v>1966</v>
      </c>
      <c r="E1916" s="3" t="str">
        <v>Val de Bagnes</v>
      </c>
      <c r="I1916" s="19">
        <v>6312</v>
      </c>
      <c r="J1916" s="19" t="s">
        <v>4555</v>
      </c>
    </row>
    <row r="1917" spans="1:10" x14ac:dyDescent="0.2">
      <c r="A1917" s="3">
        <v>8646</v>
      </c>
      <c r="B1917" s="3" t="s">
        <v>2077</v>
      </c>
      <c r="C1917" s="3" t="s">
        <v>2075</v>
      </c>
      <c r="D1917" s="3" t="s">
        <v>1966</v>
      </c>
      <c r="E1917" s="3" t="str">
        <v>Bellwald</v>
      </c>
      <c r="I1917" s="19">
        <v>6313</v>
      </c>
      <c r="J1917" s="19" t="s">
        <v>4560</v>
      </c>
    </row>
    <row r="1918" spans="1:10" x14ac:dyDescent="0.2">
      <c r="A1918" s="3">
        <v>8715</v>
      </c>
      <c r="B1918" s="3" t="s">
        <v>2078</v>
      </c>
      <c r="C1918" s="3" t="s">
        <v>2075</v>
      </c>
      <c r="D1918" s="3" t="s">
        <v>1966</v>
      </c>
      <c r="E1918" s="3" t="str">
        <v>Binn</v>
      </c>
      <c r="I1918" s="19">
        <v>6314</v>
      </c>
      <c r="J1918" s="19" t="s">
        <v>4555</v>
      </c>
    </row>
    <row r="1919" spans="1:10" x14ac:dyDescent="0.2">
      <c r="A1919" s="3">
        <v>8725</v>
      </c>
      <c r="B1919" s="3" t="s">
        <v>2079</v>
      </c>
      <c r="C1919" s="3" t="s">
        <v>2080</v>
      </c>
      <c r="D1919" s="3" t="s">
        <v>1966</v>
      </c>
      <c r="E1919" s="3" t="str">
        <v>Ernen</v>
      </c>
      <c r="I1919" s="19">
        <v>6315</v>
      </c>
      <c r="J1919" s="19" t="s">
        <v>4555</v>
      </c>
    </row>
    <row r="1920" spans="1:10" x14ac:dyDescent="0.2">
      <c r="A1920" s="3">
        <v>8725</v>
      </c>
      <c r="B1920" s="3" t="s">
        <v>2081</v>
      </c>
      <c r="C1920" s="3" t="s">
        <v>2080</v>
      </c>
      <c r="D1920" s="3" t="s">
        <v>1966</v>
      </c>
      <c r="E1920" s="3" t="str">
        <v>Fiesch</v>
      </c>
      <c r="I1920" s="19">
        <v>6317</v>
      </c>
      <c r="J1920" s="19" t="s">
        <v>4555</v>
      </c>
    </row>
    <row r="1921" spans="1:10" x14ac:dyDescent="0.2">
      <c r="A1921" s="3">
        <v>8737</v>
      </c>
      <c r="B1921" s="3" t="s">
        <v>2080</v>
      </c>
      <c r="C1921" s="3" t="s">
        <v>2080</v>
      </c>
      <c r="D1921" s="3" t="s">
        <v>1966</v>
      </c>
      <c r="E1921" s="3" t="str">
        <v>Fieschertal</v>
      </c>
      <c r="I1921" s="19">
        <v>6318</v>
      </c>
      <c r="J1921" s="19" t="s">
        <v>4555</v>
      </c>
    </row>
    <row r="1922" spans="1:10" x14ac:dyDescent="0.2">
      <c r="A1922" s="3">
        <v>8738</v>
      </c>
      <c r="B1922" s="3" t="s">
        <v>2082</v>
      </c>
      <c r="C1922" s="3" t="s">
        <v>2080</v>
      </c>
      <c r="D1922" s="3" t="s">
        <v>1966</v>
      </c>
      <c r="E1922" s="3" t="str">
        <v>Lax</v>
      </c>
      <c r="I1922" s="19">
        <v>6319</v>
      </c>
      <c r="J1922" s="19" t="s">
        <v>4560</v>
      </c>
    </row>
    <row r="1923" spans="1:10" x14ac:dyDescent="0.2">
      <c r="A1923" s="3">
        <v>8739</v>
      </c>
      <c r="B1923" s="3" t="s">
        <v>2083</v>
      </c>
      <c r="C1923" s="3" t="s">
        <v>2080</v>
      </c>
      <c r="D1923" s="3" t="s">
        <v>1966</v>
      </c>
      <c r="E1923" s="3" t="str">
        <v>Obergoms</v>
      </c>
      <c r="I1923" s="19">
        <v>6330</v>
      </c>
      <c r="J1923" s="19" t="s">
        <v>4555</v>
      </c>
    </row>
    <row r="1924" spans="1:10" x14ac:dyDescent="0.2">
      <c r="A1924" s="3">
        <v>8638</v>
      </c>
      <c r="B1924" s="3" t="s">
        <v>2084</v>
      </c>
      <c r="C1924" s="3" t="s">
        <v>2085</v>
      </c>
      <c r="D1924" s="3" t="s">
        <v>1966</v>
      </c>
      <c r="E1924" s="3" t="str">
        <v>Goms</v>
      </c>
      <c r="I1924" s="19">
        <v>6331</v>
      </c>
      <c r="J1924" s="19" t="s">
        <v>4555</v>
      </c>
    </row>
    <row r="1925" spans="1:10" x14ac:dyDescent="0.2">
      <c r="A1925" s="3">
        <v>8727</v>
      </c>
      <c r="B1925" s="3" t="s">
        <v>2086</v>
      </c>
      <c r="C1925" s="3" t="s">
        <v>2085</v>
      </c>
      <c r="D1925" s="3" t="s">
        <v>1966</v>
      </c>
      <c r="E1925" s="3" t="str">
        <v>Ayent</v>
      </c>
      <c r="I1925" s="19">
        <v>6332</v>
      </c>
      <c r="J1925" s="19" t="s">
        <v>4555</v>
      </c>
    </row>
    <row r="1926" spans="1:10" x14ac:dyDescent="0.2">
      <c r="A1926" s="3">
        <v>8732</v>
      </c>
      <c r="B1926" s="3" t="s">
        <v>2087</v>
      </c>
      <c r="C1926" s="3" t="s">
        <v>2085</v>
      </c>
      <c r="D1926" s="3" t="s">
        <v>1966</v>
      </c>
      <c r="E1926" s="3" t="str">
        <v>Evolène</v>
      </c>
      <c r="I1926" s="19">
        <v>6333</v>
      </c>
      <c r="J1926" s="19" t="s">
        <v>4555</v>
      </c>
    </row>
    <row r="1927" spans="1:10" x14ac:dyDescent="0.2">
      <c r="A1927" s="3">
        <v>8733</v>
      </c>
      <c r="B1927" s="3" t="s">
        <v>2088</v>
      </c>
      <c r="C1927" s="3" t="s">
        <v>2085</v>
      </c>
      <c r="D1927" s="3" t="s">
        <v>1966</v>
      </c>
      <c r="E1927" s="3" t="str">
        <v>Hérémence</v>
      </c>
      <c r="I1927" s="19">
        <v>6340</v>
      </c>
      <c r="J1927" s="19" t="s">
        <v>4560</v>
      </c>
    </row>
    <row r="1928" spans="1:10" x14ac:dyDescent="0.2">
      <c r="A1928" s="3">
        <v>8734</v>
      </c>
      <c r="B1928" s="3" t="s">
        <v>2089</v>
      </c>
      <c r="C1928" s="3" t="s">
        <v>2085</v>
      </c>
      <c r="D1928" s="3" t="s">
        <v>1966</v>
      </c>
      <c r="E1928" s="3" t="str">
        <v>Saint-Martin (VS)</v>
      </c>
      <c r="I1928" s="19">
        <v>6343</v>
      </c>
      <c r="J1928" s="19" t="s">
        <v>4555</v>
      </c>
    </row>
    <row r="1929" spans="1:10" x14ac:dyDescent="0.2">
      <c r="A1929" s="3">
        <v>8735</v>
      </c>
      <c r="B1929" s="3" t="s">
        <v>2090</v>
      </c>
      <c r="C1929" s="3" t="s">
        <v>2085</v>
      </c>
      <c r="D1929" s="3" t="s">
        <v>1966</v>
      </c>
      <c r="E1929" s="3" t="str">
        <v>Vex</v>
      </c>
      <c r="I1929" s="19">
        <v>6344</v>
      </c>
      <c r="J1929" s="19" t="s">
        <v>4555</v>
      </c>
    </row>
    <row r="1930" spans="1:10" x14ac:dyDescent="0.2">
      <c r="A1930" s="3">
        <v>8735</v>
      </c>
      <c r="B1930" s="3" t="s">
        <v>2091</v>
      </c>
      <c r="C1930" s="3" t="s">
        <v>2085</v>
      </c>
      <c r="D1930" s="3" t="s">
        <v>1966</v>
      </c>
      <c r="E1930" s="3" t="str">
        <v>Mont-Noble</v>
      </c>
      <c r="I1930" s="19">
        <v>6345</v>
      </c>
      <c r="J1930" s="19" t="s">
        <v>4560</v>
      </c>
    </row>
    <row r="1931" spans="1:10" x14ac:dyDescent="0.2">
      <c r="A1931" s="3">
        <v>9642</v>
      </c>
      <c r="B1931" s="3" t="s">
        <v>2092</v>
      </c>
      <c r="C1931" s="3" t="s">
        <v>2092</v>
      </c>
      <c r="D1931" s="3" t="s">
        <v>1966</v>
      </c>
      <c r="E1931" s="3" t="str">
        <v>Agarn</v>
      </c>
      <c r="I1931" s="19">
        <v>6353</v>
      </c>
      <c r="J1931" s="19" t="s">
        <v>4555</v>
      </c>
    </row>
    <row r="1932" spans="1:10" x14ac:dyDescent="0.2">
      <c r="A1932" s="3">
        <v>9656</v>
      </c>
      <c r="B1932" s="3" t="s">
        <v>2093</v>
      </c>
      <c r="C1932" s="3" t="s">
        <v>2094</v>
      </c>
      <c r="D1932" s="3" t="s">
        <v>1966</v>
      </c>
      <c r="E1932" s="3" t="str">
        <v>Albinen</v>
      </c>
      <c r="I1932" s="19">
        <v>6354</v>
      </c>
      <c r="J1932" s="19" t="s">
        <v>4555</v>
      </c>
    </row>
    <row r="1933" spans="1:10" x14ac:dyDescent="0.2">
      <c r="A1933" s="3">
        <v>9657</v>
      </c>
      <c r="B1933" s="3" t="s">
        <v>2095</v>
      </c>
      <c r="C1933" s="3" t="s">
        <v>2094</v>
      </c>
      <c r="D1933" s="3" t="s">
        <v>1966</v>
      </c>
      <c r="E1933" s="3" t="str">
        <v>Ergisch</v>
      </c>
      <c r="I1933" s="19">
        <v>6356</v>
      </c>
      <c r="J1933" s="19" t="s">
        <v>4561</v>
      </c>
    </row>
    <row r="1934" spans="1:10" x14ac:dyDescent="0.2">
      <c r="A1934" s="3">
        <v>9658</v>
      </c>
      <c r="B1934" s="3" t="s">
        <v>2096</v>
      </c>
      <c r="C1934" s="3" t="s">
        <v>2094</v>
      </c>
      <c r="D1934" s="3" t="s">
        <v>1966</v>
      </c>
      <c r="E1934" s="3" t="str">
        <v>Inden</v>
      </c>
      <c r="I1934" s="19">
        <v>6362</v>
      </c>
      <c r="J1934" s="19" t="s">
        <v>4555</v>
      </c>
    </row>
    <row r="1935" spans="1:10" x14ac:dyDescent="0.2">
      <c r="A1935" s="3">
        <v>9643</v>
      </c>
      <c r="B1935" s="3" t="s">
        <v>2097</v>
      </c>
      <c r="C1935" s="3" t="s">
        <v>2098</v>
      </c>
      <c r="D1935" s="3" t="s">
        <v>1966</v>
      </c>
      <c r="E1935" s="3" t="str">
        <v>Leuk</v>
      </c>
      <c r="I1935" s="19">
        <v>6363</v>
      </c>
      <c r="J1935" s="19" t="s">
        <v>4555</v>
      </c>
    </row>
    <row r="1936" spans="1:10" x14ac:dyDescent="0.2">
      <c r="A1936" s="3">
        <v>9650</v>
      </c>
      <c r="B1936" s="3" t="s">
        <v>2098</v>
      </c>
      <c r="C1936" s="3" t="s">
        <v>2098</v>
      </c>
      <c r="D1936" s="3" t="s">
        <v>1966</v>
      </c>
      <c r="E1936" s="3" t="str">
        <v>Leukerbad</v>
      </c>
      <c r="I1936" s="19">
        <v>6365</v>
      </c>
      <c r="J1936" s="19" t="s">
        <v>4555</v>
      </c>
    </row>
    <row r="1937" spans="1:10" x14ac:dyDescent="0.2">
      <c r="A1937" s="3">
        <v>9651</v>
      </c>
      <c r="B1937" s="3" t="s">
        <v>2099</v>
      </c>
      <c r="C1937" s="3" t="s">
        <v>2098</v>
      </c>
      <c r="D1937" s="3" t="s">
        <v>1966</v>
      </c>
      <c r="E1937" s="3" t="str">
        <v>Oberems</v>
      </c>
      <c r="I1937" s="19">
        <v>6370</v>
      </c>
      <c r="J1937" s="19" t="s">
        <v>4555</v>
      </c>
    </row>
    <row r="1938" spans="1:10" x14ac:dyDescent="0.2">
      <c r="A1938" s="3">
        <v>9652</v>
      </c>
      <c r="B1938" s="3" t="s">
        <v>2100</v>
      </c>
      <c r="C1938" s="3" t="s">
        <v>2098</v>
      </c>
      <c r="D1938" s="3" t="s">
        <v>1966</v>
      </c>
      <c r="E1938" s="3" t="str">
        <v>Salgesch</v>
      </c>
      <c r="I1938" s="19">
        <v>6372</v>
      </c>
      <c r="J1938" s="19" t="s">
        <v>4555</v>
      </c>
    </row>
    <row r="1939" spans="1:10" x14ac:dyDescent="0.2">
      <c r="A1939" s="3">
        <v>9655</v>
      </c>
      <c r="B1939" s="3" t="s">
        <v>2101</v>
      </c>
      <c r="C1939" s="3" t="s">
        <v>2098</v>
      </c>
      <c r="D1939" s="3" t="s">
        <v>1966</v>
      </c>
      <c r="E1939" s="3" t="str">
        <v>Varen</v>
      </c>
      <c r="I1939" s="19">
        <v>6373</v>
      </c>
      <c r="J1939" s="19" t="s">
        <v>4555</v>
      </c>
    </row>
    <row r="1940" spans="1:10" x14ac:dyDescent="0.2">
      <c r="A1940" s="3">
        <v>9633</v>
      </c>
      <c r="B1940" s="3" t="s">
        <v>2102</v>
      </c>
      <c r="C1940" s="3" t="s">
        <v>2102</v>
      </c>
      <c r="D1940" s="3" t="s">
        <v>1966</v>
      </c>
      <c r="E1940" s="3" t="str">
        <v>Guttet-Feschel</v>
      </c>
      <c r="I1940" s="19">
        <v>6374</v>
      </c>
      <c r="J1940" s="19" t="s">
        <v>4555</v>
      </c>
    </row>
    <row r="1941" spans="1:10" x14ac:dyDescent="0.2">
      <c r="A1941" s="3">
        <v>9633</v>
      </c>
      <c r="B1941" s="3" t="s">
        <v>2103</v>
      </c>
      <c r="C1941" s="3" t="s">
        <v>2102</v>
      </c>
      <c r="D1941" s="3" t="s">
        <v>1966</v>
      </c>
      <c r="E1941" s="3" t="str">
        <v>Gampel-Bratsch</v>
      </c>
      <c r="I1941" s="19">
        <v>6375</v>
      </c>
      <c r="J1941" s="19" t="s">
        <v>4562</v>
      </c>
    </row>
    <row r="1942" spans="1:10" x14ac:dyDescent="0.2">
      <c r="A1942" s="3">
        <v>9620</v>
      </c>
      <c r="B1942" s="3" t="s">
        <v>2104</v>
      </c>
      <c r="C1942" s="3" t="s">
        <v>2104</v>
      </c>
      <c r="D1942" s="3" t="s">
        <v>1966</v>
      </c>
      <c r="E1942" s="3" t="str">
        <v>Turtmann-Unterems</v>
      </c>
      <c r="I1942" s="19">
        <v>6376</v>
      </c>
      <c r="J1942" s="19" t="s">
        <v>4562</v>
      </c>
    </row>
    <row r="1943" spans="1:10" x14ac:dyDescent="0.2">
      <c r="A1943" s="3">
        <v>9621</v>
      </c>
      <c r="B1943" s="3" t="s">
        <v>2105</v>
      </c>
      <c r="C1943" s="3" t="s">
        <v>2105</v>
      </c>
      <c r="D1943" s="3" t="s">
        <v>1966</v>
      </c>
      <c r="E1943" s="3" t="str">
        <v>Bovernier</v>
      </c>
      <c r="I1943" s="19">
        <v>6377</v>
      </c>
      <c r="J1943" s="19" t="s">
        <v>4562</v>
      </c>
    </row>
    <row r="1944" spans="1:10" x14ac:dyDescent="0.2">
      <c r="A1944" s="3">
        <v>9114</v>
      </c>
      <c r="B1944" s="3" t="s">
        <v>2106</v>
      </c>
      <c r="C1944" s="3" t="s">
        <v>2107</v>
      </c>
      <c r="D1944" s="3" t="s">
        <v>1966</v>
      </c>
      <c r="E1944" s="3" t="str">
        <v>Fully</v>
      </c>
      <c r="I1944" s="19">
        <v>6382</v>
      </c>
      <c r="J1944" s="19" t="s">
        <v>4555</v>
      </c>
    </row>
    <row r="1945" spans="1:10" x14ac:dyDescent="0.2">
      <c r="A1945" s="3">
        <v>9115</v>
      </c>
      <c r="B1945" s="3" t="s">
        <v>2108</v>
      </c>
      <c r="C1945" s="3" t="s">
        <v>2107</v>
      </c>
      <c r="D1945" s="3" t="s">
        <v>1966</v>
      </c>
      <c r="E1945" s="3" t="str">
        <v>Isérables</v>
      </c>
      <c r="I1945" s="19">
        <v>6383</v>
      </c>
      <c r="J1945" s="19" t="s">
        <v>4555</v>
      </c>
    </row>
    <row r="1946" spans="1:10" x14ac:dyDescent="0.2">
      <c r="A1946" s="3">
        <v>9122</v>
      </c>
      <c r="B1946" s="3" t="s">
        <v>2109</v>
      </c>
      <c r="C1946" s="3" t="s">
        <v>2107</v>
      </c>
      <c r="D1946" s="3" t="s">
        <v>1966</v>
      </c>
      <c r="E1946" s="3" t="str">
        <v>Leytron</v>
      </c>
      <c r="I1946" s="19">
        <v>6386</v>
      </c>
      <c r="J1946" s="19" t="s">
        <v>4562</v>
      </c>
    </row>
    <row r="1947" spans="1:10" x14ac:dyDescent="0.2">
      <c r="A1947" s="3">
        <v>9122</v>
      </c>
      <c r="B1947" s="3" t="s">
        <v>2110</v>
      </c>
      <c r="C1947" s="3" t="s">
        <v>2107</v>
      </c>
      <c r="D1947" s="3" t="s">
        <v>1966</v>
      </c>
      <c r="E1947" s="3" t="str">
        <v>Martigny</v>
      </c>
      <c r="I1947" s="19">
        <v>6387</v>
      </c>
      <c r="J1947" s="19" t="s">
        <v>4561</v>
      </c>
    </row>
    <row r="1948" spans="1:10" x14ac:dyDescent="0.2">
      <c r="A1948" s="3">
        <v>9123</v>
      </c>
      <c r="B1948" s="3" t="s">
        <v>2111</v>
      </c>
      <c r="C1948" s="3" t="s">
        <v>2107</v>
      </c>
      <c r="D1948" s="3" t="s">
        <v>1966</v>
      </c>
      <c r="E1948" s="3" t="str">
        <v>Martigny-Combe</v>
      </c>
      <c r="I1948" s="19">
        <v>6388</v>
      </c>
      <c r="J1948" s="19" t="s">
        <v>4555</v>
      </c>
    </row>
    <row r="1949" spans="1:10" x14ac:dyDescent="0.2">
      <c r="A1949" s="3">
        <v>9125</v>
      </c>
      <c r="B1949" s="3" t="s">
        <v>2112</v>
      </c>
      <c r="C1949" s="3" t="s">
        <v>2107</v>
      </c>
      <c r="D1949" s="3" t="s">
        <v>1966</v>
      </c>
      <c r="E1949" s="3" t="str">
        <v>Riddes</v>
      </c>
      <c r="I1949" s="19">
        <v>6390</v>
      </c>
      <c r="J1949" s="19" t="s">
        <v>4561</v>
      </c>
    </row>
    <row r="1950" spans="1:10" x14ac:dyDescent="0.2">
      <c r="A1950" s="3">
        <v>9126</v>
      </c>
      <c r="B1950" s="3" t="s">
        <v>2113</v>
      </c>
      <c r="C1950" s="3" t="s">
        <v>2107</v>
      </c>
      <c r="D1950" s="3" t="s">
        <v>1966</v>
      </c>
      <c r="E1950" s="3" t="str">
        <v>Saillon</v>
      </c>
      <c r="I1950" s="19">
        <v>6402</v>
      </c>
      <c r="J1950" s="19" t="s">
        <v>4555</v>
      </c>
    </row>
    <row r="1951" spans="1:10" x14ac:dyDescent="0.2">
      <c r="A1951" s="3">
        <v>9127</v>
      </c>
      <c r="B1951" s="3" t="s">
        <v>2114</v>
      </c>
      <c r="C1951" s="3" t="s">
        <v>2107</v>
      </c>
      <c r="D1951" s="3" t="s">
        <v>1966</v>
      </c>
      <c r="E1951" s="3" t="str">
        <v>Saxon</v>
      </c>
      <c r="I1951" s="19">
        <v>6403</v>
      </c>
      <c r="J1951" s="19" t="s">
        <v>4555</v>
      </c>
    </row>
    <row r="1952" spans="1:10" x14ac:dyDescent="0.2">
      <c r="A1952" s="3">
        <v>8726</v>
      </c>
      <c r="B1952" s="3" t="s">
        <v>2115</v>
      </c>
      <c r="C1952" s="3" t="s">
        <v>2116</v>
      </c>
      <c r="D1952" s="3" t="s">
        <v>1966</v>
      </c>
      <c r="E1952" s="3" t="str">
        <v>Trient</v>
      </c>
      <c r="I1952" s="19">
        <v>6404</v>
      </c>
      <c r="J1952" s="19" t="s">
        <v>4555</v>
      </c>
    </row>
    <row r="1953" spans="1:10" x14ac:dyDescent="0.2">
      <c r="A1953" s="3">
        <v>9622</v>
      </c>
      <c r="B1953" s="3" t="s">
        <v>2117</v>
      </c>
      <c r="C1953" s="3" t="s">
        <v>2116</v>
      </c>
      <c r="D1953" s="3" t="s">
        <v>1966</v>
      </c>
      <c r="E1953" s="3" t="str">
        <v>Champéry</v>
      </c>
      <c r="I1953" s="19">
        <v>6405</v>
      </c>
      <c r="J1953" s="19" t="s">
        <v>4555</v>
      </c>
    </row>
    <row r="1954" spans="1:10" x14ac:dyDescent="0.2">
      <c r="A1954" s="3">
        <v>9630</v>
      </c>
      <c r="B1954" s="3" t="s">
        <v>2116</v>
      </c>
      <c r="C1954" s="3" t="s">
        <v>2116</v>
      </c>
      <c r="D1954" s="3" t="s">
        <v>1966</v>
      </c>
      <c r="E1954" s="3" t="str">
        <v>Collombey-Muraz</v>
      </c>
      <c r="I1954" s="19">
        <v>6410</v>
      </c>
      <c r="J1954" s="19" t="s">
        <v>4562</v>
      </c>
    </row>
    <row r="1955" spans="1:10" x14ac:dyDescent="0.2">
      <c r="A1955" s="3">
        <v>9631</v>
      </c>
      <c r="B1955" s="3" t="s">
        <v>2118</v>
      </c>
      <c r="C1955" s="3" t="s">
        <v>2116</v>
      </c>
      <c r="D1955" s="3" t="s">
        <v>1966</v>
      </c>
      <c r="E1955" s="3" t="str">
        <v>Monthey</v>
      </c>
      <c r="I1955" s="19">
        <v>6414</v>
      </c>
      <c r="J1955" s="19" t="s">
        <v>4562</v>
      </c>
    </row>
    <row r="1956" spans="1:10" x14ac:dyDescent="0.2">
      <c r="A1956" s="3">
        <v>9500</v>
      </c>
      <c r="B1956" s="3" t="s">
        <v>2119</v>
      </c>
      <c r="C1956" s="3" t="s">
        <v>2120</v>
      </c>
      <c r="D1956" s="3" t="s">
        <v>1966</v>
      </c>
      <c r="E1956" s="3" t="str">
        <v>Port-Valais</v>
      </c>
      <c r="I1956" s="19">
        <v>6415</v>
      </c>
      <c r="J1956" s="19" t="s">
        <v>4555</v>
      </c>
    </row>
    <row r="1957" spans="1:10" x14ac:dyDescent="0.2">
      <c r="A1957" s="3">
        <v>9533</v>
      </c>
      <c r="B1957" s="3" t="s">
        <v>2121</v>
      </c>
      <c r="C1957" s="3" t="s">
        <v>2120</v>
      </c>
      <c r="D1957" s="3" t="s">
        <v>1966</v>
      </c>
      <c r="E1957" s="3" t="str">
        <v>Saint-Gingolph</v>
      </c>
      <c r="I1957" s="19">
        <v>6416</v>
      </c>
      <c r="J1957" s="19" t="s">
        <v>4562</v>
      </c>
    </row>
    <row r="1958" spans="1:10" x14ac:dyDescent="0.2">
      <c r="A1958" s="3">
        <v>9533</v>
      </c>
      <c r="B1958" s="3" t="s">
        <v>2122</v>
      </c>
      <c r="C1958" s="3" t="s">
        <v>2120</v>
      </c>
      <c r="D1958" s="3" t="s">
        <v>1966</v>
      </c>
      <c r="E1958" s="3" t="str">
        <v>Troistorrents</v>
      </c>
      <c r="I1958" s="19">
        <v>6417</v>
      </c>
      <c r="J1958" s="19" t="s">
        <v>4562</v>
      </c>
    </row>
    <row r="1959" spans="1:10" x14ac:dyDescent="0.2">
      <c r="A1959" s="3">
        <v>9534</v>
      </c>
      <c r="B1959" s="3" t="s">
        <v>2123</v>
      </c>
      <c r="C1959" s="3" t="s">
        <v>2120</v>
      </c>
      <c r="D1959" s="3" t="s">
        <v>1966</v>
      </c>
      <c r="E1959" s="3" t="str">
        <v>Val-d'Illiez</v>
      </c>
      <c r="I1959" s="19">
        <v>6418</v>
      </c>
      <c r="J1959" s="19" t="s">
        <v>4562</v>
      </c>
    </row>
    <row r="1960" spans="1:10" x14ac:dyDescent="0.2">
      <c r="A1960" s="3">
        <v>9602</v>
      </c>
      <c r="B1960" s="3" t="s">
        <v>2124</v>
      </c>
      <c r="C1960" s="3" t="s">
        <v>2120</v>
      </c>
      <c r="D1960" s="3" t="s">
        <v>1966</v>
      </c>
      <c r="E1960" s="3" t="str">
        <v>Vionnaz</v>
      </c>
      <c r="I1960" s="19">
        <v>6422</v>
      </c>
      <c r="J1960" s="19" t="s">
        <v>4562</v>
      </c>
    </row>
    <row r="1961" spans="1:10" x14ac:dyDescent="0.2">
      <c r="A1961" s="3">
        <v>9602</v>
      </c>
      <c r="B1961" s="3" t="s">
        <v>2125</v>
      </c>
      <c r="C1961" s="3" t="s">
        <v>2120</v>
      </c>
      <c r="D1961" s="3" t="s">
        <v>1966</v>
      </c>
      <c r="E1961" s="3" t="str">
        <v>Vouvry</v>
      </c>
      <c r="I1961" s="19">
        <v>6423</v>
      </c>
      <c r="J1961" s="19" t="s">
        <v>4562</v>
      </c>
    </row>
    <row r="1962" spans="1:10" x14ac:dyDescent="0.2">
      <c r="A1962" s="3">
        <v>9601</v>
      </c>
      <c r="B1962" s="3" t="s">
        <v>2126</v>
      </c>
      <c r="C1962" s="3" t="s">
        <v>2127</v>
      </c>
      <c r="D1962" s="3" t="s">
        <v>1966</v>
      </c>
      <c r="E1962" s="3" t="str">
        <v>Bister</v>
      </c>
      <c r="I1962" s="19">
        <v>6424</v>
      </c>
      <c r="J1962" s="19" t="s">
        <v>4562</v>
      </c>
    </row>
    <row r="1963" spans="1:10" x14ac:dyDescent="0.2">
      <c r="A1963" s="3">
        <v>9604</v>
      </c>
      <c r="B1963" s="3" t="s">
        <v>2127</v>
      </c>
      <c r="C1963" s="3" t="s">
        <v>2127</v>
      </c>
      <c r="D1963" s="3" t="s">
        <v>1966</v>
      </c>
      <c r="E1963" s="3" t="str">
        <v>Bitsch</v>
      </c>
      <c r="I1963" s="19">
        <v>6430</v>
      </c>
      <c r="J1963" s="19" t="s">
        <v>4562</v>
      </c>
    </row>
    <row r="1964" spans="1:10" x14ac:dyDescent="0.2">
      <c r="A1964" s="3">
        <v>9604</v>
      </c>
      <c r="B1964" s="3" t="s">
        <v>2128</v>
      </c>
      <c r="C1964" s="3" t="s">
        <v>2127</v>
      </c>
      <c r="D1964" s="3" t="s">
        <v>1966</v>
      </c>
      <c r="E1964" s="3" t="str">
        <v>Grengiols</v>
      </c>
      <c r="I1964" s="19">
        <v>6432</v>
      </c>
      <c r="J1964" s="19" t="s">
        <v>4562</v>
      </c>
    </row>
    <row r="1965" spans="1:10" x14ac:dyDescent="0.2">
      <c r="A1965" s="3">
        <v>9607</v>
      </c>
      <c r="B1965" s="3" t="s">
        <v>2129</v>
      </c>
      <c r="C1965" s="3" t="s">
        <v>2129</v>
      </c>
      <c r="D1965" s="3" t="s">
        <v>1966</v>
      </c>
      <c r="E1965" s="3" t="str">
        <v>Riederalp</v>
      </c>
      <c r="I1965" s="19">
        <v>6433</v>
      </c>
      <c r="J1965" s="19" t="s">
        <v>4561</v>
      </c>
    </row>
    <row r="1966" spans="1:10" x14ac:dyDescent="0.2">
      <c r="A1966" s="3">
        <v>9612</v>
      </c>
      <c r="B1966" s="3" t="s">
        <v>2130</v>
      </c>
      <c r="C1966" s="3" t="s">
        <v>2129</v>
      </c>
      <c r="D1966" s="3" t="s">
        <v>1966</v>
      </c>
      <c r="E1966" s="3" t="str">
        <v>Ausserberg</v>
      </c>
      <c r="I1966" s="19">
        <v>6434</v>
      </c>
      <c r="J1966" s="19" t="s">
        <v>4562</v>
      </c>
    </row>
    <row r="1967" spans="1:10" x14ac:dyDescent="0.2">
      <c r="A1967" s="3">
        <v>9613</v>
      </c>
      <c r="B1967" s="3" t="s">
        <v>2131</v>
      </c>
      <c r="C1967" s="3" t="s">
        <v>2129</v>
      </c>
      <c r="D1967" s="3" t="s">
        <v>1966</v>
      </c>
      <c r="E1967" s="3" t="str">
        <v>Blatten</v>
      </c>
      <c r="I1967" s="19">
        <v>6436</v>
      </c>
      <c r="J1967" s="19" t="s">
        <v>4562</v>
      </c>
    </row>
    <row r="1968" spans="1:10" x14ac:dyDescent="0.2">
      <c r="A1968" s="3">
        <v>9614</v>
      </c>
      <c r="B1968" s="3" t="s">
        <v>2132</v>
      </c>
      <c r="C1968" s="3" t="s">
        <v>2129</v>
      </c>
      <c r="D1968" s="3" t="s">
        <v>1966</v>
      </c>
      <c r="E1968" s="3" t="str">
        <v>Bürchen</v>
      </c>
      <c r="I1968" s="19">
        <v>6438</v>
      </c>
      <c r="J1968" s="19" t="s">
        <v>4562</v>
      </c>
    </row>
    <row r="1969" spans="1:10" x14ac:dyDescent="0.2">
      <c r="A1969" s="3">
        <v>9606</v>
      </c>
      <c r="B1969" s="3" t="s">
        <v>2133</v>
      </c>
      <c r="C1969" s="3" t="s">
        <v>2134</v>
      </c>
      <c r="D1969" s="3" t="s">
        <v>1966</v>
      </c>
      <c r="E1969" s="3" t="str">
        <v>Eischoll</v>
      </c>
      <c r="I1969" s="19">
        <v>6440</v>
      </c>
      <c r="J1969" s="19" t="s">
        <v>4562</v>
      </c>
    </row>
    <row r="1970" spans="1:10" x14ac:dyDescent="0.2">
      <c r="A1970" s="3">
        <v>9608</v>
      </c>
      <c r="B1970" s="3" t="s">
        <v>2135</v>
      </c>
      <c r="C1970" s="3" t="s">
        <v>2134</v>
      </c>
      <c r="D1970" s="3" t="s">
        <v>1966</v>
      </c>
      <c r="E1970" s="3" t="str">
        <v>Ferden</v>
      </c>
      <c r="I1970" s="19">
        <v>6441</v>
      </c>
      <c r="J1970" s="19" t="s">
        <v>4562</v>
      </c>
    </row>
    <row r="1971" spans="1:10" x14ac:dyDescent="0.2">
      <c r="A1971" s="3">
        <v>9615</v>
      </c>
      <c r="B1971" s="3" t="s">
        <v>2136</v>
      </c>
      <c r="C1971" s="3" t="s">
        <v>2134</v>
      </c>
      <c r="D1971" s="3" t="s">
        <v>1966</v>
      </c>
      <c r="E1971" s="3" t="str">
        <v>Kippel</v>
      </c>
      <c r="I1971" s="19">
        <v>6442</v>
      </c>
      <c r="J1971" s="19" t="s">
        <v>4562</v>
      </c>
    </row>
    <row r="1972" spans="1:10" x14ac:dyDescent="0.2">
      <c r="A1972" s="3">
        <v>9113</v>
      </c>
      <c r="B1972" s="3" t="s">
        <v>2137</v>
      </c>
      <c r="C1972" s="3" t="s">
        <v>2137</v>
      </c>
      <c r="D1972" s="3" t="s">
        <v>1966</v>
      </c>
      <c r="E1972" s="3" t="str">
        <v>Niedergesteln</v>
      </c>
      <c r="I1972" s="19">
        <v>6443</v>
      </c>
      <c r="J1972" s="19" t="s">
        <v>4562</v>
      </c>
    </row>
    <row r="1973" spans="1:10" x14ac:dyDescent="0.2">
      <c r="A1973" s="3">
        <v>9116</v>
      </c>
      <c r="B1973" s="3" t="s">
        <v>2138</v>
      </c>
      <c r="C1973" s="3" t="s">
        <v>2137</v>
      </c>
      <c r="D1973" s="3" t="s">
        <v>1966</v>
      </c>
      <c r="E1973" s="3" t="str">
        <v>Raron</v>
      </c>
      <c r="I1973" s="19">
        <v>6452</v>
      </c>
      <c r="J1973" s="19" t="s">
        <v>4562</v>
      </c>
    </row>
    <row r="1974" spans="1:10" x14ac:dyDescent="0.2">
      <c r="A1974" s="3">
        <v>9230</v>
      </c>
      <c r="B1974" s="3" t="s">
        <v>2139</v>
      </c>
      <c r="C1974" s="3" t="s">
        <v>2139</v>
      </c>
      <c r="D1974" s="3" t="s">
        <v>1966</v>
      </c>
      <c r="E1974" s="3" t="str">
        <v>Unterbäch</v>
      </c>
      <c r="I1974" s="19">
        <v>6454</v>
      </c>
      <c r="J1974" s="19" t="s">
        <v>4562</v>
      </c>
    </row>
    <row r="1975" spans="1:10" x14ac:dyDescent="0.2">
      <c r="A1975" s="3">
        <v>9231</v>
      </c>
      <c r="B1975" s="3" t="s">
        <v>2140</v>
      </c>
      <c r="C1975" s="3" t="s">
        <v>2139</v>
      </c>
      <c r="D1975" s="3" t="s">
        <v>1966</v>
      </c>
      <c r="E1975" s="3" t="str">
        <v>Wiler (Lötschen)</v>
      </c>
      <c r="I1975" s="19">
        <v>6460</v>
      </c>
      <c r="J1975" s="19" t="s">
        <v>4562</v>
      </c>
    </row>
    <row r="1976" spans="1:10" x14ac:dyDescent="0.2">
      <c r="A1976" s="3">
        <v>9243</v>
      </c>
      <c r="B1976" s="3" t="s">
        <v>2141</v>
      </c>
      <c r="C1976" s="3" t="s">
        <v>2141</v>
      </c>
      <c r="D1976" s="3" t="s">
        <v>1966</v>
      </c>
      <c r="E1976" s="3" t="str">
        <v>Mörel-Filet</v>
      </c>
      <c r="I1976" s="19">
        <v>6461</v>
      </c>
      <c r="J1976" s="19" t="s">
        <v>4562</v>
      </c>
    </row>
    <row r="1977" spans="1:10" x14ac:dyDescent="0.2">
      <c r="A1977" s="3">
        <v>9532</v>
      </c>
      <c r="B1977" s="3" t="s">
        <v>2142</v>
      </c>
      <c r="C1977" s="3" t="s">
        <v>2141</v>
      </c>
      <c r="D1977" s="3" t="s">
        <v>1966</v>
      </c>
      <c r="E1977" s="3" t="str">
        <v>Steg-Hohtenn</v>
      </c>
      <c r="I1977" s="19">
        <v>6462</v>
      </c>
      <c r="J1977" s="19" t="s">
        <v>4562</v>
      </c>
    </row>
    <row r="1978" spans="1:10" x14ac:dyDescent="0.2">
      <c r="A1978" s="3">
        <v>9536</v>
      </c>
      <c r="B1978" s="3" t="s">
        <v>2143</v>
      </c>
      <c r="C1978" s="3" t="s">
        <v>2141</v>
      </c>
      <c r="D1978" s="3" t="s">
        <v>1966</v>
      </c>
      <c r="E1978" s="3" t="str">
        <v>Bettmeralp</v>
      </c>
      <c r="I1978" s="19">
        <v>6463</v>
      </c>
      <c r="J1978" s="19" t="s">
        <v>4562</v>
      </c>
    </row>
    <row r="1979" spans="1:10" x14ac:dyDescent="0.2">
      <c r="A1979" s="3">
        <v>9604</v>
      </c>
      <c r="B1979" s="3" t="s">
        <v>2144</v>
      </c>
      <c r="C1979" s="3" t="s">
        <v>2141</v>
      </c>
      <c r="D1979" s="3" t="s">
        <v>1966</v>
      </c>
      <c r="E1979" s="3" t="str">
        <v>Collonges</v>
      </c>
      <c r="I1979" s="19">
        <v>6464</v>
      </c>
      <c r="J1979" s="19" t="s">
        <v>4562</v>
      </c>
    </row>
    <row r="1980" spans="1:10" x14ac:dyDescent="0.2">
      <c r="A1980" s="3">
        <v>9240</v>
      </c>
      <c r="B1980" s="3" t="s">
        <v>2145</v>
      </c>
      <c r="C1980" s="3" t="s">
        <v>2146</v>
      </c>
      <c r="D1980" s="3" t="s">
        <v>1966</v>
      </c>
      <c r="E1980" s="3" t="str">
        <v>Dorénaz</v>
      </c>
      <c r="I1980" s="19">
        <v>6465</v>
      </c>
      <c r="J1980" s="19" t="s">
        <v>4562</v>
      </c>
    </row>
    <row r="1981" spans="1:10" x14ac:dyDescent="0.2">
      <c r="A1981" s="3">
        <v>9242</v>
      </c>
      <c r="B1981" s="3" t="s">
        <v>2146</v>
      </c>
      <c r="C1981" s="3" t="s">
        <v>2146</v>
      </c>
      <c r="D1981" s="3" t="s">
        <v>1966</v>
      </c>
      <c r="E1981" s="3" t="str">
        <v>Evionnaz</v>
      </c>
      <c r="I1981" s="19">
        <v>6466</v>
      </c>
      <c r="J1981" s="19" t="s">
        <v>4562</v>
      </c>
    </row>
    <row r="1982" spans="1:10" x14ac:dyDescent="0.2">
      <c r="A1982" s="3">
        <v>9248</v>
      </c>
      <c r="B1982" s="3" t="s">
        <v>2147</v>
      </c>
      <c r="C1982" s="3" t="s">
        <v>2146</v>
      </c>
      <c r="D1982" s="3" t="s">
        <v>1966</v>
      </c>
      <c r="E1982" s="3" t="str">
        <v>Finhaut</v>
      </c>
      <c r="I1982" s="19">
        <v>6467</v>
      </c>
      <c r="J1982" s="19" t="s">
        <v>4562</v>
      </c>
    </row>
    <row r="1983" spans="1:10" x14ac:dyDescent="0.2">
      <c r="A1983" s="3">
        <v>9240</v>
      </c>
      <c r="B1983" s="3" t="s">
        <v>2148</v>
      </c>
      <c r="C1983" s="3" t="s">
        <v>2148</v>
      </c>
      <c r="D1983" s="3" t="s">
        <v>1966</v>
      </c>
      <c r="E1983" s="3" t="str">
        <v>Massongex</v>
      </c>
      <c r="I1983" s="19">
        <v>6468</v>
      </c>
      <c r="J1983" s="19" t="s">
        <v>4562</v>
      </c>
    </row>
    <row r="1984" spans="1:10" x14ac:dyDescent="0.2">
      <c r="A1984" s="3">
        <v>9244</v>
      </c>
      <c r="B1984" s="3" t="s">
        <v>2149</v>
      </c>
      <c r="C1984" s="3" t="s">
        <v>2148</v>
      </c>
      <c r="D1984" s="3" t="s">
        <v>1966</v>
      </c>
      <c r="E1984" s="3" t="str">
        <v>Saint-Maurice</v>
      </c>
      <c r="I1984" s="19">
        <v>6469</v>
      </c>
      <c r="J1984" s="19" t="s">
        <v>4562</v>
      </c>
    </row>
    <row r="1985" spans="1:10" x14ac:dyDescent="0.2">
      <c r="A1985" s="3">
        <v>9247</v>
      </c>
      <c r="B1985" s="3" t="s">
        <v>2150</v>
      </c>
      <c r="C1985" s="3" t="s">
        <v>2148</v>
      </c>
      <c r="D1985" s="3" t="s">
        <v>1966</v>
      </c>
      <c r="E1985" s="3" t="str">
        <v>Salvan</v>
      </c>
      <c r="I1985" s="19">
        <v>6472</v>
      </c>
      <c r="J1985" s="19" t="s">
        <v>4562</v>
      </c>
    </row>
    <row r="1986" spans="1:10" x14ac:dyDescent="0.2">
      <c r="A1986" s="3">
        <v>9249</v>
      </c>
      <c r="B1986" s="3" t="s">
        <v>2151</v>
      </c>
      <c r="C1986" s="3" t="s">
        <v>2148</v>
      </c>
      <c r="D1986" s="3" t="s">
        <v>1966</v>
      </c>
      <c r="E1986" s="3" t="str">
        <v>Vernayaz</v>
      </c>
      <c r="I1986" s="19">
        <v>6473</v>
      </c>
      <c r="J1986" s="19" t="s">
        <v>4562</v>
      </c>
    </row>
    <row r="1987" spans="1:10" x14ac:dyDescent="0.2">
      <c r="A1987" s="3">
        <v>9249</v>
      </c>
      <c r="B1987" s="3" t="s">
        <v>2152</v>
      </c>
      <c r="C1987" s="3" t="s">
        <v>2148</v>
      </c>
      <c r="D1987" s="3" t="s">
        <v>1966</v>
      </c>
      <c r="E1987" s="3" t="str">
        <v>Vérossaz</v>
      </c>
      <c r="I1987" s="19">
        <v>6474</v>
      </c>
      <c r="J1987" s="19" t="s">
        <v>4562</v>
      </c>
    </row>
    <row r="1988" spans="1:10" x14ac:dyDescent="0.2">
      <c r="A1988" s="3">
        <v>9249</v>
      </c>
      <c r="B1988" s="3" t="s">
        <v>2153</v>
      </c>
      <c r="C1988" s="3" t="s">
        <v>2148</v>
      </c>
      <c r="D1988" s="3" t="s">
        <v>1966</v>
      </c>
      <c r="E1988" s="3" t="str">
        <v>Chalais</v>
      </c>
      <c r="I1988" s="19">
        <v>6475</v>
      </c>
      <c r="J1988" s="19" t="s">
        <v>4562</v>
      </c>
    </row>
    <row r="1989" spans="1:10" x14ac:dyDescent="0.2">
      <c r="A1989" s="3">
        <v>9246</v>
      </c>
      <c r="B1989" s="3" t="s">
        <v>2154</v>
      </c>
      <c r="C1989" s="3" t="s">
        <v>2154</v>
      </c>
      <c r="D1989" s="3" t="s">
        <v>1966</v>
      </c>
      <c r="E1989" s="3" t="str">
        <v>Chippis</v>
      </c>
      <c r="I1989" s="19">
        <v>6476</v>
      </c>
      <c r="J1989" s="19" t="s">
        <v>4562</v>
      </c>
    </row>
    <row r="1990" spans="1:10" x14ac:dyDescent="0.2">
      <c r="A1990" s="3">
        <v>9525</v>
      </c>
      <c r="B1990" s="3" t="s">
        <v>2155</v>
      </c>
      <c r="C1990" s="3" t="s">
        <v>2156</v>
      </c>
      <c r="D1990" s="3" t="s">
        <v>1966</v>
      </c>
      <c r="E1990" s="3" t="str">
        <v>Grône</v>
      </c>
      <c r="I1990" s="19">
        <v>6482</v>
      </c>
      <c r="J1990" s="19" t="s">
        <v>4562</v>
      </c>
    </row>
    <row r="1991" spans="1:10" x14ac:dyDescent="0.2">
      <c r="A1991" s="3">
        <v>9526</v>
      </c>
      <c r="B1991" s="3" t="s">
        <v>2157</v>
      </c>
      <c r="C1991" s="3" t="s">
        <v>2156</v>
      </c>
      <c r="D1991" s="3" t="s">
        <v>1966</v>
      </c>
      <c r="E1991" s="3" t="str">
        <v>Icogne</v>
      </c>
      <c r="I1991" s="19">
        <v>6484</v>
      </c>
      <c r="J1991" s="19" t="s">
        <v>4561</v>
      </c>
    </row>
    <row r="1992" spans="1:10" x14ac:dyDescent="0.2">
      <c r="A1992" s="3">
        <v>9527</v>
      </c>
      <c r="B1992" s="3" t="s">
        <v>2156</v>
      </c>
      <c r="C1992" s="3" t="s">
        <v>2156</v>
      </c>
      <c r="D1992" s="3" t="s">
        <v>1966</v>
      </c>
      <c r="E1992" s="3" t="str">
        <v>Lens</v>
      </c>
      <c r="I1992" s="19">
        <v>6485</v>
      </c>
      <c r="J1992" s="19" t="s">
        <v>4561</v>
      </c>
    </row>
    <row r="1993" spans="1:10" x14ac:dyDescent="0.2">
      <c r="A1993" s="3">
        <v>9203</v>
      </c>
      <c r="B1993" s="3" t="s">
        <v>2158</v>
      </c>
      <c r="C1993" s="3" t="s">
        <v>2159</v>
      </c>
      <c r="D1993" s="3" t="s">
        <v>1966</v>
      </c>
      <c r="E1993" s="3" t="str">
        <v>Saint-Léonard</v>
      </c>
      <c r="I1993" s="19">
        <v>6487</v>
      </c>
      <c r="J1993" s="19" t="s">
        <v>4561</v>
      </c>
    </row>
    <row r="1994" spans="1:10" x14ac:dyDescent="0.2">
      <c r="A1994" s="3">
        <v>9245</v>
      </c>
      <c r="B1994" s="3" t="s">
        <v>2159</v>
      </c>
      <c r="C1994" s="3" t="s">
        <v>2159</v>
      </c>
      <c r="D1994" s="3" t="s">
        <v>1966</v>
      </c>
      <c r="E1994" s="3" t="str">
        <v>Sierre</v>
      </c>
      <c r="I1994" s="19">
        <v>6490</v>
      </c>
      <c r="J1994" s="19" t="s">
        <v>4561</v>
      </c>
    </row>
    <row r="1995" spans="1:10" x14ac:dyDescent="0.2">
      <c r="A1995" s="3">
        <v>9245</v>
      </c>
      <c r="B1995" s="3" t="s">
        <v>2160</v>
      </c>
      <c r="C1995" s="3" t="s">
        <v>2159</v>
      </c>
      <c r="D1995" s="3" t="s">
        <v>1966</v>
      </c>
      <c r="E1995" s="3" t="str">
        <v>Anniviers</v>
      </c>
      <c r="I1995" s="19">
        <v>6491</v>
      </c>
      <c r="J1995" s="19" t="s">
        <v>4561</v>
      </c>
    </row>
    <row r="1996" spans="1:10" x14ac:dyDescent="0.2">
      <c r="A1996" s="3">
        <v>9523</v>
      </c>
      <c r="B1996" s="3" t="s">
        <v>2161</v>
      </c>
      <c r="C1996" s="3" t="s">
        <v>2162</v>
      </c>
      <c r="D1996" s="3" t="s">
        <v>1966</v>
      </c>
      <c r="E1996" s="3" t="str">
        <v>Crans-Montana</v>
      </c>
      <c r="I1996" s="19">
        <v>6493</v>
      </c>
      <c r="J1996" s="19" t="s">
        <v>4561</v>
      </c>
    </row>
    <row r="1997" spans="1:10" x14ac:dyDescent="0.2">
      <c r="A1997" s="3">
        <v>9524</v>
      </c>
      <c r="B1997" s="3" t="s">
        <v>2163</v>
      </c>
      <c r="C1997" s="3" t="s">
        <v>2162</v>
      </c>
      <c r="D1997" s="3" t="s">
        <v>1966</v>
      </c>
      <c r="E1997" s="3" t="str">
        <v>Noble-Contrée</v>
      </c>
      <c r="I1997" s="19">
        <v>6500</v>
      </c>
      <c r="J1997" s="19" t="s">
        <v>4563</v>
      </c>
    </row>
    <row r="1998" spans="1:10" x14ac:dyDescent="0.2">
      <c r="A1998" s="3">
        <v>9500</v>
      </c>
      <c r="B1998" s="3" t="s">
        <v>2119</v>
      </c>
      <c r="C1998" s="3" t="s">
        <v>2164</v>
      </c>
      <c r="D1998" s="3" t="s">
        <v>1966</v>
      </c>
      <c r="E1998" s="3" t="str">
        <v>Arbaz</v>
      </c>
      <c r="I1998" s="19">
        <v>6503</v>
      </c>
      <c r="J1998" s="19" t="s">
        <v>4563</v>
      </c>
    </row>
    <row r="1999" spans="1:10" x14ac:dyDescent="0.2">
      <c r="A1999" s="3">
        <v>9512</v>
      </c>
      <c r="B1999" s="3" t="s">
        <v>2165</v>
      </c>
      <c r="C1999" s="3" t="s">
        <v>2164</v>
      </c>
      <c r="D1999" s="3" t="s">
        <v>1966</v>
      </c>
      <c r="E1999" s="3" t="str">
        <v>Grimisuat</v>
      </c>
      <c r="I1999" s="19">
        <v>6512</v>
      </c>
      <c r="J1999" s="19" t="s">
        <v>4563</v>
      </c>
    </row>
    <row r="2000" spans="1:10" x14ac:dyDescent="0.2">
      <c r="A2000" s="3">
        <v>9552</v>
      </c>
      <c r="B2000" s="3" t="s">
        <v>2166</v>
      </c>
      <c r="C2000" s="3" t="s">
        <v>2164</v>
      </c>
      <c r="D2000" s="3" t="s">
        <v>1966</v>
      </c>
      <c r="E2000" s="3" t="str">
        <v>Savièse</v>
      </c>
      <c r="I2000" s="19">
        <v>6513</v>
      </c>
      <c r="J2000" s="19" t="s">
        <v>4563</v>
      </c>
    </row>
    <row r="2001" spans="1:10" x14ac:dyDescent="0.2">
      <c r="A2001" s="3">
        <v>9204</v>
      </c>
      <c r="B2001" s="3" t="s">
        <v>2167</v>
      </c>
      <c r="C2001" s="3" t="s">
        <v>2168</v>
      </c>
      <c r="D2001" s="3" t="s">
        <v>1966</v>
      </c>
      <c r="E2001" s="3" t="str">
        <v>Sion</v>
      </c>
      <c r="I2001" s="19">
        <v>6514</v>
      </c>
      <c r="J2001" s="19" t="s">
        <v>4563</v>
      </c>
    </row>
    <row r="2002" spans="1:10" x14ac:dyDescent="0.2">
      <c r="A2002" s="3">
        <v>9030</v>
      </c>
      <c r="B2002" s="3" t="s">
        <v>2169</v>
      </c>
      <c r="C2002" s="3" t="s">
        <v>2170</v>
      </c>
      <c r="D2002" s="3" t="s">
        <v>1966</v>
      </c>
      <c r="E2002" s="3" t="str">
        <v>Veysonnaz</v>
      </c>
      <c r="I2002" s="19">
        <v>6515</v>
      </c>
      <c r="J2002" s="19" t="s">
        <v>4563</v>
      </c>
    </row>
    <row r="2003" spans="1:10" x14ac:dyDescent="0.2">
      <c r="A2003" s="3">
        <v>9030</v>
      </c>
      <c r="B2003" s="3" t="s">
        <v>2171</v>
      </c>
      <c r="C2003" s="3" t="s">
        <v>2170</v>
      </c>
      <c r="D2003" s="3" t="s">
        <v>1966</v>
      </c>
      <c r="E2003" s="3" t="str">
        <v>Baltschieder</v>
      </c>
      <c r="I2003" s="19">
        <v>6516</v>
      </c>
      <c r="J2003" s="19" t="s">
        <v>4563</v>
      </c>
    </row>
    <row r="2004" spans="1:10" x14ac:dyDescent="0.2">
      <c r="A2004" s="3">
        <v>9032</v>
      </c>
      <c r="B2004" s="3" t="s">
        <v>2172</v>
      </c>
      <c r="C2004" s="3" t="s">
        <v>2170</v>
      </c>
      <c r="D2004" s="3" t="s">
        <v>1966</v>
      </c>
      <c r="E2004" s="3" t="str">
        <v>Eisten</v>
      </c>
      <c r="I2004" s="19">
        <v>6517</v>
      </c>
      <c r="J2004" s="19" t="s">
        <v>4563</v>
      </c>
    </row>
    <row r="2005" spans="1:10" x14ac:dyDescent="0.2">
      <c r="A2005" s="3">
        <v>9200</v>
      </c>
      <c r="B2005" s="3" t="s">
        <v>2173</v>
      </c>
      <c r="C2005" s="3" t="s">
        <v>2174</v>
      </c>
      <c r="D2005" s="3" t="s">
        <v>1966</v>
      </c>
      <c r="E2005" s="3" t="str">
        <v>Embd</v>
      </c>
      <c r="I2005" s="19">
        <v>6518</v>
      </c>
      <c r="J2005" s="19" t="s">
        <v>4563</v>
      </c>
    </row>
    <row r="2006" spans="1:10" x14ac:dyDescent="0.2">
      <c r="A2006" s="3">
        <v>9212</v>
      </c>
      <c r="B2006" s="3" t="s">
        <v>2175</v>
      </c>
      <c r="C2006" s="3" t="s">
        <v>2174</v>
      </c>
      <c r="D2006" s="3" t="s">
        <v>1966</v>
      </c>
      <c r="E2006" s="3" t="str">
        <v>Grächen</v>
      </c>
      <c r="I2006" s="19">
        <v>6523</v>
      </c>
      <c r="J2006" s="19" t="s">
        <v>4563</v>
      </c>
    </row>
    <row r="2007" spans="1:10" x14ac:dyDescent="0.2">
      <c r="A2007" s="3">
        <v>9205</v>
      </c>
      <c r="B2007" s="3" t="s">
        <v>2176</v>
      </c>
      <c r="C2007" s="3" t="s">
        <v>2176</v>
      </c>
      <c r="D2007" s="3" t="s">
        <v>1966</v>
      </c>
      <c r="E2007" s="3" t="str">
        <v>Lalden</v>
      </c>
      <c r="I2007" s="19">
        <v>6524</v>
      </c>
      <c r="J2007" s="19" t="s">
        <v>4563</v>
      </c>
    </row>
    <row r="2008" spans="1:10" x14ac:dyDescent="0.2">
      <c r="A2008" s="3">
        <v>9304</v>
      </c>
      <c r="B2008" s="3" t="s">
        <v>2177</v>
      </c>
      <c r="C2008" s="3" t="s">
        <v>2176</v>
      </c>
      <c r="D2008" s="3" t="s">
        <v>1966</v>
      </c>
      <c r="E2008" s="3" t="str">
        <v>Randa</v>
      </c>
      <c r="I2008" s="19">
        <v>6525</v>
      </c>
      <c r="J2008" s="19" t="s">
        <v>4563</v>
      </c>
    </row>
    <row r="2009" spans="1:10" x14ac:dyDescent="0.2">
      <c r="A2009" s="3">
        <v>7077</v>
      </c>
      <c r="B2009" s="3" t="s">
        <v>2178</v>
      </c>
      <c r="C2009" s="3" t="s">
        <v>2179</v>
      </c>
      <c r="D2009" s="3" t="s">
        <v>2180</v>
      </c>
      <c r="E2009" s="3" t="str">
        <v>Saas-Almagell</v>
      </c>
      <c r="I2009" s="19">
        <v>6526</v>
      </c>
      <c r="J2009" s="19" t="s">
        <v>4563</v>
      </c>
    </row>
    <row r="2010" spans="1:10" x14ac:dyDescent="0.2">
      <c r="A2010" s="3">
        <v>7078</v>
      </c>
      <c r="B2010" s="3" t="s">
        <v>2181</v>
      </c>
      <c r="C2010" s="3" t="s">
        <v>2179</v>
      </c>
      <c r="D2010" s="3" t="s">
        <v>2180</v>
      </c>
      <c r="E2010" s="3" t="str">
        <v>Saas-Balen</v>
      </c>
      <c r="I2010" s="19">
        <v>6527</v>
      </c>
      <c r="J2010" s="19" t="s">
        <v>4563</v>
      </c>
    </row>
    <row r="2011" spans="1:10" x14ac:dyDescent="0.2">
      <c r="A2011" s="3">
        <v>7082</v>
      </c>
      <c r="B2011" s="3" t="s">
        <v>2179</v>
      </c>
      <c r="C2011" s="3" t="s">
        <v>2179</v>
      </c>
      <c r="D2011" s="3" t="s">
        <v>2180</v>
      </c>
      <c r="E2011" s="3" t="str">
        <v>Saas-Fee</v>
      </c>
      <c r="I2011" s="19">
        <v>6528</v>
      </c>
      <c r="J2011" s="19" t="s">
        <v>4563</v>
      </c>
    </row>
    <row r="2012" spans="1:10" x14ac:dyDescent="0.2">
      <c r="A2012" s="3">
        <v>7450</v>
      </c>
      <c r="B2012" s="3" t="s">
        <v>2182</v>
      </c>
      <c r="C2012" s="3" t="s">
        <v>2179</v>
      </c>
      <c r="D2012" s="3" t="s">
        <v>2180</v>
      </c>
      <c r="E2012" s="3" t="str">
        <v>Saas-Grund</v>
      </c>
      <c r="I2012" s="19">
        <v>6532</v>
      </c>
      <c r="J2012" s="19" t="s">
        <v>4563</v>
      </c>
    </row>
    <row r="2013" spans="1:10" x14ac:dyDescent="0.2">
      <c r="A2013" s="3">
        <v>7083</v>
      </c>
      <c r="B2013" s="3" t="s">
        <v>2183</v>
      </c>
      <c r="C2013" s="3" t="s">
        <v>2183</v>
      </c>
      <c r="D2013" s="3" t="s">
        <v>2180</v>
      </c>
      <c r="E2013" s="3" t="str">
        <v>St. Niklaus</v>
      </c>
      <c r="I2013" s="19">
        <v>6533</v>
      </c>
      <c r="J2013" s="19" t="s">
        <v>4563</v>
      </c>
    </row>
    <row r="2014" spans="1:10" x14ac:dyDescent="0.2">
      <c r="A2014" s="3">
        <v>7493</v>
      </c>
      <c r="B2014" s="3" t="s">
        <v>2184</v>
      </c>
      <c r="C2014" s="3" t="s">
        <v>2185</v>
      </c>
      <c r="D2014" s="3" t="s">
        <v>2180</v>
      </c>
      <c r="E2014" s="3" t="str">
        <v>Stalden (VS)</v>
      </c>
      <c r="I2014" s="19">
        <v>6534</v>
      </c>
      <c r="J2014" s="19" t="s">
        <v>4563</v>
      </c>
    </row>
    <row r="2015" spans="1:10" x14ac:dyDescent="0.2">
      <c r="A2015" s="3">
        <v>7084</v>
      </c>
      <c r="B2015" s="3" t="s">
        <v>2186</v>
      </c>
      <c r="C2015" s="3" t="s">
        <v>2187</v>
      </c>
      <c r="D2015" s="3" t="s">
        <v>2180</v>
      </c>
      <c r="E2015" s="3" t="str">
        <v>Staldenried</v>
      </c>
      <c r="I2015" s="19">
        <v>6535</v>
      </c>
      <c r="J2015" s="19" t="s">
        <v>4563</v>
      </c>
    </row>
    <row r="2016" spans="1:10" x14ac:dyDescent="0.2">
      <c r="A2016" s="3">
        <v>7450</v>
      </c>
      <c r="B2016" s="3" t="s">
        <v>2182</v>
      </c>
      <c r="C2016" s="3" t="s">
        <v>2187</v>
      </c>
      <c r="D2016" s="3" t="s">
        <v>2180</v>
      </c>
      <c r="E2016" s="3" t="str">
        <v>Täsch</v>
      </c>
      <c r="I2016" s="19">
        <v>6537</v>
      </c>
      <c r="J2016" s="19" t="s">
        <v>4563</v>
      </c>
    </row>
    <row r="2017" spans="1:10" x14ac:dyDescent="0.2">
      <c r="A2017" s="3">
        <v>7451</v>
      </c>
      <c r="B2017" s="3" t="s">
        <v>2188</v>
      </c>
      <c r="C2017" s="3" t="s">
        <v>2187</v>
      </c>
      <c r="D2017" s="3" t="s">
        <v>2180</v>
      </c>
      <c r="E2017" s="3" t="str">
        <v>Törbel</v>
      </c>
      <c r="I2017" s="19">
        <v>6538</v>
      </c>
      <c r="J2017" s="19" t="s">
        <v>4563</v>
      </c>
    </row>
    <row r="2018" spans="1:10" x14ac:dyDescent="0.2">
      <c r="A2018" s="3">
        <v>7458</v>
      </c>
      <c r="B2018" s="3" t="s">
        <v>2189</v>
      </c>
      <c r="C2018" s="3" t="s">
        <v>2187</v>
      </c>
      <c r="D2018" s="3" t="s">
        <v>2180</v>
      </c>
      <c r="E2018" s="3" t="str">
        <v>Visp</v>
      </c>
      <c r="I2018" s="19">
        <v>6540</v>
      </c>
      <c r="J2018" s="19" t="s">
        <v>4563</v>
      </c>
    </row>
    <row r="2019" spans="1:10" x14ac:dyDescent="0.2">
      <c r="A2019" s="3">
        <v>7459</v>
      </c>
      <c r="B2019" s="3" t="s">
        <v>2190</v>
      </c>
      <c r="C2019" s="3" t="s">
        <v>2187</v>
      </c>
      <c r="D2019" s="3" t="s">
        <v>2180</v>
      </c>
      <c r="E2019" s="3" t="str">
        <v>Visperterminen</v>
      </c>
      <c r="I2019" s="19">
        <v>6541</v>
      </c>
      <c r="J2019" s="19" t="s">
        <v>4563</v>
      </c>
    </row>
    <row r="2020" spans="1:10" x14ac:dyDescent="0.2">
      <c r="A2020" s="3">
        <v>7472</v>
      </c>
      <c r="B2020" s="3" t="s">
        <v>2191</v>
      </c>
      <c r="C2020" s="3" t="s">
        <v>2187</v>
      </c>
      <c r="D2020" s="3" t="s">
        <v>2180</v>
      </c>
      <c r="E2020" s="3" t="str">
        <v>Zeneggen</v>
      </c>
      <c r="I2020" s="19">
        <v>6542</v>
      </c>
      <c r="J2020" s="19" t="s">
        <v>4563</v>
      </c>
    </row>
    <row r="2021" spans="1:10" x14ac:dyDescent="0.2">
      <c r="A2021" s="3">
        <v>7473</v>
      </c>
      <c r="B2021" s="3" t="s">
        <v>2192</v>
      </c>
      <c r="C2021" s="3" t="s">
        <v>2187</v>
      </c>
      <c r="D2021" s="3" t="s">
        <v>2180</v>
      </c>
      <c r="E2021" s="3" t="str">
        <v>Zermatt</v>
      </c>
      <c r="I2021" s="19">
        <v>6543</v>
      </c>
      <c r="J2021" s="19" t="s">
        <v>4563</v>
      </c>
    </row>
    <row r="2022" spans="1:10" x14ac:dyDescent="0.2">
      <c r="A2022" s="3">
        <v>7492</v>
      </c>
      <c r="B2022" s="3" t="s">
        <v>2193</v>
      </c>
      <c r="C2022" s="3" t="s">
        <v>2187</v>
      </c>
      <c r="D2022" s="3" t="s">
        <v>2180</v>
      </c>
      <c r="E2022" s="3" t="str">
        <v>Boudry</v>
      </c>
      <c r="I2022" s="19">
        <v>6544</v>
      </c>
      <c r="J2022" s="19" t="s">
        <v>4564</v>
      </c>
    </row>
    <row r="2023" spans="1:10" x14ac:dyDescent="0.2">
      <c r="A2023" s="3">
        <v>7452</v>
      </c>
      <c r="B2023" s="3" t="s">
        <v>2194</v>
      </c>
      <c r="C2023" s="3" t="s">
        <v>2195</v>
      </c>
      <c r="D2023" s="3" t="s">
        <v>2180</v>
      </c>
      <c r="E2023" s="3" t="str">
        <v>Cortaillod</v>
      </c>
      <c r="I2023" s="19">
        <v>6545</v>
      </c>
      <c r="J2023" s="19" t="s">
        <v>4563</v>
      </c>
    </row>
    <row r="2024" spans="1:10" x14ac:dyDescent="0.2">
      <c r="A2024" s="3">
        <v>7453</v>
      </c>
      <c r="B2024" s="3" t="s">
        <v>2196</v>
      </c>
      <c r="C2024" s="3" t="s">
        <v>2195</v>
      </c>
      <c r="D2024" s="3" t="s">
        <v>2180</v>
      </c>
      <c r="E2024" s="3" t="str">
        <v>Rochefort</v>
      </c>
      <c r="I2024" s="19">
        <v>6546</v>
      </c>
      <c r="J2024" s="19" t="s">
        <v>4563</v>
      </c>
    </row>
    <row r="2025" spans="1:10" x14ac:dyDescent="0.2">
      <c r="A2025" s="3">
        <v>7454</v>
      </c>
      <c r="B2025" s="3" t="s">
        <v>2197</v>
      </c>
      <c r="C2025" s="3" t="s">
        <v>2195</v>
      </c>
      <c r="D2025" s="3" t="s">
        <v>2180</v>
      </c>
      <c r="E2025" s="3" t="str">
        <v>Milvignes</v>
      </c>
      <c r="I2025" s="19">
        <v>6548</v>
      </c>
      <c r="J2025" s="19" t="s">
        <v>4556</v>
      </c>
    </row>
    <row r="2026" spans="1:10" x14ac:dyDescent="0.2">
      <c r="A2026" s="3">
        <v>7455</v>
      </c>
      <c r="B2026" s="3" t="s">
        <v>2198</v>
      </c>
      <c r="C2026" s="3" t="s">
        <v>2195</v>
      </c>
      <c r="D2026" s="3" t="s">
        <v>2180</v>
      </c>
      <c r="E2026" s="3" t="str">
        <v>La Grande Béroche</v>
      </c>
      <c r="I2026" s="19">
        <v>6549</v>
      </c>
      <c r="J2026" s="19" t="s">
        <v>4563</v>
      </c>
    </row>
    <row r="2027" spans="1:10" x14ac:dyDescent="0.2">
      <c r="A2027" s="3">
        <v>7456</v>
      </c>
      <c r="B2027" s="3" t="s">
        <v>2199</v>
      </c>
      <c r="C2027" s="3" t="s">
        <v>2195</v>
      </c>
      <c r="D2027" s="3" t="s">
        <v>2180</v>
      </c>
      <c r="E2027" s="3" t="str">
        <v>La Chaux-de-Fonds</v>
      </c>
      <c r="I2027" s="19">
        <v>6556</v>
      </c>
      <c r="J2027" s="19" t="s">
        <v>4563</v>
      </c>
    </row>
    <row r="2028" spans="1:10" x14ac:dyDescent="0.2">
      <c r="A2028" s="3">
        <v>7456</v>
      </c>
      <c r="B2028" s="3" t="s">
        <v>2200</v>
      </c>
      <c r="C2028" s="3" t="s">
        <v>2195</v>
      </c>
      <c r="D2028" s="3" t="s">
        <v>2180</v>
      </c>
      <c r="E2028" s="3" t="str">
        <v>Les Planchettes</v>
      </c>
      <c r="I2028" s="19">
        <v>6557</v>
      </c>
      <c r="J2028" s="19" t="s">
        <v>4563</v>
      </c>
    </row>
    <row r="2029" spans="1:10" x14ac:dyDescent="0.2">
      <c r="A2029" s="3">
        <v>7457</v>
      </c>
      <c r="B2029" s="3" t="s">
        <v>2201</v>
      </c>
      <c r="C2029" s="3" t="s">
        <v>2195</v>
      </c>
      <c r="D2029" s="3" t="s">
        <v>2180</v>
      </c>
      <c r="E2029" s="3" t="str">
        <v>La Sagne</v>
      </c>
      <c r="I2029" s="19">
        <v>6558</v>
      </c>
      <c r="J2029" s="19" t="s">
        <v>4563</v>
      </c>
    </row>
    <row r="2030" spans="1:10" x14ac:dyDescent="0.2">
      <c r="A2030" s="3">
        <v>7460</v>
      </c>
      <c r="B2030" s="3" t="s">
        <v>2202</v>
      </c>
      <c r="C2030" s="3" t="s">
        <v>2195</v>
      </c>
      <c r="D2030" s="3" t="s">
        <v>2180</v>
      </c>
      <c r="E2030" s="3" t="str">
        <v>La Brévine</v>
      </c>
      <c r="I2030" s="19">
        <v>6562</v>
      </c>
      <c r="J2030" s="19" t="s">
        <v>4563</v>
      </c>
    </row>
    <row r="2031" spans="1:10" x14ac:dyDescent="0.2">
      <c r="A2031" s="3">
        <v>7462</v>
      </c>
      <c r="B2031" s="3" t="s">
        <v>2203</v>
      </c>
      <c r="C2031" s="3" t="s">
        <v>2195</v>
      </c>
      <c r="D2031" s="3" t="s">
        <v>2180</v>
      </c>
      <c r="E2031" s="3" t="str">
        <v>Brot-Plamboz</v>
      </c>
      <c r="I2031" s="19">
        <v>6563</v>
      </c>
      <c r="J2031" s="19" t="s">
        <v>4564</v>
      </c>
    </row>
    <row r="2032" spans="1:10" x14ac:dyDescent="0.2">
      <c r="A2032" s="3">
        <v>7463</v>
      </c>
      <c r="B2032" s="3" t="s">
        <v>2204</v>
      </c>
      <c r="C2032" s="3" t="s">
        <v>2195</v>
      </c>
      <c r="D2032" s="3" t="s">
        <v>2180</v>
      </c>
      <c r="E2032" s="3" t="str">
        <v>Le Cerneux-Péquignot</v>
      </c>
      <c r="I2032" s="19">
        <v>6565</v>
      </c>
      <c r="J2032" s="19" t="s">
        <v>4564</v>
      </c>
    </row>
    <row r="2033" spans="1:10" x14ac:dyDescent="0.2">
      <c r="A2033" s="3">
        <v>7463</v>
      </c>
      <c r="B2033" s="3" t="s">
        <v>2204</v>
      </c>
      <c r="C2033" s="3" t="s">
        <v>2195</v>
      </c>
      <c r="D2033" s="3" t="s">
        <v>2180</v>
      </c>
      <c r="E2033" s="3" t="str">
        <v>La Chaux-du-Milieu</v>
      </c>
      <c r="I2033" s="19">
        <v>6571</v>
      </c>
      <c r="J2033" s="19" t="s">
        <v>4563</v>
      </c>
    </row>
    <row r="2034" spans="1:10" x14ac:dyDescent="0.2">
      <c r="A2034" s="3">
        <v>7464</v>
      </c>
      <c r="B2034" s="3" t="s">
        <v>2205</v>
      </c>
      <c r="C2034" s="3" t="s">
        <v>2195</v>
      </c>
      <c r="D2034" s="3" t="s">
        <v>2180</v>
      </c>
      <c r="E2034" s="3" t="str">
        <v>Le Locle</v>
      </c>
      <c r="I2034" s="19">
        <v>6572</v>
      </c>
      <c r="J2034" s="19" t="s">
        <v>4563</v>
      </c>
    </row>
    <row r="2035" spans="1:10" x14ac:dyDescent="0.2">
      <c r="A2035" s="3">
        <v>7477</v>
      </c>
      <c r="B2035" s="3" t="s">
        <v>2206</v>
      </c>
      <c r="C2035" s="3" t="s">
        <v>2207</v>
      </c>
      <c r="D2035" s="3" t="s">
        <v>2180</v>
      </c>
      <c r="E2035" s="3" t="str">
        <v>Les Ponts-de-Martel</v>
      </c>
      <c r="I2035" s="19">
        <v>6573</v>
      </c>
      <c r="J2035" s="19" t="s">
        <v>4565</v>
      </c>
    </row>
    <row r="2036" spans="1:10" x14ac:dyDescent="0.2">
      <c r="A2036" s="3">
        <v>7482</v>
      </c>
      <c r="B2036" s="3" t="s">
        <v>2208</v>
      </c>
      <c r="C2036" s="3" t="s">
        <v>2207</v>
      </c>
      <c r="D2036" s="3" t="s">
        <v>2180</v>
      </c>
      <c r="E2036" s="3" t="str">
        <v>Cornaux</v>
      </c>
      <c r="I2036" s="19">
        <v>6574</v>
      </c>
      <c r="J2036" s="19" t="s">
        <v>4565</v>
      </c>
    </row>
    <row r="2037" spans="1:10" x14ac:dyDescent="0.2">
      <c r="A2037" s="3">
        <v>7482</v>
      </c>
      <c r="B2037" s="3" t="s">
        <v>2209</v>
      </c>
      <c r="C2037" s="3" t="s">
        <v>2207</v>
      </c>
      <c r="D2037" s="3" t="s">
        <v>2180</v>
      </c>
      <c r="E2037" s="3" t="str">
        <v>Cressier (NE)</v>
      </c>
      <c r="I2037" s="19">
        <v>6575</v>
      </c>
      <c r="J2037" s="19" t="s">
        <v>4565</v>
      </c>
    </row>
    <row r="2038" spans="1:10" x14ac:dyDescent="0.2">
      <c r="A2038" s="3">
        <v>7482</v>
      </c>
      <c r="B2038" s="3" t="s">
        <v>2210</v>
      </c>
      <c r="C2038" s="3" t="s">
        <v>2207</v>
      </c>
      <c r="D2038" s="3" t="s">
        <v>2180</v>
      </c>
      <c r="E2038" s="3" t="str">
        <v>Enges</v>
      </c>
      <c r="I2038" s="19">
        <v>6576</v>
      </c>
      <c r="J2038" s="19" t="s">
        <v>4565</v>
      </c>
    </row>
    <row r="2039" spans="1:10" x14ac:dyDescent="0.2">
      <c r="A2039" s="3">
        <v>7484</v>
      </c>
      <c r="B2039" s="3" t="s">
        <v>2211</v>
      </c>
      <c r="C2039" s="3" t="s">
        <v>2207</v>
      </c>
      <c r="D2039" s="3" t="s">
        <v>2180</v>
      </c>
      <c r="E2039" s="3" t="str">
        <v>Hauterive (NE)</v>
      </c>
      <c r="I2039" s="19">
        <v>6577</v>
      </c>
      <c r="J2039" s="19" t="s">
        <v>4565</v>
      </c>
    </row>
    <row r="2040" spans="1:10" x14ac:dyDescent="0.2">
      <c r="A2040" s="3">
        <v>7743</v>
      </c>
      <c r="B2040" s="3" t="s">
        <v>2212</v>
      </c>
      <c r="C2040" s="3" t="s">
        <v>2212</v>
      </c>
      <c r="D2040" s="3" t="s">
        <v>2180</v>
      </c>
      <c r="E2040" s="3" t="str">
        <v>Le Landeron</v>
      </c>
      <c r="I2040" s="19">
        <v>6578</v>
      </c>
      <c r="J2040" s="19" t="s">
        <v>4565</v>
      </c>
    </row>
    <row r="2041" spans="1:10" x14ac:dyDescent="0.2">
      <c r="A2041" s="3">
        <v>7744</v>
      </c>
      <c r="B2041" s="3" t="s">
        <v>2213</v>
      </c>
      <c r="C2041" s="3" t="s">
        <v>2212</v>
      </c>
      <c r="D2041" s="3" t="s">
        <v>2180</v>
      </c>
      <c r="E2041" s="3" t="str">
        <v>Lignières</v>
      </c>
      <c r="I2041" s="19">
        <v>6579</v>
      </c>
      <c r="J2041" s="19" t="s">
        <v>4565</v>
      </c>
    </row>
    <row r="2042" spans="1:10" x14ac:dyDescent="0.2">
      <c r="A2042" s="3">
        <v>7747</v>
      </c>
      <c r="B2042" s="3" t="s">
        <v>2214</v>
      </c>
      <c r="C2042" s="3" t="s">
        <v>2212</v>
      </c>
      <c r="D2042" s="3" t="s">
        <v>2180</v>
      </c>
      <c r="E2042" s="3" t="str">
        <v>Neuchâtel</v>
      </c>
      <c r="I2042" s="19">
        <v>6582</v>
      </c>
      <c r="J2042" s="19" t="s">
        <v>4563</v>
      </c>
    </row>
    <row r="2043" spans="1:10" x14ac:dyDescent="0.2">
      <c r="A2043" s="3">
        <v>7748</v>
      </c>
      <c r="B2043" s="3" t="s">
        <v>2215</v>
      </c>
      <c r="C2043" s="3" t="s">
        <v>2212</v>
      </c>
      <c r="D2043" s="3" t="s">
        <v>2180</v>
      </c>
      <c r="E2043" s="3" t="str">
        <v>Saint-Blaise</v>
      </c>
      <c r="I2043" s="19">
        <v>6583</v>
      </c>
      <c r="J2043" s="19" t="s">
        <v>4563</v>
      </c>
    </row>
    <row r="2044" spans="1:10" x14ac:dyDescent="0.2">
      <c r="A2044" s="3">
        <v>7710</v>
      </c>
      <c r="B2044" s="3" t="s">
        <v>2216</v>
      </c>
      <c r="C2044" s="3" t="s">
        <v>2217</v>
      </c>
      <c r="D2044" s="3" t="s">
        <v>2180</v>
      </c>
      <c r="E2044" s="3" t="str">
        <v>La Tène</v>
      </c>
      <c r="I2044" s="19">
        <v>6584</v>
      </c>
      <c r="J2044" s="19" t="s">
        <v>4563</v>
      </c>
    </row>
    <row r="2045" spans="1:10" x14ac:dyDescent="0.2">
      <c r="A2045" s="3">
        <v>7710</v>
      </c>
      <c r="B2045" s="3" t="s">
        <v>2218</v>
      </c>
      <c r="C2045" s="3" t="s">
        <v>2217</v>
      </c>
      <c r="D2045" s="3" t="s">
        <v>2180</v>
      </c>
      <c r="E2045" s="3" t="str">
        <v>Val-de-Ruz</v>
      </c>
      <c r="I2045" s="19">
        <v>6592</v>
      </c>
      <c r="J2045" s="19" t="s">
        <v>4563</v>
      </c>
    </row>
    <row r="2046" spans="1:10" x14ac:dyDescent="0.2">
      <c r="A2046" s="3">
        <v>7741</v>
      </c>
      <c r="B2046" s="3" t="s">
        <v>2219</v>
      </c>
      <c r="C2046" s="3" t="s">
        <v>2217</v>
      </c>
      <c r="D2046" s="3" t="s">
        <v>2180</v>
      </c>
      <c r="E2046" s="3" t="str">
        <v>La Côte-aux-Fées</v>
      </c>
      <c r="I2046" s="19">
        <v>6593</v>
      </c>
      <c r="J2046" s="19" t="s">
        <v>4563</v>
      </c>
    </row>
    <row r="2047" spans="1:10" x14ac:dyDescent="0.2">
      <c r="A2047" s="3">
        <v>7742</v>
      </c>
      <c r="B2047" s="3" t="s">
        <v>2217</v>
      </c>
      <c r="C2047" s="3" t="s">
        <v>2217</v>
      </c>
      <c r="D2047" s="3" t="s">
        <v>2180</v>
      </c>
      <c r="E2047" s="3" t="str">
        <v>Les Verrières</v>
      </c>
      <c r="I2047" s="19">
        <v>6594</v>
      </c>
      <c r="J2047" s="19" t="s">
        <v>4563</v>
      </c>
    </row>
    <row r="2048" spans="1:10" x14ac:dyDescent="0.2">
      <c r="A2048" s="3">
        <v>7742</v>
      </c>
      <c r="B2048" s="3" t="s">
        <v>2220</v>
      </c>
      <c r="C2048" s="3" t="s">
        <v>2217</v>
      </c>
      <c r="D2048" s="3" t="s">
        <v>2180</v>
      </c>
      <c r="E2048" s="3" t="str">
        <v>Val-de-Travers</v>
      </c>
      <c r="I2048" s="19">
        <v>6595</v>
      </c>
      <c r="J2048" s="19" t="s">
        <v>4563</v>
      </c>
    </row>
    <row r="2049" spans="1:10" x14ac:dyDescent="0.2">
      <c r="A2049" s="3">
        <v>7742</v>
      </c>
      <c r="B2049" s="3" t="s">
        <v>2221</v>
      </c>
      <c r="C2049" s="3" t="s">
        <v>2217</v>
      </c>
      <c r="D2049" s="3" t="s">
        <v>2180</v>
      </c>
      <c r="E2049" s="3" t="str">
        <v>Aire-la-Ville</v>
      </c>
      <c r="I2049" s="19">
        <v>6596</v>
      </c>
      <c r="J2049" s="19" t="s">
        <v>4565</v>
      </c>
    </row>
    <row r="2050" spans="1:10" x14ac:dyDescent="0.2">
      <c r="A2050" s="3">
        <v>7743</v>
      </c>
      <c r="B2050" s="3" t="s">
        <v>2222</v>
      </c>
      <c r="C2050" s="3" t="s">
        <v>2217</v>
      </c>
      <c r="D2050" s="3" t="s">
        <v>2180</v>
      </c>
      <c r="E2050" s="3" t="str">
        <v>Anières</v>
      </c>
      <c r="I2050" s="19">
        <v>6597</v>
      </c>
      <c r="J2050" s="19" t="s">
        <v>4563</v>
      </c>
    </row>
    <row r="2051" spans="1:10" x14ac:dyDescent="0.2">
      <c r="A2051" s="3">
        <v>7745</v>
      </c>
      <c r="B2051" s="3" t="s">
        <v>2223</v>
      </c>
      <c r="C2051" s="3" t="s">
        <v>2217</v>
      </c>
      <c r="D2051" s="3" t="s">
        <v>2180</v>
      </c>
      <c r="E2051" s="3" t="str">
        <v>Avully</v>
      </c>
      <c r="I2051" s="19">
        <v>6598</v>
      </c>
      <c r="J2051" s="19" t="s">
        <v>4565</v>
      </c>
    </row>
    <row r="2052" spans="1:10" x14ac:dyDescent="0.2">
      <c r="A2052" s="3">
        <v>7746</v>
      </c>
      <c r="B2052" s="3" t="s">
        <v>2224</v>
      </c>
      <c r="C2052" s="3" t="s">
        <v>2217</v>
      </c>
      <c r="D2052" s="3" t="s">
        <v>2180</v>
      </c>
      <c r="E2052" s="3" t="str">
        <v>Avusy</v>
      </c>
      <c r="I2052" s="19">
        <v>6599</v>
      </c>
      <c r="J2052" s="19" t="s">
        <v>4563</v>
      </c>
    </row>
    <row r="2053" spans="1:10" x14ac:dyDescent="0.2">
      <c r="A2053" s="3">
        <v>7153</v>
      </c>
      <c r="B2053" s="3" t="s">
        <v>2225</v>
      </c>
      <c r="C2053" s="3" t="s">
        <v>2225</v>
      </c>
      <c r="D2053" s="3" t="s">
        <v>2180</v>
      </c>
      <c r="E2053" s="3" t="str">
        <v>Bardonnex</v>
      </c>
      <c r="I2053" s="19">
        <v>6600</v>
      </c>
      <c r="J2053" s="19" t="s">
        <v>4565</v>
      </c>
    </row>
    <row r="2054" spans="1:10" x14ac:dyDescent="0.2">
      <c r="A2054" s="3">
        <v>7031</v>
      </c>
      <c r="B2054" s="3" t="s">
        <v>2226</v>
      </c>
      <c r="C2054" s="3" t="s">
        <v>2227</v>
      </c>
      <c r="D2054" s="3" t="s">
        <v>2180</v>
      </c>
      <c r="E2054" s="3" t="str">
        <v>Bellevue</v>
      </c>
      <c r="I2054" s="19">
        <v>6605</v>
      </c>
      <c r="J2054" s="19" t="s">
        <v>4565</v>
      </c>
    </row>
    <row r="2055" spans="1:10" x14ac:dyDescent="0.2">
      <c r="A2055" s="3">
        <v>7032</v>
      </c>
      <c r="B2055" s="3" t="s">
        <v>2228</v>
      </c>
      <c r="C2055" s="3" t="s">
        <v>2227</v>
      </c>
      <c r="D2055" s="3" t="s">
        <v>2180</v>
      </c>
      <c r="E2055" s="3" t="str">
        <v>Bernex</v>
      </c>
      <c r="I2055" s="19">
        <v>6611</v>
      </c>
      <c r="J2055" s="19" t="s">
        <v>4565</v>
      </c>
    </row>
    <row r="2056" spans="1:10" x14ac:dyDescent="0.2">
      <c r="A2056" s="3">
        <v>7152</v>
      </c>
      <c r="B2056" s="3" t="s">
        <v>2229</v>
      </c>
      <c r="C2056" s="3" t="s">
        <v>2229</v>
      </c>
      <c r="D2056" s="3" t="s">
        <v>2180</v>
      </c>
      <c r="E2056" s="3" t="str">
        <v>Carouge (GE)</v>
      </c>
      <c r="I2056" s="19">
        <v>6612</v>
      </c>
      <c r="J2056" s="19" t="s">
        <v>4565</v>
      </c>
    </row>
    <row r="2057" spans="1:10" x14ac:dyDescent="0.2">
      <c r="A2057" s="3">
        <v>7151</v>
      </c>
      <c r="B2057" s="3" t="s">
        <v>2230</v>
      </c>
      <c r="C2057" s="3" t="s">
        <v>2230</v>
      </c>
      <c r="D2057" s="3" t="s">
        <v>2180</v>
      </c>
      <c r="E2057" s="3" t="str">
        <v>Cartigny</v>
      </c>
      <c r="I2057" s="19">
        <v>6613</v>
      </c>
      <c r="J2057" s="19" t="s">
        <v>4565</v>
      </c>
    </row>
    <row r="2058" spans="1:10" x14ac:dyDescent="0.2">
      <c r="A2058" s="3">
        <v>7116</v>
      </c>
      <c r="B2058" s="3" t="s">
        <v>2231</v>
      </c>
      <c r="C2058" s="3" t="s">
        <v>2232</v>
      </c>
      <c r="D2058" s="3" t="s">
        <v>2180</v>
      </c>
      <c r="E2058" s="3" t="str">
        <v>Céligny</v>
      </c>
      <c r="I2058" s="19">
        <v>6614</v>
      </c>
      <c r="J2058" s="19" t="s">
        <v>4565</v>
      </c>
    </row>
    <row r="2059" spans="1:10" x14ac:dyDescent="0.2">
      <c r="A2059" s="3">
        <v>7132</v>
      </c>
      <c r="B2059" s="3" t="s">
        <v>2232</v>
      </c>
      <c r="C2059" s="3" t="s">
        <v>2232</v>
      </c>
      <c r="D2059" s="3" t="s">
        <v>2180</v>
      </c>
      <c r="E2059" s="3" t="str">
        <v>Chancy</v>
      </c>
      <c r="I2059" s="19">
        <v>6616</v>
      </c>
      <c r="J2059" s="19" t="s">
        <v>4565</v>
      </c>
    </row>
    <row r="2060" spans="1:10" x14ac:dyDescent="0.2">
      <c r="A2060" s="3">
        <v>7110</v>
      </c>
      <c r="B2060" s="3" t="s">
        <v>2233</v>
      </c>
      <c r="C2060" s="3" t="s">
        <v>2234</v>
      </c>
      <c r="D2060" s="3" t="s">
        <v>2180</v>
      </c>
      <c r="E2060" s="3" t="str">
        <v>Chêne-Bougeries</v>
      </c>
      <c r="I2060" s="19">
        <v>6618</v>
      </c>
      <c r="J2060" s="19" t="s">
        <v>4565</v>
      </c>
    </row>
    <row r="2061" spans="1:10" x14ac:dyDescent="0.2">
      <c r="A2061" s="3">
        <v>7113</v>
      </c>
      <c r="B2061" s="3" t="s">
        <v>2235</v>
      </c>
      <c r="C2061" s="3" t="s">
        <v>2234</v>
      </c>
      <c r="D2061" s="3" t="s">
        <v>2180</v>
      </c>
      <c r="E2061" s="3" t="str">
        <v>Chêne-Bourg</v>
      </c>
      <c r="I2061" s="19">
        <v>6622</v>
      </c>
      <c r="J2061" s="19" t="s">
        <v>4565</v>
      </c>
    </row>
    <row r="2062" spans="1:10" x14ac:dyDescent="0.2">
      <c r="A2062" s="3">
        <v>7114</v>
      </c>
      <c r="B2062" s="3" t="s">
        <v>2236</v>
      </c>
      <c r="C2062" s="3" t="s">
        <v>2234</v>
      </c>
      <c r="D2062" s="3" t="s">
        <v>2180</v>
      </c>
      <c r="E2062" s="3" t="str">
        <v>Choulex</v>
      </c>
      <c r="I2062" s="19">
        <v>6631</v>
      </c>
      <c r="J2062" s="19" t="s">
        <v>4563</v>
      </c>
    </row>
    <row r="2063" spans="1:10" x14ac:dyDescent="0.2">
      <c r="A2063" s="3">
        <v>7115</v>
      </c>
      <c r="B2063" s="3" t="s">
        <v>2237</v>
      </c>
      <c r="C2063" s="3" t="s">
        <v>2234</v>
      </c>
      <c r="D2063" s="3" t="s">
        <v>2180</v>
      </c>
      <c r="E2063" s="3" t="str">
        <v>Collex-Bossy</v>
      </c>
      <c r="I2063" s="19">
        <v>6632</v>
      </c>
      <c r="J2063" s="19" t="s">
        <v>4563</v>
      </c>
    </row>
    <row r="2064" spans="1:10" x14ac:dyDescent="0.2">
      <c r="A2064" s="3">
        <v>7116</v>
      </c>
      <c r="B2064" s="3" t="s">
        <v>2238</v>
      </c>
      <c r="C2064" s="3" t="s">
        <v>2234</v>
      </c>
      <c r="D2064" s="3" t="s">
        <v>2180</v>
      </c>
      <c r="E2064" s="3" t="str">
        <v>Collonge-Bellerive</v>
      </c>
      <c r="I2064" s="19">
        <v>6633</v>
      </c>
      <c r="J2064" s="19" t="s">
        <v>4563</v>
      </c>
    </row>
    <row r="2065" spans="1:10" x14ac:dyDescent="0.2">
      <c r="A2065" s="3">
        <v>7142</v>
      </c>
      <c r="B2065" s="3" t="s">
        <v>2239</v>
      </c>
      <c r="C2065" s="3" t="s">
        <v>2234</v>
      </c>
      <c r="D2065" s="3" t="s">
        <v>2180</v>
      </c>
      <c r="E2065" s="3" t="str">
        <v>Cologny</v>
      </c>
      <c r="I2065" s="19">
        <v>6634</v>
      </c>
      <c r="J2065" s="19" t="s">
        <v>4563</v>
      </c>
    </row>
    <row r="2066" spans="1:10" x14ac:dyDescent="0.2">
      <c r="A2066" s="3">
        <v>7143</v>
      </c>
      <c r="B2066" s="3" t="s">
        <v>2240</v>
      </c>
      <c r="C2066" s="3" t="s">
        <v>2234</v>
      </c>
      <c r="D2066" s="3" t="s">
        <v>2180</v>
      </c>
      <c r="E2066" s="3" t="str">
        <v>Confignon</v>
      </c>
      <c r="I2066" s="19">
        <v>6635</v>
      </c>
      <c r="J2066" s="19" t="s">
        <v>4563</v>
      </c>
    </row>
    <row r="2067" spans="1:10" x14ac:dyDescent="0.2">
      <c r="A2067" s="3">
        <v>7144</v>
      </c>
      <c r="B2067" s="3" t="s">
        <v>2241</v>
      </c>
      <c r="C2067" s="3" t="s">
        <v>2234</v>
      </c>
      <c r="D2067" s="3" t="s">
        <v>2180</v>
      </c>
      <c r="E2067" s="3" t="str">
        <v>Corsier (GE)</v>
      </c>
      <c r="I2067" s="19">
        <v>6636</v>
      </c>
      <c r="J2067" s="19" t="s">
        <v>4563</v>
      </c>
    </row>
    <row r="2068" spans="1:10" x14ac:dyDescent="0.2">
      <c r="A2068" s="3">
        <v>7145</v>
      </c>
      <c r="B2068" s="3" t="s">
        <v>2242</v>
      </c>
      <c r="C2068" s="3" t="s">
        <v>2234</v>
      </c>
      <c r="D2068" s="3" t="s">
        <v>2180</v>
      </c>
      <c r="E2068" s="3" t="str">
        <v>Dardagny</v>
      </c>
      <c r="I2068" s="19">
        <v>6637</v>
      </c>
      <c r="J2068" s="19" t="s">
        <v>4556</v>
      </c>
    </row>
    <row r="2069" spans="1:10" x14ac:dyDescent="0.2">
      <c r="A2069" s="3">
        <v>7146</v>
      </c>
      <c r="B2069" s="3" t="s">
        <v>2243</v>
      </c>
      <c r="C2069" s="3" t="s">
        <v>2234</v>
      </c>
      <c r="D2069" s="3" t="s">
        <v>2180</v>
      </c>
      <c r="E2069" s="3" t="str">
        <v>Genève</v>
      </c>
      <c r="I2069" s="19">
        <v>6644</v>
      </c>
      <c r="J2069" s="19" t="s">
        <v>4565</v>
      </c>
    </row>
    <row r="2070" spans="1:10" x14ac:dyDescent="0.2">
      <c r="A2070" s="3">
        <v>7147</v>
      </c>
      <c r="B2070" s="3" t="s">
        <v>2244</v>
      </c>
      <c r="C2070" s="3" t="s">
        <v>2234</v>
      </c>
      <c r="D2070" s="3" t="s">
        <v>2180</v>
      </c>
      <c r="E2070" s="3" t="str">
        <v>Genthod</v>
      </c>
      <c r="I2070" s="19">
        <v>6645</v>
      </c>
      <c r="J2070" s="19" t="s">
        <v>4565</v>
      </c>
    </row>
    <row r="2071" spans="1:10" x14ac:dyDescent="0.2">
      <c r="A2071" s="3">
        <v>7148</v>
      </c>
      <c r="B2071" s="3" t="s">
        <v>2245</v>
      </c>
      <c r="C2071" s="3" t="s">
        <v>2234</v>
      </c>
      <c r="D2071" s="3" t="s">
        <v>2180</v>
      </c>
      <c r="E2071" s="3" t="str">
        <v>Le Grand-Saconnex</v>
      </c>
      <c r="I2071" s="19">
        <v>6646</v>
      </c>
      <c r="J2071" s="19" t="s">
        <v>4565</v>
      </c>
    </row>
    <row r="2072" spans="1:10" x14ac:dyDescent="0.2">
      <c r="A2072" s="3">
        <v>7149</v>
      </c>
      <c r="B2072" s="3" t="s">
        <v>2246</v>
      </c>
      <c r="C2072" s="3" t="s">
        <v>2234</v>
      </c>
      <c r="D2072" s="3" t="s">
        <v>2180</v>
      </c>
      <c r="E2072" s="3" t="str">
        <v>Gy</v>
      </c>
      <c r="I2072" s="19">
        <v>6647</v>
      </c>
      <c r="J2072" s="19" t="s">
        <v>4563</v>
      </c>
    </row>
    <row r="2073" spans="1:10" x14ac:dyDescent="0.2">
      <c r="A2073" s="3">
        <v>7111</v>
      </c>
      <c r="B2073" s="3" t="s">
        <v>2247</v>
      </c>
      <c r="C2073" s="3" t="s">
        <v>2248</v>
      </c>
      <c r="D2073" s="3" t="s">
        <v>2180</v>
      </c>
      <c r="E2073" s="3" t="str">
        <v>Hermance</v>
      </c>
      <c r="I2073" s="19">
        <v>6648</v>
      </c>
      <c r="J2073" s="19" t="s">
        <v>4565</v>
      </c>
    </row>
    <row r="2074" spans="1:10" x14ac:dyDescent="0.2">
      <c r="A2074" s="3">
        <v>7112</v>
      </c>
      <c r="B2074" s="3" t="s">
        <v>2249</v>
      </c>
      <c r="C2074" s="3" t="s">
        <v>2248</v>
      </c>
      <c r="D2074" s="3" t="s">
        <v>2180</v>
      </c>
      <c r="E2074" s="3" t="str">
        <v>Jussy</v>
      </c>
      <c r="I2074" s="19">
        <v>6652</v>
      </c>
      <c r="J2074" s="19" t="s">
        <v>4565</v>
      </c>
    </row>
    <row r="2075" spans="1:10" x14ac:dyDescent="0.2">
      <c r="A2075" s="3">
        <v>7126</v>
      </c>
      <c r="B2075" s="3" t="s">
        <v>2250</v>
      </c>
      <c r="C2075" s="3" t="s">
        <v>2248</v>
      </c>
      <c r="D2075" s="3" t="s">
        <v>2180</v>
      </c>
      <c r="E2075" s="3" t="str">
        <v>Laconnex</v>
      </c>
      <c r="I2075" s="19">
        <v>6653</v>
      </c>
      <c r="J2075" s="19" t="s">
        <v>4565</v>
      </c>
    </row>
    <row r="2076" spans="1:10" x14ac:dyDescent="0.2">
      <c r="A2076" s="3">
        <v>7127</v>
      </c>
      <c r="B2076" s="3" t="s">
        <v>2251</v>
      </c>
      <c r="C2076" s="3" t="s">
        <v>2248</v>
      </c>
      <c r="D2076" s="3" t="s">
        <v>2180</v>
      </c>
      <c r="E2076" s="3" t="str">
        <v>Lancy</v>
      </c>
      <c r="I2076" s="19">
        <v>6654</v>
      </c>
      <c r="J2076" s="19" t="s">
        <v>4565</v>
      </c>
    </row>
    <row r="2077" spans="1:10" x14ac:dyDescent="0.2">
      <c r="A2077" s="3">
        <v>7128</v>
      </c>
      <c r="B2077" s="3" t="s">
        <v>2252</v>
      </c>
      <c r="C2077" s="3" t="s">
        <v>2248</v>
      </c>
      <c r="D2077" s="3" t="s">
        <v>2180</v>
      </c>
      <c r="E2077" s="3" t="str">
        <v>Meinier</v>
      </c>
      <c r="I2077" s="19">
        <v>6655</v>
      </c>
      <c r="J2077" s="19" t="s">
        <v>4565</v>
      </c>
    </row>
    <row r="2078" spans="1:10" x14ac:dyDescent="0.2">
      <c r="A2078" s="3">
        <v>7130</v>
      </c>
      <c r="B2078" s="3" t="s">
        <v>2253</v>
      </c>
      <c r="C2078" s="3" t="s">
        <v>2248</v>
      </c>
      <c r="D2078" s="3" t="s">
        <v>2180</v>
      </c>
      <c r="E2078" s="3" t="str">
        <v>Meyrin</v>
      </c>
      <c r="I2078" s="19">
        <v>6656</v>
      </c>
      <c r="J2078" s="19" t="s">
        <v>4565</v>
      </c>
    </row>
    <row r="2079" spans="1:10" x14ac:dyDescent="0.2">
      <c r="A2079" s="3">
        <v>7130</v>
      </c>
      <c r="B2079" s="3" t="s">
        <v>2254</v>
      </c>
      <c r="C2079" s="3" t="s">
        <v>2248</v>
      </c>
      <c r="D2079" s="3" t="s">
        <v>2180</v>
      </c>
      <c r="E2079" s="3" t="str">
        <v>Onex</v>
      </c>
      <c r="I2079" s="19">
        <v>6657</v>
      </c>
      <c r="J2079" s="19" t="s">
        <v>4565</v>
      </c>
    </row>
    <row r="2080" spans="1:10" x14ac:dyDescent="0.2">
      <c r="A2080" s="3">
        <v>7130</v>
      </c>
      <c r="B2080" s="3" t="s">
        <v>2254</v>
      </c>
      <c r="C2080" s="3" t="s">
        <v>2248</v>
      </c>
      <c r="D2080" s="3" t="s">
        <v>2180</v>
      </c>
      <c r="E2080" s="3" t="str">
        <v>Perly-Certoux</v>
      </c>
      <c r="I2080" s="19">
        <v>6658</v>
      </c>
      <c r="J2080" s="19" t="s">
        <v>4565</v>
      </c>
    </row>
    <row r="2081" spans="1:10" x14ac:dyDescent="0.2">
      <c r="A2081" s="3">
        <v>7141</v>
      </c>
      <c r="B2081" s="3" t="s">
        <v>2255</v>
      </c>
      <c r="C2081" s="3" t="s">
        <v>2248</v>
      </c>
      <c r="D2081" s="3" t="s">
        <v>2180</v>
      </c>
      <c r="E2081" s="3" t="str">
        <v>Plan-les-Ouates</v>
      </c>
      <c r="I2081" s="19">
        <v>6659</v>
      </c>
      <c r="J2081" s="19" t="s">
        <v>4565</v>
      </c>
    </row>
    <row r="2082" spans="1:10" x14ac:dyDescent="0.2">
      <c r="A2082" s="3">
        <v>7154</v>
      </c>
      <c r="B2082" s="3" t="s">
        <v>2256</v>
      </c>
      <c r="C2082" s="3" t="s">
        <v>2248</v>
      </c>
      <c r="D2082" s="3" t="s">
        <v>2180</v>
      </c>
      <c r="E2082" s="3" t="str">
        <v>Pregny-Chambésy</v>
      </c>
      <c r="I2082" s="19">
        <v>6661</v>
      </c>
      <c r="J2082" s="19" t="s">
        <v>4565</v>
      </c>
    </row>
    <row r="2083" spans="1:10" x14ac:dyDescent="0.2">
      <c r="A2083" s="3">
        <v>7155</v>
      </c>
      <c r="B2083" s="3" t="s">
        <v>2257</v>
      </c>
      <c r="C2083" s="3" t="s">
        <v>2248</v>
      </c>
      <c r="D2083" s="3" t="s">
        <v>2180</v>
      </c>
      <c r="E2083" s="3" t="str">
        <v>Presinge</v>
      </c>
      <c r="I2083" s="19">
        <v>6662</v>
      </c>
      <c r="J2083" s="19" t="s">
        <v>4565</v>
      </c>
    </row>
    <row r="2084" spans="1:10" x14ac:dyDescent="0.2">
      <c r="A2084" s="3">
        <v>7155</v>
      </c>
      <c r="B2084" s="3" t="s">
        <v>2257</v>
      </c>
      <c r="C2084" s="3" t="s">
        <v>2248</v>
      </c>
      <c r="D2084" s="3" t="s">
        <v>2180</v>
      </c>
      <c r="E2084" s="3" t="str">
        <v>Puplinge</v>
      </c>
      <c r="I2084" s="19">
        <v>6663</v>
      </c>
      <c r="J2084" s="19" t="s">
        <v>4565</v>
      </c>
    </row>
    <row r="2085" spans="1:10" x14ac:dyDescent="0.2">
      <c r="A2085" s="3">
        <v>7156</v>
      </c>
      <c r="B2085" s="3" t="s">
        <v>2258</v>
      </c>
      <c r="C2085" s="3" t="s">
        <v>2248</v>
      </c>
      <c r="D2085" s="3" t="s">
        <v>2180</v>
      </c>
      <c r="E2085" s="3" t="str">
        <v>Russin</v>
      </c>
      <c r="I2085" s="19">
        <v>6664</v>
      </c>
      <c r="J2085" s="19" t="s">
        <v>4565</v>
      </c>
    </row>
    <row r="2086" spans="1:10" x14ac:dyDescent="0.2">
      <c r="A2086" s="3">
        <v>7156</v>
      </c>
      <c r="B2086" s="3" t="s">
        <v>2259</v>
      </c>
      <c r="C2086" s="3" t="s">
        <v>2248</v>
      </c>
      <c r="D2086" s="3" t="s">
        <v>2180</v>
      </c>
      <c r="E2086" s="3" t="str">
        <v>Satigny</v>
      </c>
      <c r="I2086" s="19">
        <v>6670</v>
      </c>
      <c r="J2086" s="19" t="s">
        <v>4565</v>
      </c>
    </row>
    <row r="2087" spans="1:10" x14ac:dyDescent="0.2">
      <c r="A2087" s="3">
        <v>7157</v>
      </c>
      <c r="B2087" s="3" t="s">
        <v>2260</v>
      </c>
      <c r="C2087" s="3" t="s">
        <v>2248</v>
      </c>
      <c r="D2087" s="3" t="s">
        <v>2180</v>
      </c>
      <c r="E2087" s="3" t="str">
        <v>Soral</v>
      </c>
      <c r="I2087" s="19">
        <v>6672</v>
      </c>
      <c r="J2087" s="19" t="s">
        <v>4565</v>
      </c>
    </row>
    <row r="2088" spans="1:10" x14ac:dyDescent="0.2">
      <c r="A2088" s="3">
        <v>7413</v>
      </c>
      <c r="B2088" s="3" t="s">
        <v>2261</v>
      </c>
      <c r="C2088" s="3" t="s">
        <v>2262</v>
      </c>
      <c r="D2088" s="3" t="s">
        <v>2180</v>
      </c>
      <c r="E2088" s="3" t="str">
        <v>Thônex</v>
      </c>
      <c r="I2088" s="19">
        <v>6673</v>
      </c>
      <c r="J2088" s="19" t="s">
        <v>4565</v>
      </c>
    </row>
    <row r="2089" spans="1:10" x14ac:dyDescent="0.2">
      <c r="A2089" s="3">
        <v>7414</v>
      </c>
      <c r="B2089" s="3" t="s">
        <v>2262</v>
      </c>
      <c r="C2089" s="3" t="s">
        <v>2262</v>
      </c>
      <c r="D2089" s="3" t="s">
        <v>2180</v>
      </c>
      <c r="E2089" s="3" t="str">
        <v>Troinex</v>
      </c>
      <c r="I2089" s="19">
        <v>6674</v>
      </c>
      <c r="J2089" s="19" t="s">
        <v>4565</v>
      </c>
    </row>
    <row r="2090" spans="1:10" x14ac:dyDescent="0.2">
      <c r="A2090" s="3">
        <v>7405</v>
      </c>
      <c r="B2090" s="3" t="s">
        <v>2263</v>
      </c>
      <c r="C2090" s="3" t="s">
        <v>2263</v>
      </c>
      <c r="D2090" s="3" t="s">
        <v>2180</v>
      </c>
      <c r="E2090" s="3" t="str">
        <v>Vandoeuvres</v>
      </c>
      <c r="I2090" s="19">
        <v>6675</v>
      </c>
      <c r="J2090" s="19" t="s">
        <v>4565</v>
      </c>
    </row>
    <row r="2091" spans="1:10" x14ac:dyDescent="0.2">
      <c r="A2091" s="3">
        <v>7412</v>
      </c>
      <c r="B2091" s="3" t="s">
        <v>2264</v>
      </c>
      <c r="C2091" s="3" t="s">
        <v>2264</v>
      </c>
      <c r="D2091" s="3" t="s">
        <v>2180</v>
      </c>
      <c r="E2091" s="3" t="str">
        <v>Vernier</v>
      </c>
      <c r="I2091" s="19">
        <v>6676</v>
      </c>
      <c r="J2091" s="19" t="s">
        <v>4565</v>
      </c>
    </row>
    <row r="2092" spans="1:10" x14ac:dyDescent="0.2">
      <c r="A2092" s="3">
        <v>7411</v>
      </c>
      <c r="B2092" s="3" t="s">
        <v>2265</v>
      </c>
      <c r="C2092" s="3" t="s">
        <v>2265</v>
      </c>
      <c r="D2092" s="3" t="s">
        <v>2180</v>
      </c>
      <c r="E2092" s="3" t="str">
        <v>Versoix</v>
      </c>
      <c r="I2092" s="19">
        <v>6677</v>
      </c>
      <c r="J2092" s="19" t="s">
        <v>4565</v>
      </c>
    </row>
    <row r="2093" spans="1:10" x14ac:dyDescent="0.2">
      <c r="A2093" s="3">
        <v>7408</v>
      </c>
      <c r="B2093" s="3" t="s">
        <v>2266</v>
      </c>
      <c r="C2093" s="3" t="s">
        <v>2266</v>
      </c>
      <c r="D2093" s="3" t="s">
        <v>2180</v>
      </c>
      <c r="E2093" s="3" t="str">
        <v>Veyrier</v>
      </c>
      <c r="I2093" s="19">
        <v>6678</v>
      </c>
      <c r="J2093" s="19" t="s">
        <v>4565</v>
      </c>
    </row>
    <row r="2094" spans="1:10" x14ac:dyDescent="0.2">
      <c r="A2094" s="3">
        <v>7421</v>
      </c>
      <c r="B2094" s="3" t="s">
        <v>2267</v>
      </c>
      <c r="C2094" s="3" t="s">
        <v>2266</v>
      </c>
      <c r="D2094" s="3" t="s">
        <v>2180</v>
      </c>
      <c r="E2094" s="3" t="str">
        <v>Boécourt</v>
      </c>
      <c r="I2094" s="19">
        <v>6682</v>
      </c>
      <c r="J2094" s="19" t="s">
        <v>4565</v>
      </c>
    </row>
    <row r="2095" spans="1:10" x14ac:dyDescent="0.2">
      <c r="A2095" s="3">
        <v>7422</v>
      </c>
      <c r="B2095" s="3" t="s">
        <v>2268</v>
      </c>
      <c r="C2095" s="3" t="s">
        <v>2266</v>
      </c>
      <c r="D2095" s="3" t="s">
        <v>2180</v>
      </c>
      <c r="E2095" s="3" t="str">
        <v>Bourrignon</v>
      </c>
      <c r="I2095" s="19">
        <v>6683</v>
      </c>
      <c r="J2095" s="19" t="s">
        <v>4556</v>
      </c>
    </row>
    <row r="2096" spans="1:10" x14ac:dyDescent="0.2">
      <c r="A2096" s="3">
        <v>7423</v>
      </c>
      <c r="B2096" s="3" t="s">
        <v>2269</v>
      </c>
      <c r="C2096" s="3" t="s">
        <v>2266</v>
      </c>
      <c r="D2096" s="3" t="s">
        <v>2180</v>
      </c>
      <c r="E2096" s="3" t="str">
        <v>Châtillon (JU)</v>
      </c>
      <c r="I2096" s="19">
        <v>6684</v>
      </c>
      <c r="J2096" s="19" t="s">
        <v>4556</v>
      </c>
    </row>
    <row r="2097" spans="1:10" x14ac:dyDescent="0.2">
      <c r="A2097" s="3">
        <v>7423</v>
      </c>
      <c r="B2097" s="3" t="s">
        <v>2270</v>
      </c>
      <c r="C2097" s="3" t="s">
        <v>2266</v>
      </c>
      <c r="D2097" s="3" t="s">
        <v>2180</v>
      </c>
      <c r="E2097" s="3" t="str">
        <v>Courchapoix</v>
      </c>
      <c r="I2097" s="19">
        <v>6685</v>
      </c>
      <c r="J2097" s="19" t="s">
        <v>4556</v>
      </c>
    </row>
    <row r="2098" spans="1:10" x14ac:dyDescent="0.2">
      <c r="A2098" s="3">
        <v>7424</v>
      </c>
      <c r="B2098" s="3" t="s">
        <v>2271</v>
      </c>
      <c r="C2098" s="3" t="s">
        <v>2266</v>
      </c>
      <c r="D2098" s="3" t="s">
        <v>2180</v>
      </c>
      <c r="E2098" s="3" t="str">
        <v>Courrendlin</v>
      </c>
      <c r="I2098" s="19">
        <v>6690</v>
      </c>
      <c r="J2098" s="19" t="s">
        <v>4565</v>
      </c>
    </row>
    <row r="2099" spans="1:10" x14ac:dyDescent="0.2">
      <c r="A2099" s="3">
        <v>7424</v>
      </c>
      <c r="B2099" s="3" t="s">
        <v>2272</v>
      </c>
      <c r="C2099" s="3" t="s">
        <v>2266</v>
      </c>
      <c r="D2099" s="3" t="s">
        <v>2180</v>
      </c>
      <c r="E2099" s="3" t="str">
        <v>Courroux</v>
      </c>
      <c r="I2099" s="19">
        <v>6692</v>
      </c>
      <c r="J2099" s="19" t="s">
        <v>4565</v>
      </c>
    </row>
    <row r="2100" spans="1:10" x14ac:dyDescent="0.2">
      <c r="A2100" s="3">
        <v>7426</v>
      </c>
      <c r="B2100" s="3" t="s">
        <v>2273</v>
      </c>
      <c r="C2100" s="3" t="s">
        <v>2273</v>
      </c>
      <c r="D2100" s="3" t="s">
        <v>2180</v>
      </c>
      <c r="E2100" s="3" t="str">
        <v>Courtételle</v>
      </c>
      <c r="I2100" s="19">
        <v>6693</v>
      </c>
      <c r="J2100" s="19" t="s">
        <v>4565</v>
      </c>
    </row>
    <row r="2101" spans="1:10" x14ac:dyDescent="0.2">
      <c r="A2101" s="3">
        <v>7426</v>
      </c>
      <c r="B2101" s="3" t="s">
        <v>2273</v>
      </c>
      <c r="C2101" s="3" t="s">
        <v>2273</v>
      </c>
      <c r="D2101" s="3" t="s">
        <v>2180</v>
      </c>
      <c r="E2101" s="3" t="str">
        <v>Delémont</v>
      </c>
      <c r="I2101" s="19">
        <v>6694</v>
      </c>
      <c r="J2101" s="19" t="s">
        <v>4556</v>
      </c>
    </row>
    <row r="2102" spans="1:10" x14ac:dyDescent="0.2">
      <c r="A2102" s="3">
        <v>7425</v>
      </c>
      <c r="B2102" s="3" t="s">
        <v>2274</v>
      </c>
      <c r="C2102" s="3" t="s">
        <v>2274</v>
      </c>
      <c r="D2102" s="3" t="s">
        <v>2180</v>
      </c>
      <c r="E2102" s="3" t="str">
        <v>Develier</v>
      </c>
      <c r="I2102" s="19">
        <v>6695</v>
      </c>
      <c r="J2102" s="19" t="s">
        <v>4556</v>
      </c>
    </row>
    <row r="2103" spans="1:10" x14ac:dyDescent="0.2">
      <c r="A2103" s="3">
        <v>7430</v>
      </c>
      <c r="B2103" s="3" t="s">
        <v>2275</v>
      </c>
      <c r="C2103" s="3" t="s">
        <v>2275</v>
      </c>
      <c r="D2103" s="3" t="s">
        <v>2180</v>
      </c>
      <c r="E2103" s="3" t="str">
        <v>Ederswiler</v>
      </c>
      <c r="I2103" s="19">
        <v>6696</v>
      </c>
      <c r="J2103" s="19" t="s">
        <v>4556</v>
      </c>
    </row>
    <row r="2104" spans="1:10" x14ac:dyDescent="0.2">
      <c r="A2104" s="3">
        <v>7431</v>
      </c>
      <c r="B2104" s="3" t="s">
        <v>2276</v>
      </c>
      <c r="C2104" s="3" t="s">
        <v>2275</v>
      </c>
      <c r="D2104" s="3" t="s">
        <v>2180</v>
      </c>
      <c r="E2104" s="3" t="str">
        <v>Mervelier</v>
      </c>
      <c r="I2104" s="19">
        <v>6702</v>
      </c>
      <c r="J2104" s="19" t="s">
        <v>4563</v>
      </c>
    </row>
    <row r="2105" spans="1:10" x14ac:dyDescent="0.2">
      <c r="A2105" s="3">
        <v>7431</v>
      </c>
      <c r="B2105" s="3" t="s">
        <v>2277</v>
      </c>
      <c r="C2105" s="3" t="s">
        <v>2275</v>
      </c>
      <c r="D2105" s="3" t="s">
        <v>2180</v>
      </c>
      <c r="E2105" s="3" t="str">
        <v>Mettembert</v>
      </c>
      <c r="I2105" s="19">
        <v>6703</v>
      </c>
      <c r="J2105" s="19" t="s">
        <v>4563</v>
      </c>
    </row>
    <row r="2106" spans="1:10" x14ac:dyDescent="0.2">
      <c r="A2106" s="3">
        <v>7428</v>
      </c>
      <c r="B2106" s="3" t="s">
        <v>2278</v>
      </c>
      <c r="C2106" s="3" t="s">
        <v>2278</v>
      </c>
      <c r="D2106" s="3" t="s">
        <v>2180</v>
      </c>
      <c r="E2106" s="3" t="str">
        <v>Movelier</v>
      </c>
      <c r="I2106" s="19">
        <v>6705</v>
      </c>
      <c r="J2106" s="19" t="s">
        <v>4563</v>
      </c>
    </row>
    <row r="2107" spans="1:10" x14ac:dyDescent="0.2">
      <c r="A2107" s="3">
        <v>7427</v>
      </c>
      <c r="B2107" s="3" t="s">
        <v>2279</v>
      </c>
      <c r="C2107" s="3" t="s">
        <v>2279</v>
      </c>
      <c r="D2107" s="3" t="s">
        <v>2180</v>
      </c>
      <c r="E2107" s="3" t="str">
        <v>Pleigne</v>
      </c>
      <c r="I2107" s="19">
        <v>6707</v>
      </c>
      <c r="J2107" s="19" t="s">
        <v>4565</v>
      </c>
    </row>
    <row r="2108" spans="1:10" x14ac:dyDescent="0.2">
      <c r="A2108" s="3">
        <v>7104</v>
      </c>
      <c r="B2108" s="3" t="s">
        <v>2280</v>
      </c>
      <c r="C2108" s="3" t="s">
        <v>2281</v>
      </c>
      <c r="D2108" s="3" t="s">
        <v>2180</v>
      </c>
      <c r="E2108" s="3" t="str">
        <v>Rossemaison</v>
      </c>
      <c r="I2108" s="19">
        <v>6710</v>
      </c>
      <c r="J2108" s="19" t="s">
        <v>4565</v>
      </c>
    </row>
    <row r="2109" spans="1:10" x14ac:dyDescent="0.2">
      <c r="A2109" s="3">
        <v>7106</v>
      </c>
      <c r="B2109" s="3" t="s">
        <v>2282</v>
      </c>
      <c r="C2109" s="3" t="s">
        <v>2281</v>
      </c>
      <c r="D2109" s="3" t="s">
        <v>2180</v>
      </c>
      <c r="E2109" s="3" t="str">
        <v>Saulcy</v>
      </c>
      <c r="I2109" s="19">
        <v>6713</v>
      </c>
      <c r="J2109" s="19" t="s">
        <v>4565</v>
      </c>
    </row>
    <row r="2110" spans="1:10" x14ac:dyDescent="0.2">
      <c r="A2110" s="3">
        <v>7107</v>
      </c>
      <c r="B2110" s="3" t="s">
        <v>2283</v>
      </c>
      <c r="C2110" s="3" t="s">
        <v>2281</v>
      </c>
      <c r="D2110" s="3" t="s">
        <v>2180</v>
      </c>
      <c r="E2110" s="3" t="str">
        <v>Soyhières</v>
      </c>
      <c r="I2110" s="19">
        <v>6714</v>
      </c>
      <c r="J2110" s="19" t="s">
        <v>4565</v>
      </c>
    </row>
    <row r="2111" spans="1:10" x14ac:dyDescent="0.2">
      <c r="A2111" s="3">
        <v>7109</v>
      </c>
      <c r="B2111" s="3" t="s">
        <v>2284</v>
      </c>
      <c r="C2111" s="3" t="s">
        <v>2281</v>
      </c>
      <c r="D2111" s="3" t="s">
        <v>2180</v>
      </c>
      <c r="E2111" s="3" t="str">
        <v>Haute-Sorne</v>
      </c>
      <c r="I2111" s="19">
        <v>6715</v>
      </c>
      <c r="J2111" s="19" t="s">
        <v>4563</v>
      </c>
    </row>
    <row r="2112" spans="1:10" x14ac:dyDescent="0.2">
      <c r="A2112" s="3">
        <v>7122</v>
      </c>
      <c r="B2112" s="3" t="s">
        <v>2285</v>
      </c>
      <c r="C2112" s="3" t="s">
        <v>2281</v>
      </c>
      <c r="D2112" s="3" t="s">
        <v>2180</v>
      </c>
      <c r="E2112" s="3" t="str">
        <v>Val Terbi</v>
      </c>
      <c r="I2112" s="19">
        <v>6716</v>
      </c>
      <c r="J2112" s="19" t="s">
        <v>4563</v>
      </c>
    </row>
    <row r="2113" spans="1:10" x14ac:dyDescent="0.2">
      <c r="A2113" s="3">
        <v>7404</v>
      </c>
      <c r="B2113" s="3" t="s">
        <v>2286</v>
      </c>
      <c r="C2113" s="3" t="s">
        <v>2287</v>
      </c>
      <c r="D2113" s="3" t="s">
        <v>2180</v>
      </c>
      <c r="E2113" s="3" t="str">
        <v>Le Bémont (JU)</v>
      </c>
      <c r="I2113" s="19">
        <v>6717</v>
      </c>
      <c r="J2113" s="19" t="s">
        <v>4556</v>
      </c>
    </row>
    <row r="2114" spans="1:10" x14ac:dyDescent="0.2">
      <c r="A2114" s="3">
        <v>7407</v>
      </c>
      <c r="B2114" s="3" t="s">
        <v>2288</v>
      </c>
      <c r="C2114" s="3" t="s">
        <v>2287</v>
      </c>
      <c r="D2114" s="3" t="s">
        <v>2180</v>
      </c>
      <c r="E2114" s="3" t="str">
        <v>Les Bois</v>
      </c>
      <c r="I2114" s="19">
        <v>6718</v>
      </c>
      <c r="J2114" s="19" t="s">
        <v>4556</v>
      </c>
    </row>
    <row r="2115" spans="1:10" x14ac:dyDescent="0.2">
      <c r="A2115" s="3">
        <v>7415</v>
      </c>
      <c r="B2115" s="3" t="s">
        <v>2289</v>
      </c>
      <c r="C2115" s="3" t="s">
        <v>2287</v>
      </c>
      <c r="D2115" s="3" t="s">
        <v>2180</v>
      </c>
      <c r="E2115" s="3" t="str">
        <v>Les Breuleux</v>
      </c>
      <c r="I2115" s="19">
        <v>6719</v>
      </c>
      <c r="J2115" s="19" t="s">
        <v>4556</v>
      </c>
    </row>
    <row r="2116" spans="1:10" x14ac:dyDescent="0.2">
      <c r="A2116" s="3">
        <v>7415</v>
      </c>
      <c r="B2116" s="3" t="s">
        <v>2290</v>
      </c>
      <c r="C2116" s="3" t="s">
        <v>2287</v>
      </c>
      <c r="D2116" s="3" t="s">
        <v>2180</v>
      </c>
      <c r="E2116" s="3" t="str">
        <v>La Chaux-des-Breuleux</v>
      </c>
      <c r="I2116" s="19">
        <v>6720</v>
      </c>
      <c r="J2116" s="19" t="s">
        <v>4566</v>
      </c>
    </row>
    <row r="2117" spans="1:10" x14ac:dyDescent="0.2">
      <c r="A2117" s="3">
        <v>7416</v>
      </c>
      <c r="B2117" s="3" t="s">
        <v>2291</v>
      </c>
      <c r="C2117" s="3" t="s">
        <v>2287</v>
      </c>
      <c r="D2117" s="3" t="s">
        <v>2180</v>
      </c>
      <c r="E2117" s="3" t="str">
        <v>Les Enfers</v>
      </c>
      <c r="I2117" s="19">
        <v>6721</v>
      </c>
      <c r="J2117" s="19" t="s">
        <v>4563</v>
      </c>
    </row>
    <row r="2118" spans="1:10" x14ac:dyDescent="0.2">
      <c r="A2118" s="3">
        <v>7417</v>
      </c>
      <c r="B2118" s="3" t="s">
        <v>2292</v>
      </c>
      <c r="C2118" s="3" t="s">
        <v>2287</v>
      </c>
      <c r="D2118" s="3" t="s">
        <v>2180</v>
      </c>
      <c r="E2118" s="3" t="str">
        <v>Les Genevez (JU)</v>
      </c>
      <c r="I2118" s="19">
        <v>6722</v>
      </c>
      <c r="J2118" s="19" t="s">
        <v>4563</v>
      </c>
    </row>
    <row r="2119" spans="1:10" x14ac:dyDescent="0.2">
      <c r="A2119" s="3">
        <v>7418</v>
      </c>
      <c r="B2119" s="3" t="s">
        <v>2293</v>
      </c>
      <c r="C2119" s="3" t="s">
        <v>2287</v>
      </c>
      <c r="D2119" s="3" t="s">
        <v>2180</v>
      </c>
      <c r="E2119" s="3" t="str">
        <v>Lajoux (JU)</v>
      </c>
      <c r="I2119" s="19">
        <v>6723</v>
      </c>
      <c r="J2119" s="19" t="s">
        <v>4563</v>
      </c>
    </row>
    <row r="2120" spans="1:10" x14ac:dyDescent="0.2">
      <c r="A2120" s="3">
        <v>7419</v>
      </c>
      <c r="B2120" s="3" t="s">
        <v>2294</v>
      </c>
      <c r="C2120" s="3" t="s">
        <v>2287</v>
      </c>
      <c r="D2120" s="3" t="s">
        <v>2180</v>
      </c>
      <c r="E2120" s="3" t="str">
        <v>Montfaucon</v>
      </c>
      <c r="I2120" s="19">
        <v>6724</v>
      </c>
      <c r="J2120" s="19" t="s">
        <v>4556</v>
      </c>
    </row>
    <row r="2121" spans="1:10" x14ac:dyDescent="0.2">
      <c r="A2121" s="3">
        <v>7447</v>
      </c>
      <c r="B2121" s="3" t="s">
        <v>2295</v>
      </c>
      <c r="C2121" s="3" t="s">
        <v>2295</v>
      </c>
      <c r="D2121" s="3" t="s">
        <v>2180</v>
      </c>
      <c r="E2121" s="3" t="str">
        <v>Muriaux</v>
      </c>
      <c r="I2121" s="19">
        <v>6742</v>
      </c>
      <c r="J2121" s="19" t="s">
        <v>4565</v>
      </c>
    </row>
    <row r="2122" spans="1:10" x14ac:dyDescent="0.2">
      <c r="A2122" s="3">
        <v>7448</v>
      </c>
      <c r="B2122" s="3" t="s">
        <v>2296</v>
      </c>
      <c r="C2122" s="3" t="s">
        <v>2295</v>
      </c>
      <c r="D2122" s="3" t="s">
        <v>2180</v>
      </c>
      <c r="E2122" s="3" t="str">
        <v>Le Noirmont</v>
      </c>
      <c r="I2122" s="19">
        <v>6743</v>
      </c>
      <c r="J2122" s="19" t="s">
        <v>4565</v>
      </c>
    </row>
    <row r="2123" spans="1:10" x14ac:dyDescent="0.2">
      <c r="A2123" s="3">
        <v>7434</v>
      </c>
      <c r="B2123" s="3" t="s">
        <v>2297</v>
      </c>
      <c r="C2123" s="3" t="s">
        <v>2297</v>
      </c>
      <c r="D2123" s="3" t="s">
        <v>2180</v>
      </c>
      <c r="E2123" s="3" t="str">
        <v>Saignelégier</v>
      </c>
      <c r="I2123" s="19">
        <v>6744</v>
      </c>
      <c r="J2123" s="19" t="s">
        <v>4565</v>
      </c>
    </row>
    <row r="2124" spans="1:10" x14ac:dyDescent="0.2">
      <c r="A2124" s="3">
        <v>7440</v>
      </c>
      <c r="B2124" s="3" t="s">
        <v>2298</v>
      </c>
      <c r="C2124" s="3" t="s">
        <v>2298</v>
      </c>
      <c r="D2124" s="3" t="s">
        <v>2180</v>
      </c>
      <c r="E2124" s="3" t="str">
        <v>Saint-Brais</v>
      </c>
      <c r="I2124" s="19">
        <v>6745</v>
      </c>
      <c r="J2124" s="19" t="s">
        <v>4565</v>
      </c>
    </row>
    <row r="2125" spans="1:10" x14ac:dyDescent="0.2">
      <c r="A2125" s="3">
        <v>7442</v>
      </c>
      <c r="B2125" s="3" t="s">
        <v>2299</v>
      </c>
      <c r="C2125" s="3" t="s">
        <v>2298</v>
      </c>
      <c r="D2125" s="3" t="s">
        <v>2180</v>
      </c>
      <c r="E2125" s="3" t="str">
        <v>Soubey</v>
      </c>
      <c r="I2125" s="19">
        <v>6746</v>
      </c>
      <c r="J2125" s="19" t="s">
        <v>4556</v>
      </c>
    </row>
    <row r="2126" spans="1:10" x14ac:dyDescent="0.2">
      <c r="A2126" s="3">
        <v>7443</v>
      </c>
      <c r="B2126" s="3" t="s">
        <v>2300</v>
      </c>
      <c r="C2126" s="3" t="s">
        <v>2298</v>
      </c>
      <c r="D2126" s="3" t="s">
        <v>2180</v>
      </c>
      <c r="E2126" s="3" t="str">
        <v>Alle</v>
      </c>
      <c r="I2126" s="19">
        <v>6747</v>
      </c>
      <c r="J2126" s="19" t="s">
        <v>4556</v>
      </c>
    </row>
    <row r="2127" spans="1:10" x14ac:dyDescent="0.2">
      <c r="A2127" s="3">
        <v>7430</v>
      </c>
      <c r="B2127" s="3" t="s">
        <v>2301</v>
      </c>
      <c r="C2127" s="3" t="s">
        <v>2301</v>
      </c>
      <c r="D2127" s="3" t="s">
        <v>2180</v>
      </c>
      <c r="E2127" s="3" t="str">
        <v>Beurnevésin</v>
      </c>
      <c r="I2127" s="19">
        <v>6748</v>
      </c>
      <c r="J2127" s="19" t="s">
        <v>4556</v>
      </c>
    </row>
    <row r="2128" spans="1:10" x14ac:dyDescent="0.2">
      <c r="A2128" s="3">
        <v>7432</v>
      </c>
      <c r="B2128" s="3" t="s">
        <v>2302</v>
      </c>
      <c r="C2128" s="3" t="s">
        <v>2303</v>
      </c>
      <c r="D2128" s="3" t="s">
        <v>2180</v>
      </c>
      <c r="E2128" s="3" t="str">
        <v>Boncourt</v>
      </c>
      <c r="I2128" s="19">
        <v>6749</v>
      </c>
      <c r="J2128" s="19" t="s">
        <v>4556</v>
      </c>
    </row>
    <row r="2129" spans="1:10" x14ac:dyDescent="0.2">
      <c r="A2129" s="3">
        <v>7444</v>
      </c>
      <c r="B2129" s="3" t="s">
        <v>2304</v>
      </c>
      <c r="C2129" s="3" t="s">
        <v>2305</v>
      </c>
      <c r="D2129" s="3" t="s">
        <v>2180</v>
      </c>
      <c r="E2129" s="3" t="str">
        <v>Bonfol</v>
      </c>
      <c r="I2129" s="19">
        <v>6760</v>
      </c>
      <c r="J2129" s="19" t="s">
        <v>4556</v>
      </c>
    </row>
    <row r="2130" spans="1:10" x14ac:dyDescent="0.2">
      <c r="A2130" s="3">
        <v>7445</v>
      </c>
      <c r="B2130" s="3" t="s">
        <v>2306</v>
      </c>
      <c r="C2130" s="3" t="s">
        <v>2305</v>
      </c>
      <c r="D2130" s="3" t="s">
        <v>2180</v>
      </c>
      <c r="E2130" s="3" t="str">
        <v>Bure</v>
      </c>
      <c r="I2130" s="19">
        <v>6763</v>
      </c>
      <c r="J2130" s="19" t="s">
        <v>4556</v>
      </c>
    </row>
    <row r="2131" spans="1:10" x14ac:dyDescent="0.2">
      <c r="A2131" s="3">
        <v>7445</v>
      </c>
      <c r="B2131" s="3" t="s">
        <v>2306</v>
      </c>
      <c r="C2131" s="3" t="s">
        <v>2305</v>
      </c>
      <c r="D2131" s="3" t="s">
        <v>2180</v>
      </c>
      <c r="E2131" s="3" t="str">
        <v>Coeuve</v>
      </c>
      <c r="I2131" s="19">
        <v>6764</v>
      </c>
      <c r="J2131" s="19" t="s">
        <v>4556</v>
      </c>
    </row>
    <row r="2132" spans="1:10" x14ac:dyDescent="0.2">
      <c r="A2132" s="3">
        <v>7435</v>
      </c>
      <c r="B2132" s="3" t="s">
        <v>2307</v>
      </c>
      <c r="C2132" s="3" t="s">
        <v>2308</v>
      </c>
      <c r="D2132" s="3" t="s">
        <v>2180</v>
      </c>
      <c r="E2132" s="3" t="str">
        <v>Cornol</v>
      </c>
      <c r="I2132" s="19">
        <v>6772</v>
      </c>
      <c r="J2132" s="19" t="s">
        <v>4556</v>
      </c>
    </row>
    <row r="2133" spans="1:10" x14ac:dyDescent="0.2">
      <c r="A2133" s="3">
        <v>7436</v>
      </c>
      <c r="B2133" s="3" t="s">
        <v>2309</v>
      </c>
      <c r="C2133" s="3" t="s">
        <v>2308</v>
      </c>
      <c r="D2133" s="3" t="s">
        <v>2180</v>
      </c>
      <c r="E2133" s="3" t="str">
        <v>Courchavon</v>
      </c>
      <c r="I2133" s="19">
        <v>6773</v>
      </c>
      <c r="J2133" s="19" t="s">
        <v>4556</v>
      </c>
    </row>
    <row r="2134" spans="1:10" x14ac:dyDescent="0.2">
      <c r="A2134" s="3">
        <v>7437</v>
      </c>
      <c r="B2134" s="3" t="s">
        <v>2310</v>
      </c>
      <c r="C2134" s="3" t="s">
        <v>2308</v>
      </c>
      <c r="D2134" s="3" t="s">
        <v>2180</v>
      </c>
      <c r="E2134" s="3" t="str">
        <v>Courgenay</v>
      </c>
      <c r="I2134" s="19">
        <v>6774</v>
      </c>
      <c r="J2134" s="19" t="s">
        <v>4556</v>
      </c>
    </row>
    <row r="2135" spans="1:10" x14ac:dyDescent="0.2">
      <c r="A2135" s="3">
        <v>7438</v>
      </c>
      <c r="B2135" s="3" t="s">
        <v>2311</v>
      </c>
      <c r="C2135" s="3" t="s">
        <v>2308</v>
      </c>
      <c r="D2135" s="3" t="s">
        <v>2180</v>
      </c>
      <c r="E2135" s="3" t="str">
        <v>Courtedoux</v>
      </c>
      <c r="I2135" s="19">
        <v>6775</v>
      </c>
      <c r="J2135" s="19" t="s">
        <v>4556</v>
      </c>
    </row>
    <row r="2136" spans="1:10" x14ac:dyDescent="0.2">
      <c r="A2136" s="3">
        <v>7433</v>
      </c>
      <c r="B2136" s="3" t="s">
        <v>2312</v>
      </c>
      <c r="C2136" s="3" t="s">
        <v>2313</v>
      </c>
      <c r="D2136" s="3" t="s">
        <v>2180</v>
      </c>
      <c r="E2136" s="3" t="str">
        <v>Damphreux</v>
      </c>
      <c r="I2136" s="19">
        <v>6776</v>
      </c>
      <c r="J2136" s="19" t="s">
        <v>4556</v>
      </c>
    </row>
    <row r="2137" spans="1:10" x14ac:dyDescent="0.2">
      <c r="A2137" s="3">
        <v>7433</v>
      </c>
      <c r="B2137" s="3" t="s">
        <v>2314</v>
      </c>
      <c r="C2137" s="3" t="s">
        <v>2313</v>
      </c>
      <c r="D2137" s="3" t="s">
        <v>2180</v>
      </c>
      <c r="E2137" s="3" t="str">
        <v>Fahy</v>
      </c>
      <c r="I2137" s="19">
        <v>6777</v>
      </c>
      <c r="J2137" s="19" t="s">
        <v>4556</v>
      </c>
    </row>
    <row r="2138" spans="1:10" x14ac:dyDescent="0.2">
      <c r="A2138" s="3">
        <v>7433</v>
      </c>
      <c r="B2138" s="3" t="s">
        <v>2315</v>
      </c>
      <c r="C2138" s="3" t="s">
        <v>2313</v>
      </c>
      <c r="D2138" s="3" t="s">
        <v>2180</v>
      </c>
      <c r="E2138" s="3" t="str">
        <v>Fontenais</v>
      </c>
      <c r="I2138" s="19">
        <v>6780</v>
      </c>
      <c r="J2138" s="19" t="s">
        <v>4556</v>
      </c>
    </row>
    <row r="2139" spans="1:10" x14ac:dyDescent="0.2">
      <c r="A2139" s="3">
        <v>7433</v>
      </c>
      <c r="B2139" s="3" t="s">
        <v>2316</v>
      </c>
      <c r="C2139" s="3" t="s">
        <v>2313</v>
      </c>
      <c r="D2139" s="3" t="s">
        <v>2180</v>
      </c>
      <c r="E2139" s="3" t="str">
        <v>Grandfontaine</v>
      </c>
      <c r="I2139" s="19">
        <v>6781</v>
      </c>
      <c r="J2139" s="19" t="s">
        <v>4556</v>
      </c>
    </row>
    <row r="2140" spans="1:10" x14ac:dyDescent="0.2">
      <c r="A2140" s="3">
        <v>7402</v>
      </c>
      <c r="B2140" s="3" t="s">
        <v>2317</v>
      </c>
      <c r="C2140" s="3" t="s">
        <v>2317</v>
      </c>
      <c r="D2140" s="3" t="s">
        <v>2180</v>
      </c>
      <c r="E2140" s="3" t="str">
        <v>Lugnez</v>
      </c>
      <c r="I2140" s="19">
        <v>6802</v>
      </c>
      <c r="J2140" s="19" t="s">
        <v>4563</v>
      </c>
    </row>
    <row r="2141" spans="1:10" x14ac:dyDescent="0.2">
      <c r="A2141" s="3">
        <v>7013</v>
      </c>
      <c r="B2141" s="3" t="s">
        <v>2318</v>
      </c>
      <c r="C2141" s="3" t="s">
        <v>2318</v>
      </c>
      <c r="D2141" s="3" t="s">
        <v>2180</v>
      </c>
      <c r="E2141" s="3" t="str">
        <v>Porrentruy</v>
      </c>
      <c r="I2141" s="19">
        <v>6803</v>
      </c>
      <c r="J2141" s="19" t="s">
        <v>4563</v>
      </c>
    </row>
    <row r="2142" spans="1:10" x14ac:dyDescent="0.2">
      <c r="A2142" s="3">
        <v>7403</v>
      </c>
      <c r="B2142" s="3" t="s">
        <v>2319</v>
      </c>
      <c r="C2142" s="3" t="s">
        <v>2319</v>
      </c>
      <c r="D2142" s="3" t="s">
        <v>2180</v>
      </c>
      <c r="E2142" s="3" t="str">
        <v>Vendlincourt</v>
      </c>
      <c r="I2142" s="19">
        <v>6804</v>
      </c>
      <c r="J2142" s="19" t="s">
        <v>4563</v>
      </c>
    </row>
    <row r="2143" spans="1:10" x14ac:dyDescent="0.2">
      <c r="A2143" s="3">
        <v>7012</v>
      </c>
      <c r="B2143" s="3" t="s">
        <v>2320</v>
      </c>
      <c r="C2143" s="3" t="s">
        <v>2320</v>
      </c>
      <c r="D2143" s="3" t="s">
        <v>2180</v>
      </c>
      <c r="E2143" s="3" t="str">
        <v>Basse-Allaine</v>
      </c>
      <c r="I2143" s="19">
        <v>6805</v>
      </c>
      <c r="J2143" s="19" t="s">
        <v>4567</v>
      </c>
    </row>
    <row r="2144" spans="1:10" x14ac:dyDescent="0.2">
      <c r="A2144" s="3">
        <v>7017</v>
      </c>
      <c r="B2144" s="3" t="s">
        <v>2321</v>
      </c>
      <c r="C2144" s="3" t="s">
        <v>2322</v>
      </c>
      <c r="D2144" s="3" t="s">
        <v>2180</v>
      </c>
      <c r="E2144" s="3" t="str">
        <v>Clos du Doubs</v>
      </c>
      <c r="I2144" s="19">
        <v>6806</v>
      </c>
      <c r="J2144" s="19" t="s">
        <v>4567</v>
      </c>
    </row>
    <row r="2145" spans="1:10" x14ac:dyDescent="0.2">
      <c r="A2145" s="3">
        <v>7018</v>
      </c>
      <c r="B2145" s="3" t="s">
        <v>2323</v>
      </c>
      <c r="C2145" s="3" t="s">
        <v>2322</v>
      </c>
      <c r="D2145" s="3" t="s">
        <v>2180</v>
      </c>
      <c r="E2145" s="3" t="str">
        <v>Haute-Ajoie</v>
      </c>
      <c r="I2145" s="19">
        <v>6807</v>
      </c>
      <c r="J2145" s="19" t="s">
        <v>4567</v>
      </c>
    </row>
    <row r="2146" spans="1:10" x14ac:dyDescent="0.2">
      <c r="A2146" s="3">
        <v>7019</v>
      </c>
      <c r="B2146" s="3" t="s">
        <v>2324</v>
      </c>
      <c r="C2146" s="3" t="s">
        <v>2322</v>
      </c>
      <c r="D2146" s="3" t="s">
        <v>2180</v>
      </c>
      <c r="E2146" s="3" t="str">
        <v>La Baroche</v>
      </c>
      <c r="I2146" s="19">
        <v>6808</v>
      </c>
      <c r="J2146" s="19" t="s">
        <v>4567</v>
      </c>
    </row>
    <row r="2147" spans="1:10" x14ac:dyDescent="0.2">
      <c r="A2147" s="3">
        <v>7015</v>
      </c>
      <c r="B2147" s="3" t="s">
        <v>2325</v>
      </c>
      <c r="C2147" s="3" t="s">
        <v>2325</v>
      </c>
      <c r="D2147" s="3" t="s">
        <v>2180</v>
      </c>
      <c r="E2147" s="3" t="str">
        <v>Vaduz</v>
      </c>
      <c r="I2147" s="19">
        <v>6809</v>
      </c>
      <c r="J2147" s="19" t="s">
        <v>4563</v>
      </c>
    </row>
    <row r="2148" spans="1:10" x14ac:dyDescent="0.2">
      <c r="A2148" s="3">
        <v>7014</v>
      </c>
      <c r="B2148" s="3" t="s">
        <v>2326</v>
      </c>
      <c r="C2148" s="3" t="s">
        <v>2326</v>
      </c>
      <c r="D2148" s="3" t="s">
        <v>2180</v>
      </c>
      <c r="I2148" s="19">
        <v>6810</v>
      </c>
      <c r="J2148" s="19" t="s">
        <v>4563</v>
      </c>
    </row>
    <row r="2149" spans="1:10" x14ac:dyDescent="0.2">
      <c r="A2149" s="3">
        <v>7016</v>
      </c>
      <c r="B2149" s="3" t="s">
        <v>2327</v>
      </c>
      <c r="C2149" s="3" t="s">
        <v>2326</v>
      </c>
      <c r="D2149" s="3" t="s">
        <v>2180</v>
      </c>
      <c r="I2149" s="19">
        <v>6814</v>
      </c>
      <c r="J2149" s="19" t="s">
        <v>4567</v>
      </c>
    </row>
    <row r="2150" spans="1:10" x14ac:dyDescent="0.2">
      <c r="A2150" s="3">
        <v>7527</v>
      </c>
      <c r="B2150" s="3" t="s">
        <v>2328</v>
      </c>
      <c r="C2150" s="3" t="s">
        <v>2329</v>
      </c>
      <c r="D2150" s="3" t="s">
        <v>2180</v>
      </c>
      <c r="I2150" s="19">
        <v>6815</v>
      </c>
      <c r="J2150" s="19" t="s">
        <v>4567</v>
      </c>
    </row>
    <row r="2151" spans="1:10" x14ac:dyDescent="0.2">
      <c r="A2151" s="3">
        <v>7530</v>
      </c>
      <c r="B2151" s="3" t="s">
        <v>2329</v>
      </c>
      <c r="C2151" s="3" t="s">
        <v>2329</v>
      </c>
      <c r="D2151" s="3" t="s">
        <v>2180</v>
      </c>
      <c r="I2151" s="19">
        <v>6816</v>
      </c>
      <c r="J2151" s="19" t="s">
        <v>4567</v>
      </c>
    </row>
    <row r="2152" spans="1:10" x14ac:dyDescent="0.2">
      <c r="A2152" s="3">
        <v>7542</v>
      </c>
      <c r="B2152" s="3" t="s">
        <v>2330</v>
      </c>
      <c r="C2152" s="3" t="s">
        <v>2329</v>
      </c>
      <c r="D2152" s="3" t="s">
        <v>2180</v>
      </c>
      <c r="I2152" s="19">
        <v>6817</v>
      </c>
      <c r="J2152" s="19" t="s">
        <v>4567</v>
      </c>
    </row>
    <row r="2153" spans="1:10" x14ac:dyDescent="0.2">
      <c r="A2153" s="3">
        <v>7543</v>
      </c>
      <c r="B2153" s="3" t="s">
        <v>2331</v>
      </c>
      <c r="C2153" s="3" t="s">
        <v>2329</v>
      </c>
      <c r="D2153" s="3" t="s">
        <v>2180</v>
      </c>
      <c r="I2153" s="19">
        <v>6818</v>
      </c>
      <c r="J2153" s="19" t="s">
        <v>4567</v>
      </c>
    </row>
    <row r="2154" spans="1:10" x14ac:dyDescent="0.2">
      <c r="A2154" s="3">
        <v>7562</v>
      </c>
      <c r="B2154" s="3" t="s">
        <v>2332</v>
      </c>
      <c r="C2154" s="3" t="s">
        <v>2333</v>
      </c>
      <c r="D2154" s="3" t="s">
        <v>2180</v>
      </c>
      <c r="I2154" s="19">
        <v>6821</v>
      </c>
      <c r="J2154" s="19" t="s">
        <v>4567</v>
      </c>
    </row>
    <row r="2155" spans="1:10" x14ac:dyDescent="0.2">
      <c r="A2155" s="3">
        <v>7563</v>
      </c>
      <c r="B2155" s="3" t="s">
        <v>2334</v>
      </c>
      <c r="C2155" s="3" t="s">
        <v>2333</v>
      </c>
      <c r="D2155" s="3" t="s">
        <v>2180</v>
      </c>
      <c r="I2155" s="19">
        <v>6822</v>
      </c>
      <c r="J2155" s="19" t="s">
        <v>4567</v>
      </c>
    </row>
    <row r="2156" spans="1:10" x14ac:dyDescent="0.2">
      <c r="A2156" s="3">
        <v>7545</v>
      </c>
      <c r="B2156" s="3" t="s">
        <v>2335</v>
      </c>
      <c r="C2156" s="3" t="s">
        <v>2336</v>
      </c>
      <c r="D2156" s="3" t="s">
        <v>2180</v>
      </c>
      <c r="I2156" s="19">
        <v>6823</v>
      </c>
      <c r="J2156" s="19" t="s">
        <v>4567</v>
      </c>
    </row>
    <row r="2157" spans="1:10" x14ac:dyDescent="0.2">
      <c r="A2157" s="3">
        <v>7546</v>
      </c>
      <c r="B2157" s="3" t="s">
        <v>2337</v>
      </c>
      <c r="C2157" s="3" t="s">
        <v>2336</v>
      </c>
      <c r="D2157" s="3" t="s">
        <v>2180</v>
      </c>
      <c r="I2157" s="19">
        <v>6825</v>
      </c>
      <c r="J2157" s="19" t="s">
        <v>4567</v>
      </c>
    </row>
    <row r="2158" spans="1:10" x14ac:dyDescent="0.2">
      <c r="A2158" s="3">
        <v>7550</v>
      </c>
      <c r="B2158" s="3" t="s">
        <v>2336</v>
      </c>
      <c r="C2158" s="3" t="s">
        <v>2336</v>
      </c>
      <c r="D2158" s="3" t="s">
        <v>2180</v>
      </c>
      <c r="I2158" s="19">
        <v>6826</v>
      </c>
      <c r="J2158" s="19" t="s">
        <v>4567</v>
      </c>
    </row>
    <row r="2159" spans="1:10" x14ac:dyDescent="0.2">
      <c r="A2159" s="3">
        <v>7551</v>
      </c>
      <c r="B2159" s="3" t="s">
        <v>2338</v>
      </c>
      <c r="C2159" s="3" t="s">
        <v>2336</v>
      </c>
      <c r="D2159" s="3" t="s">
        <v>2180</v>
      </c>
      <c r="I2159" s="19">
        <v>6827</v>
      </c>
      <c r="J2159" s="19" t="s">
        <v>4567</v>
      </c>
    </row>
    <row r="2160" spans="1:10" x14ac:dyDescent="0.2">
      <c r="A2160" s="3">
        <v>7552</v>
      </c>
      <c r="B2160" s="3" t="s">
        <v>2339</v>
      </c>
      <c r="C2160" s="3" t="s">
        <v>2336</v>
      </c>
      <c r="D2160" s="3" t="s">
        <v>2180</v>
      </c>
      <c r="I2160" s="19">
        <v>6828</v>
      </c>
      <c r="J2160" s="19" t="s">
        <v>4567</v>
      </c>
    </row>
    <row r="2161" spans="1:10" x14ac:dyDescent="0.2">
      <c r="A2161" s="3">
        <v>7553</v>
      </c>
      <c r="B2161" s="3" t="s">
        <v>2340</v>
      </c>
      <c r="C2161" s="3" t="s">
        <v>2336</v>
      </c>
      <c r="D2161" s="3" t="s">
        <v>2180</v>
      </c>
      <c r="I2161" s="19">
        <v>6830</v>
      </c>
      <c r="J2161" s="19" t="s">
        <v>4567</v>
      </c>
    </row>
    <row r="2162" spans="1:10" x14ac:dyDescent="0.2">
      <c r="A2162" s="3">
        <v>7554</v>
      </c>
      <c r="B2162" s="3" t="s">
        <v>2341</v>
      </c>
      <c r="C2162" s="3" t="s">
        <v>2336</v>
      </c>
      <c r="D2162" s="3" t="s">
        <v>2180</v>
      </c>
      <c r="I2162" s="19">
        <v>6832</v>
      </c>
      <c r="J2162" s="19" t="s">
        <v>4567</v>
      </c>
    </row>
    <row r="2163" spans="1:10" x14ac:dyDescent="0.2">
      <c r="A2163" s="3">
        <v>7556</v>
      </c>
      <c r="B2163" s="3" t="s">
        <v>2342</v>
      </c>
      <c r="C2163" s="3" t="s">
        <v>2343</v>
      </c>
      <c r="D2163" s="3" t="s">
        <v>2180</v>
      </c>
      <c r="I2163" s="19">
        <v>6833</v>
      </c>
      <c r="J2163" s="19" t="s">
        <v>4567</v>
      </c>
    </row>
    <row r="2164" spans="1:10" x14ac:dyDescent="0.2">
      <c r="A2164" s="3">
        <v>7556</v>
      </c>
      <c r="B2164" s="3" t="s">
        <v>2342</v>
      </c>
      <c r="C2164" s="3" t="s">
        <v>2343</v>
      </c>
      <c r="D2164" s="3" t="s">
        <v>2180</v>
      </c>
      <c r="I2164" s="19">
        <v>6834</v>
      </c>
      <c r="J2164" s="19" t="s">
        <v>4567</v>
      </c>
    </row>
    <row r="2165" spans="1:10" x14ac:dyDescent="0.2">
      <c r="A2165" s="3">
        <v>7557</v>
      </c>
      <c r="B2165" s="3" t="s">
        <v>2344</v>
      </c>
      <c r="C2165" s="3" t="s">
        <v>2343</v>
      </c>
      <c r="D2165" s="3" t="s">
        <v>2180</v>
      </c>
      <c r="I2165" s="19">
        <v>6835</v>
      </c>
      <c r="J2165" s="19" t="s">
        <v>4567</v>
      </c>
    </row>
    <row r="2166" spans="1:10" x14ac:dyDescent="0.2">
      <c r="A2166" s="3">
        <v>7558</v>
      </c>
      <c r="B2166" s="3" t="s">
        <v>2345</v>
      </c>
      <c r="C2166" s="3" t="s">
        <v>2343</v>
      </c>
      <c r="D2166" s="3" t="s">
        <v>2180</v>
      </c>
      <c r="I2166" s="19">
        <v>6837</v>
      </c>
      <c r="J2166" s="19" t="s">
        <v>4567</v>
      </c>
    </row>
    <row r="2167" spans="1:10" x14ac:dyDescent="0.2">
      <c r="A2167" s="3">
        <v>7559</v>
      </c>
      <c r="B2167" s="3" t="s">
        <v>2346</v>
      </c>
      <c r="C2167" s="3" t="s">
        <v>2343</v>
      </c>
      <c r="D2167" s="3" t="s">
        <v>2180</v>
      </c>
      <c r="I2167" s="19">
        <v>6838</v>
      </c>
      <c r="J2167" s="19" t="s">
        <v>4567</v>
      </c>
    </row>
    <row r="2168" spans="1:10" x14ac:dyDescent="0.2">
      <c r="A2168" s="3">
        <v>7560</v>
      </c>
      <c r="B2168" s="3" t="s">
        <v>2347</v>
      </c>
      <c r="C2168" s="3" t="s">
        <v>2343</v>
      </c>
      <c r="D2168" s="3" t="s">
        <v>2180</v>
      </c>
      <c r="I2168" s="19">
        <v>6839</v>
      </c>
      <c r="J2168" s="19" t="s">
        <v>4567</v>
      </c>
    </row>
    <row r="2169" spans="1:10" x14ac:dyDescent="0.2">
      <c r="A2169" s="3">
        <v>7502</v>
      </c>
      <c r="B2169" s="3" t="s">
        <v>2348</v>
      </c>
      <c r="C2169" s="3" t="s">
        <v>2348</v>
      </c>
      <c r="D2169" s="3" t="s">
        <v>2180</v>
      </c>
      <c r="I2169" s="19">
        <v>6850</v>
      </c>
      <c r="J2169" s="19" t="s">
        <v>4567</v>
      </c>
    </row>
    <row r="2170" spans="1:10" x14ac:dyDescent="0.2">
      <c r="A2170" s="3">
        <v>7502</v>
      </c>
      <c r="B2170" s="3" t="s">
        <v>2348</v>
      </c>
      <c r="C2170" s="3" t="s">
        <v>2348</v>
      </c>
      <c r="D2170" s="3" t="s">
        <v>2180</v>
      </c>
      <c r="I2170" s="19">
        <v>6852</v>
      </c>
      <c r="J2170" s="19" t="s">
        <v>4567</v>
      </c>
    </row>
    <row r="2171" spans="1:10" x14ac:dyDescent="0.2">
      <c r="A2171" s="3">
        <v>7505</v>
      </c>
      <c r="B2171" s="3" t="s">
        <v>2349</v>
      </c>
      <c r="C2171" s="3" t="s">
        <v>2349</v>
      </c>
      <c r="D2171" s="3" t="s">
        <v>2180</v>
      </c>
      <c r="I2171" s="19">
        <v>6853</v>
      </c>
      <c r="J2171" s="19" t="s">
        <v>4567</v>
      </c>
    </row>
    <row r="2172" spans="1:10" x14ac:dyDescent="0.2">
      <c r="A2172" s="3">
        <v>7523</v>
      </c>
      <c r="B2172" s="3" t="s">
        <v>2350</v>
      </c>
      <c r="C2172" s="3" t="s">
        <v>2350</v>
      </c>
      <c r="D2172" s="3" t="s">
        <v>2180</v>
      </c>
      <c r="I2172" s="19">
        <v>6854</v>
      </c>
      <c r="J2172" s="19" t="s">
        <v>4567</v>
      </c>
    </row>
    <row r="2173" spans="1:10" x14ac:dyDescent="0.2">
      <c r="A2173" s="3">
        <v>7523</v>
      </c>
      <c r="B2173" s="3" t="s">
        <v>2350</v>
      </c>
      <c r="C2173" s="3" t="s">
        <v>2350</v>
      </c>
      <c r="D2173" s="3" t="s">
        <v>2180</v>
      </c>
      <c r="I2173" s="19">
        <v>6855</v>
      </c>
      <c r="J2173" s="19" t="s">
        <v>4567</v>
      </c>
    </row>
    <row r="2174" spans="1:10" x14ac:dyDescent="0.2">
      <c r="A2174" s="3">
        <v>7504</v>
      </c>
      <c r="B2174" s="3" t="s">
        <v>2351</v>
      </c>
      <c r="C2174" s="3" t="s">
        <v>2351</v>
      </c>
      <c r="D2174" s="3" t="s">
        <v>2180</v>
      </c>
      <c r="I2174" s="19">
        <v>6862</v>
      </c>
      <c r="J2174" s="19" t="s">
        <v>4567</v>
      </c>
    </row>
    <row r="2175" spans="1:10" x14ac:dyDescent="0.2">
      <c r="A2175" s="3">
        <v>7522</v>
      </c>
      <c r="B2175" s="3" t="s">
        <v>2352</v>
      </c>
      <c r="C2175" s="3" t="s">
        <v>2352</v>
      </c>
      <c r="D2175" s="3" t="s">
        <v>2180</v>
      </c>
      <c r="I2175" s="19">
        <v>6863</v>
      </c>
      <c r="J2175" s="19" t="s">
        <v>4567</v>
      </c>
    </row>
    <row r="2176" spans="1:10" x14ac:dyDescent="0.2">
      <c r="A2176" s="3">
        <v>7503</v>
      </c>
      <c r="B2176" s="3" t="s">
        <v>2353</v>
      </c>
      <c r="C2176" s="3" t="s">
        <v>2353</v>
      </c>
      <c r="D2176" s="3" t="s">
        <v>2180</v>
      </c>
      <c r="I2176" s="19">
        <v>6864</v>
      </c>
      <c r="J2176" s="19" t="s">
        <v>4567</v>
      </c>
    </row>
    <row r="2177" spans="1:10" x14ac:dyDescent="0.2">
      <c r="A2177" s="3">
        <v>7500</v>
      </c>
      <c r="B2177" s="3" t="s">
        <v>2354</v>
      </c>
      <c r="C2177" s="3" t="s">
        <v>2354</v>
      </c>
      <c r="D2177" s="3" t="s">
        <v>2180</v>
      </c>
      <c r="I2177" s="19">
        <v>6865</v>
      </c>
      <c r="J2177" s="19" t="s">
        <v>4567</v>
      </c>
    </row>
    <row r="2178" spans="1:10" x14ac:dyDescent="0.2">
      <c r="A2178" s="3">
        <v>7525</v>
      </c>
      <c r="B2178" s="3" t="s">
        <v>2355</v>
      </c>
      <c r="C2178" s="3" t="s">
        <v>2355</v>
      </c>
      <c r="D2178" s="3" t="s">
        <v>2180</v>
      </c>
      <c r="I2178" s="19">
        <v>6866</v>
      </c>
      <c r="J2178" s="19" t="s">
        <v>4567</v>
      </c>
    </row>
    <row r="2179" spans="1:10" x14ac:dyDescent="0.2">
      <c r="A2179" s="3">
        <v>7526</v>
      </c>
      <c r="B2179" s="3" t="s">
        <v>2356</v>
      </c>
      <c r="C2179" s="3" t="s">
        <v>2355</v>
      </c>
      <c r="D2179" s="3" t="s">
        <v>2180</v>
      </c>
      <c r="I2179" s="19">
        <v>6867</v>
      </c>
      <c r="J2179" s="19" t="s">
        <v>4567</v>
      </c>
    </row>
    <row r="2180" spans="1:10" x14ac:dyDescent="0.2">
      <c r="A2180" s="3">
        <v>7526</v>
      </c>
      <c r="B2180" s="3" t="s">
        <v>2357</v>
      </c>
      <c r="C2180" s="3" t="s">
        <v>2355</v>
      </c>
      <c r="D2180" s="3" t="s">
        <v>2180</v>
      </c>
      <c r="I2180" s="19">
        <v>6872</v>
      </c>
      <c r="J2180" s="19" t="s">
        <v>4567</v>
      </c>
    </row>
    <row r="2181" spans="1:10" x14ac:dyDescent="0.2">
      <c r="A2181" s="3">
        <v>7514</v>
      </c>
      <c r="B2181" s="3" t="s">
        <v>2358</v>
      </c>
      <c r="C2181" s="3" t="s">
        <v>2359</v>
      </c>
      <c r="D2181" s="3" t="s">
        <v>2180</v>
      </c>
      <c r="I2181" s="19">
        <v>6873</v>
      </c>
      <c r="J2181" s="19" t="s">
        <v>4567</v>
      </c>
    </row>
    <row r="2182" spans="1:10" x14ac:dyDescent="0.2">
      <c r="A2182" s="3">
        <v>7514</v>
      </c>
      <c r="B2182" s="3" t="s">
        <v>2360</v>
      </c>
      <c r="C2182" s="3" t="s">
        <v>2359</v>
      </c>
      <c r="D2182" s="3" t="s">
        <v>2180</v>
      </c>
      <c r="I2182" s="19">
        <v>6874</v>
      </c>
      <c r="J2182" s="19" t="s">
        <v>4567</v>
      </c>
    </row>
    <row r="2183" spans="1:10" x14ac:dyDescent="0.2">
      <c r="A2183" s="3">
        <v>7515</v>
      </c>
      <c r="B2183" s="3" t="s">
        <v>2361</v>
      </c>
      <c r="C2183" s="3" t="s">
        <v>2359</v>
      </c>
      <c r="D2183" s="3" t="s">
        <v>2180</v>
      </c>
      <c r="I2183" s="19">
        <v>6875</v>
      </c>
      <c r="J2183" s="19" t="s">
        <v>4567</v>
      </c>
    </row>
    <row r="2184" spans="1:10" x14ac:dyDescent="0.2">
      <c r="A2184" s="3">
        <v>7517</v>
      </c>
      <c r="B2184" s="3" t="s">
        <v>2362</v>
      </c>
      <c r="C2184" s="3" t="s">
        <v>2359</v>
      </c>
      <c r="D2184" s="3" t="s">
        <v>2180</v>
      </c>
      <c r="I2184" s="19">
        <v>6877</v>
      </c>
      <c r="J2184" s="19" t="s">
        <v>4567</v>
      </c>
    </row>
    <row r="2185" spans="1:10" x14ac:dyDescent="0.2">
      <c r="A2185" s="3">
        <v>7512</v>
      </c>
      <c r="B2185" s="3" t="s">
        <v>2363</v>
      </c>
      <c r="C2185" s="3" t="s">
        <v>2364</v>
      </c>
      <c r="D2185" s="3" t="s">
        <v>2180</v>
      </c>
      <c r="I2185" s="19">
        <v>6883</v>
      </c>
      <c r="J2185" s="19" t="s">
        <v>4567</v>
      </c>
    </row>
    <row r="2186" spans="1:10" x14ac:dyDescent="0.2">
      <c r="A2186" s="3">
        <v>7513</v>
      </c>
      <c r="B2186" s="3" t="s">
        <v>2364</v>
      </c>
      <c r="C2186" s="3" t="s">
        <v>2364</v>
      </c>
      <c r="D2186" s="3" t="s">
        <v>2180</v>
      </c>
      <c r="I2186" s="19">
        <v>6900</v>
      </c>
      <c r="J2186" s="19" t="s">
        <v>4567</v>
      </c>
    </row>
    <row r="2187" spans="1:10" x14ac:dyDescent="0.2">
      <c r="A2187" s="3">
        <v>7513</v>
      </c>
      <c r="B2187" s="3" t="s">
        <v>2365</v>
      </c>
      <c r="C2187" s="3" t="s">
        <v>2364</v>
      </c>
      <c r="D2187" s="3" t="s">
        <v>2180</v>
      </c>
      <c r="I2187" s="19">
        <v>6912</v>
      </c>
      <c r="J2187" s="19" t="s">
        <v>4567</v>
      </c>
    </row>
    <row r="2188" spans="1:10" x14ac:dyDescent="0.2">
      <c r="A2188" s="3">
        <v>7524</v>
      </c>
      <c r="B2188" s="3" t="s">
        <v>2366</v>
      </c>
      <c r="C2188" s="3" t="s">
        <v>2366</v>
      </c>
      <c r="D2188" s="3" t="s">
        <v>2180</v>
      </c>
      <c r="I2188" s="19">
        <v>6913</v>
      </c>
      <c r="J2188" s="19" t="s">
        <v>4567</v>
      </c>
    </row>
    <row r="2189" spans="1:10" x14ac:dyDescent="0.2">
      <c r="A2189" s="3">
        <v>7524</v>
      </c>
      <c r="B2189" s="3" t="s">
        <v>2366</v>
      </c>
      <c r="C2189" s="3" t="s">
        <v>2366</v>
      </c>
      <c r="D2189" s="3" t="s">
        <v>2180</v>
      </c>
      <c r="I2189" s="19">
        <v>6914</v>
      </c>
      <c r="J2189" s="19" t="s">
        <v>4567</v>
      </c>
    </row>
    <row r="2190" spans="1:10" x14ac:dyDescent="0.2">
      <c r="A2190" s="3">
        <v>7516</v>
      </c>
      <c r="B2190" s="3" t="s">
        <v>2367</v>
      </c>
      <c r="C2190" s="3" t="s">
        <v>2368</v>
      </c>
      <c r="D2190" s="3" t="s">
        <v>2180</v>
      </c>
      <c r="I2190" s="19">
        <v>6915</v>
      </c>
      <c r="J2190" s="19" t="s">
        <v>4567</v>
      </c>
    </row>
    <row r="2191" spans="1:10" x14ac:dyDescent="0.2">
      <c r="A2191" s="3">
        <v>7602</v>
      </c>
      <c r="B2191" s="3" t="s">
        <v>2369</v>
      </c>
      <c r="C2191" s="3" t="s">
        <v>2368</v>
      </c>
      <c r="D2191" s="3" t="s">
        <v>2180</v>
      </c>
      <c r="I2191" s="19">
        <v>6916</v>
      </c>
      <c r="J2191" s="19" t="s">
        <v>4567</v>
      </c>
    </row>
    <row r="2192" spans="1:10" x14ac:dyDescent="0.2">
      <c r="A2192" s="3">
        <v>7603</v>
      </c>
      <c r="B2192" s="3" t="s">
        <v>2370</v>
      </c>
      <c r="C2192" s="3" t="s">
        <v>2368</v>
      </c>
      <c r="D2192" s="3" t="s">
        <v>2180</v>
      </c>
      <c r="I2192" s="19">
        <v>6917</v>
      </c>
      <c r="J2192" s="19" t="s">
        <v>4567</v>
      </c>
    </row>
    <row r="2193" spans="1:10" x14ac:dyDescent="0.2">
      <c r="A2193" s="3">
        <v>7604</v>
      </c>
      <c r="B2193" s="3" t="s">
        <v>2371</v>
      </c>
      <c r="C2193" s="3" t="s">
        <v>2368</v>
      </c>
      <c r="D2193" s="3" t="s">
        <v>2180</v>
      </c>
      <c r="I2193" s="19">
        <v>6918</v>
      </c>
      <c r="J2193" s="19" t="s">
        <v>4567</v>
      </c>
    </row>
    <row r="2194" spans="1:10" x14ac:dyDescent="0.2">
      <c r="A2194" s="3">
        <v>7605</v>
      </c>
      <c r="B2194" s="3" t="s">
        <v>2372</v>
      </c>
      <c r="C2194" s="3" t="s">
        <v>2368</v>
      </c>
      <c r="D2194" s="3" t="s">
        <v>2180</v>
      </c>
      <c r="I2194" s="19">
        <v>6919</v>
      </c>
      <c r="J2194" s="19" t="s">
        <v>4567</v>
      </c>
    </row>
    <row r="2195" spans="1:10" x14ac:dyDescent="0.2">
      <c r="A2195" s="3">
        <v>7606</v>
      </c>
      <c r="B2195" s="3" t="s">
        <v>2373</v>
      </c>
      <c r="C2195" s="3" t="s">
        <v>2368</v>
      </c>
      <c r="D2195" s="3" t="s">
        <v>2180</v>
      </c>
      <c r="I2195" s="19">
        <v>6921</v>
      </c>
      <c r="J2195" s="19" t="s">
        <v>4567</v>
      </c>
    </row>
    <row r="2196" spans="1:10" x14ac:dyDescent="0.2">
      <c r="A2196" s="3">
        <v>7606</v>
      </c>
      <c r="B2196" s="3" t="s">
        <v>2374</v>
      </c>
      <c r="C2196" s="3" t="s">
        <v>2368</v>
      </c>
      <c r="D2196" s="3" t="s">
        <v>2180</v>
      </c>
      <c r="I2196" s="19">
        <v>6922</v>
      </c>
      <c r="J2196" s="19" t="s">
        <v>4567</v>
      </c>
    </row>
    <row r="2197" spans="1:10" x14ac:dyDescent="0.2">
      <c r="A2197" s="3">
        <v>7608</v>
      </c>
      <c r="B2197" s="3" t="s">
        <v>2375</v>
      </c>
      <c r="C2197" s="3" t="s">
        <v>2368</v>
      </c>
      <c r="D2197" s="3" t="s">
        <v>2180</v>
      </c>
      <c r="I2197" s="19">
        <v>6924</v>
      </c>
      <c r="J2197" s="19" t="s">
        <v>4567</v>
      </c>
    </row>
    <row r="2198" spans="1:10" x14ac:dyDescent="0.2">
      <c r="A2198" s="3">
        <v>7610</v>
      </c>
      <c r="B2198" s="3" t="s">
        <v>2376</v>
      </c>
      <c r="C2198" s="3" t="s">
        <v>2368</v>
      </c>
      <c r="D2198" s="3" t="s">
        <v>2180</v>
      </c>
      <c r="I2198" s="19">
        <v>6925</v>
      </c>
      <c r="J2198" s="19" t="s">
        <v>4567</v>
      </c>
    </row>
    <row r="2199" spans="1:10" x14ac:dyDescent="0.2">
      <c r="A2199" s="3">
        <v>6542</v>
      </c>
      <c r="B2199" s="3" t="s">
        <v>2377</v>
      </c>
      <c r="C2199" s="3" t="s">
        <v>2377</v>
      </c>
      <c r="D2199" s="3" t="s">
        <v>2180</v>
      </c>
      <c r="I2199" s="19">
        <v>6926</v>
      </c>
      <c r="J2199" s="19" t="s">
        <v>4567</v>
      </c>
    </row>
    <row r="2200" spans="1:10" x14ac:dyDescent="0.2">
      <c r="A2200" s="3">
        <v>6540</v>
      </c>
      <c r="B2200" s="3" t="s">
        <v>2378</v>
      </c>
      <c r="C2200" s="3" t="s">
        <v>2378</v>
      </c>
      <c r="D2200" s="3" t="s">
        <v>2180</v>
      </c>
      <c r="I2200" s="19">
        <v>6927</v>
      </c>
      <c r="J2200" s="19" t="s">
        <v>4567</v>
      </c>
    </row>
    <row r="2201" spans="1:10" x14ac:dyDescent="0.2">
      <c r="A2201" s="3">
        <v>6548</v>
      </c>
      <c r="B2201" s="3" t="s">
        <v>2379</v>
      </c>
      <c r="C2201" s="3" t="s">
        <v>2379</v>
      </c>
      <c r="D2201" s="3" t="s">
        <v>2180</v>
      </c>
      <c r="I2201" s="19">
        <v>6928</v>
      </c>
      <c r="J2201" s="19" t="s">
        <v>4567</v>
      </c>
    </row>
    <row r="2202" spans="1:10" x14ac:dyDescent="0.2">
      <c r="A2202" s="3">
        <v>6548</v>
      </c>
      <c r="B2202" s="3" t="s">
        <v>2380</v>
      </c>
      <c r="C2202" s="3" t="s">
        <v>2379</v>
      </c>
      <c r="D2202" s="3" t="s">
        <v>2180</v>
      </c>
      <c r="I2202" s="19">
        <v>6929</v>
      </c>
      <c r="J2202" s="19" t="s">
        <v>4567</v>
      </c>
    </row>
    <row r="2203" spans="1:10" x14ac:dyDescent="0.2">
      <c r="A2203" s="3">
        <v>6548</v>
      </c>
      <c r="B2203" s="3" t="s">
        <v>2381</v>
      </c>
      <c r="C2203" s="3" t="s">
        <v>2379</v>
      </c>
      <c r="D2203" s="3" t="s">
        <v>2180</v>
      </c>
      <c r="I2203" s="19">
        <v>6930</v>
      </c>
      <c r="J2203" s="19" t="s">
        <v>4567</v>
      </c>
    </row>
    <row r="2204" spans="1:10" x14ac:dyDescent="0.2">
      <c r="A2204" s="3">
        <v>6541</v>
      </c>
      <c r="B2204" s="3" t="s">
        <v>2382</v>
      </c>
      <c r="C2204" s="3" t="s">
        <v>2383</v>
      </c>
      <c r="D2204" s="3" t="s">
        <v>2180</v>
      </c>
      <c r="I2204" s="19">
        <v>6932</v>
      </c>
      <c r="J2204" s="19" t="s">
        <v>4567</v>
      </c>
    </row>
    <row r="2205" spans="1:10" x14ac:dyDescent="0.2">
      <c r="A2205" s="3">
        <v>6558</v>
      </c>
      <c r="B2205" s="3" t="s">
        <v>2384</v>
      </c>
      <c r="C2205" s="3" t="s">
        <v>2384</v>
      </c>
      <c r="D2205" s="3" t="s">
        <v>2180</v>
      </c>
      <c r="I2205" s="19">
        <v>6933</v>
      </c>
      <c r="J2205" s="19" t="s">
        <v>4567</v>
      </c>
    </row>
    <row r="2206" spans="1:10" x14ac:dyDescent="0.2">
      <c r="A2206" s="3">
        <v>6563</v>
      </c>
      <c r="B2206" s="3" t="s">
        <v>2385</v>
      </c>
      <c r="C2206" s="3" t="s">
        <v>2385</v>
      </c>
      <c r="D2206" s="3" t="s">
        <v>2180</v>
      </c>
      <c r="I2206" s="19">
        <v>6934</v>
      </c>
      <c r="J2206" s="19" t="s">
        <v>4567</v>
      </c>
    </row>
    <row r="2207" spans="1:10" x14ac:dyDescent="0.2">
      <c r="A2207" s="3">
        <v>6565</v>
      </c>
      <c r="B2207" s="3" t="s">
        <v>2386</v>
      </c>
      <c r="C2207" s="3" t="s">
        <v>2385</v>
      </c>
      <c r="D2207" s="3" t="s">
        <v>2180</v>
      </c>
      <c r="I2207" s="19">
        <v>6935</v>
      </c>
      <c r="J2207" s="19" t="s">
        <v>4567</v>
      </c>
    </row>
    <row r="2208" spans="1:10" x14ac:dyDescent="0.2">
      <c r="A2208" s="3">
        <v>6562</v>
      </c>
      <c r="B2208" s="3" t="s">
        <v>2387</v>
      </c>
      <c r="C2208" s="3" t="s">
        <v>2387</v>
      </c>
      <c r="D2208" s="3" t="s">
        <v>2180</v>
      </c>
      <c r="I2208" s="19">
        <v>6936</v>
      </c>
      <c r="J2208" s="19" t="s">
        <v>4567</v>
      </c>
    </row>
    <row r="2209" spans="1:10" x14ac:dyDescent="0.2">
      <c r="A2209" s="3">
        <v>6557</v>
      </c>
      <c r="B2209" s="3" t="s">
        <v>2388</v>
      </c>
      <c r="C2209" s="3" t="s">
        <v>2388</v>
      </c>
      <c r="D2209" s="3" t="s">
        <v>2180</v>
      </c>
      <c r="I2209" s="19">
        <v>6937</v>
      </c>
      <c r="J2209" s="19" t="s">
        <v>4567</v>
      </c>
    </row>
    <row r="2210" spans="1:10" x14ac:dyDescent="0.2">
      <c r="A2210" s="3">
        <v>6537</v>
      </c>
      <c r="B2210" s="3" t="s">
        <v>2389</v>
      </c>
      <c r="C2210" s="3" t="s">
        <v>2389</v>
      </c>
      <c r="D2210" s="3" t="s">
        <v>2180</v>
      </c>
      <c r="I2210" s="19">
        <v>6938</v>
      </c>
      <c r="J2210" s="19" t="s">
        <v>4567</v>
      </c>
    </row>
    <row r="2211" spans="1:10" x14ac:dyDescent="0.2">
      <c r="A2211" s="3">
        <v>6538</v>
      </c>
      <c r="B2211" s="3" t="s">
        <v>2390</v>
      </c>
      <c r="C2211" s="3" t="s">
        <v>2389</v>
      </c>
      <c r="D2211" s="3" t="s">
        <v>2180</v>
      </c>
      <c r="I2211" s="19">
        <v>6939</v>
      </c>
      <c r="J2211" s="19" t="s">
        <v>4563</v>
      </c>
    </row>
    <row r="2212" spans="1:10" x14ac:dyDescent="0.2">
      <c r="A2212" s="3">
        <v>6538</v>
      </c>
      <c r="B2212" s="3" t="s">
        <v>2390</v>
      </c>
      <c r="C2212" s="3" t="s">
        <v>2389</v>
      </c>
      <c r="D2212" s="3" t="s">
        <v>2180</v>
      </c>
      <c r="I2212" s="19">
        <v>6942</v>
      </c>
      <c r="J2212" s="19" t="s">
        <v>4567</v>
      </c>
    </row>
    <row r="2213" spans="1:10" x14ac:dyDescent="0.2">
      <c r="A2213" s="3">
        <v>6556</v>
      </c>
      <c r="B2213" s="3" t="s">
        <v>2391</v>
      </c>
      <c r="C2213" s="3" t="s">
        <v>2389</v>
      </c>
      <c r="D2213" s="3" t="s">
        <v>2180</v>
      </c>
      <c r="I2213" s="19">
        <v>6943</v>
      </c>
      <c r="J2213" s="19" t="s">
        <v>4567</v>
      </c>
    </row>
    <row r="2214" spans="1:10" x14ac:dyDescent="0.2">
      <c r="A2214" s="3">
        <v>6535</v>
      </c>
      <c r="B2214" s="3" t="s">
        <v>2392</v>
      </c>
      <c r="C2214" s="3" t="s">
        <v>2393</v>
      </c>
      <c r="D2214" s="3" t="s">
        <v>2180</v>
      </c>
      <c r="I2214" s="19">
        <v>6944</v>
      </c>
      <c r="J2214" s="19" t="s">
        <v>4567</v>
      </c>
    </row>
    <row r="2215" spans="1:10" x14ac:dyDescent="0.2">
      <c r="A2215" s="3">
        <v>6549</v>
      </c>
      <c r="B2215" s="3" t="s">
        <v>2394</v>
      </c>
      <c r="C2215" s="3" t="s">
        <v>2393</v>
      </c>
      <c r="D2215" s="3" t="s">
        <v>2180</v>
      </c>
      <c r="I2215" s="19">
        <v>6945</v>
      </c>
      <c r="J2215" s="19" t="s">
        <v>4567</v>
      </c>
    </row>
    <row r="2216" spans="1:10" x14ac:dyDescent="0.2">
      <c r="A2216" s="3">
        <v>6534</v>
      </c>
      <c r="B2216" s="3" t="s">
        <v>2395</v>
      </c>
      <c r="C2216" s="3" t="s">
        <v>2396</v>
      </c>
      <c r="D2216" s="3" t="s">
        <v>2180</v>
      </c>
      <c r="I2216" s="19">
        <v>6946</v>
      </c>
      <c r="J2216" s="19" t="s">
        <v>4567</v>
      </c>
    </row>
    <row r="2217" spans="1:10" x14ac:dyDescent="0.2">
      <c r="A2217" s="3">
        <v>6534</v>
      </c>
      <c r="B2217" s="3" t="s">
        <v>2395</v>
      </c>
      <c r="C2217" s="3" t="s">
        <v>2396</v>
      </c>
      <c r="D2217" s="3" t="s">
        <v>2180</v>
      </c>
      <c r="I2217" s="19">
        <v>6947</v>
      </c>
      <c r="J2217" s="19" t="s">
        <v>4567</v>
      </c>
    </row>
    <row r="2218" spans="1:10" x14ac:dyDescent="0.2">
      <c r="A2218" s="3">
        <v>6543</v>
      </c>
      <c r="B2218" s="3" t="s">
        <v>2397</v>
      </c>
      <c r="C2218" s="3" t="s">
        <v>2398</v>
      </c>
      <c r="D2218" s="3" t="s">
        <v>2180</v>
      </c>
      <c r="I2218" s="19">
        <v>6948</v>
      </c>
      <c r="J2218" s="19" t="s">
        <v>4567</v>
      </c>
    </row>
    <row r="2219" spans="1:10" x14ac:dyDescent="0.2">
      <c r="A2219" s="3">
        <v>6544</v>
      </c>
      <c r="B2219" s="3" t="s">
        <v>2399</v>
      </c>
      <c r="C2219" s="3" t="s">
        <v>2398</v>
      </c>
      <c r="D2219" s="3" t="s">
        <v>2180</v>
      </c>
      <c r="I2219" s="19">
        <v>6949</v>
      </c>
      <c r="J2219" s="19" t="s">
        <v>4567</v>
      </c>
    </row>
    <row r="2220" spans="1:10" x14ac:dyDescent="0.2">
      <c r="A2220" s="3">
        <v>6545</v>
      </c>
      <c r="B2220" s="3" t="s">
        <v>2400</v>
      </c>
      <c r="C2220" s="3" t="s">
        <v>2398</v>
      </c>
      <c r="D2220" s="3" t="s">
        <v>2180</v>
      </c>
      <c r="I2220" s="19">
        <v>6950</v>
      </c>
      <c r="J2220" s="19" t="s">
        <v>4567</v>
      </c>
    </row>
    <row r="2221" spans="1:10" x14ac:dyDescent="0.2">
      <c r="A2221" s="3">
        <v>6546</v>
      </c>
      <c r="B2221" s="3" t="s">
        <v>2401</v>
      </c>
      <c r="C2221" s="3" t="s">
        <v>2398</v>
      </c>
      <c r="D2221" s="3" t="s">
        <v>2180</v>
      </c>
      <c r="I2221" s="19">
        <v>6951</v>
      </c>
      <c r="J2221" s="19" t="s">
        <v>4563</v>
      </c>
    </row>
    <row r="2222" spans="1:10" x14ac:dyDescent="0.2">
      <c r="A2222" s="3">
        <v>7532</v>
      </c>
      <c r="B2222" s="3" t="s">
        <v>2402</v>
      </c>
      <c r="C2222" s="3" t="s">
        <v>2403</v>
      </c>
      <c r="D2222" s="3" t="s">
        <v>2180</v>
      </c>
      <c r="I2222" s="19">
        <v>6952</v>
      </c>
      <c r="J2222" s="19" t="s">
        <v>4567</v>
      </c>
    </row>
    <row r="2223" spans="1:10" x14ac:dyDescent="0.2">
      <c r="A2223" s="3">
        <v>7533</v>
      </c>
      <c r="B2223" s="3" t="s">
        <v>2404</v>
      </c>
      <c r="C2223" s="3" t="s">
        <v>2403</v>
      </c>
      <c r="D2223" s="3" t="s">
        <v>2180</v>
      </c>
      <c r="I2223" s="19">
        <v>6953</v>
      </c>
      <c r="J2223" s="19" t="s">
        <v>4567</v>
      </c>
    </row>
    <row r="2224" spans="1:10" x14ac:dyDescent="0.2">
      <c r="A2224" s="3">
        <v>7534</v>
      </c>
      <c r="B2224" s="3" t="s">
        <v>2405</v>
      </c>
      <c r="C2224" s="3" t="s">
        <v>2403</v>
      </c>
      <c r="D2224" s="3" t="s">
        <v>2180</v>
      </c>
      <c r="I2224" s="19">
        <v>6954</v>
      </c>
      <c r="J2224" s="19" t="s">
        <v>4567</v>
      </c>
    </row>
    <row r="2225" spans="1:10" x14ac:dyDescent="0.2">
      <c r="A2225" s="3">
        <v>7535</v>
      </c>
      <c r="B2225" s="3" t="s">
        <v>2406</v>
      </c>
      <c r="C2225" s="3" t="s">
        <v>2403</v>
      </c>
      <c r="D2225" s="3" t="s">
        <v>2180</v>
      </c>
      <c r="I2225" s="19">
        <v>6955</v>
      </c>
      <c r="J2225" s="19" t="s">
        <v>4567</v>
      </c>
    </row>
    <row r="2226" spans="1:10" x14ac:dyDescent="0.2">
      <c r="A2226" s="3">
        <v>7536</v>
      </c>
      <c r="B2226" s="3" t="s">
        <v>2407</v>
      </c>
      <c r="C2226" s="3" t="s">
        <v>2403</v>
      </c>
      <c r="D2226" s="3" t="s">
        <v>2180</v>
      </c>
      <c r="I2226" s="19">
        <v>6956</v>
      </c>
      <c r="J2226" s="19" t="s">
        <v>4563</v>
      </c>
    </row>
    <row r="2227" spans="1:10" x14ac:dyDescent="0.2">
      <c r="A2227" s="3">
        <v>7537</v>
      </c>
      <c r="B2227" s="3" t="s">
        <v>2408</v>
      </c>
      <c r="C2227" s="3" t="s">
        <v>2403</v>
      </c>
      <c r="D2227" s="3" t="s">
        <v>2180</v>
      </c>
      <c r="I2227" s="19">
        <v>6957</v>
      </c>
      <c r="J2227" s="19" t="s">
        <v>4563</v>
      </c>
    </row>
    <row r="2228" spans="1:10" x14ac:dyDescent="0.2">
      <c r="A2228" s="3">
        <v>7260</v>
      </c>
      <c r="B2228" s="3" t="s">
        <v>2409</v>
      </c>
      <c r="C2228" s="3" t="s">
        <v>2410</v>
      </c>
      <c r="D2228" s="3" t="s">
        <v>2180</v>
      </c>
      <c r="I2228" s="19">
        <v>6958</v>
      </c>
      <c r="J2228" s="19" t="s">
        <v>4563</v>
      </c>
    </row>
    <row r="2229" spans="1:10" x14ac:dyDescent="0.2">
      <c r="A2229" s="3">
        <v>7265</v>
      </c>
      <c r="B2229" s="3" t="s">
        <v>2411</v>
      </c>
      <c r="C2229" s="3" t="s">
        <v>2410</v>
      </c>
      <c r="D2229" s="3" t="s">
        <v>2180</v>
      </c>
      <c r="I2229" s="19">
        <v>6959</v>
      </c>
      <c r="J2229" s="19" t="s">
        <v>4563</v>
      </c>
    </row>
    <row r="2230" spans="1:10" x14ac:dyDescent="0.2">
      <c r="A2230" s="3">
        <v>7270</v>
      </c>
      <c r="B2230" s="3" t="s">
        <v>2412</v>
      </c>
      <c r="C2230" s="3" t="s">
        <v>2410</v>
      </c>
      <c r="D2230" s="3" t="s">
        <v>2180</v>
      </c>
      <c r="I2230" s="19">
        <v>6960</v>
      </c>
      <c r="J2230" s="19" t="s">
        <v>4563</v>
      </c>
    </row>
    <row r="2231" spans="1:10" x14ac:dyDescent="0.2">
      <c r="A2231" s="3">
        <v>7272</v>
      </c>
      <c r="B2231" s="3" t="s">
        <v>2413</v>
      </c>
      <c r="C2231" s="3" t="s">
        <v>2410</v>
      </c>
      <c r="D2231" s="3" t="s">
        <v>2180</v>
      </c>
      <c r="I2231" s="19">
        <v>6962</v>
      </c>
      <c r="J2231" s="19" t="s">
        <v>4567</v>
      </c>
    </row>
    <row r="2232" spans="1:10" x14ac:dyDescent="0.2">
      <c r="A2232" s="3">
        <v>7276</v>
      </c>
      <c r="B2232" s="3" t="s">
        <v>2414</v>
      </c>
      <c r="C2232" s="3" t="s">
        <v>2410</v>
      </c>
      <c r="D2232" s="3" t="s">
        <v>2180</v>
      </c>
      <c r="I2232" s="19">
        <v>6963</v>
      </c>
      <c r="J2232" s="19" t="s">
        <v>4567</v>
      </c>
    </row>
    <row r="2233" spans="1:10" x14ac:dyDescent="0.2">
      <c r="A2233" s="3">
        <v>7277</v>
      </c>
      <c r="B2233" s="3" t="s">
        <v>2415</v>
      </c>
      <c r="C2233" s="3" t="s">
        <v>2410</v>
      </c>
      <c r="D2233" s="3" t="s">
        <v>2180</v>
      </c>
      <c r="I2233" s="19">
        <v>6964</v>
      </c>
      <c r="J2233" s="19" t="s">
        <v>4567</v>
      </c>
    </row>
    <row r="2234" spans="1:10" x14ac:dyDescent="0.2">
      <c r="A2234" s="3">
        <v>7278</v>
      </c>
      <c r="B2234" s="3" t="s">
        <v>2416</v>
      </c>
      <c r="C2234" s="3" t="s">
        <v>2410</v>
      </c>
      <c r="D2234" s="3" t="s">
        <v>2180</v>
      </c>
      <c r="I2234" s="19">
        <v>6965</v>
      </c>
      <c r="J2234" s="19" t="s">
        <v>4567</v>
      </c>
    </row>
    <row r="2235" spans="1:10" x14ac:dyDescent="0.2">
      <c r="A2235" s="3">
        <v>7494</v>
      </c>
      <c r="B2235" s="3" t="s">
        <v>2417</v>
      </c>
      <c r="C2235" s="3" t="s">
        <v>2410</v>
      </c>
      <c r="D2235" s="3" t="s">
        <v>2180</v>
      </c>
      <c r="I2235" s="19">
        <v>6966</v>
      </c>
      <c r="J2235" s="19" t="s">
        <v>4567</v>
      </c>
    </row>
    <row r="2236" spans="1:10" x14ac:dyDescent="0.2">
      <c r="A2236" s="3">
        <v>7235</v>
      </c>
      <c r="B2236" s="3" t="s">
        <v>2418</v>
      </c>
      <c r="C2236" s="3" t="s">
        <v>2418</v>
      </c>
      <c r="D2236" s="3" t="s">
        <v>2180</v>
      </c>
      <c r="I2236" s="19">
        <v>6967</v>
      </c>
      <c r="J2236" s="19" t="s">
        <v>4567</v>
      </c>
    </row>
    <row r="2237" spans="1:10" x14ac:dyDescent="0.2">
      <c r="A2237" s="3">
        <v>7232</v>
      </c>
      <c r="B2237" s="3" t="s">
        <v>2419</v>
      </c>
      <c r="C2237" s="3" t="s">
        <v>2419</v>
      </c>
      <c r="D2237" s="3" t="s">
        <v>2180</v>
      </c>
      <c r="I2237" s="19">
        <v>6968</v>
      </c>
      <c r="J2237" s="19" t="s">
        <v>4563</v>
      </c>
    </row>
    <row r="2238" spans="1:10" x14ac:dyDescent="0.2">
      <c r="A2238" s="3">
        <v>7231</v>
      </c>
      <c r="B2238" s="3" t="s">
        <v>2420</v>
      </c>
      <c r="C2238" s="3" t="s">
        <v>2421</v>
      </c>
      <c r="D2238" s="3" t="s">
        <v>2180</v>
      </c>
      <c r="I2238" s="19">
        <v>6974</v>
      </c>
      <c r="J2238" s="19" t="s">
        <v>4567</v>
      </c>
    </row>
    <row r="2239" spans="1:10" x14ac:dyDescent="0.2">
      <c r="A2239" s="3">
        <v>7233</v>
      </c>
      <c r="B2239" s="3" t="s">
        <v>2421</v>
      </c>
      <c r="C2239" s="3" t="s">
        <v>2421</v>
      </c>
      <c r="D2239" s="3" t="s">
        <v>2180</v>
      </c>
      <c r="I2239" s="19">
        <v>6976</v>
      </c>
      <c r="J2239" s="19" t="s">
        <v>4567</v>
      </c>
    </row>
    <row r="2240" spans="1:10" x14ac:dyDescent="0.2">
      <c r="A2240" s="3">
        <v>7247</v>
      </c>
      <c r="B2240" s="3" t="s">
        <v>2422</v>
      </c>
      <c r="C2240" s="3" t="s">
        <v>2423</v>
      </c>
      <c r="D2240" s="3" t="s">
        <v>2180</v>
      </c>
      <c r="I2240" s="19">
        <v>6977</v>
      </c>
      <c r="J2240" s="19" t="s">
        <v>4567</v>
      </c>
    </row>
    <row r="2241" spans="1:10" x14ac:dyDescent="0.2">
      <c r="A2241" s="3">
        <v>7249</v>
      </c>
      <c r="B2241" s="3" t="s">
        <v>2424</v>
      </c>
      <c r="C2241" s="3" t="s">
        <v>2423</v>
      </c>
      <c r="D2241" s="3" t="s">
        <v>2180</v>
      </c>
      <c r="I2241" s="19">
        <v>6978</v>
      </c>
      <c r="J2241" s="19" t="s">
        <v>4567</v>
      </c>
    </row>
    <row r="2242" spans="1:10" x14ac:dyDescent="0.2">
      <c r="A2242" s="3">
        <v>7250</v>
      </c>
      <c r="B2242" s="3" t="s">
        <v>2423</v>
      </c>
      <c r="C2242" s="3" t="s">
        <v>2423</v>
      </c>
      <c r="D2242" s="3" t="s">
        <v>2180</v>
      </c>
      <c r="I2242" s="19">
        <v>6979</v>
      </c>
      <c r="J2242" s="19" t="s">
        <v>4567</v>
      </c>
    </row>
    <row r="2243" spans="1:10" x14ac:dyDescent="0.2">
      <c r="A2243" s="3">
        <v>7252</v>
      </c>
      <c r="B2243" s="3" t="s">
        <v>2425</v>
      </c>
      <c r="C2243" s="3" t="s">
        <v>2423</v>
      </c>
      <c r="D2243" s="3" t="s">
        <v>2180</v>
      </c>
      <c r="I2243" s="19">
        <v>6980</v>
      </c>
      <c r="J2243" s="19" t="s">
        <v>4567</v>
      </c>
    </row>
    <row r="2244" spans="1:10" x14ac:dyDescent="0.2">
      <c r="A2244" s="3">
        <v>7241</v>
      </c>
      <c r="B2244" s="3" t="s">
        <v>2426</v>
      </c>
      <c r="C2244" s="3" t="s">
        <v>2426</v>
      </c>
      <c r="D2244" s="3" t="s">
        <v>2180</v>
      </c>
      <c r="I2244" s="19">
        <v>6981</v>
      </c>
      <c r="J2244" s="19" t="s">
        <v>4567</v>
      </c>
    </row>
    <row r="2245" spans="1:10" x14ac:dyDescent="0.2">
      <c r="A2245" s="3">
        <v>7240</v>
      </c>
      <c r="B2245" s="3" t="s">
        <v>2427</v>
      </c>
      <c r="C2245" s="3" t="s">
        <v>2427</v>
      </c>
      <c r="D2245" s="3" t="s">
        <v>2180</v>
      </c>
      <c r="I2245" s="19">
        <v>6982</v>
      </c>
      <c r="J2245" s="19" t="s">
        <v>4567</v>
      </c>
    </row>
    <row r="2246" spans="1:10" x14ac:dyDescent="0.2">
      <c r="A2246" s="3">
        <v>7223</v>
      </c>
      <c r="B2246" s="3" t="s">
        <v>2428</v>
      </c>
      <c r="C2246" s="3" t="s">
        <v>2429</v>
      </c>
      <c r="D2246" s="3" t="s">
        <v>2180</v>
      </c>
      <c r="I2246" s="19">
        <v>6983</v>
      </c>
      <c r="J2246" s="19" t="s">
        <v>4567</v>
      </c>
    </row>
    <row r="2247" spans="1:10" x14ac:dyDescent="0.2">
      <c r="A2247" s="3">
        <v>7224</v>
      </c>
      <c r="B2247" s="3" t="s">
        <v>2430</v>
      </c>
      <c r="C2247" s="3" t="s">
        <v>2429</v>
      </c>
      <c r="D2247" s="3" t="s">
        <v>2180</v>
      </c>
      <c r="I2247" s="19">
        <v>6984</v>
      </c>
      <c r="J2247" s="19" t="s">
        <v>4567</v>
      </c>
    </row>
    <row r="2248" spans="1:10" x14ac:dyDescent="0.2">
      <c r="A2248" s="3">
        <v>7242</v>
      </c>
      <c r="B2248" s="3" t="s">
        <v>2429</v>
      </c>
      <c r="C2248" s="3" t="s">
        <v>2429</v>
      </c>
      <c r="D2248" s="3" t="s">
        <v>2180</v>
      </c>
      <c r="I2248" s="19">
        <v>6986</v>
      </c>
      <c r="J2248" s="19" t="s">
        <v>4567</v>
      </c>
    </row>
    <row r="2249" spans="1:10" x14ac:dyDescent="0.2">
      <c r="A2249" s="3">
        <v>7243</v>
      </c>
      <c r="B2249" s="3" t="s">
        <v>2431</v>
      </c>
      <c r="C2249" s="3" t="s">
        <v>2429</v>
      </c>
      <c r="D2249" s="3" t="s">
        <v>2180</v>
      </c>
      <c r="I2249" s="19">
        <v>6987</v>
      </c>
      <c r="J2249" s="19" t="s">
        <v>4567</v>
      </c>
    </row>
    <row r="2250" spans="1:10" x14ac:dyDescent="0.2">
      <c r="A2250" s="3">
        <v>7244</v>
      </c>
      <c r="B2250" s="3" t="s">
        <v>2432</v>
      </c>
      <c r="C2250" s="3" t="s">
        <v>2429</v>
      </c>
      <c r="D2250" s="3" t="s">
        <v>2180</v>
      </c>
      <c r="I2250" s="19">
        <v>6988</v>
      </c>
      <c r="J2250" s="19" t="s">
        <v>4567</v>
      </c>
    </row>
    <row r="2251" spans="1:10" x14ac:dyDescent="0.2">
      <c r="A2251" s="3">
        <v>7245</v>
      </c>
      <c r="B2251" s="3" t="s">
        <v>2433</v>
      </c>
      <c r="C2251" s="3" t="s">
        <v>2429</v>
      </c>
      <c r="D2251" s="3" t="s">
        <v>2180</v>
      </c>
      <c r="I2251" s="19">
        <v>6989</v>
      </c>
      <c r="J2251" s="19" t="s">
        <v>4567</v>
      </c>
    </row>
    <row r="2252" spans="1:10" x14ac:dyDescent="0.2">
      <c r="A2252" s="3">
        <v>7246</v>
      </c>
      <c r="B2252" s="3" t="s">
        <v>2434</v>
      </c>
      <c r="C2252" s="3" t="s">
        <v>2429</v>
      </c>
      <c r="D2252" s="3" t="s">
        <v>2180</v>
      </c>
      <c r="I2252" s="19">
        <v>6990</v>
      </c>
      <c r="J2252" s="19" t="s">
        <v>4567</v>
      </c>
    </row>
    <row r="2253" spans="1:10" x14ac:dyDescent="0.2">
      <c r="A2253" s="3">
        <v>7000</v>
      </c>
      <c r="B2253" s="3" t="s">
        <v>2435</v>
      </c>
      <c r="C2253" s="3" t="s">
        <v>2435</v>
      </c>
      <c r="D2253" s="3" t="s">
        <v>2180</v>
      </c>
      <c r="I2253" s="19">
        <v>6991</v>
      </c>
      <c r="J2253" s="19" t="s">
        <v>4567</v>
      </c>
    </row>
    <row r="2254" spans="1:10" x14ac:dyDescent="0.2">
      <c r="A2254" s="3">
        <v>7023</v>
      </c>
      <c r="B2254" s="3" t="s">
        <v>2436</v>
      </c>
      <c r="C2254" s="3" t="s">
        <v>2435</v>
      </c>
      <c r="D2254" s="3" t="s">
        <v>2180</v>
      </c>
      <c r="I2254" s="19">
        <v>6992</v>
      </c>
      <c r="J2254" s="19" t="s">
        <v>4567</v>
      </c>
    </row>
    <row r="2255" spans="1:10" x14ac:dyDescent="0.2">
      <c r="A2255" s="3">
        <v>7026</v>
      </c>
      <c r="B2255" s="3" t="s">
        <v>2437</v>
      </c>
      <c r="C2255" s="3" t="s">
        <v>2435</v>
      </c>
      <c r="D2255" s="3" t="s">
        <v>2180</v>
      </c>
      <c r="I2255" s="19">
        <v>6993</v>
      </c>
      <c r="J2255" s="19" t="s">
        <v>4567</v>
      </c>
    </row>
    <row r="2256" spans="1:10" x14ac:dyDescent="0.2">
      <c r="A2256" s="3">
        <v>7062</v>
      </c>
      <c r="B2256" s="3" t="s">
        <v>2438</v>
      </c>
      <c r="C2256" s="3" t="s">
        <v>2439</v>
      </c>
      <c r="D2256" s="3" t="s">
        <v>2180</v>
      </c>
      <c r="I2256" s="19">
        <v>6994</v>
      </c>
      <c r="J2256" s="19" t="s">
        <v>4567</v>
      </c>
    </row>
    <row r="2257" spans="1:10" x14ac:dyDescent="0.2">
      <c r="A2257" s="3">
        <v>7074</v>
      </c>
      <c r="B2257" s="3" t="s">
        <v>2440</v>
      </c>
      <c r="C2257" s="3" t="s">
        <v>2439</v>
      </c>
      <c r="D2257" s="3" t="s">
        <v>2180</v>
      </c>
      <c r="I2257" s="19">
        <v>6995</v>
      </c>
      <c r="J2257" s="19" t="s">
        <v>4567</v>
      </c>
    </row>
    <row r="2258" spans="1:10" x14ac:dyDescent="0.2">
      <c r="A2258" s="3">
        <v>7075</v>
      </c>
      <c r="B2258" s="3" t="s">
        <v>2439</v>
      </c>
      <c r="C2258" s="3" t="s">
        <v>2439</v>
      </c>
      <c r="D2258" s="3" t="s">
        <v>2180</v>
      </c>
      <c r="I2258" s="19">
        <v>6997</v>
      </c>
      <c r="J2258" s="19" t="s">
        <v>4567</v>
      </c>
    </row>
    <row r="2259" spans="1:10" x14ac:dyDescent="0.2">
      <c r="A2259" s="3">
        <v>7076</v>
      </c>
      <c r="B2259" s="3" t="s">
        <v>2441</v>
      </c>
      <c r="C2259" s="3" t="s">
        <v>2439</v>
      </c>
      <c r="D2259" s="3" t="s">
        <v>2180</v>
      </c>
      <c r="I2259" s="19">
        <v>6998</v>
      </c>
      <c r="J2259" s="19" t="s">
        <v>4567</v>
      </c>
    </row>
    <row r="2260" spans="1:10" x14ac:dyDescent="0.2">
      <c r="A2260" s="3">
        <v>7027</v>
      </c>
      <c r="B2260" s="3" t="s">
        <v>2442</v>
      </c>
      <c r="C2260" s="3" t="s">
        <v>2443</v>
      </c>
      <c r="D2260" s="3" t="s">
        <v>2180</v>
      </c>
      <c r="I2260" s="19">
        <v>6999</v>
      </c>
      <c r="J2260" s="19" t="s">
        <v>4567</v>
      </c>
    </row>
    <row r="2261" spans="1:10" x14ac:dyDescent="0.2">
      <c r="A2261" s="3">
        <v>7027</v>
      </c>
      <c r="B2261" s="3" t="s">
        <v>2444</v>
      </c>
      <c r="C2261" s="3" t="s">
        <v>2443</v>
      </c>
      <c r="D2261" s="3" t="s">
        <v>2180</v>
      </c>
      <c r="I2261" s="19">
        <v>7000</v>
      </c>
      <c r="J2261" s="19" t="s">
        <v>4568</v>
      </c>
    </row>
    <row r="2262" spans="1:10" x14ac:dyDescent="0.2">
      <c r="A2262" s="3">
        <v>7027</v>
      </c>
      <c r="B2262" s="3" t="s">
        <v>2445</v>
      </c>
      <c r="C2262" s="3" t="s">
        <v>2443</v>
      </c>
      <c r="D2262" s="3" t="s">
        <v>2180</v>
      </c>
      <c r="I2262" s="19">
        <v>7012</v>
      </c>
      <c r="J2262" s="19" t="s">
        <v>4568</v>
      </c>
    </row>
    <row r="2263" spans="1:10" x14ac:dyDescent="0.2">
      <c r="A2263" s="3">
        <v>7028</v>
      </c>
      <c r="B2263" s="3" t="s">
        <v>2446</v>
      </c>
      <c r="C2263" s="3" t="s">
        <v>2443</v>
      </c>
      <c r="D2263" s="3" t="s">
        <v>2180</v>
      </c>
      <c r="I2263" s="19">
        <v>7013</v>
      </c>
      <c r="J2263" s="19" t="s">
        <v>4568</v>
      </c>
    </row>
    <row r="2264" spans="1:10" x14ac:dyDescent="0.2">
      <c r="A2264" s="3">
        <v>7028</v>
      </c>
      <c r="B2264" s="3" t="s">
        <v>2447</v>
      </c>
      <c r="C2264" s="3" t="s">
        <v>2443</v>
      </c>
      <c r="D2264" s="3" t="s">
        <v>2180</v>
      </c>
      <c r="I2264" s="19">
        <v>7014</v>
      </c>
      <c r="J2264" s="19" t="s">
        <v>4568</v>
      </c>
    </row>
    <row r="2265" spans="1:10" x14ac:dyDescent="0.2">
      <c r="A2265" s="3">
        <v>7029</v>
      </c>
      <c r="B2265" s="3" t="s">
        <v>2448</v>
      </c>
      <c r="C2265" s="3" t="s">
        <v>2443</v>
      </c>
      <c r="D2265" s="3" t="s">
        <v>2180</v>
      </c>
      <c r="I2265" s="19">
        <v>7015</v>
      </c>
      <c r="J2265" s="19" t="s">
        <v>4568</v>
      </c>
    </row>
    <row r="2266" spans="1:10" x14ac:dyDescent="0.2">
      <c r="A2266" s="3">
        <v>7050</v>
      </c>
      <c r="B2266" s="3" t="s">
        <v>2443</v>
      </c>
      <c r="C2266" s="3" t="s">
        <v>2443</v>
      </c>
      <c r="D2266" s="3" t="s">
        <v>2180</v>
      </c>
      <c r="I2266" s="19">
        <v>7016</v>
      </c>
      <c r="J2266" s="19" t="s">
        <v>4568</v>
      </c>
    </row>
    <row r="2267" spans="1:10" x14ac:dyDescent="0.2">
      <c r="A2267" s="3">
        <v>7056</v>
      </c>
      <c r="B2267" s="3" t="s">
        <v>2449</v>
      </c>
      <c r="C2267" s="3" t="s">
        <v>2443</v>
      </c>
      <c r="D2267" s="3" t="s">
        <v>2180</v>
      </c>
      <c r="I2267" s="19">
        <v>7017</v>
      </c>
      <c r="J2267" s="19" t="s">
        <v>4568</v>
      </c>
    </row>
    <row r="2268" spans="1:10" x14ac:dyDescent="0.2">
      <c r="A2268" s="3">
        <v>7057</v>
      </c>
      <c r="B2268" s="3" t="s">
        <v>2450</v>
      </c>
      <c r="C2268" s="3" t="s">
        <v>2443</v>
      </c>
      <c r="D2268" s="3" t="s">
        <v>2180</v>
      </c>
      <c r="I2268" s="19">
        <v>7018</v>
      </c>
      <c r="J2268" s="19" t="s">
        <v>4568</v>
      </c>
    </row>
    <row r="2269" spans="1:10" x14ac:dyDescent="0.2">
      <c r="A2269" s="3">
        <v>7058</v>
      </c>
      <c r="B2269" s="3" t="s">
        <v>2451</v>
      </c>
      <c r="C2269" s="3" t="s">
        <v>2443</v>
      </c>
      <c r="D2269" s="3" t="s">
        <v>2180</v>
      </c>
      <c r="I2269" s="19">
        <v>7019</v>
      </c>
      <c r="J2269" s="19" t="s">
        <v>4568</v>
      </c>
    </row>
    <row r="2270" spans="1:10" x14ac:dyDescent="0.2">
      <c r="A2270" s="3">
        <v>7063</v>
      </c>
      <c r="B2270" s="3" t="s">
        <v>2452</v>
      </c>
      <c r="C2270" s="3" t="s">
        <v>2453</v>
      </c>
      <c r="D2270" s="3" t="s">
        <v>2180</v>
      </c>
      <c r="I2270" s="19">
        <v>7023</v>
      </c>
      <c r="J2270" s="19" t="s">
        <v>4568</v>
      </c>
    </row>
    <row r="2271" spans="1:10" x14ac:dyDescent="0.2">
      <c r="A2271" s="3">
        <v>7064</v>
      </c>
      <c r="B2271" s="3" t="s">
        <v>2454</v>
      </c>
      <c r="C2271" s="3" t="s">
        <v>2453</v>
      </c>
      <c r="D2271" s="3" t="s">
        <v>2180</v>
      </c>
      <c r="I2271" s="19">
        <v>7026</v>
      </c>
      <c r="J2271" s="19" t="s">
        <v>4568</v>
      </c>
    </row>
    <row r="2272" spans="1:10" x14ac:dyDescent="0.2">
      <c r="A2272" s="3">
        <v>7202</v>
      </c>
      <c r="B2272" s="3" t="s">
        <v>2455</v>
      </c>
      <c r="C2272" s="3" t="s">
        <v>2456</v>
      </c>
      <c r="D2272" s="3" t="s">
        <v>2180</v>
      </c>
      <c r="I2272" s="19">
        <v>7027</v>
      </c>
      <c r="J2272" s="19" t="s">
        <v>4568</v>
      </c>
    </row>
    <row r="2273" spans="1:10" x14ac:dyDescent="0.2">
      <c r="A2273" s="3">
        <v>7203</v>
      </c>
      <c r="B2273" s="3" t="s">
        <v>2456</v>
      </c>
      <c r="C2273" s="3" t="s">
        <v>2456</v>
      </c>
      <c r="D2273" s="3" t="s">
        <v>2180</v>
      </c>
      <c r="I2273" s="19">
        <v>7028</v>
      </c>
      <c r="J2273" s="19" t="s">
        <v>4568</v>
      </c>
    </row>
    <row r="2274" spans="1:10" x14ac:dyDescent="0.2">
      <c r="A2274" s="3">
        <v>7204</v>
      </c>
      <c r="B2274" s="3" t="s">
        <v>2457</v>
      </c>
      <c r="C2274" s="3" t="s">
        <v>2457</v>
      </c>
      <c r="D2274" s="3" t="s">
        <v>2180</v>
      </c>
      <c r="I2274" s="19">
        <v>7029</v>
      </c>
      <c r="J2274" s="19" t="s">
        <v>4568</v>
      </c>
    </row>
    <row r="2275" spans="1:10" x14ac:dyDescent="0.2">
      <c r="A2275" s="3">
        <v>7205</v>
      </c>
      <c r="B2275" s="3" t="s">
        <v>2458</v>
      </c>
      <c r="C2275" s="3" t="s">
        <v>2458</v>
      </c>
      <c r="D2275" s="3" t="s">
        <v>2180</v>
      </c>
      <c r="I2275" s="19">
        <v>7031</v>
      </c>
      <c r="J2275" s="19" t="s">
        <v>4568</v>
      </c>
    </row>
    <row r="2276" spans="1:10" x14ac:dyDescent="0.2">
      <c r="A2276" s="3">
        <v>7306</v>
      </c>
      <c r="B2276" s="3" t="s">
        <v>2459</v>
      </c>
      <c r="C2276" s="3" t="s">
        <v>2459</v>
      </c>
      <c r="D2276" s="3" t="s">
        <v>2180</v>
      </c>
      <c r="I2276" s="19">
        <v>7032</v>
      </c>
      <c r="J2276" s="19" t="s">
        <v>4568</v>
      </c>
    </row>
    <row r="2277" spans="1:10" x14ac:dyDescent="0.2">
      <c r="A2277" s="3">
        <v>7307</v>
      </c>
      <c r="B2277" s="3" t="s">
        <v>2460</v>
      </c>
      <c r="C2277" s="3" t="s">
        <v>2460</v>
      </c>
      <c r="D2277" s="3" t="s">
        <v>2180</v>
      </c>
      <c r="I2277" s="19">
        <v>7050</v>
      </c>
      <c r="J2277" s="19" t="s">
        <v>4569</v>
      </c>
    </row>
    <row r="2278" spans="1:10" x14ac:dyDescent="0.2">
      <c r="A2278" s="3">
        <v>7304</v>
      </c>
      <c r="B2278" s="3" t="s">
        <v>2461</v>
      </c>
      <c r="C2278" s="3" t="s">
        <v>2461</v>
      </c>
      <c r="D2278" s="3" t="s">
        <v>2180</v>
      </c>
      <c r="I2278" s="19">
        <v>7056</v>
      </c>
      <c r="J2278" s="19" t="s">
        <v>4568</v>
      </c>
    </row>
    <row r="2279" spans="1:10" x14ac:dyDescent="0.2">
      <c r="A2279" s="3">
        <v>7208</v>
      </c>
      <c r="B2279" s="3" t="s">
        <v>2462</v>
      </c>
      <c r="C2279" s="3" t="s">
        <v>2463</v>
      </c>
      <c r="D2279" s="3" t="s">
        <v>2180</v>
      </c>
      <c r="I2279" s="19">
        <v>7057</v>
      </c>
      <c r="J2279" s="19" t="s">
        <v>4568</v>
      </c>
    </row>
    <row r="2280" spans="1:10" x14ac:dyDescent="0.2">
      <c r="A2280" s="3">
        <v>7206</v>
      </c>
      <c r="B2280" s="3" t="s">
        <v>2464</v>
      </c>
      <c r="C2280" s="3" t="s">
        <v>2465</v>
      </c>
      <c r="D2280" s="3" t="s">
        <v>2180</v>
      </c>
      <c r="I2280" s="19">
        <v>7058</v>
      </c>
      <c r="J2280" s="19" t="s">
        <v>4569</v>
      </c>
    </row>
    <row r="2281" spans="1:10" x14ac:dyDescent="0.2">
      <c r="A2281" s="3">
        <v>7302</v>
      </c>
      <c r="B2281" s="3" t="s">
        <v>2465</v>
      </c>
      <c r="C2281" s="3" t="s">
        <v>2465</v>
      </c>
      <c r="D2281" s="3" t="s">
        <v>2180</v>
      </c>
      <c r="I2281" s="19">
        <v>7062</v>
      </c>
      <c r="J2281" s="19" t="s">
        <v>4568</v>
      </c>
    </row>
    <row r="2282" spans="1:10" x14ac:dyDescent="0.2">
      <c r="A2282" s="3">
        <v>7303</v>
      </c>
      <c r="B2282" s="3" t="s">
        <v>2466</v>
      </c>
      <c r="C2282" s="3" t="s">
        <v>2465</v>
      </c>
      <c r="D2282" s="3" t="s">
        <v>2180</v>
      </c>
      <c r="I2282" s="19">
        <v>7063</v>
      </c>
      <c r="J2282" s="19" t="s">
        <v>4568</v>
      </c>
    </row>
    <row r="2283" spans="1:10" x14ac:dyDescent="0.2">
      <c r="A2283" s="3">
        <v>7213</v>
      </c>
      <c r="B2283" s="3" t="s">
        <v>2467</v>
      </c>
      <c r="C2283" s="3" t="s">
        <v>2468</v>
      </c>
      <c r="D2283" s="3" t="s">
        <v>2180</v>
      </c>
      <c r="I2283" s="19">
        <v>7064</v>
      </c>
      <c r="J2283" s="19" t="s">
        <v>4568</v>
      </c>
    </row>
    <row r="2284" spans="1:10" x14ac:dyDescent="0.2">
      <c r="A2284" s="3">
        <v>7214</v>
      </c>
      <c r="B2284" s="3" t="s">
        <v>2468</v>
      </c>
      <c r="C2284" s="3" t="s">
        <v>2468</v>
      </c>
      <c r="D2284" s="3" t="s">
        <v>2180</v>
      </c>
      <c r="I2284" s="19">
        <v>7074</v>
      </c>
      <c r="J2284" s="19" t="s">
        <v>4568</v>
      </c>
    </row>
    <row r="2285" spans="1:10" x14ac:dyDescent="0.2">
      <c r="A2285" s="3">
        <v>7215</v>
      </c>
      <c r="B2285" s="3" t="s">
        <v>2469</v>
      </c>
      <c r="C2285" s="3" t="s">
        <v>2468</v>
      </c>
      <c r="D2285" s="3" t="s">
        <v>2180</v>
      </c>
      <c r="I2285" s="19">
        <v>7075</v>
      </c>
      <c r="J2285" s="19" t="s">
        <v>4568</v>
      </c>
    </row>
    <row r="2286" spans="1:10" x14ac:dyDescent="0.2">
      <c r="A2286" s="3">
        <v>7220</v>
      </c>
      <c r="B2286" s="3" t="s">
        <v>2470</v>
      </c>
      <c r="C2286" s="3" t="s">
        <v>2470</v>
      </c>
      <c r="D2286" s="3" t="s">
        <v>2180</v>
      </c>
      <c r="I2286" s="19">
        <v>7076</v>
      </c>
      <c r="J2286" s="19" t="s">
        <v>4568</v>
      </c>
    </row>
    <row r="2287" spans="1:10" x14ac:dyDescent="0.2">
      <c r="A2287" s="3">
        <v>7220</v>
      </c>
      <c r="B2287" s="3" t="s">
        <v>2470</v>
      </c>
      <c r="C2287" s="3" t="s">
        <v>2470</v>
      </c>
      <c r="D2287" s="3" t="s">
        <v>2180</v>
      </c>
      <c r="I2287" s="19">
        <v>7077</v>
      </c>
      <c r="J2287" s="19" t="s">
        <v>4568</v>
      </c>
    </row>
    <row r="2288" spans="1:10" x14ac:dyDescent="0.2">
      <c r="A2288" s="3">
        <v>7222</v>
      </c>
      <c r="B2288" s="3" t="s">
        <v>2471</v>
      </c>
      <c r="C2288" s="3" t="s">
        <v>2470</v>
      </c>
      <c r="D2288" s="3" t="s">
        <v>2180</v>
      </c>
      <c r="I2288" s="19">
        <v>7078</v>
      </c>
      <c r="J2288" s="19" t="s">
        <v>4568</v>
      </c>
    </row>
    <row r="2289" spans="1:10" x14ac:dyDescent="0.2">
      <c r="A2289" s="3">
        <v>7226</v>
      </c>
      <c r="B2289" s="3" t="s">
        <v>2472</v>
      </c>
      <c r="C2289" s="3" t="s">
        <v>2470</v>
      </c>
      <c r="D2289" s="3" t="s">
        <v>2180</v>
      </c>
      <c r="I2289" s="19">
        <v>7082</v>
      </c>
      <c r="J2289" s="19" t="s">
        <v>4568</v>
      </c>
    </row>
    <row r="2290" spans="1:10" x14ac:dyDescent="0.2">
      <c r="A2290" s="3">
        <v>7226</v>
      </c>
      <c r="B2290" s="3" t="s">
        <v>2472</v>
      </c>
      <c r="C2290" s="3" t="s">
        <v>2470</v>
      </c>
      <c r="D2290" s="3" t="s">
        <v>2180</v>
      </c>
      <c r="I2290" s="19">
        <v>7083</v>
      </c>
      <c r="J2290" s="19" t="s">
        <v>4568</v>
      </c>
    </row>
    <row r="2291" spans="1:10" x14ac:dyDescent="0.2">
      <c r="A2291" s="3">
        <v>7226</v>
      </c>
      <c r="B2291" s="3" t="s">
        <v>2473</v>
      </c>
      <c r="C2291" s="3" t="s">
        <v>2470</v>
      </c>
      <c r="D2291" s="3" t="s">
        <v>2180</v>
      </c>
      <c r="I2291" s="19">
        <v>7084</v>
      </c>
      <c r="J2291" s="19" t="s">
        <v>4568</v>
      </c>
    </row>
    <row r="2292" spans="1:10" x14ac:dyDescent="0.2">
      <c r="A2292" s="3">
        <v>7228</v>
      </c>
      <c r="B2292" s="3" t="s">
        <v>2474</v>
      </c>
      <c r="C2292" s="3" t="s">
        <v>2470</v>
      </c>
      <c r="D2292" s="3" t="s">
        <v>2180</v>
      </c>
      <c r="I2292" s="19">
        <v>7104</v>
      </c>
      <c r="J2292" s="19" t="s">
        <v>4568</v>
      </c>
    </row>
    <row r="2293" spans="1:10" x14ac:dyDescent="0.2">
      <c r="A2293" s="3">
        <v>7228</v>
      </c>
      <c r="B2293" s="3" t="s">
        <v>2475</v>
      </c>
      <c r="C2293" s="3" t="s">
        <v>2470</v>
      </c>
      <c r="D2293" s="3" t="s">
        <v>2180</v>
      </c>
      <c r="I2293" s="19">
        <v>7106</v>
      </c>
      <c r="J2293" s="19" t="s">
        <v>4564</v>
      </c>
    </row>
    <row r="2294" spans="1:10" x14ac:dyDescent="0.2">
      <c r="A2294" s="3">
        <v>7212</v>
      </c>
      <c r="B2294" s="3" t="s">
        <v>2476</v>
      </c>
      <c r="C2294" s="3" t="s">
        <v>2477</v>
      </c>
      <c r="D2294" s="3" t="s">
        <v>2180</v>
      </c>
      <c r="I2294" s="19">
        <v>7107</v>
      </c>
      <c r="J2294" s="19" t="s">
        <v>4564</v>
      </c>
    </row>
    <row r="2295" spans="1:10" x14ac:dyDescent="0.2">
      <c r="A2295" s="3">
        <v>7212</v>
      </c>
      <c r="B2295" s="3" t="s">
        <v>2478</v>
      </c>
      <c r="C2295" s="3" t="s">
        <v>2477</v>
      </c>
      <c r="D2295" s="3" t="s">
        <v>2180</v>
      </c>
      <c r="I2295" s="19">
        <v>7109</v>
      </c>
      <c r="J2295" s="19" t="s">
        <v>4564</v>
      </c>
    </row>
    <row r="2296" spans="1:10" x14ac:dyDescent="0.2">
      <c r="A2296" s="3">
        <v>7212</v>
      </c>
      <c r="B2296" s="3" t="s">
        <v>2479</v>
      </c>
      <c r="C2296" s="3" t="s">
        <v>2477</v>
      </c>
      <c r="D2296" s="3" t="s">
        <v>2180</v>
      </c>
      <c r="I2296" s="19">
        <v>7110</v>
      </c>
      <c r="J2296" s="19" t="s">
        <v>4568</v>
      </c>
    </row>
    <row r="2297" spans="1:10" x14ac:dyDescent="0.2">
      <c r="A2297" s="3">
        <v>7158</v>
      </c>
      <c r="B2297" s="3" t="s">
        <v>2480</v>
      </c>
      <c r="C2297" s="3" t="s">
        <v>2481</v>
      </c>
      <c r="D2297" s="3" t="s">
        <v>2180</v>
      </c>
      <c r="I2297" s="19">
        <v>7111</v>
      </c>
      <c r="J2297" s="19" t="s">
        <v>4568</v>
      </c>
    </row>
    <row r="2298" spans="1:10" x14ac:dyDescent="0.2">
      <c r="A2298" s="3">
        <v>7159</v>
      </c>
      <c r="B2298" s="3" t="s">
        <v>2482</v>
      </c>
      <c r="C2298" s="3" t="s">
        <v>2481</v>
      </c>
      <c r="D2298" s="3" t="s">
        <v>2180</v>
      </c>
      <c r="I2298" s="19">
        <v>7112</v>
      </c>
      <c r="J2298" s="19" t="s">
        <v>4566</v>
      </c>
    </row>
    <row r="2299" spans="1:10" x14ac:dyDescent="0.2">
      <c r="A2299" s="3">
        <v>7162</v>
      </c>
      <c r="B2299" s="3" t="s">
        <v>2483</v>
      </c>
      <c r="C2299" s="3" t="s">
        <v>2481</v>
      </c>
      <c r="D2299" s="3" t="s">
        <v>2180</v>
      </c>
      <c r="I2299" s="19">
        <v>7113</v>
      </c>
      <c r="J2299" s="19" t="s">
        <v>4566</v>
      </c>
    </row>
    <row r="2300" spans="1:10" x14ac:dyDescent="0.2">
      <c r="A2300" s="3">
        <v>7163</v>
      </c>
      <c r="B2300" s="3" t="s">
        <v>2484</v>
      </c>
      <c r="C2300" s="3" t="s">
        <v>2481</v>
      </c>
      <c r="D2300" s="3" t="s">
        <v>2180</v>
      </c>
      <c r="I2300" s="19">
        <v>7114</v>
      </c>
      <c r="J2300" s="19" t="s">
        <v>4568</v>
      </c>
    </row>
    <row r="2301" spans="1:10" x14ac:dyDescent="0.2">
      <c r="A2301" s="3">
        <v>7164</v>
      </c>
      <c r="B2301" s="3" t="s">
        <v>2485</v>
      </c>
      <c r="C2301" s="3" t="s">
        <v>2481</v>
      </c>
      <c r="D2301" s="3" t="s">
        <v>2180</v>
      </c>
      <c r="I2301" s="19">
        <v>7115</v>
      </c>
      <c r="J2301" s="19" t="s">
        <v>4568</v>
      </c>
    </row>
    <row r="2302" spans="1:10" x14ac:dyDescent="0.2">
      <c r="A2302" s="3">
        <v>7165</v>
      </c>
      <c r="B2302" s="3" t="s">
        <v>2481</v>
      </c>
      <c r="C2302" s="3" t="s">
        <v>2481</v>
      </c>
      <c r="D2302" s="3" t="s">
        <v>2180</v>
      </c>
      <c r="I2302" s="19">
        <v>7116</v>
      </c>
      <c r="J2302" s="19" t="s">
        <v>4566</v>
      </c>
    </row>
    <row r="2303" spans="1:10" x14ac:dyDescent="0.2">
      <c r="A2303" s="3">
        <v>7180</v>
      </c>
      <c r="B2303" s="3" t="s">
        <v>2486</v>
      </c>
      <c r="C2303" s="3" t="s">
        <v>2486</v>
      </c>
      <c r="D2303" s="3" t="s">
        <v>2180</v>
      </c>
      <c r="I2303" s="19">
        <v>7122</v>
      </c>
      <c r="J2303" s="19" t="s">
        <v>4568</v>
      </c>
    </row>
    <row r="2304" spans="1:10" x14ac:dyDescent="0.2">
      <c r="A2304" s="3">
        <v>7182</v>
      </c>
      <c r="B2304" s="3" t="s">
        <v>2487</v>
      </c>
      <c r="C2304" s="3" t="s">
        <v>2486</v>
      </c>
      <c r="D2304" s="3" t="s">
        <v>2180</v>
      </c>
      <c r="I2304" s="19">
        <v>7126</v>
      </c>
      <c r="J2304" s="19" t="s">
        <v>4568</v>
      </c>
    </row>
    <row r="2305" spans="1:10" x14ac:dyDescent="0.2">
      <c r="A2305" s="3">
        <v>7183</v>
      </c>
      <c r="B2305" s="3" t="s">
        <v>2488</v>
      </c>
      <c r="C2305" s="3" t="s">
        <v>2486</v>
      </c>
      <c r="D2305" s="3" t="s">
        <v>2180</v>
      </c>
      <c r="I2305" s="19">
        <v>7127</v>
      </c>
      <c r="J2305" s="19" t="s">
        <v>4568</v>
      </c>
    </row>
    <row r="2306" spans="1:10" x14ac:dyDescent="0.2">
      <c r="A2306" s="3">
        <v>7186</v>
      </c>
      <c r="B2306" s="3" t="s">
        <v>2489</v>
      </c>
      <c r="C2306" s="3" t="s">
        <v>2486</v>
      </c>
      <c r="D2306" s="3" t="s">
        <v>2180</v>
      </c>
      <c r="I2306" s="19">
        <v>7128</v>
      </c>
      <c r="J2306" s="19" t="s">
        <v>4566</v>
      </c>
    </row>
    <row r="2307" spans="1:10" x14ac:dyDescent="0.2">
      <c r="A2307" s="3">
        <v>7184</v>
      </c>
      <c r="B2307" s="3" t="s">
        <v>2490</v>
      </c>
      <c r="C2307" s="3" t="s">
        <v>2491</v>
      </c>
      <c r="D2307" s="3" t="s">
        <v>2180</v>
      </c>
      <c r="I2307" s="19">
        <v>7130</v>
      </c>
      <c r="J2307" s="19" t="s">
        <v>4568</v>
      </c>
    </row>
    <row r="2308" spans="1:10" x14ac:dyDescent="0.2">
      <c r="A2308" s="3">
        <v>7185</v>
      </c>
      <c r="B2308" s="3" t="s">
        <v>2492</v>
      </c>
      <c r="C2308" s="3" t="s">
        <v>2491</v>
      </c>
      <c r="D2308" s="3" t="s">
        <v>2180</v>
      </c>
      <c r="I2308" s="19">
        <v>7132</v>
      </c>
      <c r="J2308" s="19" t="s">
        <v>4566</v>
      </c>
    </row>
    <row r="2309" spans="1:10" x14ac:dyDescent="0.2">
      <c r="A2309" s="3">
        <v>7172</v>
      </c>
      <c r="B2309" s="3" t="s">
        <v>2493</v>
      </c>
      <c r="C2309" s="3" t="s">
        <v>2494</v>
      </c>
      <c r="D2309" s="3" t="s">
        <v>2180</v>
      </c>
      <c r="I2309" s="19">
        <v>7134</v>
      </c>
      <c r="J2309" s="19" t="s">
        <v>4566</v>
      </c>
    </row>
    <row r="2310" spans="1:10" x14ac:dyDescent="0.2">
      <c r="A2310" s="3">
        <v>7173</v>
      </c>
      <c r="B2310" s="3" t="s">
        <v>2495</v>
      </c>
      <c r="C2310" s="3" t="s">
        <v>2494</v>
      </c>
      <c r="D2310" s="3" t="s">
        <v>2180</v>
      </c>
      <c r="I2310" s="19">
        <v>7137</v>
      </c>
      <c r="J2310" s="19" t="s">
        <v>4566</v>
      </c>
    </row>
    <row r="2311" spans="1:10" x14ac:dyDescent="0.2">
      <c r="A2311" s="3">
        <v>7174</v>
      </c>
      <c r="B2311" s="3" t="s">
        <v>2496</v>
      </c>
      <c r="C2311" s="3" t="s">
        <v>2494</v>
      </c>
      <c r="D2311" s="3" t="s">
        <v>2180</v>
      </c>
      <c r="I2311" s="19">
        <v>7138</v>
      </c>
      <c r="J2311" s="19" t="s">
        <v>4566</v>
      </c>
    </row>
    <row r="2312" spans="1:10" x14ac:dyDescent="0.2">
      <c r="A2312" s="3">
        <v>7175</v>
      </c>
      <c r="B2312" s="3" t="s">
        <v>2494</v>
      </c>
      <c r="C2312" s="3" t="s">
        <v>2494</v>
      </c>
      <c r="D2312" s="3" t="s">
        <v>2180</v>
      </c>
      <c r="I2312" s="19">
        <v>7141</v>
      </c>
      <c r="J2312" s="19" t="s">
        <v>4568</v>
      </c>
    </row>
    <row r="2313" spans="1:10" x14ac:dyDescent="0.2">
      <c r="A2313" s="3">
        <v>7176</v>
      </c>
      <c r="B2313" s="3" t="s">
        <v>2497</v>
      </c>
      <c r="C2313" s="3" t="s">
        <v>2494</v>
      </c>
      <c r="D2313" s="3" t="s">
        <v>2180</v>
      </c>
      <c r="I2313" s="19">
        <v>7142</v>
      </c>
      <c r="J2313" s="19" t="s">
        <v>4566</v>
      </c>
    </row>
    <row r="2314" spans="1:10" x14ac:dyDescent="0.2">
      <c r="A2314" s="3">
        <v>7187</v>
      </c>
      <c r="B2314" s="3" t="s">
        <v>2498</v>
      </c>
      <c r="C2314" s="3" t="s">
        <v>2499</v>
      </c>
      <c r="D2314" s="3" t="s">
        <v>2180</v>
      </c>
      <c r="I2314" s="19">
        <v>7143</v>
      </c>
      <c r="J2314" s="19" t="s">
        <v>4566</v>
      </c>
    </row>
    <row r="2315" spans="1:10" x14ac:dyDescent="0.2">
      <c r="A2315" s="3">
        <v>7188</v>
      </c>
      <c r="B2315" s="3" t="s">
        <v>2500</v>
      </c>
      <c r="C2315" s="3" t="s">
        <v>2499</v>
      </c>
      <c r="D2315" s="3" t="s">
        <v>2180</v>
      </c>
      <c r="I2315" s="19">
        <v>7144</v>
      </c>
      <c r="J2315" s="19" t="s">
        <v>4566</v>
      </c>
    </row>
    <row r="2316" spans="1:10" x14ac:dyDescent="0.2">
      <c r="A2316" s="3">
        <v>7189</v>
      </c>
      <c r="B2316" s="3" t="s">
        <v>2501</v>
      </c>
      <c r="C2316" s="3" t="s">
        <v>2499</v>
      </c>
      <c r="D2316" s="3" t="s">
        <v>2180</v>
      </c>
      <c r="I2316" s="19">
        <v>7145</v>
      </c>
      <c r="J2316" s="19" t="s">
        <v>4566</v>
      </c>
    </row>
    <row r="2317" spans="1:10" x14ac:dyDescent="0.2">
      <c r="A2317" s="3">
        <v>7166</v>
      </c>
      <c r="B2317" s="3" t="s">
        <v>2502</v>
      </c>
      <c r="C2317" s="3" t="s">
        <v>2502</v>
      </c>
      <c r="D2317" s="3" t="s">
        <v>2180</v>
      </c>
      <c r="I2317" s="19">
        <v>7146</v>
      </c>
      <c r="J2317" s="19" t="s">
        <v>4566</v>
      </c>
    </row>
    <row r="2318" spans="1:10" x14ac:dyDescent="0.2">
      <c r="A2318" s="3">
        <v>7167</v>
      </c>
      <c r="B2318" s="3" t="s">
        <v>2503</v>
      </c>
      <c r="C2318" s="3" t="s">
        <v>2502</v>
      </c>
      <c r="D2318" s="3" t="s">
        <v>2180</v>
      </c>
      <c r="I2318" s="19">
        <v>7147</v>
      </c>
      <c r="J2318" s="19" t="s">
        <v>4566</v>
      </c>
    </row>
    <row r="2319" spans="1:10" x14ac:dyDescent="0.2">
      <c r="A2319" s="3">
        <v>7168</v>
      </c>
      <c r="B2319" s="3" t="s">
        <v>2504</v>
      </c>
      <c r="C2319" s="3" t="s">
        <v>2502</v>
      </c>
      <c r="D2319" s="3" t="s">
        <v>2180</v>
      </c>
      <c r="I2319" s="19">
        <v>7148</v>
      </c>
      <c r="J2319" s="19" t="s">
        <v>4566</v>
      </c>
    </row>
    <row r="2320" spans="1:10" x14ac:dyDescent="0.2">
      <c r="A2320" s="3">
        <v>7134</v>
      </c>
      <c r="B2320" s="3" t="s">
        <v>2505</v>
      </c>
      <c r="C2320" s="3" t="s">
        <v>2506</v>
      </c>
      <c r="D2320" s="3" t="s">
        <v>2180</v>
      </c>
      <c r="I2320" s="19">
        <v>7149</v>
      </c>
      <c r="J2320" s="19" t="s">
        <v>4566</v>
      </c>
    </row>
    <row r="2321" spans="1:10" x14ac:dyDescent="0.2">
      <c r="A2321" s="3">
        <v>7137</v>
      </c>
      <c r="B2321" s="3" t="s">
        <v>2507</v>
      </c>
      <c r="C2321" s="3" t="s">
        <v>2506</v>
      </c>
      <c r="D2321" s="3" t="s">
        <v>2180</v>
      </c>
      <c r="I2321" s="19">
        <v>7151</v>
      </c>
      <c r="J2321" s="19" t="s">
        <v>4568</v>
      </c>
    </row>
    <row r="2322" spans="1:10" x14ac:dyDescent="0.2">
      <c r="A2322" s="3">
        <v>7138</v>
      </c>
      <c r="B2322" s="3" t="s">
        <v>2508</v>
      </c>
      <c r="C2322" s="3" t="s">
        <v>2506</v>
      </c>
      <c r="D2322" s="3" t="s">
        <v>2180</v>
      </c>
      <c r="I2322" s="19">
        <v>7152</v>
      </c>
      <c r="J2322" s="19" t="s">
        <v>4568</v>
      </c>
    </row>
    <row r="2323" spans="1:10" x14ac:dyDescent="0.2">
      <c r="A2323" s="3">
        <v>5000</v>
      </c>
      <c r="B2323" s="3" t="s">
        <v>2509</v>
      </c>
      <c r="C2323" s="3" t="s">
        <v>2509</v>
      </c>
      <c r="D2323" s="3" t="s">
        <v>2510</v>
      </c>
      <c r="I2323" s="19">
        <v>7153</v>
      </c>
      <c r="J2323" s="19" t="s">
        <v>4566</v>
      </c>
    </row>
    <row r="2324" spans="1:10" x14ac:dyDescent="0.2">
      <c r="A2324" s="3">
        <v>5004</v>
      </c>
      <c r="B2324" s="3" t="s">
        <v>2509</v>
      </c>
      <c r="C2324" s="3" t="s">
        <v>2509</v>
      </c>
      <c r="D2324" s="3" t="s">
        <v>2510</v>
      </c>
      <c r="I2324" s="19">
        <v>7154</v>
      </c>
      <c r="J2324" s="19" t="s">
        <v>4566</v>
      </c>
    </row>
    <row r="2325" spans="1:10" x14ac:dyDescent="0.2">
      <c r="A2325" s="3">
        <v>5032</v>
      </c>
      <c r="B2325" s="3" t="s">
        <v>2511</v>
      </c>
      <c r="C2325" s="3" t="s">
        <v>2509</v>
      </c>
      <c r="D2325" s="3" t="s">
        <v>2510</v>
      </c>
      <c r="I2325" s="19">
        <v>7155</v>
      </c>
      <c r="J2325" s="19" t="s">
        <v>4566</v>
      </c>
    </row>
    <row r="2326" spans="1:10" x14ac:dyDescent="0.2">
      <c r="A2326" s="3">
        <v>5023</v>
      </c>
      <c r="B2326" s="3" t="s">
        <v>2512</v>
      </c>
      <c r="C2326" s="3" t="s">
        <v>2512</v>
      </c>
      <c r="D2326" s="3" t="s">
        <v>2510</v>
      </c>
      <c r="I2326" s="19">
        <v>7156</v>
      </c>
      <c r="J2326" s="19" t="s">
        <v>4568</v>
      </c>
    </row>
    <row r="2327" spans="1:10" x14ac:dyDescent="0.2">
      <c r="A2327" s="3">
        <v>5033</v>
      </c>
      <c r="B2327" s="3" t="s">
        <v>2513</v>
      </c>
      <c r="C2327" s="3" t="s">
        <v>2514</v>
      </c>
      <c r="D2327" s="3" t="s">
        <v>2510</v>
      </c>
      <c r="I2327" s="19">
        <v>7157</v>
      </c>
      <c r="J2327" s="19" t="s">
        <v>4566</v>
      </c>
    </row>
    <row r="2328" spans="1:10" x14ac:dyDescent="0.2">
      <c r="A2328" s="3">
        <v>5025</v>
      </c>
      <c r="B2328" s="3" t="s">
        <v>2515</v>
      </c>
      <c r="C2328" s="3" t="s">
        <v>2516</v>
      </c>
      <c r="D2328" s="3" t="s">
        <v>2510</v>
      </c>
      <c r="I2328" s="19">
        <v>7158</v>
      </c>
      <c r="J2328" s="19" t="s">
        <v>4566</v>
      </c>
    </row>
    <row r="2329" spans="1:10" x14ac:dyDescent="0.2">
      <c r="A2329" s="3">
        <v>5026</v>
      </c>
      <c r="B2329" s="3" t="s">
        <v>2516</v>
      </c>
      <c r="C2329" s="3" t="s">
        <v>2516</v>
      </c>
      <c r="D2329" s="3" t="s">
        <v>2510</v>
      </c>
      <c r="I2329" s="19">
        <v>7159</v>
      </c>
      <c r="J2329" s="19" t="s">
        <v>4566</v>
      </c>
    </row>
    <row r="2330" spans="1:10" x14ac:dyDescent="0.2">
      <c r="A2330" s="3">
        <v>5017</v>
      </c>
      <c r="B2330" s="3" t="s">
        <v>2517</v>
      </c>
      <c r="C2330" s="3" t="s">
        <v>2518</v>
      </c>
      <c r="D2330" s="3" t="s">
        <v>2510</v>
      </c>
      <c r="I2330" s="19">
        <v>7162</v>
      </c>
      <c r="J2330" s="19" t="s">
        <v>4566</v>
      </c>
    </row>
    <row r="2331" spans="1:10" x14ac:dyDescent="0.2">
      <c r="A2331" s="3">
        <v>5018</v>
      </c>
      <c r="B2331" s="3" t="s">
        <v>2519</v>
      </c>
      <c r="C2331" s="3" t="s">
        <v>2518</v>
      </c>
      <c r="D2331" s="3" t="s">
        <v>2510</v>
      </c>
      <c r="I2331" s="19">
        <v>7163</v>
      </c>
      <c r="J2331" s="19" t="s">
        <v>4566</v>
      </c>
    </row>
    <row r="2332" spans="1:10" x14ac:dyDescent="0.2">
      <c r="A2332" s="3">
        <v>5722</v>
      </c>
      <c r="B2332" s="3" t="s">
        <v>2520</v>
      </c>
      <c r="C2332" s="3" t="s">
        <v>2520</v>
      </c>
      <c r="D2332" s="3" t="s">
        <v>2510</v>
      </c>
      <c r="I2332" s="19">
        <v>7164</v>
      </c>
      <c r="J2332" s="19" t="s">
        <v>4566</v>
      </c>
    </row>
    <row r="2333" spans="1:10" x14ac:dyDescent="0.2">
      <c r="A2333" s="3">
        <v>5042</v>
      </c>
      <c r="B2333" s="3" t="s">
        <v>2521</v>
      </c>
      <c r="C2333" s="3" t="s">
        <v>2521</v>
      </c>
      <c r="D2333" s="3" t="s">
        <v>2510</v>
      </c>
      <c r="I2333" s="19">
        <v>7165</v>
      </c>
      <c r="J2333" s="19" t="s">
        <v>4566</v>
      </c>
    </row>
    <row r="2334" spans="1:10" x14ac:dyDescent="0.2">
      <c r="A2334" s="3">
        <v>5022</v>
      </c>
      <c r="B2334" s="3" t="s">
        <v>2522</v>
      </c>
      <c r="C2334" s="3" t="s">
        <v>2523</v>
      </c>
      <c r="D2334" s="3" t="s">
        <v>2510</v>
      </c>
      <c r="I2334" s="19">
        <v>7166</v>
      </c>
      <c r="J2334" s="19" t="s">
        <v>4566</v>
      </c>
    </row>
    <row r="2335" spans="1:10" x14ac:dyDescent="0.2">
      <c r="A2335" s="3">
        <v>5024</v>
      </c>
      <c r="B2335" s="3" t="s">
        <v>2523</v>
      </c>
      <c r="C2335" s="3" t="s">
        <v>2523</v>
      </c>
      <c r="D2335" s="3" t="s">
        <v>2510</v>
      </c>
      <c r="I2335" s="19">
        <v>7167</v>
      </c>
      <c r="J2335" s="19" t="s">
        <v>4566</v>
      </c>
    </row>
    <row r="2336" spans="1:10" x14ac:dyDescent="0.2">
      <c r="A2336" s="3">
        <v>5037</v>
      </c>
      <c r="B2336" s="3" t="s">
        <v>2524</v>
      </c>
      <c r="C2336" s="3" t="s">
        <v>2524</v>
      </c>
      <c r="D2336" s="3" t="s">
        <v>2510</v>
      </c>
      <c r="I2336" s="19">
        <v>7168</v>
      </c>
      <c r="J2336" s="19" t="s">
        <v>4566</v>
      </c>
    </row>
    <row r="2337" spans="1:10" x14ac:dyDescent="0.2">
      <c r="A2337" s="3">
        <v>5036</v>
      </c>
      <c r="B2337" s="3" t="s">
        <v>2525</v>
      </c>
      <c r="C2337" s="3" t="s">
        <v>2525</v>
      </c>
      <c r="D2337" s="3" t="s">
        <v>2510</v>
      </c>
      <c r="I2337" s="19">
        <v>7172</v>
      </c>
      <c r="J2337" s="19" t="s">
        <v>4566</v>
      </c>
    </row>
    <row r="2338" spans="1:10" x14ac:dyDescent="0.2">
      <c r="A2338" s="3">
        <v>5034</v>
      </c>
      <c r="B2338" s="3" t="s">
        <v>2526</v>
      </c>
      <c r="C2338" s="3" t="s">
        <v>2526</v>
      </c>
      <c r="D2338" s="3" t="s">
        <v>2510</v>
      </c>
      <c r="I2338" s="19">
        <v>7173</v>
      </c>
      <c r="J2338" s="19" t="s">
        <v>4566</v>
      </c>
    </row>
    <row r="2339" spans="1:10" x14ac:dyDescent="0.2">
      <c r="A2339" s="3">
        <v>5035</v>
      </c>
      <c r="B2339" s="3" t="s">
        <v>2527</v>
      </c>
      <c r="C2339" s="3" t="s">
        <v>2527</v>
      </c>
      <c r="D2339" s="3" t="s">
        <v>2510</v>
      </c>
      <c r="I2339" s="19">
        <v>7174</v>
      </c>
      <c r="J2339" s="19" t="s">
        <v>4566</v>
      </c>
    </row>
    <row r="2340" spans="1:10" x14ac:dyDescent="0.2">
      <c r="A2340" s="3">
        <v>5400</v>
      </c>
      <c r="B2340" s="3" t="s">
        <v>2528</v>
      </c>
      <c r="C2340" s="3" t="s">
        <v>2528</v>
      </c>
      <c r="D2340" s="3" t="s">
        <v>2510</v>
      </c>
      <c r="I2340" s="19">
        <v>7175</v>
      </c>
      <c r="J2340" s="19" t="s">
        <v>4566</v>
      </c>
    </row>
    <row r="2341" spans="1:10" x14ac:dyDescent="0.2">
      <c r="A2341" s="3">
        <v>5404</v>
      </c>
      <c r="B2341" s="3" t="s">
        <v>2528</v>
      </c>
      <c r="C2341" s="3" t="s">
        <v>2528</v>
      </c>
      <c r="D2341" s="3" t="s">
        <v>2510</v>
      </c>
      <c r="I2341" s="19">
        <v>7176</v>
      </c>
      <c r="J2341" s="19" t="s">
        <v>4566</v>
      </c>
    </row>
    <row r="2342" spans="1:10" x14ac:dyDescent="0.2">
      <c r="A2342" s="3">
        <v>5405</v>
      </c>
      <c r="B2342" s="3" t="s">
        <v>2529</v>
      </c>
      <c r="C2342" s="3" t="s">
        <v>2528</v>
      </c>
      <c r="D2342" s="3" t="s">
        <v>2510</v>
      </c>
      <c r="I2342" s="19">
        <v>7180</v>
      </c>
      <c r="J2342" s="19" t="s">
        <v>4566</v>
      </c>
    </row>
    <row r="2343" spans="1:10" x14ac:dyDescent="0.2">
      <c r="A2343" s="3">
        <v>5406</v>
      </c>
      <c r="B2343" s="3" t="s">
        <v>2530</v>
      </c>
      <c r="C2343" s="3" t="s">
        <v>2528</v>
      </c>
      <c r="D2343" s="3" t="s">
        <v>2510</v>
      </c>
      <c r="I2343" s="19">
        <v>7182</v>
      </c>
      <c r="J2343" s="19" t="s">
        <v>4566</v>
      </c>
    </row>
    <row r="2344" spans="1:10" x14ac:dyDescent="0.2">
      <c r="A2344" s="3">
        <v>5454</v>
      </c>
      <c r="B2344" s="3" t="s">
        <v>2531</v>
      </c>
      <c r="C2344" s="3" t="s">
        <v>2531</v>
      </c>
      <c r="D2344" s="3" t="s">
        <v>2510</v>
      </c>
      <c r="I2344" s="19">
        <v>7183</v>
      </c>
      <c r="J2344" s="19" t="s">
        <v>4566</v>
      </c>
    </row>
    <row r="2345" spans="1:10" x14ac:dyDescent="0.2">
      <c r="A2345" s="3">
        <v>8962</v>
      </c>
      <c r="B2345" s="3" t="s">
        <v>2532</v>
      </c>
      <c r="C2345" s="3" t="s">
        <v>2532</v>
      </c>
      <c r="D2345" s="3" t="s">
        <v>2510</v>
      </c>
      <c r="I2345" s="19">
        <v>7184</v>
      </c>
      <c r="J2345" s="19" t="s">
        <v>4566</v>
      </c>
    </row>
    <row r="2346" spans="1:10" x14ac:dyDescent="0.2">
      <c r="A2346" s="3">
        <v>5413</v>
      </c>
      <c r="B2346" s="3" t="s">
        <v>2533</v>
      </c>
      <c r="C2346" s="3" t="s">
        <v>2534</v>
      </c>
      <c r="D2346" s="3" t="s">
        <v>2510</v>
      </c>
      <c r="I2346" s="19">
        <v>7185</v>
      </c>
      <c r="J2346" s="19" t="s">
        <v>4566</v>
      </c>
    </row>
    <row r="2347" spans="1:10" x14ac:dyDescent="0.2">
      <c r="A2347" s="3">
        <v>5408</v>
      </c>
      <c r="B2347" s="3" t="s">
        <v>2535</v>
      </c>
      <c r="C2347" s="3" t="s">
        <v>2535</v>
      </c>
      <c r="D2347" s="3" t="s">
        <v>2510</v>
      </c>
      <c r="I2347" s="19">
        <v>7186</v>
      </c>
      <c r="J2347" s="19" t="s">
        <v>4566</v>
      </c>
    </row>
    <row r="2348" spans="1:10" x14ac:dyDescent="0.2">
      <c r="A2348" s="3">
        <v>5442</v>
      </c>
      <c r="B2348" s="3" t="s">
        <v>2536</v>
      </c>
      <c r="C2348" s="3" t="s">
        <v>2536</v>
      </c>
      <c r="D2348" s="3" t="s">
        <v>2510</v>
      </c>
      <c r="I2348" s="19">
        <v>7187</v>
      </c>
      <c r="J2348" s="19" t="s">
        <v>4566</v>
      </c>
    </row>
    <row r="2349" spans="1:10" x14ac:dyDescent="0.2">
      <c r="A2349" s="3">
        <v>5423</v>
      </c>
      <c r="B2349" s="3" t="s">
        <v>2537</v>
      </c>
      <c r="C2349" s="3" t="s">
        <v>2537</v>
      </c>
      <c r="D2349" s="3" t="s">
        <v>2510</v>
      </c>
      <c r="I2349" s="19">
        <v>7188</v>
      </c>
      <c r="J2349" s="19" t="s">
        <v>4566</v>
      </c>
    </row>
    <row r="2350" spans="1:10" x14ac:dyDescent="0.2">
      <c r="A2350" s="3">
        <v>5412</v>
      </c>
      <c r="B2350" s="3" t="s">
        <v>2538</v>
      </c>
      <c r="C2350" s="3" t="s">
        <v>2538</v>
      </c>
      <c r="D2350" s="3" t="s">
        <v>2510</v>
      </c>
      <c r="I2350" s="19">
        <v>7189</v>
      </c>
      <c r="J2350" s="19" t="s">
        <v>4566</v>
      </c>
    </row>
    <row r="2351" spans="1:10" x14ac:dyDescent="0.2">
      <c r="A2351" s="3">
        <v>5412</v>
      </c>
      <c r="B2351" s="3" t="s">
        <v>2539</v>
      </c>
      <c r="C2351" s="3" t="s">
        <v>2538</v>
      </c>
      <c r="D2351" s="3" t="s">
        <v>2510</v>
      </c>
      <c r="I2351" s="19">
        <v>7202</v>
      </c>
      <c r="J2351" s="19" t="s">
        <v>4568</v>
      </c>
    </row>
    <row r="2352" spans="1:10" x14ac:dyDescent="0.2">
      <c r="A2352" s="3">
        <v>8956</v>
      </c>
      <c r="B2352" s="3" t="s">
        <v>2540</v>
      </c>
      <c r="C2352" s="3" t="s">
        <v>2540</v>
      </c>
      <c r="D2352" s="3" t="s">
        <v>2510</v>
      </c>
      <c r="I2352" s="19">
        <v>7203</v>
      </c>
      <c r="J2352" s="19" t="s">
        <v>4568</v>
      </c>
    </row>
    <row r="2353" spans="1:10" x14ac:dyDescent="0.2">
      <c r="A2353" s="3">
        <v>5444</v>
      </c>
      <c r="B2353" s="3" t="s">
        <v>2541</v>
      </c>
      <c r="C2353" s="3" t="s">
        <v>2541</v>
      </c>
      <c r="D2353" s="3" t="s">
        <v>2510</v>
      </c>
      <c r="I2353" s="19">
        <v>7204</v>
      </c>
      <c r="J2353" s="19" t="s">
        <v>4568</v>
      </c>
    </row>
    <row r="2354" spans="1:10" x14ac:dyDescent="0.2">
      <c r="A2354" s="3">
        <v>5506</v>
      </c>
      <c r="B2354" s="3" t="s">
        <v>2542</v>
      </c>
      <c r="C2354" s="3" t="s">
        <v>2542</v>
      </c>
      <c r="D2354" s="3" t="s">
        <v>2510</v>
      </c>
      <c r="I2354" s="19">
        <v>7205</v>
      </c>
      <c r="J2354" s="19" t="s">
        <v>4568</v>
      </c>
    </row>
    <row r="2355" spans="1:10" x14ac:dyDescent="0.2">
      <c r="A2355" s="3">
        <v>5507</v>
      </c>
      <c r="B2355" s="3" t="s">
        <v>2543</v>
      </c>
      <c r="C2355" s="3" t="s">
        <v>2543</v>
      </c>
      <c r="D2355" s="3" t="s">
        <v>2510</v>
      </c>
      <c r="I2355" s="19">
        <v>7206</v>
      </c>
      <c r="J2355" s="19" t="s">
        <v>4568</v>
      </c>
    </row>
    <row r="2356" spans="1:10" x14ac:dyDescent="0.2">
      <c r="A2356" s="3">
        <v>5432</v>
      </c>
      <c r="B2356" s="3" t="s">
        <v>2544</v>
      </c>
      <c r="C2356" s="3" t="s">
        <v>2544</v>
      </c>
      <c r="D2356" s="3" t="s">
        <v>2510</v>
      </c>
      <c r="I2356" s="19">
        <v>7208</v>
      </c>
      <c r="J2356" s="19" t="s">
        <v>4568</v>
      </c>
    </row>
    <row r="2357" spans="1:10" x14ac:dyDescent="0.2">
      <c r="A2357" s="3">
        <v>5443</v>
      </c>
      <c r="B2357" s="3" t="s">
        <v>2545</v>
      </c>
      <c r="C2357" s="3" t="s">
        <v>2545</v>
      </c>
      <c r="D2357" s="3" t="s">
        <v>2510</v>
      </c>
      <c r="I2357" s="19">
        <v>7212</v>
      </c>
      <c r="J2357" s="19" t="s">
        <v>4568</v>
      </c>
    </row>
    <row r="2358" spans="1:10" x14ac:dyDescent="0.2">
      <c r="A2358" s="3">
        <v>5452</v>
      </c>
      <c r="B2358" s="3" t="s">
        <v>2546</v>
      </c>
      <c r="C2358" s="3" t="s">
        <v>2546</v>
      </c>
      <c r="D2358" s="3" t="s">
        <v>2510</v>
      </c>
      <c r="I2358" s="19">
        <v>7213</v>
      </c>
      <c r="J2358" s="19" t="s">
        <v>4568</v>
      </c>
    </row>
    <row r="2359" spans="1:10" x14ac:dyDescent="0.2">
      <c r="A2359" s="3">
        <v>5415</v>
      </c>
      <c r="B2359" s="3" t="s">
        <v>2547</v>
      </c>
      <c r="C2359" s="3" t="s">
        <v>2548</v>
      </c>
      <c r="D2359" s="3" t="s">
        <v>2510</v>
      </c>
      <c r="I2359" s="19">
        <v>7214</v>
      </c>
      <c r="J2359" s="19" t="s">
        <v>4568</v>
      </c>
    </row>
    <row r="2360" spans="1:10" x14ac:dyDescent="0.2">
      <c r="A2360" s="3">
        <v>5415</v>
      </c>
      <c r="B2360" s="3" t="s">
        <v>2549</v>
      </c>
      <c r="C2360" s="3" t="s">
        <v>2548</v>
      </c>
      <c r="D2360" s="3" t="s">
        <v>2510</v>
      </c>
      <c r="I2360" s="19">
        <v>7215</v>
      </c>
      <c r="J2360" s="19" t="s">
        <v>4568</v>
      </c>
    </row>
    <row r="2361" spans="1:10" x14ac:dyDescent="0.2">
      <c r="A2361" s="3">
        <v>5415</v>
      </c>
      <c r="B2361" s="3" t="s">
        <v>2550</v>
      </c>
      <c r="C2361" s="3" t="s">
        <v>2548</v>
      </c>
      <c r="D2361" s="3" t="s">
        <v>2510</v>
      </c>
      <c r="I2361" s="19">
        <v>7220</v>
      </c>
      <c r="J2361" s="19" t="s">
        <v>4568</v>
      </c>
    </row>
    <row r="2362" spans="1:10" x14ac:dyDescent="0.2">
      <c r="A2362" s="3">
        <v>5416</v>
      </c>
      <c r="B2362" s="3" t="s">
        <v>2551</v>
      </c>
      <c r="C2362" s="3" t="s">
        <v>2548</v>
      </c>
      <c r="D2362" s="3" t="s">
        <v>2510</v>
      </c>
      <c r="I2362" s="19">
        <v>7222</v>
      </c>
      <c r="J2362" s="19" t="s">
        <v>4568</v>
      </c>
    </row>
    <row r="2363" spans="1:10" x14ac:dyDescent="0.2">
      <c r="A2363" s="3">
        <v>5453</v>
      </c>
      <c r="B2363" s="3" t="s">
        <v>2552</v>
      </c>
      <c r="C2363" s="3" t="s">
        <v>2552</v>
      </c>
      <c r="D2363" s="3" t="s">
        <v>2510</v>
      </c>
      <c r="I2363" s="19">
        <v>7223</v>
      </c>
      <c r="J2363" s="19" t="s">
        <v>4568</v>
      </c>
    </row>
    <row r="2364" spans="1:10" x14ac:dyDescent="0.2">
      <c r="A2364" s="3">
        <v>8957</v>
      </c>
      <c r="B2364" s="3" t="s">
        <v>2553</v>
      </c>
      <c r="C2364" s="3" t="s">
        <v>2553</v>
      </c>
      <c r="D2364" s="3" t="s">
        <v>2510</v>
      </c>
      <c r="I2364" s="19">
        <v>7224</v>
      </c>
      <c r="J2364" s="19" t="s">
        <v>4568</v>
      </c>
    </row>
    <row r="2365" spans="1:10" x14ac:dyDescent="0.2">
      <c r="A2365" s="3">
        <v>5608</v>
      </c>
      <c r="B2365" s="3" t="s">
        <v>2554</v>
      </c>
      <c r="C2365" s="3" t="s">
        <v>2555</v>
      </c>
      <c r="D2365" s="3" t="s">
        <v>2510</v>
      </c>
      <c r="I2365" s="19">
        <v>7226</v>
      </c>
      <c r="J2365" s="19" t="s">
        <v>4569</v>
      </c>
    </row>
    <row r="2366" spans="1:10" x14ac:dyDescent="0.2">
      <c r="A2366" s="3">
        <v>5300</v>
      </c>
      <c r="B2366" s="3" t="s">
        <v>2556</v>
      </c>
      <c r="C2366" s="3" t="s">
        <v>2556</v>
      </c>
      <c r="D2366" s="3" t="s">
        <v>2510</v>
      </c>
      <c r="I2366" s="19">
        <v>7228</v>
      </c>
      <c r="J2366" s="19" t="s">
        <v>4568</v>
      </c>
    </row>
    <row r="2367" spans="1:10" x14ac:dyDescent="0.2">
      <c r="A2367" s="3">
        <v>5301</v>
      </c>
      <c r="B2367" s="3" t="s">
        <v>2557</v>
      </c>
      <c r="C2367" s="3" t="s">
        <v>2558</v>
      </c>
      <c r="D2367" s="3" t="s">
        <v>2510</v>
      </c>
      <c r="I2367" s="19">
        <v>7231</v>
      </c>
      <c r="J2367" s="19" t="s">
        <v>4568</v>
      </c>
    </row>
    <row r="2368" spans="1:10" x14ac:dyDescent="0.2">
      <c r="A2368" s="3">
        <v>5417</v>
      </c>
      <c r="B2368" s="3" t="s">
        <v>2558</v>
      </c>
      <c r="C2368" s="3" t="s">
        <v>2558</v>
      </c>
      <c r="D2368" s="3" t="s">
        <v>2510</v>
      </c>
      <c r="I2368" s="19">
        <v>7232</v>
      </c>
      <c r="J2368" s="19" t="s">
        <v>4568</v>
      </c>
    </row>
    <row r="2369" spans="1:10" x14ac:dyDescent="0.2">
      <c r="A2369" s="3">
        <v>5430</v>
      </c>
      <c r="B2369" s="3" t="s">
        <v>2559</v>
      </c>
      <c r="C2369" s="3" t="s">
        <v>2559</v>
      </c>
      <c r="D2369" s="3" t="s">
        <v>2510</v>
      </c>
      <c r="I2369" s="19">
        <v>7233</v>
      </c>
      <c r="J2369" s="19" t="s">
        <v>4568</v>
      </c>
    </row>
    <row r="2370" spans="1:10" x14ac:dyDescent="0.2">
      <c r="A2370" s="3">
        <v>5512</v>
      </c>
      <c r="B2370" s="3" t="s">
        <v>2560</v>
      </c>
      <c r="C2370" s="3" t="s">
        <v>2560</v>
      </c>
      <c r="D2370" s="3" t="s">
        <v>2510</v>
      </c>
      <c r="I2370" s="19">
        <v>7235</v>
      </c>
      <c r="J2370" s="19" t="s">
        <v>4568</v>
      </c>
    </row>
    <row r="2371" spans="1:10" x14ac:dyDescent="0.2">
      <c r="A2371" s="3">
        <v>5303</v>
      </c>
      <c r="B2371" s="3" t="s">
        <v>2561</v>
      </c>
      <c r="C2371" s="3" t="s">
        <v>2561</v>
      </c>
      <c r="D2371" s="3" t="s">
        <v>2510</v>
      </c>
      <c r="I2371" s="19">
        <v>7240</v>
      </c>
      <c r="J2371" s="19" t="s">
        <v>4568</v>
      </c>
    </row>
    <row r="2372" spans="1:10" x14ac:dyDescent="0.2">
      <c r="A2372" s="3">
        <v>5436</v>
      </c>
      <c r="B2372" s="3" t="s">
        <v>2562</v>
      </c>
      <c r="C2372" s="3" t="s">
        <v>2562</v>
      </c>
      <c r="D2372" s="3" t="s">
        <v>2510</v>
      </c>
      <c r="I2372" s="19">
        <v>7241</v>
      </c>
      <c r="J2372" s="19" t="s">
        <v>4568</v>
      </c>
    </row>
    <row r="2373" spans="1:10" x14ac:dyDescent="0.2">
      <c r="A2373" s="3">
        <v>8109</v>
      </c>
      <c r="B2373" s="3" t="s">
        <v>2563</v>
      </c>
      <c r="C2373" s="3" t="s">
        <v>2562</v>
      </c>
      <c r="D2373" s="3" t="s">
        <v>2510</v>
      </c>
      <c r="I2373" s="19">
        <v>7242</v>
      </c>
      <c r="J2373" s="19" t="s">
        <v>4568</v>
      </c>
    </row>
    <row r="2374" spans="1:10" x14ac:dyDescent="0.2">
      <c r="A2374" s="3">
        <v>5420</v>
      </c>
      <c r="B2374" s="3" t="s">
        <v>2564</v>
      </c>
      <c r="C2374" s="3" t="s">
        <v>2564</v>
      </c>
      <c r="D2374" s="3" t="s">
        <v>2510</v>
      </c>
      <c r="I2374" s="19">
        <v>7243</v>
      </c>
      <c r="J2374" s="19" t="s">
        <v>4569</v>
      </c>
    </row>
    <row r="2375" spans="1:10" x14ac:dyDescent="0.2">
      <c r="A2375" s="3">
        <v>8905</v>
      </c>
      <c r="B2375" s="3" t="s">
        <v>2565</v>
      </c>
      <c r="C2375" s="3" t="s">
        <v>2566</v>
      </c>
      <c r="D2375" s="3" t="s">
        <v>2510</v>
      </c>
      <c r="I2375" s="19">
        <v>7244</v>
      </c>
      <c r="J2375" s="19" t="s">
        <v>4569</v>
      </c>
    </row>
    <row r="2376" spans="1:10" x14ac:dyDescent="0.2">
      <c r="A2376" s="3">
        <v>8965</v>
      </c>
      <c r="B2376" s="3" t="s">
        <v>2567</v>
      </c>
      <c r="C2376" s="3" t="s">
        <v>2567</v>
      </c>
      <c r="D2376" s="3" t="s">
        <v>2510</v>
      </c>
      <c r="I2376" s="19">
        <v>7245</v>
      </c>
      <c r="J2376" s="19" t="s">
        <v>4569</v>
      </c>
    </row>
    <row r="2377" spans="1:10" x14ac:dyDescent="0.2">
      <c r="A2377" s="3">
        <v>5620</v>
      </c>
      <c r="B2377" s="3" t="s">
        <v>2568</v>
      </c>
      <c r="C2377" s="3" t="s">
        <v>2569</v>
      </c>
      <c r="D2377" s="3" t="s">
        <v>2510</v>
      </c>
      <c r="I2377" s="19">
        <v>7246</v>
      </c>
      <c r="J2377" s="19" t="s">
        <v>4569</v>
      </c>
    </row>
    <row r="2378" spans="1:10" x14ac:dyDescent="0.2">
      <c r="A2378" s="3">
        <v>5626</v>
      </c>
      <c r="B2378" s="3" t="s">
        <v>2570</v>
      </c>
      <c r="C2378" s="3" t="s">
        <v>2569</v>
      </c>
      <c r="D2378" s="3" t="s">
        <v>2510</v>
      </c>
      <c r="I2378" s="19">
        <v>7247</v>
      </c>
      <c r="J2378" s="19" t="s">
        <v>4568</v>
      </c>
    </row>
    <row r="2379" spans="1:10" x14ac:dyDescent="0.2">
      <c r="A2379" s="3">
        <v>5619</v>
      </c>
      <c r="B2379" s="3" t="s">
        <v>2571</v>
      </c>
      <c r="C2379" s="3" t="s">
        <v>2572</v>
      </c>
      <c r="D2379" s="3" t="s">
        <v>2510</v>
      </c>
      <c r="I2379" s="19">
        <v>7249</v>
      </c>
      <c r="J2379" s="19" t="s">
        <v>4568</v>
      </c>
    </row>
    <row r="2380" spans="1:10" x14ac:dyDescent="0.2">
      <c r="A2380" s="3">
        <v>5605</v>
      </c>
      <c r="B2380" s="3" t="s">
        <v>2573</v>
      </c>
      <c r="C2380" s="3" t="s">
        <v>2573</v>
      </c>
      <c r="D2380" s="3" t="s">
        <v>2510</v>
      </c>
      <c r="I2380" s="19">
        <v>7250</v>
      </c>
      <c r="J2380" s="19" t="s">
        <v>4569</v>
      </c>
    </row>
    <row r="2381" spans="1:10" x14ac:dyDescent="0.2">
      <c r="A2381" s="3">
        <v>5445</v>
      </c>
      <c r="B2381" s="3" t="s">
        <v>2574</v>
      </c>
      <c r="C2381" s="3" t="s">
        <v>2574</v>
      </c>
      <c r="D2381" s="3" t="s">
        <v>2510</v>
      </c>
      <c r="I2381" s="19">
        <v>7252</v>
      </c>
      <c r="J2381" s="19" t="s">
        <v>4569</v>
      </c>
    </row>
    <row r="2382" spans="1:10" x14ac:dyDescent="0.2">
      <c r="A2382" s="3">
        <v>5525</v>
      </c>
      <c r="B2382" s="3" t="s">
        <v>2575</v>
      </c>
      <c r="C2382" s="3" t="s">
        <v>2575</v>
      </c>
      <c r="D2382" s="3" t="s">
        <v>2510</v>
      </c>
      <c r="I2382" s="19">
        <v>7260</v>
      </c>
      <c r="J2382" s="19" t="s">
        <v>4569</v>
      </c>
    </row>
    <row r="2383" spans="1:10" x14ac:dyDescent="0.2">
      <c r="A2383" s="3">
        <v>5607</v>
      </c>
      <c r="B2383" s="3" t="s">
        <v>2576</v>
      </c>
      <c r="C2383" s="3" t="s">
        <v>2576</v>
      </c>
      <c r="D2383" s="3" t="s">
        <v>2510</v>
      </c>
      <c r="I2383" s="19">
        <v>7265</v>
      </c>
      <c r="J2383" s="19" t="s">
        <v>4569</v>
      </c>
    </row>
    <row r="2384" spans="1:10" x14ac:dyDescent="0.2">
      <c r="A2384" s="3">
        <v>8916</v>
      </c>
      <c r="B2384" s="3" t="s">
        <v>2577</v>
      </c>
      <c r="C2384" s="3" t="s">
        <v>2577</v>
      </c>
      <c r="D2384" s="3" t="s">
        <v>2510</v>
      </c>
      <c r="I2384" s="19">
        <v>7270</v>
      </c>
      <c r="J2384" s="19" t="s">
        <v>4569</v>
      </c>
    </row>
    <row r="2385" spans="1:10" x14ac:dyDescent="0.2">
      <c r="A2385" s="3">
        <v>5524</v>
      </c>
      <c r="B2385" s="3" t="s">
        <v>2578</v>
      </c>
      <c r="C2385" s="3" t="s">
        <v>2579</v>
      </c>
      <c r="D2385" s="3" t="s">
        <v>2510</v>
      </c>
      <c r="I2385" s="19">
        <v>7272</v>
      </c>
      <c r="J2385" s="19" t="s">
        <v>4569</v>
      </c>
    </row>
    <row r="2386" spans="1:10" x14ac:dyDescent="0.2">
      <c r="A2386" s="3">
        <v>5524</v>
      </c>
      <c r="B2386" s="3" t="s">
        <v>2580</v>
      </c>
      <c r="C2386" s="3" t="s">
        <v>2579</v>
      </c>
      <c r="D2386" s="3" t="s">
        <v>2510</v>
      </c>
      <c r="I2386" s="19">
        <v>7276</v>
      </c>
      <c r="J2386" s="19" t="s">
        <v>4569</v>
      </c>
    </row>
    <row r="2387" spans="1:10" x14ac:dyDescent="0.2">
      <c r="A2387" s="3">
        <v>8917</v>
      </c>
      <c r="B2387" s="3" t="s">
        <v>2581</v>
      </c>
      <c r="C2387" s="3" t="s">
        <v>2581</v>
      </c>
      <c r="D2387" s="3" t="s">
        <v>2510</v>
      </c>
      <c r="I2387" s="19">
        <v>7277</v>
      </c>
      <c r="J2387" s="19" t="s">
        <v>4569</v>
      </c>
    </row>
    <row r="2388" spans="1:10" x14ac:dyDescent="0.2">
      <c r="A2388" s="3">
        <v>8966</v>
      </c>
      <c r="B2388" s="3" t="s">
        <v>2582</v>
      </c>
      <c r="C2388" s="3" t="s">
        <v>2582</v>
      </c>
      <c r="D2388" s="3" t="s">
        <v>2510</v>
      </c>
      <c r="I2388" s="19">
        <v>7278</v>
      </c>
      <c r="J2388" s="19" t="s">
        <v>4569</v>
      </c>
    </row>
    <row r="2389" spans="1:10" x14ac:dyDescent="0.2">
      <c r="A2389" s="3">
        <v>8964</v>
      </c>
      <c r="B2389" s="3" t="s">
        <v>2583</v>
      </c>
      <c r="C2389" s="3" t="s">
        <v>2584</v>
      </c>
      <c r="D2389" s="3" t="s">
        <v>2510</v>
      </c>
      <c r="I2389" s="19">
        <v>7302</v>
      </c>
      <c r="J2389" s="19" t="s">
        <v>4568</v>
      </c>
    </row>
    <row r="2390" spans="1:10" x14ac:dyDescent="0.2">
      <c r="A2390" s="3">
        <v>5614</v>
      </c>
      <c r="B2390" s="3" t="s">
        <v>2585</v>
      </c>
      <c r="C2390" s="3" t="s">
        <v>2585</v>
      </c>
      <c r="D2390" s="3" t="s">
        <v>2510</v>
      </c>
      <c r="I2390" s="19">
        <v>7303</v>
      </c>
      <c r="J2390" s="19" t="s">
        <v>4568</v>
      </c>
    </row>
    <row r="2391" spans="1:10" x14ac:dyDescent="0.2">
      <c r="A2391" s="3">
        <v>5522</v>
      </c>
      <c r="B2391" s="3" t="s">
        <v>2586</v>
      </c>
      <c r="C2391" s="3" t="s">
        <v>2586</v>
      </c>
      <c r="D2391" s="3" t="s">
        <v>2510</v>
      </c>
      <c r="I2391" s="19">
        <v>7304</v>
      </c>
      <c r="J2391" s="19" t="s">
        <v>4568</v>
      </c>
    </row>
    <row r="2392" spans="1:10" x14ac:dyDescent="0.2">
      <c r="A2392" s="3">
        <v>5619</v>
      </c>
      <c r="B2392" s="3" t="s">
        <v>2587</v>
      </c>
      <c r="C2392" s="3" t="s">
        <v>2587</v>
      </c>
      <c r="D2392" s="3" t="s">
        <v>2510</v>
      </c>
      <c r="I2392" s="19">
        <v>7306</v>
      </c>
      <c r="J2392" s="19" t="s">
        <v>4568</v>
      </c>
    </row>
    <row r="2393" spans="1:10" x14ac:dyDescent="0.2">
      <c r="A2393" s="3">
        <v>8918</v>
      </c>
      <c r="B2393" s="3" t="s">
        <v>2588</v>
      </c>
      <c r="C2393" s="3" t="s">
        <v>2588</v>
      </c>
      <c r="D2393" s="3" t="s">
        <v>2510</v>
      </c>
      <c r="I2393" s="19">
        <v>7307</v>
      </c>
      <c r="J2393" s="19" t="s">
        <v>4568</v>
      </c>
    </row>
    <row r="2394" spans="1:10" x14ac:dyDescent="0.2">
      <c r="A2394" s="3">
        <v>5612</v>
      </c>
      <c r="B2394" s="3" t="s">
        <v>2589</v>
      </c>
      <c r="C2394" s="3" t="s">
        <v>2589</v>
      </c>
      <c r="D2394" s="3" t="s">
        <v>2510</v>
      </c>
      <c r="I2394" s="19">
        <v>7310</v>
      </c>
      <c r="J2394" s="19" t="s">
        <v>4568</v>
      </c>
    </row>
    <row r="2395" spans="1:10" x14ac:dyDescent="0.2">
      <c r="A2395" s="3">
        <v>5613</v>
      </c>
      <c r="B2395" s="3" t="s">
        <v>2590</v>
      </c>
      <c r="C2395" s="3" t="s">
        <v>2589</v>
      </c>
      <c r="D2395" s="3" t="s">
        <v>2510</v>
      </c>
      <c r="I2395" s="19">
        <v>7312</v>
      </c>
      <c r="J2395" s="19" t="s">
        <v>4568</v>
      </c>
    </row>
    <row r="2396" spans="1:10" x14ac:dyDescent="0.2">
      <c r="A2396" s="3">
        <v>8967</v>
      </c>
      <c r="B2396" s="3" t="s">
        <v>2591</v>
      </c>
      <c r="C2396" s="3" t="s">
        <v>2591</v>
      </c>
      <c r="D2396" s="3" t="s">
        <v>2510</v>
      </c>
      <c r="I2396" s="19">
        <v>7313</v>
      </c>
      <c r="J2396" s="19" t="s">
        <v>4568</v>
      </c>
    </row>
    <row r="2397" spans="1:10" x14ac:dyDescent="0.2">
      <c r="A2397" s="3">
        <v>5610</v>
      </c>
      <c r="B2397" s="3" t="s">
        <v>2592</v>
      </c>
      <c r="C2397" s="3" t="s">
        <v>2593</v>
      </c>
      <c r="D2397" s="3" t="s">
        <v>2510</v>
      </c>
      <c r="I2397" s="19">
        <v>7314</v>
      </c>
      <c r="J2397" s="19" t="s">
        <v>4568</v>
      </c>
    </row>
    <row r="2398" spans="1:10" x14ac:dyDescent="0.2">
      <c r="A2398" s="3">
        <v>5611</v>
      </c>
      <c r="B2398" s="3" t="s">
        <v>2594</v>
      </c>
      <c r="C2398" s="3" t="s">
        <v>2593</v>
      </c>
      <c r="D2398" s="3" t="s">
        <v>2510</v>
      </c>
      <c r="I2398" s="19">
        <v>7315</v>
      </c>
      <c r="J2398" s="19" t="s">
        <v>4568</v>
      </c>
    </row>
    <row r="2399" spans="1:10" x14ac:dyDescent="0.2">
      <c r="A2399" s="3">
        <v>5621</v>
      </c>
      <c r="B2399" s="3" t="s">
        <v>2595</v>
      </c>
      <c r="C2399" s="3" t="s">
        <v>2595</v>
      </c>
      <c r="D2399" s="3" t="s">
        <v>2510</v>
      </c>
      <c r="I2399" s="19">
        <v>7317</v>
      </c>
      <c r="J2399" s="19" t="s">
        <v>4568</v>
      </c>
    </row>
    <row r="2400" spans="1:10" x14ac:dyDescent="0.2">
      <c r="A2400" s="3">
        <v>8905</v>
      </c>
      <c r="B2400" s="3" t="s">
        <v>2596</v>
      </c>
      <c r="C2400" s="3" t="s">
        <v>2596</v>
      </c>
      <c r="D2400" s="3" t="s">
        <v>2510</v>
      </c>
      <c r="I2400" s="19">
        <v>7320</v>
      </c>
      <c r="J2400" s="19" t="s">
        <v>4568</v>
      </c>
    </row>
    <row r="2401" spans="1:10" x14ac:dyDescent="0.2">
      <c r="A2401" s="3">
        <v>5105</v>
      </c>
      <c r="B2401" s="3" t="s">
        <v>2597</v>
      </c>
      <c r="C2401" s="3" t="s">
        <v>2597</v>
      </c>
      <c r="D2401" s="3" t="s">
        <v>2510</v>
      </c>
      <c r="I2401" s="19">
        <v>7323</v>
      </c>
      <c r="J2401" s="19" t="s">
        <v>4568</v>
      </c>
    </row>
    <row r="2402" spans="1:10" x14ac:dyDescent="0.2">
      <c r="A2402" s="3">
        <v>5242</v>
      </c>
      <c r="B2402" s="3" t="s">
        <v>2598</v>
      </c>
      <c r="C2402" s="3" t="s">
        <v>2598</v>
      </c>
      <c r="D2402" s="3" t="s">
        <v>2510</v>
      </c>
      <c r="I2402" s="19">
        <v>7324</v>
      </c>
      <c r="J2402" s="19" t="s">
        <v>4568</v>
      </c>
    </row>
    <row r="2403" spans="1:10" x14ac:dyDescent="0.2">
      <c r="A2403" s="3">
        <v>5244</v>
      </c>
      <c r="B2403" s="3" t="s">
        <v>2599</v>
      </c>
      <c r="C2403" s="3" t="s">
        <v>2599</v>
      </c>
      <c r="D2403" s="3" t="s">
        <v>2510</v>
      </c>
      <c r="I2403" s="19">
        <v>7325</v>
      </c>
      <c r="J2403" s="19" t="s">
        <v>4570</v>
      </c>
    </row>
    <row r="2404" spans="1:10" x14ac:dyDescent="0.2">
      <c r="A2404" s="3">
        <v>5116</v>
      </c>
      <c r="B2404" s="3" t="s">
        <v>2600</v>
      </c>
      <c r="C2404" s="3" t="s">
        <v>2601</v>
      </c>
      <c r="D2404" s="3" t="s">
        <v>2510</v>
      </c>
      <c r="I2404" s="19">
        <v>7326</v>
      </c>
      <c r="J2404" s="19" t="s">
        <v>4571</v>
      </c>
    </row>
    <row r="2405" spans="1:10" x14ac:dyDescent="0.2">
      <c r="A2405" s="3">
        <v>5200</v>
      </c>
      <c r="B2405" s="3" t="s">
        <v>2602</v>
      </c>
      <c r="C2405" s="3" t="s">
        <v>2601</v>
      </c>
      <c r="D2405" s="3" t="s">
        <v>2510</v>
      </c>
      <c r="I2405" s="19">
        <v>7402</v>
      </c>
      <c r="J2405" s="19" t="s">
        <v>4568</v>
      </c>
    </row>
    <row r="2406" spans="1:10" x14ac:dyDescent="0.2">
      <c r="A2406" s="3">
        <v>5222</v>
      </c>
      <c r="B2406" s="3" t="s">
        <v>2603</v>
      </c>
      <c r="C2406" s="3" t="s">
        <v>2601</v>
      </c>
      <c r="D2406" s="3" t="s">
        <v>2510</v>
      </c>
      <c r="I2406" s="19">
        <v>7403</v>
      </c>
      <c r="J2406" s="19" t="s">
        <v>4568</v>
      </c>
    </row>
    <row r="2407" spans="1:10" x14ac:dyDescent="0.2">
      <c r="A2407" s="3">
        <v>5245</v>
      </c>
      <c r="B2407" s="3" t="s">
        <v>2604</v>
      </c>
      <c r="C2407" s="3" t="s">
        <v>2604</v>
      </c>
      <c r="D2407" s="3" t="s">
        <v>2510</v>
      </c>
      <c r="I2407" s="19">
        <v>7404</v>
      </c>
      <c r="J2407" s="19" t="s">
        <v>4568</v>
      </c>
    </row>
    <row r="2408" spans="1:10" x14ac:dyDescent="0.2">
      <c r="A2408" s="3">
        <v>5212</v>
      </c>
      <c r="B2408" s="3" t="s">
        <v>2605</v>
      </c>
      <c r="C2408" s="3" t="s">
        <v>2606</v>
      </c>
      <c r="D2408" s="3" t="s">
        <v>2510</v>
      </c>
      <c r="I2408" s="19">
        <v>7405</v>
      </c>
      <c r="J2408" s="19" t="s">
        <v>4568</v>
      </c>
    </row>
    <row r="2409" spans="1:10" x14ac:dyDescent="0.2">
      <c r="A2409" s="3">
        <v>5242</v>
      </c>
      <c r="B2409" s="3" t="s">
        <v>2607</v>
      </c>
      <c r="C2409" s="3" t="s">
        <v>2607</v>
      </c>
      <c r="D2409" s="3" t="s">
        <v>2510</v>
      </c>
      <c r="I2409" s="19">
        <v>7407</v>
      </c>
      <c r="J2409" s="19" t="s">
        <v>4568</v>
      </c>
    </row>
    <row r="2410" spans="1:10" x14ac:dyDescent="0.2">
      <c r="A2410" s="3">
        <v>5246</v>
      </c>
      <c r="B2410" s="3" t="s">
        <v>2608</v>
      </c>
      <c r="C2410" s="3" t="s">
        <v>2607</v>
      </c>
      <c r="D2410" s="3" t="s">
        <v>2510</v>
      </c>
      <c r="I2410" s="19">
        <v>7408</v>
      </c>
      <c r="J2410" s="19" t="s">
        <v>4568</v>
      </c>
    </row>
    <row r="2411" spans="1:10" x14ac:dyDescent="0.2">
      <c r="A2411" s="3">
        <v>5318</v>
      </c>
      <c r="B2411" s="3" t="s">
        <v>2609</v>
      </c>
      <c r="C2411" s="3" t="s">
        <v>2609</v>
      </c>
      <c r="D2411" s="3" t="s">
        <v>2510</v>
      </c>
      <c r="I2411" s="19">
        <v>7411</v>
      </c>
      <c r="J2411" s="19" t="s">
        <v>4568</v>
      </c>
    </row>
    <row r="2412" spans="1:10" x14ac:dyDescent="0.2">
      <c r="A2412" s="3">
        <v>5237</v>
      </c>
      <c r="B2412" s="3" t="s">
        <v>2610</v>
      </c>
      <c r="C2412" s="3" t="s">
        <v>2610</v>
      </c>
      <c r="D2412" s="3" t="s">
        <v>2510</v>
      </c>
      <c r="I2412" s="19">
        <v>7412</v>
      </c>
      <c r="J2412" s="19" t="s">
        <v>4568</v>
      </c>
    </row>
    <row r="2413" spans="1:10" x14ac:dyDescent="0.2">
      <c r="A2413" s="3">
        <v>5243</v>
      </c>
      <c r="B2413" s="3" t="s">
        <v>2611</v>
      </c>
      <c r="C2413" s="3" t="s">
        <v>2611</v>
      </c>
      <c r="D2413" s="3" t="s">
        <v>2510</v>
      </c>
      <c r="I2413" s="19">
        <v>7413</v>
      </c>
      <c r="J2413" s="19" t="s">
        <v>4568</v>
      </c>
    </row>
    <row r="2414" spans="1:10" x14ac:dyDescent="0.2">
      <c r="A2414" s="3">
        <v>5236</v>
      </c>
      <c r="B2414" s="3" t="s">
        <v>2612</v>
      </c>
      <c r="C2414" s="3" t="s">
        <v>2612</v>
      </c>
      <c r="D2414" s="3" t="s">
        <v>2510</v>
      </c>
      <c r="I2414" s="19">
        <v>7414</v>
      </c>
      <c r="J2414" s="19" t="s">
        <v>4568</v>
      </c>
    </row>
    <row r="2415" spans="1:10" x14ac:dyDescent="0.2">
      <c r="A2415" s="3">
        <v>5223</v>
      </c>
      <c r="B2415" s="3" t="s">
        <v>2613</v>
      </c>
      <c r="C2415" s="3" t="s">
        <v>2613</v>
      </c>
      <c r="D2415" s="3" t="s">
        <v>2510</v>
      </c>
      <c r="I2415" s="19">
        <v>7415</v>
      </c>
      <c r="J2415" s="19" t="s">
        <v>4568</v>
      </c>
    </row>
    <row r="2416" spans="1:10" x14ac:dyDescent="0.2">
      <c r="A2416" s="3">
        <v>5235</v>
      </c>
      <c r="B2416" s="3" t="s">
        <v>2614</v>
      </c>
      <c r="C2416" s="3" t="s">
        <v>2615</v>
      </c>
      <c r="D2416" s="3" t="s">
        <v>2510</v>
      </c>
      <c r="I2416" s="19">
        <v>7416</v>
      </c>
      <c r="J2416" s="19" t="s">
        <v>4568</v>
      </c>
    </row>
    <row r="2417" spans="1:10" x14ac:dyDescent="0.2">
      <c r="A2417" s="3">
        <v>5112</v>
      </c>
      <c r="B2417" s="3" t="s">
        <v>2616</v>
      </c>
      <c r="C2417" s="3" t="s">
        <v>2617</v>
      </c>
      <c r="D2417" s="3" t="s">
        <v>2510</v>
      </c>
      <c r="I2417" s="19">
        <v>7417</v>
      </c>
      <c r="J2417" s="19" t="s">
        <v>4568</v>
      </c>
    </row>
    <row r="2418" spans="1:10" x14ac:dyDescent="0.2">
      <c r="A2418" s="3">
        <v>5106</v>
      </c>
      <c r="B2418" s="3" t="s">
        <v>2618</v>
      </c>
      <c r="C2418" s="3" t="s">
        <v>2619</v>
      </c>
      <c r="D2418" s="3" t="s">
        <v>2510</v>
      </c>
      <c r="I2418" s="19">
        <v>7418</v>
      </c>
      <c r="J2418" s="19" t="s">
        <v>4568</v>
      </c>
    </row>
    <row r="2419" spans="1:10" x14ac:dyDescent="0.2">
      <c r="A2419" s="3">
        <v>5233</v>
      </c>
      <c r="B2419" s="3" t="s">
        <v>2620</v>
      </c>
      <c r="C2419" s="3" t="s">
        <v>2621</v>
      </c>
      <c r="D2419" s="3" t="s">
        <v>2510</v>
      </c>
      <c r="I2419" s="19">
        <v>7419</v>
      </c>
      <c r="J2419" s="19" t="s">
        <v>4568</v>
      </c>
    </row>
    <row r="2420" spans="1:10" x14ac:dyDescent="0.2">
      <c r="A2420" s="3">
        <v>5234</v>
      </c>
      <c r="B2420" s="3" t="s">
        <v>2621</v>
      </c>
      <c r="C2420" s="3" t="s">
        <v>2621</v>
      </c>
      <c r="D2420" s="3" t="s">
        <v>2510</v>
      </c>
      <c r="I2420" s="19">
        <v>7421</v>
      </c>
      <c r="J2420" s="19" t="s">
        <v>4568</v>
      </c>
    </row>
    <row r="2421" spans="1:10" x14ac:dyDescent="0.2">
      <c r="A2421" s="3">
        <v>5213</v>
      </c>
      <c r="B2421" s="3" t="s">
        <v>2622</v>
      </c>
      <c r="C2421" s="3" t="s">
        <v>2622</v>
      </c>
      <c r="D2421" s="3" t="s">
        <v>2510</v>
      </c>
      <c r="I2421" s="19">
        <v>7422</v>
      </c>
      <c r="J2421" s="19" t="s">
        <v>4568</v>
      </c>
    </row>
    <row r="2422" spans="1:10" x14ac:dyDescent="0.2">
      <c r="A2422" s="3">
        <v>5210</v>
      </c>
      <c r="B2422" s="3" t="s">
        <v>2623</v>
      </c>
      <c r="C2422" s="3" t="s">
        <v>2623</v>
      </c>
      <c r="D2422" s="3" t="s">
        <v>2510</v>
      </c>
      <c r="I2422" s="19">
        <v>7423</v>
      </c>
      <c r="J2422" s="19" t="s">
        <v>4568</v>
      </c>
    </row>
    <row r="2423" spans="1:10" x14ac:dyDescent="0.2">
      <c r="A2423" s="3">
        <v>5225</v>
      </c>
      <c r="B2423" s="3" t="s">
        <v>2624</v>
      </c>
      <c r="C2423" s="3" t="s">
        <v>2624</v>
      </c>
      <c r="D2423" s="3" t="s">
        <v>2510</v>
      </c>
      <c r="I2423" s="19">
        <v>7424</v>
      </c>
      <c r="J2423" s="19" t="s">
        <v>4568</v>
      </c>
    </row>
    <row r="2424" spans="1:10" x14ac:dyDescent="0.2">
      <c r="A2424" s="3">
        <v>5107</v>
      </c>
      <c r="B2424" s="3" t="s">
        <v>2625</v>
      </c>
      <c r="C2424" s="3" t="s">
        <v>2626</v>
      </c>
      <c r="D2424" s="3" t="s">
        <v>2510</v>
      </c>
      <c r="I2424" s="19">
        <v>7425</v>
      </c>
      <c r="J2424" s="19" t="s">
        <v>4568</v>
      </c>
    </row>
    <row r="2425" spans="1:10" x14ac:dyDescent="0.2">
      <c r="A2425" s="3">
        <v>5108</v>
      </c>
      <c r="B2425" s="3" t="s">
        <v>2627</v>
      </c>
      <c r="C2425" s="3" t="s">
        <v>2626</v>
      </c>
      <c r="D2425" s="3" t="s">
        <v>2510</v>
      </c>
      <c r="I2425" s="19">
        <v>7426</v>
      </c>
      <c r="J2425" s="19" t="s">
        <v>4568</v>
      </c>
    </row>
    <row r="2426" spans="1:10" x14ac:dyDescent="0.2">
      <c r="A2426" s="3">
        <v>5712</v>
      </c>
      <c r="B2426" s="3" t="s">
        <v>2628</v>
      </c>
      <c r="C2426" s="3" t="s">
        <v>2628</v>
      </c>
      <c r="D2426" s="3" t="s">
        <v>2510</v>
      </c>
      <c r="I2426" s="19">
        <v>7427</v>
      </c>
      <c r="J2426" s="19" t="s">
        <v>4568</v>
      </c>
    </row>
    <row r="2427" spans="1:10" x14ac:dyDescent="0.2">
      <c r="A2427" s="3">
        <v>5708</v>
      </c>
      <c r="B2427" s="3" t="s">
        <v>2629</v>
      </c>
      <c r="C2427" s="3" t="s">
        <v>2629</v>
      </c>
      <c r="D2427" s="3" t="s">
        <v>2510</v>
      </c>
      <c r="I2427" s="19">
        <v>7428</v>
      </c>
      <c r="J2427" s="19" t="s">
        <v>4564</v>
      </c>
    </row>
    <row r="2428" spans="1:10" x14ac:dyDescent="0.2">
      <c r="A2428" s="3">
        <v>5736</v>
      </c>
      <c r="B2428" s="3" t="s">
        <v>2630</v>
      </c>
      <c r="C2428" s="3" t="s">
        <v>2631</v>
      </c>
      <c r="D2428" s="3" t="s">
        <v>2510</v>
      </c>
      <c r="I2428" s="19">
        <v>7430</v>
      </c>
      <c r="J2428" s="19" t="s">
        <v>4568</v>
      </c>
    </row>
    <row r="2429" spans="1:10" x14ac:dyDescent="0.2">
      <c r="A2429" s="3">
        <v>5724</v>
      </c>
      <c r="B2429" s="3" t="s">
        <v>2632</v>
      </c>
      <c r="C2429" s="3" t="s">
        <v>2632</v>
      </c>
      <c r="D2429" s="3" t="s">
        <v>2510</v>
      </c>
      <c r="I2429" s="19">
        <v>7431</v>
      </c>
      <c r="J2429" s="19" t="s">
        <v>4568</v>
      </c>
    </row>
    <row r="2430" spans="1:10" x14ac:dyDescent="0.2">
      <c r="A2430" s="3">
        <v>5728</v>
      </c>
      <c r="B2430" s="3" t="s">
        <v>2633</v>
      </c>
      <c r="C2430" s="3" t="s">
        <v>2633</v>
      </c>
      <c r="D2430" s="3" t="s">
        <v>2510</v>
      </c>
      <c r="I2430" s="19">
        <v>7432</v>
      </c>
      <c r="J2430" s="19" t="s">
        <v>4568</v>
      </c>
    </row>
    <row r="2431" spans="1:10" x14ac:dyDescent="0.2">
      <c r="A2431" s="3">
        <v>5043</v>
      </c>
      <c r="B2431" s="3" t="s">
        <v>2634</v>
      </c>
      <c r="C2431" s="3" t="s">
        <v>2634</v>
      </c>
      <c r="D2431" s="3" t="s">
        <v>2510</v>
      </c>
      <c r="I2431" s="19">
        <v>7433</v>
      </c>
      <c r="J2431" s="19" t="s">
        <v>4568</v>
      </c>
    </row>
    <row r="2432" spans="1:10" x14ac:dyDescent="0.2">
      <c r="A2432" s="3">
        <v>5733</v>
      </c>
      <c r="B2432" s="3" t="s">
        <v>2635</v>
      </c>
      <c r="C2432" s="3" t="s">
        <v>2636</v>
      </c>
      <c r="D2432" s="3" t="s">
        <v>2510</v>
      </c>
      <c r="I2432" s="19">
        <v>7434</v>
      </c>
      <c r="J2432" s="19" t="s">
        <v>4564</v>
      </c>
    </row>
    <row r="2433" spans="1:10" x14ac:dyDescent="0.2">
      <c r="A2433" s="3">
        <v>5725</v>
      </c>
      <c r="B2433" s="3" t="s">
        <v>2637</v>
      </c>
      <c r="C2433" s="3" t="s">
        <v>2637</v>
      </c>
      <c r="D2433" s="3" t="s">
        <v>2510</v>
      </c>
      <c r="I2433" s="19">
        <v>7435</v>
      </c>
      <c r="J2433" s="19" t="s">
        <v>4564</v>
      </c>
    </row>
    <row r="2434" spans="1:10" x14ac:dyDescent="0.2">
      <c r="A2434" s="3">
        <v>5737</v>
      </c>
      <c r="B2434" s="3" t="s">
        <v>2638</v>
      </c>
      <c r="C2434" s="3" t="s">
        <v>2638</v>
      </c>
      <c r="D2434" s="3" t="s">
        <v>2510</v>
      </c>
      <c r="I2434" s="19">
        <v>7436</v>
      </c>
      <c r="J2434" s="19" t="s">
        <v>4564</v>
      </c>
    </row>
    <row r="2435" spans="1:10" x14ac:dyDescent="0.2">
      <c r="A2435" s="3">
        <v>5727</v>
      </c>
      <c r="B2435" s="3" t="s">
        <v>2639</v>
      </c>
      <c r="C2435" s="3" t="s">
        <v>2639</v>
      </c>
      <c r="D2435" s="3" t="s">
        <v>2510</v>
      </c>
      <c r="I2435" s="19">
        <v>7437</v>
      </c>
      <c r="J2435" s="19" t="s">
        <v>4564</v>
      </c>
    </row>
    <row r="2436" spans="1:10" x14ac:dyDescent="0.2">
      <c r="A2436" s="3">
        <v>5734</v>
      </c>
      <c r="B2436" s="3" t="s">
        <v>2640</v>
      </c>
      <c r="C2436" s="3" t="s">
        <v>2641</v>
      </c>
      <c r="D2436" s="3" t="s">
        <v>2510</v>
      </c>
      <c r="I2436" s="19">
        <v>7438</v>
      </c>
      <c r="J2436" s="19" t="s">
        <v>4564</v>
      </c>
    </row>
    <row r="2437" spans="1:10" x14ac:dyDescent="0.2">
      <c r="A2437" s="3">
        <v>5044</v>
      </c>
      <c r="B2437" s="3" t="s">
        <v>2642</v>
      </c>
      <c r="C2437" s="3" t="s">
        <v>2642</v>
      </c>
      <c r="D2437" s="3" t="s">
        <v>2510</v>
      </c>
      <c r="I2437" s="19">
        <v>7440</v>
      </c>
      <c r="J2437" s="19" t="s">
        <v>4568</v>
      </c>
    </row>
    <row r="2438" spans="1:10" x14ac:dyDescent="0.2">
      <c r="A2438" s="3">
        <v>5046</v>
      </c>
      <c r="B2438" s="3" t="s">
        <v>2643</v>
      </c>
      <c r="C2438" s="3" t="s">
        <v>2643</v>
      </c>
      <c r="D2438" s="3" t="s">
        <v>2510</v>
      </c>
      <c r="I2438" s="19">
        <v>7442</v>
      </c>
      <c r="J2438" s="19" t="s">
        <v>4568</v>
      </c>
    </row>
    <row r="2439" spans="1:10" x14ac:dyDescent="0.2">
      <c r="A2439" s="3">
        <v>5046</v>
      </c>
      <c r="B2439" s="3" t="s">
        <v>2644</v>
      </c>
      <c r="C2439" s="3" t="s">
        <v>2643</v>
      </c>
      <c r="D2439" s="3" t="s">
        <v>2510</v>
      </c>
      <c r="I2439" s="19">
        <v>7443</v>
      </c>
      <c r="J2439" s="19" t="s">
        <v>4568</v>
      </c>
    </row>
    <row r="2440" spans="1:10" x14ac:dyDescent="0.2">
      <c r="A2440" s="3">
        <v>5040</v>
      </c>
      <c r="B2440" s="3" t="s">
        <v>2645</v>
      </c>
      <c r="C2440" s="3" t="s">
        <v>2645</v>
      </c>
      <c r="D2440" s="3" t="s">
        <v>2510</v>
      </c>
      <c r="I2440" s="19">
        <v>7444</v>
      </c>
      <c r="J2440" s="19" t="s">
        <v>4564</v>
      </c>
    </row>
    <row r="2441" spans="1:10" x14ac:dyDescent="0.2">
      <c r="A2441" s="3">
        <v>5723</v>
      </c>
      <c r="B2441" s="3" t="s">
        <v>2646</v>
      </c>
      <c r="C2441" s="3" t="s">
        <v>2647</v>
      </c>
      <c r="D2441" s="3" t="s">
        <v>2510</v>
      </c>
      <c r="I2441" s="19">
        <v>7445</v>
      </c>
      <c r="J2441" s="19" t="s">
        <v>4564</v>
      </c>
    </row>
    <row r="2442" spans="1:10" x14ac:dyDescent="0.2">
      <c r="A2442" s="3">
        <v>5726</v>
      </c>
      <c r="B2442" s="3" t="s">
        <v>2648</v>
      </c>
      <c r="C2442" s="3" t="s">
        <v>2648</v>
      </c>
      <c r="D2442" s="3" t="s">
        <v>2510</v>
      </c>
      <c r="I2442" s="19">
        <v>7447</v>
      </c>
      <c r="J2442" s="19" t="s">
        <v>4564</v>
      </c>
    </row>
    <row r="2443" spans="1:10" x14ac:dyDescent="0.2">
      <c r="A2443" s="3">
        <v>5732</v>
      </c>
      <c r="B2443" s="3" t="s">
        <v>2649</v>
      </c>
      <c r="C2443" s="3" t="s">
        <v>2649</v>
      </c>
      <c r="D2443" s="3" t="s">
        <v>2510</v>
      </c>
      <c r="I2443" s="19">
        <v>7448</v>
      </c>
      <c r="J2443" s="19" t="s">
        <v>4564</v>
      </c>
    </row>
    <row r="2444" spans="1:10" x14ac:dyDescent="0.2">
      <c r="A2444" s="3">
        <v>5074</v>
      </c>
      <c r="B2444" s="3" t="s">
        <v>2650</v>
      </c>
      <c r="C2444" s="3" t="s">
        <v>2650</v>
      </c>
      <c r="D2444" s="3" t="s">
        <v>2510</v>
      </c>
      <c r="I2444" s="19">
        <v>7450</v>
      </c>
      <c r="J2444" s="19" t="s">
        <v>4568</v>
      </c>
    </row>
    <row r="2445" spans="1:10" x14ac:dyDescent="0.2">
      <c r="A2445" s="3">
        <v>5070</v>
      </c>
      <c r="B2445" s="3" t="s">
        <v>2651</v>
      </c>
      <c r="C2445" s="3" t="s">
        <v>2651</v>
      </c>
      <c r="D2445" s="3" t="s">
        <v>2510</v>
      </c>
      <c r="I2445" s="19">
        <v>7451</v>
      </c>
      <c r="J2445" s="19" t="s">
        <v>4568</v>
      </c>
    </row>
    <row r="2446" spans="1:10" x14ac:dyDescent="0.2">
      <c r="A2446" s="3">
        <v>5272</v>
      </c>
      <c r="B2446" s="3" t="s">
        <v>2652</v>
      </c>
      <c r="C2446" s="3" t="s">
        <v>2652</v>
      </c>
      <c r="D2446" s="3" t="s">
        <v>2510</v>
      </c>
      <c r="I2446" s="19">
        <v>7452</v>
      </c>
      <c r="J2446" s="19" t="s">
        <v>4568</v>
      </c>
    </row>
    <row r="2447" spans="1:10" x14ac:dyDescent="0.2">
      <c r="A2447" s="3">
        <v>5073</v>
      </c>
      <c r="B2447" s="3" t="s">
        <v>2653</v>
      </c>
      <c r="C2447" s="3" t="s">
        <v>2653</v>
      </c>
      <c r="D2447" s="3" t="s">
        <v>2510</v>
      </c>
      <c r="I2447" s="19">
        <v>7453</v>
      </c>
      <c r="J2447" s="19" t="s">
        <v>4568</v>
      </c>
    </row>
    <row r="2448" spans="1:10" x14ac:dyDescent="0.2">
      <c r="A2448" s="3">
        <v>5027</v>
      </c>
      <c r="B2448" s="3" t="s">
        <v>2654</v>
      </c>
      <c r="C2448" s="3" t="s">
        <v>2654</v>
      </c>
      <c r="D2448" s="3" t="s">
        <v>2510</v>
      </c>
      <c r="I2448" s="19">
        <v>7454</v>
      </c>
      <c r="J2448" s="19" t="s">
        <v>4569</v>
      </c>
    </row>
    <row r="2449" spans="1:10" x14ac:dyDescent="0.2">
      <c r="A2449" s="3">
        <v>5082</v>
      </c>
      <c r="B2449" s="3" t="s">
        <v>2655</v>
      </c>
      <c r="C2449" s="3" t="s">
        <v>2655</v>
      </c>
      <c r="D2449" s="3" t="s">
        <v>2510</v>
      </c>
      <c r="I2449" s="19">
        <v>7455</v>
      </c>
      <c r="J2449" s="19" t="s">
        <v>4564</v>
      </c>
    </row>
    <row r="2450" spans="1:10" x14ac:dyDescent="0.2">
      <c r="A2450" s="3">
        <v>5083</v>
      </c>
      <c r="B2450" s="3" t="s">
        <v>2656</v>
      </c>
      <c r="C2450" s="3" t="s">
        <v>2655</v>
      </c>
      <c r="D2450" s="3" t="s">
        <v>2510</v>
      </c>
      <c r="I2450" s="19">
        <v>7456</v>
      </c>
      <c r="J2450" s="19" t="s">
        <v>4564</v>
      </c>
    </row>
    <row r="2451" spans="1:10" x14ac:dyDescent="0.2">
      <c r="A2451" s="3">
        <v>5080</v>
      </c>
      <c r="B2451" s="3" t="s">
        <v>2657</v>
      </c>
      <c r="C2451" s="3" t="s">
        <v>2657</v>
      </c>
      <c r="D2451" s="3" t="s">
        <v>2510</v>
      </c>
      <c r="I2451" s="19">
        <v>7457</v>
      </c>
      <c r="J2451" s="19" t="s">
        <v>4564</v>
      </c>
    </row>
    <row r="2452" spans="1:10" x14ac:dyDescent="0.2">
      <c r="A2452" s="3">
        <v>5084</v>
      </c>
      <c r="B2452" s="3" t="s">
        <v>2658</v>
      </c>
      <c r="C2452" s="3" t="s">
        <v>2657</v>
      </c>
      <c r="D2452" s="3" t="s">
        <v>2510</v>
      </c>
      <c r="I2452" s="19">
        <v>7458</v>
      </c>
      <c r="J2452" s="19" t="s">
        <v>4568</v>
      </c>
    </row>
    <row r="2453" spans="1:10" x14ac:dyDescent="0.2">
      <c r="A2453" s="3">
        <v>5085</v>
      </c>
      <c r="B2453" s="3" t="s">
        <v>2659</v>
      </c>
      <c r="C2453" s="3" t="s">
        <v>2657</v>
      </c>
      <c r="D2453" s="3" t="s">
        <v>2510</v>
      </c>
      <c r="I2453" s="19">
        <v>7459</v>
      </c>
      <c r="J2453" s="19" t="s">
        <v>4568</v>
      </c>
    </row>
    <row r="2454" spans="1:10" x14ac:dyDescent="0.2">
      <c r="A2454" s="3">
        <v>4333</v>
      </c>
      <c r="B2454" s="3" t="s">
        <v>2660</v>
      </c>
      <c r="C2454" s="3" t="s">
        <v>2661</v>
      </c>
      <c r="D2454" s="3" t="s">
        <v>2510</v>
      </c>
      <c r="I2454" s="19">
        <v>7460</v>
      </c>
      <c r="J2454" s="19" t="s">
        <v>4568</v>
      </c>
    </row>
    <row r="2455" spans="1:10" x14ac:dyDescent="0.2">
      <c r="A2455" s="3">
        <v>5062</v>
      </c>
      <c r="B2455" s="3" t="s">
        <v>2662</v>
      </c>
      <c r="C2455" s="3" t="s">
        <v>2662</v>
      </c>
      <c r="D2455" s="3" t="s">
        <v>2510</v>
      </c>
      <c r="I2455" s="19">
        <v>7462</v>
      </c>
      <c r="J2455" s="19" t="s">
        <v>4568</v>
      </c>
    </row>
    <row r="2456" spans="1:10" x14ac:dyDescent="0.2">
      <c r="A2456" s="3">
        <v>5072</v>
      </c>
      <c r="B2456" s="3" t="s">
        <v>2663</v>
      </c>
      <c r="C2456" s="3" t="s">
        <v>2663</v>
      </c>
      <c r="D2456" s="3" t="s">
        <v>2510</v>
      </c>
      <c r="I2456" s="19">
        <v>7463</v>
      </c>
      <c r="J2456" s="19" t="s">
        <v>4568</v>
      </c>
    </row>
    <row r="2457" spans="1:10" x14ac:dyDescent="0.2">
      <c r="A2457" s="3">
        <v>5326</v>
      </c>
      <c r="B2457" s="3" t="s">
        <v>2664</v>
      </c>
      <c r="C2457" s="3" t="s">
        <v>2664</v>
      </c>
      <c r="D2457" s="3" t="s">
        <v>2510</v>
      </c>
      <c r="I2457" s="19">
        <v>7464</v>
      </c>
      <c r="J2457" s="19" t="s">
        <v>4568</v>
      </c>
    </row>
    <row r="2458" spans="1:10" x14ac:dyDescent="0.2">
      <c r="A2458" s="3">
        <v>4334</v>
      </c>
      <c r="B2458" s="3" t="s">
        <v>2665</v>
      </c>
      <c r="C2458" s="3" t="s">
        <v>2666</v>
      </c>
      <c r="D2458" s="3" t="s">
        <v>2510</v>
      </c>
      <c r="I2458" s="19">
        <v>7472</v>
      </c>
      <c r="J2458" s="19" t="s">
        <v>4568</v>
      </c>
    </row>
    <row r="2459" spans="1:10" x14ac:dyDescent="0.2">
      <c r="A2459" s="3">
        <v>5028</v>
      </c>
      <c r="B2459" s="3" t="s">
        <v>2667</v>
      </c>
      <c r="C2459" s="3" t="s">
        <v>2667</v>
      </c>
      <c r="D2459" s="3" t="s">
        <v>2510</v>
      </c>
      <c r="I2459" s="19">
        <v>7473</v>
      </c>
      <c r="J2459" s="19" t="s">
        <v>4568</v>
      </c>
    </row>
    <row r="2460" spans="1:10" x14ac:dyDescent="0.2">
      <c r="A2460" s="3">
        <v>5064</v>
      </c>
      <c r="B2460" s="3" t="s">
        <v>2668</v>
      </c>
      <c r="C2460" s="3" t="s">
        <v>2668</v>
      </c>
      <c r="D2460" s="3" t="s">
        <v>2510</v>
      </c>
      <c r="I2460" s="19">
        <v>7477</v>
      </c>
      <c r="J2460" s="19" t="s">
        <v>4568</v>
      </c>
    </row>
    <row r="2461" spans="1:10" x14ac:dyDescent="0.2">
      <c r="A2461" s="3">
        <v>5063</v>
      </c>
      <c r="B2461" s="3" t="s">
        <v>2669</v>
      </c>
      <c r="C2461" s="3" t="s">
        <v>2669</v>
      </c>
      <c r="D2461" s="3" t="s">
        <v>2510</v>
      </c>
      <c r="I2461" s="19">
        <v>7482</v>
      </c>
      <c r="J2461" s="19" t="s">
        <v>4569</v>
      </c>
    </row>
    <row r="2462" spans="1:10" x14ac:dyDescent="0.2">
      <c r="A2462" s="3">
        <v>5079</v>
      </c>
      <c r="B2462" s="3" t="s">
        <v>2670</v>
      </c>
      <c r="C2462" s="3" t="s">
        <v>2670</v>
      </c>
      <c r="D2462" s="3" t="s">
        <v>2510</v>
      </c>
      <c r="I2462" s="19">
        <v>7484</v>
      </c>
      <c r="J2462" s="19" t="s">
        <v>4569</v>
      </c>
    </row>
    <row r="2463" spans="1:10" x14ac:dyDescent="0.2">
      <c r="A2463" s="3">
        <v>5273</v>
      </c>
      <c r="B2463" s="3" t="s">
        <v>2671</v>
      </c>
      <c r="C2463" s="3" t="s">
        <v>2672</v>
      </c>
      <c r="D2463" s="3" t="s">
        <v>2510</v>
      </c>
      <c r="I2463" s="19">
        <v>7492</v>
      </c>
      <c r="J2463" s="19" t="s">
        <v>4568</v>
      </c>
    </row>
    <row r="2464" spans="1:10" x14ac:dyDescent="0.2">
      <c r="A2464" s="3">
        <v>5274</v>
      </c>
      <c r="B2464" s="3" t="s">
        <v>2673</v>
      </c>
      <c r="C2464" s="3" t="s">
        <v>2672</v>
      </c>
      <c r="D2464" s="3" t="s">
        <v>2510</v>
      </c>
      <c r="I2464" s="19">
        <v>7493</v>
      </c>
      <c r="J2464" s="19" t="s">
        <v>4568</v>
      </c>
    </row>
    <row r="2465" spans="1:10" x14ac:dyDescent="0.2">
      <c r="A2465" s="3">
        <v>5275</v>
      </c>
      <c r="B2465" s="3" t="s">
        <v>2674</v>
      </c>
      <c r="C2465" s="3" t="s">
        <v>2672</v>
      </c>
      <c r="D2465" s="3" t="s">
        <v>2510</v>
      </c>
      <c r="I2465" s="19">
        <v>7494</v>
      </c>
      <c r="J2465" s="19" t="s">
        <v>4569</v>
      </c>
    </row>
    <row r="2466" spans="1:10" x14ac:dyDescent="0.2">
      <c r="A2466" s="3">
        <v>5276</v>
      </c>
      <c r="B2466" s="3" t="s">
        <v>2675</v>
      </c>
      <c r="C2466" s="3" t="s">
        <v>2672</v>
      </c>
      <c r="D2466" s="3" t="s">
        <v>2510</v>
      </c>
      <c r="I2466" s="19">
        <v>7500</v>
      </c>
      <c r="J2466" s="19" t="s">
        <v>4572</v>
      </c>
    </row>
    <row r="2467" spans="1:10" x14ac:dyDescent="0.2">
      <c r="A2467" s="3">
        <v>5277</v>
      </c>
      <c r="B2467" s="3" t="s">
        <v>2676</v>
      </c>
      <c r="C2467" s="3" t="s">
        <v>2672</v>
      </c>
      <c r="D2467" s="3" t="s">
        <v>2510</v>
      </c>
      <c r="I2467" s="19">
        <v>7502</v>
      </c>
      <c r="J2467" s="19" t="s">
        <v>4572</v>
      </c>
    </row>
    <row r="2468" spans="1:10" x14ac:dyDescent="0.2">
      <c r="A2468" s="3">
        <v>5075</v>
      </c>
      <c r="B2468" s="3" t="s">
        <v>2677</v>
      </c>
      <c r="C2468" s="3" t="s">
        <v>2678</v>
      </c>
      <c r="D2468" s="3" t="s">
        <v>2510</v>
      </c>
      <c r="I2468" s="19">
        <v>7503</v>
      </c>
      <c r="J2468" s="19" t="s">
        <v>4572</v>
      </c>
    </row>
    <row r="2469" spans="1:10" x14ac:dyDescent="0.2">
      <c r="A2469" s="3">
        <v>5076</v>
      </c>
      <c r="B2469" s="3" t="s">
        <v>2679</v>
      </c>
      <c r="C2469" s="3" t="s">
        <v>2678</v>
      </c>
      <c r="D2469" s="3" t="s">
        <v>2510</v>
      </c>
      <c r="I2469" s="19">
        <v>7504</v>
      </c>
      <c r="J2469" s="19" t="s">
        <v>4572</v>
      </c>
    </row>
    <row r="2470" spans="1:10" x14ac:dyDescent="0.2">
      <c r="A2470" s="3">
        <v>5077</v>
      </c>
      <c r="B2470" s="3" t="s">
        <v>2680</v>
      </c>
      <c r="C2470" s="3" t="s">
        <v>2678</v>
      </c>
      <c r="D2470" s="3" t="s">
        <v>2510</v>
      </c>
      <c r="I2470" s="19">
        <v>7505</v>
      </c>
      <c r="J2470" s="19" t="s">
        <v>4572</v>
      </c>
    </row>
    <row r="2471" spans="1:10" x14ac:dyDescent="0.2">
      <c r="A2471" s="3">
        <v>5078</v>
      </c>
      <c r="B2471" s="3" t="s">
        <v>2681</v>
      </c>
      <c r="C2471" s="3" t="s">
        <v>2678</v>
      </c>
      <c r="D2471" s="3" t="s">
        <v>2510</v>
      </c>
      <c r="I2471" s="19">
        <v>7512</v>
      </c>
      <c r="J2471" s="19" t="s">
        <v>4572</v>
      </c>
    </row>
    <row r="2472" spans="1:10" x14ac:dyDescent="0.2">
      <c r="A2472" s="3">
        <v>5600</v>
      </c>
      <c r="B2472" s="3" t="s">
        <v>2682</v>
      </c>
      <c r="C2472" s="3" t="s">
        <v>2683</v>
      </c>
      <c r="D2472" s="3" t="s">
        <v>2510</v>
      </c>
      <c r="I2472" s="19">
        <v>7513</v>
      </c>
      <c r="J2472" s="19" t="s">
        <v>4572</v>
      </c>
    </row>
    <row r="2473" spans="1:10" x14ac:dyDescent="0.2">
      <c r="A2473" s="3">
        <v>5706</v>
      </c>
      <c r="B2473" s="3" t="s">
        <v>2684</v>
      </c>
      <c r="C2473" s="3" t="s">
        <v>2684</v>
      </c>
      <c r="D2473" s="3" t="s">
        <v>2510</v>
      </c>
      <c r="I2473" s="19">
        <v>7514</v>
      </c>
      <c r="J2473" s="19" t="s">
        <v>4572</v>
      </c>
    </row>
    <row r="2474" spans="1:10" x14ac:dyDescent="0.2">
      <c r="A2474" s="3">
        <v>5505</v>
      </c>
      <c r="B2474" s="3" t="s">
        <v>2685</v>
      </c>
      <c r="C2474" s="3" t="s">
        <v>2685</v>
      </c>
      <c r="D2474" s="3" t="s">
        <v>2510</v>
      </c>
      <c r="I2474" s="19">
        <v>7515</v>
      </c>
      <c r="J2474" s="19" t="s">
        <v>4572</v>
      </c>
    </row>
    <row r="2475" spans="1:10" x14ac:dyDescent="0.2">
      <c r="A2475" s="3">
        <v>5606</v>
      </c>
      <c r="B2475" s="3" t="s">
        <v>2686</v>
      </c>
      <c r="C2475" s="3" t="s">
        <v>2686</v>
      </c>
      <c r="D2475" s="3" t="s">
        <v>2510</v>
      </c>
      <c r="I2475" s="19">
        <v>7516</v>
      </c>
      <c r="J2475" s="19" t="s">
        <v>4572</v>
      </c>
    </row>
    <row r="2476" spans="1:10" x14ac:dyDescent="0.2">
      <c r="A2476" s="3">
        <v>5704</v>
      </c>
      <c r="B2476" s="3" t="s">
        <v>2687</v>
      </c>
      <c r="C2476" s="3" t="s">
        <v>2687</v>
      </c>
      <c r="D2476" s="3" t="s">
        <v>2510</v>
      </c>
      <c r="I2476" s="19">
        <v>7517</v>
      </c>
      <c r="J2476" s="19" t="s">
        <v>4572</v>
      </c>
    </row>
    <row r="2477" spans="1:10" x14ac:dyDescent="0.2">
      <c r="A2477" s="3">
        <v>5615</v>
      </c>
      <c r="B2477" s="3" t="s">
        <v>2688</v>
      </c>
      <c r="C2477" s="3" t="s">
        <v>2688</v>
      </c>
      <c r="D2477" s="3" t="s">
        <v>2510</v>
      </c>
      <c r="I2477" s="19">
        <v>7522</v>
      </c>
      <c r="J2477" s="19" t="s">
        <v>4572</v>
      </c>
    </row>
    <row r="2478" spans="1:10" x14ac:dyDescent="0.2">
      <c r="A2478" s="3">
        <v>5705</v>
      </c>
      <c r="B2478" s="3" t="s">
        <v>2689</v>
      </c>
      <c r="C2478" s="3" t="s">
        <v>2689</v>
      </c>
      <c r="D2478" s="3" t="s">
        <v>2510</v>
      </c>
      <c r="I2478" s="19">
        <v>7523</v>
      </c>
      <c r="J2478" s="19" t="s">
        <v>4572</v>
      </c>
    </row>
    <row r="2479" spans="1:10" x14ac:dyDescent="0.2">
      <c r="A2479" s="3">
        <v>5604</v>
      </c>
      <c r="B2479" s="3" t="s">
        <v>2690</v>
      </c>
      <c r="C2479" s="3" t="s">
        <v>2690</v>
      </c>
      <c r="D2479" s="3" t="s">
        <v>2510</v>
      </c>
      <c r="I2479" s="19">
        <v>7524</v>
      </c>
      <c r="J2479" s="19" t="s">
        <v>4572</v>
      </c>
    </row>
    <row r="2480" spans="1:10" x14ac:dyDescent="0.2">
      <c r="A2480" s="3">
        <v>5113</v>
      </c>
      <c r="B2480" s="3" t="s">
        <v>2691</v>
      </c>
      <c r="C2480" s="3" t="s">
        <v>2692</v>
      </c>
      <c r="D2480" s="3" t="s">
        <v>2510</v>
      </c>
      <c r="I2480" s="19">
        <v>7525</v>
      </c>
      <c r="J2480" s="19" t="s">
        <v>4572</v>
      </c>
    </row>
    <row r="2481" spans="1:10" x14ac:dyDescent="0.2">
      <c r="A2481" s="3">
        <v>5502</v>
      </c>
      <c r="B2481" s="3" t="s">
        <v>2693</v>
      </c>
      <c r="C2481" s="3" t="s">
        <v>2693</v>
      </c>
      <c r="D2481" s="3" t="s">
        <v>2510</v>
      </c>
      <c r="I2481" s="19">
        <v>7526</v>
      </c>
      <c r="J2481" s="19" t="s">
        <v>4572</v>
      </c>
    </row>
    <row r="2482" spans="1:10" x14ac:dyDescent="0.2">
      <c r="A2482" s="3">
        <v>5600</v>
      </c>
      <c r="B2482" s="3" t="s">
        <v>2694</v>
      </c>
      <c r="C2482" s="3" t="s">
        <v>2694</v>
      </c>
      <c r="D2482" s="3" t="s">
        <v>2510</v>
      </c>
      <c r="I2482" s="19">
        <v>7527</v>
      </c>
      <c r="J2482" s="19" t="s">
        <v>4572</v>
      </c>
    </row>
    <row r="2483" spans="1:10" x14ac:dyDescent="0.2">
      <c r="A2483" s="3">
        <v>5616</v>
      </c>
      <c r="B2483" s="3" t="s">
        <v>2695</v>
      </c>
      <c r="C2483" s="3" t="s">
        <v>2695</v>
      </c>
      <c r="D2483" s="3" t="s">
        <v>2510</v>
      </c>
      <c r="I2483" s="19">
        <v>7530</v>
      </c>
      <c r="J2483" s="19" t="s">
        <v>4573</v>
      </c>
    </row>
    <row r="2484" spans="1:10" x14ac:dyDescent="0.2">
      <c r="A2484" s="3">
        <v>5617</v>
      </c>
      <c r="B2484" s="3" t="s">
        <v>2696</v>
      </c>
      <c r="C2484" s="3" t="s">
        <v>2695</v>
      </c>
      <c r="D2484" s="3" t="s">
        <v>2510</v>
      </c>
      <c r="I2484" s="19">
        <v>7532</v>
      </c>
      <c r="J2484" s="19" t="s">
        <v>4573</v>
      </c>
    </row>
    <row r="2485" spans="1:10" x14ac:dyDescent="0.2">
      <c r="A2485" s="3">
        <v>5103</v>
      </c>
      <c r="B2485" s="3" t="s">
        <v>2697</v>
      </c>
      <c r="C2485" s="3" t="s">
        <v>2698</v>
      </c>
      <c r="D2485" s="3" t="s">
        <v>2510</v>
      </c>
      <c r="I2485" s="19">
        <v>7533</v>
      </c>
      <c r="J2485" s="19" t="s">
        <v>4573</v>
      </c>
    </row>
    <row r="2486" spans="1:10" x14ac:dyDescent="0.2">
      <c r="A2486" s="3">
        <v>5103</v>
      </c>
      <c r="B2486" s="3" t="s">
        <v>2699</v>
      </c>
      <c r="C2486" s="3" t="s">
        <v>2698</v>
      </c>
      <c r="D2486" s="3" t="s">
        <v>2510</v>
      </c>
      <c r="I2486" s="19">
        <v>7534</v>
      </c>
      <c r="J2486" s="19" t="s">
        <v>4573</v>
      </c>
    </row>
    <row r="2487" spans="1:10" x14ac:dyDescent="0.2">
      <c r="A2487" s="3">
        <v>5702</v>
      </c>
      <c r="B2487" s="3" t="s">
        <v>2700</v>
      </c>
      <c r="C2487" s="3" t="s">
        <v>2700</v>
      </c>
      <c r="D2487" s="3" t="s">
        <v>2510</v>
      </c>
      <c r="I2487" s="19">
        <v>7535</v>
      </c>
      <c r="J2487" s="19" t="s">
        <v>4573</v>
      </c>
    </row>
    <row r="2488" spans="1:10" x14ac:dyDescent="0.2">
      <c r="A2488" s="3">
        <v>5504</v>
      </c>
      <c r="B2488" s="3" t="s">
        <v>2701</v>
      </c>
      <c r="C2488" s="3" t="s">
        <v>2701</v>
      </c>
      <c r="D2488" s="3" t="s">
        <v>2510</v>
      </c>
      <c r="I2488" s="19">
        <v>7536</v>
      </c>
      <c r="J2488" s="19" t="s">
        <v>4573</v>
      </c>
    </row>
    <row r="2489" spans="1:10" x14ac:dyDescent="0.2">
      <c r="A2489" s="3">
        <v>5102</v>
      </c>
      <c r="B2489" s="3" t="s">
        <v>2702</v>
      </c>
      <c r="C2489" s="3" t="s">
        <v>2702</v>
      </c>
      <c r="D2489" s="3" t="s">
        <v>2510</v>
      </c>
      <c r="I2489" s="19">
        <v>7537</v>
      </c>
      <c r="J2489" s="19" t="s">
        <v>4573</v>
      </c>
    </row>
    <row r="2490" spans="1:10" x14ac:dyDescent="0.2">
      <c r="A2490" s="3">
        <v>5503</v>
      </c>
      <c r="B2490" s="3" t="s">
        <v>2703</v>
      </c>
      <c r="C2490" s="3" t="s">
        <v>2703</v>
      </c>
      <c r="D2490" s="3" t="s">
        <v>2510</v>
      </c>
      <c r="I2490" s="19">
        <v>7542</v>
      </c>
      <c r="J2490" s="19" t="s">
        <v>4573</v>
      </c>
    </row>
    <row r="2491" spans="1:10" x14ac:dyDescent="0.2">
      <c r="A2491" s="3">
        <v>5707</v>
      </c>
      <c r="B2491" s="3" t="s">
        <v>2704</v>
      </c>
      <c r="C2491" s="3" t="s">
        <v>2704</v>
      </c>
      <c r="D2491" s="3" t="s">
        <v>2510</v>
      </c>
      <c r="I2491" s="19">
        <v>7543</v>
      </c>
      <c r="J2491" s="19" t="s">
        <v>4573</v>
      </c>
    </row>
    <row r="2492" spans="1:10" x14ac:dyDescent="0.2">
      <c r="A2492" s="3">
        <v>5703</v>
      </c>
      <c r="B2492" s="3" t="s">
        <v>2705</v>
      </c>
      <c r="C2492" s="3" t="s">
        <v>2705</v>
      </c>
      <c r="D2492" s="3" t="s">
        <v>2510</v>
      </c>
      <c r="I2492" s="19">
        <v>7545</v>
      </c>
      <c r="J2492" s="19" t="s">
        <v>4573</v>
      </c>
    </row>
    <row r="2493" spans="1:10" x14ac:dyDescent="0.2">
      <c r="A2493" s="3">
        <v>5603</v>
      </c>
      <c r="B2493" s="3" t="s">
        <v>2706</v>
      </c>
      <c r="C2493" s="3" t="s">
        <v>2706</v>
      </c>
      <c r="D2493" s="3" t="s">
        <v>2510</v>
      </c>
      <c r="I2493" s="19">
        <v>7546</v>
      </c>
      <c r="J2493" s="19" t="s">
        <v>4573</v>
      </c>
    </row>
    <row r="2494" spans="1:10" x14ac:dyDescent="0.2">
      <c r="A2494" s="3">
        <v>5646</v>
      </c>
      <c r="B2494" s="3" t="s">
        <v>2707</v>
      </c>
      <c r="C2494" s="3" t="s">
        <v>2708</v>
      </c>
      <c r="D2494" s="3" t="s">
        <v>2510</v>
      </c>
      <c r="I2494" s="19">
        <v>7550</v>
      </c>
      <c r="J2494" s="19" t="s">
        <v>4573</v>
      </c>
    </row>
    <row r="2495" spans="1:10" x14ac:dyDescent="0.2">
      <c r="A2495" s="3">
        <v>5628</v>
      </c>
      <c r="B2495" s="3" t="s">
        <v>2709</v>
      </c>
      <c r="C2495" s="3" t="s">
        <v>2709</v>
      </c>
      <c r="D2495" s="3" t="s">
        <v>2510</v>
      </c>
      <c r="I2495" s="19">
        <v>7551</v>
      </c>
      <c r="J2495" s="19" t="s">
        <v>4573</v>
      </c>
    </row>
    <row r="2496" spans="1:10" x14ac:dyDescent="0.2">
      <c r="A2496" s="3">
        <v>5644</v>
      </c>
      <c r="B2496" s="3" t="s">
        <v>2710</v>
      </c>
      <c r="C2496" s="3" t="s">
        <v>2710</v>
      </c>
      <c r="D2496" s="3" t="s">
        <v>2510</v>
      </c>
      <c r="I2496" s="19">
        <v>7552</v>
      </c>
      <c r="J2496" s="19" t="s">
        <v>4573</v>
      </c>
    </row>
    <row r="2497" spans="1:10" x14ac:dyDescent="0.2">
      <c r="A2497" s="3">
        <v>5637</v>
      </c>
      <c r="B2497" s="3" t="s">
        <v>2711</v>
      </c>
      <c r="C2497" s="3" t="s">
        <v>2711</v>
      </c>
      <c r="D2497" s="3" t="s">
        <v>2510</v>
      </c>
      <c r="I2497" s="19">
        <v>7553</v>
      </c>
      <c r="J2497" s="19" t="s">
        <v>4573</v>
      </c>
    </row>
    <row r="2498" spans="1:10" x14ac:dyDescent="0.2">
      <c r="A2498" s="3">
        <v>5627</v>
      </c>
      <c r="B2498" s="3" t="s">
        <v>2712</v>
      </c>
      <c r="C2498" s="3" t="s">
        <v>2712</v>
      </c>
      <c r="D2498" s="3" t="s">
        <v>2510</v>
      </c>
      <c r="I2498" s="19">
        <v>7554</v>
      </c>
      <c r="J2498" s="19" t="s">
        <v>4573</v>
      </c>
    </row>
    <row r="2499" spans="1:10" x14ac:dyDescent="0.2">
      <c r="A2499" s="3">
        <v>5618</v>
      </c>
      <c r="B2499" s="3" t="s">
        <v>2713</v>
      </c>
      <c r="C2499" s="3" t="s">
        <v>2713</v>
      </c>
      <c r="D2499" s="3" t="s">
        <v>2510</v>
      </c>
      <c r="I2499" s="19">
        <v>7556</v>
      </c>
      <c r="J2499" s="19" t="s">
        <v>4573</v>
      </c>
    </row>
    <row r="2500" spans="1:10" x14ac:dyDescent="0.2">
      <c r="A2500" s="3">
        <v>5623</v>
      </c>
      <c r="B2500" s="3" t="s">
        <v>2714</v>
      </c>
      <c r="C2500" s="3" t="s">
        <v>2714</v>
      </c>
      <c r="D2500" s="3" t="s">
        <v>2510</v>
      </c>
      <c r="I2500" s="19">
        <v>7557</v>
      </c>
      <c r="J2500" s="19" t="s">
        <v>4573</v>
      </c>
    </row>
    <row r="2501" spans="1:10" x14ac:dyDescent="0.2">
      <c r="A2501" s="3">
        <v>5624</v>
      </c>
      <c r="B2501" s="3" t="s">
        <v>2715</v>
      </c>
      <c r="C2501" s="3" t="s">
        <v>2715</v>
      </c>
      <c r="D2501" s="3" t="s">
        <v>2510</v>
      </c>
      <c r="I2501" s="19">
        <v>7558</v>
      </c>
      <c r="J2501" s="19" t="s">
        <v>4573</v>
      </c>
    </row>
    <row r="2502" spans="1:10" x14ac:dyDescent="0.2">
      <c r="A2502" s="3">
        <v>5624</v>
      </c>
      <c r="B2502" s="3" t="s">
        <v>2716</v>
      </c>
      <c r="C2502" s="3" t="s">
        <v>2715</v>
      </c>
      <c r="D2502" s="3" t="s">
        <v>2510</v>
      </c>
      <c r="I2502" s="19">
        <v>7559</v>
      </c>
      <c r="J2502" s="19" t="s">
        <v>4573</v>
      </c>
    </row>
    <row r="2503" spans="1:10" x14ac:dyDescent="0.2">
      <c r="A2503" s="3">
        <v>5632</v>
      </c>
      <c r="B2503" s="3" t="s">
        <v>2717</v>
      </c>
      <c r="C2503" s="3" t="s">
        <v>2717</v>
      </c>
      <c r="D2503" s="3" t="s">
        <v>2510</v>
      </c>
      <c r="I2503" s="19">
        <v>7560</v>
      </c>
      <c r="J2503" s="19" t="s">
        <v>4573</v>
      </c>
    </row>
    <row r="2504" spans="1:10" x14ac:dyDescent="0.2">
      <c r="A2504" s="3">
        <v>6042</v>
      </c>
      <c r="B2504" s="3" t="s">
        <v>2718</v>
      </c>
      <c r="C2504" s="3" t="s">
        <v>2718</v>
      </c>
      <c r="D2504" s="3" t="s">
        <v>2510</v>
      </c>
      <c r="I2504" s="19">
        <v>7562</v>
      </c>
      <c r="J2504" s="19" t="s">
        <v>4573</v>
      </c>
    </row>
    <row r="2505" spans="1:10" x14ac:dyDescent="0.2">
      <c r="A2505" s="3">
        <v>5637</v>
      </c>
      <c r="B2505" s="3" t="s">
        <v>2719</v>
      </c>
      <c r="C2505" s="3" t="s">
        <v>2719</v>
      </c>
      <c r="D2505" s="3" t="s">
        <v>2510</v>
      </c>
      <c r="I2505" s="19">
        <v>7563</v>
      </c>
      <c r="J2505" s="19" t="s">
        <v>4573</v>
      </c>
    </row>
    <row r="2506" spans="1:10" x14ac:dyDescent="0.2">
      <c r="A2506" s="3">
        <v>5625</v>
      </c>
      <c r="B2506" s="3" t="s">
        <v>2720</v>
      </c>
      <c r="C2506" s="3" t="s">
        <v>2720</v>
      </c>
      <c r="D2506" s="3" t="s">
        <v>2510</v>
      </c>
      <c r="I2506" s="19">
        <v>7602</v>
      </c>
      <c r="J2506" s="19" t="s">
        <v>4574</v>
      </c>
    </row>
    <row r="2507" spans="1:10" x14ac:dyDescent="0.2">
      <c r="A2507" s="3">
        <v>5634</v>
      </c>
      <c r="B2507" s="3" t="s">
        <v>2721</v>
      </c>
      <c r="C2507" s="3" t="s">
        <v>2721</v>
      </c>
      <c r="D2507" s="3" t="s">
        <v>2510</v>
      </c>
      <c r="I2507" s="19">
        <v>7603</v>
      </c>
      <c r="J2507" s="19" t="s">
        <v>4574</v>
      </c>
    </row>
    <row r="2508" spans="1:10" x14ac:dyDescent="0.2">
      <c r="A2508" s="3">
        <v>5636</v>
      </c>
      <c r="B2508" s="3" t="s">
        <v>2722</v>
      </c>
      <c r="C2508" s="3" t="s">
        <v>2721</v>
      </c>
      <c r="D2508" s="3" t="s">
        <v>2510</v>
      </c>
      <c r="I2508" s="19">
        <v>7604</v>
      </c>
      <c r="J2508" s="19" t="s">
        <v>4574</v>
      </c>
    </row>
    <row r="2509" spans="1:10" x14ac:dyDescent="0.2">
      <c r="A2509" s="3">
        <v>5642</v>
      </c>
      <c r="B2509" s="3" t="s">
        <v>2723</v>
      </c>
      <c r="C2509" s="3" t="s">
        <v>2723</v>
      </c>
      <c r="D2509" s="3" t="s">
        <v>2510</v>
      </c>
      <c r="I2509" s="19">
        <v>7605</v>
      </c>
      <c r="J2509" s="19" t="s">
        <v>4574</v>
      </c>
    </row>
    <row r="2510" spans="1:10" x14ac:dyDescent="0.2">
      <c r="A2510" s="3">
        <v>5630</v>
      </c>
      <c r="B2510" s="3" t="s">
        <v>2724</v>
      </c>
      <c r="C2510" s="3" t="s">
        <v>2725</v>
      </c>
      <c r="D2510" s="3" t="s">
        <v>2510</v>
      </c>
      <c r="I2510" s="19">
        <v>7606</v>
      </c>
      <c r="J2510" s="19" t="s">
        <v>4574</v>
      </c>
    </row>
    <row r="2511" spans="1:10" x14ac:dyDescent="0.2">
      <c r="A2511" s="3">
        <v>5647</v>
      </c>
      <c r="B2511" s="3" t="s">
        <v>2726</v>
      </c>
      <c r="C2511" s="3" t="s">
        <v>2726</v>
      </c>
      <c r="D2511" s="3" t="s">
        <v>2510</v>
      </c>
      <c r="I2511" s="19">
        <v>7608</v>
      </c>
      <c r="J2511" s="19" t="s">
        <v>4574</v>
      </c>
    </row>
    <row r="2512" spans="1:10" x14ac:dyDescent="0.2">
      <c r="A2512" s="3">
        <v>8919</v>
      </c>
      <c r="B2512" s="3" t="s">
        <v>2727</v>
      </c>
      <c r="C2512" s="3" t="s">
        <v>2727</v>
      </c>
      <c r="D2512" s="3" t="s">
        <v>2510</v>
      </c>
      <c r="I2512" s="19">
        <v>7610</v>
      </c>
      <c r="J2512" s="19" t="s">
        <v>4574</v>
      </c>
    </row>
    <row r="2513" spans="1:10" x14ac:dyDescent="0.2">
      <c r="A2513" s="3">
        <v>5643</v>
      </c>
      <c r="B2513" s="3" t="s">
        <v>2728</v>
      </c>
      <c r="C2513" s="3" t="s">
        <v>2728</v>
      </c>
      <c r="D2513" s="3" t="s">
        <v>2510</v>
      </c>
      <c r="I2513" s="19">
        <v>7710</v>
      </c>
      <c r="J2513" s="19" t="s">
        <v>4574</v>
      </c>
    </row>
    <row r="2514" spans="1:10" x14ac:dyDescent="0.2">
      <c r="A2514" s="3">
        <v>5643</v>
      </c>
      <c r="B2514" s="3" t="s">
        <v>2728</v>
      </c>
      <c r="C2514" s="3" t="s">
        <v>2728</v>
      </c>
      <c r="D2514" s="3" t="s">
        <v>2510</v>
      </c>
      <c r="I2514" s="19">
        <v>7741</v>
      </c>
      <c r="J2514" s="19" t="s">
        <v>4574</v>
      </c>
    </row>
    <row r="2515" spans="1:10" x14ac:dyDescent="0.2">
      <c r="A2515" s="3">
        <v>5643</v>
      </c>
      <c r="B2515" s="3" t="s">
        <v>2729</v>
      </c>
      <c r="C2515" s="3" t="s">
        <v>2728</v>
      </c>
      <c r="D2515" s="3" t="s">
        <v>2510</v>
      </c>
      <c r="I2515" s="19">
        <v>7742</v>
      </c>
      <c r="J2515" s="19" t="s">
        <v>4574</v>
      </c>
    </row>
    <row r="2516" spans="1:10" x14ac:dyDescent="0.2">
      <c r="A2516" s="3">
        <v>5643</v>
      </c>
      <c r="B2516" s="3" t="s">
        <v>2730</v>
      </c>
      <c r="C2516" s="3" t="s">
        <v>2728</v>
      </c>
      <c r="D2516" s="3" t="s">
        <v>2510</v>
      </c>
      <c r="I2516" s="19">
        <v>7743</v>
      </c>
      <c r="J2516" s="19" t="s">
        <v>4574</v>
      </c>
    </row>
    <row r="2517" spans="1:10" x14ac:dyDescent="0.2">
      <c r="A2517" s="3">
        <v>5645</v>
      </c>
      <c r="B2517" s="3" t="s">
        <v>2731</v>
      </c>
      <c r="C2517" s="3" t="s">
        <v>2728</v>
      </c>
      <c r="D2517" s="3" t="s">
        <v>2510</v>
      </c>
      <c r="I2517" s="19">
        <v>7744</v>
      </c>
      <c r="J2517" s="19" t="s">
        <v>4574</v>
      </c>
    </row>
    <row r="2518" spans="1:10" x14ac:dyDescent="0.2">
      <c r="A2518" s="3">
        <v>5645</v>
      </c>
      <c r="B2518" s="3" t="s">
        <v>2732</v>
      </c>
      <c r="C2518" s="3" t="s">
        <v>2728</v>
      </c>
      <c r="D2518" s="3" t="s">
        <v>2510</v>
      </c>
      <c r="I2518" s="19">
        <v>7745</v>
      </c>
      <c r="J2518" s="19" t="s">
        <v>4574</v>
      </c>
    </row>
    <row r="2519" spans="1:10" x14ac:dyDescent="0.2">
      <c r="A2519" s="3">
        <v>5622</v>
      </c>
      <c r="B2519" s="3" t="s">
        <v>2733</v>
      </c>
      <c r="C2519" s="3" t="s">
        <v>2733</v>
      </c>
      <c r="D2519" s="3" t="s">
        <v>2510</v>
      </c>
      <c r="I2519" s="19">
        <v>7746</v>
      </c>
      <c r="J2519" s="19" t="s">
        <v>4574</v>
      </c>
    </row>
    <row r="2520" spans="1:10" x14ac:dyDescent="0.2">
      <c r="A2520" s="3">
        <v>4316</v>
      </c>
      <c r="B2520" s="3" t="s">
        <v>2734</v>
      </c>
      <c r="C2520" s="3" t="s">
        <v>2734</v>
      </c>
      <c r="D2520" s="3" t="s">
        <v>2510</v>
      </c>
      <c r="I2520" s="19">
        <v>7747</v>
      </c>
      <c r="J2520" s="19" t="s">
        <v>4574</v>
      </c>
    </row>
    <row r="2521" spans="1:10" x14ac:dyDescent="0.2">
      <c r="A2521" s="3">
        <v>4303</v>
      </c>
      <c r="B2521" s="3" t="s">
        <v>2735</v>
      </c>
      <c r="C2521" s="3" t="s">
        <v>2735</v>
      </c>
      <c r="D2521" s="3" t="s">
        <v>2510</v>
      </c>
      <c r="I2521" s="19">
        <v>7748</v>
      </c>
      <c r="J2521" s="19" t="s">
        <v>4574</v>
      </c>
    </row>
    <row r="2522" spans="1:10" x14ac:dyDescent="0.2">
      <c r="A2522" s="3">
        <v>4312</v>
      </c>
      <c r="B2522" s="3" t="s">
        <v>2736</v>
      </c>
      <c r="C2522" s="3" t="s">
        <v>2736</v>
      </c>
      <c r="D2522" s="3" t="s">
        <v>2510</v>
      </c>
      <c r="I2522" s="19">
        <v>8001</v>
      </c>
      <c r="J2522" s="19" t="s">
        <v>4560</v>
      </c>
    </row>
    <row r="2523" spans="1:10" x14ac:dyDescent="0.2">
      <c r="A2523" s="3">
        <v>4313</v>
      </c>
      <c r="B2523" s="3" t="s">
        <v>2737</v>
      </c>
      <c r="C2523" s="3" t="s">
        <v>2737</v>
      </c>
      <c r="D2523" s="3" t="s">
        <v>2510</v>
      </c>
      <c r="I2523" s="19">
        <v>8002</v>
      </c>
      <c r="J2523" s="19" t="s">
        <v>4560</v>
      </c>
    </row>
    <row r="2524" spans="1:10" x14ac:dyDescent="0.2">
      <c r="A2524" s="3">
        <v>4322</v>
      </c>
      <c r="B2524" s="3" t="s">
        <v>2738</v>
      </c>
      <c r="C2524" s="3" t="s">
        <v>2738</v>
      </c>
      <c r="D2524" s="3" t="s">
        <v>2510</v>
      </c>
      <c r="I2524" s="19">
        <v>8003</v>
      </c>
      <c r="J2524" s="19" t="s">
        <v>4560</v>
      </c>
    </row>
    <row r="2525" spans="1:10" x14ac:dyDescent="0.2">
      <c r="A2525" s="3">
        <v>4324</v>
      </c>
      <c r="B2525" s="3" t="s">
        <v>2739</v>
      </c>
      <c r="C2525" s="3" t="s">
        <v>2739</v>
      </c>
      <c r="D2525" s="3" t="s">
        <v>2510</v>
      </c>
      <c r="I2525" s="19">
        <v>8004</v>
      </c>
      <c r="J2525" s="19" t="s">
        <v>4560</v>
      </c>
    </row>
    <row r="2526" spans="1:10" x14ac:dyDescent="0.2">
      <c r="A2526" s="3">
        <v>4305</v>
      </c>
      <c r="B2526" s="3" t="s">
        <v>2740</v>
      </c>
      <c r="C2526" s="3" t="s">
        <v>2740</v>
      </c>
      <c r="D2526" s="3" t="s">
        <v>2510</v>
      </c>
      <c r="I2526" s="19">
        <v>8005</v>
      </c>
      <c r="J2526" s="19" t="s">
        <v>4560</v>
      </c>
    </row>
    <row r="2527" spans="1:10" x14ac:dyDescent="0.2">
      <c r="A2527" s="3">
        <v>4310</v>
      </c>
      <c r="B2527" s="3" t="s">
        <v>2741</v>
      </c>
      <c r="C2527" s="3" t="s">
        <v>2741</v>
      </c>
      <c r="D2527" s="3" t="s">
        <v>2510</v>
      </c>
      <c r="I2527" s="19">
        <v>8006</v>
      </c>
      <c r="J2527" s="19" t="s">
        <v>4560</v>
      </c>
    </row>
    <row r="2528" spans="1:10" x14ac:dyDescent="0.2">
      <c r="A2528" s="3">
        <v>4325</v>
      </c>
      <c r="B2528" s="3" t="s">
        <v>2742</v>
      </c>
      <c r="C2528" s="3" t="s">
        <v>2742</v>
      </c>
      <c r="D2528" s="3" t="s">
        <v>2510</v>
      </c>
      <c r="I2528" s="19">
        <v>8008</v>
      </c>
      <c r="J2528" s="19" t="s">
        <v>4560</v>
      </c>
    </row>
    <row r="2529" spans="1:10" x14ac:dyDescent="0.2">
      <c r="A2529" s="3">
        <v>4332</v>
      </c>
      <c r="B2529" s="3" t="s">
        <v>2743</v>
      </c>
      <c r="C2529" s="3" t="s">
        <v>2744</v>
      </c>
      <c r="D2529" s="3" t="s">
        <v>2510</v>
      </c>
      <c r="I2529" s="19">
        <v>8032</v>
      </c>
      <c r="J2529" s="19" t="s">
        <v>4560</v>
      </c>
    </row>
    <row r="2530" spans="1:10" x14ac:dyDescent="0.2">
      <c r="A2530" s="3">
        <v>4323</v>
      </c>
      <c r="B2530" s="3" t="s">
        <v>2745</v>
      </c>
      <c r="C2530" s="3" t="s">
        <v>2745</v>
      </c>
      <c r="D2530" s="3" t="s">
        <v>2510</v>
      </c>
      <c r="I2530" s="19">
        <v>8037</v>
      </c>
      <c r="J2530" s="19" t="s">
        <v>4560</v>
      </c>
    </row>
    <row r="2531" spans="1:10" x14ac:dyDescent="0.2">
      <c r="A2531" s="3">
        <v>4317</v>
      </c>
      <c r="B2531" s="3" t="s">
        <v>2746</v>
      </c>
      <c r="C2531" s="3" t="s">
        <v>2746</v>
      </c>
      <c r="D2531" s="3" t="s">
        <v>2510</v>
      </c>
      <c r="I2531" s="19">
        <v>8038</v>
      </c>
      <c r="J2531" s="19" t="s">
        <v>4560</v>
      </c>
    </row>
    <row r="2532" spans="1:10" x14ac:dyDescent="0.2">
      <c r="A2532" s="3">
        <v>4314</v>
      </c>
      <c r="B2532" s="3" t="s">
        <v>2747</v>
      </c>
      <c r="C2532" s="3" t="s">
        <v>2747</v>
      </c>
      <c r="D2532" s="3" t="s">
        <v>2510</v>
      </c>
      <c r="I2532" s="19">
        <v>8041</v>
      </c>
      <c r="J2532" s="19" t="s">
        <v>4560</v>
      </c>
    </row>
    <row r="2533" spans="1:10" x14ac:dyDescent="0.2">
      <c r="A2533" s="3">
        <v>4315</v>
      </c>
      <c r="B2533" s="3" t="s">
        <v>2748</v>
      </c>
      <c r="C2533" s="3" t="s">
        <v>2748</v>
      </c>
      <c r="D2533" s="3" t="s">
        <v>2510</v>
      </c>
      <c r="I2533" s="19">
        <v>8044</v>
      </c>
      <c r="J2533" s="19" t="s">
        <v>4560</v>
      </c>
    </row>
    <row r="2534" spans="1:10" x14ac:dyDescent="0.2">
      <c r="A2534" s="3">
        <v>4663</v>
      </c>
      <c r="B2534" s="3" t="s">
        <v>2749</v>
      </c>
      <c r="C2534" s="3" t="s">
        <v>2749</v>
      </c>
      <c r="D2534" s="3" t="s">
        <v>2510</v>
      </c>
      <c r="I2534" s="19">
        <v>8045</v>
      </c>
      <c r="J2534" s="19" t="s">
        <v>4560</v>
      </c>
    </row>
    <row r="2535" spans="1:10" x14ac:dyDescent="0.2">
      <c r="A2535" s="3">
        <v>4814</v>
      </c>
      <c r="B2535" s="3" t="s">
        <v>2750</v>
      </c>
      <c r="C2535" s="3" t="s">
        <v>2750</v>
      </c>
      <c r="D2535" s="3" t="s">
        <v>2510</v>
      </c>
      <c r="I2535" s="19">
        <v>8046</v>
      </c>
      <c r="J2535" s="19" t="s">
        <v>4560</v>
      </c>
    </row>
    <row r="2536" spans="1:10" x14ac:dyDescent="0.2">
      <c r="A2536" s="3">
        <v>4805</v>
      </c>
      <c r="B2536" s="3" t="s">
        <v>2751</v>
      </c>
      <c r="C2536" s="3" t="s">
        <v>2751</v>
      </c>
      <c r="D2536" s="3" t="s">
        <v>2510</v>
      </c>
      <c r="I2536" s="19">
        <v>8047</v>
      </c>
      <c r="J2536" s="19" t="s">
        <v>4560</v>
      </c>
    </row>
    <row r="2537" spans="1:10" x14ac:dyDescent="0.2">
      <c r="A2537" s="3">
        <v>5054</v>
      </c>
      <c r="B2537" s="3" t="s">
        <v>2752</v>
      </c>
      <c r="C2537" s="3" t="s">
        <v>2752</v>
      </c>
      <c r="D2537" s="3" t="s">
        <v>2510</v>
      </c>
      <c r="I2537" s="19">
        <v>8048</v>
      </c>
      <c r="J2537" s="19" t="s">
        <v>4560</v>
      </c>
    </row>
    <row r="2538" spans="1:10" x14ac:dyDescent="0.2">
      <c r="A2538" s="3">
        <v>5742</v>
      </c>
      <c r="B2538" s="3" t="s">
        <v>2753</v>
      </c>
      <c r="C2538" s="3" t="s">
        <v>2753</v>
      </c>
      <c r="D2538" s="3" t="s">
        <v>2510</v>
      </c>
      <c r="I2538" s="19">
        <v>8049</v>
      </c>
      <c r="J2538" s="19" t="s">
        <v>4560</v>
      </c>
    </row>
    <row r="2539" spans="1:10" x14ac:dyDescent="0.2">
      <c r="A2539" s="3">
        <v>5054</v>
      </c>
      <c r="B2539" s="3" t="s">
        <v>2754</v>
      </c>
      <c r="C2539" s="3" t="s">
        <v>2754</v>
      </c>
      <c r="D2539" s="3" t="s">
        <v>2510</v>
      </c>
      <c r="I2539" s="19">
        <v>8050</v>
      </c>
      <c r="J2539" s="19" t="s">
        <v>4560</v>
      </c>
    </row>
    <row r="2540" spans="1:10" x14ac:dyDescent="0.2">
      <c r="A2540" s="3">
        <v>4853</v>
      </c>
      <c r="B2540" s="3" t="s">
        <v>2755</v>
      </c>
      <c r="C2540" s="3" t="s">
        <v>2755</v>
      </c>
      <c r="D2540" s="3" t="s">
        <v>2510</v>
      </c>
      <c r="I2540" s="19">
        <v>8051</v>
      </c>
      <c r="J2540" s="19" t="s">
        <v>4560</v>
      </c>
    </row>
    <row r="2541" spans="1:10" x14ac:dyDescent="0.2">
      <c r="A2541" s="3">
        <v>4853</v>
      </c>
      <c r="B2541" s="3" t="s">
        <v>2756</v>
      </c>
      <c r="C2541" s="3" t="s">
        <v>2755</v>
      </c>
      <c r="D2541" s="3" t="s">
        <v>2510</v>
      </c>
      <c r="I2541" s="19">
        <v>8052</v>
      </c>
      <c r="J2541" s="19" t="s">
        <v>4560</v>
      </c>
    </row>
    <row r="2542" spans="1:10" x14ac:dyDescent="0.2">
      <c r="A2542" s="3">
        <v>4856</v>
      </c>
      <c r="B2542" s="3" t="s">
        <v>2757</v>
      </c>
      <c r="C2542" s="3" t="s">
        <v>2755</v>
      </c>
      <c r="D2542" s="3" t="s">
        <v>2510</v>
      </c>
      <c r="I2542" s="19">
        <v>8053</v>
      </c>
      <c r="J2542" s="19" t="s">
        <v>4560</v>
      </c>
    </row>
    <row r="2543" spans="1:10" x14ac:dyDescent="0.2">
      <c r="A2543" s="3">
        <v>4665</v>
      </c>
      <c r="B2543" s="3" t="s">
        <v>2758</v>
      </c>
      <c r="C2543" s="3" t="s">
        <v>2758</v>
      </c>
      <c r="D2543" s="3" t="s">
        <v>2510</v>
      </c>
      <c r="I2543" s="19">
        <v>8055</v>
      </c>
      <c r="J2543" s="19" t="s">
        <v>4560</v>
      </c>
    </row>
    <row r="2544" spans="1:10" x14ac:dyDescent="0.2">
      <c r="A2544" s="3">
        <v>5056</v>
      </c>
      <c r="B2544" s="3" t="s">
        <v>2759</v>
      </c>
      <c r="C2544" s="3" t="s">
        <v>2760</v>
      </c>
      <c r="D2544" s="3" t="s">
        <v>2510</v>
      </c>
      <c r="I2544" s="19">
        <v>8057</v>
      </c>
      <c r="J2544" s="19" t="s">
        <v>4560</v>
      </c>
    </row>
    <row r="2545" spans="1:10" x14ac:dyDescent="0.2">
      <c r="A2545" s="3">
        <v>5057</v>
      </c>
      <c r="B2545" s="3" t="s">
        <v>2760</v>
      </c>
      <c r="C2545" s="3" t="s">
        <v>2760</v>
      </c>
      <c r="D2545" s="3" t="s">
        <v>2510</v>
      </c>
      <c r="I2545" s="19">
        <v>8064</v>
      </c>
      <c r="J2545" s="19" t="s">
        <v>4560</v>
      </c>
    </row>
    <row r="2546" spans="1:10" x14ac:dyDescent="0.2">
      <c r="A2546" s="3">
        <v>4852</v>
      </c>
      <c r="B2546" s="3" t="s">
        <v>2761</v>
      </c>
      <c r="C2546" s="3" t="s">
        <v>2761</v>
      </c>
      <c r="D2546" s="3" t="s">
        <v>2510</v>
      </c>
      <c r="I2546" s="19">
        <v>8102</v>
      </c>
      <c r="J2546" s="19" t="s">
        <v>4560</v>
      </c>
    </row>
    <row r="2547" spans="1:10" x14ac:dyDescent="0.2">
      <c r="A2547" s="3">
        <v>5745</v>
      </c>
      <c r="B2547" s="3" t="s">
        <v>2762</v>
      </c>
      <c r="C2547" s="3" t="s">
        <v>2762</v>
      </c>
      <c r="D2547" s="3" t="s">
        <v>2510</v>
      </c>
      <c r="I2547" s="19">
        <v>8103</v>
      </c>
      <c r="J2547" s="19" t="s">
        <v>4560</v>
      </c>
    </row>
    <row r="2548" spans="1:10" x14ac:dyDescent="0.2">
      <c r="A2548" s="3">
        <v>5053</v>
      </c>
      <c r="B2548" s="3" t="s">
        <v>2763</v>
      </c>
      <c r="C2548" s="3" t="s">
        <v>2763</v>
      </c>
      <c r="D2548" s="3" t="s">
        <v>2510</v>
      </c>
      <c r="I2548" s="19">
        <v>8104</v>
      </c>
      <c r="J2548" s="19" t="s">
        <v>4559</v>
      </c>
    </row>
    <row r="2549" spans="1:10" x14ac:dyDescent="0.2">
      <c r="A2549" s="3">
        <v>5053</v>
      </c>
      <c r="B2549" s="3" t="s">
        <v>2764</v>
      </c>
      <c r="C2549" s="3" t="s">
        <v>2763</v>
      </c>
      <c r="D2549" s="3" t="s">
        <v>2510</v>
      </c>
      <c r="I2549" s="19">
        <v>8105</v>
      </c>
      <c r="J2549" s="19" t="s">
        <v>4559</v>
      </c>
    </row>
    <row r="2550" spans="1:10" x14ac:dyDescent="0.2">
      <c r="A2550" s="3">
        <v>4802</v>
      </c>
      <c r="B2550" s="3" t="s">
        <v>2765</v>
      </c>
      <c r="C2550" s="3" t="s">
        <v>2765</v>
      </c>
      <c r="D2550" s="3" t="s">
        <v>2510</v>
      </c>
      <c r="I2550" s="19">
        <v>8106</v>
      </c>
      <c r="J2550" s="19" t="s">
        <v>4559</v>
      </c>
    </row>
    <row r="2551" spans="1:10" x14ac:dyDescent="0.2">
      <c r="A2551" s="3">
        <v>4813</v>
      </c>
      <c r="B2551" s="3" t="s">
        <v>2766</v>
      </c>
      <c r="C2551" s="3" t="s">
        <v>2766</v>
      </c>
      <c r="D2551" s="3" t="s">
        <v>2510</v>
      </c>
      <c r="I2551" s="19">
        <v>8107</v>
      </c>
      <c r="J2551" s="19" t="s">
        <v>4559</v>
      </c>
    </row>
    <row r="2552" spans="1:10" x14ac:dyDescent="0.2">
      <c r="A2552" s="3">
        <v>4803</v>
      </c>
      <c r="B2552" s="3" t="s">
        <v>2767</v>
      </c>
      <c r="C2552" s="3" t="s">
        <v>2767</v>
      </c>
      <c r="D2552" s="3" t="s">
        <v>2510</v>
      </c>
      <c r="I2552" s="19">
        <v>8108</v>
      </c>
      <c r="J2552" s="19" t="s">
        <v>4559</v>
      </c>
    </row>
    <row r="2553" spans="1:10" x14ac:dyDescent="0.2">
      <c r="A2553" s="3">
        <v>5058</v>
      </c>
      <c r="B2553" s="3" t="s">
        <v>2768</v>
      </c>
      <c r="C2553" s="3" t="s">
        <v>2768</v>
      </c>
      <c r="D2553" s="3" t="s">
        <v>2510</v>
      </c>
      <c r="I2553" s="19">
        <v>8109</v>
      </c>
      <c r="J2553" s="19" t="s">
        <v>4560</v>
      </c>
    </row>
    <row r="2554" spans="1:10" x14ac:dyDescent="0.2">
      <c r="A2554" s="3">
        <v>4800</v>
      </c>
      <c r="B2554" s="3" t="s">
        <v>2769</v>
      </c>
      <c r="C2554" s="3" t="s">
        <v>2769</v>
      </c>
      <c r="D2554" s="3" t="s">
        <v>2510</v>
      </c>
      <c r="I2554" s="19">
        <v>8112</v>
      </c>
      <c r="J2554" s="19" t="s">
        <v>4559</v>
      </c>
    </row>
    <row r="2555" spans="1:10" x14ac:dyDescent="0.2">
      <c r="A2555" s="3">
        <v>4812</v>
      </c>
      <c r="B2555" s="3" t="s">
        <v>2770</v>
      </c>
      <c r="C2555" s="3" t="s">
        <v>2769</v>
      </c>
      <c r="D2555" s="3" t="s">
        <v>2510</v>
      </c>
      <c r="I2555" s="19">
        <v>8113</v>
      </c>
      <c r="J2555" s="19" t="s">
        <v>4559</v>
      </c>
    </row>
    <row r="2556" spans="1:10" x14ac:dyDescent="0.2">
      <c r="A2556" s="3">
        <v>5314</v>
      </c>
      <c r="B2556" s="3" t="s">
        <v>2771</v>
      </c>
      <c r="C2556" s="3" t="s">
        <v>2772</v>
      </c>
      <c r="D2556" s="3" t="s">
        <v>2510</v>
      </c>
      <c r="I2556" s="19">
        <v>8114</v>
      </c>
      <c r="J2556" s="19" t="s">
        <v>4559</v>
      </c>
    </row>
    <row r="2557" spans="1:10" x14ac:dyDescent="0.2">
      <c r="A2557" s="3">
        <v>5315</v>
      </c>
      <c r="B2557" s="3" t="s">
        <v>2772</v>
      </c>
      <c r="C2557" s="3" t="s">
        <v>2772</v>
      </c>
      <c r="D2557" s="3" t="s">
        <v>2510</v>
      </c>
      <c r="I2557" s="19">
        <v>8115</v>
      </c>
      <c r="J2557" s="19" t="s">
        <v>4559</v>
      </c>
    </row>
    <row r="2558" spans="1:10" x14ac:dyDescent="0.2">
      <c r="A2558" s="3">
        <v>5312</v>
      </c>
      <c r="B2558" s="3" t="s">
        <v>2773</v>
      </c>
      <c r="C2558" s="3" t="s">
        <v>2773</v>
      </c>
      <c r="D2558" s="3" t="s">
        <v>2510</v>
      </c>
      <c r="I2558" s="19">
        <v>8117</v>
      </c>
      <c r="J2558" s="19" t="s">
        <v>4560</v>
      </c>
    </row>
    <row r="2559" spans="1:10" x14ac:dyDescent="0.2">
      <c r="A2559" s="3">
        <v>5304</v>
      </c>
      <c r="B2559" s="3" t="s">
        <v>2774</v>
      </c>
      <c r="C2559" s="3" t="s">
        <v>2774</v>
      </c>
      <c r="D2559" s="3" t="s">
        <v>2510</v>
      </c>
      <c r="I2559" s="19">
        <v>8118</v>
      </c>
      <c r="J2559" s="19" t="s">
        <v>4560</v>
      </c>
    </row>
    <row r="2560" spans="1:10" x14ac:dyDescent="0.2">
      <c r="A2560" s="3">
        <v>5305</v>
      </c>
      <c r="B2560" s="3" t="s">
        <v>2775</v>
      </c>
      <c r="C2560" s="3" t="s">
        <v>2774</v>
      </c>
      <c r="D2560" s="3" t="s">
        <v>2510</v>
      </c>
      <c r="I2560" s="19">
        <v>8121</v>
      </c>
      <c r="J2560" s="19" t="s">
        <v>4560</v>
      </c>
    </row>
    <row r="2561" spans="1:10" x14ac:dyDescent="0.2">
      <c r="A2561" s="3">
        <v>5467</v>
      </c>
      <c r="B2561" s="3" t="s">
        <v>2776</v>
      </c>
      <c r="C2561" s="3" t="s">
        <v>2776</v>
      </c>
      <c r="D2561" s="3" t="s">
        <v>2510</v>
      </c>
      <c r="I2561" s="19">
        <v>8122</v>
      </c>
      <c r="J2561" s="19" t="s">
        <v>4560</v>
      </c>
    </row>
    <row r="2562" spans="1:10" x14ac:dyDescent="0.2">
      <c r="A2562" s="3">
        <v>5324</v>
      </c>
      <c r="B2562" s="3" t="s">
        <v>2777</v>
      </c>
      <c r="C2562" s="3" t="s">
        <v>2777</v>
      </c>
      <c r="D2562" s="3" t="s">
        <v>2510</v>
      </c>
      <c r="I2562" s="19">
        <v>8123</v>
      </c>
      <c r="J2562" s="19" t="s">
        <v>4560</v>
      </c>
    </row>
    <row r="2563" spans="1:10" x14ac:dyDescent="0.2">
      <c r="A2563" s="3">
        <v>5313</v>
      </c>
      <c r="B2563" s="3" t="s">
        <v>2778</v>
      </c>
      <c r="C2563" s="3" t="s">
        <v>2778</v>
      </c>
      <c r="D2563" s="3" t="s">
        <v>2510</v>
      </c>
      <c r="I2563" s="19">
        <v>8124</v>
      </c>
      <c r="J2563" s="19" t="s">
        <v>4560</v>
      </c>
    </row>
    <row r="2564" spans="1:10" x14ac:dyDescent="0.2">
      <c r="A2564" s="3">
        <v>5322</v>
      </c>
      <c r="B2564" s="3" t="s">
        <v>2779</v>
      </c>
      <c r="C2564" s="3" t="s">
        <v>2779</v>
      </c>
      <c r="D2564" s="3" t="s">
        <v>2510</v>
      </c>
      <c r="I2564" s="19">
        <v>8125</v>
      </c>
      <c r="J2564" s="19" t="s">
        <v>4560</v>
      </c>
    </row>
    <row r="2565" spans="1:10" x14ac:dyDescent="0.2">
      <c r="A2565" s="3">
        <v>5325</v>
      </c>
      <c r="B2565" s="3" t="s">
        <v>2780</v>
      </c>
      <c r="C2565" s="3" t="s">
        <v>2780</v>
      </c>
      <c r="D2565" s="3" t="s">
        <v>2510</v>
      </c>
      <c r="I2565" s="19">
        <v>8126</v>
      </c>
      <c r="J2565" s="19" t="s">
        <v>4560</v>
      </c>
    </row>
    <row r="2566" spans="1:10" x14ac:dyDescent="0.2">
      <c r="A2566" s="3">
        <v>5426</v>
      </c>
      <c r="B2566" s="3" t="s">
        <v>2781</v>
      </c>
      <c r="C2566" s="3" t="s">
        <v>2782</v>
      </c>
      <c r="D2566" s="3" t="s">
        <v>2510</v>
      </c>
      <c r="I2566" s="19">
        <v>8127</v>
      </c>
      <c r="J2566" s="19" t="s">
        <v>4560</v>
      </c>
    </row>
    <row r="2567" spans="1:10" x14ac:dyDescent="0.2">
      <c r="A2567" s="3">
        <v>5316</v>
      </c>
      <c r="B2567" s="3" t="s">
        <v>2783</v>
      </c>
      <c r="C2567" s="3" t="s">
        <v>2783</v>
      </c>
      <c r="D2567" s="3" t="s">
        <v>2510</v>
      </c>
      <c r="I2567" s="19">
        <v>8132</v>
      </c>
      <c r="J2567" s="19" t="s">
        <v>4560</v>
      </c>
    </row>
    <row r="2568" spans="1:10" x14ac:dyDescent="0.2">
      <c r="A2568" s="3">
        <v>5317</v>
      </c>
      <c r="B2568" s="3" t="s">
        <v>2784</v>
      </c>
      <c r="C2568" s="3" t="s">
        <v>2783</v>
      </c>
      <c r="D2568" s="3" t="s">
        <v>2510</v>
      </c>
      <c r="I2568" s="19">
        <v>8133</v>
      </c>
      <c r="J2568" s="19" t="s">
        <v>4560</v>
      </c>
    </row>
    <row r="2569" spans="1:10" x14ac:dyDescent="0.2">
      <c r="A2569" s="3">
        <v>5465</v>
      </c>
      <c r="B2569" s="3" t="s">
        <v>2785</v>
      </c>
      <c r="C2569" s="3" t="s">
        <v>2785</v>
      </c>
      <c r="D2569" s="3" t="s">
        <v>2510</v>
      </c>
      <c r="I2569" s="19">
        <v>8134</v>
      </c>
      <c r="J2569" s="19" t="s">
        <v>4560</v>
      </c>
    </row>
    <row r="2570" spans="1:10" x14ac:dyDescent="0.2">
      <c r="A2570" s="3">
        <v>5425</v>
      </c>
      <c r="B2570" s="3" t="s">
        <v>2786</v>
      </c>
      <c r="C2570" s="3" t="s">
        <v>2786</v>
      </c>
      <c r="D2570" s="3" t="s">
        <v>2510</v>
      </c>
      <c r="I2570" s="19">
        <v>8135</v>
      </c>
      <c r="J2570" s="19" t="s">
        <v>4560</v>
      </c>
    </row>
    <row r="2571" spans="1:10" x14ac:dyDescent="0.2">
      <c r="A2571" s="3">
        <v>5462</v>
      </c>
      <c r="B2571" s="3" t="s">
        <v>2787</v>
      </c>
      <c r="C2571" s="3" t="s">
        <v>2787</v>
      </c>
      <c r="D2571" s="3" t="s">
        <v>2510</v>
      </c>
      <c r="I2571" s="19">
        <v>8136</v>
      </c>
      <c r="J2571" s="19" t="s">
        <v>4560</v>
      </c>
    </row>
    <row r="2572" spans="1:10" x14ac:dyDescent="0.2">
      <c r="A2572" s="3">
        <v>5306</v>
      </c>
      <c r="B2572" s="3" t="s">
        <v>2788</v>
      </c>
      <c r="C2572" s="3" t="s">
        <v>2788</v>
      </c>
      <c r="D2572" s="3" t="s">
        <v>2510</v>
      </c>
      <c r="I2572" s="19">
        <v>8142</v>
      </c>
      <c r="J2572" s="19" t="s">
        <v>4560</v>
      </c>
    </row>
    <row r="2573" spans="1:10" x14ac:dyDescent="0.2">
      <c r="A2573" s="3">
        <v>5323</v>
      </c>
      <c r="B2573" s="3" t="s">
        <v>2789</v>
      </c>
      <c r="C2573" s="3" t="s">
        <v>2790</v>
      </c>
      <c r="D2573" s="3" t="s">
        <v>2510</v>
      </c>
      <c r="I2573" s="19">
        <v>8143</v>
      </c>
      <c r="J2573" s="19" t="s">
        <v>4560</v>
      </c>
    </row>
    <row r="2574" spans="1:10" x14ac:dyDescent="0.2">
      <c r="A2574" s="3">
        <v>5330</v>
      </c>
      <c r="B2574" s="3" t="s">
        <v>2791</v>
      </c>
      <c r="C2574" s="3" t="s">
        <v>2790</v>
      </c>
      <c r="D2574" s="3" t="s">
        <v>2510</v>
      </c>
      <c r="I2574" s="19">
        <v>8152</v>
      </c>
      <c r="J2574" s="19" t="s">
        <v>4560</v>
      </c>
    </row>
    <row r="2575" spans="1:10" x14ac:dyDescent="0.2">
      <c r="A2575" s="3">
        <v>5332</v>
      </c>
      <c r="B2575" s="3" t="s">
        <v>2792</v>
      </c>
      <c r="C2575" s="3" t="s">
        <v>2790</v>
      </c>
      <c r="D2575" s="3" t="s">
        <v>2510</v>
      </c>
      <c r="I2575" s="19">
        <v>8153</v>
      </c>
      <c r="J2575" s="19" t="s">
        <v>4559</v>
      </c>
    </row>
    <row r="2576" spans="1:10" x14ac:dyDescent="0.2">
      <c r="A2576" s="3">
        <v>5333</v>
      </c>
      <c r="B2576" s="3" t="s">
        <v>2793</v>
      </c>
      <c r="C2576" s="3" t="s">
        <v>2790</v>
      </c>
      <c r="D2576" s="3" t="s">
        <v>2510</v>
      </c>
      <c r="I2576" s="19">
        <v>8154</v>
      </c>
      <c r="J2576" s="19" t="s">
        <v>4559</v>
      </c>
    </row>
    <row r="2577" spans="1:10" x14ac:dyDescent="0.2">
      <c r="A2577" s="3">
        <v>5334</v>
      </c>
      <c r="B2577" s="3" t="s">
        <v>2794</v>
      </c>
      <c r="C2577" s="3" t="s">
        <v>2790</v>
      </c>
      <c r="D2577" s="3" t="s">
        <v>2510</v>
      </c>
      <c r="I2577" s="19">
        <v>8155</v>
      </c>
      <c r="J2577" s="19" t="s">
        <v>4559</v>
      </c>
    </row>
    <row r="2578" spans="1:10" x14ac:dyDescent="0.2">
      <c r="A2578" s="3">
        <v>5463</v>
      </c>
      <c r="B2578" s="3" t="s">
        <v>2795</v>
      </c>
      <c r="C2578" s="3" t="s">
        <v>2790</v>
      </c>
      <c r="D2578" s="3" t="s">
        <v>2510</v>
      </c>
      <c r="I2578" s="19">
        <v>8156</v>
      </c>
      <c r="J2578" s="19" t="s">
        <v>4559</v>
      </c>
    </row>
    <row r="2579" spans="1:10" x14ac:dyDescent="0.2">
      <c r="A2579" s="3">
        <v>5464</v>
      </c>
      <c r="B2579" s="3" t="s">
        <v>2796</v>
      </c>
      <c r="C2579" s="3" t="s">
        <v>2790</v>
      </c>
      <c r="D2579" s="3" t="s">
        <v>2510</v>
      </c>
      <c r="I2579" s="19">
        <v>8157</v>
      </c>
      <c r="J2579" s="19" t="s">
        <v>4559</v>
      </c>
    </row>
    <row r="2580" spans="1:10" x14ac:dyDescent="0.2">
      <c r="A2580" s="3">
        <v>5466</v>
      </c>
      <c r="B2580" s="3" t="s">
        <v>2797</v>
      </c>
      <c r="C2580" s="3" t="s">
        <v>2790</v>
      </c>
      <c r="D2580" s="3" t="s">
        <v>2510</v>
      </c>
      <c r="I2580" s="19">
        <v>8158</v>
      </c>
      <c r="J2580" s="19" t="s">
        <v>4559</v>
      </c>
    </row>
    <row r="2581" spans="1:10" x14ac:dyDescent="0.2">
      <c r="A2581" s="3">
        <v>9320</v>
      </c>
      <c r="B2581" s="3" t="s">
        <v>2798</v>
      </c>
      <c r="C2581" s="3" t="s">
        <v>2798</v>
      </c>
      <c r="D2581" s="3" t="s">
        <v>2799</v>
      </c>
      <c r="I2581" s="19">
        <v>8162</v>
      </c>
      <c r="J2581" s="19" t="s">
        <v>4559</v>
      </c>
    </row>
    <row r="2582" spans="1:10" x14ac:dyDescent="0.2">
      <c r="A2582" s="3">
        <v>9320</v>
      </c>
      <c r="B2582" s="3" t="s">
        <v>2800</v>
      </c>
      <c r="C2582" s="3" t="s">
        <v>2798</v>
      </c>
      <c r="D2582" s="3" t="s">
        <v>2799</v>
      </c>
      <c r="I2582" s="19">
        <v>8164</v>
      </c>
      <c r="J2582" s="19" t="s">
        <v>4559</v>
      </c>
    </row>
    <row r="2583" spans="1:10" x14ac:dyDescent="0.2">
      <c r="A2583" s="3">
        <v>9320</v>
      </c>
      <c r="B2583" s="3" t="s">
        <v>2801</v>
      </c>
      <c r="C2583" s="3" t="s">
        <v>2798</v>
      </c>
      <c r="D2583" s="3" t="s">
        <v>2799</v>
      </c>
      <c r="I2583" s="19">
        <v>8165</v>
      </c>
      <c r="J2583" s="19" t="s">
        <v>4559</v>
      </c>
    </row>
    <row r="2584" spans="1:10" x14ac:dyDescent="0.2">
      <c r="A2584" s="3">
        <v>8582</v>
      </c>
      <c r="B2584" s="3" t="s">
        <v>2802</v>
      </c>
      <c r="C2584" s="3" t="s">
        <v>2802</v>
      </c>
      <c r="D2584" s="3" t="s">
        <v>2799</v>
      </c>
      <c r="I2584" s="19">
        <v>8166</v>
      </c>
      <c r="J2584" s="19" t="s">
        <v>4559</v>
      </c>
    </row>
    <row r="2585" spans="1:10" x14ac:dyDescent="0.2">
      <c r="A2585" s="3">
        <v>9314</v>
      </c>
      <c r="B2585" s="3" t="s">
        <v>2803</v>
      </c>
      <c r="C2585" s="3" t="s">
        <v>2804</v>
      </c>
      <c r="D2585" s="3" t="s">
        <v>2799</v>
      </c>
      <c r="I2585" s="19">
        <v>8172</v>
      </c>
      <c r="J2585" s="19" t="s">
        <v>4559</v>
      </c>
    </row>
    <row r="2586" spans="1:10" x14ac:dyDescent="0.2">
      <c r="A2586" s="3">
        <v>9315</v>
      </c>
      <c r="B2586" s="3" t="s">
        <v>2805</v>
      </c>
      <c r="C2586" s="3" t="s">
        <v>2804</v>
      </c>
      <c r="D2586" s="3" t="s">
        <v>2799</v>
      </c>
      <c r="I2586" s="19">
        <v>8173</v>
      </c>
      <c r="J2586" s="19" t="s">
        <v>4559</v>
      </c>
    </row>
    <row r="2587" spans="1:10" x14ac:dyDescent="0.2">
      <c r="A2587" s="3">
        <v>9315</v>
      </c>
      <c r="B2587" s="3" t="s">
        <v>2806</v>
      </c>
      <c r="C2587" s="3" t="s">
        <v>2804</v>
      </c>
      <c r="D2587" s="3" t="s">
        <v>2799</v>
      </c>
      <c r="I2587" s="19">
        <v>8174</v>
      </c>
      <c r="J2587" s="19" t="s">
        <v>4559</v>
      </c>
    </row>
    <row r="2588" spans="1:10" x14ac:dyDescent="0.2">
      <c r="A2588" s="3">
        <v>9322</v>
      </c>
      <c r="B2588" s="3" t="s">
        <v>2804</v>
      </c>
      <c r="C2588" s="3" t="s">
        <v>2804</v>
      </c>
      <c r="D2588" s="3" t="s">
        <v>2799</v>
      </c>
      <c r="I2588" s="19">
        <v>8175</v>
      </c>
      <c r="J2588" s="19" t="s">
        <v>4559</v>
      </c>
    </row>
    <row r="2589" spans="1:10" x14ac:dyDescent="0.2">
      <c r="A2589" s="3">
        <v>8580</v>
      </c>
      <c r="B2589" s="3" t="s">
        <v>2807</v>
      </c>
      <c r="C2589" s="3" t="s">
        <v>2807</v>
      </c>
      <c r="D2589" s="3" t="s">
        <v>2799</v>
      </c>
      <c r="I2589" s="19">
        <v>8180</v>
      </c>
      <c r="J2589" s="19" t="s">
        <v>4559</v>
      </c>
    </row>
    <row r="2590" spans="1:10" x14ac:dyDescent="0.2">
      <c r="A2590" s="3">
        <v>9326</v>
      </c>
      <c r="B2590" s="3" t="s">
        <v>2808</v>
      </c>
      <c r="C2590" s="3" t="s">
        <v>2808</v>
      </c>
      <c r="D2590" s="3" t="s">
        <v>2799</v>
      </c>
      <c r="I2590" s="19">
        <v>8181</v>
      </c>
      <c r="J2590" s="19" t="s">
        <v>4559</v>
      </c>
    </row>
    <row r="2591" spans="1:10" x14ac:dyDescent="0.2">
      <c r="A2591" s="3">
        <v>8593</v>
      </c>
      <c r="B2591" s="3" t="s">
        <v>2809</v>
      </c>
      <c r="C2591" s="3" t="s">
        <v>2809</v>
      </c>
      <c r="D2591" s="3" t="s">
        <v>2799</v>
      </c>
      <c r="I2591" s="19">
        <v>8182</v>
      </c>
      <c r="J2591" s="19" t="s">
        <v>4559</v>
      </c>
    </row>
    <row r="2592" spans="1:10" x14ac:dyDescent="0.2">
      <c r="A2592" s="3">
        <v>9306</v>
      </c>
      <c r="B2592" s="3" t="s">
        <v>2810</v>
      </c>
      <c r="C2592" s="3" t="s">
        <v>2811</v>
      </c>
      <c r="D2592" s="3" t="s">
        <v>2799</v>
      </c>
      <c r="I2592" s="19">
        <v>8184</v>
      </c>
      <c r="J2592" s="19" t="s">
        <v>4559</v>
      </c>
    </row>
    <row r="2593" spans="1:10" x14ac:dyDescent="0.2">
      <c r="A2593" s="3">
        <v>9325</v>
      </c>
      <c r="B2593" s="3" t="s">
        <v>2812</v>
      </c>
      <c r="C2593" s="3" t="s">
        <v>2811</v>
      </c>
      <c r="D2593" s="3" t="s">
        <v>2799</v>
      </c>
      <c r="I2593" s="19">
        <v>8185</v>
      </c>
      <c r="J2593" s="19" t="s">
        <v>4559</v>
      </c>
    </row>
    <row r="2594" spans="1:10" x14ac:dyDescent="0.2">
      <c r="A2594" s="3">
        <v>8590</v>
      </c>
      <c r="B2594" s="3" t="s">
        <v>2813</v>
      </c>
      <c r="C2594" s="3" t="s">
        <v>2813</v>
      </c>
      <c r="D2594" s="3" t="s">
        <v>2799</v>
      </c>
      <c r="I2594" s="19">
        <v>8187</v>
      </c>
      <c r="J2594" s="19" t="s">
        <v>4559</v>
      </c>
    </row>
    <row r="2595" spans="1:10" x14ac:dyDescent="0.2">
      <c r="A2595" s="3">
        <v>8599</v>
      </c>
      <c r="B2595" s="3" t="s">
        <v>2814</v>
      </c>
      <c r="C2595" s="3" t="s">
        <v>2814</v>
      </c>
      <c r="D2595" s="3" t="s">
        <v>2799</v>
      </c>
      <c r="I2595" s="19">
        <v>8192</v>
      </c>
      <c r="J2595" s="19" t="s">
        <v>4559</v>
      </c>
    </row>
    <row r="2596" spans="1:10" x14ac:dyDescent="0.2">
      <c r="A2596" s="3">
        <v>8580</v>
      </c>
      <c r="B2596" s="3" t="s">
        <v>2815</v>
      </c>
      <c r="C2596" s="3" t="s">
        <v>2815</v>
      </c>
      <c r="D2596" s="3" t="s">
        <v>2799</v>
      </c>
      <c r="I2596" s="19">
        <v>8193</v>
      </c>
      <c r="J2596" s="19" t="s">
        <v>4559</v>
      </c>
    </row>
    <row r="2597" spans="1:10" x14ac:dyDescent="0.2">
      <c r="A2597" s="3">
        <v>8592</v>
      </c>
      <c r="B2597" s="3" t="s">
        <v>2816</v>
      </c>
      <c r="C2597" s="3" t="s">
        <v>2816</v>
      </c>
      <c r="D2597" s="3" t="s">
        <v>2799</v>
      </c>
      <c r="I2597" s="19">
        <v>8194</v>
      </c>
      <c r="J2597" s="19" t="s">
        <v>4559</v>
      </c>
    </row>
    <row r="2598" spans="1:10" x14ac:dyDescent="0.2">
      <c r="A2598" s="3">
        <v>8580</v>
      </c>
      <c r="B2598" s="3" t="s">
        <v>2817</v>
      </c>
      <c r="C2598" s="3" t="s">
        <v>2817</v>
      </c>
      <c r="D2598" s="3" t="s">
        <v>2799</v>
      </c>
      <c r="I2598" s="19">
        <v>8195</v>
      </c>
      <c r="J2598" s="19" t="s">
        <v>4559</v>
      </c>
    </row>
    <row r="2599" spans="1:10" x14ac:dyDescent="0.2">
      <c r="A2599" s="3">
        <v>8580</v>
      </c>
      <c r="B2599" s="3" t="s">
        <v>2818</v>
      </c>
      <c r="C2599" s="3" t="s">
        <v>2817</v>
      </c>
      <c r="D2599" s="3" t="s">
        <v>2799</v>
      </c>
      <c r="I2599" s="19">
        <v>8196</v>
      </c>
      <c r="J2599" s="19" t="s">
        <v>4575</v>
      </c>
    </row>
    <row r="2600" spans="1:10" x14ac:dyDescent="0.2">
      <c r="A2600" s="3">
        <v>8580</v>
      </c>
      <c r="B2600" s="3" t="s">
        <v>2819</v>
      </c>
      <c r="C2600" s="3" t="s">
        <v>2817</v>
      </c>
      <c r="D2600" s="3" t="s">
        <v>2799</v>
      </c>
      <c r="I2600" s="19">
        <v>8197</v>
      </c>
      <c r="J2600" s="19" t="s">
        <v>4575</v>
      </c>
    </row>
    <row r="2601" spans="1:10" x14ac:dyDescent="0.2">
      <c r="A2601" s="3">
        <v>8581</v>
      </c>
      <c r="B2601" s="3" t="s">
        <v>2820</v>
      </c>
      <c r="C2601" s="3" t="s">
        <v>2817</v>
      </c>
      <c r="D2601" s="3" t="s">
        <v>2799</v>
      </c>
      <c r="I2601" s="19">
        <v>8200</v>
      </c>
      <c r="J2601" s="19" t="s">
        <v>4575</v>
      </c>
    </row>
    <row r="2602" spans="1:10" x14ac:dyDescent="0.2">
      <c r="A2602" s="3">
        <v>8587</v>
      </c>
      <c r="B2602" s="3" t="s">
        <v>2821</v>
      </c>
      <c r="C2602" s="3" t="s">
        <v>2817</v>
      </c>
      <c r="D2602" s="3" t="s">
        <v>2799</v>
      </c>
      <c r="I2602" s="19">
        <v>8203</v>
      </c>
      <c r="J2602" s="19" t="s">
        <v>4575</v>
      </c>
    </row>
    <row r="2603" spans="1:10" x14ac:dyDescent="0.2">
      <c r="A2603" s="3">
        <v>9220</v>
      </c>
      <c r="B2603" s="3" t="s">
        <v>2822</v>
      </c>
      <c r="C2603" s="3" t="s">
        <v>2822</v>
      </c>
      <c r="D2603" s="3" t="s">
        <v>2799</v>
      </c>
      <c r="I2603" s="19">
        <v>8207</v>
      </c>
      <c r="J2603" s="19" t="s">
        <v>4575</v>
      </c>
    </row>
    <row r="2604" spans="1:10" x14ac:dyDescent="0.2">
      <c r="A2604" s="3">
        <v>9223</v>
      </c>
      <c r="B2604" s="3" t="s">
        <v>2823</v>
      </c>
      <c r="C2604" s="3" t="s">
        <v>2822</v>
      </c>
      <c r="D2604" s="3" t="s">
        <v>2799</v>
      </c>
      <c r="I2604" s="19">
        <v>8208</v>
      </c>
      <c r="J2604" s="19" t="s">
        <v>4575</v>
      </c>
    </row>
    <row r="2605" spans="1:10" x14ac:dyDescent="0.2">
      <c r="A2605" s="3">
        <v>9223</v>
      </c>
      <c r="B2605" s="3" t="s">
        <v>2824</v>
      </c>
      <c r="C2605" s="3" t="s">
        <v>2822</v>
      </c>
      <c r="D2605" s="3" t="s">
        <v>2799</v>
      </c>
      <c r="I2605" s="19">
        <v>8212</v>
      </c>
      <c r="J2605" s="19" t="s">
        <v>4575</v>
      </c>
    </row>
    <row r="2606" spans="1:10" x14ac:dyDescent="0.2">
      <c r="A2606" s="3">
        <v>8586</v>
      </c>
      <c r="B2606" s="3" t="s">
        <v>2825</v>
      </c>
      <c r="C2606" s="3" t="s">
        <v>2825</v>
      </c>
      <c r="D2606" s="3" t="s">
        <v>2799</v>
      </c>
      <c r="I2606" s="19">
        <v>8213</v>
      </c>
      <c r="J2606" s="19" t="s">
        <v>4575</v>
      </c>
    </row>
    <row r="2607" spans="1:10" x14ac:dyDescent="0.2">
      <c r="A2607" s="3">
        <v>8586</v>
      </c>
      <c r="B2607" s="3" t="s">
        <v>2826</v>
      </c>
      <c r="C2607" s="3" t="s">
        <v>2825</v>
      </c>
      <c r="D2607" s="3" t="s">
        <v>2799</v>
      </c>
      <c r="I2607" s="19">
        <v>8214</v>
      </c>
      <c r="J2607" s="19" t="s">
        <v>4575</v>
      </c>
    </row>
    <row r="2608" spans="1:10" x14ac:dyDescent="0.2">
      <c r="A2608" s="3">
        <v>8586</v>
      </c>
      <c r="B2608" s="3" t="s">
        <v>2827</v>
      </c>
      <c r="C2608" s="3" t="s">
        <v>2825</v>
      </c>
      <c r="D2608" s="3" t="s">
        <v>2799</v>
      </c>
      <c r="I2608" s="19">
        <v>8215</v>
      </c>
      <c r="J2608" s="19" t="s">
        <v>4575</v>
      </c>
    </row>
    <row r="2609" spans="1:10" x14ac:dyDescent="0.2">
      <c r="A2609" s="3">
        <v>8586</v>
      </c>
      <c r="B2609" s="3" t="s">
        <v>2828</v>
      </c>
      <c r="C2609" s="3" t="s">
        <v>2825</v>
      </c>
      <c r="D2609" s="3" t="s">
        <v>2799</v>
      </c>
      <c r="I2609" s="19">
        <v>8216</v>
      </c>
      <c r="J2609" s="19" t="s">
        <v>4575</v>
      </c>
    </row>
    <row r="2610" spans="1:10" x14ac:dyDescent="0.2">
      <c r="A2610" s="3">
        <v>8586</v>
      </c>
      <c r="B2610" s="3" t="s">
        <v>2829</v>
      </c>
      <c r="C2610" s="3" t="s">
        <v>2825</v>
      </c>
      <c r="D2610" s="3" t="s">
        <v>2799</v>
      </c>
      <c r="I2610" s="19">
        <v>8217</v>
      </c>
      <c r="J2610" s="19" t="s">
        <v>4575</v>
      </c>
    </row>
    <row r="2611" spans="1:10" x14ac:dyDescent="0.2">
      <c r="A2611" s="3">
        <v>8586</v>
      </c>
      <c r="B2611" s="3" t="s">
        <v>2830</v>
      </c>
      <c r="C2611" s="3" t="s">
        <v>2825</v>
      </c>
      <c r="D2611" s="3" t="s">
        <v>2799</v>
      </c>
      <c r="I2611" s="19">
        <v>8218</v>
      </c>
      <c r="J2611" s="19" t="s">
        <v>4575</v>
      </c>
    </row>
    <row r="2612" spans="1:10" x14ac:dyDescent="0.2">
      <c r="A2612" s="3">
        <v>9213</v>
      </c>
      <c r="B2612" s="3" t="s">
        <v>2831</v>
      </c>
      <c r="C2612" s="3" t="s">
        <v>2832</v>
      </c>
      <c r="D2612" s="3" t="s">
        <v>2799</v>
      </c>
      <c r="I2612" s="19">
        <v>8219</v>
      </c>
      <c r="J2612" s="19" t="s">
        <v>4575</v>
      </c>
    </row>
    <row r="2613" spans="1:10" x14ac:dyDescent="0.2">
      <c r="A2613" s="3">
        <v>9225</v>
      </c>
      <c r="B2613" s="3" t="s">
        <v>2833</v>
      </c>
      <c r="C2613" s="3" t="s">
        <v>2832</v>
      </c>
      <c r="D2613" s="3" t="s">
        <v>2799</v>
      </c>
      <c r="I2613" s="19">
        <v>8222</v>
      </c>
      <c r="J2613" s="19" t="s">
        <v>4575</v>
      </c>
    </row>
    <row r="2614" spans="1:10" x14ac:dyDescent="0.2">
      <c r="A2614" s="3">
        <v>9225</v>
      </c>
      <c r="B2614" s="3" t="s">
        <v>2834</v>
      </c>
      <c r="C2614" s="3" t="s">
        <v>2832</v>
      </c>
      <c r="D2614" s="3" t="s">
        <v>2799</v>
      </c>
      <c r="I2614" s="19">
        <v>8223</v>
      </c>
      <c r="J2614" s="19" t="s">
        <v>4575</v>
      </c>
    </row>
    <row r="2615" spans="1:10" x14ac:dyDescent="0.2">
      <c r="A2615" s="3">
        <v>9216</v>
      </c>
      <c r="B2615" s="3" t="s">
        <v>2835</v>
      </c>
      <c r="C2615" s="3" t="s">
        <v>2836</v>
      </c>
      <c r="D2615" s="3" t="s">
        <v>2799</v>
      </c>
      <c r="I2615" s="19">
        <v>8224</v>
      </c>
      <c r="J2615" s="19" t="s">
        <v>4575</v>
      </c>
    </row>
    <row r="2616" spans="1:10" x14ac:dyDescent="0.2">
      <c r="A2616" s="3">
        <v>9216</v>
      </c>
      <c r="B2616" s="3" t="s">
        <v>2836</v>
      </c>
      <c r="C2616" s="3" t="s">
        <v>2836</v>
      </c>
      <c r="D2616" s="3" t="s">
        <v>2799</v>
      </c>
      <c r="I2616" s="19">
        <v>8225</v>
      </c>
      <c r="J2616" s="19" t="s">
        <v>4575</v>
      </c>
    </row>
    <row r="2617" spans="1:10" x14ac:dyDescent="0.2">
      <c r="A2617" s="3">
        <v>9214</v>
      </c>
      <c r="B2617" s="3" t="s">
        <v>2837</v>
      </c>
      <c r="C2617" s="3" t="s">
        <v>2838</v>
      </c>
      <c r="D2617" s="3" t="s">
        <v>2799</v>
      </c>
      <c r="I2617" s="19">
        <v>8226</v>
      </c>
      <c r="J2617" s="19" t="s">
        <v>4575</v>
      </c>
    </row>
    <row r="2618" spans="1:10" x14ac:dyDescent="0.2">
      <c r="A2618" s="3">
        <v>9215</v>
      </c>
      <c r="B2618" s="3" t="s">
        <v>2839</v>
      </c>
      <c r="C2618" s="3" t="s">
        <v>2838</v>
      </c>
      <c r="D2618" s="3" t="s">
        <v>2799</v>
      </c>
      <c r="I2618" s="19">
        <v>8228</v>
      </c>
      <c r="J2618" s="19" t="s">
        <v>4575</v>
      </c>
    </row>
    <row r="2619" spans="1:10" x14ac:dyDescent="0.2">
      <c r="A2619" s="3">
        <v>9215</v>
      </c>
      <c r="B2619" s="3" t="s">
        <v>2840</v>
      </c>
      <c r="C2619" s="3" t="s">
        <v>2838</v>
      </c>
      <c r="D2619" s="3" t="s">
        <v>2799</v>
      </c>
      <c r="I2619" s="19">
        <v>8231</v>
      </c>
      <c r="J2619" s="19" t="s">
        <v>4575</v>
      </c>
    </row>
    <row r="2620" spans="1:10" x14ac:dyDescent="0.2">
      <c r="A2620" s="3">
        <v>9217</v>
      </c>
      <c r="B2620" s="3" t="s">
        <v>2841</v>
      </c>
      <c r="C2620" s="3" t="s">
        <v>2838</v>
      </c>
      <c r="D2620" s="3" t="s">
        <v>2799</v>
      </c>
      <c r="I2620" s="19">
        <v>8232</v>
      </c>
      <c r="J2620" s="19" t="s">
        <v>4575</v>
      </c>
    </row>
    <row r="2621" spans="1:10" x14ac:dyDescent="0.2">
      <c r="A2621" s="3">
        <v>8583</v>
      </c>
      <c r="B2621" s="3" t="s">
        <v>2842</v>
      </c>
      <c r="C2621" s="3" t="s">
        <v>2842</v>
      </c>
      <c r="D2621" s="3" t="s">
        <v>2799</v>
      </c>
      <c r="I2621" s="19">
        <v>8233</v>
      </c>
      <c r="J2621" s="19" t="s">
        <v>4575</v>
      </c>
    </row>
    <row r="2622" spans="1:10" x14ac:dyDescent="0.2">
      <c r="A2622" s="3">
        <v>8583</v>
      </c>
      <c r="B2622" s="3" t="s">
        <v>2843</v>
      </c>
      <c r="C2622" s="3" t="s">
        <v>2842</v>
      </c>
      <c r="D2622" s="3" t="s">
        <v>2799</v>
      </c>
      <c r="I2622" s="19">
        <v>8234</v>
      </c>
      <c r="J2622" s="19" t="s">
        <v>4575</v>
      </c>
    </row>
    <row r="2623" spans="1:10" x14ac:dyDescent="0.2">
      <c r="A2623" s="3">
        <v>8583</v>
      </c>
      <c r="B2623" s="3" t="s">
        <v>2844</v>
      </c>
      <c r="C2623" s="3" t="s">
        <v>2842</v>
      </c>
      <c r="D2623" s="3" t="s">
        <v>2799</v>
      </c>
      <c r="I2623" s="19">
        <v>8235</v>
      </c>
      <c r="J2623" s="19" t="s">
        <v>4575</v>
      </c>
    </row>
    <row r="2624" spans="1:10" x14ac:dyDescent="0.2">
      <c r="A2624" s="3">
        <v>8588</v>
      </c>
      <c r="B2624" s="3" t="s">
        <v>2845</v>
      </c>
      <c r="C2624" s="3" t="s">
        <v>2846</v>
      </c>
      <c r="D2624" s="3" t="s">
        <v>2799</v>
      </c>
      <c r="I2624" s="19">
        <v>8236</v>
      </c>
      <c r="J2624" s="19" t="s">
        <v>4575</v>
      </c>
    </row>
    <row r="2625" spans="1:10" x14ac:dyDescent="0.2">
      <c r="A2625" s="3">
        <v>8589</v>
      </c>
      <c r="B2625" s="3" t="s">
        <v>2847</v>
      </c>
      <c r="C2625" s="3" t="s">
        <v>2846</v>
      </c>
      <c r="D2625" s="3" t="s">
        <v>2799</v>
      </c>
      <c r="I2625" s="19">
        <v>8239</v>
      </c>
      <c r="J2625" s="19" t="s">
        <v>4575</v>
      </c>
    </row>
    <row r="2626" spans="1:10" x14ac:dyDescent="0.2">
      <c r="A2626" s="3">
        <v>8254</v>
      </c>
      <c r="B2626" s="3" t="s">
        <v>2848</v>
      </c>
      <c r="C2626" s="3" t="s">
        <v>2849</v>
      </c>
      <c r="D2626" s="3" t="s">
        <v>2799</v>
      </c>
      <c r="I2626" s="19">
        <v>8240</v>
      </c>
      <c r="J2626" s="19" t="s">
        <v>4575</v>
      </c>
    </row>
    <row r="2627" spans="1:10" x14ac:dyDescent="0.2">
      <c r="A2627" s="3">
        <v>8255</v>
      </c>
      <c r="B2627" s="3" t="s">
        <v>2850</v>
      </c>
      <c r="C2627" s="3" t="s">
        <v>2849</v>
      </c>
      <c r="D2627" s="3" t="s">
        <v>2799</v>
      </c>
      <c r="I2627" s="19">
        <v>8241</v>
      </c>
      <c r="J2627" s="19" t="s">
        <v>4575</v>
      </c>
    </row>
    <row r="2628" spans="1:10" x14ac:dyDescent="0.2">
      <c r="A2628" s="3">
        <v>8253</v>
      </c>
      <c r="B2628" s="3" t="s">
        <v>2851</v>
      </c>
      <c r="C2628" s="3" t="s">
        <v>2851</v>
      </c>
      <c r="D2628" s="3" t="s">
        <v>2799</v>
      </c>
      <c r="I2628" s="19">
        <v>8242</v>
      </c>
      <c r="J2628" s="19" t="s">
        <v>4575</v>
      </c>
    </row>
    <row r="2629" spans="1:10" x14ac:dyDescent="0.2">
      <c r="A2629" s="3">
        <v>8253</v>
      </c>
      <c r="B2629" s="3" t="s">
        <v>2852</v>
      </c>
      <c r="C2629" s="3" t="s">
        <v>2851</v>
      </c>
      <c r="D2629" s="3" t="s">
        <v>2799</v>
      </c>
      <c r="I2629" s="19">
        <v>8243</v>
      </c>
      <c r="J2629" s="19" t="s">
        <v>4575</v>
      </c>
    </row>
    <row r="2630" spans="1:10" x14ac:dyDescent="0.2">
      <c r="A2630" s="3">
        <v>8252</v>
      </c>
      <c r="B2630" s="3" t="s">
        <v>2853</v>
      </c>
      <c r="C2630" s="3" t="s">
        <v>2854</v>
      </c>
      <c r="D2630" s="3" t="s">
        <v>2799</v>
      </c>
      <c r="I2630" s="19">
        <v>8245</v>
      </c>
      <c r="J2630" s="19" t="s">
        <v>4575</v>
      </c>
    </row>
    <row r="2631" spans="1:10" x14ac:dyDescent="0.2">
      <c r="A2631" s="3">
        <v>8355</v>
      </c>
      <c r="B2631" s="3" t="s">
        <v>2855</v>
      </c>
      <c r="C2631" s="3" t="s">
        <v>2855</v>
      </c>
      <c r="D2631" s="3" t="s">
        <v>2799</v>
      </c>
      <c r="I2631" s="19">
        <v>8246</v>
      </c>
      <c r="J2631" s="19" t="s">
        <v>4575</v>
      </c>
    </row>
    <row r="2632" spans="1:10" x14ac:dyDescent="0.2">
      <c r="A2632" s="3">
        <v>8356</v>
      </c>
      <c r="B2632" s="3" t="s">
        <v>2856</v>
      </c>
      <c r="C2632" s="3" t="s">
        <v>2855</v>
      </c>
      <c r="D2632" s="3" t="s">
        <v>2799</v>
      </c>
      <c r="I2632" s="19">
        <v>8247</v>
      </c>
      <c r="J2632" s="19" t="s">
        <v>4575</v>
      </c>
    </row>
    <row r="2633" spans="1:10" x14ac:dyDescent="0.2">
      <c r="A2633" s="3">
        <v>8357</v>
      </c>
      <c r="B2633" s="3" t="s">
        <v>2857</v>
      </c>
      <c r="C2633" s="3" t="s">
        <v>2855</v>
      </c>
      <c r="D2633" s="3" t="s">
        <v>2799</v>
      </c>
      <c r="I2633" s="19">
        <v>8248</v>
      </c>
      <c r="J2633" s="19" t="s">
        <v>4575</v>
      </c>
    </row>
    <row r="2634" spans="1:10" x14ac:dyDescent="0.2">
      <c r="A2634" s="3">
        <v>8522</v>
      </c>
      <c r="B2634" s="3" t="s">
        <v>2858</v>
      </c>
      <c r="C2634" s="3" t="s">
        <v>2855</v>
      </c>
      <c r="D2634" s="3" t="s">
        <v>2799</v>
      </c>
      <c r="I2634" s="19">
        <v>8252</v>
      </c>
      <c r="J2634" s="19" t="s">
        <v>4575</v>
      </c>
    </row>
    <row r="2635" spans="1:10" x14ac:dyDescent="0.2">
      <c r="A2635" s="3">
        <v>8522</v>
      </c>
      <c r="B2635" s="3" t="s">
        <v>2859</v>
      </c>
      <c r="C2635" s="3" t="s">
        <v>2855</v>
      </c>
      <c r="D2635" s="3" t="s">
        <v>2799</v>
      </c>
      <c r="I2635" s="19">
        <v>8253</v>
      </c>
      <c r="J2635" s="19" t="s">
        <v>4575</v>
      </c>
    </row>
    <row r="2636" spans="1:10" x14ac:dyDescent="0.2">
      <c r="A2636" s="3">
        <v>9547</v>
      </c>
      <c r="B2636" s="3" t="s">
        <v>2860</v>
      </c>
      <c r="C2636" s="3" t="s">
        <v>2855</v>
      </c>
      <c r="D2636" s="3" t="s">
        <v>2799</v>
      </c>
      <c r="I2636" s="19">
        <v>8254</v>
      </c>
      <c r="J2636" s="19" t="s">
        <v>4575</v>
      </c>
    </row>
    <row r="2637" spans="1:10" x14ac:dyDescent="0.2">
      <c r="A2637" s="3">
        <v>8552</v>
      </c>
      <c r="B2637" s="3" t="s">
        <v>2861</v>
      </c>
      <c r="C2637" s="3" t="s">
        <v>2861</v>
      </c>
      <c r="D2637" s="3" t="s">
        <v>2799</v>
      </c>
      <c r="I2637" s="19">
        <v>8255</v>
      </c>
      <c r="J2637" s="19" t="s">
        <v>4575</v>
      </c>
    </row>
    <row r="2638" spans="1:10" x14ac:dyDescent="0.2">
      <c r="A2638" s="3">
        <v>8500</v>
      </c>
      <c r="B2638" s="3" t="s">
        <v>2862</v>
      </c>
      <c r="C2638" s="3" t="s">
        <v>2862</v>
      </c>
      <c r="D2638" s="3" t="s">
        <v>2799</v>
      </c>
      <c r="I2638" s="19">
        <v>8259</v>
      </c>
      <c r="J2638" s="19" t="s">
        <v>4575</v>
      </c>
    </row>
    <row r="2639" spans="1:10" x14ac:dyDescent="0.2">
      <c r="A2639" s="3">
        <v>8500</v>
      </c>
      <c r="B2639" s="3" t="s">
        <v>2863</v>
      </c>
      <c r="C2639" s="3" t="s">
        <v>2862</v>
      </c>
      <c r="D2639" s="3" t="s">
        <v>2799</v>
      </c>
      <c r="I2639" s="19">
        <v>8260</v>
      </c>
      <c r="J2639" s="19" t="s">
        <v>4575</v>
      </c>
    </row>
    <row r="2640" spans="1:10" x14ac:dyDescent="0.2">
      <c r="A2640" s="3">
        <v>8546</v>
      </c>
      <c r="B2640" s="3" t="s">
        <v>2864</v>
      </c>
      <c r="C2640" s="3" t="s">
        <v>2865</v>
      </c>
      <c r="D2640" s="3" t="s">
        <v>2799</v>
      </c>
      <c r="I2640" s="19">
        <v>8261</v>
      </c>
      <c r="J2640" s="19" t="s">
        <v>4575</v>
      </c>
    </row>
    <row r="2641" spans="1:10" x14ac:dyDescent="0.2">
      <c r="A2641" s="3">
        <v>8546</v>
      </c>
      <c r="B2641" s="3" t="s">
        <v>2866</v>
      </c>
      <c r="C2641" s="3" t="s">
        <v>2865</v>
      </c>
      <c r="D2641" s="3" t="s">
        <v>2799</v>
      </c>
      <c r="I2641" s="19">
        <v>8262</v>
      </c>
      <c r="J2641" s="19" t="s">
        <v>4575</v>
      </c>
    </row>
    <row r="2642" spans="1:10" x14ac:dyDescent="0.2">
      <c r="A2642" s="3">
        <v>8547</v>
      </c>
      <c r="B2642" s="3" t="s">
        <v>2865</v>
      </c>
      <c r="C2642" s="3" t="s">
        <v>2865</v>
      </c>
      <c r="D2642" s="3" t="s">
        <v>2799</v>
      </c>
      <c r="I2642" s="19">
        <v>8263</v>
      </c>
      <c r="J2642" s="19" t="s">
        <v>4575</v>
      </c>
    </row>
    <row r="2643" spans="1:10" x14ac:dyDescent="0.2">
      <c r="A2643" s="3">
        <v>8553</v>
      </c>
      <c r="B2643" s="3" t="s">
        <v>2867</v>
      </c>
      <c r="C2643" s="3" t="s">
        <v>2868</v>
      </c>
      <c r="D2643" s="3" t="s">
        <v>2799</v>
      </c>
      <c r="I2643" s="19">
        <v>8264</v>
      </c>
      <c r="J2643" s="19" t="s">
        <v>4575</v>
      </c>
    </row>
    <row r="2644" spans="1:10" x14ac:dyDescent="0.2">
      <c r="A2644" s="3">
        <v>8553</v>
      </c>
      <c r="B2644" s="3" t="s">
        <v>2869</v>
      </c>
      <c r="C2644" s="3" t="s">
        <v>2868</v>
      </c>
      <c r="D2644" s="3" t="s">
        <v>2799</v>
      </c>
      <c r="I2644" s="19">
        <v>8265</v>
      </c>
      <c r="J2644" s="19" t="s">
        <v>4575</v>
      </c>
    </row>
    <row r="2645" spans="1:10" x14ac:dyDescent="0.2">
      <c r="A2645" s="3">
        <v>8553</v>
      </c>
      <c r="B2645" s="3" t="s">
        <v>2868</v>
      </c>
      <c r="C2645" s="3" t="s">
        <v>2868</v>
      </c>
      <c r="D2645" s="3" t="s">
        <v>2799</v>
      </c>
      <c r="I2645" s="19">
        <v>8266</v>
      </c>
      <c r="J2645" s="19" t="s">
        <v>4576</v>
      </c>
    </row>
    <row r="2646" spans="1:10" x14ac:dyDescent="0.2">
      <c r="A2646" s="3">
        <v>8553</v>
      </c>
      <c r="B2646" s="3" t="s">
        <v>2870</v>
      </c>
      <c r="C2646" s="3" t="s">
        <v>2868</v>
      </c>
      <c r="D2646" s="3" t="s">
        <v>2799</v>
      </c>
      <c r="I2646" s="19">
        <v>8267</v>
      </c>
      <c r="J2646" s="19" t="s">
        <v>4576</v>
      </c>
    </row>
    <row r="2647" spans="1:10" x14ac:dyDescent="0.2">
      <c r="A2647" s="3">
        <v>9548</v>
      </c>
      <c r="B2647" s="3" t="s">
        <v>2871</v>
      </c>
      <c r="C2647" s="3" t="s">
        <v>2871</v>
      </c>
      <c r="D2647" s="3" t="s">
        <v>2799</v>
      </c>
      <c r="I2647" s="19">
        <v>8268</v>
      </c>
      <c r="J2647" s="19" t="s">
        <v>4576</v>
      </c>
    </row>
    <row r="2648" spans="1:10" x14ac:dyDescent="0.2">
      <c r="A2648" s="3">
        <v>8525</v>
      </c>
      <c r="B2648" s="3" t="s">
        <v>2872</v>
      </c>
      <c r="C2648" s="3" t="s">
        <v>2873</v>
      </c>
      <c r="D2648" s="3" t="s">
        <v>2799</v>
      </c>
      <c r="I2648" s="19">
        <v>8269</v>
      </c>
      <c r="J2648" s="19" t="s">
        <v>4576</v>
      </c>
    </row>
    <row r="2649" spans="1:10" x14ac:dyDescent="0.2">
      <c r="A2649" s="3">
        <v>8526</v>
      </c>
      <c r="B2649" s="3" t="s">
        <v>2874</v>
      </c>
      <c r="C2649" s="3" t="s">
        <v>2873</v>
      </c>
      <c r="D2649" s="3" t="s">
        <v>2799</v>
      </c>
      <c r="I2649" s="19">
        <v>8272</v>
      </c>
      <c r="J2649" s="19" t="s">
        <v>4576</v>
      </c>
    </row>
    <row r="2650" spans="1:10" x14ac:dyDescent="0.2">
      <c r="A2650" s="3">
        <v>9507</v>
      </c>
      <c r="B2650" s="3" t="s">
        <v>2875</v>
      </c>
      <c r="C2650" s="3" t="s">
        <v>2875</v>
      </c>
      <c r="D2650" s="3" t="s">
        <v>2799</v>
      </c>
      <c r="I2650" s="19">
        <v>8273</v>
      </c>
      <c r="J2650" s="19" t="s">
        <v>4576</v>
      </c>
    </row>
    <row r="2651" spans="1:10" x14ac:dyDescent="0.2">
      <c r="A2651" s="3">
        <v>8512</v>
      </c>
      <c r="B2651" s="3" t="s">
        <v>2876</v>
      </c>
      <c r="C2651" s="3" t="s">
        <v>2876</v>
      </c>
      <c r="D2651" s="3" t="s">
        <v>2799</v>
      </c>
      <c r="I2651" s="19">
        <v>8274</v>
      </c>
      <c r="J2651" s="19" t="s">
        <v>4576</v>
      </c>
    </row>
    <row r="2652" spans="1:10" x14ac:dyDescent="0.2">
      <c r="A2652" s="3">
        <v>8512</v>
      </c>
      <c r="B2652" s="3" t="s">
        <v>2877</v>
      </c>
      <c r="C2652" s="3" t="s">
        <v>2876</v>
      </c>
      <c r="D2652" s="3" t="s">
        <v>2799</v>
      </c>
      <c r="I2652" s="19">
        <v>8280</v>
      </c>
      <c r="J2652" s="19" t="s">
        <v>4576</v>
      </c>
    </row>
    <row r="2653" spans="1:10" x14ac:dyDescent="0.2">
      <c r="A2653" s="3">
        <v>8512</v>
      </c>
      <c r="B2653" s="3" t="s">
        <v>2878</v>
      </c>
      <c r="C2653" s="3" t="s">
        <v>2876</v>
      </c>
      <c r="D2653" s="3" t="s">
        <v>2799</v>
      </c>
      <c r="I2653" s="19">
        <v>8302</v>
      </c>
      <c r="J2653" s="19" t="s">
        <v>4559</v>
      </c>
    </row>
    <row r="2654" spans="1:10" x14ac:dyDescent="0.2">
      <c r="A2654" s="3">
        <v>8524</v>
      </c>
      <c r="B2654" s="3" t="s">
        <v>2879</v>
      </c>
      <c r="C2654" s="3" t="s">
        <v>2880</v>
      </c>
      <c r="D2654" s="3" t="s">
        <v>2799</v>
      </c>
      <c r="I2654" s="19">
        <v>8303</v>
      </c>
      <c r="J2654" s="19" t="s">
        <v>4559</v>
      </c>
    </row>
    <row r="2655" spans="1:10" x14ac:dyDescent="0.2">
      <c r="A2655" s="3">
        <v>8524</v>
      </c>
      <c r="B2655" s="3" t="s">
        <v>2881</v>
      </c>
      <c r="C2655" s="3" t="s">
        <v>2880</v>
      </c>
      <c r="D2655" s="3" t="s">
        <v>2799</v>
      </c>
      <c r="I2655" s="19">
        <v>8304</v>
      </c>
      <c r="J2655" s="19" t="s">
        <v>4560</v>
      </c>
    </row>
    <row r="2656" spans="1:10" x14ac:dyDescent="0.2">
      <c r="A2656" s="3">
        <v>8532</v>
      </c>
      <c r="B2656" s="3" t="s">
        <v>2882</v>
      </c>
      <c r="C2656" s="3" t="s">
        <v>2883</v>
      </c>
      <c r="D2656" s="3" t="s">
        <v>2799</v>
      </c>
      <c r="I2656" s="19">
        <v>8305</v>
      </c>
      <c r="J2656" s="19" t="s">
        <v>4560</v>
      </c>
    </row>
    <row r="2657" spans="1:10" x14ac:dyDescent="0.2">
      <c r="A2657" s="3">
        <v>8532</v>
      </c>
      <c r="B2657" s="3" t="s">
        <v>2884</v>
      </c>
      <c r="C2657" s="3" t="s">
        <v>2883</v>
      </c>
      <c r="D2657" s="3" t="s">
        <v>2799</v>
      </c>
      <c r="I2657" s="19">
        <v>8306</v>
      </c>
      <c r="J2657" s="19" t="s">
        <v>4560</v>
      </c>
    </row>
    <row r="2658" spans="1:10" x14ac:dyDescent="0.2">
      <c r="A2658" s="3">
        <v>8595</v>
      </c>
      <c r="B2658" s="3" t="s">
        <v>2885</v>
      </c>
      <c r="C2658" s="3" t="s">
        <v>2885</v>
      </c>
      <c r="D2658" s="3" t="s">
        <v>2799</v>
      </c>
      <c r="I2658" s="19">
        <v>8307</v>
      </c>
      <c r="J2658" s="19" t="s">
        <v>4560</v>
      </c>
    </row>
    <row r="2659" spans="1:10" x14ac:dyDescent="0.2">
      <c r="A2659" s="3">
        <v>8598</v>
      </c>
      <c r="B2659" s="3" t="s">
        <v>2886</v>
      </c>
      <c r="C2659" s="3" t="s">
        <v>2886</v>
      </c>
      <c r="D2659" s="3" t="s">
        <v>2799</v>
      </c>
      <c r="I2659" s="19">
        <v>8308</v>
      </c>
      <c r="J2659" s="19" t="s">
        <v>4560</v>
      </c>
    </row>
    <row r="2660" spans="1:10" x14ac:dyDescent="0.2">
      <c r="A2660" s="3">
        <v>8272</v>
      </c>
      <c r="B2660" s="3" t="s">
        <v>2887</v>
      </c>
      <c r="C2660" s="3" t="s">
        <v>2887</v>
      </c>
      <c r="D2660" s="3" t="s">
        <v>2799</v>
      </c>
      <c r="I2660" s="19">
        <v>8309</v>
      </c>
      <c r="J2660" s="19" t="s">
        <v>4559</v>
      </c>
    </row>
    <row r="2661" spans="1:10" x14ac:dyDescent="0.2">
      <c r="A2661" s="3">
        <v>8273</v>
      </c>
      <c r="B2661" s="3" t="s">
        <v>2888</v>
      </c>
      <c r="C2661" s="3" t="s">
        <v>2887</v>
      </c>
      <c r="D2661" s="3" t="s">
        <v>2799</v>
      </c>
      <c r="I2661" s="19">
        <v>8310</v>
      </c>
      <c r="J2661" s="19" t="s">
        <v>4560</v>
      </c>
    </row>
    <row r="2662" spans="1:10" x14ac:dyDescent="0.2">
      <c r="A2662" s="3">
        <v>8274</v>
      </c>
      <c r="B2662" s="3" t="s">
        <v>2889</v>
      </c>
      <c r="C2662" s="3" t="s">
        <v>2889</v>
      </c>
      <c r="D2662" s="3" t="s">
        <v>2799</v>
      </c>
      <c r="I2662" s="19">
        <v>8311</v>
      </c>
      <c r="J2662" s="19" t="s">
        <v>4559</v>
      </c>
    </row>
    <row r="2663" spans="1:10" x14ac:dyDescent="0.2">
      <c r="A2663" s="3">
        <v>8594</v>
      </c>
      <c r="B2663" s="3" t="s">
        <v>2890</v>
      </c>
      <c r="C2663" s="3" t="s">
        <v>2890</v>
      </c>
      <c r="D2663" s="3" t="s">
        <v>2799</v>
      </c>
      <c r="I2663" s="19">
        <v>8312</v>
      </c>
      <c r="J2663" s="19" t="s">
        <v>4559</v>
      </c>
    </row>
    <row r="2664" spans="1:10" x14ac:dyDescent="0.2">
      <c r="A2664" s="3">
        <v>8565</v>
      </c>
      <c r="B2664" s="3" t="s">
        <v>2891</v>
      </c>
      <c r="C2664" s="3" t="s">
        <v>2892</v>
      </c>
      <c r="D2664" s="3" t="s">
        <v>2799</v>
      </c>
      <c r="I2664" s="19">
        <v>8314</v>
      </c>
      <c r="J2664" s="19" t="s">
        <v>4560</v>
      </c>
    </row>
    <row r="2665" spans="1:10" x14ac:dyDescent="0.2">
      <c r="A2665" s="3">
        <v>8566</v>
      </c>
      <c r="B2665" s="3" t="s">
        <v>2893</v>
      </c>
      <c r="C2665" s="3" t="s">
        <v>2892</v>
      </c>
      <c r="D2665" s="3" t="s">
        <v>2799</v>
      </c>
      <c r="I2665" s="19">
        <v>8315</v>
      </c>
      <c r="J2665" s="19" t="s">
        <v>4560</v>
      </c>
    </row>
    <row r="2666" spans="1:10" x14ac:dyDescent="0.2">
      <c r="A2666" s="3">
        <v>8566</v>
      </c>
      <c r="B2666" s="3" t="s">
        <v>2894</v>
      </c>
      <c r="C2666" s="3" t="s">
        <v>2892</v>
      </c>
      <c r="D2666" s="3" t="s">
        <v>2799</v>
      </c>
      <c r="I2666" s="19">
        <v>8317</v>
      </c>
      <c r="J2666" s="19" t="s">
        <v>4560</v>
      </c>
    </row>
    <row r="2667" spans="1:10" x14ac:dyDescent="0.2">
      <c r="A2667" s="3">
        <v>8566</v>
      </c>
      <c r="B2667" s="3" t="s">
        <v>2895</v>
      </c>
      <c r="C2667" s="3" t="s">
        <v>2892</v>
      </c>
      <c r="D2667" s="3" t="s">
        <v>2799</v>
      </c>
      <c r="I2667" s="19">
        <v>8320</v>
      </c>
      <c r="J2667" s="19" t="s">
        <v>4560</v>
      </c>
    </row>
    <row r="2668" spans="1:10" x14ac:dyDescent="0.2">
      <c r="A2668" s="3">
        <v>8566</v>
      </c>
      <c r="B2668" s="3" t="s">
        <v>2896</v>
      </c>
      <c r="C2668" s="3" t="s">
        <v>2892</v>
      </c>
      <c r="D2668" s="3" t="s">
        <v>2799</v>
      </c>
      <c r="I2668" s="19">
        <v>8322</v>
      </c>
      <c r="J2668" s="19" t="s">
        <v>4560</v>
      </c>
    </row>
    <row r="2669" spans="1:10" x14ac:dyDescent="0.2">
      <c r="A2669" s="3">
        <v>8573</v>
      </c>
      <c r="B2669" s="3" t="s">
        <v>2897</v>
      </c>
      <c r="C2669" s="3" t="s">
        <v>2892</v>
      </c>
      <c r="D2669" s="3" t="s">
        <v>2799</v>
      </c>
      <c r="I2669" s="19">
        <v>8330</v>
      </c>
      <c r="J2669" s="19" t="s">
        <v>4560</v>
      </c>
    </row>
    <row r="2670" spans="1:10" x14ac:dyDescent="0.2">
      <c r="A2670" s="3">
        <v>8573</v>
      </c>
      <c r="B2670" s="3" t="s">
        <v>2898</v>
      </c>
      <c r="C2670" s="3" t="s">
        <v>2892</v>
      </c>
      <c r="D2670" s="3" t="s">
        <v>2799</v>
      </c>
      <c r="I2670" s="19">
        <v>8331</v>
      </c>
      <c r="J2670" s="19" t="s">
        <v>4560</v>
      </c>
    </row>
    <row r="2671" spans="1:10" x14ac:dyDescent="0.2">
      <c r="A2671" s="3">
        <v>8573</v>
      </c>
      <c r="B2671" s="3" t="s">
        <v>2899</v>
      </c>
      <c r="C2671" s="3" t="s">
        <v>2892</v>
      </c>
      <c r="D2671" s="3" t="s">
        <v>2799</v>
      </c>
      <c r="I2671" s="19">
        <v>8332</v>
      </c>
      <c r="J2671" s="19" t="s">
        <v>4560</v>
      </c>
    </row>
    <row r="2672" spans="1:10" x14ac:dyDescent="0.2">
      <c r="A2672" s="3">
        <v>8280</v>
      </c>
      <c r="B2672" s="3" t="s">
        <v>2900</v>
      </c>
      <c r="C2672" s="3" t="s">
        <v>2900</v>
      </c>
      <c r="D2672" s="3" t="s">
        <v>2799</v>
      </c>
      <c r="I2672" s="19">
        <v>8335</v>
      </c>
      <c r="J2672" s="19" t="s">
        <v>4560</v>
      </c>
    </row>
    <row r="2673" spans="1:10" x14ac:dyDescent="0.2">
      <c r="A2673" s="3">
        <v>8585</v>
      </c>
      <c r="B2673" s="3" t="s">
        <v>2901</v>
      </c>
      <c r="C2673" s="3" t="s">
        <v>2901</v>
      </c>
      <c r="D2673" s="3" t="s">
        <v>2799</v>
      </c>
      <c r="I2673" s="19">
        <v>8340</v>
      </c>
      <c r="J2673" s="19" t="s">
        <v>4560</v>
      </c>
    </row>
    <row r="2674" spans="1:10" x14ac:dyDescent="0.2">
      <c r="A2674" s="3">
        <v>8585</v>
      </c>
      <c r="B2674" s="3" t="s">
        <v>2902</v>
      </c>
      <c r="C2674" s="3" t="s">
        <v>2901</v>
      </c>
      <c r="D2674" s="3" t="s">
        <v>2799</v>
      </c>
      <c r="I2674" s="19">
        <v>8342</v>
      </c>
      <c r="J2674" s="19" t="s">
        <v>4560</v>
      </c>
    </row>
    <row r="2675" spans="1:10" x14ac:dyDescent="0.2">
      <c r="A2675" s="3">
        <v>8585</v>
      </c>
      <c r="B2675" s="3" t="s">
        <v>2903</v>
      </c>
      <c r="C2675" s="3" t="s">
        <v>2901</v>
      </c>
      <c r="D2675" s="3" t="s">
        <v>2799</v>
      </c>
      <c r="I2675" s="19">
        <v>8344</v>
      </c>
      <c r="J2675" s="19" t="s">
        <v>4560</v>
      </c>
    </row>
    <row r="2676" spans="1:10" x14ac:dyDescent="0.2">
      <c r="A2676" s="3">
        <v>8585</v>
      </c>
      <c r="B2676" s="3" t="s">
        <v>2904</v>
      </c>
      <c r="C2676" s="3" t="s">
        <v>2901</v>
      </c>
      <c r="D2676" s="3" t="s">
        <v>2799</v>
      </c>
      <c r="I2676" s="19">
        <v>8345</v>
      </c>
      <c r="J2676" s="19" t="s">
        <v>4560</v>
      </c>
    </row>
    <row r="2677" spans="1:10" x14ac:dyDescent="0.2">
      <c r="A2677" s="3">
        <v>8574</v>
      </c>
      <c r="B2677" s="3" t="s">
        <v>2905</v>
      </c>
      <c r="C2677" s="3" t="s">
        <v>2906</v>
      </c>
      <c r="D2677" s="3" t="s">
        <v>2799</v>
      </c>
      <c r="I2677" s="19">
        <v>8352</v>
      </c>
      <c r="J2677" s="19" t="s">
        <v>4559</v>
      </c>
    </row>
    <row r="2678" spans="1:10" x14ac:dyDescent="0.2">
      <c r="A2678" s="3">
        <v>8574</v>
      </c>
      <c r="B2678" s="3" t="s">
        <v>2907</v>
      </c>
      <c r="C2678" s="3" t="s">
        <v>2906</v>
      </c>
      <c r="D2678" s="3" t="s">
        <v>2799</v>
      </c>
      <c r="I2678" s="19">
        <v>8353</v>
      </c>
      <c r="J2678" s="19" t="s">
        <v>4559</v>
      </c>
    </row>
    <row r="2679" spans="1:10" x14ac:dyDescent="0.2">
      <c r="A2679" s="3">
        <v>8574</v>
      </c>
      <c r="B2679" s="3" t="s">
        <v>2906</v>
      </c>
      <c r="C2679" s="3" t="s">
        <v>2906</v>
      </c>
      <c r="D2679" s="3" t="s">
        <v>2799</v>
      </c>
      <c r="I2679" s="19">
        <v>8354</v>
      </c>
      <c r="J2679" s="19" t="s">
        <v>4559</v>
      </c>
    </row>
    <row r="2680" spans="1:10" x14ac:dyDescent="0.2">
      <c r="A2680" s="3">
        <v>8574</v>
      </c>
      <c r="B2680" s="3" t="s">
        <v>2906</v>
      </c>
      <c r="C2680" s="3" t="s">
        <v>2906</v>
      </c>
      <c r="D2680" s="3" t="s">
        <v>2799</v>
      </c>
      <c r="I2680" s="19">
        <v>8355</v>
      </c>
      <c r="J2680" s="19" t="s">
        <v>4559</v>
      </c>
    </row>
    <row r="2681" spans="1:10" x14ac:dyDescent="0.2">
      <c r="A2681" s="3">
        <v>8574</v>
      </c>
      <c r="B2681" s="3" t="s">
        <v>2908</v>
      </c>
      <c r="C2681" s="3" t="s">
        <v>2906</v>
      </c>
      <c r="D2681" s="3" t="s">
        <v>2799</v>
      </c>
      <c r="I2681" s="19">
        <v>8356</v>
      </c>
      <c r="J2681" s="19" t="s">
        <v>4560</v>
      </c>
    </row>
    <row r="2682" spans="1:10" x14ac:dyDescent="0.2">
      <c r="A2682" s="3">
        <v>8596</v>
      </c>
      <c r="B2682" s="3" t="s">
        <v>2909</v>
      </c>
      <c r="C2682" s="3" t="s">
        <v>2910</v>
      </c>
      <c r="D2682" s="3" t="s">
        <v>2799</v>
      </c>
      <c r="I2682" s="19">
        <v>8357</v>
      </c>
      <c r="J2682" s="19" t="s">
        <v>4560</v>
      </c>
    </row>
    <row r="2683" spans="1:10" x14ac:dyDescent="0.2">
      <c r="A2683" s="3">
        <v>8596</v>
      </c>
      <c r="B2683" s="3" t="s">
        <v>2910</v>
      </c>
      <c r="C2683" s="3" t="s">
        <v>2910</v>
      </c>
      <c r="D2683" s="3" t="s">
        <v>2799</v>
      </c>
      <c r="I2683" s="19">
        <v>8360</v>
      </c>
      <c r="J2683" s="19" t="s">
        <v>4576</v>
      </c>
    </row>
    <row r="2684" spans="1:10" x14ac:dyDescent="0.2">
      <c r="A2684" s="3">
        <v>8597</v>
      </c>
      <c r="B2684" s="3" t="s">
        <v>2911</v>
      </c>
      <c r="C2684" s="3" t="s">
        <v>2910</v>
      </c>
      <c r="D2684" s="3" t="s">
        <v>2799</v>
      </c>
      <c r="I2684" s="19">
        <v>8362</v>
      </c>
      <c r="J2684" s="19" t="s">
        <v>4560</v>
      </c>
    </row>
    <row r="2685" spans="1:10" x14ac:dyDescent="0.2">
      <c r="A2685" s="3">
        <v>8274</v>
      </c>
      <c r="B2685" s="3" t="s">
        <v>2912</v>
      </c>
      <c r="C2685" s="3" t="s">
        <v>2912</v>
      </c>
      <c r="D2685" s="3" t="s">
        <v>2799</v>
      </c>
      <c r="I2685" s="19">
        <v>8363</v>
      </c>
      <c r="J2685" s="19" t="s">
        <v>4560</v>
      </c>
    </row>
    <row r="2686" spans="1:10" x14ac:dyDescent="0.2">
      <c r="A2686" s="3">
        <v>8564</v>
      </c>
      <c r="B2686" s="3" t="s">
        <v>2913</v>
      </c>
      <c r="C2686" s="3" t="s">
        <v>2914</v>
      </c>
      <c r="D2686" s="3" t="s">
        <v>2799</v>
      </c>
      <c r="I2686" s="19">
        <v>8370</v>
      </c>
      <c r="J2686" s="19" t="s">
        <v>4576</v>
      </c>
    </row>
    <row r="2687" spans="1:10" x14ac:dyDescent="0.2">
      <c r="A2687" s="3">
        <v>8564</v>
      </c>
      <c r="B2687" s="3" t="s">
        <v>2915</v>
      </c>
      <c r="C2687" s="3" t="s">
        <v>2914</v>
      </c>
      <c r="D2687" s="3" t="s">
        <v>2799</v>
      </c>
      <c r="I2687" s="19">
        <v>8371</v>
      </c>
      <c r="J2687" s="19" t="s">
        <v>4576</v>
      </c>
    </row>
    <row r="2688" spans="1:10" x14ac:dyDescent="0.2">
      <c r="A2688" s="3">
        <v>8564</v>
      </c>
      <c r="B2688" s="3" t="s">
        <v>2916</v>
      </c>
      <c r="C2688" s="3" t="s">
        <v>2914</v>
      </c>
      <c r="D2688" s="3" t="s">
        <v>2799</v>
      </c>
      <c r="I2688" s="19">
        <v>8372</v>
      </c>
      <c r="J2688" s="19" t="s">
        <v>4576</v>
      </c>
    </row>
    <row r="2689" spans="1:10" x14ac:dyDescent="0.2">
      <c r="A2689" s="3">
        <v>8564</v>
      </c>
      <c r="B2689" s="3" t="s">
        <v>2914</v>
      </c>
      <c r="C2689" s="3" t="s">
        <v>2914</v>
      </c>
      <c r="D2689" s="3" t="s">
        <v>2799</v>
      </c>
      <c r="I2689" s="19">
        <v>8374</v>
      </c>
      <c r="J2689" s="19" t="s">
        <v>4560</v>
      </c>
    </row>
    <row r="2690" spans="1:10" x14ac:dyDescent="0.2">
      <c r="A2690" s="3">
        <v>8564</v>
      </c>
      <c r="B2690" s="3" t="s">
        <v>2917</v>
      </c>
      <c r="C2690" s="3" t="s">
        <v>2914</v>
      </c>
      <c r="D2690" s="3" t="s">
        <v>2799</v>
      </c>
      <c r="I2690" s="19">
        <v>8376</v>
      </c>
      <c r="J2690" s="19" t="s">
        <v>4560</v>
      </c>
    </row>
    <row r="2691" spans="1:10" x14ac:dyDescent="0.2">
      <c r="A2691" s="3">
        <v>8564</v>
      </c>
      <c r="B2691" s="3" t="s">
        <v>2918</v>
      </c>
      <c r="C2691" s="3" t="s">
        <v>2914</v>
      </c>
      <c r="D2691" s="3" t="s">
        <v>2799</v>
      </c>
      <c r="I2691" s="19">
        <v>8400</v>
      </c>
      <c r="J2691" s="19" t="s">
        <v>4559</v>
      </c>
    </row>
    <row r="2692" spans="1:10" x14ac:dyDescent="0.2">
      <c r="A2692" s="3">
        <v>8564</v>
      </c>
      <c r="B2692" s="3" t="s">
        <v>2919</v>
      </c>
      <c r="C2692" s="3" t="s">
        <v>2914</v>
      </c>
      <c r="D2692" s="3" t="s">
        <v>2799</v>
      </c>
      <c r="I2692" s="19">
        <v>8404</v>
      </c>
      <c r="J2692" s="19" t="s">
        <v>4559</v>
      </c>
    </row>
    <row r="2693" spans="1:10" x14ac:dyDescent="0.2">
      <c r="A2693" s="3">
        <v>9556</v>
      </c>
      <c r="B2693" s="3" t="s">
        <v>2920</v>
      </c>
      <c r="C2693" s="3" t="s">
        <v>2920</v>
      </c>
      <c r="D2693" s="3" t="s">
        <v>2799</v>
      </c>
      <c r="I2693" s="19">
        <v>8405</v>
      </c>
      <c r="J2693" s="19" t="s">
        <v>4559</v>
      </c>
    </row>
    <row r="2694" spans="1:10" x14ac:dyDescent="0.2">
      <c r="A2694" s="3">
        <v>9556</v>
      </c>
      <c r="B2694" s="3" t="s">
        <v>2921</v>
      </c>
      <c r="C2694" s="3" t="s">
        <v>2920</v>
      </c>
      <c r="D2694" s="3" t="s">
        <v>2799</v>
      </c>
      <c r="I2694" s="19">
        <v>8406</v>
      </c>
      <c r="J2694" s="19" t="s">
        <v>4559</v>
      </c>
    </row>
    <row r="2695" spans="1:10" x14ac:dyDescent="0.2">
      <c r="A2695" s="3">
        <v>9562</v>
      </c>
      <c r="B2695" s="3" t="s">
        <v>2922</v>
      </c>
      <c r="C2695" s="3" t="s">
        <v>2920</v>
      </c>
      <c r="D2695" s="3" t="s">
        <v>2799</v>
      </c>
      <c r="I2695" s="19">
        <v>8408</v>
      </c>
      <c r="J2695" s="19" t="s">
        <v>4559</v>
      </c>
    </row>
    <row r="2696" spans="1:10" x14ac:dyDescent="0.2">
      <c r="A2696" s="3">
        <v>9562</v>
      </c>
      <c r="B2696" s="3" t="s">
        <v>2923</v>
      </c>
      <c r="C2696" s="3" t="s">
        <v>2920</v>
      </c>
      <c r="D2696" s="3" t="s">
        <v>2799</v>
      </c>
      <c r="I2696" s="19">
        <v>8409</v>
      </c>
      <c r="J2696" s="19" t="s">
        <v>4559</v>
      </c>
    </row>
    <row r="2697" spans="1:10" x14ac:dyDescent="0.2">
      <c r="A2697" s="3">
        <v>9553</v>
      </c>
      <c r="B2697" s="3" t="s">
        <v>2924</v>
      </c>
      <c r="C2697" s="3" t="s">
        <v>2924</v>
      </c>
      <c r="D2697" s="3" t="s">
        <v>2799</v>
      </c>
      <c r="I2697" s="19">
        <v>8412</v>
      </c>
      <c r="J2697" s="19" t="s">
        <v>4559</v>
      </c>
    </row>
    <row r="2698" spans="1:10" x14ac:dyDescent="0.2">
      <c r="A2698" s="3">
        <v>8362</v>
      </c>
      <c r="B2698" s="3" t="s">
        <v>2925</v>
      </c>
      <c r="C2698" s="3" t="s">
        <v>2926</v>
      </c>
      <c r="D2698" s="3" t="s">
        <v>2799</v>
      </c>
      <c r="I2698" s="19">
        <v>8413</v>
      </c>
      <c r="J2698" s="19" t="s">
        <v>4559</v>
      </c>
    </row>
    <row r="2699" spans="1:10" x14ac:dyDescent="0.2">
      <c r="A2699" s="3">
        <v>8363</v>
      </c>
      <c r="B2699" s="3" t="s">
        <v>2927</v>
      </c>
      <c r="C2699" s="3" t="s">
        <v>2926</v>
      </c>
      <c r="D2699" s="3" t="s">
        <v>2799</v>
      </c>
      <c r="I2699" s="19">
        <v>8414</v>
      </c>
      <c r="J2699" s="19" t="s">
        <v>4559</v>
      </c>
    </row>
    <row r="2700" spans="1:10" x14ac:dyDescent="0.2">
      <c r="A2700" s="3">
        <v>9502</v>
      </c>
      <c r="B2700" s="3" t="s">
        <v>2928</v>
      </c>
      <c r="C2700" s="3" t="s">
        <v>2928</v>
      </c>
      <c r="D2700" s="3" t="s">
        <v>2799</v>
      </c>
      <c r="I2700" s="19">
        <v>8415</v>
      </c>
      <c r="J2700" s="19" t="s">
        <v>4559</v>
      </c>
    </row>
    <row r="2701" spans="1:10" x14ac:dyDescent="0.2">
      <c r="A2701" s="3">
        <v>8360</v>
      </c>
      <c r="B2701" s="3" t="s">
        <v>2929</v>
      </c>
      <c r="C2701" s="3" t="s">
        <v>2930</v>
      </c>
      <c r="D2701" s="3" t="s">
        <v>2799</v>
      </c>
      <c r="I2701" s="19">
        <v>8416</v>
      </c>
      <c r="J2701" s="19" t="s">
        <v>4559</v>
      </c>
    </row>
    <row r="2702" spans="1:10" x14ac:dyDescent="0.2">
      <c r="A2702" s="3">
        <v>8360</v>
      </c>
      <c r="B2702" s="3" t="s">
        <v>2931</v>
      </c>
      <c r="C2702" s="3" t="s">
        <v>2930</v>
      </c>
      <c r="D2702" s="3" t="s">
        <v>2799</v>
      </c>
      <c r="I2702" s="19">
        <v>8418</v>
      </c>
      <c r="J2702" s="19" t="s">
        <v>4559</v>
      </c>
    </row>
    <row r="2703" spans="1:10" x14ac:dyDescent="0.2">
      <c r="A2703" s="3">
        <v>8374</v>
      </c>
      <c r="B2703" s="3" t="s">
        <v>2932</v>
      </c>
      <c r="C2703" s="3" t="s">
        <v>2933</v>
      </c>
      <c r="D2703" s="3" t="s">
        <v>2799</v>
      </c>
      <c r="I2703" s="19">
        <v>8421</v>
      </c>
      <c r="J2703" s="19" t="s">
        <v>4559</v>
      </c>
    </row>
    <row r="2704" spans="1:10" x14ac:dyDescent="0.2">
      <c r="A2704" s="3">
        <v>8374</v>
      </c>
      <c r="B2704" s="3" t="s">
        <v>2934</v>
      </c>
      <c r="C2704" s="3" t="s">
        <v>2933</v>
      </c>
      <c r="D2704" s="3" t="s">
        <v>2799</v>
      </c>
      <c r="I2704" s="19">
        <v>8422</v>
      </c>
      <c r="J2704" s="19" t="s">
        <v>4559</v>
      </c>
    </row>
    <row r="2705" spans="1:10" x14ac:dyDescent="0.2">
      <c r="A2705" s="3">
        <v>8376</v>
      </c>
      <c r="B2705" s="3" t="s">
        <v>2933</v>
      </c>
      <c r="C2705" s="3" t="s">
        <v>2933</v>
      </c>
      <c r="D2705" s="3" t="s">
        <v>2799</v>
      </c>
      <c r="I2705" s="19">
        <v>8424</v>
      </c>
      <c r="J2705" s="19" t="s">
        <v>4559</v>
      </c>
    </row>
    <row r="2706" spans="1:10" x14ac:dyDescent="0.2">
      <c r="A2706" s="3">
        <v>8376</v>
      </c>
      <c r="B2706" s="3" t="s">
        <v>2935</v>
      </c>
      <c r="C2706" s="3" t="s">
        <v>2933</v>
      </c>
      <c r="D2706" s="3" t="s">
        <v>2799</v>
      </c>
      <c r="I2706" s="19">
        <v>8425</v>
      </c>
      <c r="J2706" s="19" t="s">
        <v>4559</v>
      </c>
    </row>
    <row r="2707" spans="1:10" x14ac:dyDescent="0.2">
      <c r="A2707" s="3">
        <v>9506</v>
      </c>
      <c r="B2707" s="3" t="s">
        <v>2936</v>
      </c>
      <c r="C2707" s="3" t="s">
        <v>2936</v>
      </c>
      <c r="D2707" s="3" t="s">
        <v>2799</v>
      </c>
      <c r="I2707" s="19">
        <v>8426</v>
      </c>
      <c r="J2707" s="19" t="s">
        <v>4559</v>
      </c>
    </row>
    <row r="2708" spans="1:10" x14ac:dyDescent="0.2">
      <c r="A2708" s="3">
        <v>9508</v>
      </c>
      <c r="B2708" s="3" t="s">
        <v>2937</v>
      </c>
      <c r="C2708" s="3" t="s">
        <v>2936</v>
      </c>
      <c r="D2708" s="3" t="s">
        <v>2799</v>
      </c>
      <c r="I2708" s="19">
        <v>8427</v>
      </c>
      <c r="J2708" s="19" t="s">
        <v>4559</v>
      </c>
    </row>
    <row r="2709" spans="1:10" x14ac:dyDescent="0.2">
      <c r="A2709" s="3">
        <v>9542</v>
      </c>
      <c r="B2709" s="3" t="s">
        <v>2938</v>
      </c>
      <c r="C2709" s="3" t="s">
        <v>2939</v>
      </c>
      <c r="D2709" s="3" t="s">
        <v>2799</v>
      </c>
      <c r="I2709" s="19">
        <v>8428</v>
      </c>
      <c r="J2709" s="19" t="s">
        <v>4559</v>
      </c>
    </row>
    <row r="2710" spans="1:10" x14ac:dyDescent="0.2">
      <c r="A2710" s="3">
        <v>9543</v>
      </c>
      <c r="B2710" s="3" t="s">
        <v>2940</v>
      </c>
      <c r="C2710" s="3" t="s">
        <v>2939</v>
      </c>
      <c r="D2710" s="3" t="s">
        <v>2799</v>
      </c>
      <c r="I2710" s="19">
        <v>8442</v>
      </c>
      <c r="J2710" s="19" t="s">
        <v>4559</v>
      </c>
    </row>
    <row r="2711" spans="1:10" x14ac:dyDescent="0.2">
      <c r="A2711" s="3">
        <v>9532</v>
      </c>
      <c r="B2711" s="3" t="s">
        <v>2142</v>
      </c>
      <c r="C2711" s="3" t="s">
        <v>2941</v>
      </c>
      <c r="D2711" s="3" t="s">
        <v>2799</v>
      </c>
      <c r="I2711" s="19">
        <v>8444</v>
      </c>
      <c r="J2711" s="19" t="s">
        <v>4559</v>
      </c>
    </row>
    <row r="2712" spans="1:10" x14ac:dyDescent="0.2">
      <c r="A2712" s="3">
        <v>8577</v>
      </c>
      <c r="B2712" s="3" t="s">
        <v>2942</v>
      </c>
      <c r="C2712" s="3" t="s">
        <v>2942</v>
      </c>
      <c r="D2712" s="3" t="s">
        <v>2799</v>
      </c>
      <c r="I2712" s="19">
        <v>8447</v>
      </c>
      <c r="J2712" s="19" t="s">
        <v>4575</v>
      </c>
    </row>
    <row r="2713" spans="1:10" x14ac:dyDescent="0.2">
      <c r="A2713" s="3">
        <v>8370</v>
      </c>
      <c r="B2713" s="3" t="s">
        <v>2943</v>
      </c>
      <c r="C2713" s="3" t="s">
        <v>2943</v>
      </c>
      <c r="D2713" s="3" t="s">
        <v>2799</v>
      </c>
      <c r="I2713" s="19">
        <v>8450</v>
      </c>
      <c r="J2713" s="19" t="s">
        <v>4575</v>
      </c>
    </row>
    <row r="2714" spans="1:10" x14ac:dyDescent="0.2">
      <c r="A2714" s="3">
        <v>8371</v>
      </c>
      <c r="B2714" s="3" t="s">
        <v>2944</v>
      </c>
      <c r="C2714" s="3" t="s">
        <v>2943</v>
      </c>
      <c r="D2714" s="3" t="s">
        <v>2799</v>
      </c>
      <c r="I2714" s="19">
        <v>8451</v>
      </c>
      <c r="J2714" s="19" t="s">
        <v>4575</v>
      </c>
    </row>
    <row r="2715" spans="1:10" x14ac:dyDescent="0.2">
      <c r="A2715" s="3">
        <v>8372</v>
      </c>
      <c r="B2715" s="3" t="s">
        <v>2945</v>
      </c>
      <c r="C2715" s="3" t="s">
        <v>2943</v>
      </c>
      <c r="D2715" s="3" t="s">
        <v>2799</v>
      </c>
      <c r="I2715" s="19">
        <v>8452</v>
      </c>
      <c r="J2715" s="19" t="s">
        <v>4575</v>
      </c>
    </row>
    <row r="2716" spans="1:10" x14ac:dyDescent="0.2">
      <c r="A2716" s="3">
        <v>9573</v>
      </c>
      <c r="B2716" s="3" t="s">
        <v>2946</v>
      </c>
      <c r="C2716" s="3" t="s">
        <v>2943</v>
      </c>
      <c r="D2716" s="3" t="s">
        <v>2799</v>
      </c>
      <c r="I2716" s="19">
        <v>8453</v>
      </c>
      <c r="J2716" s="19" t="s">
        <v>4575</v>
      </c>
    </row>
    <row r="2717" spans="1:10" x14ac:dyDescent="0.2">
      <c r="A2717" s="3">
        <v>9554</v>
      </c>
      <c r="B2717" s="3" t="s">
        <v>2947</v>
      </c>
      <c r="C2717" s="3" t="s">
        <v>2948</v>
      </c>
      <c r="D2717" s="3" t="s">
        <v>2799</v>
      </c>
      <c r="I2717" s="19">
        <v>8454</v>
      </c>
      <c r="J2717" s="19" t="s">
        <v>4559</v>
      </c>
    </row>
    <row r="2718" spans="1:10" x14ac:dyDescent="0.2">
      <c r="A2718" s="3">
        <v>9555</v>
      </c>
      <c r="B2718" s="3" t="s">
        <v>2949</v>
      </c>
      <c r="C2718" s="3" t="s">
        <v>2948</v>
      </c>
      <c r="D2718" s="3" t="s">
        <v>2799</v>
      </c>
      <c r="I2718" s="19">
        <v>8455</v>
      </c>
      <c r="J2718" s="19" t="s">
        <v>4559</v>
      </c>
    </row>
    <row r="2719" spans="1:10" x14ac:dyDescent="0.2">
      <c r="A2719" s="3">
        <v>9545</v>
      </c>
      <c r="B2719" s="3" t="s">
        <v>2950</v>
      </c>
      <c r="C2719" s="3" t="s">
        <v>2950</v>
      </c>
      <c r="D2719" s="3" t="s">
        <v>2799</v>
      </c>
      <c r="I2719" s="19">
        <v>8457</v>
      </c>
      <c r="J2719" s="19" t="s">
        <v>4575</v>
      </c>
    </row>
    <row r="2720" spans="1:10" x14ac:dyDescent="0.2">
      <c r="A2720" s="3">
        <v>9546</v>
      </c>
      <c r="B2720" s="3" t="s">
        <v>2951</v>
      </c>
      <c r="C2720" s="3" t="s">
        <v>2950</v>
      </c>
      <c r="D2720" s="3" t="s">
        <v>2799</v>
      </c>
      <c r="I2720" s="19">
        <v>8458</v>
      </c>
      <c r="J2720" s="19" t="s">
        <v>4559</v>
      </c>
    </row>
    <row r="2721" spans="1:10" x14ac:dyDescent="0.2">
      <c r="A2721" s="3">
        <v>9535</v>
      </c>
      <c r="B2721" s="3" t="s">
        <v>2952</v>
      </c>
      <c r="C2721" s="3" t="s">
        <v>2953</v>
      </c>
      <c r="D2721" s="3" t="s">
        <v>2799</v>
      </c>
      <c r="I2721" s="19">
        <v>8459</v>
      </c>
      <c r="J2721" s="19" t="s">
        <v>4559</v>
      </c>
    </row>
    <row r="2722" spans="1:10" x14ac:dyDescent="0.2">
      <c r="A2722" s="3">
        <v>9514</v>
      </c>
      <c r="B2722" s="3" t="s">
        <v>2954</v>
      </c>
      <c r="C2722" s="3" t="s">
        <v>2954</v>
      </c>
      <c r="D2722" s="3" t="s">
        <v>2799</v>
      </c>
      <c r="I2722" s="19">
        <v>8460</v>
      </c>
      <c r="J2722" s="19" t="s">
        <v>4575</v>
      </c>
    </row>
    <row r="2723" spans="1:10" x14ac:dyDescent="0.2">
      <c r="A2723" s="3">
        <v>9515</v>
      </c>
      <c r="B2723" s="3" t="s">
        <v>2955</v>
      </c>
      <c r="C2723" s="3" t="s">
        <v>2954</v>
      </c>
      <c r="D2723" s="3" t="s">
        <v>2799</v>
      </c>
      <c r="I2723" s="19">
        <v>8461</v>
      </c>
      <c r="J2723" s="19" t="s">
        <v>4575</v>
      </c>
    </row>
    <row r="2724" spans="1:10" x14ac:dyDescent="0.2">
      <c r="A2724" s="3">
        <v>8267</v>
      </c>
      <c r="B2724" s="3" t="s">
        <v>2956</v>
      </c>
      <c r="C2724" s="3" t="s">
        <v>2956</v>
      </c>
      <c r="D2724" s="3" t="s">
        <v>2799</v>
      </c>
      <c r="I2724" s="19">
        <v>8462</v>
      </c>
      <c r="J2724" s="19" t="s">
        <v>4575</v>
      </c>
    </row>
    <row r="2725" spans="1:10" x14ac:dyDescent="0.2">
      <c r="A2725" s="3">
        <v>8264</v>
      </c>
      <c r="B2725" s="3" t="s">
        <v>2957</v>
      </c>
      <c r="C2725" s="3" t="s">
        <v>2957</v>
      </c>
      <c r="D2725" s="3" t="s">
        <v>2799</v>
      </c>
      <c r="I2725" s="19">
        <v>8463</v>
      </c>
      <c r="J2725" s="19" t="s">
        <v>4575</v>
      </c>
    </row>
    <row r="2726" spans="1:10" x14ac:dyDescent="0.2">
      <c r="A2726" s="3">
        <v>8506</v>
      </c>
      <c r="B2726" s="3" t="s">
        <v>2958</v>
      </c>
      <c r="C2726" s="3" t="s">
        <v>2959</v>
      </c>
      <c r="D2726" s="3" t="s">
        <v>2799</v>
      </c>
      <c r="I2726" s="19">
        <v>8464</v>
      </c>
      <c r="J2726" s="19" t="s">
        <v>4575</v>
      </c>
    </row>
    <row r="2727" spans="1:10" x14ac:dyDescent="0.2">
      <c r="A2727" s="3">
        <v>8535</v>
      </c>
      <c r="B2727" s="3" t="s">
        <v>2959</v>
      </c>
      <c r="C2727" s="3" t="s">
        <v>2959</v>
      </c>
      <c r="D2727" s="3" t="s">
        <v>2799</v>
      </c>
      <c r="I2727" s="19">
        <v>8465</v>
      </c>
      <c r="J2727" s="19" t="s">
        <v>4575</v>
      </c>
    </row>
    <row r="2728" spans="1:10" x14ac:dyDescent="0.2">
      <c r="A2728" s="3">
        <v>8507</v>
      </c>
      <c r="B2728" s="3" t="s">
        <v>2960</v>
      </c>
      <c r="C2728" s="3" t="s">
        <v>2961</v>
      </c>
      <c r="D2728" s="3" t="s">
        <v>2799</v>
      </c>
      <c r="I2728" s="19">
        <v>8466</v>
      </c>
      <c r="J2728" s="19" t="s">
        <v>4575</v>
      </c>
    </row>
    <row r="2729" spans="1:10" x14ac:dyDescent="0.2">
      <c r="A2729" s="3">
        <v>8508</v>
      </c>
      <c r="B2729" s="3" t="s">
        <v>2961</v>
      </c>
      <c r="C2729" s="3" t="s">
        <v>2961</v>
      </c>
      <c r="D2729" s="3" t="s">
        <v>2799</v>
      </c>
      <c r="I2729" s="19">
        <v>8467</v>
      </c>
      <c r="J2729" s="19" t="s">
        <v>4575</v>
      </c>
    </row>
    <row r="2730" spans="1:10" x14ac:dyDescent="0.2">
      <c r="A2730" s="3">
        <v>8536</v>
      </c>
      <c r="B2730" s="3" t="s">
        <v>2962</v>
      </c>
      <c r="C2730" s="3" t="s">
        <v>2962</v>
      </c>
      <c r="D2730" s="3" t="s">
        <v>2799</v>
      </c>
      <c r="I2730" s="19">
        <v>8468</v>
      </c>
      <c r="J2730" s="19" t="s">
        <v>4575</v>
      </c>
    </row>
    <row r="2731" spans="1:10" x14ac:dyDescent="0.2">
      <c r="A2731" s="3">
        <v>8537</v>
      </c>
      <c r="B2731" s="3" t="s">
        <v>2963</v>
      </c>
      <c r="C2731" s="3" t="s">
        <v>2962</v>
      </c>
      <c r="D2731" s="3" t="s">
        <v>2799</v>
      </c>
      <c r="I2731" s="19">
        <v>8471</v>
      </c>
      <c r="J2731" s="19" t="s">
        <v>4575</v>
      </c>
    </row>
    <row r="2732" spans="1:10" x14ac:dyDescent="0.2">
      <c r="A2732" s="3">
        <v>8537</v>
      </c>
      <c r="B2732" s="3" t="s">
        <v>2964</v>
      </c>
      <c r="C2732" s="3" t="s">
        <v>2962</v>
      </c>
      <c r="D2732" s="3" t="s">
        <v>2799</v>
      </c>
      <c r="I2732" s="19">
        <v>8472</v>
      </c>
      <c r="J2732" s="19" t="s">
        <v>4559</v>
      </c>
    </row>
    <row r="2733" spans="1:10" x14ac:dyDescent="0.2">
      <c r="A2733" s="3">
        <v>8265</v>
      </c>
      <c r="B2733" s="3" t="s">
        <v>2965</v>
      </c>
      <c r="C2733" s="3" t="s">
        <v>2965</v>
      </c>
      <c r="D2733" s="3" t="s">
        <v>2799</v>
      </c>
      <c r="I2733" s="19">
        <v>8474</v>
      </c>
      <c r="J2733" s="19" t="s">
        <v>4575</v>
      </c>
    </row>
    <row r="2734" spans="1:10" x14ac:dyDescent="0.2">
      <c r="A2734" s="3">
        <v>8555</v>
      </c>
      <c r="B2734" s="3" t="s">
        <v>2966</v>
      </c>
      <c r="C2734" s="3" t="s">
        <v>2967</v>
      </c>
      <c r="D2734" s="3" t="s">
        <v>2799</v>
      </c>
      <c r="I2734" s="19">
        <v>8475</v>
      </c>
      <c r="J2734" s="19" t="s">
        <v>4575</v>
      </c>
    </row>
    <row r="2735" spans="1:10" x14ac:dyDescent="0.2">
      <c r="A2735" s="3">
        <v>8505</v>
      </c>
      <c r="B2735" s="3" t="s">
        <v>2968</v>
      </c>
      <c r="C2735" s="3" t="s">
        <v>2968</v>
      </c>
      <c r="D2735" s="3" t="s">
        <v>2799</v>
      </c>
      <c r="I2735" s="19">
        <v>8476</v>
      </c>
      <c r="J2735" s="19" t="s">
        <v>4575</v>
      </c>
    </row>
    <row r="2736" spans="1:10" x14ac:dyDescent="0.2">
      <c r="A2736" s="3">
        <v>8505</v>
      </c>
      <c r="B2736" s="3" t="s">
        <v>2969</v>
      </c>
      <c r="C2736" s="3" t="s">
        <v>2968</v>
      </c>
      <c r="D2736" s="3" t="s">
        <v>2799</v>
      </c>
      <c r="I2736" s="19">
        <v>8477</v>
      </c>
      <c r="J2736" s="19" t="s">
        <v>4575</v>
      </c>
    </row>
    <row r="2737" spans="1:10" x14ac:dyDescent="0.2">
      <c r="A2737" s="3">
        <v>8558</v>
      </c>
      <c r="B2737" s="3" t="s">
        <v>2970</v>
      </c>
      <c r="C2737" s="3" t="s">
        <v>2970</v>
      </c>
      <c r="D2737" s="3" t="s">
        <v>2799</v>
      </c>
      <c r="I2737" s="19">
        <v>8478</v>
      </c>
      <c r="J2737" s="19" t="s">
        <v>4575</v>
      </c>
    </row>
    <row r="2738" spans="1:10" x14ac:dyDescent="0.2">
      <c r="A2738" s="3">
        <v>8268</v>
      </c>
      <c r="B2738" s="3" t="s">
        <v>2971</v>
      </c>
      <c r="C2738" s="3" t="s">
        <v>2972</v>
      </c>
      <c r="D2738" s="3" t="s">
        <v>2799</v>
      </c>
      <c r="I2738" s="19">
        <v>8479</v>
      </c>
      <c r="J2738" s="19" t="s">
        <v>4575</v>
      </c>
    </row>
    <row r="2739" spans="1:10" x14ac:dyDescent="0.2">
      <c r="A2739" s="3">
        <v>8268</v>
      </c>
      <c r="B2739" s="3" t="s">
        <v>2972</v>
      </c>
      <c r="C2739" s="3" t="s">
        <v>2972</v>
      </c>
      <c r="D2739" s="3" t="s">
        <v>2799</v>
      </c>
      <c r="I2739" s="19">
        <v>8482</v>
      </c>
      <c r="J2739" s="19" t="s">
        <v>4559</v>
      </c>
    </row>
    <row r="2740" spans="1:10" x14ac:dyDescent="0.2">
      <c r="A2740" s="3">
        <v>8269</v>
      </c>
      <c r="B2740" s="3" t="s">
        <v>2973</v>
      </c>
      <c r="C2740" s="3" t="s">
        <v>2972</v>
      </c>
      <c r="D2740" s="3" t="s">
        <v>2799</v>
      </c>
      <c r="I2740" s="19">
        <v>8483</v>
      </c>
      <c r="J2740" s="19" t="s">
        <v>4560</v>
      </c>
    </row>
    <row r="2741" spans="1:10" x14ac:dyDescent="0.2">
      <c r="A2741" s="3">
        <v>8266</v>
      </c>
      <c r="B2741" s="3" t="s">
        <v>2974</v>
      </c>
      <c r="C2741" s="3" t="s">
        <v>2974</v>
      </c>
      <c r="D2741" s="3" t="s">
        <v>2799</v>
      </c>
      <c r="I2741" s="19">
        <v>8484</v>
      </c>
      <c r="J2741" s="19" t="s">
        <v>4560</v>
      </c>
    </row>
    <row r="2742" spans="1:10" x14ac:dyDescent="0.2">
      <c r="A2742" s="3">
        <v>8259</v>
      </c>
      <c r="B2742" s="3" t="s">
        <v>2975</v>
      </c>
      <c r="C2742" s="3" t="s">
        <v>2976</v>
      </c>
      <c r="D2742" s="3" t="s">
        <v>2799</v>
      </c>
      <c r="I2742" s="19">
        <v>8486</v>
      </c>
      <c r="J2742" s="19" t="s">
        <v>4560</v>
      </c>
    </row>
    <row r="2743" spans="1:10" x14ac:dyDescent="0.2">
      <c r="A2743" s="3">
        <v>8259</v>
      </c>
      <c r="B2743" s="3" t="s">
        <v>2977</v>
      </c>
      <c r="C2743" s="3" t="s">
        <v>2976</v>
      </c>
      <c r="D2743" s="3" t="s">
        <v>2799</v>
      </c>
      <c r="I2743" s="19">
        <v>8487</v>
      </c>
      <c r="J2743" s="19" t="s">
        <v>4560</v>
      </c>
    </row>
    <row r="2744" spans="1:10" x14ac:dyDescent="0.2">
      <c r="A2744" s="3">
        <v>8259</v>
      </c>
      <c r="B2744" s="3" t="s">
        <v>2978</v>
      </c>
      <c r="C2744" s="3" t="s">
        <v>2976</v>
      </c>
      <c r="D2744" s="3" t="s">
        <v>2799</v>
      </c>
      <c r="I2744" s="19">
        <v>8488</v>
      </c>
      <c r="J2744" s="19" t="s">
        <v>4560</v>
      </c>
    </row>
    <row r="2745" spans="1:10" x14ac:dyDescent="0.2">
      <c r="A2745" s="3">
        <v>8259</v>
      </c>
      <c r="B2745" s="3" t="s">
        <v>2976</v>
      </c>
      <c r="C2745" s="3" t="s">
        <v>2976</v>
      </c>
      <c r="D2745" s="3" t="s">
        <v>2799</v>
      </c>
      <c r="I2745" s="19">
        <v>8489</v>
      </c>
      <c r="J2745" s="19" t="s">
        <v>4560</v>
      </c>
    </row>
    <row r="2746" spans="1:10" x14ac:dyDescent="0.2">
      <c r="A2746" s="3">
        <v>8514</v>
      </c>
      <c r="B2746" s="3" t="s">
        <v>2979</v>
      </c>
      <c r="C2746" s="3" t="s">
        <v>2979</v>
      </c>
      <c r="D2746" s="3" t="s">
        <v>2799</v>
      </c>
      <c r="I2746" s="19">
        <v>8492</v>
      </c>
      <c r="J2746" s="19" t="s">
        <v>4560</v>
      </c>
    </row>
    <row r="2747" spans="1:10" x14ac:dyDescent="0.2">
      <c r="A2747" s="3">
        <v>8572</v>
      </c>
      <c r="B2747" s="3" t="s">
        <v>2980</v>
      </c>
      <c r="C2747" s="3" t="s">
        <v>2981</v>
      </c>
      <c r="D2747" s="3" t="s">
        <v>2799</v>
      </c>
      <c r="I2747" s="19">
        <v>8493</v>
      </c>
      <c r="J2747" s="19" t="s">
        <v>4560</v>
      </c>
    </row>
    <row r="2748" spans="1:10" x14ac:dyDescent="0.2">
      <c r="A2748" s="3">
        <v>8572</v>
      </c>
      <c r="B2748" s="3" t="s">
        <v>2980</v>
      </c>
      <c r="C2748" s="3" t="s">
        <v>2981</v>
      </c>
      <c r="D2748" s="3" t="s">
        <v>2799</v>
      </c>
      <c r="I2748" s="19">
        <v>8494</v>
      </c>
      <c r="J2748" s="19" t="s">
        <v>4560</v>
      </c>
    </row>
    <row r="2749" spans="1:10" x14ac:dyDescent="0.2">
      <c r="A2749" s="3">
        <v>8572</v>
      </c>
      <c r="B2749" s="3" t="s">
        <v>2982</v>
      </c>
      <c r="C2749" s="3" t="s">
        <v>2981</v>
      </c>
      <c r="D2749" s="3" t="s">
        <v>2799</v>
      </c>
      <c r="I2749" s="19">
        <v>8495</v>
      </c>
      <c r="J2749" s="19" t="s">
        <v>4560</v>
      </c>
    </row>
    <row r="2750" spans="1:10" x14ac:dyDescent="0.2">
      <c r="A2750" s="3">
        <v>8572</v>
      </c>
      <c r="B2750" s="3" t="s">
        <v>2983</v>
      </c>
      <c r="C2750" s="3" t="s">
        <v>2981</v>
      </c>
      <c r="D2750" s="3" t="s">
        <v>2799</v>
      </c>
      <c r="I2750" s="19">
        <v>8496</v>
      </c>
      <c r="J2750" s="19" t="s">
        <v>4560</v>
      </c>
    </row>
    <row r="2751" spans="1:10" x14ac:dyDescent="0.2">
      <c r="A2751" s="3">
        <v>8572</v>
      </c>
      <c r="B2751" s="3" t="s">
        <v>2984</v>
      </c>
      <c r="C2751" s="3" t="s">
        <v>2981</v>
      </c>
      <c r="D2751" s="3" t="s">
        <v>2799</v>
      </c>
      <c r="I2751" s="19">
        <v>8497</v>
      </c>
      <c r="J2751" s="19" t="s">
        <v>4560</v>
      </c>
    </row>
    <row r="2752" spans="1:10" x14ac:dyDescent="0.2">
      <c r="A2752" s="3">
        <v>8576</v>
      </c>
      <c r="B2752" s="3" t="s">
        <v>2985</v>
      </c>
      <c r="C2752" s="3" t="s">
        <v>2981</v>
      </c>
      <c r="D2752" s="3" t="s">
        <v>2799</v>
      </c>
      <c r="I2752" s="19">
        <v>8498</v>
      </c>
      <c r="J2752" s="19" t="s">
        <v>4560</v>
      </c>
    </row>
    <row r="2753" spans="1:10" x14ac:dyDescent="0.2">
      <c r="A2753" s="3">
        <v>8585</v>
      </c>
      <c r="B2753" s="3" t="s">
        <v>2986</v>
      </c>
      <c r="C2753" s="3" t="s">
        <v>2987</v>
      </c>
      <c r="D2753" s="3" t="s">
        <v>2799</v>
      </c>
      <c r="I2753" s="19">
        <v>8499</v>
      </c>
      <c r="J2753" s="19" t="s">
        <v>4560</v>
      </c>
    </row>
    <row r="2754" spans="1:10" x14ac:dyDescent="0.2">
      <c r="A2754" s="3">
        <v>8585</v>
      </c>
      <c r="B2754" s="3" t="s">
        <v>2988</v>
      </c>
      <c r="C2754" s="3" t="s">
        <v>2987</v>
      </c>
      <c r="D2754" s="3" t="s">
        <v>2799</v>
      </c>
      <c r="I2754" s="19">
        <v>8500</v>
      </c>
      <c r="J2754" s="19" t="s">
        <v>4575</v>
      </c>
    </row>
    <row r="2755" spans="1:10" x14ac:dyDescent="0.2">
      <c r="A2755" s="3">
        <v>8585</v>
      </c>
      <c r="B2755" s="3" t="s">
        <v>2987</v>
      </c>
      <c r="C2755" s="3" t="s">
        <v>2987</v>
      </c>
      <c r="D2755" s="3" t="s">
        <v>2799</v>
      </c>
      <c r="I2755" s="19">
        <v>8505</v>
      </c>
      <c r="J2755" s="19" t="s">
        <v>4576</v>
      </c>
    </row>
    <row r="2756" spans="1:10" x14ac:dyDescent="0.2">
      <c r="A2756" s="3">
        <v>8585</v>
      </c>
      <c r="B2756" s="3" t="s">
        <v>2989</v>
      </c>
      <c r="C2756" s="3" t="s">
        <v>2987</v>
      </c>
      <c r="D2756" s="3" t="s">
        <v>2799</v>
      </c>
      <c r="I2756" s="19">
        <v>8506</v>
      </c>
      <c r="J2756" s="19" t="s">
        <v>4575</v>
      </c>
    </row>
    <row r="2757" spans="1:10" x14ac:dyDescent="0.2">
      <c r="A2757" s="3">
        <v>8586</v>
      </c>
      <c r="B2757" s="3" t="s">
        <v>2990</v>
      </c>
      <c r="C2757" s="3" t="s">
        <v>2987</v>
      </c>
      <c r="D2757" s="3" t="s">
        <v>2799</v>
      </c>
      <c r="I2757" s="19">
        <v>8507</v>
      </c>
      <c r="J2757" s="19" t="s">
        <v>4576</v>
      </c>
    </row>
    <row r="2758" spans="1:10" x14ac:dyDescent="0.2">
      <c r="A2758" s="3">
        <v>8586</v>
      </c>
      <c r="B2758" s="3" t="s">
        <v>2991</v>
      </c>
      <c r="C2758" s="3" t="s">
        <v>2987</v>
      </c>
      <c r="D2758" s="3" t="s">
        <v>2799</v>
      </c>
      <c r="I2758" s="19">
        <v>8508</v>
      </c>
      <c r="J2758" s="19" t="s">
        <v>4576</v>
      </c>
    </row>
    <row r="2759" spans="1:10" x14ac:dyDescent="0.2">
      <c r="A2759" s="3">
        <v>8575</v>
      </c>
      <c r="B2759" s="3" t="s">
        <v>2992</v>
      </c>
      <c r="C2759" s="3" t="s">
        <v>2993</v>
      </c>
      <c r="D2759" s="3" t="s">
        <v>2799</v>
      </c>
      <c r="I2759" s="19">
        <v>8512</v>
      </c>
      <c r="J2759" s="19" t="s">
        <v>4576</v>
      </c>
    </row>
    <row r="2760" spans="1:10" x14ac:dyDescent="0.2">
      <c r="A2760" s="3">
        <v>8575</v>
      </c>
      <c r="B2760" s="3" t="s">
        <v>2994</v>
      </c>
      <c r="C2760" s="3" t="s">
        <v>2993</v>
      </c>
      <c r="D2760" s="3" t="s">
        <v>2799</v>
      </c>
      <c r="I2760" s="19">
        <v>8514</v>
      </c>
      <c r="J2760" s="19" t="s">
        <v>4576</v>
      </c>
    </row>
    <row r="2761" spans="1:10" x14ac:dyDescent="0.2">
      <c r="A2761" s="3">
        <v>8584</v>
      </c>
      <c r="B2761" s="3" t="s">
        <v>2995</v>
      </c>
      <c r="C2761" s="3" t="s">
        <v>2993</v>
      </c>
      <c r="D2761" s="3" t="s">
        <v>2799</v>
      </c>
      <c r="I2761" s="19">
        <v>8522</v>
      </c>
      <c r="J2761" s="19" t="s">
        <v>4559</v>
      </c>
    </row>
    <row r="2762" spans="1:10" x14ac:dyDescent="0.2">
      <c r="A2762" s="3">
        <v>8584</v>
      </c>
      <c r="B2762" s="3" t="s">
        <v>2996</v>
      </c>
      <c r="C2762" s="3" t="s">
        <v>2993</v>
      </c>
      <c r="D2762" s="3" t="s">
        <v>2799</v>
      </c>
      <c r="I2762" s="19">
        <v>8523</v>
      </c>
      <c r="J2762" s="19" t="s">
        <v>4559</v>
      </c>
    </row>
    <row r="2763" spans="1:10" x14ac:dyDescent="0.2">
      <c r="A2763" s="3">
        <v>9503</v>
      </c>
      <c r="B2763" s="3" t="s">
        <v>2997</v>
      </c>
      <c r="C2763" s="3" t="s">
        <v>2998</v>
      </c>
      <c r="D2763" s="3" t="s">
        <v>2799</v>
      </c>
      <c r="I2763" s="19">
        <v>8524</v>
      </c>
      <c r="J2763" s="19" t="s">
        <v>4575</v>
      </c>
    </row>
    <row r="2764" spans="1:10" x14ac:dyDescent="0.2">
      <c r="A2764" s="3">
        <v>9503</v>
      </c>
      <c r="B2764" s="3" t="s">
        <v>2999</v>
      </c>
      <c r="C2764" s="3" t="s">
        <v>2998</v>
      </c>
      <c r="D2764" s="3" t="s">
        <v>2799</v>
      </c>
      <c r="I2764" s="19">
        <v>8525</v>
      </c>
      <c r="J2764" s="19" t="s">
        <v>4575</v>
      </c>
    </row>
    <row r="2765" spans="1:10" x14ac:dyDescent="0.2">
      <c r="A2765" s="3">
        <v>9504</v>
      </c>
      <c r="B2765" s="3" t="s">
        <v>3000</v>
      </c>
      <c r="C2765" s="3" t="s">
        <v>2998</v>
      </c>
      <c r="D2765" s="3" t="s">
        <v>2799</v>
      </c>
      <c r="I2765" s="19">
        <v>8526</v>
      </c>
      <c r="J2765" s="19" t="s">
        <v>4575</v>
      </c>
    </row>
    <row r="2766" spans="1:10" x14ac:dyDescent="0.2">
      <c r="A2766" s="3">
        <v>9517</v>
      </c>
      <c r="B2766" s="3" t="s">
        <v>3001</v>
      </c>
      <c r="C2766" s="3" t="s">
        <v>2998</v>
      </c>
      <c r="D2766" s="3" t="s">
        <v>2799</v>
      </c>
      <c r="I2766" s="19">
        <v>8532</v>
      </c>
      <c r="J2766" s="19" t="s">
        <v>4575</v>
      </c>
    </row>
    <row r="2767" spans="1:10" x14ac:dyDescent="0.2">
      <c r="A2767" s="3">
        <v>9565</v>
      </c>
      <c r="B2767" s="3" t="s">
        <v>2998</v>
      </c>
      <c r="C2767" s="3" t="s">
        <v>2998</v>
      </c>
      <c r="D2767" s="3" t="s">
        <v>2799</v>
      </c>
      <c r="I2767" s="19">
        <v>8535</v>
      </c>
      <c r="J2767" s="19" t="s">
        <v>4575</v>
      </c>
    </row>
    <row r="2768" spans="1:10" x14ac:dyDescent="0.2">
      <c r="A2768" s="3">
        <v>9565</v>
      </c>
      <c r="B2768" s="3" t="s">
        <v>3002</v>
      </c>
      <c r="C2768" s="3" t="s">
        <v>2998</v>
      </c>
      <c r="D2768" s="3" t="s">
        <v>2799</v>
      </c>
      <c r="I2768" s="19">
        <v>8536</v>
      </c>
      <c r="J2768" s="19" t="s">
        <v>4575</v>
      </c>
    </row>
    <row r="2769" spans="1:10" x14ac:dyDescent="0.2">
      <c r="A2769" s="3">
        <v>9565</v>
      </c>
      <c r="B2769" s="3" t="s">
        <v>3003</v>
      </c>
      <c r="C2769" s="3" t="s">
        <v>2998</v>
      </c>
      <c r="D2769" s="3" t="s">
        <v>2799</v>
      </c>
      <c r="I2769" s="19">
        <v>8537</v>
      </c>
      <c r="J2769" s="19" t="s">
        <v>4575</v>
      </c>
    </row>
    <row r="2770" spans="1:10" x14ac:dyDescent="0.2">
      <c r="A2770" s="3">
        <v>9565</v>
      </c>
      <c r="B2770" s="3" t="s">
        <v>3004</v>
      </c>
      <c r="C2770" s="3" t="s">
        <v>2998</v>
      </c>
      <c r="D2770" s="3" t="s">
        <v>2799</v>
      </c>
      <c r="I2770" s="19">
        <v>8542</v>
      </c>
      <c r="J2770" s="19" t="s">
        <v>4559</v>
      </c>
    </row>
    <row r="2771" spans="1:10" x14ac:dyDescent="0.2">
      <c r="A2771" s="3">
        <v>9565</v>
      </c>
      <c r="B2771" s="3" t="s">
        <v>3005</v>
      </c>
      <c r="C2771" s="3" t="s">
        <v>2998</v>
      </c>
      <c r="D2771" s="3" t="s">
        <v>2799</v>
      </c>
      <c r="I2771" s="19">
        <v>8543</v>
      </c>
      <c r="J2771" s="19" t="s">
        <v>4559</v>
      </c>
    </row>
    <row r="2772" spans="1:10" x14ac:dyDescent="0.2">
      <c r="A2772" s="3">
        <v>8560</v>
      </c>
      <c r="B2772" s="3" t="s">
        <v>3006</v>
      </c>
      <c r="C2772" s="3" t="s">
        <v>3006</v>
      </c>
      <c r="D2772" s="3" t="s">
        <v>2799</v>
      </c>
      <c r="I2772" s="19">
        <v>8544</v>
      </c>
      <c r="J2772" s="19" t="s">
        <v>4559</v>
      </c>
    </row>
    <row r="2773" spans="1:10" x14ac:dyDescent="0.2">
      <c r="A2773" s="3">
        <v>8561</v>
      </c>
      <c r="B2773" s="3" t="s">
        <v>3007</v>
      </c>
      <c r="C2773" s="3" t="s">
        <v>3006</v>
      </c>
      <c r="D2773" s="3" t="s">
        <v>2799</v>
      </c>
      <c r="I2773" s="19">
        <v>8545</v>
      </c>
      <c r="J2773" s="19" t="s">
        <v>4559</v>
      </c>
    </row>
    <row r="2774" spans="1:10" x14ac:dyDescent="0.2">
      <c r="A2774" s="3">
        <v>8570</v>
      </c>
      <c r="B2774" s="3" t="s">
        <v>3008</v>
      </c>
      <c r="C2774" s="3" t="s">
        <v>3008</v>
      </c>
      <c r="D2774" s="3" t="s">
        <v>2799</v>
      </c>
      <c r="I2774" s="19">
        <v>8546</v>
      </c>
      <c r="J2774" s="19" t="s">
        <v>4575</v>
      </c>
    </row>
    <row r="2775" spans="1:10" x14ac:dyDescent="0.2">
      <c r="A2775" s="3">
        <v>8554</v>
      </c>
      <c r="B2775" s="3" t="s">
        <v>3009</v>
      </c>
      <c r="C2775" s="3" t="s">
        <v>3010</v>
      </c>
      <c r="D2775" s="3" t="s">
        <v>2799</v>
      </c>
      <c r="I2775" s="19">
        <v>8547</v>
      </c>
      <c r="J2775" s="19" t="s">
        <v>4575</v>
      </c>
    </row>
    <row r="2776" spans="1:10" x14ac:dyDescent="0.2">
      <c r="A2776" s="3">
        <v>8554</v>
      </c>
      <c r="B2776" s="3" t="s">
        <v>3011</v>
      </c>
      <c r="C2776" s="3" t="s">
        <v>3010</v>
      </c>
      <c r="D2776" s="3" t="s">
        <v>2799</v>
      </c>
      <c r="I2776" s="19">
        <v>8548</v>
      </c>
      <c r="J2776" s="19" t="s">
        <v>4575</v>
      </c>
    </row>
    <row r="2777" spans="1:10" x14ac:dyDescent="0.2">
      <c r="A2777" s="3">
        <v>8556</v>
      </c>
      <c r="B2777" s="3" t="s">
        <v>3010</v>
      </c>
      <c r="C2777" s="3" t="s">
        <v>3010</v>
      </c>
      <c r="D2777" s="3" t="s">
        <v>2799</v>
      </c>
      <c r="I2777" s="19">
        <v>8552</v>
      </c>
      <c r="J2777" s="19" t="s">
        <v>4576</v>
      </c>
    </row>
    <row r="2778" spans="1:10" x14ac:dyDescent="0.2">
      <c r="A2778" s="3">
        <v>8556</v>
      </c>
      <c r="B2778" s="3" t="s">
        <v>3012</v>
      </c>
      <c r="C2778" s="3" t="s">
        <v>3010</v>
      </c>
      <c r="D2778" s="3" t="s">
        <v>2799</v>
      </c>
      <c r="I2778" s="19">
        <v>8553</v>
      </c>
      <c r="J2778" s="19" t="s">
        <v>4576</v>
      </c>
    </row>
    <row r="2779" spans="1:10" x14ac:dyDescent="0.2">
      <c r="A2779" s="3">
        <v>8556</v>
      </c>
      <c r="B2779" s="3" t="s">
        <v>3013</v>
      </c>
      <c r="C2779" s="3" t="s">
        <v>3010</v>
      </c>
      <c r="D2779" s="3" t="s">
        <v>2799</v>
      </c>
      <c r="I2779" s="19">
        <v>8554</v>
      </c>
      <c r="J2779" s="19" t="s">
        <v>4576</v>
      </c>
    </row>
    <row r="2780" spans="1:10" x14ac:dyDescent="0.2">
      <c r="A2780" s="3">
        <v>8556</v>
      </c>
      <c r="B2780" s="3" t="s">
        <v>3014</v>
      </c>
      <c r="C2780" s="3" t="s">
        <v>3010</v>
      </c>
      <c r="D2780" s="3" t="s">
        <v>2799</v>
      </c>
      <c r="I2780" s="19">
        <v>8555</v>
      </c>
      <c r="J2780" s="19" t="s">
        <v>4576</v>
      </c>
    </row>
    <row r="2781" spans="1:10" x14ac:dyDescent="0.2">
      <c r="A2781" s="3">
        <v>8564</v>
      </c>
      <c r="B2781" s="3" t="s">
        <v>3015</v>
      </c>
      <c r="C2781" s="3" t="s">
        <v>3010</v>
      </c>
      <c r="D2781" s="3" t="s">
        <v>2799</v>
      </c>
      <c r="I2781" s="19">
        <v>8556</v>
      </c>
      <c r="J2781" s="19" t="s">
        <v>4576</v>
      </c>
    </row>
    <row r="2782" spans="1:10" x14ac:dyDescent="0.2">
      <c r="A2782" s="3">
        <v>6517</v>
      </c>
      <c r="B2782" s="3" t="s">
        <v>3016</v>
      </c>
      <c r="C2782" s="3" t="s">
        <v>3017</v>
      </c>
      <c r="D2782" s="3" t="s">
        <v>3018</v>
      </c>
      <c r="I2782" s="19">
        <v>8558</v>
      </c>
      <c r="J2782" s="19" t="s">
        <v>4576</v>
      </c>
    </row>
    <row r="2783" spans="1:10" x14ac:dyDescent="0.2">
      <c r="A2783" s="3">
        <v>6532</v>
      </c>
      <c r="B2783" s="3" t="s">
        <v>3019</v>
      </c>
      <c r="C2783" s="3" t="s">
        <v>3017</v>
      </c>
      <c r="D2783" s="3" t="s">
        <v>3018</v>
      </c>
      <c r="I2783" s="19">
        <v>8560</v>
      </c>
      <c r="J2783" s="19" t="s">
        <v>4576</v>
      </c>
    </row>
    <row r="2784" spans="1:10" x14ac:dyDescent="0.2">
      <c r="A2784" s="3">
        <v>6500</v>
      </c>
      <c r="B2784" s="3" t="s">
        <v>3020</v>
      </c>
      <c r="C2784" s="3" t="s">
        <v>3020</v>
      </c>
      <c r="D2784" s="3" t="s">
        <v>3018</v>
      </c>
      <c r="I2784" s="19">
        <v>8561</v>
      </c>
      <c r="J2784" s="19" t="s">
        <v>4576</v>
      </c>
    </row>
    <row r="2785" spans="1:10" x14ac:dyDescent="0.2">
      <c r="A2785" s="3">
        <v>6503</v>
      </c>
      <c r="B2785" s="3" t="s">
        <v>3020</v>
      </c>
      <c r="C2785" s="3" t="s">
        <v>3020</v>
      </c>
      <c r="D2785" s="3" t="s">
        <v>3018</v>
      </c>
      <c r="I2785" s="19">
        <v>8564</v>
      </c>
      <c r="J2785" s="19" t="s">
        <v>4576</v>
      </c>
    </row>
    <row r="2786" spans="1:10" x14ac:dyDescent="0.2">
      <c r="A2786" s="3">
        <v>6512</v>
      </c>
      <c r="B2786" s="3" t="s">
        <v>3021</v>
      </c>
      <c r="C2786" s="3" t="s">
        <v>3020</v>
      </c>
      <c r="D2786" s="3" t="s">
        <v>3018</v>
      </c>
      <c r="I2786" s="19">
        <v>8565</v>
      </c>
      <c r="J2786" s="19" t="s">
        <v>4576</v>
      </c>
    </row>
    <row r="2787" spans="1:10" x14ac:dyDescent="0.2">
      <c r="A2787" s="3">
        <v>6513</v>
      </c>
      <c r="B2787" s="3" t="s">
        <v>3022</v>
      </c>
      <c r="C2787" s="3" t="s">
        <v>3020</v>
      </c>
      <c r="D2787" s="3" t="s">
        <v>3018</v>
      </c>
      <c r="I2787" s="19">
        <v>8566</v>
      </c>
      <c r="J2787" s="19" t="s">
        <v>4576</v>
      </c>
    </row>
    <row r="2788" spans="1:10" x14ac:dyDescent="0.2">
      <c r="A2788" s="3">
        <v>6514</v>
      </c>
      <c r="B2788" s="3" t="s">
        <v>3023</v>
      </c>
      <c r="C2788" s="3" t="s">
        <v>3020</v>
      </c>
      <c r="D2788" s="3" t="s">
        <v>3018</v>
      </c>
      <c r="I2788" s="19">
        <v>8570</v>
      </c>
      <c r="J2788" s="19" t="s">
        <v>4576</v>
      </c>
    </row>
    <row r="2789" spans="1:10" x14ac:dyDescent="0.2">
      <c r="A2789" s="3">
        <v>6515</v>
      </c>
      <c r="B2789" s="3" t="s">
        <v>3024</v>
      </c>
      <c r="C2789" s="3" t="s">
        <v>3020</v>
      </c>
      <c r="D2789" s="3" t="s">
        <v>3018</v>
      </c>
      <c r="I2789" s="19">
        <v>8572</v>
      </c>
      <c r="J2789" s="19" t="s">
        <v>4576</v>
      </c>
    </row>
    <row r="2790" spans="1:10" x14ac:dyDescent="0.2">
      <c r="A2790" s="3">
        <v>6518</v>
      </c>
      <c r="B2790" s="3" t="s">
        <v>3025</v>
      </c>
      <c r="C2790" s="3" t="s">
        <v>3020</v>
      </c>
      <c r="D2790" s="3" t="s">
        <v>3018</v>
      </c>
      <c r="I2790" s="19">
        <v>8573</v>
      </c>
      <c r="J2790" s="19" t="s">
        <v>4576</v>
      </c>
    </row>
    <row r="2791" spans="1:10" x14ac:dyDescent="0.2">
      <c r="A2791" s="3">
        <v>6523</v>
      </c>
      <c r="B2791" s="3" t="s">
        <v>3026</v>
      </c>
      <c r="C2791" s="3" t="s">
        <v>3020</v>
      </c>
      <c r="D2791" s="3" t="s">
        <v>3018</v>
      </c>
      <c r="I2791" s="19">
        <v>8574</v>
      </c>
      <c r="J2791" s="19" t="s">
        <v>4576</v>
      </c>
    </row>
    <row r="2792" spans="1:10" x14ac:dyDescent="0.2">
      <c r="A2792" s="3">
        <v>6524</v>
      </c>
      <c r="B2792" s="3" t="s">
        <v>3027</v>
      </c>
      <c r="C2792" s="3" t="s">
        <v>3020</v>
      </c>
      <c r="D2792" s="3" t="s">
        <v>3018</v>
      </c>
      <c r="I2792" s="19">
        <v>8575</v>
      </c>
      <c r="J2792" s="19" t="s">
        <v>4576</v>
      </c>
    </row>
    <row r="2793" spans="1:10" x14ac:dyDescent="0.2">
      <c r="A2793" s="3">
        <v>6525</v>
      </c>
      <c r="B2793" s="3" t="s">
        <v>3028</v>
      </c>
      <c r="C2793" s="3" t="s">
        <v>3020</v>
      </c>
      <c r="D2793" s="3" t="s">
        <v>3018</v>
      </c>
      <c r="I2793" s="19">
        <v>8576</v>
      </c>
      <c r="J2793" s="19" t="s">
        <v>4576</v>
      </c>
    </row>
    <row r="2794" spans="1:10" x14ac:dyDescent="0.2">
      <c r="A2794" s="3">
        <v>6528</v>
      </c>
      <c r="B2794" s="3" t="s">
        <v>3029</v>
      </c>
      <c r="C2794" s="3" t="s">
        <v>3020</v>
      </c>
      <c r="D2794" s="3" t="s">
        <v>3018</v>
      </c>
      <c r="I2794" s="19">
        <v>8577</v>
      </c>
      <c r="J2794" s="19" t="s">
        <v>4576</v>
      </c>
    </row>
    <row r="2795" spans="1:10" x14ac:dyDescent="0.2">
      <c r="A2795" s="3">
        <v>6582</v>
      </c>
      <c r="B2795" s="3" t="s">
        <v>3030</v>
      </c>
      <c r="C2795" s="3" t="s">
        <v>3020</v>
      </c>
      <c r="D2795" s="3" t="s">
        <v>3018</v>
      </c>
      <c r="I2795" s="19">
        <v>8580</v>
      </c>
      <c r="J2795" s="19" t="s">
        <v>4576</v>
      </c>
    </row>
    <row r="2796" spans="1:10" x14ac:dyDescent="0.2">
      <c r="A2796" s="3">
        <v>6583</v>
      </c>
      <c r="B2796" s="3" t="s">
        <v>3031</v>
      </c>
      <c r="C2796" s="3" t="s">
        <v>3020</v>
      </c>
      <c r="D2796" s="3" t="s">
        <v>3018</v>
      </c>
      <c r="I2796" s="19">
        <v>8581</v>
      </c>
      <c r="J2796" s="19" t="s">
        <v>4576</v>
      </c>
    </row>
    <row r="2797" spans="1:10" x14ac:dyDescent="0.2">
      <c r="A2797" s="3">
        <v>6584</v>
      </c>
      <c r="B2797" s="3" t="s">
        <v>3032</v>
      </c>
      <c r="C2797" s="3" t="s">
        <v>3020</v>
      </c>
      <c r="D2797" s="3" t="s">
        <v>3018</v>
      </c>
      <c r="I2797" s="19">
        <v>8582</v>
      </c>
      <c r="J2797" s="19" t="s">
        <v>4576</v>
      </c>
    </row>
    <row r="2798" spans="1:10" x14ac:dyDescent="0.2">
      <c r="A2798" s="3">
        <v>6702</v>
      </c>
      <c r="B2798" s="3" t="s">
        <v>3033</v>
      </c>
      <c r="C2798" s="3" t="s">
        <v>3020</v>
      </c>
      <c r="D2798" s="3" t="s">
        <v>3018</v>
      </c>
      <c r="I2798" s="19">
        <v>8583</v>
      </c>
      <c r="J2798" s="19" t="s">
        <v>4576</v>
      </c>
    </row>
    <row r="2799" spans="1:10" x14ac:dyDescent="0.2">
      <c r="A2799" s="3">
        <v>6593</v>
      </c>
      <c r="B2799" s="3" t="s">
        <v>3034</v>
      </c>
      <c r="C2799" s="3" t="s">
        <v>3034</v>
      </c>
      <c r="D2799" s="3" t="s">
        <v>3018</v>
      </c>
      <c r="I2799" s="19">
        <v>8584</v>
      </c>
      <c r="J2799" s="19" t="s">
        <v>4576</v>
      </c>
    </row>
    <row r="2800" spans="1:10" x14ac:dyDescent="0.2">
      <c r="A2800" s="3">
        <v>6599</v>
      </c>
      <c r="B2800" s="3" t="s">
        <v>3035</v>
      </c>
      <c r="C2800" s="3" t="s">
        <v>3034</v>
      </c>
      <c r="D2800" s="3" t="s">
        <v>3018</v>
      </c>
      <c r="I2800" s="19">
        <v>8585</v>
      </c>
      <c r="J2800" s="19" t="s">
        <v>4576</v>
      </c>
    </row>
    <row r="2801" spans="1:10" x14ac:dyDescent="0.2">
      <c r="A2801" s="3">
        <v>6810</v>
      </c>
      <c r="B2801" s="3" t="s">
        <v>3036</v>
      </c>
      <c r="C2801" s="3" t="s">
        <v>3036</v>
      </c>
      <c r="D2801" s="3" t="s">
        <v>3018</v>
      </c>
      <c r="I2801" s="19">
        <v>8586</v>
      </c>
      <c r="J2801" s="19" t="s">
        <v>4576</v>
      </c>
    </row>
    <row r="2802" spans="1:10" x14ac:dyDescent="0.2">
      <c r="A2802" s="3">
        <v>6533</v>
      </c>
      <c r="B2802" s="3" t="s">
        <v>3037</v>
      </c>
      <c r="C2802" s="3" t="s">
        <v>3037</v>
      </c>
      <c r="D2802" s="3" t="s">
        <v>3018</v>
      </c>
      <c r="I2802" s="19">
        <v>8587</v>
      </c>
      <c r="J2802" s="19" t="s">
        <v>4576</v>
      </c>
    </row>
    <row r="2803" spans="1:10" x14ac:dyDescent="0.2">
      <c r="A2803" s="3">
        <v>6592</v>
      </c>
      <c r="B2803" s="3" t="s">
        <v>3038</v>
      </c>
      <c r="C2803" s="3" t="s">
        <v>3039</v>
      </c>
      <c r="D2803" s="3" t="s">
        <v>3018</v>
      </c>
      <c r="I2803" s="19">
        <v>8588</v>
      </c>
      <c r="J2803" s="19" t="s">
        <v>4576</v>
      </c>
    </row>
    <row r="2804" spans="1:10" x14ac:dyDescent="0.2">
      <c r="A2804" s="3">
        <v>6715</v>
      </c>
      <c r="B2804" s="3" t="s">
        <v>3040</v>
      </c>
      <c r="C2804" s="3" t="s">
        <v>3041</v>
      </c>
      <c r="D2804" s="3" t="s">
        <v>3018</v>
      </c>
      <c r="I2804" s="19">
        <v>8589</v>
      </c>
      <c r="J2804" s="19" t="s">
        <v>4576</v>
      </c>
    </row>
    <row r="2805" spans="1:10" x14ac:dyDescent="0.2">
      <c r="A2805" s="3">
        <v>6716</v>
      </c>
      <c r="B2805" s="3" t="s">
        <v>3041</v>
      </c>
      <c r="C2805" s="3" t="s">
        <v>3041</v>
      </c>
      <c r="D2805" s="3" t="s">
        <v>3018</v>
      </c>
      <c r="I2805" s="19">
        <v>8590</v>
      </c>
      <c r="J2805" s="19" t="s">
        <v>4576</v>
      </c>
    </row>
    <row r="2806" spans="1:10" x14ac:dyDescent="0.2">
      <c r="A2806" s="3">
        <v>6716</v>
      </c>
      <c r="B2806" s="3" t="s">
        <v>3042</v>
      </c>
      <c r="C2806" s="3" t="s">
        <v>3041</v>
      </c>
      <c r="D2806" s="3" t="s">
        <v>3018</v>
      </c>
      <c r="I2806" s="19">
        <v>8592</v>
      </c>
      <c r="J2806" s="19" t="s">
        <v>4576</v>
      </c>
    </row>
    <row r="2807" spans="1:10" x14ac:dyDescent="0.2">
      <c r="A2807" s="3">
        <v>6716</v>
      </c>
      <c r="B2807" s="3" t="s">
        <v>3043</v>
      </c>
      <c r="C2807" s="3" t="s">
        <v>3041</v>
      </c>
      <c r="D2807" s="3" t="s">
        <v>3018</v>
      </c>
      <c r="I2807" s="19">
        <v>8593</v>
      </c>
      <c r="J2807" s="19" t="s">
        <v>4576</v>
      </c>
    </row>
    <row r="2808" spans="1:10" x14ac:dyDescent="0.2">
      <c r="A2808" s="3">
        <v>6721</v>
      </c>
      <c r="B2808" s="3" t="s">
        <v>3044</v>
      </c>
      <c r="C2808" s="3" t="s">
        <v>3041</v>
      </c>
      <c r="D2808" s="3" t="s">
        <v>3018</v>
      </c>
      <c r="I2808" s="19">
        <v>8594</v>
      </c>
      <c r="J2808" s="19" t="s">
        <v>4576</v>
      </c>
    </row>
    <row r="2809" spans="1:10" x14ac:dyDescent="0.2">
      <c r="A2809" s="3">
        <v>6722</v>
      </c>
      <c r="B2809" s="3" t="s">
        <v>3045</v>
      </c>
      <c r="C2809" s="3" t="s">
        <v>3041</v>
      </c>
      <c r="D2809" s="3" t="s">
        <v>3018</v>
      </c>
      <c r="I2809" s="19">
        <v>8595</v>
      </c>
      <c r="J2809" s="19" t="s">
        <v>4576</v>
      </c>
    </row>
    <row r="2810" spans="1:10" x14ac:dyDescent="0.2">
      <c r="A2810" s="3">
        <v>6723</v>
      </c>
      <c r="B2810" s="3" t="s">
        <v>3046</v>
      </c>
      <c r="C2810" s="3" t="s">
        <v>3041</v>
      </c>
      <c r="D2810" s="3" t="s">
        <v>3018</v>
      </c>
      <c r="I2810" s="19">
        <v>8596</v>
      </c>
      <c r="J2810" s="19" t="s">
        <v>4576</v>
      </c>
    </row>
    <row r="2811" spans="1:10" x14ac:dyDescent="0.2">
      <c r="A2811" s="3">
        <v>6723</v>
      </c>
      <c r="B2811" s="3" t="s">
        <v>3047</v>
      </c>
      <c r="C2811" s="3" t="s">
        <v>3041</v>
      </c>
      <c r="D2811" s="3" t="s">
        <v>3018</v>
      </c>
      <c r="I2811" s="19">
        <v>8597</v>
      </c>
      <c r="J2811" s="19" t="s">
        <v>4576</v>
      </c>
    </row>
    <row r="2812" spans="1:10" x14ac:dyDescent="0.2">
      <c r="A2812" s="3">
        <v>6723</v>
      </c>
      <c r="B2812" s="3" t="s">
        <v>3048</v>
      </c>
      <c r="C2812" s="3" t="s">
        <v>3041</v>
      </c>
      <c r="D2812" s="3" t="s">
        <v>3018</v>
      </c>
      <c r="I2812" s="19">
        <v>8598</v>
      </c>
      <c r="J2812" s="19" t="s">
        <v>4576</v>
      </c>
    </row>
    <row r="2813" spans="1:10" x14ac:dyDescent="0.2">
      <c r="A2813" s="3">
        <v>6724</v>
      </c>
      <c r="B2813" s="3" t="s">
        <v>3049</v>
      </c>
      <c r="C2813" s="3" t="s">
        <v>3041</v>
      </c>
      <c r="D2813" s="3" t="s">
        <v>3018</v>
      </c>
      <c r="I2813" s="19">
        <v>8599</v>
      </c>
      <c r="J2813" s="19" t="s">
        <v>4576</v>
      </c>
    </row>
    <row r="2814" spans="1:10" x14ac:dyDescent="0.2">
      <c r="A2814" s="3">
        <v>6724</v>
      </c>
      <c r="B2814" s="3" t="s">
        <v>3050</v>
      </c>
      <c r="C2814" s="3" t="s">
        <v>3041</v>
      </c>
      <c r="D2814" s="3" t="s">
        <v>3018</v>
      </c>
      <c r="I2814" s="19">
        <v>8600</v>
      </c>
      <c r="J2814" s="19" t="s">
        <v>4560</v>
      </c>
    </row>
    <row r="2815" spans="1:10" x14ac:dyDescent="0.2">
      <c r="A2815" s="3">
        <v>6717</v>
      </c>
      <c r="B2815" s="3" t="s">
        <v>3051</v>
      </c>
      <c r="C2815" s="3" t="s">
        <v>3052</v>
      </c>
      <c r="D2815" s="3" t="s">
        <v>3018</v>
      </c>
      <c r="I2815" s="19">
        <v>8602</v>
      </c>
      <c r="J2815" s="19" t="s">
        <v>4560</v>
      </c>
    </row>
    <row r="2816" spans="1:10" x14ac:dyDescent="0.2">
      <c r="A2816" s="3">
        <v>6717</v>
      </c>
      <c r="B2816" s="3" t="s">
        <v>3053</v>
      </c>
      <c r="C2816" s="3" t="s">
        <v>3052</v>
      </c>
      <c r="D2816" s="3" t="s">
        <v>3018</v>
      </c>
      <c r="I2816" s="19">
        <v>8603</v>
      </c>
      <c r="J2816" s="19" t="s">
        <v>4560</v>
      </c>
    </row>
    <row r="2817" spans="1:10" x14ac:dyDescent="0.2">
      <c r="A2817" s="3">
        <v>6718</v>
      </c>
      <c r="B2817" s="3" t="s">
        <v>3054</v>
      </c>
      <c r="C2817" s="3" t="s">
        <v>3052</v>
      </c>
      <c r="D2817" s="3" t="s">
        <v>3018</v>
      </c>
      <c r="I2817" s="19">
        <v>8604</v>
      </c>
      <c r="J2817" s="19" t="s">
        <v>4560</v>
      </c>
    </row>
    <row r="2818" spans="1:10" x14ac:dyDescent="0.2">
      <c r="A2818" s="3">
        <v>6718</v>
      </c>
      <c r="B2818" s="3" t="s">
        <v>3055</v>
      </c>
      <c r="C2818" s="3" t="s">
        <v>3052</v>
      </c>
      <c r="D2818" s="3" t="s">
        <v>3018</v>
      </c>
      <c r="I2818" s="19">
        <v>8605</v>
      </c>
      <c r="J2818" s="19" t="s">
        <v>4560</v>
      </c>
    </row>
    <row r="2819" spans="1:10" x14ac:dyDescent="0.2">
      <c r="A2819" s="3">
        <v>6719</v>
      </c>
      <c r="B2819" s="3" t="s">
        <v>3056</v>
      </c>
      <c r="C2819" s="3" t="s">
        <v>3052</v>
      </c>
      <c r="D2819" s="3" t="s">
        <v>3018</v>
      </c>
      <c r="I2819" s="19">
        <v>8606</v>
      </c>
      <c r="J2819" s="19" t="s">
        <v>4560</v>
      </c>
    </row>
    <row r="2820" spans="1:10" x14ac:dyDescent="0.2">
      <c r="A2820" s="3">
        <v>6719</v>
      </c>
      <c r="B2820" s="3" t="s">
        <v>3056</v>
      </c>
      <c r="C2820" s="3" t="s">
        <v>3052</v>
      </c>
      <c r="D2820" s="3" t="s">
        <v>3018</v>
      </c>
      <c r="I2820" s="19">
        <v>8607</v>
      </c>
      <c r="J2820" s="19" t="s">
        <v>4560</v>
      </c>
    </row>
    <row r="2821" spans="1:10" x14ac:dyDescent="0.2">
      <c r="A2821" s="3">
        <v>6720</v>
      </c>
      <c r="B2821" s="3" t="s">
        <v>3057</v>
      </c>
      <c r="C2821" s="3" t="s">
        <v>3052</v>
      </c>
      <c r="D2821" s="3" t="s">
        <v>3018</v>
      </c>
      <c r="I2821" s="19">
        <v>8608</v>
      </c>
      <c r="J2821" s="19" t="s">
        <v>4560</v>
      </c>
    </row>
    <row r="2822" spans="1:10" x14ac:dyDescent="0.2">
      <c r="A2822" s="3">
        <v>6720</v>
      </c>
      <c r="B2822" s="3" t="s">
        <v>3058</v>
      </c>
      <c r="C2822" s="3" t="s">
        <v>3052</v>
      </c>
      <c r="D2822" s="3" t="s">
        <v>3018</v>
      </c>
      <c r="I2822" s="19">
        <v>8610</v>
      </c>
      <c r="J2822" s="19" t="s">
        <v>4560</v>
      </c>
    </row>
    <row r="2823" spans="1:10" x14ac:dyDescent="0.2">
      <c r="A2823" s="3">
        <v>6713</v>
      </c>
      <c r="B2823" s="3" t="s">
        <v>3059</v>
      </c>
      <c r="C2823" s="3" t="s">
        <v>3060</v>
      </c>
      <c r="D2823" s="3" t="s">
        <v>3018</v>
      </c>
      <c r="I2823" s="19">
        <v>8614</v>
      </c>
      <c r="J2823" s="19" t="s">
        <v>4560</v>
      </c>
    </row>
    <row r="2824" spans="1:10" x14ac:dyDescent="0.2">
      <c r="A2824" s="3">
        <v>6714</v>
      </c>
      <c r="B2824" s="3" t="s">
        <v>3061</v>
      </c>
      <c r="C2824" s="3" t="s">
        <v>3060</v>
      </c>
      <c r="D2824" s="3" t="s">
        <v>3018</v>
      </c>
      <c r="I2824" s="19">
        <v>8615</v>
      </c>
      <c r="J2824" s="19" t="s">
        <v>4560</v>
      </c>
    </row>
    <row r="2825" spans="1:10" x14ac:dyDescent="0.2">
      <c r="A2825" s="3">
        <v>6721</v>
      </c>
      <c r="B2825" s="3" t="s">
        <v>3062</v>
      </c>
      <c r="C2825" s="3" t="s">
        <v>3060</v>
      </c>
      <c r="D2825" s="3" t="s">
        <v>3018</v>
      </c>
      <c r="I2825" s="19">
        <v>8616</v>
      </c>
      <c r="J2825" s="19" t="s">
        <v>4560</v>
      </c>
    </row>
    <row r="2826" spans="1:10" x14ac:dyDescent="0.2">
      <c r="A2826" s="3">
        <v>6780</v>
      </c>
      <c r="B2826" s="3" t="s">
        <v>3063</v>
      </c>
      <c r="C2826" s="3" t="s">
        <v>3063</v>
      </c>
      <c r="D2826" s="3" t="s">
        <v>3018</v>
      </c>
      <c r="I2826" s="19">
        <v>8617</v>
      </c>
      <c r="J2826" s="19" t="s">
        <v>4560</v>
      </c>
    </row>
    <row r="2827" spans="1:10" x14ac:dyDescent="0.2">
      <c r="A2827" s="3">
        <v>6780</v>
      </c>
      <c r="B2827" s="3" t="s">
        <v>3064</v>
      </c>
      <c r="C2827" s="3" t="s">
        <v>3063</v>
      </c>
      <c r="D2827" s="3" t="s">
        <v>3018</v>
      </c>
      <c r="I2827" s="19">
        <v>8618</v>
      </c>
      <c r="J2827" s="19" t="s">
        <v>4560</v>
      </c>
    </row>
    <row r="2828" spans="1:10" x14ac:dyDescent="0.2">
      <c r="A2828" s="3">
        <v>6781</v>
      </c>
      <c r="B2828" s="3" t="s">
        <v>3065</v>
      </c>
      <c r="C2828" s="3" t="s">
        <v>3066</v>
      </c>
      <c r="D2828" s="3" t="s">
        <v>3018</v>
      </c>
      <c r="I2828" s="19">
        <v>8620</v>
      </c>
      <c r="J2828" s="19" t="s">
        <v>4560</v>
      </c>
    </row>
    <row r="2829" spans="1:10" x14ac:dyDescent="0.2">
      <c r="A2829" s="3">
        <v>6781</v>
      </c>
      <c r="B2829" s="3" t="s">
        <v>3066</v>
      </c>
      <c r="C2829" s="3" t="s">
        <v>3066</v>
      </c>
      <c r="D2829" s="3" t="s">
        <v>3018</v>
      </c>
      <c r="I2829" s="19">
        <v>8623</v>
      </c>
      <c r="J2829" s="19" t="s">
        <v>4560</v>
      </c>
    </row>
    <row r="2830" spans="1:10" x14ac:dyDescent="0.2">
      <c r="A2830" s="3">
        <v>6743</v>
      </c>
      <c r="B2830" s="3" t="s">
        <v>3067</v>
      </c>
      <c r="C2830" s="3" t="s">
        <v>3068</v>
      </c>
      <c r="D2830" s="3" t="s">
        <v>3018</v>
      </c>
      <c r="I2830" s="19">
        <v>8624</v>
      </c>
      <c r="J2830" s="19" t="s">
        <v>4560</v>
      </c>
    </row>
    <row r="2831" spans="1:10" x14ac:dyDescent="0.2">
      <c r="A2831" s="3">
        <v>6774</v>
      </c>
      <c r="B2831" s="3" t="s">
        <v>3069</v>
      </c>
      <c r="C2831" s="3" t="s">
        <v>3069</v>
      </c>
      <c r="D2831" s="3" t="s">
        <v>3018</v>
      </c>
      <c r="I2831" s="19">
        <v>8625</v>
      </c>
      <c r="J2831" s="19" t="s">
        <v>4560</v>
      </c>
    </row>
    <row r="2832" spans="1:10" x14ac:dyDescent="0.2">
      <c r="A2832" s="3">
        <v>6746</v>
      </c>
      <c r="B2832" s="3" t="s">
        <v>3070</v>
      </c>
      <c r="C2832" s="3" t="s">
        <v>3071</v>
      </c>
      <c r="D2832" s="3" t="s">
        <v>3018</v>
      </c>
      <c r="I2832" s="19">
        <v>8626</v>
      </c>
      <c r="J2832" s="19" t="s">
        <v>4560</v>
      </c>
    </row>
    <row r="2833" spans="1:10" x14ac:dyDescent="0.2">
      <c r="A2833" s="3">
        <v>6746</v>
      </c>
      <c r="B2833" s="3" t="s">
        <v>3072</v>
      </c>
      <c r="C2833" s="3" t="s">
        <v>3071</v>
      </c>
      <c r="D2833" s="3" t="s">
        <v>3018</v>
      </c>
      <c r="I2833" s="19">
        <v>8627</v>
      </c>
      <c r="J2833" s="19" t="s">
        <v>4560</v>
      </c>
    </row>
    <row r="2834" spans="1:10" x14ac:dyDescent="0.2">
      <c r="A2834" s="3">
        <v>6746</v>
      </c>
      <c r="B2834" s="3" t="s">
        <v>3073</v>
      </c>
      <c r="C2834" s="3" t="s">
        <v>3071</v>
      </c>
      <c r="D2834" s="3" t="s">
        <v>3018</v>
      </c>
      <c r="I2834" s="19">
        <v>8630</v>
      </c>
      <c r="J2834" s="19" t="s">
        <v>4560</v>
      </c>
    </row>
    <row r="2835" spans="1:10" x14ac:dyDescent="0.2">
      <c r="A2835" s="3">
        <v>6747</v>
      </c>
      <c r="B2835" s="3" t="s">
        <v>3074</v>
      </c>
      <c r="C2835" s="3" t="s">
        <v>3071</v>
      </c>
      <c r="D2835" s="3" t="s">
        <v>3018</v>
      </c>
      <c r="I2835" s="19">
        <v>8632</v>
      </c>
      <c r="J2835" s="19" t="s">
        <v>4560</v>
      </c>
    </row>
    <row r="2836" spans="1:10" x14ac:dyDescent="0.2">
      <c r="A2836" s="3">
        <v>6748</v>
      </c>
      <c r="B2836" s="3" t="s">
        <v>3075</v>
      </c>
      <c r="C2836" s="3" t="s">
        <v>3071</v>
      </c>
      <c r="D2836" s="3" t="s">
        <v>3018</v>
      </c>
      <c r="I2836" s="19">
        <v>8633</v>
      </c>
      <c r="J2836" s="19" t="s">
        <v>4560</v>
      </c>
    </row>
    <row r="2837" spans="1:10" x14ac:dyDescent="0.2">
      <c r="A2837" s="3">
        <v>6749</v>
      </c>
      <c r="B2837" s="3" t="s">
        <v>3076</v>
      </c>
      <c r="C2837" s="3" t="s">
        <v>3071</v>
      </c>
      <c r="D2837" s="3" t="s">
        <v>3018</v>
      </c>
      <c r="I2837" s="19">
        <v>8634</v>
      </c>
      <c r="J2837" s="19" t="s">
        <v>4560</v>
      </c>
    </row>
    <row r="2838" spans="1:10" x14ac:dyDescent="0.2">
      <c r="A2838" s="3">
        <v>6749</v>
      </c>
      <c r="B2838" s="3" t="s">
        <v>3077</v>
      </c>
      <c r="C2838" s="3" t="s">
        <v>3071</v>
      </c>
      <c r="D2838" s="3" t="s">
        <v>3018</v>
      </c>
      <c r="I2838" s="19">
        <v>8635</v>
      </c>
      <c r="J2838" s="19" t="s">
        <v>4560</v>
      </c>
    </row>
    <row r="2839" spans="1:10" x14ac:dyDescent="0.2">
      <c r="A2839" s="3">
        <v>6760</v>
      </c>
      <c r="B2839" s="3" t="s">
        <v>3071</v>
      </c>
      <c r="C2839" s="3" t="s">
        <v>3071</v>
      </c>
      <c r="D2839" s="3" t="s">
        <v>3018</v>
      </c>
      <c r="I2839" s="19">
        <v>8636</v>
      </c>
      <c r="J2839" s="19" t="s">
        <v>4560</v>
      </c>
    </row>
    <row r="2840" spans="1:10" x14ac:dyDescent="0.2">
      <c r="A2840" s="3">
        <v>6760</v>
      </c>
      <c r="B2840" s="3" t="s">
        <v>3078</v>
      </c>
      <c r="C2840" s="3" t="s">
        <v>3071</v>
      </c>
      <c r="D2840" s="3" t="s">
        <v>3018</v>
      </c>
      <c r="I2840" s="19">
        <v>8637</v>
      </c>
      <c r="J2840" s="19" t="s">
        <v>4560</v>
      </c>
    </row>
    <row r="2841" spans="1:10" x14ac:dyDescent="0.2">
      <c r="A2841" s="3">
        <v>6760</v>
      </c>
      <c r="B2841" s="3" t="s">
        <v>3079</v>
      </c>
      <c r="C2841" s="3" t="s">
        <v>3071</v>
      </c>
      <c r="D2841" s="3" t="s">
        <v>3018</v>
      </c>
      <c r="I2841" s="19">
        <v>8638</v>
      </c>
      <c r="J2841" s="19" t="s">
        <v>4560</v>
      </c>
    </row>
    <row r="2842" spans="1:10" x14ac:dyDescent="0.2">
      <c r="A2842" s="3">
        <v>6760</v>
      </c>
      <c r="B2842" s="3" t="s">
        <v>3080</v>
      </c>
      <c r="C2842" s="3" t="s">
        <v>3071</v>
      </c>
      <c r="D2842" s="3" t="s">
        <v>3018</v>
      </c>
      <c r="I2842" s="19">
        <v>8640</v>
      </c>
      <c r="J2842" s="19" t="s">
        <v>4560</v>
      </c>
    </row>
    <row r="2843" spans="1:10" x14ac:dyDescent="0.2">
      <c r="A2843" s="3">
        <v>6760</v>
      </c>
      <c r="B2843" s="3" t="s">
        <v>3081</v>
      </c>
      <c r="C2843" s="3" t="s">
        <v>3071</v>
      </c>
      <c r="D2843" s="3" t="s">
        <v>3018</v>
      </c>
      <c r="I2843" s="19">
        <v>8645</v>
      </c>
      <c r="J2843" s="19" t="s">
        <v>4560</v>
      </c>
    </row>
    <row r="2844" spans="1:10" x14ac:dyDescent="0.2">
      <c r="A2844" s="3">
        <v>6760</v>
      </c>
      <c r="B2844" s="3" t="s">
        <v>3082</v>
      </c>
      <c r="C2844" s="3" t="s">
        <v>3071</v>
      </c>
      <c r="D2844" s="3" t="s">
        <v>3018</v>
      </c>
      <c r="I2844" s="19">
        <v>8646</v>
      </c>
      <c r="J2844" s="19" t="s">
        <v>4560</v>
      </c>
    </row>
    <row r="2845" spans="1:10" x14ac:dyDescent="0.2">
      <c r="A2845" s="3">
        <v>6763</v>
      </c>
      <c r="B2845" s="3" t="s">
        <v>3083</v>
      </c>
      <c r="C2845" s="3" t="s">
        <v>3071</v>
      </c>
      <c r="D2845" s="3" t="s">
        <v>3018</v>
      </c>
      <c r="I2845" s="19">
        <v>8700</v>
      </c>
      <c r="J2845" s="19" t="s">
        <v>4560</v>
      </c>
    </row>
    <row r="2846" spans="1:10" x14ac:dyDescent="0.2">
      <c r="A2846" s="3">
        <v>6763</v>
      </c>
      <c r="B2846" s="3" t="s">
        <v>3084</v>
      </c>
      <c r="C2846" s="3" t="s">
        <v>3071</v>
      </c>
      <c r="D2846" s="3" t="s">
        <v>3018</v>
      </c>
      <c r="I2846" s="19">
        <v>8702</v>
      </c>
      <c r="J2846" s="19" t="s">
        <v>4560</v>
      </c>
    </row>
    <row r="2847" spans="1:10" x14ac:dyDescent="0.2">
      <c r="A2847" s="3">
        <v>6764</v>
      </c>
      <c r="B2847" s="3" t="s">
        <v>3085</v>
      </c>
      <c r="C2847" s="3" t="s">
        <v>3071</v>
      </c>
      <c r="D2847" s="3" t="s">
        <v>3018</v>
      </c>
      <c r="I2847" s="19">
        <v>8703</v>
      </c>
      <c r="J2847" s="19" t="s">
        <v>4560</v>
      </c>
    </row>
    <row r="2848" spans="1:10" x14ac:dyDescent="0.2">
      <c r="A2848" s="3">
        <v>6745</v>
      </c>
      <c r="B2848" s="3" t="s">
        <v>3086</v>
      </c>
      <c r="C2848" s="3" t="s">
        <v>3086</v>
      </c>
      <c r="D2848" s="3" t="s">
        <v>3018</v>
      </c>
      <c r="I2848" s="19">
        <v>8704</v>
      </c>
      <c r="J2848" s="19" t="s">
        <v>4560</v>
      </c>
    </row>
    <row r="2849" spans="1:10" x14ac:dyDescent="0.2">
      <c r="A2849" s="3">
        <v>6744</v>
      </c>
      <c r="B2849" s="3" t="s">
        <v>3087</v>
      </c>
      <c r="C2849" s="3" t="s">
        <v>3087</v>
      </c>
      <c r="D2849" s="3" t="s">
        <v>3018</v>
      </c>
      <c r="I2849" s="19">
        <v>8706</v>
      </c>
      <c r="J2849" s="19" t="s">
        <v>4560</v>
      </c>
    </row>
    <row r="2850" spans="1:10" x14ac:dyDescent="0.2">
      <c r="A2850" s="3">
        <v>6742</v>
      </c>
      <c r="B2850" s="3" t="s">
        <v>3088</v>
      </c>
      <c r="C2850" s="3" t="s">
        <v>3088</v>
      </c>
      <c r="D2850" s="3" t="s">
        <v>3018</v>
      </c>
      <c r="I2850" s="19">
        <v>8707</v>
      </c>
      <c r="J2850" s="19" t="s">
        <v>4560</v>
      </c>
    </row>
    <row r="2851" spans="1:10" x14ac:dyDescent="0.2">
      <c r="A2851" s="3">
        <v>6772</v>
      </c>
      <c r="B2851" s="3" t="s">
        <v>3089</v>
      </c>
      <c r="C2851" s="3" t="s">
        <v>3090</v>
      </c>
      <c r="D2851" s="3" t="s">
        <v>3018</v>
      </c>
      <c r="I2851" s="19">
        <v>8708</v>
      </c>
      <c r="J2851" s="19" t="s">
        <v>4560</v>
      </c>
    </row>
    <row r="2852" spans="1:10" x14ac:dyDescent="0.2">
      <c r="A2852" s="3">
        <v>6773</v>
      </c>
      <c r="B2852" s="3" t="s">
        <v>3090</v>
      </c>
      <c r="C2852" s="3" t="s">
        <v>3090</v>
      </c>
      <c r="D2852" s="3" t="s">
        <v>3018</v>
      </c>
      <c r="I2852" s="19">
        <v>8712</v>
      </c>
      <c r="J2852" s="19" t="s">
        <v>4560</v>
      </c>
    </row>
    <row r="2853" spans="1:10" x14ac:dyDescent="0.2">
      <c r="A2853" s="3">
        <v>6775</v>
      </c>
      <c r="B2853" s="3" t="s">
        <v>3091</v>
      </c>
      <c r="C2853" s="3" t="s">
        <v>3092</v>
      </c>
      <c r="D2853" s="3" t="s">
        <v>3018</v>
      </c>
      <c r="I2853" s="19">
        <v>8713</v>
      </c>
      <c r="J2853" s="19" t="s">
        <v>4560</v>
      </c>
    </row>
    <row r="2854" spans="1:10" x14ac:dyDescent="0.2">
      <c r="A2854" s="3">
        <v>6776</v>
      </c>
      <c r="B2854" s="3" t="s">
        <v>3093</v>
      </c>
      <c r="C2854" s="3" t="s">
        <v>3092</v>
      </c>
      <c r="D2854" s="3" t="s">
        <v>3018</v>
      </c>
      <c r="I2854" s="19">
        <v>8714</v>
      </c>
      <c r="J2854" s="19" t="s">
        <v>4560</v>
      </c>
    </row>
    <row r="2855" spans="1:10" x14ac:dyDescent="0.2">
      <c r="A2855" s="3">
        <v>6777</v>
      </c>
      <c r="B2855" s="3" t="s">
        <v>3092</v>
      </c>
      <c r="C2855" s="3" t="s">
        <v>3092</v>
      </c>
      <c r="D2855" s="3" t="s">
        <v>3018</v>
      </c>
      <c r="I2855" s="19">
        <v>8715</v>
      </c>
      <c r="J2855" s="19" t="s">
        <v>4560</v>
      </c>
    </row>
    <row r="2856" spans="1:10" x14ac:dyDescent="0.2">
      <c r="A2856" s="3">
        <v>6777</v>
      </c>
      <c r="B2856" s="3" t="s">
        <v>3094</v>
      </c>
      <c r="C2856" s="3" t="s">
        <v>3092</v>
      </c>
      <c r="D2856" s="3" t="s">
        <v>3018</v>
      </c>
      <c r="I2856" s="19">
        <v>8716</v>
      </c>
      <c r="J2856" s="19" t="s">
        <v>4560</v>
      </c>
    </row>
    <row r="2857" spans="1:10" x14ac:dyDescent="0.2">
      <c r="A2857" s="3">
        <v>6612</v>
      </c>
      <c r="B2857" s="3" t="s">
        <v>3095</v>
      </c>
      <c r="C2857" s="3" t="s">
        <v>3095</v>
      </c>
      <c r="D2857" s="3" t="s">
        <v>3018</v>
      </c>
      <c r="I2857" s="19">
        <v>8717</v>
      </c>
      <c r="J2857" s="19" t="s">
        <v>4571</v>
      </c>
    </row>
    <row r="2858" spans="1:10" x14ac:dyDescent="0.2">
      <c r="A2858" s="3">
        <v>6645</v>
      </c>
      <c r="B2858" s="3" t="s">
        <v>3096</v>
      </c>
      <c r="C2858" s="3" t="s">
        <v>3096</v>
      </c>
      <c r="D2858" s="3" t="s">
        <v>3018</v>
      </c>
      <c r="I2858" s="19">
        <v>8718</v>
      </c>
      <c r="J2858" s="19" t="s">
        <v>4571</v>
      </c>
    </row>
    <row r="2859" spans="1:10" x14ac:dyDescent="0.2">
      <c r="A2859" s="3">
        <v>6614</v>
      </c>
      <c r="B2859" s="3" t="s">
        <v>3097</v>
      </c>
      <c r="C2859" s="3" t="s">
        <v>3097</v>
      </c>
      <c r="D2859" s="3" t="s">
        <v>3018</v>
      </c>
      <c r="I2859" s="19">
        <v>8722</v>
      </c>
      <c r="J2859" s="19" t="s">
        <v>4571</v>
      </c>
    </row>
    <row r="2860" spans="1:10" x14ac:dyDescent="0.2">
      <c r="A2860" s="3">
        <v>6614</v>
      </c>
      <c r="B2860" s="3" t="s">
        <v>3098</v>
      </c>
      <c r="C2860" s="3" t="s">
        <v>3097</v>
      </c>
      <c r="D2860" s="3" t="s">
        <v>3018</v>
      </c>
      <c r="I2860" s="19">
        <v>8723</v>
      </c>
      <c r="J2860" s="19" t="s">
        <v>4571</v>
      </c>
    </row>
    <row r="2861" spans="1:10" x14ac:dyDescent="0.2">
      <c r="A2861" s="3">
        <v>6596</v>
      </c>
      <c r="B2861" s="3" t="s">
        <v>3099</v>
      </c>
      <c r="C2861" s="3" t="s">
        <v>3099</v>
      </c>
      <c r="D2861" s="3" t="s">
        <v>3018</v>
      </c>
      <c r="I2861" s="19">
        <v>8725</v>
      </c>
      <c r="J2861" s="19" t="s">
        <v>4560</v>
      </c>
    </row>
    <row r="2862" spans="1:10" x14ac:dyDescent="0.2">
      <c r="A2862" s="3">
        <v>6595</v>
      </c>
      <c r="B2862" s="3" t="s">
        <v>3100</v>
      </c>
      <c r="C2862" s="3" t="s">
        <v>3101</v>
      </c>
      <c r="D2862" s="3" t="s">
        <v>3018</v>
      </c>
      <c r="I2862" s="19">
        <v>8726</v>
      </c>
      <c r="J2862" s="19" t="s">
        <v>4577</v>
      </c>
    </row>
    <row r="2863" spans="1:10" x14ac:dyDescent="0.2">
      <c r="A2863" s="3">
        <v>6600</v>
      </c>
      <c r="B2863" s="3" t="s">
        <v>3102</v>
      </c>
      <c r="C2863" s="3" t="s">
        <v>3102</v>
      </c>
      <c r="D2863" s="3" t="s">
        <v>3018</v>
      </c>
      <c r="I2863" s="19">
        <v>8727</v>
      </c>
      <c r="J2863" s="19" t="s">
        <v>4577</v>
      </c>
    </row>
    <row r="2864" spans="1:10" x14ac:dyDescent="0.2">
      <c r="A2864" s="3">
        <v>6600</v>
      </c>
      <c r="B2864" s="3" t="s">
        <v>3102</v>
      </c>
      <c r="C2864" s="3" t="s">
        <v>3102</v>
      </c>
      <c r="D2864" s="3" t="s">
        <v>3018</v>
      </c>
      <c r="I2864" s="19">
        <v>8730</v>
      </c>
      <c r="J2864" s="19" t="s">
        <v>4560</v>
      </c>
    </row>
    <row r="2865" spans="1:10" x14ac:dyDescent="0.2">
      <c r="A2865" s="3">
        <v>6600</v>
      </c>
      <c r="B2865" s="3" t="s">
        <v>3103</v>
      </c>
      <c r="C2865" s="3" t="s">
        <v>3102</v>
      </c>
      <c r="D2865" s="3" t="s">
        <v>3018</v>
      </c>
      <c r="I2865" s="19">
        <v>8732</v>
      </c>
      <c r="J2865" s="19" t="s">
        <v>4560</v>
      </c>
    </row>
    <row r="2866" spans="1:10" x14ac:dyDescent="0.2">
      <c r="A2866" s="3">
        <v>6605</v>
      </c>
      <c r="B2866" s="3" t="s">
        <v>3102</v>
      </c>
      <c r="C2866" s="3" t="s">
        <v>3102</v>
      </c>
      <c r="D2866" s="3" t="s">
        <v>3018</v>
      </c>
      <c r="I2866" s="19">
        <v>8733</v>
      </c>
      <c r="J2866" s="19" t="s">
        <v>4560</v>
      </c>
    </row>
    <row r="2867" spans="1:10" x14ac:dyDescent="0.2">
      <c r="A2867" s="3">
        <v>6616</v>
      </c>
      <c r="B2867" s="3" t="s">
        <v>3104</v>
      </c>
      <c r="C2867" s="3" t="s">
        <v>3104</v>
      </c>
      <c r="D2867" s="3" t="s">
        <v>3018</v>
      </c>
      <c r="I2867" s="19">
        <v>8734</v>
      </c>
      <c r="J2867" s="19" t="s">
        <v>4560</v>
      </c>
    </row>
    <row r="2868" spans="1:10" x14ac:dyDescent="0.2">
      <c r="A2868" s="3">
        <v>6618</v>
      </c>
      <c r="B2868" s="3" t="s">
        <v>3105</v>
      </c>
      <c r="C2868" s="3" t="s">
        <v>3104</v>
      </c>
      <c r="D2868" s="3" t="s">
        <v>3018</v>
      </c>
      <c r="I2868" s="19">
        <v>8735</v>
      </c>
      <c r="J2868" s="19" t="s">
        <v>4560</v>
      </c>
    </row>
    <row r="2869" spans="1:10" x14ac:dyDescent="0.2">
      <c r="A2869" s="3">
        <v>6647</v>
      </c>
      <c r="B2869" s="3" t="s">
        <v>3106</v>
      </c>
      <c r="C2869" s="3" t="s">
        <v>3106</v>
      </c>
      <c r="D2869" s="3" t="s">
        <v>3018</v>
      </c>
      <c r="I2869" s="19">
        <v>8737</v>
      </c>
      <c r="J2869" s="19" t="s">
        <v>4560</v>
      </c>
    </row>
    <row r="2870" spans="1:10" x14ac:dyDescent="0.2">
      <c r="A2870" s="3">
        <v>6648</v>
      </c>
      <c r="B2870" s="3" t="s">
        <v>3107</v>
      </c>
      <c r="C2870" s="3" t="s">
        <v>3107</v>
      </c>
      <c r="D2870" s="3" t="s">
        <v>3018</v>
      </c>
      <c r="I2870" s="19">
        <v>8738</v>
      </c>
      <c r="J2870" s="19" t="s">
        <v>4577</v>
      </c>
    </row>
    <row r="2871" spans="1:10" x14ac:dyDescent="0.2">
      <c r="A2871" s="3">
        <v>6600</v>
      </c>
      <c r="B2871" s="3" t="s">
        <v>3108</v>
      </c>
      <c r="C2871" s="3" t="s">
        <v>3108</v>
      </c>
      <c r="D2871" s="3" t="s">
        <v>3018</v>
      </c>
      <c r="I2871" s="19">
        <v>8739</v>
      </c>
      <c r="J2871" s="19" t="s">
        <v>4571</v>
      </c>
    </row>
    <row r="2872" spans="1:10" x14ac:dyDescent="0.2">
      <c r="A2872" s="3">
        <v>6644</v>
      </c>
      <c r="B2872" s="3" t="s">
        <v>3109</v>
      </c>
      <c r="C2872" s="3" t="s">
        <v>3109</v>
      </c>
      <c r="D2872" s="3" t="s">
        <v>3018</v>
      </c>
      <c r="I2872" s="19">
        <v>8750</v>
      </c>
      <c r="J2872" s="19" t="s">
        <v>4571</v>
      </c>
    </row>
    <row r="2873" spans="1:10" x14ac:dyDescent="0.2">
      <c r="A2873" s="3">
        <v>6613</v>
      </c>
      <c r="B2873" s="3" t="s">
        <v>3110</v>
      </c>
      <c r="C2873" s="3" t="s">
        <v>3111</v>
      </c>
      <c r="D2873" s="3" t="s">
        <v>3018</v>
      </c>
      <c r="I2873" s="19">
        <v>8751</v>
      </c>
      <c r="J2873" s="19" t="s">
        <v>4571</v>
      </c>
    </row>
    <row r="2874" spans="1:10" x14ac:dyDescent="0.2">
      <c r="A2874" s="3">
        <v>6622</v>
      </c>
      <c r="B2874" s="3" t="s">
        <v>3111</v>
      </c>
      <c r="C2874" s="3" t="s">
        <v>3111</v>
      </c>
      <c r="D2874" s="3" t="s">
        <v>3018</v>
      </c>
      <c r="I2874" s="19">
        <v>8752</v>
      </c>
      <c r="J2874" s="19" t="s">
        <v>4571</v>
      </c>
    </row>
    <row r="2875" spans="1:10" x14ac:dyDescent="0.2">
      <c r="A2875" s="3">
        <v>6598</v>
      </c>
      <c r="B2875" s="3" t="s">
        <v>3112</v>
      </c>
      <c r="C2875" s="3" t="s">
        <v>3113</v>
      </c>
      <c r="D2875" s="3" t="s">
        <v>3018</v>
      </c>
      <c r="I2875" s="19">
        <v>8753</v>
      </c>
      <c r="J2875" s="19" t="s">
        <v>4571</v>
      </c>
    </row>
    <row r="2876" spans="1:10" x14ac:dyDescent="0.2">
      <c r="A2876" s="3">
        <v>6646</v>
      </c>
      <c r="B2876" s="3" t="s">
        <v>3114</v>
      </c>
      <c r="C2876" s="3" t="s">
        <v>3113</v>
      </c>
      <c r="D2876" s="3" t="s">
        <v>3018</v>
      </c>
      <c r="I2876" s="19">
        <v>8754</v>
      </c>
      <c r="J2876" s="19" t="s">
        <v>4571</v>
      </c>
    </row>
    <row r="2877" spans="1:10" x14ac:dyDescent="0.2">
      <c r="A2877" s="3">
        <v>6611</v>
      </c>
      <c r="B2877" s="3" t="s">
        <v>3115</v>
      </c>
      <c r="C2877" s="3" t="s">
        <v>3116</v>
      </c>
      <c r="D2877" s="3" t="s">
        <v>3018</v>
      </c>
      <c r="I2877" s="19">
        <v>8755</v>
      </c>
      <c r="J2877" s="19" t="s">
        <v>4571</v>
      </c>
    </row>
    <row r="2878" spans="1:10" x14ac:dyDescent="0.2">
      <c r="A2878" s="3">
        <v>6611</v>
      </c>
      <c r="B2878" s="3" t="s">
        <v>3117</v>
      </c>
      <c r="C2878" s="3" t="s">
        <v>3116</v>
      </c>
      <c r="D2878" s="3" t="s">
        <v>3018</v>
      </c>
      <c r="I2878" s="19">
        <v>8756</v>
      </c>
      <c r="J2878" s="19" t="s">
        <v>4571</v>
      </c>
    </row>
    <row r="2879" spans="1:10" x14ac:dyDescent="0.2">
      <c r="A2879" s="3">
        <v>6611</v>
      </c>
      <c r="B2879" s="3" t="s">
        <v>3118</v>
      </c>
      <c r="C2879" s="3" t="s">
        <v>3116</v>
      </c>
      <c r="D2879" s="3" t="s">
        <v>3018</v>
      </c>
      <c r="I2879" s="19">
        <v>8757</v>
      </c>
      <c r="J2879" s="19" t="s">
        <v>4571</v>
      </c>
    </row>
    <row r="2880" spans="1:10" x14ac:dyDescent="0.2">
      <c r="A2880" s="3">
        <v>6661</v>
      </c>
      <c r="B2880" s="3" t="s">
        <v>3119</v>
      </c>
      <c r="C2880" s="3" t="s">
        <v>3116</v>
      </c>
      <c r="D2880" s="3" t="s">
        <v>3018</v>
      </c>
      <c r="I2880" s="19">
        <v>8758</v>
      </c>
      <c r="J2880" s="19" t="s">
        <v>4571</v>
      </c>
    </row>
    <row r="2881" spans="1:10" x14ac:dyDescent="0.2">
      <c r="A2881" s="3">
        <v>6661</v>
      </c>
      <c r="B2881" s="3" t="s">
        <v>3120</v>
      </c>
      <c r="C2881" s="3" t="s">
        <v>3116</v>
      </c>
      <c r="D2881" s="3" t="s">
        <v>3018</v>
      </c>
      <c r="I2881" s="19">
        <v>8762</v>
      </c>
      <c r="J2881" s="19" t="s">
        <v>4571</v>
      </c>
    </row>
    <row r="2882" spans="1:10" x14ac:dyDescent="0.2">
      <c r="A2882" s="3">
        <v>6661</v>
      </c>
      <c r="B2882" s="3" t="s">
        <v>3121</v>
      </c>
      <c r="C2882" s="3" t="s">
        <v>3116</v>
      </c>
      <c r="D2882" s="3" t="s">
        <v>3018</v>
      </c>
      <c r="I2882" s="19">
        <v>8765</v>
      </c>
      <c r="J2882" s="19" t="s">
        <v>4571</v>
      </c>
    </row>
    <row r="2883" spans="1:10" x14ac:dyDescent="0.2">
      <c r="A2883" s="3">
        <v>6662</v>
      </c>
      <c r="B2883" s="3" t="s">
        <v>3122</v>
      </c>
      <c r="C2883" s="3" t="s">
        <v>3116</v>
      </c>
      <c r="D2883" s="3" t="s">
        <v>3018</v>
      </c>
      <c r="I2883" s="19">
        <v>8766</v>
      </c>
      <c r="J2883" s="19" t="s">
        <v>4571</v>
      </c>
    </row>
    <row r="2884" spans="1:10" x14ac:dyDescent="0.2">
      <c r="A2884" s="3">
        <v>6663</v>
      </c>
      <c r="B2884" s="3" t="s">
        <v>3123</v>
      </c>
      <c r="C2884" s="3" t="s">
        <v>3116</v>
      </c>
      <c r="D2884" s="3" t="s">
        <v>3018</v>
      </c>
      <c r="I2884" s="19">
        <v>8767</v>
      </c>
      <c r="J2884" s="19" t="s">
        <v>4571</v>
      </c>
    </row>
    <row r="2885" spans="1:10" x14ac:dyDescent="0.2">
      <c r="A2885" s="3">
        <v>6663</v>
      </c>
      <c r="B2885" s="3" t="s">
        <v>3124</v>
      </c>
      <c r="C2885" s="3" t="s">
        <v>3116</v>
      </c>
      <c r="D2885" s="3" t="s">
        <v>3018</v>
      </c>
      <c r="I2885" s="19">
        <v>8772</v>
      </c>
      <c r="J2885" s="19" t="s">
        <v>4571</v>
      </c>
    </row>
    <row r="2886" spans="1:10" x14ac:dyDescent="0.2">
      <c r="A2886" s="3">
        <v>6664</v>
      </c>
      <c r="B2886" s="3" t="s">
        <v>3125</v>
      </c>
      <c r="C2886" s="3" t="s">
        <v>3116</v>
      </c>
      <c r="D2886" s="3" t="s">
        <v>3018</v>
      </c>
      <c r="I2886" s="19">
        <v>8773</v>
      </c>
      <c r="J2886" s="19" t="s">
        <v>4571</v>
      </c>
    </row>
    <row r="2887" spans="1:10" x14ac:dyDescent="0.2">
      <c r="A2887" s="3">
        <v>6516</v>
      </c>
      <c r="B2887" s="3" t="s">
        <v>3126</v>
      </c>
      <c r="C2887" s="3" t="s">
        <v>3127</v>
      </c>
      <c r="D2887" s="3" t="s">
        <v>3018</v>
      </c>
      <c r="I2887" s="19">
        <v>8774</v>
      </c>
      <c r="J2887" s="19" t="s">
        <v>4571</v>
      </c>
    </row>
    <row r="2888" spans="1:10" x14ac:dyDescent="0.2">
      <c r="A2888" s="3">
        <v>6597</v>
      </c>
      <c r="B2888" s="3" t="s">
        <v>3128</v>
      </c>
      <c r="C2888" s="3" t="s">
        <v>3127</v>
      </c>
      <c r="D2888" s="3" t="s">
        <v>3018</v>
      </c>
      <c r="I2888" s="19">
        <v>8775</v>
      </c>
      <c r="J2888" s="19" t="s">
        <v>4571</v>
      </c>
    </row>
    <row r="2889" spans="1:10" x14ac:dyDescent="0.2">
      <c r="A2889" s="3">
        <v>6982</v>
      </c>
      <c r="B2889" s="3" t="s">
        <v>3129</v>
      </c>
      <c r="C2889" s="3" t="s">
        <v>3129</v>
      </c>
      <c r="D2889" s="3" t="s">
        <v>3018</v>
      </c>
      <c r="I2889" s="19">
        <v>8777</v>
      </c>
      <c r="J2889" s="19" t="s">
        <v>4571</v>
      </c>
    </row>
    <row r="2890" spans="1:10" x14ac:dyDescent="0.2">
      <c r="A2890" s="3">
        <v>6990</v>
      </c>
      <c r="B2890" s="3" t="s">
        <v>3130</v>
      </c>
      <c r="C2890" s="3" t="s">
        <v>3129</v>
      </c>
      <c r="D2890" s="3" t="s">
        <v>3018</v>
      </c>
      <c r="I2890" s="19">
        <v>8782</v>
      </c>
      <c r="J2890" s="19" t="s">
        <v>4571</v>
      </c>
    </row>
    <row r="2891" spans="1:10" x14ac:dyDescent="0.2">
      <c r="A2891" s="3">
        <v>6994</v>
      </c>
      <c r="B2891" s="3" t="s">
        <v>3131</v>
      </c>
      <c r="C2891" s="3" t="s">
        <v>3131</v>
      </c>
      <c r="D2891" s="3" t="s">
        <v>3018</v>
      </c>
      <c r="I2891" s="19">
        <v>8783</v>
      </c>
      <c r="J2891" s="19" t="s">
        <v>4571</v>
      </c>
    </row>
    <row r="2892" spans="1:10" x14ac:dyDescent="0.2">
      <c r="A2892" s="3">
        <v>6822</v>
      </c>
      <c r="B2892" s="3" t="s">
        <v>3132</v>
      </c>
      <c r="C2892" s="3" t="s">
        <v>3132</v>
      </c>
      <c r="D2892" s="3" t="s">
        <v>3018</v>
      </c>
      <c r="I2892" s="19">
        <v>8784</v>
      </c>
      <c r="J2892" s="19" t="s">
        <v>4571</v>
      </c>
    </row>
    <row r="2893" spans="1:10" x14ac:dyDescent="0.2">
      <c r="A2893" s="3">
        <v>6823</v>
      </c>
      <c r="B2893" s="3" t="s">
        <v>3133</v>
      </c>
      <c r="C2893" s="3" t="s">
        <v>3132</v>
      </c>
      <c r="D2893" s="3" t="s">
        <v>3018</v>
      </c>
      <c r="I2893" s="19">
        <v>8800</v>
      </c>
      <c r="J2893" s="19" t="s">
        <v>4560</v>
      </c>
    </row>
    <row r="2894" spans="1:10" x14ac:dyDescent="0.2">
      <c r="A2894" s="3">
        <v>6999</v>
      </c>
      <c r="B2894" s="3" t="s">
        <v>3134</v>
      </c>
      <c r="C2894" s="3" t="s">
        <v>3134</v>
      </c>
      <c r="D2894" s="3" t="s">
        <v>3018</v>
      </c>
      <c r="I2894" s="19">
        <v>8802</v>
      </c>
      <c r="J2894" s="19" t="s">
        <v>4560</v>
      </c>
    </row>
    <row r="2895" spans="1:10" x14ac:dyDescent="0.2">
      <c r="A2895" s="3">
        <v>6930</v>
      </c>
      <c r="B2895" s="3" t="s">
        <v>3135</v>
      </c>
      <c r="C2895" s="3" t="s">
        <v>3135</v>
      </c>
      <c r="D2895" s="3" t="s">
        <v>3018</v>
      </c>
      <c r="I2895" s="19">
        <v>8803</v>
      </c>
      <c r="J2895" s="19" t="s">
        <v>4560</v>
      </c>
    </row>
    <row r="2896" spans="1:10" x14ac:dyDescent="0.2">
      <c r="A2896" s="3">
        <v>6981</v>
      </c>
      <c r="B2896" s="3" t="s">
        <v>3136</v>
      </c>
      <c r="C2896" s="3" t="s">
        <v>3136</v>
      </c>
      <c r="D2896" s="3" t="s">
        <v>3018</v>
      </c>
      <c r="I2896" s="19">
        <v>8804</v>
      </c>
      <c r="J2896" s="19" t="s">
        <v>4560</v>
      </c>
    </row>
    <row r="2897" spans="1:10" x14ac:dyDescent="0.2">
      <c r="A2897" s="3">
        <v>6981</v>
      </c>
      <c r="B2897" s="3" t="s">
        <v>3136</v>
      </c>
      <c r="C2897" s="3" t="s">
        <v>3136</v>
      </c>
      <c r="D2897" s="3" t="s">
        <v>3018</v>
      </c>
      <c r="I2897" s="19">
        <v>8805</v>
      </c>
      <c r="J2897" s="19" t="s">
        <v>4560</v>
      </c>
    </row>
    <row r="2898" spans="1:10" x14ac:dyDescent="0.2">
      <c r="A2898" s="3">
        <v>6981</v>
      </c>
      <c r="B2898" s="3" t="s">
        <v>3137</v>
      </c>
      <c r="C2898" s="3" t="s">
        <v>3136</v>
      </c>
      <c r="D2898" s="3" t="s">
        <v>3018</v>
      </c>
      <c r="I2898" s="19">
        <v>8806</v>
      </c>
      <c r="J2898" s="19" t="s">
        <v>4560</v>
      </c>
    </row>
    <row r="2899" spans="1:10" x14ac:dyDescent="0.2">
      <c r="A2899" s="3">
        <v>6981</v>
      </c>
      <c r="B2899" s="3" t="s">
        <v>3138</v>
      </c>
      <c r="C2899" s="3" t="s">
        <v>3136</v>
      </c>
      <c r="D2899" s="3" t="s">
        <v>3018</v>
      </c>
      <c r="I2899" s="19">
        <v>8807</v>
      </c>
      <c r="J2899" s="19" t="s">
        <v>4560</v>
      </c>
    </row>
    <row r="2900" spans="1:10" x14ac:dyDescent="0.2">
      <c r="A2900" s="3">
        <v>6934</v>
      </c>
      <c r="B2900" s="3" t="s">
        <v>3139</v>
      </c>
      <c r="C2900" s="3" t="s">
        <v>3139</v>
      </c>
      <c r="D2900" s="3" t="s">
        <v>3018</v>
      </c>
      <c r="I2900" s="19">
        <v>8808</v>
      </c>
      <c r="J2900" s="19" t="s">
        <v>4560</v>
      </c>
    </row>
    <row r="2901" spans="1:10" x14ac:dyDescent="0.2">
      <c r="A2901" s="3">
        <v>6935</v>
      </c>
      <c r="B2901" s="3" t="s">
        <v>3140</v>
      </c>
      <c r="C2901" s="3" t="s">
        <v>3139</v>
      </c>
      <c r="D2901" s="3" t="s">
        <v>3018</v>
      </c>
      <c r="I2901" s="19">
        <v>8810</v>
      </c>
      <c r="J2901" s="19" t="s">
        <v>4560</v>
      </c>
    </row>
    <row r="2902" spans="1:10" x14ac:dyDescent="0.2">
      <c r="A2902" s="3">
        <v>6992</v>
      </c>
      <c r="B2902" s="3" t="s">
        <v>3141</v>
      </c>
      <c r="C2902" s="3" t="s">
        <v>3139</v>
      </c>
      <c r="D2902" s="3" t="s">
        <v>3018</v>
      </c>
      <c r="I2902" s="19">
        <v>8815</v>
      </c>
      <c r="J2902" s="19" t="s">
        <v>4560</v>
      </c>
    </row>
    <row r="2903" spans="1:10" x14ac:dyDescent="0.2">
      <c r="A2903" s="3">
        <v>6993</v>
      </c>
      <c r="B2903" s="3" t="s">
        <v>3142</v>
      </c>
      <c r="C2903" s="3" t="s">
        <v>3139</v>
      </c>
      <c r="D2903" s="3" t="s">
        <v>3018</v>
      </c>
      <c r="I2903" s="19">
        <v>8816</v>
      </c>
      <c r="J2903" s="19" t="s">
        <v>4560</v>
      </c>
    </row>
    <row r="2904" spans="1:10" x14ac:dyDescent="0.2">
      <c r="A2904" s="3">
        <v>6816</v>
      </c>
      <c r="B2904" s="3" t="s">
        <v>3143</v>
      </c>
      <c r="C2904" s="3" t="s">
        <v>3143</v>
      </c>
      <c r="D2904" s="3" t="s">
        <v>3018</v>
      </c>
      <c r="I2904" s="19">
        <v>8820</v>
      </c>
      <c r="J2904" s="19" t="s">
        <v>4560</v>
      </c>
    </row>
    <row r="2905" spans="1:10" x14ac:dyDescent="0.2">
      <c r="A2905" s="3">
        <v>6827</v>
      </c>
      <c r="B2905" s="3" t="s">
        <v>3144</v>
      </c>
      <c r="C2905" s="3" t="s">
        <v>3144</v>
      </c>
      <c r="D2905" s="3" t="s">
        <v>3018</v>
      </c>
      <c r="I2905" s="19">
        <v>8824</v>
      </c>
      <c r="J2905" s="19" t="s">
        <v>4560</v>
      </c>
    </row>
    <row r="2906" spans="1:10" x14ac:dyDescent="0.2">
      <c r="A2906" s="3">
        <v>6867</v>
      </c>
      <c r="B2906" s="3" t="s">
        <v>3145</v>
      </c>
      <c r="C2906" s="3" t="s">
        <v>3144</v>
      </c>
      <c r="D2906" s="3" t="s">
        <v>3018</v>
      </c>
      <c r="I2906" s="19">
        <v>8825</v>
      </c>
      <c r="J2906" s="19" t="s">
        <v>4560</v>
      </c>
    </row>
    <row r="2907" spans="1:10" x14ac:dyDescent="0.2">
      <c r="A2907" s="3">
        <v>6936</v>
      </c>
      <c r="B2907" s="3" t="s">
        <v>3146</v>
      </c>
      <c r="C2907" s="3" t="s">
        <v>3146</v>
      </c>
      <c r="D2907" s="3" t="s">
        <v>3018</v>
      </c>
      <c r="I2907" s="19">
        <v>8832</v>
      </c>
      <c r="J2907" s="19" t="s">
        <v>4560</v>
      </c>
    </row>
    <row r="2908" spans="1:10" x14ac:dyDescent="0.2">
      <c r="A2908" s="3">
        <v>6814</v>
      </c>
      <c r="B2908" s="3" t="s">
        <v>3147</v>
      </c>
      <c r="C2908" s="3" t="s">
        <v>3147</v>
      </c>
      <c r="D2908" s="3" t="s">
        <v>3018</v>
      </c>
      <c r="I2908" s="19">
        <v>8833</v>
      </c>
      <c r="J2908" s="19" t="s">
        <v>4560</v>
      </c>
    </row>
    <row r="2909" spans="1:10" x14ac:dyDescent="0.2">
      <c r="A2909" s="3">
        <v>6952</v>
      </c>
      <c r="B2909" s="3" t="s">
        <v>3148</v>
      </c>
      <c r="C2909" s="3" t="s">
        <v>3148</v>
      </c>
      <c r="D2909" s="3" t="s">
        <v>3018</v>
      </c>
      <c r="I2909" s="19">
        <v>8834</v>
      </c>
      <c r="J2909" s="19" t="s">
        <v>4560</v>
      </c>
    </row>
    <row r="2910" spans="1:10" x14ac:dyDescent="0.2">
      <c r="A2910" s="3">
        <v>6987</v>
      </c>
      <c r="B2910" s="3" t="s">
        <v>3149</v>
      </c>
      <c r="C2910" s="3" t="s">
        <v>3149</v>
      </c>
      <c r="D2910" s="3" t="s">
        <v>3018</v>
      </c>
      <c r="I2910" s="19">
        <v>8835</v>
      </c>
      <c r="J2910" s="19" t="s">
        <v>4560</v>
      </c>
    </row>
    <row r="2911" spans="1:10" x14ac:dyDescent="0.2">
      <c r="A2911" s="3">
        <v>6949</v>
      </c>
      <c r="B2911" s="3" t="s">
        <v>3150</v>
      </c>
      <c r="C2911" s="3" t="s">
        <v>3150</v>
      </c>
      <c r="D2911" s="3" t="s">
        <v>3018</v>
      </c>
      <c r="I2911" s="19">
        <v>8836</v>
      </c>
      <c r="J2911" s="19" t="s">
        <v>4562</v>
      </c>
    </row>
    <row r="2912" spans="1:10" x14ac:dyDescent="0.2">
      <c r="A2912" s="3">
        <v>6944</v>
      </c>
      <c r="B2912" s="3" t="s">
        <v>3151</v>
      </c>
      <c r="C2912" s="3" t="s">
        <v>3151</v>
      </c>
      <c r="D2912" s="3" t="s">
        <v>3018</v>
      </c>
      <c r="I2912" s="19">
        <v>8840</v>
      </c>
      <c r="J2912" s="19" t="s">
        <v>4562</v>
      </c>
    </row>
    <row r="2913" spans="1:10" x14ac:dyDescent="0.2">
      <c r="A2913" s="3">
        <v>6981</v>
      </c>
      <c r="B2913" s="3" t="s">
        <v>3152</v>
      </c>
      <c r="C2913" s="3" t="s">
        <v>3153</v>
      </c>
      <c r="D2913" s="3" t="s">
        <v>3018</v>
      </c>
      <c r="I2913" s="19">
        <v>8841</v>
      </c>
      <c r="J2913" s="19" t="s">
        <v>4562</v>
      </c>
    </row>
    <row r="2914" spans="1:10" x14ac:dyDescent="0.2">
      <c r="A2914" s="3">
        <v>6986</v>
      </c>
      <c r="B2914" s="3" t="s">
        <v>3153</v>
      </c>
      <c r="C2914" s="3" t="s">
        <v>3153</v>
      </c>
      <c r="D2914" s="3" t="s">
        <v>3018</v>
      </c>
      <c r="I2914" s="19">
        <v>8842</v>
      </c>
      <c r="J2914" s="19" t="s">
        <v>4562</v>
      </c>
    </row>
    <row r="2915" spans="1:10" x14ac:dyDescent="0.2">
      <c r="A2915" s="3">
        <v>6916</v>
      </c>
      <c r="B2915" s="3" t="s">
        <v>3154</v>
      </c>
      <c r="C2915" s="3" t="s">
        <v>3154</v>
      </c>
      <c r="D2915" s="3" t="s">
        <v>3018</v>
      </c>
      <c r="I2915" s="19">
        <v>8843</v>
      </c>
      <c r="J2915" s="19" t="s">
        <v>4562</v>
      </c>
    </row>
    <row r="2916" spans="1:10" x14ac:dyDescent="0.2">
      <c r="A2916" s="3">
        <v>6929</v>
      </c>
      <c r="B2916" s="3" t="s">
        <v>3155</v>
      </c>
      <c r="C2916" s="3" t="s">
        <v>3155</v>
      </c>
      <c r="D2916" s="3" t="s">
        <v>3018</v>
      </c>
      <c r="I2916" s="19">
        <v>8844</v>
      </c>
      <c r="J2916" s="19" t="s">
        <v>4562</v>
      </c>
    </row>
    <row r="2917" spans="1:10" x14ac:dyDescent="0.2">
      <c r="A2917" s="3">
        <v>6814</v>
      </c>
      <c r="B2917" s="3" t="s">
        <v>3156</v>
      </c>
      <c r="C2917" s="3" t="s">
        <v>3156</v>
      </c>
      <c r="D2917" s="3" t="s">
        <v>3018</v>
      </c>
      <c r="I2917" s="19">
        <v>8845</v>
      </c>
      <c r="J2917" s="19" t="s">
        <v>4562</v>
      </c>
    </row>
    <row r="2918" spans="1:10" x14ac:dyDescent="0.2">
      <c r="A2918" s="3">
        <v>6900</v>
      </c>
      <c r="B2918" s="3" t="s">
        <v>3157</v>
      </c>
      <c r="C2918" s="3" t="s">
        <v>3157</v>
      </c>
      <c r="D2918" s="3" t="s">
        <v>3018</v>
      </c>
      <c r="I2918" s="19">
        <v>8846</v>
      </c>
      <c r="J2918" s="19" t="s">
        <v>4562</v>
      </c>
    </row>
    <row r="2919" spans="1:10" x14ac:dyDescent="0.2">
      <c r="A2919" s="3">
        <v>6912</v>
      </c>
      <c r="B2919" s="3" t="s">
        <v>3158</v>
      </c>
      <c r="C2919" s="3" t="s">
        <v>3157</v>
      </c>
      <c r="D2919" s="3" t="s">
        <v>3018</v>
      </c>
      <c r="I2919" s="19">
        <v>8847</v>
      </c>
      <c r="J2919" s="19" t="s">
        <v>4562</v>
      </c>
    </row>
    <row r="2920" spans="1:10" x14ac:dyDescent="0.2">
      <c r="A2920" s="3">
        <v>6913</v>
      </c>
      <c r="B2920" s="3" t="s">
        <v>3159</v>
      </c>
      <c r="C2920" s="3" t="s">
        <v>3157</v>
      </c>
      <c r="D2920" s="3" t="s">
        <v>3018</v>
      </c>
      <c r="I2920" s="19">
        <v>8849</v>
      </c>
      <c r="J2920" s="19" t="s">
        <v>4562</v>
      </c>
    </row>
    <row r="2921" spans="1:10" x14ac:dyDescent="0.2">
      <c r="A2921" s="3">
        <v>6914</v>
      </c>
      <c r="B2921" s="3" t="s">
        <v>3160</v>
      </c>
      <c r="C2921" s="3" t="s">
        <v>3157</v>
      </c>
      <c r="D2921" s="3" t="s">
        <v>3018</v>
      </c>
      <c r="I2921" s="19">
        <v>8852</v>
      </c>
      <c r="J2921" s="19" t="s">
        <v>4560</v>
      </c>
    </row>
    <row r="2922" spans="1:10" x14ac:dyDescent="0.2">
      <c r="A2922" s="3">
        <v>6915</v>
      </c>
      <c r="B2922" s="3" t="s">
        <v>3161</v>
      </c>
      <c r="C2922" s="3" t="s">
        <v>3157</v>
      </c>
      <c r="D2922" s="3" t="s">
        <v>3018</v>
      </c>
      <c r="I2922" s="19">
        <v>8853</v>
      </c>
      <c r="J2922" s="19" t="s">
        <v>4560</v>
      </c>
    </row>
    <row r="2923" spans="1:10" x14ac:dyDescent="0.2">
      <c r="A2923" s="3">
        <v>6917</v>
      </c>
      <c r="B2923" s="3" t="s">
        <v>3162</v>
      </c>
      <c r="C2923" s="3" t="s">
        <v>3157</v>
      </c>
      <c r="D2923" s="3" t="s">
        <v>3018</v>
      </c>
      <c r="I2923" s="19">
        <v>8854</v>
      </c>
      <c r="J2923" s="19" t="s">
        <v>4571</v>
      </c>
    </row>
    <row r="2924" spans="1:10" x14ac:dyDescent="0.2">
      <c r="A2924" s="3">
        <v>6918</v>
      </c>
      <c r="B2924" s="3" t="s">
        <v>3163</v>
      </c>
      <c r="C2924" s="3" t="s">
        <v>3157</v>
      </c>
      <c r="D2924" s="3" t="s">
        <v>3018</v>
      </c>
      <c r="I2924" s="19">
        <v>8855</v>
      </c>
      <c r="J2924" s="19" t="s">
        <v>4560</v>
      </c>
    </row>
    <row r="2925" spans="1:10" x14ac:dyDescent="0.2">
      <c r="A2925" s="3">
        <v>6932</v>
      </c>
      <c r="B2925" s="3" t="s">
        <v>3164</v>
      </c>
      <c r="C2925" s="3" t="s">
        <v>3157</v>
      </c>
      <c r="D2925" s="3" t="s">
        <v>3018</v>
      </c>
      <c r="I2925" s="19">
        <v>8856</v>
      </c>
      <c r="J2925" s="19" t="s">
        <v>4560</v>
      </c>
    </row>
    <row r="2926" spans="1:10" x14ac:dyDescent="0.2">
      <c r="A2926" s="3">
        <v>6951</v>
      </c>
      <c r="B2926" s="3" t="s">
        <v>3165</v>
      </c>
      <c r="C2926" s="3" t="s">
        <v>3157</v>
      </c>
      <c r="D2926" s="3" t="s">
        <v>3018</v>
      </c>
      <c r="I2926" s="19">
        <v>8857</v>
      </c>
      <c r="J2926" s="19" t="s">
        <v>4571</v>
      </c>
    </row>
    <row r="2927" spans="1:10" x14ac:dyDescent="0.2">
      <c r="A2927" s="3">
        <v>6951</v>
      </c>
      <c r="B2927" s="3" t="s">
        <v>3166</v>
      </c>
      <c r="C2927" s="3" t="s">
        <v>3157</v>
      </c>
      <c r="D2927" s="3" t="s">
        <v>3018</v>
      </c>
      <c r="I2927" s="19">
        <v>8858</v>
      </c>
      <c r="J2927" s="19" t="s">
        <v>4571</v>
      </c>
    </row>
    <row r="2928" spans="1:10" x14ac:dyDescent="0.2">
      <c r="A2928" s="3">
        <v>6951</v>
      </c>
      <c r="B2928" s="3" t="s">
        <v>3167</v>
      </c>
      <c r="C2928" s="3" t="s">
        <v>3157</v>
      </c>
      <c r="D2928" s="3" t="s">
        <v>3018</v>
      </c>
      <c r="I2928" s="19">
        <v>8862</v>
      </c>
      <c r="J2928" s="19" t="s">
        <v>4571</v>
      </c>
    </row>
    <row r="2929" spans="1:10" x14ac:dyDescent="0.2">
      <c r="A2929" s="3">
        <v>6951</v>
      </c>
      <c r="B2929" s="3" t="s">
        <v>3168</v>
      </c>
      <c r="C2929" s="3" t="s">
        <v>3157</v>
      </c>
      <c r="D2929" s="3" t="s">
        <v>3018</v>
      </c>
      <c r="I2929" s="19">
        <v>8863</v>
      </c>
      <c r="J2929" s="19" t="s">
        <v>4571</v>
      </c>
    </row>
    <row r="2930" spans="1:10" x14ac:dyDescent="0.2">
      <c r="A2930" s="3">
        <v>6951</v>
      </c>
      <c r="B2930" s="3" t="s">
        <v>3169</v>
      </c>
      <c r="C2930" s="3" t="s">
        <v>3157</v>
      </c>
      <c r="D2930" s="3" t="s">
        <v>3018</v>
      </c>
      <c r="I2930" s="19">
        <v>8864</v>
      </c>
      <c r="J2930" s="19" t="s">
        <v>4571</v>
      </c>
    </row>
    <row r="2931" spans="1:10" x14ac:dyDescent="0.2">
      <c r="A2931" s="3">
        <v>6951</v>
      </c>
      <c r="B2931" s="3" t="s">
        <v>3170</v>
      </c>
      <c r="C2931" s="3" t="s">
        <v>3157</v>
      </c>
      <c r="D2931" s="3" t="s">
        <v>3018</v>
      </c>
      <c r="I2931" s="19">
        <v>8865</v>
      </c>
      <c r="J2931" s="19" t="s">
        <v>4571</v>
      </c>
    </row>
    <row r="2932" spans="1:10" x14ac:dyDescent="0.2">
      <c r="A2932" s="3">
        <v>6959</v>
      </c>
      <c r="B2932" s="3" t="s">
        <v>3171</v>
      </c>
      <c r="C2932" s="3" t="s">
        <v>3157</v>
      </c>
      <c r="D2932" s="3" t="s">
        <v>3018</v>
      </c>
      <c r="I2932" s="19">
        <v>8866</v>
      </c>
      <c r="J2932" s="19" t="s">
        <v>4571</v>
      </c>
    </row>
    <row r="2933" spans="1:10" x14ac:dyDescent="0.2">
      <c r="A2933" s="3">
        <v>6959</v>
      </c>
      <c r="B2933" s="3" t="s">
        <v>3172</v>
      </c>
      <c r="C2933" s="3" t="s">
        <v>3157</v>
      </c>
      <c r="D2933" s="3" t="s">
        <v>3018</v>
      </c>
      <c r="I2933" s="19">
        <v>8867</v>
      </c>
      <c r="J2933" s="19" t="s">
        <v>4571</v>
      </c>
    </row>
    <row r="2934" spans="1:10" x14ac:dyDescent="0.2">
      <c r="A2934" s="3">
        <v>6959</v>
      </c>
      <c r="B2934" s="3" t="s">
        <v>3173</v>
      </c>
      <c r="C2934" s="3" t="s">
        <v>3157</v>
      </c>
      <c r="D2934" s="3" t="s">
        <v>3018</v>
      </c>
      <c r="I2934" s="19">
        <v>8868</v>
      </c>
      <c r="J2934" s="19" t="s">
        <v>4571</v>
      </c>
    </row>
    <row r="2935" spans="1:10" x14ac:dyDescent="0.2">
      <c r="A2935" s="3">
        <v>6959</v>
      </c>
      <c r="B2935" s="3" t="s">
        <v>3174</v>
      </c>
      <c r="C2935" s="3" t="s">
        <v>3157</v>
      </c>
      <c r="D2935" s="3" t="s">
        <v>3018</v>
      </c>
      <c r="I2935" s="19">
        <v>8872</v>
      </c>
      <c r="J2935" s="19" t="s">
        <v>4571</v>
      </c>
    </row>
    <row r="2936" spans="1:10" x14ac:dyDescent="0.2">
      <c r="A2936" s="3">
        <v>6959</v>
      </c>
      <c r="B2936" s="3" t="s">
        <v>3175</v>
      </c>
      <c r="C2936" s="3" t="s">
        <v>3157</v>
      </c>
      <c r="D2936" s="3" t="s">
        <v>3018</v>
      </c>
      <c r="I2936" s="19">
        <v>8873</v>
      </c>
      <c r="J2936" s="19" t="s">
        <v>4571</v>
      </c>
    </row>
    <row r="2937" spans="1:10" x14ac:dyDescent="0.2">
      <c r="A2937" s="3">
        <v>6959</v>
      </c>
      <c r="B2937" s="3" t="s">
        <v>3175</v>
      </c>
      <c r="C2937" s="3" t="s">
        <v>3157</v>
      </c>
      <c r="D2937" s="3" t="s">
        <v>3018</v>
      </c>
      <c r="I2937" s="19">
        <v>8874</v>
      </c>
      <c r="J2937" s="19" t="s">
        <v>4571</v>
      </c>
    </row>
    <row r="2938" spans="1:10" x14ac:dyDescent="0.2">
      <c r="A2938" s="3">
        <v>6962</v>
      </c>
      <c r="B2938" s="3" t="s">
        <v>3176</v>
      </c>
      <c r="C2938" s="3" t="s">
        <v>3157</v>
      </c>
      <c r="D2938" s="3" t="s">
        <v>3018</v>
      </c>
      <c r="I2938" s="19">
        <v>8877</v>
      </c>
      <c r="J2938" s="19" t="s">
        <v>4571</v>
      </c>
    </row>
    <row r="2939" spans="1:10" x14ac:dyDescent="0.2">
      <c r="A2939" s="3">
        <v>6963</v>
      </c>
      <c r="B2939" s="3" t="s">
        <v>3177</v>
      </c>
      <c r="C2939" s="3" t="s">
        <v>3157</v>
      </c>
      <c r="D2939" s="3" t="s">
        <v>3018</v>
      </c>
      <c r="I2939" s="19">
        <v>8878</v>
      </c>
      <c r="J2939" s="19" t="s">
        <v>4571</v>
      </c>
    </row>
    <row r="2940" spans="1:10" x14ac:dyDescent="0.2">
      <c r="A2940" s="3">
        <v>6963</v>
      </c>
      <c r="B2940" s="3" t="s">
        <v>3178</v>
      </c>
      <c r="C2940" s="3" t="s">
        <v>3157</v>
      </c>
      <c r="D2940" s="3" t="s">
        <v>3018</v>
      </c>
      <c r="I2940" s="19">
        <v>8880</v>
      </c>
      <c r="J2940" s="19" t="s">
        <v>4570</v>
      </c>
    </row>
    <row r="2941" spans="1:10" x14ac:dyDescent="0.2">
      <c r="A2941" s="3">
        <v>6964</v>
      </c>
      <c r="B2941" s="3" t="s">
        <v>3179</v>
      </c>
      <c r="C2941" s="3" t="s">
        <v>3157</v>
      </c>
      <c r="D2941" s="3" t="s">
        <v>3018</v>
      </c>
      <c r="I2941" s="19">
        <v>8881</v>
      </c>
      <c r="J2941" s="19" t="s">
        <v>4571</v>
      </c>
    </row>
    <row r="2942" spans="1:10" x14ac:dyDescent="0.2">
      <c r="A2942" s="3">
        <v>6965</v>
      </c>
      <c r="B2942" s="3" t="s">
        <v>3180</v>
      </c>
      <c r="C2942" s="3" t="s">
        <v>3157</v>
      </c>
      <c r="D2942" s="3" t="s">
        <v>3018</v>
      </c>
      <c r="I2942" s="19">
        <v>8882</v>
      </c>
      <c r="J2942" s="19" t="s">
        <v>4570</v>
      </c>
    </row>
    <row r="2943" spans="1:10" x14ac:dyDescent="0.2">
      <c r="A2943" s="3">
        <v>6966</v>
      </c>
      <c r="B2943" s="3" t="s">
        <v>3181</v>
      </c>
      <c r="C2943" s="3" t="s">
        <v>3157</v>
      </c>
      <c r="D2943" s="3" t="s">
        <v>3018</v>
      </c>
      <c r="I2943" s="19">
        <v>8883</v>
      </c>
      <c r="J2943" s="19" t="s">
        <v>4570</v>
      </c>
    </row>
    <row r="2944" spans="1:10" x14ac:dyDescent="0.2">
      <c r="A2944" s="3">
        <v>6967</v>
      </c>
      <c r="B2944" s="3" t="s">
        <v>3182</v>
      </c>
      <c r="C2944" s="3" t="s">
        <v>3157</v>
      </c>
      <c r="D2944" s="3" t="s">
        <v>3018</v>
      </c>
      <c r="I2944" s="19">
        <v>8884</v>
      </c>
      <c r="J2944" s="19" t="s">
        <v>4571</v>
      </c>
    </row>
    <row r="2945" spans="1:10" x14ac:dyDescent="0.2">
      <c r="A2945" s="3">
        <v>6968</v>
      </c>
      <c r="B2945" s="3" t="s">
        <v>3183</v>
      </c>
      <c r="C2945" s="3" t="s">
        <v>3157</v>
      </c>
      <c r="D2945" s="3" t="s">
        <v>3018</v>
      </c>
      <c r="I2945" s="19">
        <v>8885</v>
      </c>
      <c r="J2945" s="19" t="s">
        <v>4570</v>
      </c>
    </row>
    <row r="2946" spans="1:10" x14ac:dyDescent="0.2">
      <c r="A2946" s="3">
        <v>6974</v>
      </c>
      <c r="B2946" s="3" t="s">
        <v>3184</v>
      </c>
      <c r="C2946" s="3" t="s">
        <v>3157</v>
      </c>
      <c r="D2946" s="3" t="s">
        <v>3018</v>
      </c>
      <c r="I2946" s="19">
        <v>8886</v>
      </c>
      <c r="J2946" s="19" t="s">
        <v>4570</v>
      </c>
    </row>
    <row r="2947" spans="1:10" x14ac:dyDescent="0.2">
      <c r="A2947" s="3">
        <v>6976</v>
      </c>
      <c r="B2947" s="3" t="s">
        <v>3185</v>
      </c>
      <c r="C2947" s="3" t="s">
        <v>3157</v>
      </c>
      <c r="D2947" s="3" t="s">
        <v>3018</v>
      </c>
      <c r="I2947" s="19">
        <v>8887</v>
      </c>
      <c r="J2947" s="19" t="s">
        <v>4570</v>
      </c>
    </row>
    <row r="2948" spans="1:10" x14ac:dyDescent="0.2">
      <c r="A2948" s="3">
        <v>6977</v>
      </c>
      <c r="B2948" s="3" t="s">
        <v>3186</v>
      </c>
      <c r="C2948" s="3" t="s">
        <v>3157</v>
      </c>
      <c r="D2948" s="3" t="s">
        <v>3018</v>
      </c>
      <c r="I2948" s="19">
        <v>8888</v>
      </c>
      <c r="J2948" s="19" t="s">
        <v>4570</v>
      </c>
    </row>
    <row r="2949" spans="1:10" x14ac:dyDescent="0.2">
      <c r="A2949" s="3">
        <v>6978</v>
      </c>
      <c r="B2949" s="3" t="s">
        <v>3187</v>
      </c>
      <c r="C2949" s="3" t="s">
        <v>3157</v>
      </c>
      <c r="D2949" s="3" t="s">
        <v>3018</v>
      </c>
      <c r="I2949" s="19">
        <v>8889</v>
      </c>
      <c r="J2949" s="19" t="s">
        <v>4570</v>
      </c>
    </row>
    <row r="2950" spans="1:10" x14ac:dyDescent="0.2">
      <c r="A2950" s="3">
        <v>6979</v>
      </c>
      <c r="B2950" s="3" t="s">
        <v>3188</v>
      </c>
      <c r="C2950" s="3" t="s">
        <v>3157</v>
      </c>
      <c r="D2950" s="3" t="s">
        <v>3018</v>
      </c>
      <c r="I2950" s="19">
        <v>8890</v>
      </c>
      <c r="J2950" s="19" t="s">
        <v>4570</v>
      </c>
    </row>
    <row r="2951" spans="1:10" x14ac:dyDescent="0.2">
      <c r="A2951" s="3">
        <v>6983</v>
      </c>
      <c r="B2951" s="3" t="s">
        <v>3189</v>
      </c>
      <c r="C2951" s="3" t="s">
        <v>3189</v>
      </c>
      <c r="D2951" s="3" t="s">
        <v>3018</v>
      </c>
      <c r="I2951" s="19">
        <v>8892</v>
      </c>
      <c r="J2951" s="19" t="s">
        <v>4570</v>
      </c>
    </row>
    <row r="2952" spans="1:10" x14ac:dyDescent="0.2">
      <c r="A2952" s="3">
        <v>6928</v>
      </c>
      <c r="B2952" s="3" t="s">
        <v>3190</v>
      </c>
      <c r="C2952" s="3" t="s">
        <v>3190</v>
      </c>
      <c r="D2952" s="3" t="s">
        <v>3018</v>
      </c>
      <c r="I2952" s="19">
        <v>8893</v>
      </c>
      <c r="J2952" s="19" t="s">
        <v>4570</v>
      </c>
    </row>
    <row r="2953" spans="1:10" x14ac:dyDescent="0.2">
      <c r="A2953" s="3">
        <v>6900</v>
      </c>
      <c r="B2953" s="3" t="s">
        <v>3191</v>
      </c>
      <c r="C2953" s="3" t="s">
        <v>3191</v>
      </c>
      <c r="D2953" s="3" t="s">
        <v>3018</v>
      </c>
      <c r="I2953" s="19">
        <v>8894</v>
      </c>
      <c r="J2953" s="19" t="s">
        <v>4570</v>
      </c>
    </row>
    <row r="2954" spans="1:10" x14ac:dyDescent="0.2">
      <c r="A2954" s="3">
        <v>6815</v>
      </c>
      <c r="B2954" s="3" t="s">
        <v>3192</v>
      </c>
      <c r="C2954" s="3" t="s">
        <v>3192</v>
      </c>
      <c r="D2954" s="3" t="s">
        <v>3018</v>
      </c>
      <c r="I2954" s="19">
        <v>8895</v>
      </c>
      <c r="J2954" s="19" t="s">
        <v>4570</v>
      </c>
    </row>
    <row r="2955" spans="1:10" x14ac:dyDescent="0.2">
      <c r="A2955" s="3">
        <v>6805</v>
      </c>
      <c r="B2955" s="3" t="s">
        <v>3193</v>
      </c>
      <c r="C2955" s="3" t="s">
        <v>3194</v>
      </c>
      <c r="D2955" s="3" t="s">
        <v>3018</v>
      </c>
      <c r="I2955" s="19">
        <v>8896</v>
      </c>
      <c r="J2955" s="19" t="s">
        <v>4571</v>
      </c>
    </row>
    <row r="2956" spans="1:10" x14ac:dyDescent="0.2">
      <c r="A2956" s="3">
        <v>6805</v>
      </c>
      <c r="B2956" s="3" t="s">
        <v>3193</v>
      </c>
      <c r="C2956" s="3" t="s">
        <v>3194</v>
      </c>
      <c r="D2956" s="3" t="s">
        <v>3018</v>
      </c>
      <c r="I2956" s="19">
        <v>8897</v>
      </c>
      <c r="J2956" s="19" t="s">
        <v>4571</v>
      </c>
    </row>
    <row r="2957" spans="1:10" x14ac:dyDescent="0.2">
      <c r="A2957" s="3">
        <v>6986</v>
      </c>
      <c r="B2957" s="3" t="s">
        <v>3195</v>
      </c>
      <c r="C2957" s="3" t="s">
        <v>3195</v>
      </c>
      <c r="D2957" s="3" t="s">
        <v>3018</v>
      </c>
      <c r="I2957" s="19">
        <v>8898</v>
      </c>
      <c r="J2957" s="19" t="s">
        <v>4571</v>
      </c>
    </row>
    <row r="2958" spans="1:10" x14ac:dyDescent="0.2">
      <c r="A2958" s="3">
        <v>6922</v>
      </c>
      <c r="B2958" s="3" t="s">
        <v>3196</v>
      </c>
      <c r="C2958" s="3" t="s">
        <v>3196</v>
      </c>
      <c r="D2958" s="3" t="s">
        <v>3018</v>
      </c>
      <c r="I2958" s="19">
        <v>8902</v>
      </c>
      <c r="J2958" s="19" t="s">
        <v>4560</v>
      </c>
    </row>
    <row r="2959" spans="1:10" x14ac:dyDescent="0.2">
      <c r="A2959" s="3">
        <v>6933</v>
      </c>
      <c r="B2959" s="3" t="s">
        <v>3197</v>
      </c>
      <c r="C2959" s="3" t="s">
        <v>3197</v>
      </c>
      <c r="D2959" s="3" t="s">
        <v>3018</v>
      </c>
      <c r="I2959" s="19">
        <v>8903</v>
      </c>
      <c r="J2959" s="19" t="s">
        <v>4560</v>
      </c>
    </row>
    <row r="2960" spans="1:10" x14ac:dyDescent="0.2">
      <c r="A2960" s="3">
        <v>6991</v>
      </c>
      <c r="B2960" s="3" t="s">
        <v>3198</v>
      </c>
      <c r="C2960" s="3" t="s">
        <v>3198</v>
      </c>
      <c r="D2960" s="3" t="s">
        <v>3018</v>
      </c>
      <c r="I2960" s="19">
        <v>8904</v>
      </c>
      <c r="J2960" s="19" t="s">
        <v>4560</v>
      </c>
    </row>
    <row r="2961" spans="1:10" x14ac:dyDescent="0.2">
      <c r="A2961" s="3">
        <v>6986</v>
      </c>
      <c r="B2961" s="3" t="s">
        <v>3199</v>
      </c>
      <c r="C2961" s="3" t="s">
        <v>3199</v>
      </c>
      <c r="D2961" s="3" t="s">
        <v>3018</v>
      </c>
      <c r="I2961" s="19">
        <v>8905</v>
      </c>
      <c r="J2961" s="19" t="s">
        <v>4560</v>
      </c>
    </row>
    <row r="2962" spans="1:10" x14ac:dyDescent="0.2">
      <c r="A2962" s="3">
        <v>6945</v>
      </c>
      <c r="B2962" s="3" t="s">
        <v>3200</v>
      </c>
      <c r="C2962" s="3" t="s">
        <v>3200</v>
      </c>
      <c r="D2962" s="3" t="s">
        <v>3018</v>
      </c>
      <c r="I2962" s="19">
        <v>8906</v>
      </c>
      <c r="J2962" s="19" t="s">
        <v>4560</v>
      </c>
    </row>
    <row r="2963" spans="1:10" x14ac:dyDescent="0.2">
      <c r="A2963" s="3">
        <v>6900</v>
      </c>
      <c r="B2963" s="3" t="s">
        <v>3201</v>
      </c>
      <c r="C2963" s="3" t="s">
        <v>3201</v>
      </c>
      <c r="D2963" s="3" t="s">
        <v>3018</v>
      </c>
      <c r="I2963" s="19">
        <v>8907</v>
      </c>
      <c r="J2963" s="19" t="s">
        <v>4560</v>
      </c>
    </row>
    <row r="2964" spans="1:10" x14ac:dyDescent="0.2">
      <c r="A2964" s="3">
        <v>6946</v>
      </c>
      <c r="B2964" s="3" t="s">
        <v>3202</v>
      </c>
      <c r="C2964" s="3" t="s">
        <v>3202</v>
      </c>
      <c r="D2964" s="3" t="s">
        <v>3018</v>
      </c>
      <c r="I2964" s="19">
        <v>8908</v>
      </c>
      <c r="J2964" s="19" t="s">
        <v>4560</v>
      </c>
    </row>
    <row r="2965" spans="1:10" x14ac:dyDescent="0.2">
      <c r="A2965" s="3">
        <v>6946</v>
      </c>
      <c r="B2965" s="3" t="s">
        <v>3202</v>
      </c>
      <c r="C2965" s="3" t="s">
        <v>3202</v>
      </c>
      <c r="D2965" s="3" t="s">
        <v>3018</v>
      </c>
      <c r="I2965" s="19">
        <v>8909</v>
      </c>
      <c r="J2965" s="19" t="s">
        <v>4558</v>
      </c>
    </row>
    <row r="2966" spans="1:10" x14ac:dyDescent="0.2">
      <c r="A2966" s="3">
        <v>6948</v>
      </c>
      <c r="B2966" s="3" t="s">
        <v>3203</v>
      </c>
      <c r="C2966" s="3" t="s">
        <v>3203</v>
      </c>
      <c r="D2966" s="3" t="s">
        <v>3018</v>
      </c>
      <c r="I2966" s="19">
        <v>8910</v>
      </c>
      <c r="J2966" s="19" t="s">
        <v>4560</v>
      </c>
    </row>
    <row r="2967" spans="1:10" x14ac:dyDescent="0.2">
      <c r="A2967" s="3">
        <v>6984</v>
      </c>
      <c r="B2967" s="3" t="s">
        <v>3204</v>
      </c>
      <c r="C2967" s="3" t="s">
        <v>3204</v>
      </c>
      <c r="D2967" s="3" t="s">
        <v>3018</v>
      </c>
      <c r="I2967" s="19">
        <v>8911</v>
      </c>
      <c r="J2967" s="19" t="s">
        <v>4560</v>
      </c>
    </row>
    <row r="2968" spans="1:10" x14ac:dyDescent="0.2">
      <c r="A2968" s="3">
        <v>6942</v>
      </c>
      <c r="B2968" s="3" t="s">
        <v>3205</v>
      </c>
      <c r="C2968" s="3" t="s">
        <v>3205</v>
      </c>
      <c r="D2968" s="3" t="s">
        <v>3018</v>
      </c>
      <c r="I2968" s="19">
        <v>8912</v>
      </c>
      <c r="J2968" s="19" t="s">
        <v>4555</v>
      </c>
    </row>
    <row r="2969" spans="1:10" x14ac:dyDescent="0.2">
      <c r="A2969" s="3">
        <v>6924</v>
      </c>
      <c r="B2969" s="3" t="s">
        <v>3206</v>
      </c>
      <c r="C2969" s="3" t="s">
        <v>3206</v>
      </c>
      <c r="D2969" s="3" t="s">
        <v>3018</v>
      </c>
      <c r="I2969" s="19">
        <v>8913</v>
      </c>
      <c r="J2969" s="19" t="s">
        <v>4558</v>
      </c>
    </row>
    <row r="2970" spans="1:10" x14ac:dyDescent="0.2">
      <c r="A2970" s="3">
        <v>6807</v>
      </c>
      <c r="B2970" s="3" t="s">
        <v>3207</v>
      </c>
      <c r="C2970" s="3" t="s">
        <v>3208</v>
      </c>
      <c r="D2970" s="3" t="s">
        <v>3018</v>
      </c>
      <c r="I2970" s="19">
        <v>8914</v>
      </c>
      <c r="J2970" s="19" t="s">
        <v>4560</v>
      </c>
    </row>
    <row r="2971" spans="1:10" x14ac:dyDescent="0.2">
      <c r="A2971" s="3">
        <v>6947</v>
      </c>
      <c r="B2971" s="3" t="s">
        <v>3209</v>
      </c>
      <c r="C2971" s="3" t="s">
        <v>3208</v>
      </c>
      <c r="D2971" s="3" t="s">
        <v>3018</v>
      </c>
      <c r="I2971" s="19">
        <v>8915</v>
      </c>
      <c r="J2971" s="19" t="s">
        <v>4560</v>
      </c>
    </row>
    <row r="2972" spans="1:10" x14ac:dyDescent="0.2">
      <c r="A2972" s="3">
        <v>6950</v>
      </c>
      <c r="B2972" s="3" t="s">
        <v>3210</v>
      </c>
      <c r="C2972" s="3" t="s">
        <v>3208</v>
      </c>
      <c r="D2972" s="3" t="s">
        <v>3018</v>
      </c>
      <c r="I2972" s="19">
        <v>8916</v>
      </c>
      <c r="J2972" s="19" t="s">
        <v>4558</v>
      </c>
    </row>
    <row r="2973" spans="1:10" x14ac:dyDescent="0.2">
      <c r="A2973" s="3">
        <v>6953</v>
      </c>
      <c r="B2973" s="3" t="s">
        <v>3211</v>
      </c>
      <c r="C2973" s="3" t="s">
        <v>3208</v>
      </c>
      <c r="D2973" s="3" t="s">
        <v>3018</v>
      </c>
      <c r="I2973" s="19">
        <v>8917</v>
      </c>
      <c r="J2973" s="19" t="s">
        <v>4558</v>
      </c>
    </row>
    <row r="2974" spans="1:10" x14ac:dyDescent="0.2">
      <c r="A2974" s="3">
        <v>6954</v>
      </c>
      <c r="B2974" s="3" t="s">
        <v>3212</v>
      </c>
      <c r="C2974" s="3" t="s">
        <v>3208</v>
      </c>
      <c r="D2974" s="3" t="s">
        <v>3018</v>
      </c>
      <c r="I2974" s="19">
        <v>8918</v>
      </c>
      <c r="J2974" s="19" t="s">
        <v>4558</v>
      </c>
    </row>
    <row r="2975" spans="1:10" x14ac:dyDescent="0.2">
      <c r="A2975" s="3">
        <v>6954</v>
      </c>
      <c r="B2975" s="3" t="s">
        <v>3213</v>
      </c>
      <c r="C2975" s="3" t="s">
        <v>3208</v>
      </c>
      <c r="D2975" s="3" t="s">
        <v>3018</v>
      </c>
      <c r="I2975" s="19">
        <v>8919</v>
      </c>
      <c r="J2975" s="19" t="s">
        <v>4558</v>
      </c>
    </row>
    <row r="2976" spans="1:10" x14ac:dyDescent="0.2">
      <c r="A2976" s="3">
        <v>6955</v>
      </c>
      <c r="B2976" s="3" t="s">
        <v>3214</v>
      </c>
      <c r="C2976" s="3" t="s">
        <v>3208</v>
      </c>
      <c r="D2976" s="3" t="s">
        <v>3018</v>
      </c>
      <c r="I2976" s="19">
        <v>8925</v>
      </c>
      <c r="J2976" s="19" t="s">
        <v>4560</v>
      </c>
    </row>
    <row r="2977" spans="1:10" x14ac:dyDescent="0.2">
      <c r="A2977" s="3">
        <v>6955</v>
      </c>
      <c r="B2977" s="3" t="s">
        <v>3215</v>
      </c>
      <c r="C2977" s="3" t="s">
        <v>3208</v>
      </c>
      <c r="D2977" s="3" t="s">
        <v>3018</v>
      </c>
      <c r="I2977" s="19">
        <v>8926</v>
      </c>
      <c r="J2977" s="19" t="s">
        <v>4560</v>
      </c>
    </row>
    <row r="2978" spans="1:10" x14ac:dyDescent="0.2">
      <c r="A2978" s="3">
        <v>6956</v>
      </c>
      <c r="B2978" s="3" t="s">
        <v>3216</v>
      </c>
      <c r="C2978" s="3" t="s">
        <v>3208</v>
      </c>
      <c r="D2978" s="3" t="s">
        <v>3018</v>
      </c>
      <c r="I2978" s="19">
        <v>8932</v>
      </c>
      <c r="J2978" s="19" t="s">
        <v>4555</v>
      </c>
    </row>
    <row r="2979" spans="1:10" x14ac:dyDescent="0.2">
      <c r="A2979" s="3">
        <v>6957</v>
      </c>
      <c r="B2979" s="3" t="s">
        <v>3217</v>
      </c>
      <c r="C2979" s="3" t="s">
        <v>3208</v>
      </c>
      <c r="D2979" s="3" t="s">
        <v>3018</v>
      </c>
      <c r="I2979" s="19">
        <v>8933</v>
      </c>
      <c r="J2979" s="19" t="s">
        <v>4555</v>
      </c>
    </row>
    <row r="2980" spans="1:10" x14ac:dyDescent="0.2">
      <c r="A2980" s="3">
        <v>6958</v>
      </c>
      <c r="B2980" s="3" t="s">
        <v>3218</v>
      </c>
      <c r="C2980" s="3" t="s">
        <v>3208</v>
      </c>
      <c r="D2980" s="3" t="s">
        <v>3018</v>
      </c>
      <c r="I2980" s="19">
        <v>8934</v>
      </c>
      <c r="J2980" s="19" t="s">
        <v>4555</v>
      </c>
    </row>
    <row r="2981" spans="1:10" x14ac:dyDescent="0.2">
      <c r="A2981" s="3">
        <v>6958</v>
      </c>
      <c r="B2981" s="3" t="s">
        <v>3219</v>
      </c>
      <c r="C2981" s="3" t="s">
        <v>3208</v>
      </c>
      <c r="D2981" s="3" t="s">
        <v>3018</v>
      </c>
      <c r="I2981" s="19">
        <v>8942</v>
      </c>
      <c r="J2981" s="19" t="s">
        <v>4560</v>
      </c>
    </row>
    <row r="2982" spans="1:10" x14ac:dyDescent="0.2">
      <c r="A2982" s="3">
        <v>6958</v>
      </c>
      <c r="B2982" s="3" t="s">
        <v>3219</v>
      </c>
      <c r="C2982" s="3" t="s">
        <v>3208</v>
      </c>
      <c r="D2982" s="3" t="s">
        <v>3018</v>
      </c>
      <c r="I2982" s="19">
        <v>8951</v>
      </c>
      <c r="J2982" s="19" t="s">
        <v>4560</v>
      </c>
    </row>
    <row r="2983" spans="1:10" x14ac:dyDescent="0.2">
      <c r="A2983" s="3">
        <v>6960</v>
      </c>
      <c r="B2983" s="3" t="s">
        <v>3220</v>
      </c>
      <c r="C2983" s="3" t="s">
        <v>3208</v>
      </c>
      <c r="D2983" s="3" t="s">
        <v>3018</v>
      </c>
      <c r="I2983" s="19">
        <v>8952</v>
      </c>
      <c r="J2983" s="19" t="s">
        <v>4560</v>
      </c>
    </row>
    <row r="2984" spans="1:10" x14ac:dyDescent="0.2">
      <c r="A2984" s="3">
        <v>6807</v>
      </c>
      <c r="B2984" s="3" t="s">
        <v>3207</v>
      </c>
      <c r="C2984" s="3" t="s">
        <v>3221</v>
      </c>
      <c r="D2984" s="3" t="s">
        <v>3018</v>
      </c>
      <c r="I2984" s="19">
        <v>8953</v>
      </c>
      <c r="J2984" s="19" t="s">
        <v>4560</v>
      </c>
    </row>
    <row r="2985" spans="1:10" x14ac:dyDescent="0.2">
      <c r="A2985" s="3">
        <v>6808</v>
      </c>
      <c r="B2985" s="3" t="s">
        <v>3222</v>
      </c>
      <c r="C2985" s="3" t="s">
        <v>3221</v>
      </c>
      <c r="D2985" s="3" t="s">
        <v>3018</v>
      </c>
      <c r="I2985" s="19">
        <v>8954</v>
      </c>
      <c r="J2985" s="19" t="s">
        <v>4559</v>
      </c>
    </row>
    <row r="2986" spans="1:10" x14ac:dyDescent="0.2">
      <c r="A2986" s="3">
        <v>6992</v>
      </c>
      <c r="B2986" s="3" t="s">
        <v>3223</v>
      </c>
      <c r="C2986" s="3" t="s">
        <v>3223</v>
      </c>
      <c r="D2986" s="3" t="s">
        <v>3018</v>
      </c>
      <c r="I2986" s="19">
        <v>8955</v>
      </c>
      <c r="J2986" s="19" t="s">
        <v>4559</v>
      </c>
    </row>
    <row r="2987" spans="1:10" x14ac:dyDescent="0.2">
      <c r="A2987" s="3">
        <v>6943</v>
      </c>
      <c r="B2987" s="3" t="s">
        <v>3224</v>
      </c>
      <c r="C2987" s="3" t="s">
        <v>3224</v>
      </c>
      <c r="D2987" s="3" t="s">
        <v>3018</v>
      </c>
      <c r="I2987" s="19">
        <v>8956</v>
      </c>
      <c r="J2987" s="19" t="s">
        <v>4559</v>
      </c>
    </row>
    <row r="2988" spans="1:10" x14ac:dyDescent="0.2">
      <c r="A2988" s="3">
        <v>6921</v>
      </c>
      <c r="B2988" s="3" t="s">
        <v>3225</v>
      </c>
      <c r="C2988" s="3" t="s">
        <v>3225</v>
      </c>
      <c r="D2988" s="3" t="s">
        <v>3018</v>
      </c>
      <c r="I2988" s="19">
        <v>8957</v>
      </c>
      <c r="J2988" s="19" t="s">
        <v>4559</v>
      </c>
    </row>
    <row r="2989" spans="1:10" x14ac:dyDescent="0.2">
      <c r="A2989" s="3">
        <v>6919</v>
      </c>
      <c r="B2989" s="3" t="s">
        <v>3226</v>
      </c>
      <c r="C2989" s="3" t="s">
        <v>3227</v>
      </c>
      <c r="D2989" s="3" t="s">
        <v>3018</v>
      </c>
      <c r="I2989" s="19">
        <v>8962</v>
      </c>
      <c r="J2989" s="19" t="s">
        <v>4560</v>
      </c>
    </row>
    <row r="2990" spans="1:10" x14ac:dyDescent="0.2">
      <c r="A2990" s="3">
        <v>6925</v>
      </c>
      <c r="B2990" s="3" t="s">
        <v>3228</v>
      </c>
      <c r="C2990" s="3" t="s">
        <v>3227</v>
      </c>
      <c r="D2990" s="3" t="s">
        <v>3018</v>
      </c>
      <c r="I2990" s="19">
        <v>8964</v>
      </c>
      <c r="J2990" s="19" t="s">
        <v>4560</v>
      </c>
    </row>
    <row r="2991" spans="1:10" x14ac:dyDescent="0.2">
      <c r="A2991" s="3">
        <v>6926</v>
      </c>
      <c r="B2991" s="3" t="s">
        <v>3229</v>
      </c>
      <c r="C2991" s="3" t="s">
        <v>3227</v>
      </c>
      <c r="D2991" s="3" t="s">
        <v>3018</v>
      </c>
      <c r="I2991" s="19">
        <v>8965</v>
      </c>
      <c r="J2991" s="19" t="s">
        <v>4558</v>
      </c>
    </row>
    <row r="2992" spans="1:10" x14ac:dyDescent="0.2">
      <c r="A2992" s="3">
        <v>6927</v>
      </c>
      <c r="B2992" s="3" t="s">
        <v>3230</v>
      </c>
      <c r="C2992" s="3" t="s">
        <v>3227</v>
      </c>
      <c r="D2992" s="3" t="s">
        <v>3018</v>
      </c>
      <c r="I2992" s="19">
        <v>8966</v>
      </c>
      <c r="J2992" s="19" t="s">
        <v>4560</v>
      </c>
    </row>
    <row r="2993" spans="1:10" x14ac:dyDescent="0.2">
      <c r="A2993" s="3">
        <v>6937</v>
      </c>
      <c r="B2993" s="3" t="s">
        <v>3231</v>
      </c>
      <c r="C2993" s="3" t="s">
        <v>3232</v>
      </c>
      <c r="D2993" s="3" t="s">
        <v>3018</v>
      </c>
      <c r="I2993" s="19">
        <v>8967</v>
      </c>
      <c r="J2993" s="19" t="s">
        <v>4560</v>
      </c>
    </row>
    <row r="2994" spans="1:10" x14ac:dyDescent="0.2">
      <c r="A2994" s="3">
        <v>6938</v>
      </c>
      <c r="B2994" s="3" t="s">
        <v>3233</v>
      </c>
      <c r="C2994" s="3" t="s">
        <v>3232</v>
      </c>
      <c r="D2994" s="3" t="s">
        <v>3018</v>
      </c>
      <c r="I2994" s="19">
        <v>9000</v>
      </c>
      <c r="J2994" s="19" t="s">
        <v>4577</v>
      </c>
    </row>
    <row r="2995" spans="1:10" x14ac:dyDescent="0.2">
      <c r="A2995" s="3">
        <v>6938</v>
      </c>
      <c r="B2995" s="3" t="s">
        <v>3234</v>
      </c>
      <c r="C2995" s="3" t="s">
        <v>3232</v>
      </c>
      <c r="D2995" s="3" t="s">
        <v>3018</v>
      </c>
      <c r="I2995" s="19">
        <v>9008</v>
      </c>
      <c r="J2995" s="19" t="s">
        <v>4577</v>
      </c>
    </row>
    <row r="2996" spans="1:10" x14ac:dyDescent="0.2">
      <c r="A2996" s="3">
        <v>6939</v>
      </c>
      <c r="B2996" s="3" t="s">
        <v>3235</v>
      </c>
      <c r="C2996" s="3" t="s">
        <v>3232</v>
      </c>
      <c r="D2996" s="3" t="s">
        <v>3018</v>
      </c>
      <c r="I2996" s="19">
        <v>9010</v>
      </c>
      <c r="J2996" s="19" t="s">
        <v>4577</v>
      </c>
    </row>
    <row r="2997" spans="1:10" x14ac:dyDescent="0.2">
      <c r="A2997" s="3">
        <v>6939</v>
      </c>
      <c r="B2997" s="3" t="s">
        <v>3236</v>
      </c>
      <c r="C2997" s="3" t="s">
        <v>3232</v>
      </c>
      <c r="D2997" s="3" t="s">
        <v>3018</v>
      </c>
      <c r="I2997" s="19">
        <v>9011</v>
      </c>
      <c r="J2997" s="19" t="s">
        <v>4577</v>
      </c>
    </row>
    <row r="2998" spans="1:10" x14ac:dyDescent="0.2">
      <c r="A2998" s="3">
        <v>6802</v>
      </c>
      <c r="B2998" s="3" t="s">
        <v>3237</v>
      </c>
      <c r="C2998" s="3" t="s">
        <v>3238</v>
      </c>
      <c r="D2998" s="3" t="s">
        <v>3018</v>
      </c>
      <c r="I2998" s="19">
        <v>9012</v>
      </c>
      <c r="J2998" s="19" t="s">
        <v>4577</v>
      </c>
    </row>
    <row r="2999" spans="1:10" x14ac:dyDescent="0.2">
      <c r="A2999" s="3">
        <v>6803</v>
      </c>
      <c r="B2999" s="3" t="s">
        <v>3239</v>
      </c>
      <c r="C2999" s="3" t="s">
        <v>3238</v>
      </c>
      <c r="D2999" s="3" t="s">
        <v>3018</v>
      </c>
      <c r="I2999" s="19">
        <v>9014</v>
      </c>
      <c r="J2999" s="19" t="s">
        <v>4577</v>
      </c>
    </row>
    <row r="3000" spans="1:10" x14ac:dyDescent="0.2">
      <c r="A3000" s="3">
        <v>6804</v>
      </c>
      <c r="B3000" s="3" t="s">
        <v>3240</v>
      </c>
      <c r="C3000" s="3" t="s">
        <v>3238</v>
      </c>
      <c r="D3000" s="3" t="s">
        <v>3018</v>
      </c>
      <c r="I3000" s="19">
        <v>9015</v>
      </c>
      <c r="J3000" s="19" t="s">
        <v>4577</v>
      </c>
    </row>
    <row r="3001" spans="1:10" x14ac:dyDescent="0.2">
      <c r="A3001" s="3">
        <v>6806</v>
      </c>
      <c r="B3001" s="3" t="s">
        <v>3241</v>
      </c>
      <c r="C3001" s="3" t="s">
        <v>3238</v>
      </c>
      <c r="D3001" s="3" t="s">
        <v>3018</v>
      </c>
      <c r="I3001" s="19">
        <v>9016</v>
      </c>
      <c r="J3001" s="19" t="s">
        <v>4577</v>
      </c>
    </row>
    <row r="3002" spans="1:10" x14ac:dyDescent="0.2">
      <c r="A3002" s="3">
        <v>6809</v>
      </c>
      <c r="B3002" s="3" t="s">
        <v>3242</v>
      </c>
      <c r="C3002" s="3" t="s">
        <v>3238</v>
      </c>
      <c r="D3002" s="3" t="s">
        <v>3018</v>
      </c>
      <c r="I3002" s="19">
        <v>9030</v>
      </c>
      <c r="J3002" s="19" t="s">
        <v>4577</v>
      </c>
    </row>
    <row r="3003" spans="1:10" x14ac:dyDescent="0.2">
      <c r="A3003" s="3">
        <v>6980</v>
      </c>
      <c r="B3003" s="3" t="s">
        <v>3243</v>
      </c>
      <c r="C3003" s="3" t="s">
        <v>3244</v>
      </c>
      <c r="D3003" s="3" t="s">
        <v>3018</v>
      </c>
      <c r="I3003" s="19">
        <v>9032</v>
      </c>
      <c r="J3003" s="19" t="s">
        <v>4577</v>
      </c>
    </row>
    <row r="3004" spans="1:10" x14ac:dyDescent="0.2">
      <c r="A3004" s="3">
        <v>6988</v>
      </c>
      <c r="B3004" s="3" t="s">
        <v>3245</v>
      </c>
      <c r="C3004" s="3" t="s">
        <v>3244</v>
      </c>
      <c r="D3004" s="3" t="s">
        <v>3018</v>
      </c>
      <c r="I3004" s="19">
        <v>9033</v>
      </c>
      <c r="J3004" s="19" t="s">
        <v>4577</v>
      </c>
    </row>
    <row r="3005" spans="1:10" x14ac:dyDescent="0.2">
      <c r="A3005" s="3">
        <v>6989</v>
      </c>
      <c r="B3005" s="3" t="s">
        <v>3246</v>
      </c>
      <c r="C3005" s="3" t="s">
        <v>3244</v>
      </c>
      <c r="D3005" s="3" t="s">
        <v>3018</v>
      </c>
      <c r="I3005" s="19">
        <v>9034</v>
      </c>
      <c r="J3005" s="19" t="s">
        <v>4577</v>
      </c>
    </row>
    <row r="3006" spans="1:10" x14ac:dyDescent="0.2">
      <c r="A3006" s="3">
        <v>6995</v>
      </c>
      <c r="B3006" s="3" t="s">
        <v>3247</v>
      </c>
      <c r="C3006" s="3" t="s">
        <v>3244</v>
      </c>
      <c r="D3006" s="3" t="s">
        <v>3018</v>
      </c>
      <c r="I3006" s="19">
        <v>9035</v>
      </c>
      <c r="J3006" s="19" t="s">
        <v>4577</v>
      </c>
    </row>
    <row r="3007" spans="1:10" x14ac:dyDescent="0.2">
      <c r="A3007" s="3">
        <v>6997</v>
      </c>
      <c r="B3007" s="3" t="s">
        <v>3248</v>
      </c>
      <c r="C3007" s="3" t="s">
        <v>3244</v>
      </c>
      <c r="D3007" s="3" t="s">
        <v>3018</v>
      </c>
      <c r="I3007" s="19">
        <v>9036</v>
      </c>
      <c r="J3007" s="19" t="s">
        <v>4577</v>
      </c>
    </row>
    <row r="3008" spans="1:10" x14ac:dyDescent="0.2">
      <c r="A3008" s="3">
        <v>6998</v>
      </c>
      <c r="B3008" s="3" t="s">
        <v>3249</v>
      </c>
      <c r="C3008" s="3" t="s">
        <v>3244</v>
      </c>
      <c r="D3008" s="3" t="s">
        <v>3018</v>
      </c>
      <c r="I3008" s="19">
        <v>9037</v>
      </c>
      <c r="J3008" s="19" t="s">
        <v>4577</v>
      </c>
    </row>
    <row r="3009" spans="1:10" x14ac:dyDescent="0.2">
      <c r="A3009" s="3">
        <v>6817</v>
      </c>
      <c r="B3009" s="3" t="s">
        <v>3250</v>
      </c>
      <c r="C3009" s="3" t="s">
        <v>3251</v>
      </c>
      <c r="D3009" s="3" t="s">
        <v>3018</v>
      </c>
      <c r="I3009" s="19">
        <v>9038</v>
      </c>
      <c r="J3009" s="19" t="s">
        <v>4577</v>
      </c>
    </row>
    <row r="3010" spans="1:10" x14ac:dyDescent="0.2">
      <c r="A3010" s="3">
        <v>6818</v>
      </c>
      <c r="B3010" s="3" t="s">
        <v>3252</v>
      </c>
      <c r="C3010" s="3" t="s">
        <v>3251</v>
      </c>
      <c r="D3010" s="3" t="s">
        <v>3018</v>
      </c>
      <c r="I3010" s="19">
        <v>9042</v>
      </c>
      <c r="J3010" s="19" t="s">
        <v>4577</v>
      </c>
    </row>
    <row r="3011" spans="1:10" x14ac:dyDescent="0.2">
      <c r="A3011" s="3">
        <v>6821</v>
      </c>
      <c r="B3011" s="3" t="s">
        <v>3253</v>
      </c>
      <c r="C3011" s="3" t="s">
        <v>3251</v>
      </c>
      <c r="D3011" s="3" t="s">
        <v>3018</v>
      </c>
      <c r="I3011" s="19">
        <v>9043</v>
      </c>
      <c r="J3011" s="19" t="s">
        <v>4577</v>
      </c>
    </row>
    <row r="3012" spans="1:10" x14ac:dyDescent="0.2">
      <c r="A3012" s="3">
        <v>6825</v>
      </c>
      <c r="B3012" s="3" t="s">
        <v>3254</v>
      </c>
      <c r="C3012" s="3" t="s">
        <v>3251</v>
      </c>
      <c r="D3012" s="3" t="s">
        <v>3018</v>
      </c>
      <c r="I3012" s="19">
        <v>9044</v>
      </c>
      <c r="J3012" s="19" t="s">
        <v>4577</v>
      </c>
    </row>
    <row r="3013" spans="1:10" x14ac:dyDescent="0.2">
      <c r="A3013" s="3">
        <v>6828</v>
      </c>
      <c r="B3013" s="3" t="s">
        <v>3255</v>
      </c>
      <c r="C3013" s="3" t="s">
        <v>3255</v>
      </c>
      <c r="D3013" s="3" t="s">
        <v>3018</v>
      </c>
      <c r="I3013" s="19">
        <v>9050</v>
      </c>
      <c r="J3013" s="19" t="s">
        <v>4577</v>
      </c>
    </row>
    <row r="3014" spans="1:10" x14ac:dyDescent="0.2">
      <c r="A3014" s="3">
        <v>6873</v>
      </c>
      <c r="B3014" s="3" t="s">
        <v>3256</v>
      </c>
      <c r="C3014" s="3" t="s">
        <v>3257</v>
      </c>
      <c r="D3014" s="3" t="s">
        <v>3018</v>
      </c>
      <c r="I3014" s="19">
        <v>9052</v>
      </c>
      <c r="J3014" s="19" t="s">
        <v>4577</v>
      </c>
    </row>
    <row r="3015" spans="1:10" x14ac:dyDescent="0.2">
      <c r="A3015" s="3">
        <v>6874</v>
      </c>
      <c r="B3015" s="3" t="s">
        <v>3257</v>
      </c>
      <c r="C3015" s="3" t="s">
        <v>3257</v>
      </c>
      <c r="D3015" s="3" t="s">
        <v>3018</v>
      </c>
      <c r="I3015" s="19">
        <v>9053</v>
      </c>
      <c r="J3015" s="19" t="s">
        <v>4577</v>
      </c>
    </row>
    <row r="3016" spans="1:10" x14ac:dyDescent="0.2">
      <c r="A3016" s="3">
        <v>6875</v>
      </c>
      <c r="B3016" s="3" t="s">
        <v>3258</v>
      </c>
      <c r="C3016" s="3" t="s">
        <v>3257</v>
      </c>
      <c r="D3016" s="3" t="s">
        <v>3018</v>
      </c>
      <c r="I3016" s="19">
        <v>9054</v>
      </c>
      <c r="J3016" s="19" t="s">
        <v>4577</v>
      </c>
    </row>
    <row r="3017" spans="1:10" x14ac:dyDescent="0.2">
      <c r="A3017" s="3">
        <v>6875</v>
      </c>
      <c r="B3017" s="3" t="s">
        <v>3259</v>
      </c>
      <c r="C3017" s="3" t="s">
        <v>3257</v>
      </c>
      <c r="D3017" s="3" t="s">
        <v>3018</v>
      </c>
      <c r="I3017" s="19">
        <v>9055</v>
      </c>
      <c r="J3017" s="19" t="s">
        <v>4577</v>
      </c>
    </row>
    <row r="3018" spans="1:10" x14ac:dyDescent="0.2">
      <c r="A3018" s="3">
        <v>6875</v>
      </c>
      <c r="B3018" s="3" t="s">
        <v>3260</v>
      </c>
      <c r="C3018" s="3" t="s">
        <v>3257</v>
      </c>
      <c r="D3018" s="3" t="s">
        <v>3018</v>
      </c>
      <c r="I3018" s="19">
        <v>9056</v>
      </c>
      <c r="J3018" s="19" t="s">
        <v>4577</v>
      </c>
    </row>
    <row r="3019" spans="1:10" x14ac:dyDescent="0.2">
      <c r="A3019" s="3">
        <v>6830</v>
      </c>
      <c r="B3019" s="3" t="s">
        <v>3261</v>
      </c>
      <c r="C3019" s="3" t="s">
        <v>3261</v>
      </c>
      <c r="D3019" s="3" t="s">
        <v>3018</v>
      </c>
      <c r="I3019" s="19">
        <v>9057</v>
      </c>
      <c r="J3019" s="19" t="s">
        <v>4577</v>
      </c>
    </row>
    <row r="3020" spans="1:10" x14ac:dyDescent="0.2">
      <c r="A3020" s="3">
        <v>6832</v>
      </c>
      <c r="B3020" s="3" t="s">
        <v>3262</v>
      </c>
      <c r="C3020" s="3" t="s">
        <v>3261</v>
      </c>
      <c r="D3020" s="3" t="s">
        <v>3018</v>
      </c>
      <c r="I3020" s="19">
        <v>9058</v>
      </c>
      <c r="J3020" s="19" t="s">
        <v>4577</v>
      </c>
    </row>
    <row r="3021" spans="1:10" x14ac:dyDescent="0.2">
      <c r="A3021" s="3">
        <v>6832</v>
      </c>
      <c r="B3021" s="3" t="s">
        <v>3263</v>
      </c>
      <c r="C3021" s="3" t="s">
        <v>3261</v>
      </c>
      <c r="D3021" s="3" t="s">
        <v>3018</v>
      </c>
      <c r="I3021" s="19">
        <v>9062</v>
      </c>
      <c r="J3021" s="19" t="s">
        <v>4577</v>
      </c>
    </row>
    <row r="3022" spans="1:10" x14ac:dyDescent="0.2">
      <c r="A3022" s="3">
        <v>6877</v>
      </c>
      <c r="B3022" s="3" t="s">
        <v>3264</v>
      </c>
      <c r="C3022" s="3" t="s">
        <v>3264</v>
      </c>
      <c r="D3022" s="3" t="s">
        <v>3018</v>
      </c>
      <c r="I3022" s="19">
        <v>9063</v>
      </c>
      <c r="J3022" s="19" t="s">
        <v>4577</v>
      </c>
    </row>
    <row r="3023" spans="1:10" x14ac:dyDescent="0.2">
      <c r="A3023" s="3">
        <v>6825</v>
      </c>
      <c r="B3023" s="3" t="s">
        <v>3254</v>
      </c>
      <c r="C3023" s="3" t="s">
        <v>3265</v>
      </c>
      <c r="D3023" s="3" t="s">
        <v>3018</v>
      </c>
      <c r="I3023" s="19">
        <v>9064</v>
      </c>
      <c r="J3023" s="19" t="s">
        <v>4577</v>
      </c>
    </row>
    <row r="3024" spans="1:10" x14ac:dyDescent="0.2">
      <c r="A3024" s="3">
        <v>6850</v>
      </c>
      <c r="B3024" s="3" t="s">
        <v>3265</v>
      </c>
      <c r="C3024" s="3" t="s">
        <v>3265</v>
      </c>
      <c r="D3024" s="3" t="s">
        <v>3018</v>
      </c>
      <c r="I3024" s="19">
        <v>9100</v>
      </c>
      <c r="J3024" s="19" t="s">
        <v>4577</v>
      </c>
    </row>
    <row r="3025" spans="1:10" x14ac:dyDescent="0.2">
      <c r="A3025" s="3">
        <v>6852</v>
      </c>
      <c r="B3025" s="3" t="s">
        <v>3266</v>
      </c>
      <c r="C3025" s="3" t="s">
        <v>3265</v>
      </c>
      <c r="D3025" s="3" t="s">
        <v>3018</v>
      </c>
      <c r="I3025" s="19">
        <v>9103</v>
      </c>
      <c r="J3025" s="19" t="s">
        <v>4577</v>
      </c>
    </row>
    <row r="3026" spans="1:10" x14ac:dyDescent="0.2">
      <c r="A3026" s="3">
        <v>6853</v>
      </c>
      <c r="B3026" s="3" t="s">
        <v>3267</v>
      </c>
      <c r="C3026" s="3" t="s">
        <v>3265</v>
      </c>
      <c r="D3026" s="3" t="s">
        <v>3018</v>
      </c>
      <c r="I3026" s="19">
        <v>9104</v>
      </c>
      <c r="J3026" s="19" t="s">
        <v>4577</v>
      </c>
    </row>
    <row r="3027" spans="1:10" x14ac:dyDescent="0.2">
      <c r="A3027" s="3">
        <v>6862</v>
      </c>
      <c r="B3027" s="3" t="s">
        <v>3268</v>
      </c>
      <c r="C3027" s="3" t="s">
        <v>3265</v>
      </c>
      <c r="D3027" s="3" t="s">
        <v>3018</v>
      </c>
      <c r="I3027" s="19">
        <v>9105</v>
      </c>
      <c r="J3027" s="19" t="s">
        <v>4577</v>
      </c>
    </row>
    <row r="3028" spans="1:10" x14ac:dyDescent="0.2">
      <c r="A3028" s="3">
        <v>6863</v>
      </c>
      <c r="B3028" s="3" t="s">
        <v>3269</v>
      </c>
      <c r="C3028" s="3" t="s">
        <v>3265</v>
      </c>
      <c r="D3028" s="3" t="s">
        <v>3018</v>
      </c>
      <c r="I3028" s="19">
        <v>9107</v>
      </c>
      <c r="J3028" s="19" t="s">
        <v>4577</v>
      </c>
    </row>
    <row r="3029" spans="1:10" x14ac:dyDescent="0.2">
      <c r="A3029" s="3">
        <v>6864</v>
      </c>
      <c r="B3029" s="3" t="s">
        <v>3270</v>
      </c>
      <c r="C3029" s="3" t="s">
        <v>3265</v>
      </c>
      <c r="D3029" s="3" t="s">
        <v>3018</v>
      </c>
      <c r="I3029" s="19">
        <v>9108</v>
      </c>
      <c r="J3029" s="19" t="s">
        <v>4577</v>
      </c>
    </row>
    <row r="3030" spans="1:10" x14ac:dyDescent="0.2">
      <c r="A3030" s="3">
        <v>6865</v>
      </c>
      <c r="B3030" s="3" t="s">
        <v>3271</v>
      </c>
      <c r="C3030" s="3" t="s">
        <v>3265</v>
      </c>
      <c r="D3030" s="3" t="s">
        <v>3018</v>
      </c>
      <c r="I3030" s="19">
        <v>9112</v>
      </c>
      <c r="J3030" s="19" t="s">
        <v>4577</v>
      </c>
    </row>
    <row r="3031" spans="1:10" x14ac:dyDescent="0.2">
      <c r="A3031" s="3">
        <v>6866</v>
      </c>
      <c r="B3031" s="3" t="s">
        <v>3272</v>
      </c>
      <c r="C3031" s="3" t="s">
        <v>3265</v>
      </c>
      <c r="D3031" s="3" t="s">
        <v>3018</v>
      </c>
      <c r="I3031" s="19">
        <v>9113</v>
      </c>
      <c r="J3031" s="19" t="s">
        <v>4577</v>
      </c>
    </row>
    <row r="3032" spans="1:10" x14ac:dyDescent="0.2">
      <c r="A3032" s="3">
        <v>6872</v>
      </c>
      <c r="B3032" s="3" t="s">
        <v>3273</v>
      </c>
      <c r="C3032" s="3" t="s">
        <v>3265</v>
      </c>
      <c r="D3032" s="3" t="s">
        <v>3018</v>
      </c>
      <c r="I3032" s="19">
        <v>9114</v>
      </c>
      <c r="J3032" s="19" t="s">
        <v>4577</v>
      </c>
    </row>
    <row r="3033" spans="1:10" x14ac:dyDescent="0.2">
      <c r="A3033" s="3">
        <v>6872</v>
      </c>
      <c r="B3033" s="3" t="s">
        <v>3274</v>
      </c>
      <c r="C3033" s="3" t="s">
        <v>3265</v>
      </c>
      <c r="D3033" s="3" t="s">
        <v>3018</v>
      </c>
      <c r="I3033" s="19">
        <v>9115</v>
      </c>
      <c r="J3033" s="19" t="s">
        <v>4577</v>
      </c>
    </row>
    <row r="3034" spans="1:10" x14ac:dyDescent="0.2">
      <c r="A3034" s="3">
        <v>6834</v>
      </c>
      <c r="B3034" s="3" t="s">
        <v>3275</v>
      </c>
      <c r="C3034" s="3" t="s">
        <v>3275</v>
      </c>
      <c r="D3034" s="3" t="s">
        <v>3018</v>
      </c>
      <c r="I3034" s="19">
        <v>9116</v>
      </c>
      <c r="J3034" s="19" t="s">
        <v>4577</v>
      </c>
    </row>
    <row r="3035" spans="1:10" x14ac:dyDescent="0.2">
      <c r="A3035" s="3">
        <v>6883</v>
      </c>
      <c r="B3035" s="3" t="s">
        <v>3276</v>
      </c>
      <c r="C3035" s="3" t="s">
        <v>3276</v>
      </c>
      <c r="D3035" s="3" t="s">
        <v>3018</v>
      </c>
      <c r="I3035" s="19">
        <v>9122</v>
      </c>
      <c r="J3035" s="19" t="s">
        <v>4577</v>
      </c>
    </row>
    <row r="3036" spans="1:10" x14ac:dyDescent="0.2">
      <c r="A3036" s="3">
        <v>6826</v>
      </c>
      <c r="B3036" s="3" t="s">
        <v>3277</v>
      </c>
      <c r="C3036" s="3" t="s">
        <v>3277</v>
      </c>
      <c r="D3036" s="3" t="s">
        <v>3018</v>
      </c>
      <c r="I3036" s="19">
        <v>9123</v>
      </c>
      <c r="J3036" s="19" t="s">
        <v>4577</v>
      </c>
    </row>
    <row r="3037" spans="1:10" x14ac:dyDescent="0.2">
      <c r="A3037" s="3">
        <v>6854</v>
      </c>
      <c r="B3037" s="3" t="s">
        <v>3278</v>
      </c>
      <c r="C3037" s="3" t="s">
        <v>3279</v>
      </c>
      <c r="D3037" s="3" t="s">
        <v>3018</v>
      </c>
      <c r="I3037" s="19">
        <v>9125</v>
      </c>
      <c r="J3037" s="19" t="s">
        <v>4577</v>
      </c>
    </row>
    <row r="3038" spans="1:10" x14ac:dyDescent="0.2">
      <c r="A3038" s="3">
        <v>6855</v>
      </c>
      <c r="B3038" s="3" t="s">
        <v>3279</v>
      </c>
      <c r="C3038" s="3" t="s">
        <v>3279</v>
      </c>
      <c r="D3038" s="3" t="s">
        <v>3018</v>
      </c>
      <c r="I3038" s="19">
        <v>9126</v>
      </c>
      <c r="J3038" s="19" t="s">
        <v>4577</v>
      </c>
    </row>
    <row r="3039" spans="1:10" x14ac:dyDescent="0.2">
      <c r="A3039" s="3">
        <v>6833</v>
      </c>
      <c r="B3039" s="3" t="s">
        <v>3280</v>
      </c>
      <c r="C3039" s="3" t="s">
        <v>3280</v>
      </c>
      <c r="D3039" s="3" t="s">
        <v>3018</v>
      </c>
      <c r="I3039" s="19">
        <v>9127</v>
      </c>
      <c r="J3039" s="19" t="s">
        <v>4577</v>
      </c>
    </row>
    <row r="3040" spans="1:10" x14ac:dyDescent="0.2">
      <c r="A3040" s="3">
        <v>6835</v>
      </c>
      <c r="B3040" s="3" t="s">
        <v>3281</v>
      </c>
      <c r="C3040" s="3" t="s">
        <v>3282</v>
      </c>
      <c r="D3040" s="3" t="s">
        <v>3018</v>
      </c>
      <c r="I3040" s="19">
        <v>9200</v>
      </c>
      <c r="J3040" s="19" t="s">
        <v>4577</v>
      </c>
    </row>
    <row r="3041" spans="1:10" x14ac:dyDescent="0.2">
      <c r="A3041" s="3">
        <v>6837</v>
      </c>
      <c r="B3041" s="3" t="s">
        <v>3283</v>
      </c>
      <c r="C3041" s="3" t="s">
        <v>3282</v>
      </c>
      <c r="D3041" s="3" t="s">
        <v>3018</v>
      </c>
      <c r="I3041" s="19">
        <v>9203</v>
      </c>
      <c r="J3041" s="19" t="s">
        <v>4576</v>
      </c>
    </row>
    <row r="3042" spans="1:10" x14ac:dyDescent="0.2">
      <c r="A3042" s="3">
        <v>6837</v>
      </c>
      <c r="B3042" s="3" t="s">
        <v>3284</v>
      </c>
      <c r="C3042" s="3" t="s">
        <v>3282</v>
      </c>
      <c r="D3042" s="3" t="s">
        <v>3018</v>
      </c>
      <c r="I3042" s="19">
        <v>9204</v>
      </c>
      <c r="J3042" s="19" t="s">
        <v>4577</v>
      </c>
    </row>
    <row r="3043" spans="1:10" x14ac:dyDescent="0.2">
      <c r="A3043" s="3">
        <v>6838</v>
      </c>
      <c r="B3043" s="3" t="s">
        <v>3285</v>
      </c>
      <c r="C3043" s="3" t="s">
        <v>3282</v>
      </c>
      <c r="D3043" s="3" t="s">
        <v>3018</v>
      </c>
      <c r="I3043" s="19">
        <v>9205</v>
      </c>
      <c r="J3043" s="19" t="s">
        <v>4576</v>
      </c>
    </row>
    <row r="3044" spans="1:10" x14ac:dyDescent="0.2">
      <c r="A3044" s="3">
        <v>6838</v>
      </c>
      <c r="B3044" s="3" t="s">
        <v>3286</v>
      </c>
      <c r="C3044" s="3" t="s">
        <v>3282</v>
      </c>
      <c r="D3044" s="3" t="s">
        <v>3018</v>
      </c>
      <c r="I3044" s="19">
        <v>9212</v>
      </c>
      <c r="J3044" s="19" t="s">
        <v>4577</v>
      </c>
    </row>
    <row r="3045" spans="1:10" x14ac:dyDescent="0.2">
      <c r="A3045" s="3">
        <v>6839</v>
      </c>
      <c r="B3045" s="3" t="s">
        <v>3287</v>
      </c>
      <c r="C3045" s="3" t="s">
        <v>3282</v>
      </c>
      <c r="D3045" s="3" t="s">
        <v>3018</v>
      </c>
      <c r="I3045" s="19">
        <v>9213</v>
      </c>
      <c r="J3045" s="19" t="s">
        <v>4576</v>
      </c>
    </row>
    <row r="3046" spans="1:10" x14ac:dyDescent="0.2">
      <c r="A3046" s="3">
        <v>6710</v>
      </c>
      <c r="B3046" s="3" t="s">
        <v>3288</v>
      </c>
      <c r="C3046" s="3" t="s">
        <v>3288</v>
      </c>
      <c r="D3046" s="3" t="s">
        <v>3018</v>
      </c>
      <c r="I3046" s="19">
        <v>9214</v>
      </c>
      <c r="J3046" s="19" t="s">
        <v>4576</v>
      </c>
    </row>
    <row r="3047" spans="1:10" x14ac:dyDescent="0.2">
      <c r="A3047" s="3">
        <v>6526</v>
      </c>
      <c r="B3047" s="3" t="s">
        <v>3289</v>
      </c>
      <c r="C3047" s="3" t="s">
        <v>3290</v>
      </c>
      <c r="D3047" s="3" t="s">
        <v>3018</v>
      </c>
      <c r="I3047" s="19">
        <v>9215</v>
      </c>
      <c r="J3047" s="19" t="s">
        <v>4576</v>
      </c>
    </row>
    <row r="3048" spans="1:10" x14ac:dyDescent="0.2">
      <c r="A3048" s="3">
        <v>6527</v>
      </c>
      <c r="B3048" s="3" t="s">
        <v>3291</v>
      </c>
      <c r="C3048" s="3" t="s">
        <v>3290</v>
      </c>
      <c r="D3048" s="3" t="s">
        <v>3018</v>
      </c>
      <c r="I3048" s="19">
        <v>9216</v>
      </c>
      <c r="J3048" s="19" t="s">
        <v>4576</v>
      </c>
    </row>
    <row r="3049" spans="1:10" x14ac:dyDescent="0.2">
      <c r="A3049" s="3">
        <v>6703</v>
      </c>
      <c r="B3049" s="3" t="s">
        <v>3292</v>
      </c>
      <c r="C3049" s="3" t="s">
        <v>3290</v>
      </c>
      <c r="D3049" s="3" t="s">
        <v>3018</v>
      </c>
      <c r="I3049" s="19">
        <v>9217</v>
      </c>
      <c r="J3049" s="19" t="s">
        <v>4576</v>
      </c>
    </row>
    <row r="3050" spans="1:10" x14ac:dyDescent="0.2">
      <c r="A3050" s="3">
        <v>6705</v>
      </c>
      <c r="B3050" s="3" t="s">
        <v>3293</v>
      </c>
      <c r="C3050" s="3" t="s">
        <v>3290</v>
      </c>
      <c r="D3050" s="3" t="s">
        <v>3018</v>
      </c>
      <c r="I3050" s="19">
        <v>9220</v>
      </c>
      <c r="J3050" s="19" t="s">
        <v>4576</v>
      </c>
    </row>
    <row r="3051" spans="1:10" x14ac:dyDescent="0.2">
      <c r="A3051" s="3">
        <v>6707</v>
      </c>
      <c r="B3051" s="3" t="s">
        <v>3294</v>
      </c>
      <c r="C3051" s="3" t="s">
        <v>3290</v>
      </c>
      <c r="D3051" s="3" t="s">
        <v>3018</v>
      </c>
      <c r="I3051" s="19">
        <v>9223</v>
      </c>
      <c r="J3051" s="19" t="s">
        <v>4576</v>
      </c>
    </row>
    <row r="3052" spans="1:10" x14ac:dyDescent="0.2">
      <c r="A3052" s="3">
        <v>6685</v>
      </c>
      <c r="B3052" s="3" t="s">
        <v>3295</v>
      </c>
      <c r="C3052" s="3" t="s">
        <v>3295</v>
      </c>
      <c r="D3052" s="3" t="s">
        <v>3018</v>
      </c>
      <c r="I3052" s="19">
        <v>9225</v>
      </c>
      <c r="J3052" s="19" t="s">
        <v>4576</v>
      </c>
    </row>
    <row r="3053" spans="1:10" x14ac:dyDescent="0.2">
      <c r="A3053" s="3">
        <v>6683</v>
      </c>
      <c r="B3053" s="3" t="s">
        <v>3296</v>
      </c>
      <c r="C3053" s="3" t="s">
        <v>3297</v>
      </c>
      <c r="D3053" s="3" t="s">
        <v>3018</v>
      </c>
      <c r="I3053" s="19">
        <v>9230</v>
      </c>
      <c r="J3053" s="19" t="s">
        <v>4576</v>
      </c>
    </row>
    <row r="3054" spans="1:10" x14ac:dyDescent="0.2">
      <c r="A3054" s="3">
        <v>6684</v>
      </c>
      <c r="B3054" s="3" t="s">
        <v>3297</v>
      </c>
      <c r="C3054" s="3" t="s">
        <v>3297</v>
      </c>
      <c r="D3054" s="3" t="s">
        <v>3018</v>
      </c>
      <c r="I3054" s="19">
        <v>9231</v>
      </c>
      <c r="J3054" s="19" t="s">
        <v>4577</v>
      </c>
    </row>
    <row r="3055" spans="1:10" x14ac:dyDescent="0.2">
      <c r="A3055" s="3">
        <v>6684</v>
      </c>
      <c r="B3055" s="3" t="s">
        <v>3298</v>
      </c>
      <c r="C3055" s="3" t="s">
        <v>3297</v>
      </c>
      <c r="D3055" s="3" t="s">
        <v>3018</v>
      </c>
      <c r="I3055" s="19">
        <v>9240</v>
      </c>
      <c r="J3055" s="19" t="s">
        <v>4576</v>
      </c>
    </row>
    <row r="3056" spans="1:10" x14ac:dyDescent="0.2">
      <c r="A3056" s="3">
        <v>6683</v>
      </c>
      <c r="B3056" s="3" t="s">
        <v>3299</v>
      </c>
      <c r="C3056" s="3" t="s">
        <v>3299</v>
      </c>
      <c r="D3056" s="3" t="s">
        <v>3018</v>
      </c>
      <c r="I3056" s="19">
        <v>9242</v>
      </c>
      <c r="J3056" s="19" t="s">
        <v>4576</v>
      </c>
    </row>
    <row r="3057" spans="1:10" x14ac:dyDescent="0.2">
      <c r="A3057" s="3">
        <v>6675</v>
      </c>
      <c r="B3057" s="3" t="s">
        <v>3300</v>
      </c>
      <c r="C3057" s="3" t="s">
        <v>3300</v>
      </c>
      <c r="D3057" s="3" t="s">
        <v>3018</v>
      </c>
      <c r="I3057" s="19">
        <v>9243</v>
      </c>
      <c r="J3057" s="19" t="s">
        <v>4576</v>
      </c>
    </row>
    <row r="3058" spans="1:10" x14ac:dyDescent="0.2">
      <c r="A3058" s="3">
        <v>6676</v>
      </c>
      <c r="B3058" s="3" t="s">
        <v>3301</v>
      </c>
      <c r="C3058" s="3" t="s">
        <v>3300</v>
      </c>
      <c r="D3058" s="3" t="s">
        <v>3018</v>
      </c>
      <c r="I3058" s="19">
        <v>9244</v>
      </c>
      <c r="J3058" s="19" t="s">
        <v>4576</v>
      </c>
    </row>
    <row r="3059" spans="1:10" x14ac:dyDescent="0.2">
      <c r="A3059" s="3">
        <v>6690</v>
      </c>
      <c r="B3059" s="3" t="s">
        <v>3302</v>
      </c>
      <c r="C3059" s="3" t="s">
        <v>3300</v>
      </c>
      <c r="D3059" s="3" t="s">
        <v>3018</v>
      </c>
      <c r="I3059" s="19">
        <v>9245</v>
      </c>
      <c r="J3059" s="19" t="s">
        <v>4576</v>
      </c>
    </row>
    <row r="3060" spans="1:10" x14ac:dyDescent="0.2">
      <c r="A3060" s="3">
        <v>6690</v>
      </c>
      <c r="B3060" s="3" t="s">
        <v>3303</v>
      </c>
      <c r="C3060" s="3" t="s">
        <v>3300</v>
      </c>
      <c r="D3060" s="3" t="s">
        <v>3018</v>
      </c>
      <c r="I3060" s="19">
        <v>9246</v>
      </c>
      <c r="J3060" s="19" t="s">
        <v>4576</v>
      </c>
    </row>
    <row r="3061" spans="1:10" x14ac:dyDescent="0.2">
      <c r="A3061" s="3">
        <v>6682</v>
      </c>
      <c r="B3061" s="3" t="s">
        <v>3304</v>
      </c>
      <c r="C3061" s="3" t="s">
        <v>3304</v>
      </c>
      <c r="D3061" s="3" t="s">
        <v>3018</v>
      </c>
      <c r="I3061" s="19">
        <v>9247</v>
      </c>
      <c r="J3061" s="19" t="s">
        <v>4576</v>
      </c>
    </row>
    <row r="3062" spans="1:10" x14ac:dyDescent="0.2">
      <c r="A3062" s="3">
        <v>6673</v>
      </c>
      <c r="B3062" s="3" t="s">
        <v>3305</v>
      </c>
      <c r="C3062" s="3" t="s">
        <v>3305</v>
      </c>
      <c r="D3062" s="3" t="s">
        <v>3018</v>
      </c>
      <c r="I3062" s="19">
        <v>9248</v>
      </c>
      <c r="J3062" s="19" t="s">
        <v>4576</v>
      </c>
    </row>
    <row r="3063" spans="1:10" x14ac:dyDescent="0.2">
      <c r="A3063" s="3">
        <v>6674</v>
      </c>
      <c r="B3063" s="3" t="s">
        <v>3306</v>
      </c>
      <c r="C3063" s="3" t="s">
        <v>3305</v>
      </c>
      <c r="D3063" s="3" t="s">
        <v>3018</v>
      </c>
      <c r="I3063" s="19">
        <v>9249</v>
      </c>
      <c r="J3063" s="19" t="s">
        <v>4576</v>
      </c>
    </row>
    <row r="3064" spans="1:10" x14ac:dyDescent="0.2">
      <c r="A3064" s="3">
        <v>6674</v>
      </c>
      <c r="B3064" s="3" t="s">
        <v>3307</v>
      </c>
      <c r="C3064" s="3" t="s">
        <v>3305</v>
      </c>
      <c r="D3064" s="3" t="s">
        <v>3018</v>
      </c>
      <c r="I3064" s="19">
        <v>9300</v>
      </c>
      <c r="J3064" s="19" t="s">
        <v>4577</v>
      </c>
    </row>
    <row r="3065" spans="1:10" x14ac:dyDescent="0.2">
      <c r="A3065" s="3">
        <v>6677</v>
      </c>
      <c r="B3065" s="3" t="s">
        <v>3308</v>
      </c>
      <c r="C3065" s="3" t="s">
        <v>3305</v>
      </c>
      <c r="D3065" s="3" t="s">
        <v>3018</v>
      </c>
      <c r="I3065" s="19">
        <v>9304</v>
      </c>
      <c r="J3065" s="19" t="s">
        <v>4577</v>
      </c>
    </row>
    <row r="3066" spans="1:10" x14ac:dyDescent="0.2">
      <c r="A3066" s="3">
        <v>6677</v>
      </c>
      <c r="B3066" s="3" t="s">
        <v>3309</v>
      </c>
      <c r="C3066" s="3" t="s">
        <v>3305</v>
      </c>
      <c r="D3066" s="3" t="s">
        <v>3018</v>
      </c>
      <c r="I3066" s="19">
        <v>9305</v>
      </c>
      <c r="J3066" s="19" t="s">
        <v>4577</v>
      </c>
    </row>
    <row r="3067" spans="1:10" x14ac:dyDescent="0.2">
      <c r="A3067" s="3">
        <v>6678</v>
      </c>
      <c r="B3067" s="3" t="s">
        <v>3310</v>
      </c>
      <c r="C3067" s="3" t="s">
        <v>3305</v>
      </c>
      <c r="D3067" s="3" t="s">
        <v>3018</v>
      </c>
      <c r="I3067" s="19">
        <v>9306</v>
      </c>
      <c r="J3067" s="19" t="s">
        <v>4577</v>
      </c>
    </row>
    <row r="3068" spans="1:10" x14ac:dyDescent="0.2">
      <c r="A3068" s="3">
        <v>6678</v>
      </c>
      <c r="B3068" s="3" t="s">
        <v>3311</v>
      </c>
      <c r="C3068" s="3" t="s">
        <v>3305</v>
      </c>
      <c r="D3068" s="3" t="s">
        <v>3018</v>
      </c>
      <c r="I3068" s="19">
        <v>9308</v>
      </c>
      <c r="J3068" s="19" t="s">
        <v>4576</v>
      </c>
    </row>
    <row r="3069" spans="1:10" x14ac:dyDescent="0.2">
      <c r="A3069" s="3">
        <v>6678</v>
      </c>
      <c r="B3069" s="3" t="s">
        <v>3312</v>
      </c>
      <c r="C3069" s="3" t="s">
        <v>3305</v>
      </c>
      <c r="D3069" s="3" t="s">
        <v>3018</v>
      </c>
      <c r="I3069" s="19">
        <v>9312</v>
      </c>
      <c r="J3069" s="19" t="s">
        <v>4576</v>
      </c>
    </row>
    <row r="3070" spans="1:10" x14ac:dyDescent="0.2">
      <c r="A3070" s="3">
        <v>6692</v>
      </c>
      <c r="B3070" s="3" t="s">
        <v>3313</v>
      </c>
      <c r="C3070" s="3" t="s">
        <v>3314</v>
      </c>
      <c r="D3070" s="3" t="s">
        <v>3018</v>
      </c>
      <c r="I3070" s="19">
        <v>9313</v>
      </c>
      <c r="J3070" s="19" t="s">
        <v>4576</v>
      </c>
    </row>
    <row r="3071" spans="1:10" x14ac:dyDescent="0.2">
      <c r="A3071" s="3">
        <v>6692</v>
      </c>
      <c r="B3071" s="3" t="s">
        <v>3315</v>
      </c>
      <c r="C3071" s="3" t="s">
        <v>3314</v>
      </c>
      <c r="D3071" s="3" t="s">
        <v>3018</v>
      </c>
      <c r="I3071" s="19">
        <v>9314</v>
      </c>
      <c r="J3071" s="19" t="s">
        <v>4576</v>
      </c>
    </row>
    <row r="3072" spans="1:10" x14ac:dyDescent="0.2">
      <c r="A3072" s="3">
        <v>6693</v>
      </c>
      <c r="B3072" s="3" t="s">
        <v>3316</v>
      </c>
      <c r="C3072" s="3" t="s">
        <v>3314</v>
      </c>
      <c r="D3072" s="3" t="s">
        <v>3018</v>
      </c>
      <c r="I3072" s="19">
        <v>9315</v>
      </c>
      <c r="J3072" s="19" t="s">
        <v>4576</v>
      </c>
    </row>
    <row r="3073" spans="1:10" x14ac:dyDescent="0.2">
      <c r="A3073" s="3">
        <v>6694</v>
      </c>
      <c r="B3073" s="3" t="s">
        <v>3317</v>
      </c>
      <c r="C3073" s="3" t="s">
        <v>3314</v>
      </c>
      <c r="D3073" s="3" t="s">
        <v>3018</v>
      </c>
      <c r="I3073" s="19">
        <v>9320</v>
      </c>
      <c r="J3073" s="19" t="s">
        <v>4576</v>
      </c>
    </row>
    <row r="3074" spans="1:10" x14ac:dyDescent="0.2">
      <c r="A3074" s="3">
        <v>6695</v>
      </c>
      <c r="B3074" s="3" t="s">
        <v>3318</v>
      </c>
      <c r="C3074" s="3" t="s">
        <v>3314</v>
      </c>
      <c r="D3074" s="3" t="s">
        <v>3018</v>
      </c>
      <c r="I3074" s="19">
        <v>9322</v>
      </c>
      <c r="J3074" s="19" t="s">
        <v>4576</v>
      </c>
    </row>
    <row r="3075" spans="1:10" x14ac:dyDescent="0.2">
      <c r="A3075" s="3">
        <v>6695</v>
      </c>
      <c r="B3075" s="3" t="s">
        <v>3319</v>
      </c>
      <c r="C3075" s="3" t="s">
        <v>3314</v>
      </c>
      <c r="D3075" s="3" t="s">
        <v>3018</v>
      </c>
      <c r="I3075" s="19">
        <v>9323</v>
      </c>
      <c r="J3075" s="19" t="s">
        <v>4577</v>
      </c>
    </row>
    <row r="3076" spans="1:10" x14ac:dyDescent="0.2">
      <c r="A3076" s="3">
        <v>6696</v>
      </c>
      <c r="B3076" s="3" t="s">
        <v>3320</v>
      </c>
      <c r="C3076" s="3" t="s">
        <v>3314</v>
      </c>
      <c r="D3076" s="3" t="s">
        <v>3018</v>
      </c>
      <c r="I3076" s="19">
        <v>9325</v>
      </c>
      <c r="J3076" s="19" t="s">
        <v>4576</v>
      </c>
    </row>
    <row r="3077" spans="1:10" x14ac:dyDescent="0.2">
      <c r="A3077" s="3">
        <v>6670</v>
      </c>
      <c r="B3077" s="3" t="s">
        <v>3321</v>
      </c>
      <c r="C3077" s="3" t="s">
        <v>3322</v>
      </c>
      <c r="D3077" s="3" t="s">
        <v>3018</v>
      </c>
      <c r="I3077" s="19">
        <v>9326</v>
      </c>
      <c r="J3077" s="19" t="s">
        <v>4577</v>
      </c>
    </row>
    <row r="3078" spans="1:10" x14ac:dyDescent="0.2">
      <c r="A3078" s="3">
        <v>6672</v>
      </c>
      <c r="B3078" s="3" t="s">
        <v>3323</v>
      </c>
      <c r="C3078" s="3" t="s">
        <v>3322</v>
      </c>
      <c r="D3078" s="3" t="s">
        <v>3018</v>
      </c>
      <c r="I3078" s="19">
        <v>9327</v>
      </c>
      <c r="J3078" s="19" t="s">
        <v>4577</v>
      </c>
    </row>
    <row r="3079" spans="1:10" x14ac:dyDescent="0.2">
      <c r="A3079" s="3">
        <v>6809</v>
      </c>
      <c r="B3079" s="3" t="s">
        <v>3242</v>
      </c>
      <c r="C3079" s="3" t="s">
        <v>3324</v>
      </c>
      <c r="D3079" s="3" t="s">
        <v>3018</v>
      </c>
      <c r="I3079" s="19">
        <v>9400</v>
      </c>
      <c r="J3079" s="19" t="s">
        <v>4577</v>
      </c>
    </row>
    <row r="3080" spans="1:10" x14ac:dyDescent="0.2">
      <c r="A3080" s="3">
        <v>6652</v>
      </c>
      <c r="B3080" s="3" t="s">
        <v>3325</v>
      </c>
      <c r="C3080" s="3" t="s">
        <v>3326</v>
      </c>
      <c r="D3080" s="3" t="s">
        <v>3018</v>
      </c>
      <c r="I3080" s="19">
        <v>9402</v>
      </c>
      <c r="J3080" s="19" t="s">
        <v>4577</v>
      </c>
    </row>
    <row r="3081" spans="1:10" x14ac:dyDescent="0.2">
      <c r="A3081" s="3">
        <v>6653</v>
      </c>
      <c r="B3081" s="3" t="s">
        <v>3327</v>
      </c>
      <c r="C3081" s="3" t="s">
        <v>3326</v>
      </c>
      <c r="D3081" s="3" t="s">
        <v>3018</v>
      </c>
      <c r="I3081" s="19">
        <v>9403</v>
      </c>
      <c r="J3081" s="19" t="s">
        <v>4577</v>
      </c>
    </row>
    <row r="3082" spans="1:10" x14ac:dyDescent="0.2">
      <c r="A3082" s="3">
        <v>6654</v>
      </c>
      <c r="B3082" s="3" t="s">
        <v>3328</v>
      </c>
      <c r="C3082" s="3" t="s">
        <v>3326</v>
      </c>
      <c r="D3082" s="3" t="s">
        <v>3018</v>
      </c>
      <c r="I3082" s="19">
        <v>9404</v>
      </c>
      <c r="J3082" s="19" t="s">
        <v>4577</v>
      </c>
    </row>
    <row r="3083" spans="1:10" x14ac:dyDescent="0.2">
      <c r="A3083" s="3">
        <v>6655</v>
      </c>
      <c r="B3083" s="3" t="s">
        <v>3329</v>
      </c>
      <c r="C3083" s="3" t="s">
        <v>3330</v>
      </c>
      <c r="D3083" s="3" t="s">
        <v>3018</v>
      </c>
      <c r="I3083" s="19">
        <v>9405</v>
      </c>
      <c r="J3083" s="19" t="s">
        <v>4577</v>
      </c>
    </row>
    <row r="3084" spans="1:10" x14ac:dyDescent="0.2">
      <c r="A3084" s="3">
        <v>6655</v>
      </c>
      <c r="B3084" s="3" t="s">
        <v>3331</v>
      </c>
      <c r="C3084" s="3" t="s">
        <v>3330</v>
      </c>
      <c r="D3084" s="3" t="s">
        <v>3018</v>
      </c>
      <c r="I3084" s="19">
        <v>9410</v>
      </c>
      <c r="J3084" s="19" t="s">
        <v>4577</v>
      </c>
    </row>
    <row r="3085" spans="1:10" x14ac:dyDescent="0.2">
      <c r="A3085" s="3">
        <v>6655</v>
      </c>
      <c r="B3085" s="3" t="s">
        <v>3332</v>
      </c>
      <c r="C3085" s="3" t="s">
        <v>3330</v>
      </c>
      <c r="D3085" s="3" t="s">
        <v>3018</v>
      </c>
      <c r="I3085" s="19">
        <v>9411</v>
      </c>
      <c r="J3085" s="19" t="s">
        <v>4577</v>
      </c>
    </row>
    <row r="3086" spans="1:10" x14ac:dyDescent="0.2">
      <c r="A3086" s="3">
        <v>6656</v>
      </c>
      <c r="B3086" s="3" t="s">
        <v>3333</v>
      </c>
      <c r="C3086" s="3" t="s">
        <v>3330</v>
      </c>
      <c r="D3086" s="3" t="s">
        <v>3018</v>
      </c>
      <c r="I3086" s="19">
        <v>9413</v>
      </c>
      <c r="J3086" s="19" t="s">
        <v>4577</v>
      </c>
    </row>
    <row r="3087" spans="1:10" x14ac:dyDescent="0.2">
      <c r="A3087" s="3">
        <v>6657</v>
      </c>
      <c r="B3087" s="3" t="s">
        <v>3334</v>
      </c>
      <c r="C3087" s="3" t="s">
        <v>3330</v>
      </c>
      <c r="D3087" s="3" t="s">
        <v>3018</v>
      </c>
      <c r="I3087" s="19">
        <v>9422</v>
      </c>
      <c r="J3087" s="19" t="s">
        <v>4577</v>
      </c>
    </row>
    <row r="3088" spans="1:10" x14ac:dyDescent="0.2">
      <c r="A3088" s="3">
        <v>6658</v>
      </c>
      <c r="B3088" s="3" t="s">
        <v>3335</v>
      </c>
      <c r="C3088" s="3" t="s">
        <v>3330</v>
      </c>
      <c r="D3088" s="3" t="s">
        <v>3018</v>
      </c>
      <c r="I3088" s="19">
        <v>9423</v>
      </c>
      <c r="J3088" s="19" t="s">
        <v>4577</v>
      </c>
    </row>
    <row r="3089" spans="1:10" x14ac:dyDescent="0.2">
      <c r="A3089" s="3">
        <v>6659</v>
      </c>
      <c r="B3089" s="3" t="s">
        <v>3336</v>
      </c>
      <c r="C3089" s="3" t="s">
        <v>3330</v>
      </c>
      <c r="D3089" s="3" t="s">
        <v>3018</v>
      </c>
      <c r="I3089" s="19">
        <v>9424</v>
      </c>
      <c r="J3089" s="19" t="s">
        <v>4577</v>
      </c>
    </row>
    <row r="3090" spans="1:10" x14ac:dyDescent="0.2">
      <c r="A3090" s="3">
        <v>6659</v>
      </c>
      <c r="B3090" s="3" t="s">
        <v>3337</v>
      </c>
      <c r="C3090" s="3" t="s">
        <v>3330</v>
      </c>
      <c r="D3090" s="3" t="s">
        <v>3018</v>
      </c>
      <c r="I3090" s="19">
        <v>9425</v>
      </c>
      <c r="J3090" s="19" t="s">
        <v>4577</v>
      </c>
    </row>
    <row r="3091" spans="1:10" x14ac:dyDescent="0.2">
      <c r="A3091" s="3">
        <v>6571</v>
      </c>
      <c r="B3091" s="3" t="s">
        <v>3338</v>
      </c>
      <c r="C3091" s="3" t="s">
        <v>3339</v>
      </c>
      <c r="D3091" s="3" t="s">
        <v>3018</v>
      </c>
      <c r="I3091" s="19">
        <v>9426</v>
      </c>
      <c r="J3091" s="19" t="s">
        <v>4577</v>
      </c>
    </row>
    <row r="3092" spans="1:10" x14ac:dyDescent="0.2">
      <c r="A3092" s="3">
        <v>6572</v>
      </c>
      <c r="B3092" s="3" t="s">
        <v>3340</v>
      </c>
      <c r="C3092" s="3" t="s">
        <v>3339</v>
      </c>
      <c r="D3092" s="3" t="s">
        <v>3018</v>
      </c>
      <c r="I3092" s="19">
        <v>9427</v>
      </c>
      <c r="J3092" s="19" t="s">
        <v>4577</v>
      </c>
    </row>
    <row r="3093" spans="1:10" x14ac:dyDescent="0.2">
      <c r="A3093" s="3">
        <v>6573</v>
      </c>
      <c r="B3093" s="3" t="s">
        <v>3341</v>
      </c>
      <c r="C3093" s="3" t="s">
        <v>3339</v>
      </c>
      <c r="D3093" s="3" t="s">
        <v>3018</v>
      </c>
      <c r="I3093" s="19">
        <v>9428</v>
      </c>
      <c r="J3093" s="19" t="s">
        <v>4577</v>
      </c>
    </row>
    <row r="3094" spans="1:10" x14ac:dyDescent="0.2">
      <c r="A3094" s="3">
        <v>6574</v>
      </c>
      <c r="B3094" s="3" t="s">
        <v>3342</v>
      </c>
      <c r="C3094" s="3" t="s">
        <v>3339</v>
      </c>
      <c r="D3094" s="3" t="s">
        <v>3018</v>
      </c>
      <c r="I3094" s="19">
        <v>9430</v>
      </c>
      <c r="J3094" s="19" t="s">
        <v>4577</v>
      </c>
    </row>
    <row r="3095" spans="1:10" x14ac:dyDescent="0.2">
      <c r="A3095" s="3">
        <v>6575</v>
      </c>
      <c r="B3095" s="3" t="s">
        <v>3343</v>
      </c>
      <c r="C3095" s="3" t="s">
        <v>3339</v>
      </c>
      <c r="D3095" s="3" t="s">
        <v>3018</v>
      </c>
      <c r="I3095" s="19">
        <v>9434</v>
      </c>
      <c r="J3095" s="19" t="s">
        <v>4577</v>
      </c>
    </row>
    <row r="3096" spans="1:10" x14ac:dyDescent="0.2">
      <c r="A3096" s="3">
        <v>6575</v>
      </c>
      <c r="B3096" s="3" t="s">
        <v>3344</v>
      </c>
      <c r="C3096" s="3" t="s">
        <v>3339</v>
      </c>
      <c r="D3096" s="3" t="s">
        <v>3018</v>
      </c>
      <c r="I3096" s="19">
        <v>9435</v>
      </c>
      <c r="J3096" s="19" t="s">
        <v>4577</v>
      </c>
    </row>
    <row r="3097" spans="1:10" x14ac:dyDescent="0.2">
      <c r="A3097" s="3">
        <v>6576</v>
      </c>
      <c r="B3097" s="3" t="s">
        <v>3345</v>
      </c>
      <c r="C3097" s="3" t="s">
        <v>3339</v>
      </c>
      <c r="D3097" s="3" t="s">
        <v>3018</v>
      </c>
      <c r="I3097" s="19">
        <v>9436</v>
      </c>
      <c r="J3097" s="19" t="s">
        <v>4577</v>
      </c>
    </row>
    <row r="3098" spans="1:10" x14ac:dyDescent="0.2">
      <c r="A3098" s="3">
        <v>6577</v>
      </c>
      <c r="B3098" s="3" t="s">
        <v>3346</v>
      </c>
      <c r="C3098" s="3" t="s">
        <v>3339</v>
      </c>
      <c r="D3098" s="3" t="s">
        <v>3018</v>
      </c>
      <c r="I3098" s="19">
        <v>9437</v>
      </c>
      <c r="J3098" s="19" t="s">
        <v>4577</v>
      </c>
    </row>
    <row r="3099" spans="1:10" x14ac:dyDescent="0.2">
      <c r="A3099" s="3">
        <v>6578</v>
      </c>
      <c r="B3099" s="3" t="s">
        <v>3347</v>
      </c>
      <c r="C3099" s="3" t="s">
        <v>3339</v>
      </c>
      <c r="D3099" s="3" t="s">
        <v>3018</v>
      </c>
      <c r="I3099" s="19">
        <v>9442</v>
      </c>
      <c r="J3099" s="19" t="s">
        <v>4577</v>
      </c>
    </row>
    <row r="3100" spans="1:10" x14ac:dyDescent="0.2">
      <c r="A3100" s="3">
        <v>6579</v>
      </c>
      <c r="B3100" s="3" t="s">
        <v>3348</v>
      </c>
      <c r="C3100" s="3" t="s">
        <v>3339</v>
      </c>
      <c r="D3100" s="3" t="s">
        <v>3018</v>
      </c>
      <c r="I3100" s="19">
        <v>9443</v>
      </c>
      <c r="J3100" s="19" t="s">
        <v>4577</v>
      </c>
    </row>
    <row r="3101" spans="1:10" x14ac:dyDescent="0.2">
      <c r="A3101" s="3">
        <v>6594</v>
      </c>
      <c r="B3101" s="3" t="s">
        <v>3349</v>
      </c>
      <c r="C3101" s="3" t="s">
        <v>3339</v>
      </c>
      <c r="D3101" s="3" t="s">
        <v>3018</v>
      </c>
      <c r="I3101" s="19">
        <v>9444</v>
      </c>
      <c r="J3101" s="19" t="s">
        <v>4577</v>
      </c>
    </row>
    <row r="3102" spans="1:10" x14ac:dyDescent="0.2">
      <c r="A3102" s="3">
        <v>6631</v>
      </c>
      <c r="B3102" s="3" t="s">
        <v>3350</v>
      </c>
      <c r="C3102" s="3" t="s">
        <v>3351</v>
      </c>
      <c r="D3102" s="3" t="s">
        <v>3018</v>
      </c>
      <c r="I3102" s="19">
        <v>9445</v>
      </c>
      <c r="J3102" s="19" t="s">
        <v>4577</v>
      </c>
    </row>
    <row r="3103" spans="1:10" x14ac:dyDescent="0.2">
      <c r="A3103" s="3">
        <v>6632</v>
      </c>
      <c r="B3103" s="3" t="s">
        <v>3352</v>
      </c>
      <c r="C3103" s="3" t="s">
        <v>3351</v>
      </c>
      <c r="D3103" s="3" t="s">
        <v>3018</v>
      </c>
      <c r="I3103" s="19">
        <v>9450</v>
      </c>
      <c r="J3103" s="19" t="s">
        <v>4577</v>
      </c>
    </row>
    <row r="3104" spans="1:10" x14ac:dyDescent="0.2">
      <c r="A3104" s="3">
        <v>6633</v>
      </c>
      <c r="B3104" s="3" t="s">
        <v>3101</v>
      </c>
      <c r="C3104" s="3" t="s">
        <v>3351</v>
      </c>
      <c r="D3104" s="3" t="s">
        <v>3018</v>
      </c>
      <c r="I3104" s="19">
        <v>9451</v>
      </c>
      <c r="J3104" s="19" t="s">
        <v>4577</v>
      </c>
    </row>
    <row r="3105" spans="1:10" x14ac:dyDescent="0.2">
      <c r="A3105" s="3">
        <v>6634</v>
      </c>
      <c r="B3105" s="3" t="s">
        <v>3353</v>
      </c>
      <c r="C3105" s="3" t="s">
        <v>3351</v>
      </c>
      <c r="D3105" s="3" t="s">
        <v>3018</v>
      </c>
      <c r="I3105" s="19">
        <v>9452</v>
      </c>
      <c r="J3105" s="19" t="s">
        <v>4577</v>
      </c>
    </row>
    <row r="3106" spans="1:10" x14ac:dyDescent="0.2">
      <c r="A3106" s="3">
        <v>6635</v>
      </c>
      <c r="B3106" s="3" t="s">
        <v>3354</v>
      </c>
      <c r="C3106" s="3" t="s">
        <v>3351</v>
      </c>
      <c r="D3106" s="3" t="s">
        <v>3018</v>
      </c>
      <c r="I3106" s="19">
        <v>9453</v>
      </c>
      <c r="J3106" s="19" t="s">
        <v>4577</v>
      </c>
    </row>
    <row r="3107" spans="1:10" x14ac:dyDescent="0.2">
      <c r="A3107" s="3">
        <v>6636</v>
      </c>
      <c r="B3107" s="3" t="s">
        <v>3355</v>
      </c>
      <c r="C3107" s="3" t="s">
        <v>3351</v>
      </c>
      <c r="D3107" s="3" t="s">
        <v>3018</v>
      </c>
      <c r="I3107" s="19">
        <v>9462</v>
      </c>
      <c r="J3107" s="19" t="s">
        <v>4570</v>
      </c>
    </row>
    <row r="3108" spans="1:10" x14ac:dyDescent="0.2">
      <c r="A3108" s="3">
        <v>6637</v>
      </c>
      <c r="B3108" s="3" t="s">
        <v>3356</v>
      </c>
      <c r="C3108" s="3" t="s">
        <v>3351</v>
      </c>
      <c r="D3108" s="3" t="s">
        <v>3018</v>
      </c>
      <c r="I3108" s="19">
        <v>9463</v>
      </c>
      <c r="J3108" s="19" t="s">
        <v>4570</v>
      </c>
    </row>
    <row r="3109" spans="1:10" x14ac:dyDescent="0.2">
      <c r="A3109" s="3">
        <v>1860</v>
      </c>
      <c r="B3109" s="3" t="s">
        <v>3357</v>
      </c>
      <c r="C3109" s="3" t="s">
        <v>3357</v>
      </c>
      <c r="D3109" s="3" t="s">
        <v>3358</v>
      </c>
      <c r="I3109" s="19">
        <v>9464</v>
      </c>
      <c r="J3109" s="19" t="s">
        <v>4570</v>
      </c>
    </row>
    <row r="3110" spans="1:10" x14ac:dyDescent="0.2">
      <c r="A3110" s="3">
        <v>1880</v>
      </c>
      <c r="B3110" s="3" t="s">
        <v>3359</v>
      </c>
      <c r="C3110" s="3" t="s">
        <v>3359</v>
      </c>
      <c r="D3110" s="3" t="s">
        <v>3358</v>
      </c>
      <c r="I3110" s="19">
        <v>9465</v>
      </c>
      <c r="J3110" s="19" t="s">
        <v>4570</v>
      </c>
    </row>
    <row r="3111" spans="1:10" x14ac:dyDescent="0.2">
      <c r="A3111" s="3">
        <v>1880</v>
      </c>
      <c r="B3111" s="3" t="s">
        <v>3360</v>
      </c>
      <c r="C3111" s="3" t="s">
        <v>3359</v>
      </c>
      <c r="D3111" s="3" t="s">
        <v>3358</v>
      </c>
      <c r="I3111" s="19">
        <v>9466</v>
      </c>
      <c r="J3111" s="19" t="s">
        <v>4570</v>
      </c>
    </row>
    <row r="3112" spans="1:10" x14ac:dyDescent="0.2">
      <c r="A3112" s="3">
        <v>1880</v>
      </c>
      <c r="B3112" s="3" t="s">
        <v>3361</v>
      </c>
      <c r="C3112" s="3" t="s">
        <v>3359</v>
      </c>
      <c r="D3112" s="3" t="s">
        <v>3358</v>
      </c>
      <c r="I3112" s="19">
        <v>9467</v>
      </c>
      <c r="J3112" s="19" t="s">
        <v>4570</v>
      </c>
    </row>
    <row r="3113" spans="1:10" x14ac:dyDescent="0.2">
      <c r="A3113" s="3">
        <v>1880</v>
      </c>
      <c r="B3113" s="3" t="s">
        <v>3362</v>
      </c>
      <c r="C3113" s="3" t="s">
        <v>3359</v>
      </c>
      <c r="D3113" s="3" t="s">
        <v>3358</v>
      </c>
      <c r="I3113" s="19">
        <v>9468</v>
      </c>
      <c r="J3113" s="19" t="s">
        <v>4570</v>
      </c>
    </row>
    <row r="3114" spans="1:10" x14ac:dyDescent="0.2">
      <c r="A3114" s="3">
        <v>1880</v>
      </c>
      <c r="B3114" s="3" t="s">
        <v>3363</v>
      </c>
      <c r="C3114" s="3" t="s">
        <v>3359</v>
      </c>
      <c r="D3114" s="3" t="s">
        <v>3358</v>
      </c>
      <c r="I3114" s="19">
        <v>9469</v>
      </c>
      <c r="J3114" s="19" t="s">
        <v>4570</v>
      </c>
    </row>
    <row r="3115" spans="1:10" x14ac:dyDescent="0.2">
      <c r="A3115" s="3">
        <v>1846</v>
      </c>
      <c r="B3115" s="3" t="s">
        <v>3364</v>
      </c>
      <c r="C3115" s="3" t="s">
        <v>3364</v>
      </c>
      <c r="D3115" s="3" t="s">
        <v>3358</v>
      </c>
      <c r="I3115" s="19">
        <v>9470</v>
      </c>
      <c r="J3115" s="19" t="s">
        <v>4570</v>
      </c>
    </row>
    <row r="3116" spans="1:10" x14ac:dyDescent="0.2">
      <c r="A3116" s="3">
        <v>1856</v>
      </c>
      <c r="B3116" s="3" t="s">
        <v>3365</v>
      </c>
      <c r="C3116" s="3" t="s">
        <v>3365</v>
      </c>
      <c r="D3116" s="3" t="s">
        <v>3358</v>
      </c>
      <c r="I3116" s="19">
        <v>9472</v>
      </c>
      <c r="J3116" s="19" t="s">
        <v>4570</v>
      </c>
    </row>
    <row r="3117" spans="1:10" x14ac:dyDescent="0.2">
      <c r="A3117" s="3">
        <v>1882</v>
      </c>
      <c r="B3117" s="3" t="s">
        <v>3366</v>
      </c>
      <c r="C3117" s="3" t="s">
        <v>3366</v>
      </c>
      <c r="D3117" s="3" t="s">
        <v>3358</v>
      </c>
      <c r="I3117" s="19">
        <v>9473</v>
      </c>
      <c r="J3117" s="19" t="s">
        <v>4570</v>
      </c>
    </row>
    <row r="3118" spans="1:10" x14ac:dyDescent="0.2">
      <c r="A3118" s="3">
        <v>1892</v>
      </c>
      <c r="B3118" s="3" t="s">
        <v>3367</v>
      </c>
      <c r="C3118" s="3" t="s">
        <v>3368</v>
      </c>
      <c r="D3118" s="3" t="s">
        <v>3358</v>
      </c>
      <c r="I3118" s="19">
        <v>9475</v>
      </c>
      <c r="J3118" s="19" t="s">
        <v>4570</v>
      </c>
    </row>
    <row r="3119" spans="1:10" x14ac:dyDescent="0.2">
      <c r="A3119" s="3">
        <v>1892</v>
      </c>
      <c r="B3119" s="3" t="s">
        <v>3369</v>
      </c>
      <c r="C3119" s="3" t="s">
        <v>3368</v>
      </c>
      <c r="D3119" s="3" t="s">
        <v>3358</v>
      </c>
      <c r="I3119" s="19">
        <v>9476</v>
      </c>
      <c r="J3119" s="19" t="s">
        <v>4570</v>
      </c>
    </row>
    <row r="3120" spans="1:10" x14ac:dyDescent="0.2">
      <c r="A3120" s="3">
        <v>1892</v>
      </c>
      <c r="B3120" s="3" t="s">
        <v>3370</v>
      </c>
      <c r="C3120" s="3" t="s">
        <v>3368</v>
      </c>
      <c r="D3120" s="3" t="s">
        <v>3358</v>
      </c>
      <c r="I3120" s="19">
        <v>9477</v>
      </c>
      <c r="J3120" s="19" t="s">
        <v>4570</v>
      </c>
    </row>
    <row r="3121" spans="1:10" x14ac:dyDescent="0.2">
      <c r="A3121" s="3">
        <v>1854</v>
      </c>
      <c r="B3121" s="3" t="s">
        <v>3371</v>
      </c>
      <c r="C3121" s="3" t="s">
        <v>3371</v>
      </c>
      <c r="D3121" s="3" t="s">
        <v>3358</v>
      </c>
      <c r="I3121" s="19">
        <v>9478</v>
      </c>
      <c r="J3121" s="19" t="s">
        <v>4570</v>
      </c>
    </row>
    <row r="3122" spans="1:10" x14ac:dyDescent="0.2">
      <c r="A3122" s="3">
        <v>1845</v>
      </c>
      <c r="B3122" s="3" t="s">
        <v>3372</v>
      </c>
      <c r="C3122" s="3" t="s">
        <v>3372</v>
      </c>
      <c r="D3122" s="3" t="s">
        <v>3358</v>
      </c>
      <c r="I3122" s="19">
        <v>9479</v>
      </c>
      <c r="J3122" s="19" t="s">
        <v>4570</v>
      </c>
    </row>
    <row r="3123" spans="1:10" x14ac:dyDescent="0.2">
      <c r="A3123" s="3">
        <v>1867</v>
      </c>
      <c r="B3123" s="3" t="s">
        <v>3373</v>
      </c>
      <c r="C3123" s="3" t="s">
        <v>3374</v>
      </c>
      <c r="D3123" s="3" t="s">
        <v>3358</v>
      </c>
      <c r="I3123" s="19">
        <v>9500</v>
      </c>
      <c r="J3123" s="19" t="s">
        <v>4576</v>
      </c>
    </row>
    <row r="3124" spans="1:10" x14ac:dyDescent="0.2">
      <c r="A3124" s="3">
        <v>1867</v>
      </c>
      <c r="B3124" s="3" t="s">
        <v>3375</v>
      </c>
      <c r="C3124" s="3" t="s">
        <v>3374</v>
      </c>
      <c r="D3124" s="3" t="s">
        <v>3358</v>
      </c>
      <c r="I3124" s="19">
        <v>9502</v>
      </c>
      <c r="J3124" s="19" t="s">
        <v>4576</v>
      </c>
    </row>
    <row r="3125" spans="1:10" x14ac:dyDescent="0.2">
      <c r="A3125" s="3">
        <v>1867</v>
      </c>
      <c r="B3125" s="3" t="s">
        <v>3376</v>
      </c>
      <c r="C3125" s="3" t="s">
        <v>3374</v>
      </c>
      <c r="D3125" s="3" t="s">
        <v>3358</v>
      </c>
      <c r="I3125" s="19">
        <v>9503</v>
      </c>
      <c r="J3125" s="19" t="s">
        <v>4576</v>
      </c>
    </row>
    <row r="3126" spans="1:10" x14ac:dyDescent="0.2">
      <c r="A3126" s="3">
        <v>1884</v>
      </c>
      <c r="B3126" s="3" t="s">
        <v>3377</v>
      </c>
      <c r="C3126" s="3" t="s">
        <v>3374</v>
      </c>
      <c r="D3126" s="3" t="s">
        <v>3358</v>
      </c>
      <c r="I3126" s="19">
        <v>9504</v>
      </c>
      <c r="J3126" s="19" t="s">
        <v>4576</v>
      </c>
    </row>
    <row r="3127" spans="1:10" x14ac:dyDescent="0.2">
      <c r="A3127" s="3">
        <v>1884</v>
      </c>
      <c r="B3127" s="3" t="s">
        <v>3378</v>
      </c>
      <c r="C3127" s="3" t="s">
        <v>3374</v>
      </c>
      <c r="D3127" s="3" t="s">
        <v>3358</v>
      </c>
      <c r="I3127" s="19">
        <v>9506</v>
      </c>
      <c r="J3127" s="19" t="s">
        <v>4576</v>
      </c>
    </row>
    <row r="3128" spans="1:10" x14ac:dyDescent="0.2">
      <c r="A3128" s="3">
        <v>1884</v>
      </c>
      <c r="B3128" s="3" t="s">
        <v>3379</v>
      </c>
      <c r="C3128" s="3" t="s">
        <v>3374</v>
      </c>
      <c r="D3128" s="3" t="s">
        <v>3358</v>
      </c>
      <c r="I3128" s="19">
        <v>9507</v>
      </c>
      <c r="J3128" s="19" t="s">
        <v>4576</v>
      </c>
    </row>
    <row r="3129" spans="1:10" x14ac:dyDescent="0.2">
      <c r="A3129" s="3">
        <v>1885</v>
      </c>
      <c r="B3129" s="3" t="s">
        <v>3380</v>
      </c>
      <c r="C3129" s="3" t="s">
        <v>3374</v>
      </c>
      <c r="D3129" s="3" t="s">
        <v>3358</v>
      </c>
      <c r="I3129" s="19">
        <v>9508</v>
      </c>
      <c r="J3129" s="19" t="s">
        <v>4576</v>
      </c>
    </row>
    <row r="3130" spans="1:10" x14ac:dyDescent="0.2">
      <c r="A3130" s="3">
        <v>1862</v>
      </c>
      <c r="B3130" s="3" t="s">
        <v>3381</v>
      </c>
      <c r="C3130" s="3" t="s">
        <v>3382</v>
      </c>
      <c r="D3130" s="3" t="s">
        <v>3358</v>
      </c>
      <c r="I3130" s="19">
        <v>9512</v>
      </c>
      <c r="J3130" s="19" t="s">
        <v>4576</v>
      </c>
    </row>
    <row r="3131" spans="1:10" x14ac:dyDescent="0.2">
      <c r="A3131" s="3">
        <v>1862</v>
      </c>
      <c r="B3131" s="3" t="s">
        <v>3383</v>
      </c>
      <c r="C3131" s="3" t="s">
        <v>3382</v>
      </c>
      <c r="D3131" s="3" t="s">
        <v>3358</v>
      </c>
      <c r="I3131" s="19">
        <v>9514</v>
      </c>
      <c r="J3131" s="19" t="s">
        <v>4576</v>
      </c>
    </row>
    <row r="3132" spans="1:10" x14ac:dyDescent="0.2">
      <c r="A3132" s="3">
        <v>1863</v>
      </c>
      <c r="B3132" s="3" t="s">
        <v>3384</v>
      </c>
      <c r="C3132" s="3" t="s">
        <v>3382</v>
      </c>
      <c r="D3132" s="3" t="s">
        <v>3358</v>
      </c>
      <c r="I3132" s="19">
        <v>9515</v>
      </c>
      <c r="J3132" s="19" t="s">
        <v>4576</v>
      </c>
    </row>
    <row r="3133" spans="1:10" x14ac:dyDescent="0.2">
      <c r="A3133" s="3">
        <v>1866</v>
      </c>
      <c r="B3133" s="3" t="s">
        <v>3385</v>
      </c>
      <c r="C3133" s="3" t="s">
        <v>3382</v>
      </c>
      <c r="D3133" s="3" t="s">
        <v>3358</v>
      </c>
      <c r="I3133" s="19">
        <v>9517</v>
      </c>
      <c r="J3133" s="19" t="s">
        <v>4576</v>
      </c>
    </row>
    <row r="3134" spans="1:10" x14ac:dyDescent="0.2">
      <c r="A3134" s="3">
        <v>1864</v>
      </c>
      <c r="B3134" s="3" t="s">
        <v>3386</v>
      </c>
      <c r="C3134" s="3" t="s">
        <v>3387</v>
      </c>
      <c r="D3134" s="3" t="s">
        <v>3358</v>
      </c>
      <c r="I3134" s="19">
        <v>9523</v>
      </c>
      <c r="J3134" s="19" t="s">
        <v>4576</v>
      </c>
    </row>
    <row r="3135" spans="1:10" x14ac:dyDescent="0.2">
      <c r="A3135" s="3">
        <v>1865</v>
      </c>
      <c r="B3135" s="3" t="s">
        <v>3388</v>
      </c>
      <c r="C3135" s="3" t="s">
        <v>3387</v>
      </c>
      <c r="D3135" s="3" t="s">
        <v>3358</v>
      </c>
      <c r="I3135" s="19">
        <v>9524</v>
      </c>
      <c r="J3135" s="19" t="s">
        <v>4576</v>
      </c>
    </row>
    <row r="3136" spans="1:10" x14ac:dyDescent="0.2">
      <c r="A3136" s="3">
        <v>1847</v>
      </c>
      <c r="B3136" s="3" t="s">
        <v>3389</v>
      </c>
      <c r="C3136" s="3" t="s">
        <v>3389</v>
      </c>
      <c r="D3136" s="3" t="s">
        <v>3358</v>
      </c>
      <c r="I3136" s="19">
        <v>9525</v>
      </c>
      <c r="J3136" s="19" t="s">
        <v>4576</v>
      </c>
    </row>
    <row r="3137" spans="1:10" x14ac:dyDescent="0.2">
      <c r="A3137" s="3">
        <v>1852</v>
      </c>
      <c r="B3137" s="3" t="s">
        <v>3390</v>
      </c>
      <c r="C3137" s="3" t="s">
        <v>3391</v>
      </c>
      <c r="D3137" s="3" t="s">
        <v>3358</v>
      </c>
      <c r="I3137" s="19">
        <v>9526</v>
      </c>
      <c r="J3137" s="19" t="s">
        <v>4576</v>
      </c>
    </row>
    <row r="3138" spans="1:10" x14ac:dyDescent="0.2">
      <c r="A3138" s="3">
        <v>1844</v>
      </c>
      <c r="B3138" s="3" t="s">
        <v>3392</v>
      </c>
      <c r="C3138" s="3" t="s">
        <v>3393</v>
      </c>
      <c r="D3138" s="3" t="s">
        <v>3358</v>
      </c>
      <c r="I3138" s="19">
        <v>9527</v>
      </c>
      <c r="J3138" s="19" t="s">
        <v>4576</v>
      </c>
    </row>
    <row r="3139" spans="1:10" x14ac:dyDescent="0.2">
      <c r="A3139" s="3">
        <v>1853</v>
      </c>
      <c r="B3139" s="3" t="s">
        <v>3394</v>
      </c>
      <c r="C3139" s="3" t="s">
        <v>3394</v>
      </c>
      <c r="D3139" s="3" t="s">
        <v>3358</v>
      </c>
      <c r="I3139" s="19">
        <v>9532</v>
      </c>
      <c r="J3139" s="19" t="s">
        <v>4576</v>
      </c>
    </row>
    <row r="3140" spans="1:10" x14ac:dyDescent="0.2">
      <c r="A3140" s="3">
        <v>1170</v>
      </c>
      <c r="B3140" s="3" t="s">
        <v>3395</v>
      </c>
      <c r="C3140" s="3" t="s">
        <v>3395</v>
      </c>
      <c r="D3140" s="3" t="s">
        <v>3358</v>
      </c>
      <c r="I3140" s="19">
        <v>9533</v>
      </c>
      <c r="J3140" s="19" t="s">
        <v>4576</v>
      </c>
    </row>
    <row r="3141" spans="1:10" x14ac:dyDescent="0.2">
      <c r="A3141" s="3">
        <v>1174</v>
      </c>
      <c r="B3141" s="3" t="s">
        <v>3396</v>
      </c>
      <c r="C3141" s="3" t="s">
        <v>3395</v>
      </c>
      <c r="D3141" s="3" t="s">
        <v>3358</v>
      </c>
      <c r="I3141" s="19">
        <v>9534</v>
      </c>
      <c r="J3141" s="19" t="s">
        <v>4576</v>
      </c>
    </row>
    <row r="3142" spans="1:10" x14ac:dyDescent="0.2">
      <c r="A3142" s="3">
        <v>1174</v>
      </c>
      <c r="B3142" s="3" t="s">
        <v>3397</v>
      </c>
      <c r="C3142" s="3" t="s">
        <v>3395</v>
      </c>
      <c r="D3142" s="3" t="s">
        <v>3358</v>
      </c>
      <c r="I3142" s="19">
        <v>9535</v>
      </c>
      <c r="J3142" s="19" t="s">
        <v>4576</v>
      </c>
    </row>
    <row r="3143" spans="1:10" x14ac:dyDescent="0.2">
      <c r="A3143" s="3">
        <v>1144</v>
      </c>
      <c r="B3143" s="3" t="s">
        <v>3398</v>
      </c>
      <c r="C3143" s="3" t="s">
        <v>3398</v>
      </c>
      <c r="D3143" s="3" t="s">
        <v>3358</v>
      </c>
      <c r="I3143" s="19">
        <v>9536</v>
      </c>
      <c r="J3143" s="19" t="s">
        <v>4576</v>
      </c>
    </row>
    <row r="3144" spans="1:10" x14ac:dyDescent="0.2">
      <c r="A3144" s="3">
        <v>1149</v>
      </c>
      <c r="B3144" s="3" t="s">
        <v>3399</v>
      </c>
      <c r="C3144" s="3" t="s">
        <v>3399</v>
      </c>
      <c r="D3144" s="3" t="s">
        <v>3358</v>
      </c>
      <c r="I3144" s="19">
        <v>9542</v>
      </c>
      <c r="J3144" s="19" t="s">
        <v>4576</v>
      </c>
    </row>
    <row r="3145" spans="1:10" x14ac:dyDescent="0.2">
      <c r="A3145" s="3">
        <v>1145</v>
      </c>
      <c r="B3145" s="3" t="s">
        <v>3400</v>
      </c>
      <c r="C3145" s="3" t="s">
        <v>3400</v>
      </c>
      <c r="D3145" s="3" t="s">
        <v>3358</v>
      </c>
      <c r="I3145" s="19">
        <v>9543</v>
      </c>
      <c r="J3145" s="19" t="s">
        <v>4576</v>
      </c>
    </row>
    <row r="3146" spans="1:10" x14ac:dyDescent="0.2">
      <c r="A3146" s="3">
        <v>1172</v>
      </c>
      <c r="B3146" s="3" t="s">
        <v>3401</v>
      </c>
      <c r="C3146" s="3" t="s">
        <v>3401</v>
      </c>
      <c r="D3146" s="3" t="s">
        <v>3358</v>
      </c>
      <c r="I3146" s="19">
        <v>9545</v>
      </c>
      <c r="J3146" s="19" t="s">
        <v>4576</v>
      </c>
    </row>
    <row r="3147" spans="1:10" x14ac:dyDescent="0.2">
      <c r="A3147" s="3">
        <v>1173</v>
      </c>
      <c r="B3147" s="3" t="s">
        <v>3402</v>
      </c>
      <c r="C3147" s="3" t="s">
        <v>3402</v>
      </c>
      <c r="D3147" s="3" t="s">
        <v>3358</v>
      </c>
      <c r="I3147" s="19">
        <v>9546</v>
      </c>
      <c r="J3147" s="19" t="s">
        <v>4576</v>
      </c>
    </row>
    <row r="3148" spans="1:10" x14ac:dyDescent="0.2">
      <c r="A3148" s="3">
        <v>1188</v>
      </c>
      <c r="B3148" s="3" t="s">
        <v>3403</v>
      </c>
      <c r="C3148" s="3" t="s">
        <v>3403</v>
      </c>
      <c r="D3148" s="3" t="s">
        <v>3358</v>
      </c>
      <c r="I3148" s="19">
        <v>9547</v>
      </c>
      <c r="J3148" s="19" t="s">
        <v>4559</v>
      </c>
    </row>
    <row r="3149" spans="1:10" x14ac:dyDescent="0.2">
      <c r="A3149" s="3">
        <v>1261</v>
      </c>
      <c r="B3149" s="3" t="s">
        <v>3404</v>
      </c>
      <c r="C3149" s="3" t="s">
        <v>3404</v>
      </c>
      <c r="D3149" s="3" t="s">
        <v>3358</v>
      </c>
      <c r="I3149" s="19">
        <v>9548</v>
      </c>
      <c r="J3149" s="19" t="s">
        <v>4576</v>
      </c>
    </row>
    <row r="3150" spans="1:10" x14ac:dyDescent="0.2">
      <c r="A3150" s="3">
        <v>1261</v>
      </c>
      <c r="B3150" s="3" t="s">
        <v>3405</v>
      </c>
      <c r="C3150" s="3" t="s">
        <v>3405</v>
      </c>
      <c r="D3150" s="3" t="s">
        <v>3358</v>
      </c>
      <c r="I3150" s="19">
        <v>9552</v>
      </c>
      <c r="J3150" s="19" t="s">
        <v>4576</v>
      </c>
    </row>
    <row r="3151" spans="1:10" x14ac:dyDescent="0.2">
      <c r="A3151" s="3">
        <v>1146</v>
      </c>
      <c r="B3151" s="3" t="s">
        <v>3406</v>
      </c>
      <c r="C3151" s="3" t="s">
        <v>3407</v>
      </c>
      <c r="D3151" s="3" t="s">
        <v>3358</v>
      </c>
      <c r="I3151" s="19">
        <v>9553</v>
      </c>
      <c r="J3151" s="19" t="s">
        <v>4576</v>
      </c>
    </row>
    <row r="3152" spans="1:10" x14ac:dyDescent="0.2">
      <c r="A3152" s="3">
        <v>1188</v>
      </c>
      <c r="B3152" s="3" t="s">
        <v>3408</v>
      </c>
      <c r="C3152" s="3" t="s">
        <v>3409</v>
      </c>
      <c r="D3152" s="3" t="s">
        <v>3358</v>
      </c>
      <c r="I3152" s="19">
        <v>9554</v>
      </c>
      <c r="J3152" s="19" t="s">
        <v>4576</v>
      </c>
    </row>
    <row r="3153" spans="1:10" x14ac:dyDescent="0.2">
      <c r="A3153" s="3">
        <v>1176</v>
      </c>
      <c r="B3153" s="3" t="s">
        <v>3410</v>
      </c>
      <c r="C3153" s="3" t="s">
        <v>3411</v>
      </c>
      <c r="D3153" s="3" t="s">
        <v>3358</v>
      </c>
      <c r="I3153" s="19">
        <v>9555</v>
      </c>
      <c r="J3153" s="19" t="s">
        <v>4576</v>
      </c>
    </row>
    <row r="3154" spans="1:10" x14ac:dyDescent="0.2">
      <c r="A3154" s="3">
        <v>1187</v>
      </c>
      <c r="B3154" s="3" t="s">
        <v>3412</v>
      </c>
      <c r="C3154" s="3" t="s">
        <v>3413</v>
      </c>
      <c r="D3154" s="3" t="s">
        <v>3358</v>
      </c>
      <c r="I3154" s="19">
        <v>9556</v>
      </c>
      <c r="J3154" s="19" t="s">
        <v>4576</v>
      </c>
    </row>
    <row r="3155" spans="1:10" x14ac:dyDescent="0.2">
      <c r="A3155" s="3">
        <v>1189</v>
      </c>
      <c r="B3155" s="3" t="s">
        <v>3414</v>
      </c>
      <c r="C3155" s="3" t="s">
        <v>3414</v>
      </c>
      <c r="D3155" s="3" t="s">
        <v>3358</v>
      </c>
      <c r="I3155" s="19">
        <v>9562</v>
      </c>
      <c r="J3155" s="19" t="s">
        <v>4576</v>
      </c>
    </row>
    <row r="3156" spans="1:10" x14ac:dyDescent="0.2">
      <c r="A3156" s="3">
        <v>1580</v>
      </c>
      <c r="B3156" s="3" t="s">
        <v>3415</v>
      </c>
      <c r="C3156" s="3" t="s">
        <v>3415</v>
      </c>
      <c r="D3156" s="3" t="s">
        <v>3358</v>
      </c>
      <c r="I3156" s="19">
        <v>9565</v>
      </c>
      <c r="J3156" s="19" t="s">
        <v>4576</v>
      </c>
    </row>
    <row r="3157" spans="1:10" x14ac:dyDescent="0.2">
      <c r="A3157" s="3">
        <v>1580</v>
      </c>
      <c r="B3157" s="3" t="s">
        <v>3416</v>
      </c>
      <c r="C3157" s="3" t="s">
        <v>3415</v>
      </c>
      <c r="D3157" s="3" t="s">
        <v>3358</v>
      </c>
      <c r="I3157" s="19">
        <v>9573</v>
      </c>
      <c r="J3157" s="19" t="s">
        <v>4576</v>
      </c>
    </row>
    <row r="3158" spans="1:10" x14ac:dyDescent="0.2">
      <c r="A3158" s="3">
        <v>1580</v>
      </c>
      <c r="B3158" s="3" t="s">
        <v>3417</v>
      </c>
      <c r="C3158" s="3" t="s">
        <v>3415</v>
      </c>
      <c r="D3158" s="3" t="s">
        <v>3358</v>
      </c>
      <c r="I3158" s="19">
        <v>9601</v>
      </c>
      <c r="J3158" s="19" t="s">
        <v>4576</v>
      </c>
    </row>
    <row r="3159" spans="1:10" x14ac:dyDescent="0.2">
      <c r="A3159" s="3">
        <v>1588</v>
      </c>
      <c r="B3159" s="3" t="s">
        <v>3418</v>
      </c>
      <c r="C3159" s="3" t="s">
        <v>3418</v>
      </c>
      <c r="D3159" s="3" t="s">
        <v>3358</v>
      </c>
      <c r="I3159" s="19">
        <v>9602</v>
      </c>
      <c r="J3159" s="19" t="s">
        <v>4576</v>
      </c>
    </row>
    <row r="3160" spans="1:10" x14ac:dyDescent="0.2">
      <c r="A3160" s="3">
        <v>1595</v>
      </c>
      <c r="B3160" s="3" t="s">
        <v>3419</v>
      </c>
      <c r="C3160" s="3" t="s">
        <v>3419</v>
      </c>
      <c r="D3160" s="3" t="s">
        <v>3358</v>
      </c>
      <c r="I3160" s="19">
        <v>9604</v>
      </c>
      <c r="J3160" s="19" t="s">
        <v>4576</v>
      </c>
    </row>
    <row r="3161" spans="1:10" x14ac:dyDescent="0.2">
      <c r="A3161" s="3">
        <v>1584</v>
      </c>
      <c r="B3161" s="3" t="s">
        <v>3420</v>
      </c>
      <c r="C3161" s="3" t="s">
        <v>3421</v>
      </c>
      <c r="D3161" s="3" t="s">
        <v>3358</v>
      </c>
      <c r="I3161" s="19">
        <v>9606</v>
      </c>
      <c r="J3161" s="19" t="s">
        <v>4577</v>
      </c>
    </row>
    <row r="3162" spans="1:10" x14ac:dyDescent="0.2">
      <c r="A3162" s="3">
        <v>1585</v>
      </c>
      <c r="B3162" s="3" t="s">
        <v>3422</v>
      </c>
      <c r="C3162" s="3" t="s">
        <v>3421</v>
      </c>
      <c r="D3162" s="3" t="s">
        <v>3358</v>
      </c>
      <c r="I3162" s="19">
        <v>9607</v>
      </c>
      <c r="J3162" s="19" t="s">
        <v>4577</v>
      </c>
    </row>
    <row r="3163" spans="1:10" x14ac:dyDescent="0.2">
      <c r="A3163" s="3">
        <v>1585</v>
      </c>
      <c r="B3163" s="3" t="s">
        <v>3423</v>
      </c>
      <c r="C3163" s="3" t="s">
        <v>3421</v>
      </c>
      <c r="D3163" s="3" t="s">
        <v>3358</v>
      </c>
      <c r="I3163" s="19">
        <v>9608</v>
      </c>
      <c r="J3163" s="19" t="s">
        <v>4576</v>
      </c>
    </row>
    <row r="3164" spans="1:10" x14ac:dyDescent="0.2">
      <c r="A3164" s="3">
        <v>1585</v>
      </c>
      <c r="B3164" s="3" t="s">
        <v>3424</v>
      </c>
      <c r="C3164" s="3" t="s">
        <v>3421</v>
      </c>
      <c r="D3164" s="3" t="s">
        <v>3358</v>
      </c>
      <c r="I3164" s="19">
        <v>9612</v>
      </c>
      <c r="J3164" s="19" t="s">
        <v>4577</v>
      </c>
    </row>
    <row r="3165" spans="1:10" x14ac:dyDescent="0.2">
      <c r="A3165" s="3">
        <v>1586</v>
      </c>
      <c r="B3165" s="3" t="s">
        <v>3425</v>
      </c>
      <c r="C3165" s="3" t="s">
        <v>3421</v>
      </c>
      <c r="D3165" s="3" t="s">
        <v>3358</v>
      </c>
      <c r="I3165" s="19">
        <v>9613</v>
      </c>
      <c r="J3165" s="19" t="s">
        <v>4560</v>
      </c>
    </row>
    <row r="3166" spans="1:10" x14ac:dyDescent="0.2">
      <c r="A3166" s="3">
        <v>1587</v>
      </c>
      <c r="B3166" s="3" t="s">
        <v>3426</v>
      </c>
      <c r="C3166" s="3" t="s">
        <v>3421</v>
      </c>
      <c r="D3166" s="3" t="s">
        <v>3358</v>
      </c>
      <c r="I3166" s="19">
        <v>9614</v>
      </c>
      <c r="J3166" s="19" t="s">
        <v>4577</v>
      </c>
    </row>
    <row r="3167" spans="1:10" x14ac:dyDescent="0.2">
      <c r="A3167" s="3">
        <v>1587</v>
      </c>
      <c r="B3167" s="3" t="s">
        <v>3427</v>
      </c>
      <c r="C3167" s="3" t="s">
        <v>3421</v>
      </c>
      <c r="D3167" s="3" t="s">
        <v>3358</v>
      </c>
      <c r="I3167" s="19">
        <v>9615</v>
      </c>
      <c r="J3167" s="19" t="s">
        <v>4577</v>
      </c>
    </row>
    <row r="3168" spans="1:10" x14ac:dyDescent="0.2">
      <c r="A3168" s="3">
        <v>1589</v>
      </c>
      <c r="B3168" s="3" t="s">
        <v>3428</v>
      </c>
      <c r="C3168" s="3" t="s">
        <v>3421</v>
      </c>
      <c r="D3168" s="3" t="s">
        <v>3358</v>
      </c>
      <c r="I3168" s="19">
        <v>9620</v>
      </c>
      <c r="J3168" s="19" t="s">
        <v>4577</v>
      </c>
    </row>
    <row r="3169" spans="1:10" x14ac:dyDescent="0.2">
      <c r="A3169" s="3">
        <v>1787</v>
      </c>
      <c r="B3169" s="3" t="s">
        <v>3429</v>
      </c>
      <c r="C3169" s="3" t="s">
        <v>3421</v>
      </c>
      <c r="D3169" s="3" t="s">
        <v>3358</v>
      </c>
      <c r="I3169" s="19">
        <v>9621</v>
      </c>
      <c r="J3169" s="19" t="s">
        <v>4577</v>
      </c>
    </row>
    <row r="3170" spans="1:10" x14ac:dyDescent="0.2">
      <c r="A3170" s="3">
        <v>1042</v>
      </c>
      <c r="B3170" s="3" t="s">
        <v>3430</v>
      </c>
      <c r="C3170" s="3" t="s">
        <v>3430</v>
      </c>
      <c r="D3170" s="3" t="s">
        <v>3358</v>
      </c>
      <c r="I3170" s="19">
        <v>9622</v>
      </c>
      <c r="J3170" s="19" t="s">
        <v>4577</v>
      </c>
    </row>
    <row r="3171" spans="1:10" x14ac:dyDescent="0.2">
      <c r="A3171" s="3">
        <v>1035</v>
      </c>
      <c r="B3171" s="3" t="s">
        <v>3431</v>
      </c>
      <c r="C3171" s="3" t="s">
        <v>3431</v>
      </c>
      <c r="D3171" s="3" t="s">
        <v>3358</v>
      </c>
      <c r="I3171" s="19">
        <v>9630</v>
      </c>
      <c r="J3171" s="19" t="s">
        <v>4577</v>
      </c>
    </row>
    <row r="3172" spans="1:10" x14ac:dyDescent="0.2">
      <c r="A3172" s="3">
        <v>1034</v>
      </c>
      <c r="B3172" s="3" t="s">
        <v>3432</v>
      </c>
      <c r="C3172" s="3" t="s">
        <v>3432</v>
      </c>
      <c r="D3172" s="3" t="s">
        <v>3358</v>
      </c>
      <c r="I3172" s="19">
        <v>9631</v>
      </c>
      <c r="J3172" s="19" t="s">
        <v>4577</v>
      </c>
    </row>
    <row r="3173" spans="1:10" x14ac:dyDescent="0.2">
      <c r="A3173" s="3">
        <v>1308</v>
      </c>
      <c r="B3173" s="3" t="s">
        <v>3433</v>
      </c>
      <c r="C3173" s="3" t="s">
        <v>3433</v>
      </c>
      <c r="D3173" s="3" t="s">
        <v>3358</v>
      </c>
      <c r="I3173" s="19">
        <v>9633</v>
      </c>
      <c r="J3173" s="19" t="s">
        <v>4577</v>
      </c>
    </row>
    <row r="3174" spans="1:10" x14ac:dyDescent="0.2">
      <c r="A3174" s="3">
        <v>1148</v>
      </c>
      <c r="B3174" s="3" t="s">
        <v>3434</v>
      </c>
      <c r="C3174" s="3" t="s">
        <v>3434</v>
      </c>
      <c r="D3174" s="3" t="s">
        <v>3358</v>
      </c>
      <c r="I3174" s="19">
        <v>9642</v>
      </c>
      <c r="J3174" s="19" t="s">
        <v>4577</v>
      </c>
    </row>
    <row r="3175" spans="1:10" x14ac:dyDescent="0.2">
      <c r="A3175" s="3">
        <v>1316</v>
      </c>
      <c r="B3175" s="3" t="s">
        <v>3435</v>
      </c>
      <c r="C3175" s="3" t="s">
        <v>3435</v>
      </c>
      <c r="D3175" s="3" t="s">
        <v>3358</v>
      </c>
      <c r="I3175" s="19">
        <v>9643</v>
      </c>
      <c r="J3175" s="19" t="s">
        <v>4571</v>
      </c>
    </row>
    <row r="3176" spans="1:10" x14ac:dyDescent="0.2">
      <c r="A3176" s="3">
        <v>1304</v>
      </c>
      <c r="B3176" s="3" t="s">
        <v>3436</v>
      </c>
      <c r="C3176" s="3" t="s">
        <v>3437</v>
      </c>
      <c r="D3176" s="3" t="s">
        <v>3358</v>
      </c>
      <c r="I3176" s="19">
        <v>9650</v>
      </c>
      <c r="J3176" s="19" t="s">
        <v>4571</v>
      </c>
    </row>
    <row r="3177" spans="1:10" x14ac:dyDescent="0.2">
      <c r="A3177" s="3">
        <v>1304</v>
      </c>
      <c r="B3177" s="3" t="s">
        <v>3438</v>
      </c>
      <c r="C3177" s="3" t="s">
        <v>3437</v>
      </c>
      <c r="D3177" s="3" t="s">
        <v>3358</v>
      </c>
      <c r="I3177" s="19">
        <v>9651</v>
      </c>
      <c r="J3177" s="19" t="s">
        <v>4577</v>
      </c>
    </row>
    <row r="3178" spans="1:10" x14ac:dyDescent="0.2">
      <c r="A3178" s="3">
        <v>1148</v>
      </c>
      <c r="B3178" s="3" t="s">
        <v>3439</v>
      </c>
      <c r="C3178" s="3" t="s">
        <v>3439</v>
      </c>
      <c r="D3178" s="3" t="s">
        <v>3358</v>
      </c>
      <c r="I3178" s="19">
        <v>9652</v>
      </c>
      <c r="J3178" s="19" t="s">
        <v>4571</v>
      </c>
    </row>
    <row r="3179" spans="1:10" x14ac:dyDescent="0.2">
      <c r="A3179" s="3">
        <v>1306</v>
      </c>
      <c r="B3179" s="3" t="s">
        <v>3440</v>
      </c>
      <c r="C3179" s="3" t="s">
        <v>3440</v>
      </c>
      <c r="D3179" s="3" t="s">
        <v>3358</v>
      </c>
      <c r="I3179" s="19">
        <v>9655</v>
      </c>
      <c r="J3179" s="19" t="s">
        <v>4571</v>
      </c>
    </row>
    <row r="3180" spans="1:10" x14ac:dyDescent="0.2">
      <c r="A3180" s="3">
        <v>1304</v>
      </c>
      <c r="B3180" s="3" t="s">
        <v>3441</v>
      </c>
      <c r="C3180" s="3" t="s">
        <v>3441</v>
      </c>
      <c r="D3180" s="3" t="s">
        <v>3358</v>
      </c>
      <c r="I3180" s="19">
        <v>9656</v>
      </c>
      <c r="J3180" s="19" t="s">
        <v>4571</v>
      </c>
    </row>
    <row r="3181" spans="1:10" x14ac:dyDescent="0.2">
      <c r="A3181" s="3">
        <v>1312</v>
      </c>
      <c r="B3181" s="3" t="s">
        <v>3442</v>
      </c>
      <c r="C3181" s="3" t="s">
        <v>3442</v>
      </c>
      <c r="D3181" s="3" t="s">
        <v>3358</v>
      </c>
      <c r="I3181" s="19">
        <v>9657</v>
      </c>
      <c r="J3181" s="19" t="s">
        <v>4570</v>
      </c>
    </row>
    <row r="3182" spans="1:10" x14ac:dyDescent="0.2">
      <c r="A3182" s="3">
        <v>1313</v>
      </c>
      <c r="B3182" s="3" t="s">
        <v>3443</v>
      </c>
      <c r="C3182" s="3" t="s">
        <v>3443</v>
      </c>
      <c r="D3182" s="3" t="s">
        <v>3358</v>
      </c>
      <c r="I3182" s="19">
        <v>9658</v>
      </c>
      <c r="J3182" s="19" t="s">
        <v>4570</v>
      </c>
    </row>
    <row r="3183" spans="1:10" x14ac:dyDescent="0.2">
      <c r="A3183" s="3">
        <v>1124</v>
      </c>
      <c r="B3183" s="3" t="s">
        <v>3444</v>
      </c>
      <c r="C3183" s="3" t="s">
        <v>3444</v>
      </c>
      <c r="D3183" s="3" t="s">
        <v>3358</v>
      </c>
    </row>
    <row r="3184" spans="1:10" x14ac:dyDescent="0.2">
      <c r="A3184" s="3">
        <v>1117</v>
      </c>
      <c r="B3184" s="3" t="s">
        <v>3445</v>
      </c>
      <c r="C3184" s="3" t="s">
        <v>3445</v>
      </c>
      <c r="D3184" s="3" t="s">
        <v>3358</v>
      </c>
    </row>
    <row r="3185" spans="1:4" x14ac:dyDescent="0.2">
      <c r="A3185" s="3">
        <v>1148</v>
      </c>
      <c r="B3185" s="3" t="s">
        <v>3446</v>
      </c>
      <c r="C3185" s="3" t="s">
        <v>3446</v>
      </c>
      <c r="D3185" s="3" t="s">
        <v>3358</v>
      </c>
    </row>
    <row r="3186" spans="1:4" x14ac:dyDescent="0.2">
      <c r="A3186" s="3">
        <v>1148</v>
      </c>
      <c r="B3186" s="3" t="s">
        <v>3447</v>
      </c>
      <c r="C3186" s="3" t="s">
        <v>3446</v>
      </c>
      <c r="D3186" s="3" t="s">
        <v>3358</v>
      </c>
    </row>
    <row r="3187" spans="1:4" x14ac:dyDescent="0.2">
      <c r="A3187" s="3">
        <v>1148</v>
      </c>
      <c r="B3187" s="3" t="s">
        <v>3448</v>
      </c>
      <c r="C3187" s="3" t="s">
        <v>3446</v>
      </c>
      <c r="D3187" s="3" t="s">
        <v>3358</v>
      </c>
    </row>
    <row r="3188" spans="1:4" x14ac:dyDescent="0.2">
      <c r="A3188" s="3">
        <v>1307</v>
      </c>
      <c r="B3188" s="3" t="s">
        <v>3449</v>
      </c>
      <c r="C3188" s="3" t="s">
        <v>3449</v>
      </c>
      <c r="D3188" s="3" t="s">
        <v>3358</v>
      </c>
    </row>
    <row r="3189" spans="1:4" x14ac:dyDescent="0.2">
      <c r="A3189" s="3">
        <v>1148</v>
      </c>
      <c r="B3189" s="3" t="s">
        <v>3450</v>
      </c>
      <c r="C3189" s="3" t="s">
        <v>3450</v>
      </c>
      <c r="D3189" s="3" t="s">
        <v>3358</v>
      </c>
    </row>
    <row r="3190" spans="1:4" x14ac:dyDescent="0.2">
      <c r="A3190" s="3">
        <v>1031</v>
      </c>
      <c r="B3190" s="3" t="s">
        <v>3451</v>
      </c>
      <c r="C3190" s="3" t="s">
        <v>3452</v>
      </c>
      <c r="D3190" s="3" t="s">
        <v>3358</v>
      </c>
    </row>
    <row r="3191" spans="1:4" x14ac:dyDescent="0.2">
      <c r="A3191" s="3">
        <v>1148</v>
      </c>
      <c r="B3191" s="3" t="s">
        <v>3453</v>
      </c>
      <c r="C3191" s="3" t="s">
        <v>3454</v>
      </c>
      <c r="D3191" s="3" t="s">
        <v>3358</v>
      </c>
    </row>
    <row r="3192" spans="1:4" x14ac:dyDescent="0.2">
      <c r="A3192" s="3">
        <v>1148</v>
      </c>
      <c r="B3192" s="3" t="s">
        <v>3455</v>
      </c>
      <c r="C3192" s="3" t="s">
        <v>3455</v>
      </c>
      <c r="D3192" s="3" t="s">
        <v>3358</v>
      </c>
    </row>
    <row r="3193" spans="1:4" x14ac:dyDescent="0.2">
      <c r="A3193" s="3">
        <v>1147</v>
      </c>
      <c r="B3193" s="3" t="s">
        <v>3456</v>
      </c>
      <c r="C3193" s="3" t="s">
        <v>3456</v>
      </c>
      <c r="D3193" s="3" t="s">
        <v>3358</v>
      </c>
    </row>
    <row r="3194" spans="1:4" x14ac:dyDescent="0.2">
      <c r="A3194" s="3">
        <v>1317</v>
      </c>
      <c r="B3194" s="3" t="s">
        <v>3457</v>
      </c>
      <c r="C3194" s="3" t="s">
        <v>3457</v>
      </c>
      <c r="D3194" s="3" t="s">
        <v>3358</v>
      </c>
    </row>
    <row r="3195" spans="1:4" x14ac:dyDescent="0.2">
      <c r="A3195" s="3">
        <v>1305</v>
      </c>
      <c r="B3195" s="3" t="s">
        <v>3458</v>
      </c>
      <c r="C3195" s="3" t="s">
        <v>3458</v>
      </c>
      <c r="D3195" s="3" t="s">
        <v>3358</v>
      </c>
    </row>
    <row r="3196" spans="1:4" x14ac:dyDescent="0.2">
      <c r="A3196" s="3">
        <v>1303</v>
      </c>
      <c r="B3196" s="3" t="s">
        <v>3459</v>
      </c>
      <c r="C3196" s="3" t="s">
        <v>3459</v>
      </c>
      <c r="D3196" s="3" t="s">
        <v>3358</v>
      </c>
    </row>
    <row r="3197" spans="1:4" x14ac:dyDescent="0.2">
      <c r="A3197" s="3">
        <v>1318</v>
      </c>
      <c r="B3197" s="3" t="s">
        <v>3460</v>
      </c>
      <c r="C3197" s="3" t="s">
        <v>3460</v>
      </c>
      <c r="D3197" s="3" t="s">
        <v>3358</v>
      </c>
    </row>
    <row r="3198" spans="1:4" x14ac:dyDescent="0.2">
      <c r="A3198" s="3">
        <v>1315</v>
      </c>
      <c r="B3198" s="3" t="s">
        <v>3461</v>
      </c>
      <c r="C3198" s="3" t="s">
        <v>3461</v>
      </c>
      <c r="D3198" s="3" t="s">
        <v>3358</v>
      </c>
    </row>
    <row r="3199" spans="1:4" x14ac:dyDescent="0.2">
      <c r="A3199" s="3">
        <v>1304</v>
      </c>
      <c r="B3199" s="3" t="s">
        <v>3462</v>
      </c>
      <c r="C3199" s="3" t="s">
        <v>3462</v>
      </c>
      <c r="D3199" s="3" t="s">
        <v>3358</v>
      </c>
    </row>
    <row r="3200" spans="1:4" x14ac:dyDescent="0.2">
      <c r="A3200" s="3">
        <v>1036</v>
      </c>
      <c r="B3200" s="3" t="s">
        <v>3463</v>
      </c>
      <c r="C3200" s="3" t="s">
        <v>3463</v>
      </c>
      <c r="D3200" s="3" t="s">
        <v>3358</v>
      </c>
    </row>
    <row r="3201" spans="1:4" x14ac:dyDescent="0.2">
      <c r="A3201" s="3">
        <v>1302</v>
      </c>
      <c r="B3201" s="3" t="s">
        <v>3464</v>
      </c>
      <c r="C3201" s="3" t="s">
        <v>3464</v>
      </c>
      <c r="D3201" s="3" t="s">
        <v>3358</v>
      </c>
    </row>
    <row r="3202" spans="1:4" x14ac:dyDescent="0.2">
      <c r="A3202" s="3">
        <v>1042</v>
      </c>
      <c r="B3202" s="3" t="s">
        <v>3465</v>
      </c>
      <c r="C3202" s="3" t="s">
        <v>3465</v>
      </c>
      <c r="D3202" s="3" t="s">
        <v>3358</v>
      </c>
    </row>
    <row r="3203" spans="1:4" x14ac:dyDescent="0.2">
      <c r="A3203" s="3">
        <v>1042</v>
      </c>
      <c r="B3203" s="3" t="s">
        <v>3466</v>
      </c>
      <c r="C3203" s="3" t="s">
        <v>3465</v>
      </c>
      <c r="D3203" s="3" t="s">
        <v>3358</v>
      </c>
    </row>
    <row r="3204" spans="1:4" x14ac:dyDescent="0.2">
      <c r="A3204" s="3">
        <v>1038</v>
      </c>
      <c r="B3204" s="3" t="s">
        <v>3467</v>
      </c>
      <c r="C3204" s="3" t="s">
        <v>3467</v>
      </c>
      <c r="D3204" s="3" t="s">
        <v>3358</v>
      </c>
    </row>
    <row r="3205" spans="1:4" x14ac:dyDescent="0.2">
      <c r="A3205" s="3">
        <v>1041</v>
      </c>
      <c r="B3205" s="3" t="s">
        <v>3468</v>
      </c>
      <c r="C3205" s="3" t="s">
        <v>3468</v>
      </c>
      <c r="D3205" s="3" t="s">
        <v>3358</v>
      </c>
    </row>
    <row r="3206" spans="1:4" x14ac:dyDescent="0.2">
      <c r="A3206" s="3">
        <v>1053</v>
      </c>
      <c r="B3206" s="3" t="s">
        <v>3469</v>
      </c>
      <c r="C3206" s="3" t="s">
        <v>3469</v>
      </c>
      <c r="D3206" s="3" t="s">
        <v>3358</v>
      </c>
    </row>
    <row r="3207" spans="1:4" x14ac:dyDescent="0.2">
      <c r="A3207" s="3">
        <v>1053</v>
      </c>
      <c r="B3207" s="3" t="s">
        <v>3470</v>
      </c>
      <c r="C3207" s="3" t="s">
        <v>3471</v>
      </c>
      <c r="D3207" s="3" t="s">
        <v>3358</v>
      </c>
    </row>
    <row r="3208" spans="1:4" x14ac:dyDescent="0.2">
      <c r="A3208" s="3">
        <v>1040</v>
      </c>
      <c r="B3208" s="3" t="s">
        <v>3472</v>
      </c>
      <c r="C3208" s="3" t="s">
        <v>3472</v>
      </c>
      <c r="D3208" s="3" t="s">
        <v>3358</v>
      </c>
    </row>
    <row r="3209" spans="1:4" x14ac:dyDescent="0.2">
      <c r="A3209" s="3">
        <v>1417</v>
      </c>
      <c r="B3209" s="3" t="s">
        <v>3473</v>
      </c>
      <c r="C3209" s="3" t="s">
        <v>3473</v>
      </c>
      <c r="D3209" s="3" t="s">
        <v>3358</v>
      </c>
    </row>
    <row r="3210" spans="1:4" x14ac:dyDescent="0.2">
      <c r="A3210" s="3">
        <v>1417</v>
      </c>
      <c r="B3210" s="3" t="s">
        <v>3474</v>
      </c>
      <c r="C3210" s="3" t="s">
        <v>3473</v>
      </c>
      <c r="D3210" s="3" t="s">
        <v>3358</v>
      </c>
    </row>
    <row r="3211" spans="1:4" x14ac:dyDescent="0.2">
      <c r="A3211" s="3">
        <v>1037</v>
      </c>
      <c r="B3211" s="3" t="s">
        <v>3475</v>
      </c>
      <c r="C3211" s="3" t="s">
        <v>3475</v>
      </c>
      <c r="D3211" s="3" t="s">
        <v>3358</v>
      </c>
    </row>
    <row r="3212" spans="1:4" x14ac:dyDescent="0.2">
      <c r="A3212" s="3">
        <v>1044</v>
      </c>
      <c r="B3212" s="3" t="s">
        <v>3476</v>
      </c>
      <c r="C3212" s="3" t="s">
        <v>3476</v>
      </c>
      <c r="D3212" s="3" t="s">
        <v>3358</v>
      </c>
    </row>
    <row r="3213" spans="1:4" x14ac:dyDescent="0.2">
      <c r="A3213" s="3">
        <v>1055</v>
      </c>
      <c r="B3213" s="3" t="s">
        <v>3477</v>
      </c>
      <c r="C3213" s="3" t="s">
        <v>3477</v>
      </c>
      <c r="D3213" s="3" t="s">
        <v>3358</v>
      </c>
    </row>
    <row r="3214" spans="1:4" x14ac:dyDescent="0.2">
      <c r="A3214" s="3">
        <v>1054</v>
      </c>
      <c r="B3214" s="3" t="s">
        <v>3478</v>
      </c>
      <c r="C3214" s="3" t="s">
        <v>3479</v>
      </c>
      <c r="D3214" s="3" t="s">
        <v>3358</v>
      </c>
    </row>
    <row r="3215" spans="1:4" x14ac:dyDescent="0.2">
      <c r="A3215" s="3">
        <v>1377</v>
      </c>
      <c r="B3215" s="3" t="s">
        <v>3480</v>
      </c>
      <c r="C3215" s="3" t="s">
        <v>3480</v>
      </c>
      <c r="D3215" s="3" t="s">
        <v>3358</v>
      </c>
    </row>
    <row r="3216" spans="1:4" x14ac:dyDescent="0.2">
      <c r="A3216" s="3">
        <v>1416</v>
      </c>
      <c r="B3216" s="3" t="s">
        <v>3481</v>
      </c>
      <c r="C3216" s="3" t="s">
        <v>3481</v>
      </c>
      <c r="D3216" s="3" t="s">
        <v>3358</v>
      </c>
    </row>
    <row r="3217" spans="1:4" x14ac:dyDescent="0.2">
      <c r="A3217" s="3">
        <v>1375</v>
      </c>
      <c r="B3217" s="3" t="s">
        <v>3482</v>
      </c>
      <c r="C3217" s="3" t="s">
        <v>3482</v>
      </c>
      <c r="D3217" s="3" t="s">
        <v>3358</v>
      </c>
    </row>
    <row r="3218" spans="1:4" x14ac:dyDescent="0.2">
      <c r="A3218" s="3">
        <v>1041</v>
      </c>
      <c r="B3218" s="3" t="s">
        <v>3483</v>
      </c>
      <c r="C3218" s="3" t="s">
        <v>3483</v>
      </c>
      <c r="D3218" s="3" t="s">
        <v>3358</v>
      </c>
    </row>
    <row r="3219" spans="1:4" x14ac:dyDescent="0.2">
      <c r="A3219" s="3">
        <v>1046</v>
      </c>
      <c r="B3219" s="3" t="s">
        <v>3484</v>
      </c>
      <c r="C3219" s="3" t="s">
        <v>3484</v>
      </c>
      <c r="D3219" s="3" t="s">
        <v>3358</v>
      </c>
    </row>
    <row r="3220" spans="1:4" x14ac:dyDescent="0.2">
      <c r="A3220" s="3">
        <v>1040</v>
      </c>
      <c r="B3220" s="3" t="s">
        <v>3485</v>
      </c>
      <c r="C3220" s="3" t="s">
        <v>3486</v>
      </c>
      <c r="D3220" s="3" t="s">
        <v>3358</v>
      </c>
    </row>
    <row r="3221" spans="1:4" x14ac:dyDescent="0.2">
      <c r="A3221" s="3">
        <v>1040</v>
      </c>
      <c r="B3221" s="3" t="s">
        <v>3487</v>
      </c>
      <c r="C3221" s="3" t="s">
        <v>3487</v>
      </c>
      <c r="D3221" s="3" t="s">
        <v>3358</v>
      </c>
    </row>
    <row r="3222" spans="1:4" x14ac:dyDescent="0.2">
      <c r="A3222" s="3">
        <v>1418</v>
      </c>
      <c r="B3222" s="3" t="s">
        <v>3488</v>
      </c>
      <c r="C3222" s="3" t="s">
        <v>3488</v>
      </c>
      <c r="D3222" s="3" t="s">
        <v>3358</v>
      </c>
    </row>
    <row r="3223" spans="1:4" x14ac:dyDescent="0.2">
      <c r="A3223" s="3">
        <v>1041</v>
      </c>
      <c r="B3223" s="3" t="s">
        <v>3489</v>
      </c>
      <c r="C3223" s="3" t="s">
        <v>3490</v>
      </c>
      <c r="D3223" s="3" t="s">
        <v>3358</v>
      </c>
    </row>
    <row r="3224" spans="1:4" x14ac:dyDescent="0.2">
      <c r="A3224" s="3">
        <v>1041</v>
      </c>
      <c r="B3224" s="3" t="s">
        <v>3491</v>
      </c>
      <c r="C3224" s="3" t="s">
        <v>3490</v>
      </c>
      <c r="D3224" s="3" t="s">
        <v>3358</v>
      </c>
    </row>
    <row r="3225" spans="1:4" x14ac:dyDescent="0.2">
      <c r="A3225" s="3">
        <v>1041</v>
      </c>
      <c r="B3225" s="3" t="s">
        <v>3492</v>
      </c>
      <c r="C3225" s="3" t="s">
        <v>3490</v>
      </c>
      <c r="D3225" s="3" t="s">
        <v>3358</v>
      </c>
    </row>
    <row r="3226" spans="1:4" x14ac:dyDescent="0.2">
      <c r="A3226" s="3">
        <v>1043</v>
      </c>
      <c r="B3226" s="3" t="s">
        <v>3493</v>
      </c>
      <c r="C3226" s="3" t="s">
        <v>3490</v>
      </c>
      <c r="D3226" s="3" t="s">
        <v>3358</v>
      </c>
    </row>
    <row r="3227" spans="1:4" x14ac:dyDescent="0.2">
      <c r="A3227" s="3">
        <v>1376</v>
      </c>
      <c r="B3227" s="3" t="s">
        <v>3494</v>
      </c>
      <c r="C3227" s="3" t="s">
        <v>3495</v>
      </c>
      <c r="D3227" s="3" t="s">
        <v>3358</v>
      </c>
    </row>
    <row r="3228" spans="1:4" x14ac:dyDescent="0.2">
      <c r="A3228" s="3">
        <v>1376</v>
      </c>
      <c r="B3228" s="3" t="s">
        <v>3496</v>
      </c>
      <c r="C3228" s="3" t="s">
        <v>3495</v>
      </c>
      <c r="D3228" s="3" t="s">
        <v>3358</v>
      </c>
    </row>
    <row r="3229" spans="1:4" x14ac:dyDescent="0.2">
      <c r="A3229" s="3">
        <v>1376</v>
      </c>
      <c r="B3229" s="3" t="s">
        <v>3497</v>
      </c>
      <c r="C3229" s="3" t="s">
        <v>3495</v>
      </c>
      <c r="D3229" s="3" t="s">
        <v>3358</v>
      </c>
    </row>
    <row r="3230" spans="1:4" x14ac:dyDescent="0.2">
      <c r="A3230" s="3">
        <v>1427</v>
      </c>
      <c r="B3230" s="3" t="s">
        <v>3498</v>
      </c>
      <c r="C3230" s="3" t="s">
        <v>3498</v>
      </c>
      <c r="D3230" s="3" t="s">
        <v>3358</v>
      </c>
    </row>
    <row r="3231" spans="1:4" x14ac:dyDescent="0.2">
      <c r="A3231" s="3">
        <v>1452</v>
      </c>
      <c r="B3231" s="3" t="s">
        <v>3499</v>
      </c>
      <c r="C3231" s="3" t="s">
        <v>3500</v>
      </c>
      <c r="D3231" s="3" t="s">
        <v>3358</v>
      </c>
    </row>
    <row r="3232" spans="1:4" x14ac:dyDescent="0.2">
      <c r="A3232" s="3">
        <v>1453</v>
      </c>
      <c r="B3232" s="3" t="s">
        <v>3500</v>
      </c>
      <c r="C3232" s="3" t="s">
        <v>3500</v>
      </c>
      <c r="D3232" s="3" t="s">
        <v>3358</v>
      </c>
    </row>
    <row r="3233" spans="1:4" x14ac:dyDescent="0.2">
      <c r="A3233" s="3">
        <v>1424</v>
      </c>
      <c r="B3233" s="3" t="s">
        <v>3501</v>
      </c>
      <c r="C3233" s="3" t="s">
        <v>3501</v>
      </c>
      <c r="D3233" s="3" t="s">
        <v>3358</v>
      </c>
    </row>
    <row r="3234" spans="1:4" x14ac:dyDescent="0.2">
      <c r="A3234" s="3">
        <v>1426</v>
      </c>
      <c r="B3234" s="3" t="s">
        <v>3502</v>
      </c>
      <c r="C3234" s="3" t="s">
        <v>3502</v>
      </c>
      <c r="D3234" s="3" t="s">
        <v>3358</v>
      </c>
    </row>
    <row r="3235" spans="1:4" x14ac:dyDescent="0.2">
      <c r="A3235" s="3">
        <v>1426</v>
      </c>
      <c r="B3235" s="3" t="s">
        <v>3503</v>
      </c>
      <c r="C3235" s="3" t="s">
        <v>3503</v>
      </c>
      <c r="D3235" s="3" t="s">
        <v>3358</v>
      </c>
    </row>
    <row r="3236" spans="1:4" x14ac:dyDescent="0.2">
      <c r="A3236" s="3">
        <v>1420</v>
      </c>
      <c r="B3236" s="3" t="s">
        <v>3504</v>
      </c>
      <c r="C3236" s="3" t="s">
        <v>3504</v>
      </c>
      <c r="D3236" s="3" t="s">
        <v>3358</v>
      </c>
    </row>
    <row r="3237" spans="1:4" x14ac:dyDescent="0.2">
      <c r="A3237" s="3">
        <v>1421</v>
      </c>
      <c r="B3237" s="3" t="s">
        <v>3505</v>
      </c>
      <c r="C3237" s="3" t="s">
        <v>3505</v>
      </c>
      <c r="D3237" s="3" t="s">
        <v>3358</v>
      </c>
    </row>
    <row r="3238" spans="1:4" x14ac:dyDescent="0.2">
      <c r="A3238" s="3">
        <v>1429</v>
      </c>
      <c r="B3238" s="3" t="s">
        <v>3506</v>
      </c>
      <c r="C3238" s="3" t="s">
        <v>3506</v>
      </c>
      <c r="D3238" s="3" t="s">
        <v>3358</v>
      </c>
    </row>
    <row r="3239" spans="1:4" x14ac:dyDescent="0.2">
      <c r="A3239" s="3">
        <v>1421</v>
      </c>
      <c r="B3239" s="3" t="s">
        <v>3507</v>
      </c>
      <c r="C3239" s="3" t="s">
        <v>3507</v>
      </c>
      <c r="D3239" s="3" t="s">
        <v>3358</v>
      </c>
    </row>
    <row r="3240" spans="1:4" x14ac:dyDescent="0.2">
      <c r="A3240" s="3">
        <v>1422</v>
      </c>
      <c r="B3240" s="3" t="s">
        <v>3508</v>
      </c>
      <c r="C3240" s="3" t="s">
        <v>3508</v>
      </c>
      <c r="D3240" s="3" t="s">
        <v>3358</v>
      </c>
    </row>
    <row r="3241" spans="1:4" x14ac:dyDescent="0.2">
      <c r="A3241" s="3">
        <v>1453</v>
      </c>
      <c r="B3241" s="3" t="s">
        <v>3509</v>
      </c>
      <c r="C3241" s="3" t="s">
        <v>3509</v>
      </c>
      <c r="D3241" s="3" t="s">
        <v>3358</v>
      </c>
    </row>
    <row r="3242" spans="1:4" x14ac:dyDescent="0.2">
      <c r="A3242" s="3">
        <v>1428</v>
      </c>
      <c r="B3242" s="3" t="s">
        <v>3510</v>
      </c>
      <c r="C3242" s="3" t="s">
        <v>3510</v>
      </c>
      <c r="D3242" s="3" t="s">
        <v>3358</v>
      </c>
    </row>
    <row r="3243" spans="1:4" x14ac:dyDescent="0.2">
      <c r="A3243" s="3">
        <v>1431</v>
      </c>
      <c r="B3243" s="3" t="s">
        <v>3511</v>
      </c>
      <c r="C3243" s="3" t="s">
        <v>3511</v>
      </c>
      <c r="D3243" s="3" t="s">
        <v>3358</v>
      </c>
    </row>
    <row r="3244" spans="1:4" x14ac:dyDescent="0.2">
      <c r="A3244" s="3">
        <v>1425</v>
      </c>
      <c r="B3244" s="3" t="s">
        <v>3512</v>
      </c>
      <c r="C3244" s="3" t="s">
        <v>3513</v>
      </c>
      <c r="D3244" s="3" t="s">
        <v>3358</v>
      </c>
    </row>
    <row r="3245" spans="1:4" x14ac:dyDescent="0.2">
      <c r="A3245" s="3">
        <v>1428</v>
      </c>
      <c r="B3245" s="3" t="s">
        <v>3514</v>
      </c>
      <c r="C3245" s="3" t="s">
        <v>3514</v>
      </c>
      <c r="D3245" s="3" t="s">
        <v>3358</v>
      </c>
    </row>
    <row r="3246" spans="1:4" x14ac:dyDescent="0.2">
      <c r="A3246" s="3">
        <v>1450</v>
      </c>
      <c r="B3246" s="3" t="s">
        <v>3515</v>
      </c>
      <c r="C3246" s="3" t="s">
        <v>3516</v>
      </c>
      <c r="D3246" s="3" t="s">
        <v>3358</v>
      </c>
    </row>
    <row r="3247" spans="1:4" x14ac:dyDescent="0.2">
      <c r="A3247" s="3">
        <v>1450</v>
      </c>
      <c r="B3247" s="3" t="s">
        <v>3517</v>
      </c>
      <c r="C3247" s="3" t="s">
        <v>3516</v>
      </c>
      <c r="D3247" s="3" t="s">
        <v>3358</v>
      </c>
    </row>
    <row r="3248" spans="1:4" x14ac:dyDescent="0.2">
      <c r="A3248" s="3">
        <v>1450</v>
      </c>
      <c r="B3248" s="3" t="s">
        <v>3518</v>
      </c>
      <c r="C3248" s="3" t="s">
        <v>3516</v>
      </c>
      <c r="D3248" s="3" t="s">
        <v>3358</v>
      </c>
    </row>
    <row r="3249" spans="1:4" x14ac:dyDescent="0.2">
      <c r="A3249" s="3">
        <v>1454</v>
      </c>
      <c r="B3249" s="3" t="s">
        <v>3519</v>
      </c>
      <c r="C3249" s="3" t="s">
        <v>3516</v>
      </c>
      <c r="D3249" s="3" t="s">
        <v>3358</v>
      </c>
    </row>
    <row r="3250" spans="1:4" x14ac:dyDescent="0.2">
      <c r="A3250" s="3">
        <v>1454</v>
      </c>
      <c r="B3250" s="3" t="s">
        <v>3520</v>
      </c>
      <c r="C3250" s="3" t="s">
        <v>3516</v>
      </c>
      <c r="D3250" s="3" t="s">
        <v>3358</v>
      </c>
    </row>
    <row r="3251" spans="1:4" x14ac:dyDescent="0.2">
      <c r="A3251" s="3">
        <v>1423</v>
      </c>
      <c r="B3251" s="3" t="s">
        <v>3521</v>
      </c>
      <c r="C3251" s="3" t="s">
        <v>3522</v>
      </c>
      <c r="D3251" s="3" t="s">
        <v>3358</v>
      </c>
    </row>
    <row r="3252" spans="1:4" x14ac:dyDescent="0.2">
      <c r="A3252" s="3">
        <v>1423</v>
      </c>
      <c r="B3252" s="3" t="s">
        <v>3523</v>
      </c>
      <c r="C3252" s="3" t="s">
        <v>3522</v>
      </c>
      <c r="D3252" s="3" t="s">
        <v>3358</v>
      </c>
    </row>
    <row r="3253" spans="1:4" x14ac:dyDescent="0.2">
      <c r="A3253" s="3">
        <v>1423</v>
      </c>
      <c r="B3253" s="3" t="s">
        <v>3524</v>
      </c>
      <c r="C3253" s="3" t="s">
        <v>3522</v>
      </c>
      <c r="D3253" s="3" t="s">
        <v>3358</v>
      </c>
    </row>
    <row r="3254" spans="1:4" x14ac:dyDescent="0.2">
      <c r="A3254" s="3">
        <v>1423</v>
      </c>
      <c r="B3254" s="3" t="s">
        <v>3525</v>
      </c>
      <c r="C3254" s="3" t="s">
        <v>3522</v>
      </c>
      <c r="D3254" s="3" t="s">
        <v>3358</v>
      </c>
    </row>
    <row r="3255" spans="1:4" x14ac:dyDescent="0.2">
      <c r="A3255" s="3">
        <v>1092</v>
      </c>
      <c r="B3255" s="3" t="s">
        <v>3526</v>
      </c>
      <c r="C3255" s="3" t="s">
        <v>3526</v>
      </c>
      <c r="D3255" s="3" t="s">
        <v>3358</v>
      </c>
    </row>
    <row r="3256" spans="1:4" x14ac:dyDescent="0.2">
      <c r="A3256" s="3">
        <v>1033</v>
      </c>
      <c r="B3256" s="3" t="s">
        <v>3527</v>
      </c>
      <c r="C3256" s="3" t="s">
        <v>3527</v>
      </c>
      <c r="D3256" s="3" t="s">
        <v>3358</v>
      </c>
    </row>
    <row r="3257" spans="1:4" x14ac:dyDescent="0.2">
      <c r="A3257" s="3">
        <v>1023</v>
      </c>
      <c r="B3257" s="3" t="s">
        <v>3528</v>
      </c>
      <c r="C3257" s="3" t="s">
        <v>3528</v>
      </c>
      <c r="D3257" s="3" t="s">
        <v>3358</v>
      </c>
    </row>
    <row r="3258" spans="1:4" x14ac:dyDescent="0.2">
      <c r="A3258" s="3">
        <v>1066</v>
      </c>
      <c r="B3258" s="3" t="s">
        <v>3529</v>
      </c>
      <c r="C3258" s="3" t="s">
        <v>3529</v>
      </c>
      <c r="D3258" s="3" t="s">
        <v>3358</v>
      </c>
    </row>
    <row r="3259" spans="1:4" x14ac:dyDescent="0.2">
      <c r="A3259" s="3">
        <v>1008</v>
      </c>
      <c r="B3259" s="3" t="s">
        <v>3530</v>
      </c>
      <c r="C3259" s="3" t="s">
        <v>3530</v>
      </c>
      <c r="D3259" s="3" t="s">
        <v>3358</v>
      </c>
    </row>
    <row r="3260" spans="1:4" x14ac:dyDescent="0.2">
      <c r="A3260" s="3">
        <v>1000</v>
      </c>
      <c r="B3260" s="3" t="s">
        <v>3531</v>
      </c>
      <c r="C3260" s="3" t="s">
        <v>3532</v>
      </c>
      <c r="D3260" s="3" t="s">
        <v>3358</v>
      </c>
    </row>
    <row r="3261" spans="1:4" x14ac:dyDescent="0.2">
      <c r="A3261" s="3">
        <v>1000</v>
      </c>
      <c r="B3261" s="3" t="s">
        <v>3533</v>
      </c>
      <c r="C3261" s="3" t="s">
        <v>3532</v>
      </c>
      <c r="D3261" s="3" t="s">
        <v>3358</v>
      </c>
    </row>
    <row r="3262" spans="1:4" x14ac:dyDescent="0.2">
      <c r="A3262" s="3">
        <v>1000</v>
      </c>
      <c r="B3262" s="3" t="s">
        <v>3534</v>
      </c>
      <c r="C3262" s="3" t="s">
        <v>3532</v>
      </c>
      <c r="D3262" s="3" t="s">
        <v>3358</v>
      </c>
    </row>
    <row r="3263" spans="1:4" x14ac:dyDescent="0.2">
      <c r="A3263" s="3">
        <v>1003</v>
      </c>
      <c r="B3263" s="3" t="s">
        <v>3532</v>
      </c>
      <c r="C3263" s="3" t="s">
        <v>3532</v>
      </c>
      <c r="D3263" s="3" t="s">
        <v>3358</v>
      </c>
    </row>
    <row r="3264" spans="1:4" x14ac:dyDescent="0.2">
      <c r="A3264" s="3">
        <v>1004</v>
      </c>
      <c r="B3264" s="3" t="s">
        <v>3532</v>
      </c>
      <c r="C3264" s="3" t="s">
        <v>3532</v>
      </c>
      <c r="D3264" s="3" t="s">
        <v>3358</v>
      </c>
    </row>
    <row r="3265" spans="1:4" x14ac:dyDescent="0.2">
      <c r="A3265" s="3">
        <v>1005</v>
      </c>
      <c r="B3265" s="3" t="s">
        <v>3532</v>
      </c>
      <c r="C3265" s="3" t="s">
        <v>3532</v>
      </c>
      <c r="D3265" s="3" t="s">
        <v>3358</v>
      </c>
    </row>
    <row r="3266" spans="1:4" x14ac:dyDescent="0.2">
      <c r="A3266" s="3">
        <v>1006</v>
      </c>
      <c r="B3266" s="3" t="s">
        <v>3532</v>
      </c>
      <c r="C3266" s="3" t="s">
        <v>3532</v>
      </c>
      <c r="D3266" s="3" t="s">
        <v>3358</v>
      </c>
    </row>
    <row r="3267" spans="1:4" x14ac:dyDescent="0.2">
      <c r="A3267" s="3">
        <v>1007</v>
      </c>
      <c r="B3267" s="3" t="s">
        <v>3532</v>
      </c>
      <c r="C3267" s="3" t="s">
        <v>3532</v>
      </c>
      <c r="D3267" s="3" t="s">
        <v>3358</v>
      </c>
    </row>
    <row r="3268" spans="1:4" x14ac:dyDescent="0.2">
      <c r="A3268" s="3">
        <v>1010</v>
      </c>
      <c r="B3268" s="3" t="s">
        <v>3532</v>
      </c>
      <c r="C3268" s="3" t="s">
        <v>3532</v>
      </c>
      <c r="D3268" s="3" t="s">
        <v>3358</v>
      </c>
    </row>
    <row r="3269" spans="1:4" x14ac:dyDescent="0.2">
      <c r="A3269" s="3">
        <v>1011</v>
      </c>
      <c r="B3269" s="3" t="s">
        <v>3532</v>
      </c>
      <c r="C3269" s="3" t="s">
        <v>3532</v>
      </c>
      <c r="D3269" s="3" t="s">
        <v>3358</v>
      </c>
    </row>
    <row r="3270" spans="1:4" x14ac:dyDescent="0.2">
      <c r="A3270" s="3">
        <v>1012</v>
      </c>
      <c r="B3270" s="3" t="s">
        <v>3532</v>
      </c>
      <c r="C3270" s="3" t="s">
        <v>3532</v>
      </c>
      <c r="D3270" s="3" t="s">
        <v>3358</v>
      </c>
    </row>
    <row r="3271" spans="1:4" x14ac:dyDescent="0.2">
      <c r="A3271" s="3">
        <v>1015</v>
      </c>
      <c r="B3271" s="3" t="s">
        <v>3532</v>
      </c>
      <c r="C3271" s="3" t="s">
        <v>3532</v>
      </c>
      <c r="D3271" s="3" t="s">
        <v>3358</v>
      </c>
    </row>
    <row r="3272" spans="1:4" x14ac:dyDescent="0.2">
      <c r="A3272" s="3">
        <v>1018</v>
      </c>
      <c r="B3272" s="3" t="s">
        <v>3532</v>
      </c>
      <c r="C3272" s="3" t="s">
        <v>3532</v>
      </c>
      <c r="D3272" s="3" t="s">
        <v>3358</v>
      </c>
    </row>
    <row r="3273" spans="1:4" x14ac:dyDescent="0.2">
      <c r="A3273" s="3">
        <v>1052</v>
      </c>
      <c r="B3273" s="3" t="s">
        <v>3535</v>
      </c>
      <c r="C3273" s="3" t="s">
        <v>3535</v>
      </c>
      <c r="D3273" s="3" t="s">
        <v>3358</v>
      </c>
    </row>
    <row r="3274" spans="1:4" x14ac:dyDescent="0.2">
      <c r="A3274" s="3">
        <v>1094</v>
      </c>
      <c r="B3274" s="3" t="s">
        <v>3536</v>
      </c>
      <c r="C3274" s="3" t="s">
        <v>3536</v>
      </c>
      <c r="D3274" s="3" t="s">
        <v>3358</v>
      </c>
    </row>
    <row r="3275" spans="1:4" x14ac:dyDescent="0.2">
      <c r="A3275" s="3">
        <v>1008</v>
      </c>
      <c r="B3275" s="3" t="s">
        <v>3537</v>
      </c>
      <c r="C3275" s="3" t="s">
        <v>3537</v>
      </c>
      <c r="D3275" s="3" t="s">
        <v>3358</v>
      </c>
    </row>
    <row r="3276" spans="1:4" x14ac:dyDescent="0.2">
      <c r="A3276" s="3">
        <v>1009</v>
      </c>
      <c r="B3276" s="3" t="s">
        <v>3538</v>
      </c>
      <c r="C3276" s="3" t="s">
        <v>3538</v>
      </c>
      <c r="D3276" s="3" t="s">
        <v>3358</v>
      </c>
    </row>
    <row r="3277" spans="1:4" x14ac:dyDescent="0.2">
      <c r="A3277" s="3">
        <v>1068</v>
      </c>
      <c r="B3277" s="3" t="s">
        <v>3539</v>
      </c>
      <c r="C3277" s="3" t="s">
        <v>3538</v>
      </c>
      <c r="D3277" s="3" t="s">
        <v>3358</v>
      </c>
    </row>
    <row r="3278" spans="1:4" x14ac:dyDescent="0.2">
      <c r="A3278" s="3">
        <v>1020</v>
      </c>
      <c r="B3278" s="3" t="s">
        <v>3540</v>
      </c>
      <c r="C3278" s="3" t="s">
        <v>3541</v>
      </c>
      <c r="D3278" s="3" t="s">
        <v>3358</v>
      </c>
    </row>
    <row r="3279" spans="1:4" x14ac:dyDescent="0.2">
      <c r="A3279" s="3">
        <v>1032</v>
      </c>
      <c r="B3279" s="3" t="s">
        <v>3542</v>
      </c>
      <c r="C3279" s="3" t="s">
        <v>3542</v>
      </c>
      <c r="D3279" s="3" t="s">
        <v>3358</v>
      </c>
    </row>
    <row r="3280" spans="1:4" x14ac:dyDescent="0.2">
      <c r="A3280" s="3">
        <v>1071</v>
      </c>
      <c r="B3280" s="3" t="s">
        <v>3543</v>
      </c>
      <c r="C3280" s="3" t="s">
        <v>3543</v>
      </c>
      <c r="D3280" s="3" t="s">
        <v>3358</v>
      </c>
    </row>
    <row r="3281" spans="1:4" x14ac:dyDescent="0.2">
      <c r="A3281" s="3">
        <v>1072</v>
      </c>
      <c r="B3281" s="3" t="s">
        <v>3544</v>
      </c>
      <c r="C3281" s="3" t="s">
        <v>3544</v>
      </c>
      <c r="D3281" s="3" t="s">
        <v>3358</v>
      </c>
    </row>
    <row r="3282" spans="1:4" x14ac:dyDescent="0.2">
      <c r="A3282" s="3">
        <v>1090</v>
      </c>
      <c r="B3282" s="3" t="s">
        <v>3545</v>
      </c>
      <c r="C3282" s="3" t="s">
        <v>3546</v>
      </c>
      <c r="D3282" s="3" t="s">
        <v>3358</v>
      </c>
    </row>
    <row r="3283" spans="1:4" x14ac:dyDescent="0.2">
      <c r="A3283" s="3">
        <v>1093</v>
      </c>
      <c r="B3283" s="3" t="s">
        <v>3547</v>
      </c>
      <c r="C3283" s="3" t="s">
        <v>3546</v>
      </c>
      <c r="D3283" s="3" t="s">
        <v>3358</v>
      </c>
    </row>
    <row r="3284" spans="1:4" x14ac:dyDescent="0.2">
      <c r="A3284" s="3">
        <v>1095</v>
      </c>
      <c r="B3284" s="3" t="s">
        <v>3546</v>
      </c>
      <c r="C3284" s="3" t="s">
        <v>3546</v>
      </c>
      <c r="D3284" s="3" t="s">
        <v>3358</v>
      </c>
    </row>
    <row r="3285" spans="1:4" x14ac:dyDescent="0.2">
      <c r="A3285" s="3">
        <v>1070</v>
      </c>
      <c r="B3285" s="3" t="s">
        <v>3548</v>
      </c>
      <c r="C3285" s="3" t="s">
        <v>3548</v>
      </c>
      <c r="D3285" s="3" t="s">
        <v>3358</v>
      </c>
    </row>
    <row r="3286" spans="1:4" x14ac:dyDescent="0.2">
      <c r="A3286" s="3">
        <v>1071</v>
      </c>
      <c r="B3286" s="3" t="s">
        <v>3549</v>
      </c>
      <c r="C3286" s="3" t="s">
        <v>3549</v>
      </c>
      <c r="D3286" s="3" t="s">
        <v>3358</v>
      </c>
    </row>
    <row r="3287" spans="1:4" x14ac:dyDescent="0.2">
      <c r="A3287" s="3">
        <v>1071</v>
      </c>
      <c r="B3287" s="3" t="s">
        <v>3550</v>
      </c>
      <c r="C3287" s="3" t="s">
        <v>3551</v>
      </c>
      <c r="D3287" s="3" t="s">
        <v>3358</v>
      </c>
    </row>
    <row r="3288" spans="1:4" x14ac:dyDescent="0.2">
      <c r="A3288" s="3">
        <v>1073</v>
      </c>
      <c r="B3288" s="3" t="s">
        <v>3552</v>
      </c>
      <c r="C3288" s="3" t="s">
        <v>3552</v>
      </c>
      <c r="D3288" s="3" t="s">
        <v>3358</v>
      </c>
    </row>
    <row r="3289" spans="1:4" x14ac:dyDescent="0.2">
      <c r="A3289" s="3">
        <v>1073</v>
      </c>
      <c r="B3289" s="3" t="s">
        <v>3553</v>
      </c>
      <c r="C3289" s="3" t="s">
        <v>3552</v>
      </c>
      <c r="D3289" s="3" t="s">
        <v>3358</v>
      </c>
    </row>
    <row r="3290" spans="1:4" x14ac:dyDescent="0.2">
      <c r="A3290" s="3">
        <v>1091</v>
      </c>
      <c r="B3290" s="3" t="s">
        <v>3554</v>
      </c>
      <c r="C3290" s="3" t="s">
        <v>3555</v>
      </c>
      <c r="D3290" s="3" t="s">
        <v>3358</v>
      </c>
    </row>
    <row r="3291" spans="1:4" x14ac:dyDescent="0.2">
      <c r="A3291" s="3">
        <v>1091</v>
      </c>
      <c r="B3291" s="3" t="s">
        <v>3556</v>
      </c>
      <c r="C3291" s="3" t="s">
        <v>3555</v>
      </c>
      <c r="D3291" s="3" t="s">
        <v>3358</v>
      </c>
    </row>
    <row r="3292" spans="1:4" x14ac:dyDescent="0.2">
      <c r="A3292" s="3">
        <v>1091</v>
      </c>
      <c r="B3292" s="3" t="s">
        <v>3557</v>
      </c>
      <c r="C3292" s="3" t="s">
        <v>3555</v>
      </c>
      <c r="D3292" s="3" t="s">
        <v>3358</v>
      </c>
    </row>
    <row r="3293" spans="1:4" x14ac:dyDescent="0.2">
      <c r="A3293" s="3">
        <v>1096</v>
      </c>
      <c r="B3293" s="3" t="s">
        <v>3558</v>
      </c>
      <c r="C3293" s="3" t="s">
        <v>3555</v>
      </c>
      <c r="D3293" s="3" t="s">
        <v>3358</v>
      </c>
    </row>
    <row r="3294" spans="1:4" x14ac:dyDescent="0.2">
      <c r="A3294" s="3">
        <v>1096</v>
      </c>
      <c r="B3294" s="3" t="s">
        <v>3559</v>
      </c>
      <c r="C3294" s="3" t="s">
        <v>3555</v>
      </c>
      <c r="D3294" s="3" t="s">
        <v>3358</v>
      </c>
    </row>
    <row r="3295" spans="1:4" x14ac:dyDescent="0.2">
      <c r="A3295" s="3">
        <v>1097</v>
      </c>
      <c r="B3295" s="3" t="s">
        <v>3560</v>
      </c>
      <c r="C3295" s="3" t="s">
        <v>3555</v>
      </c>
      <c r="D3295" s="3" t="s">
        <v>3358</v>
      </c>
    </row>
    <row r="3296" spans="1:4" x14ac:dyDescent="0.2">
      <c r="A3296" s="3">
        <v>1098</v>
      </c>
      <c r="B3296" s="3" t="s">
        <v>3561</v>
      </c>
      <c r="C3296" s="3" t="s">
        <v>3555</v>
      </c>
      <c r="D3296" s="3" t="s">
        <v>3358</v>
      </c>
    </row>
    <row r="3297" spans="1:4" x14ac:dyDescent="0.2">
      <c r="A3297" s="3">
        <v>1123</v>
      </c>
      <c r="B3297" s="3" t="s">
        <v>3562</v>
      </c>
      <c r="C3297" s="3" t="s">
        <v>3562</v>
      </c>
      <c r="D3297" s="3" t="s">
        <v>3358</v>
      </c>
    </row>
    <row r="3298" spans="1:4" x14ac:dyDescent="0.2">
      <c r="A3298" s="3">
        <v>1121</v>
      </c>
      <c r="B3298" s="3" t="s">
        <v>3563</v>
      </c>
      <c r="C3298" s="3" t="s">
        <v>3563</v>
      </c>
      <c r="D3298" s="3" t="s">
        <v>3358</v>
      </c>
    </row>
    <row r="3299" spans="1:4" x14ac:dyDescent="0.2">
      <c r="A3299" s="3">
        <v>1164</v>
      </c>
      <c r="B3299" s="3" t="s">
        <v>3564</v>
      </c>
      <c r="C3299" s="3" t="s">
        <v>3564</v>
      </c>
      <c r="D3299" s="3" t="s">
        <v>3358</v>
      </c>
    </row>
    <row r="3300" spans="1:4" x14ac:dyDescent="0.2">
      <c r="A3300" s="3">
        <v>1030</v>
      </c>
      <c r="B3300" s="3" t="s">
        <v>3565</v>
      </c>
      <c r="C3300" s="3" t="s">
        <v>3565</v>
      </c>
      <c r="D3300" s="3" t="s">
        <v>3358</v>
      </c>
    </row>
    <row r="3301" spans="1:4" x14ac:dyDescent="0.2">
      <c r="A3301" s="3">
        <v>1022</v>
      </c>
      <c r="B3301" s="3" t="s">
        <v>3566</v>
      </c>
      <c r="C3301" s="3" t="s">
        <v>3566</v>
      </c>
      <c r="D3301" s="3" t="s">
        <v>3358</v>
      </c>
    </row>
    <row r="3302" spans="1:4" x14ac:dyDescent="0.2">
      <c r="A3302" s="3">
        <v>1134</v>
      </c>
      <c r="B3302" s="3" t="s">
        <v>3567</v>
      </c>
      <c r="C3302" s="3" t="s">
        <v>3567</v>
      </c>
      <c r="D3302" s="3" t="s">
        <v>3358</v>
      </c>
    </row>
    <row r="3303" spans="1:4" x14ac:dyDescent="0.2">
      <c r="A3303" s="3">
        <v>1127</v>
      </c>
      <c r="B3303" s="3" t="s">
        <v>3568</v>
      </c>
      <c r="C3303" s="3" t="s">
        <v>3568</v>
      </c>
      <c r="D3303" s="3" t="s">
        <v>3358</v>
      </c>
    </row>
    <row r="3304" spans="1:4" x14ac:dyDescent="0.2">
      <c r="A3304" s="3">
        <v>1135</v>
      </c>
      <c r="B3304" s="3" t="s">
        <v>3569</v>
      </c>
      <c r="C3304" s="3" t="s">
        <v>3569</v>
      </c>
      <c r="D3304" s="3" t="s">
        <v>3358</v>
      </c>
    </row>
    <row r="3305" spans="1:4" x14ac:dyDescent="0.2">
      <c r="A3305" s="3">
        <v>1026</v>
      </c>
      <c r="B3305" s="3" t="s">
        <v>3570</v>
      </c>
      <c r="C3305" s="3" t="s">
        <v>3570</v>
      </c>
      <c r="D3305" s="3" t="s">
        <v>3358</v>
      </c>
    </row>
    <row r="3306" spans="1:4" x14ac:dyDescent="0.2">
      <c r="A3306" s="3">
        <v>1026</v>
      </c>
      <c r="B3306" s="3" t="s">
        <v>3571</v>
      </c>
      <c r="C3306" s="3" t="s">
        <v>3571</v>
      </c>
      <c r="D3306" s="3" t="s">
        <v>3358</v>
      </c>
    </row>
    <row r="3307" spans="1:4" x14ac:dyDescent="0.2">
      <c r="A3307" s="3">
        <v>1112</v>
      </c>
      <c r="B3307" s="3" t="s">
        <v>3572</v>
      </c>
      <c r="C3307" s="3" t="s">
        <v>3572</v>
      </c>
      <c r="D3307" s="3" t="s">
        <v>3358</v>
      </c>
    </row>
    <row r="3308" spans="1:4" x14ac:dyDescent="0.2">
      <c r="A3308" s="3">
        <v>1113</v>
      </c>
      <c r="B3308" s="3" t="s">
        <v>3573</v>
      </c>
      <c r="C3308" s="3" t="s">
        <v>3572</v>
      </c>
      <c r="D3308" s="3" t="s">
        <v>3358</v>
      </c>
    </row>
    <row r="3309" spans="1:4" x14ac:dyDescent="0.2">
      <c r="A3309" s="3">
        <v>1114</v>
      </c>
      <c r="B3309" s="3" t="s">
        <v>3574</v>
      </c>
      <c r="C3309" s="3" t="s">
        <v>3572</v>
      </c>
      <c r="D3309" s="3" t="s">
        <v>3358</v>
      </c>
    </row>
    <row r="3310" spans="1:4" x14ac:dyDescent="0.2">
      <c r="A3310" s="3">
        <v>1125</v>
      </c>
      <c r="B3310" s="3" t="s">
        <v>3575</v>
      </c>
      <c r="C3310" s="3" t="s">
        <v>3572</v>
      </c>
      <c r="D3310" s="3" t="s">
        <v>3358</v>
      </c>
    </row>
    <row r="3311" spans="1:4" x14ac:dyDescent="0.2">
      <c r="A3311" s="3">
        <v>1024</v>
      </c>
      <c r="B3311" s="3" t="s">
        <v>3576</v>
      </c>
      <c r="C3311" s="3" t="s">
        <v>3577</v>
      </c>
      <c r="D3311" s="3" t="s">
        <v>3358</v>
      </c>
    </row>
    <row r="3312" spans="1:4" x14ac:dyDescent="0.2">
      <c r="A3312" s="3">
        <v>1163</v>
      </c>
      <c r="B3312" s="3" t="s">
        <v>3578</v>
      </c>
      <c r="C3312" s="3" t="s">
        <v>3578</v>
      </c>
      <c r="D3312" s="3" t="s">
        <v>3358</v>
      </c>
    </row>
    <row r="3313" spans="1:4" x14ac:dyDescent="0.2">
      <c r="A3313" s="3">
        <v>1175</v>
      </c>
      <c r="B3313" s="3" t="s">
        <v>3579</v>
      </c>
      <c r="C3313" s="3" t="s">
        <v>3579</v>
      </c>
      <c r="D3313" s="3" t="s">
        <v>3358</v>
      </c>
    </row>
    <row r="3314" spans="1:4" x14ac:dyDescent="0.2">
      <c r="A3314" s="3">
        <v>1027</v>
      </c>
      <c r="B3314" s="3" t="s">
        <v>3580</v>
      </c>
      <c r="C3314" s="3" t="s">
        <v>3580</v>
      </c>
      <c r="D3314" s="3" t="s">
        <v>3358</v>
      </c>
    </row>
    <row r="3315" spans="1:4" x14ac:dyDescent="0.2">
      <c r="A3315" s="3">
        <v>1132</v>
      </c>
      <c r="B3315" s="3" t="s">
        <v>3581</v>
      </c>
      <c r="C3315" s="3" t="s">
        <v>3582</v>
      </c>
      <c r="D3315" s="3" t="s">
        <v>3358</v>
      </c>
    </row>
    <row r="3316" spans="1:4" x14ac:dyDescent="0.2">
      <c r="A3316" s="3">
        <v>1167</v>
      </c>
      <c r="B3316" s="3" t="s">
        <v>3583</v>
      </c>
      <c r="C3316" s="3" t="s">
        <v>3583</v>
      </c>
      <c r="D3316" s="3" t="s">
        <v>3358</v>
      </c>
    </row>
    <row r="3317" spans="1:4" x14ac:dyDescent="0.2">
      <c r="A3317" s="3">
        <v>1110</v>
      </c>
      <c r="B3317" s="3" t="s">
        <v>3584</v>
      </c>
      <c r="C3317" s="3" t="s">
        <v>3584</v>
      </c>
      <c r="D3317" s="3" t="s">
        <v>3358</v>
      </c>
    </row>
    <row r="3318" spans="1:4" x14ac:dyDescent="0.2">
      <c r="A3318" s="3">
        <v>1028</v>
      </c>
      <c r="B3318" s="3" t="s">
        <v>3585</v>
      </c>
      <c r="C3318" s="3" t="s">
        <v>3585</v>
      </c>
      <c r="D3318" s="3" t="s">
        <v>3358</v>
      </c>
    </row>
    <row r="3319" spans="1:4" x14ac:dyDescent="0.2">
      <c r="A3319" s="3">
        <v>1122</v>
      </c>
      <c r="B3319" s="3" t="s">
        <v>3586</v>
      </c>
      <c r="C3319" s="3" t="s">
        <v>3586</v>
      </c>
      <c r="D3319" s="3" t="s">
        <v>3358</v>
      </c>
    </row>
    <row r="3320" spans="1:4" x14ac:dyDescent="0.2">
      <c r="A3320" s="3">
        <v>1162</v>
      </c>
      <c r="B3320" s="3" t="s">
        <v>3587</v>
      </c>
      <c r="C3320" s="3" t="s">
        <v>3588</v>
      </c>
      <c r="D3320" s="3" t="s">
        <v>3358</v>
      </c>
    </row>
    <row r="3321" spans="1:4" x14ac:dyDescent="0.2">
      <c r="A3321" s="3">
        <v>1025</v>
      </c>
      <c r="B3321" s="3" t="s">
        <v>3589</v>
      </c>
      <c r="C3321" s="3" t="s">
        <v>3590</v>
      </c>
      <c r="D3321" s="3" t="s">
        <v>3358</v>
      </c>
    </row>
    <row r="3322" spans="1:4" x14ac:dyDescent="0.2">
      <c r="A3322" s="3">
        <v>1131</v>
      </c>
      <c r="B3322" s="3" t="s">
        <v>3591</v>
      </c>
      <c r="C3322" s="3" t="s">
        <v>3591</v>
      </c>
      <c r="D3322" s="3" t="s">
        <v>3358</v>
      </c>
    </row>
    <row r="3323" spans="1:4" x14ac:dyDescent="0.2">
      <c r="A3323" s="3">
        <v>1126</v>
      </c>
      <c r="B3323" s="3" t="s">
        <v>3592</v>
      </c>
      <c r="C3323" s="3" t="s">
        <v>3592</v>
      </c>
      <c r="D3323" s="3" t="s">
        <v>3358</v>
      </c>
    </row>
    <row r="3324" spans="1:4" x14ac:dyDescent="0.2">
      <c r="A3324" s="3">
        <v>1029</v>
      </c>
      <c r="B3324" s="3" t="s">
        <v>3593</v>
      </c>
      <c r="C3324" s="3" t="s">
        <v>3594</v>
      </c>
      <c r="D3324" s="3" t="s">
        <v>3358</v>
      </c>
    </row>
    <row r="3325" spans="1:4" x14ac:dyDescent="0.2">
      <c r="A3325" s="3">
        <v>1168</v>
      </c>
      <c r="B3325" s="3" t="s">
        <v>3595</v>
      </c>
      <c r="C3325" s="3" t="s">
        <v>3595</v>
      </c>
      <c r="D3325" s="3" t="s">
        <v>3358</v>
      </c>
    </row>
    <row r="3326" spans="1:4" x14ac:dyDescent="0.2">
      <c r="A3326" s="3">
        <v>1134</v>
      </c>
      <c r="B3326" s="3" t="s">
        <v>3596</v>
      </c>
      <c r="C3326" s="3" t="s">
        <v>3596</v>
      </c>
      <c r="D3326" s="3" t="s">
        <v>3358</v>
      </c>
    </row>
    <row r="3327" spans="1:4" x14ac:dyDescent="0.2">
      <c r="A3327" s="3">
        <v>1115</v>
      </c>
      <c r="B3327" s="3" t="s">
        <v>3597</v>
      </c>
      <c r="C3327" s="3" t="s">
        <v>3597</v>
      </c>
      <c r="D3327" s="3" t="s">
        <v>3358</v>
      </c>
    </row>
    <row r="3328" spans="1:4" x14ac:dyDescent="0.2">
      <c r="A3328" s="3">
        <v>1169</v>
      </c>
      <c r="B3328" s="3" t="s">
        <v>3598</v>
      </c>
      <c r="C3328" s="3" t="s">
        <v>3598</v>
      </c>
      <c r="D3328" s="3" t="s">
        <v>3358</v>
      </c>
    </row>
    <row r="3329" spans="1:4" x14ac:dyDescent="0.2">
      <c r="A3329" s="3">
        <v>1116</v>
      </c>
      <c r="B3329" s="3" t="s">
        <v>3599</v>
      </c>
      <c r="C3329" s="3" t="s">
        <v>3600</v>
      </c>
      <c r="D3329" s="3" t="s">
        <v>3358</v>
      </c>
    </row>
    <row r="3330" spans="1:4" x14ac:dyDescent="0.2">
      <c r="A3330" s="3">
        <v>1128</v>
      </c>
      <c r="B3330" s="3" t="s">
        <v>3601</v>
      </c>
      <c r="C3330" s="3" t="s">
        <v>3600</v>
      </c>
      <c r="D3330" s="3" t="s">
        <v>3358</v>
      </c>
    </row>
    <row r="3331" spans="1:4" x14ac:dyDescent="0.2">
      <c r="A3331" s="3">
        <v>1136</v>
      </c>
      <c r="B3331" s="3" t="s">
        <v>3602</v>
      </c>
      <c r="C3331" s="3" t="s">
        <v>3600</v>
      </c>
      <c r="D3331" s="3" t="s">
        <v>3358</v>
      </c>
    </row>
    <row r="3332" spans="1:4" x14ac:dyDescent="0.2">
      <c r="A3332" s="3">
        <v>1141</v>
      </c>
      <c r="B3332" s="3" t="s">
        <v>3603</v>
      </c>
      <c r="C3332" s="3" t="s">
        <v>3600</v>
      </c>
      <c r="D3332" s="3" t="s">
        <v>3358</v>
      </c>
    </row>
    <row r="3333" spans="1:4" x14ac:dyDescent="0.2">
      <c r="A3333" s="3">
        <v>1142</v>
      </c>
      <c r="B3333" s="3" t="s">
        <v>3604</v>
      </c>
      <c r="C3333" s="3" t="s">
        <v>3600</v>
      </c>
      <c r="D3333" s="3" t="s">
        <v>3358</v>
      </c>
    </row>
    <row r="3334" spans="1:4" x14ac:dyDescent="0.2">
      <c r="A3334" s="3">
        <v>1143</v>
      </c>
      <c r="B3334" s="3" t="s">
        <v>3605</v>
      </c>
      <c r="C3334" s="3" t="s">
        <v>3600</v>
      </c>
      <c r="D3334" s="3" t="s">
        <v>3358</v>
      </c>
    </row>
    <row r="3335" spans="1:4" x14ac:dyDescent="0.2">
      <c r="A3335" s="3">
        <v>1063</v>
      </c>
      <c r="B3335" s="3" t="s">
        <v>3606</v>
      </c>
      <c r="C3335" s="3" t="s">
        <v>3606</v>
      </c>
      <c r="D3335" s="3" t="s">
        <v>3358</v>
      </c>
    </row>
    <row r="3336" spans="1:4" x14ac:dyDescent="0.2">
      <c r="A3336" s="3">
        <v>1514</v>
      </c>
      <c r="B3336" s="3" t="s">
        <v>3607</v>
      </c>
      <c r="C3336" s="3" t="s">
        <v>3607</v>
      </c>
      <c r="D3336" s="3" t="s">
        <v>3358</v>
      </c>
    </row>
    <row r="3337" spans="1:4" x14ac:dyDescent="0.2">
      <c r="A3337" s="3">
        <v>1512</v>
      </c>
      <c r="B3337" s="3" t="s">
        <v>3608</v>
      </c>
      <c r="C3337" s="3" t="s">
        <v>3608</v>
      </c>
      <c r="D3337" s="3" t="s">
        <v>3358</v>
      </c>
    </row>
    <row r="3338" spans="1:4" x14ac:dyDescent="0.2">
      <c r="A3338" s="3">
        <v>1521</v>
      </c>
      <c r="B3338" s="3" t="s">
        <v>3609</v>
      </c>
      <c r="C3338" s="3" t="s">
        <v>3609</v>
      </c>
      <c r="D3338" s="3" t="s">
        <v>3358</v>
      </c>
    </row>
    <row r="3339" spans="1:4" x14ac:dyDescent="0.2">
      <c r="A3339" s="3">
        <v>1682</v>
      </c>
      <c r="B3339" s="3" t="s">
        <v>3610</v>
      </c>
      <c r="C3339" s="3" t="s">
        <v>3611</v>
      </c>
      <c r="D3339" s="3" t="s">
        <v>3358</v>
      </c>
    </row>
    <row r="3340" spans="1:4" x14ac:dyDescent="0.2">
      <c r="A3340" s="3">
        <v>1513</v>
      </c>
      <c r="B3340" s="3" t="s">
        <v>3612</v>
      </c>
      <c r="C3340" s="3" t="s">
        <v>3612</v>
      </c>
      <c r="D3340" s="3" t="s">
        <v>3358</v>
      </c>
    </row>
    <row r="3341" spans="1:4" x14ac:dyDescent="0.2">
      <c r="A3341" s="3">
        <v>1682</v>
      </c>
      <c r="B3341" s="3" t="s">
        <v>3613</v>
      </c>
      <c r="C3341" s="3" t="s">
        <v>3613</v>
      </c>
      <c r="D3341" s="3" t="s">
        <v>3358</v>
      </c>
    </row>
    <row r="3342" spans="1:4" x14ac:dyDescent="0.2">
      <c r="A3342" s="3">
        <v>1522</v>
      </c>
      <c r="B3342" s="3" t="s">
        <v>3614</v>
      </c>
      <c r="C3342" s="3" t="s">
        <v>3614</v>
      </c>
      <c r="D3342" s="3" t="s">
        <v>3358</v>
      </c>
    </row>
    <row r="3343" spans="1:4" x14ac:dyDescent="0.2">
      <c r="A3343" s="3">
        <v>1522</v>
      </c>
      <c r="B3343" s="3" t="s">
        <v>3615</v>
      </c>
      <c r="C3343" s="3" t="s">
        <v>3614</v>
      </c>
      <c r="D3343" s="3" t="s">
        <v>3358</v>
      </c>
    </row>
    <row r="3344" spans="1:4" x14ac:dyDescent="0.2">
      <c r="A3344" s="3">
        <v>1526</v>
      </c>
      <c r="B3344" s="3" t="s">
        <v>3616</v>
      </c>
      <c r="C3344" s="3" t="s">
        <v>3614</v>
      </c>
      <c r="D3344" s="3" t="s">
        <v>3358</v>
      </c>
    </row>
    <row r="3345" spans="1:4" x14ac:dyDescent="0.2">
      <c r="A3345" s="3">
        <v>1526</v>
      </c>
      <c r="B3345" s="3" t="s">
        <v>3617</v>
      </c>
      <c r="C3345" s="3" t="s">
        <v>3614</v>
      </c>
      <c r="D3345" s="3" t="s">
        <v>3358</v>
      </c>
    </row>
    <row r="3346" spans="1:4" x14ac:dyDescent="0.2">
      <c r="A3346" s="3">
        <v>1683</v>
      </c>
      <c r="B3346" s="3" t="s">
        <v>3618</v>
      </c>
      <c r="C3346" s="3" t="s">
        <v>3614</v>
      </c>
      <c r="D3346" s="3" t="s">
        <v>3358</v>
      </c>
    </row>
    <row r="3347" spans="1:4" x14ac:dyDescent="0.2">
      <c r="A3347" s="3">
        <v>1683</v>
      </c>
      <c r="B3347" s="3" t="s">
        <v>3619</v>
      </c>
      <c r="C3347" s="3" t="s">
        <v>3614</v>
      </c>
      <c r="D3347" s="3" t="s">
        <v>3358</v>
      </c>
    </row>
    <row r="3348" spans="1:4" x14ac:dyDescent="0.2">
      <c r="A3348" s="3">
        <v>1683</v>
      </c>
      <c r="B3348" s="3" t="s">
        <v>3620</v>
      </c>
      <c r="C3348" s="3" t="s">
        <v>3614</v>
      </c>
      <c r="D3348" s="3" t="s">
        <v>3358</v>
      </c>
    </row>
    <row r="3349" spans="1:4" x14ac:dyDescent="0.2">
      <c r="A3349" s="3">
        <v>1510</v>
      </c>
      <c r="B3349" s="3" t="s">
        <v>3621</v>
      </c>
      <c r="C3349" s="3" t="s">
        <v>3621</v>
      </c>
      <c r="D3349" s="3" t="s">
        <v>3358</v>
      </c>
    </row>
    <row r="3350" spans="1:4" x14ac:dyDescent="0.2">
      <c r="A3350" s="3">
        <v>1045</v>
      </c>
      <c r="B3350" s="3" t="s">
        <v>3622</v>
      </c>
      <c r="C3350" s="3" t="s">
        <v>3622</v>
      </c>
      <c r="D3350" s="3" t="s">
        <v>3358</v>
      </c>
    </row>
    <row r="3351" spans="1:4" x14ac:dyDescent="0.2">
      <c r="A3351" s="3">
        <v>1682</v>
      </c>
      <c r="B3351" s="3" t="s">
        <v>3623</v>
      </c>
      <c r="C3351" s="3" t="s">
        <v>3623</v>
      </c>
      <c r="D3351" s="3" t="s">
        <v>3358</v>
      </c>
    </row>
    <row r="3352" spans="1:4" x14ac:dyDescent="0.2">
      <c r="A3352" s="3">
        <v>1513</v>
      </c>
      <c r="B3352" s="3" t="s">
        <v>3624</v>
      </c>
      <c r="C3352" s="3" t="s">
        <v>3624</v>
      </c>
      <c r="D3352" s="3" t="s">
        <v>3358</v>
      </c>
    </row>
    <row r="3353" spans="1:4" x14ac:dyDescent="0.2">
      <c r="A3353" s="3">
        <v>1510</v>
      </c>
      <c r="B3353" s="3" t="s">
        <v>3625</v>
      </c>
      <c r="C3353" s="3" t="s">
        <v>3625</v>
      </c>
      <c r="D3353" s="3" t="s">
        <v>3358</v>
      </c>
    </row>
    <row r="3354" spans="1:4" x14ac:dyDescent="0.2">
      <c r="A3354" s="3">
        <v>1515</v>
      </c>
      <c r="B3354" s="3" t="s">
        <v>3626</v>
      </c>
      <c r="C3354" s="3" t="s">
        <v>3626</v>
      </c>
      <c r="D3354" s="3" t="s">
        <v>3358</v>
      </c>
    </row>
    <row r="3355" spans="1:4" x14ac:dyDescent="0.2">
      <c r="A3355" s="3">
        <v>1509</v>
      </c>
      <c r="B3355" s="3" t="s">
        <v>3627</v>
      </c>
      <c r="C3355" s="3" t="s">
        <v>3627</v>
      </c>
      <c r="D3355" s="3" t="s">
        <v>3358</v>
      </c>
    </row>
    <row r="3356" spans="1:4" x14ac:dyDescent="0.2">
      <c r="A3356" s="3">
        <v>1063</v>
      </c>
      <c r="B3356" s="3" t="s">
        <v>3628</v>
      </c>
      <c r="C3356" s="3" t="s">
        <v>3629</v>
      </c>
      <c r="D3356" s="3" t="s">
        <v>3358</v>
      </c>
    </row>
    <row r="3357" spans="1:4" x14ac:dyDescent="0.2">
      <c r="A3357" s="3">
        <v>1063</v>
      </c>
      <c r="B3357" s="3" t="s">
        <v>3630</v>
      </c>
      <c r="C3357" s="3" t="s">
        <v>3629</v>
      </c>
      <c r="D3357" s="3" t="s">
        <v>3358</v>
      </c>
    </row>
    <row r="3358" spans="1:4" x14ac:dyDescent="0.2">
      <c r="A3358" s="3">
        <v>1063</v>
      </c>
      <c r="B3358" s="3" t="s">
        <v>3631</v>
      </c>
      <c r="C3358" s="3" t="s">
        <v>3629</v>
      </c>
      <c r="D3358" s="3" t="s">
        <v>3358</v>
      </c>
    </row>
    <row r="3359" spans="1:4" x14ac:dyDescent="0.2">
      <c r="A3359" s="3">
        <v>1409</v>
      </c>
      <c r="B3359" s="3" t="s">
        <v>3632</v>
      </c>
      <c r="C3359" s="3" t="s">
        <v>3629</v>
      </c>
      <c r="D3359" s="3" t="s">
        <v>3358</v>
      </c>
    </row>
    <row r="3360" spans="1:4" x14ac:dyDescent="0.2">
      <c r="A3360" s="3">
        <v>1410</v>
      </c>
      <c r="B3360" s="3" t="s">
        <v>3633</v>
      </c>
      <c r="C3360" s="3" t="s">
        <v>3629</v>
      </c>
      <c r="D3360" s="3" t="s">
        <v>3358</v>
      </c>
    </row>
    <row r="3361" spans="1:4" x14ac:dyDescent="0.2">
      <c r="A3361" s="3">
        <v>1410</v>
      </c>
      <c r="B3361" s="3" t="s">
        <v>3634</v>
      </c>
      <c r="C3361" s="3" t="s">
        <v>3629</v>
      </c>
      <c r="D3361" s="3" t="s">
        <v>3358</v>
      </c>
    </row>
    <row r="3362" spans="1:4" x14ac:dyDescent="0.2">
      <c r="A3362" s="3">
        <v>1410</v>
      </c>
      <c r="B3362" s="3" t="s">
        <v>3635</v>
      </c>
      <c r="C3362" s="3" t="s">
        <v>3629</v>
      </c>
      <c r="D3362" s="3" t="s">
        <v>3358</v>
      </c>
    </row>
    <row r="3363" spans="1:4" x14ac:dyDescent="0.2">
      <c r="A3363" s="3">
        <v>1410</v>
      </c>
      <c r="B3363" s="3" t="s">
        <v>3636</v>
      </c>
      <c r="C3363" s="3" t="s">
        <v>3629</v>
      </c>
      <c r="D3363" s="3" t="s">
        <v>3358</v>
      </c>
    </row>
    <row r="3364" spans="1:4" x14ac:dyDescent="0.2">
      <c r="A3364" s="3">
        <v>1515</v>
      </c>
      <c r="B3364" s="3" t="s">
        <v>3637</v>
      </c>
      <c r="C3364" s="3" t="s">
        <v>3629</v>
      </c>
      <c r="D3364" s="3" t="s">
        <v>3358</v>
      </c>
    </row>
    <row r="3365" spans="1:4" x14ac:dyDescent="0.2">
      <c r="A3365" s="3">
        <v>1277</v>
      </c>
      <c r="B3365" s="3" t="s">
        <v>3638</v>
      </c>
      <c r="C3365" s="3" t="s">
        <v>3638</v>
      </c>
      <c r="D3365" s="3" t="s">
        <v>3358</v>
      </c>
    </row>
    <row r="3366" spans="1:4" x14ac:dyDescent="0.2">
      <c r="A3366" s="3">
        <v>1273</v>
      </c>
      <c r="B3366" s="3" t="s">
        <v>3639</v>
      </c>
      <c r="C3366" s="3" t="s">
        <v>3639</v>
      </c>
      <c r="D3366" s="3" t="s">
        <v>3358</v>
      </c>
    </row>
    <row r="3367" spans="1:4" x14ac:dyDescent="0.2">
      <c r="A3367" s="3">
        <v>1269</v>
      </c>
      <c r="B3367" s="3" t="s">
        <v>3640</v>
      </c>
      <c r="C3367" s="3" t="s">
        <v>3640</v>
      </c>
      <c r="D3367" s="3" t="s">
        <v>3358</v>
      </c>
    </row>
    <row r="3368" spans="1:4" x14ac:dyDescent="0.2">
      <c r="A3368" s="3">
        <v>1268</v>
      </c>
      <c r="B3368" s="3" t="s">
        <v>3641</v>
      </c>
      <c r="C3368" s="3" t="s">
        <v>3641</v>
      </c>
      <c r="D3368" s="3" t="s">
        <v>3358</v>
      </c>
    </row>
    <row r="3369" spans="1:4" x14ac:dyDescent="0.2">
      <c r="A3369" s="3">
        <v>1279</v>
      </c>
      <c r="B3369" s="3" t="s">
        <v>3642</v>
      </c>
      <c r="C3369" s="3" t="s">
        <v>3642</v>
      </c>
      <c r="D3369" s="3" t="s">
        <v>3358</v>
      </c>
    </row>
    <row r="3370" spans="1:4" x14ac:dyDescent="0.2">
      <c r="A3370" s="3">
        <v>1277</v>
      </c>
      <c r="B3370" s="3" t="s">
        <v>3643</v>
      </c>
      <c r="C3370" s="3" t="s">
        <v>3643</v>
      </c>
      <c r="D3370" s="3" t="s">
        <v>3358</v>
      </c>
    </row>
    <row r="3371" spans="1:4" x14ac:dyDescent="0.2">
      <c r="A3371" s="3">
        <v>1279</v>
      </c>
      <c r="B3371" s="3" t="s">
        <v>3644</v>
      </c>
      <c r="C3371" s="3" t="s">
        <v>3644</v>
      </c>
      <c r="D3371" s="3" t="s">
        <v>3358</v>
      </c>
    </row>
    <row r="3372" spans="1:4" x14ac:dyDescent="0.2">
      <c r="A3372" s="3">
        <v>1290</v>
      </c>
      <c r="B3372" s="3" t="s">
        <v>3645</v>
      </c>
      <c r="C3372" s="3" t="s">
        <v>3645</v>
      </c>
      <c r="D3372" s="3" t="s">
        <v>3358</v>
      </c>
    </row>
    <row r="3373" spans="1:4" x14ac:dyDescent="0.2">
      <c r="A3373" s="3">
        <v>1275</v>
      </c>
      <c r="B3373" s="3" t="s">
        <v>3646</v>
      </c>
      <c r="C3373" s="3" t="s">
        <v>3646</v>
      </c>
      <c r="D3373" s="3" t="s">
        <v>3358</v>
      </c>
    </row>
    <row r="3374" spans="1:4" x14ac:dyDescent="0.2">
      <c r="A3374" s="3">
        <v>1267</v>
      </c>
      <c r="B3374" s="3" t="s">
        <v>3647</v>
      </c>
      <c r="C3374" s="3" t="s">
        <v>3647</v>
      </c>
      <c r="D3374" s="3" t="s">
        <v>3358</v>
      </c>
    </row>
    <row r="3375" spans="1:4" x14ac:dyDescent="0.2">
      <c r="A3375" s="3">
        <v>1291</v>
      </c>
      <c r="B3375" s="3" t="s">
        <v>3648</v>
      </c>
      <c r="C3375" s="3" t="s">
        <v>3648</v>
      </c>
      <c r="D3375" s="3" t="s">
        <v>3358</v>
      </c>
    </row>
    <row r="3376" spans="1:4" x14ac:dyDescent="0.2">
      <c r="A3376" s="3">
        <v>1296</v>
      </c>
      <c r="B3376" s="3" t="s">
        <v>3649</v>
      </c>
      <c r="C3376" s="3" t="s">
        <v>3649</v>
      </c>
      <c r="D3376" s="3" t="s">
        <v>3358</v>
      </c>
    </row>
    <row r="3377" spans="1:4" x14ac:dyDescent="0.2">
      <c r="A3377" s="3">
        <v>1299</v>
      </c>
      <c r="B3377" s="3" t="s">
        <v>3650</v>
      </c>
      <c r="C3377" s="3" t="s">
        <v>3651</v>
      </c>
      <c r="D3377" s="3" t="s">
        <v>3358</v>
      </c>
    </row>
    <row r="3378" spans="1:4" x14ac:dyDescent="0.2">
      <c r="A3378" s="3">
        <v>1263</v>
      </c>
      <c r="B3378" s="3" t="s">
        <v>3652</v>
      </c>
      <c r="C3378" s="3" t="s">
        <v>3652</v>
      </c>
      <c r="D3378" s="3" t="s">
        <v>3358</v>
      </c>
    </row>
    <row r="3379" spans="1:4" x14ac:dyDescent="0.2">
      <c r="A3379" s="3">
        <v>1266</v>
      </c>
      <c r="B3379" s="3" t="s">
        <v>3653</v>
      </c>
      <c r="C3379" s="3" t="s">
        <v>3653</v>
      </c>
      <c r="D3379" s="3" t="s">
        <v>3358</v>
      </c>
    </row>
    <row r="3380" spans="1:4" x14ac:dyDescent="0.2">
      <c r="A3380" s="3">
        <v>1262</v>
      </c>
      <c r="B3380" s="3" t="s">
        <v>3654</v>
      </c>
      <c r="C3380" s="3" t="s">
        <v>3654</v>
      </c>
      <c r="D3380" s="3" t="s">
        <v>3358</v>
      </c>
    </row>
    <row r="3381" spans="1:4" x14ac:dyDescent="0.2">
      <c r="A3381" s="3">
        <v>1297</v>
      </c>
      <c r="B3381" s="3" t="s">
        <v>3655</v>
      </c>
      <c r="C3381" s="3" t="s">
        <v>3655</v>
      </c>
      <c r="D3381" s="3" t="s">
        <v>3358</v>
      </c>
    </row>
    <row r="3382" spans="1:4" x14ac:dyDescent="0.2">
      <c r="A3382" s="3">
        <v>1272</v>
      </c>
      <c r="B3382" s="3" t="s">
        <v>3656</v>
      </c>
      <c r="C3382" s="3" t="s">
        <v>3656</v>
      </c>
      <c r="D3382" s="3" t="s">
        <v>3358</v>
      </c>
    </row>
    <row r="3383" spans="1:4" x14ac:dyDescent="0.2">
      <c r="A3383" s="3">
        <v>1276</v>
      </c>
      <c r="B3383" s="3" t="s">
        <v>3657</v>
      </c>
      <c r="C3383" s="3" t="s">
        <v>3657</v>
      </c>
      <c r="D3383" s="3" t="s">
        <v>3358</v>
      </c>
    </row>
    <row r="3384" spans="1:4" x14ac:dyDescent="0.2">
      <c r="A3384" s="3">
        <v>1271</v>
      </c>
      <c r="B3384" s="3" t="s">
        <v>3658</v>
      </c>
      <c r="C3384" s="3" t="s">
        <v>3658</v>
      </c>
      <c r="D3384" s="3" t="s">
        <v>3358</v>
      </c>
    </row>
    <row r="3385" spans="1:4" x14ac:dyDescent="0.2">
      <c r="A3385" s="3">
        <v>1196</v>
      </c>
      <c r="B3385" s="3" t="s">
        <v>3659</v>
      </c>
      <c r="C3385" s="3" t="s">
        <v>3659</v>
      </c>
      <c r="D3385" s="3" t="s">
        <v>3358</v>
      </c>
    </row>
    <row r="3386" spans="1:4" x14ac:dyDescent="0.2">
      <c r="A3386" s="3">
        <v>1274</v>
      </c>
      <c r="B3386" s="3" t="s">
        <v>3660</v>
      </c>
      <c r="C3386" s="3" t="s">
        <v>3660</v>
      </c>
      <c r="D3386" s="3" t="s">
        <v>3358</v>
      </c>
    </row>
    <row r="3387" spans="1:4" x14ac:dyDescent="0.2">
      <c r="A3387" s="3">
        <v>1295</v>
      </c>
      <c r="B3387" s="3" t="s">
        <v>3661</v>
      </c>
      <c r="C3387" s="3" t="s">
        <v>3661</v>
      </c>
      <c r="D3387" s="3" t="s">
        <v>3358</v>
      </c>
    </row>
    <row r="3388" spans="1:4" x14ac:dyDescent="0.2">
      <c r="A3388" s="3">
        <v>1260</v>
      </c>
      <c r="B3388" s="3" t="s">
        <v>3662</v>
      </c>
      <c r="C3388" s="3" t="s">
        <v>3662</v>
      </c>
      <c r="D3388" s="3" t="s">
        <v>3358</v>
      </c>
    </row>
    <row r="3389" spans="1:4" x14ac:dyDescent="0.2">
      <c r="A3389" s="3">
        <v>1197</v>
      </c>
      <c r="B3389" s="3" t="s">
        <v>3663</v>
      </c>
      <c r="C3389" s="3" t="s">
        <v>3663</v>
      </c>
      <c r="D3389" s="3" t="s">
        <v>3358</v>
      </c>
    </row>
    <row r="3390" spans="1:4" x14ac:dyDescent="0.2">
      <c r="A3390" s="3">
        <v>1278</v>
      </c>
      <c r="B3390" s="3" t="s">
        <v>3664</v>
      </c>
      <c r="C3390" s="3" t="s">
        <v>3664</v>
      </c>
      <c r="D3390" s="3" t="s">
        <v>3358</v>
      </c>
    </row>
    <row r="3391" spans="1:4" x14ac:dyDescent="0.2">
      <c r="A3391" s="3">
        <v>1264</v>
      </c>
      <c r="B3391" s="3" t="s">
        <v>3665</v>
      </c>
      <c r="C3391" s="3" t="s">
        <v>3666</v>
      </c>
      <c r="D3391" s="3" t="s">
        <v>3358</v>
      </c>
    </row>
    <row r="3392" spans="1:4" x14ac:dyDescent="0.2">
      <c r="A3392" s="3">
        <v>1265</v>
      </c>
      <c r="B3392" s="3" t="s">
        <v>3667</v>
      </c>
      <c r="C3392" s="3" t="s">
        <v>3666</v>
      </c>
      <c r="D3392" s="3" t="s">
        <v>3358</v>
      </c>
    </row>
    <row r="3393" spans="1:4" x14ac:dyDescent="0.2">
      <c r="A3393" s="3">
        <v>1274</v>
      </c>
      <c r="B3393" s="3" t="s">
        <v>3668</v>
      </c>
      <c r="C3393" s="3" t="s">
        <v>3669</v>
      </c>
      <c r="D3393" s="3" t="s">
        <v>3358</v>
      </c>
    </row>
    <row r="3394" spans="1:4" x14ac:dyDescent="0.2">
      <c r="A3394" s="3">
        <v>1295</v>
      </c>
      <c r="B3394" s="3" t="s">
        <v>3670</v>
      </c>
      <c r="C3394" s="3" t="s">
        <v>3670</v>
      </c>
      <c r="D3394" s="3" t="s">
        <v>3358</v>
      </c>
    </row>
    <row r="3395" spans="1:4" x14ac:dyDescent="0.2">
      <c r="A3395" s="3">
        <v>1270</v>
      </c>
      <c r="B3395" s="3" t="s">
        <v>3671</v>
      </c>
      <c r="C3395" s="3" t="s">
        <v>3671</v>
      </c>
      <c r="D3395" s="3" t="s">
        <v>3358</v>
      </c>
    </row>
    <row r="3396" spans="1:4" x14ac:dyDescent="0.2">
      <c r="A3396" s="3">
        <v>1261</v>
      </c>
      <c r="B3396" s="3" t="s">
        <v>3672</v>
      </c>
      <c r="C3396" s="3" t="s">
        <v>3672</v>
      </c>
      <c r="D3396" s="3" t="s">
        <v>3358</v>
      </c>
    </row>
    <row r="3397" spans="1:4" x14ac:dyDescent="0.2">
      <c r="A3397" s="3">
        <v>1267</v>
      </c>
      <c r="B3397" s="3" t="s">
        <v>3673</v>
      </c>
      <c r="C3397" s="3" t="s">
        <v>3673</v>
      </c>
      <c r="D3397" s="3" t="s">
        <v>3358</v>
      </c>
    </row>
    <row r="3398" spans="1:4" x14ac:dyDescent="0.2">
      <c r="A3398" s="3">
        <v>1355</v>
      </c>
      <c r="B3398" s="3" t="s">
        <v>3674</v>
      </c>
      <c r="C3398" s="3" t="s">
        <v>3674</v>
      </c>
      <c r="D3398" s="3" t="s">
        <v>3358</v>
      </c>
    </row>
    <row r="3399" spans="1:4" x14ac:dyDescent="0.2">
      <c r="A3399" s="3">
        <v>1352</v>
      </c>
      <c r="B3399" s="3" t="s">
        <v>3675</v>
      </c>
      <c r="C3399" s="3" t="s">
        <v>3675</v>
      </c>
      <c r="D3399" s="3" t="s">
        <v>3358</v>
      </c>
    </row>
    <row r="3400" spans="1:4" x14ac:dyDescent="0.2">
      <c r="A3400" s="3">
        <v>1321</v>
      </c>
      <c r="B3400" s="3" t="s">
        <v>3676</v>
      </c>
      <c r="C3400" s="3" t="s">
        <v>3676</v>
      </c>
      <c r="D3400" s="3" t="s">
        <v>3358</v>
      </c>
    </row>
    <row r="3401" spans="1:4" x14ac:dyDescent="0.2">
      <c r="A3401" s="3">
        <v>1338</v>
      </c>
      <c r="B3401" s="3" t="s">
        <v>3677</v>
      </c>
      <c r="C3401" s="3" t="s">
        <v>3677</v>
      </c>
      <c r="D3401" s="3" t="s">
        <v>3358</v>
      </c>
    </row>
    <row r="3402" spans="1:4" x14ac:dyDescent="0.2">
      <c r="A3402" s="3">
        <v>1446</v>
      </c>
      <c r="B3402" s="3" t="s">
        <v>3678</v>
      </c>
      <c r="C3402" s="3" t="s">
        <v>3678</v>
      </c>
      <c r="D3402" s="3" t="s">
        <v>3358</v>
      </c>
    </row>
    <row r="3403" spans="1:4" x14ac:dyDescent="0.2">
      <c r="A3403" s="3">
        <v>1372</v>
      </c>
      <c r="B3403" s="3" t="s">
        <v>3679</v>
      </c>
      <c r="C3403" s="3" t="s">
        <v>3679</v>
      </c>
      <c r="D3403" s="3" t="s">
        <v>3358</v>
      </c>
    </row>
    <row r="3404" spans="1:4" x14ac:dyDescent="0.2">
      <c r="A3404" s="3">
        <v>1353</v>
      </c>
      <c r="B3404" s="3" t="s">
        <v>3680</v>
      </c>
      <c r="C3404" s="3" t="s">
        <v>3680</v>
      </c>
      <c r="D3404" s="3" t="s">
        <v>3358</v>
      </c>
    </row>
    <row r="3405" spans="1:4" x14ac:dyDescent="0.2">
      <c r="A3405" s="3">
        <v>1329</v>
      </c>
      <c r="B3405" s="3" t="s">
        <v>3681</v>
      </c>
      <c r="C3405" s="3" t="s">
        <v>3681</v>
      </c>
      <c r="D3405" s="3" t="s">
        <v>3358</v>
      </c>
    </row>
    <row r="3406" spans="1:4" x14ac:dyDescent="0.2">
      <c r="A3406" s="3">
        <v>1373</v>
      </c>
      <c r="B3406" s="3" t="s">
        <v>3682</v>
      </c>
      <c r="C3406" s="3" t="s">
        <v>3682</v>
      </c>
      <c r="D3406" s="3" t="s">
        <v>3358</v>
      </c>
    </row>
    <row r="3407" spans="1:4" x14ac:dyDescent="0.2">
      <c r="A3407" s="3">
        <v>1374</v>
      </c>
      <c r="B3407" s="3" t="s">
        <v>3683</v>
      </c>
      <c r="C3407" s="3" t="s">
        <v>3682</v>
      </c>
      <c r="D3407" s="3" t="s">
        <v>3358</v>
      </c>
    </row>
    <row r="3408" spans="1:4" x14ac:dyDescent="0.2">
      <c r="A3408" s="3">
        <v>1435</v>
      </c>
      <c r="B3408" s="3" t="s">
        <v>3684</v>
      </c>
      <c r="C3408" s="3" t="s">
        <v>3682</v>
      </c>
      <c r="D3408" s="3" t="s">
        <v>3358</v>
      </c>
    </row>
    <row r="3409" spans="1:4" x14ac:dyDescent="0.2">
      <c r="A3409" s="3">
        <v>1356</v>
      </c>
      <c r="B3409" s="3" t="s">
        <v>3685</v>
      </c>
      <c r="C3409" s="3" t="s">
        <v>3685</v>
      </c>
      <c r="D3409" s="3" t="s">
        <v>3358</v>
      </c>
    </row>
    <row r="3410" spans="1:4" x14ac:dyDescent="0.2">
      <c r="A3410" s="3">
        <v>1356</v>
      </c>
      <c r="B3410" s="3" t="s">
        <v>3686</v>
      </c>
      <c r="C3410" s="3" t="s">
        <v>3685</v>
      </c>
      <c r="D3410" s="3" t="s">
        <v>3358</v>
      </c>
    </row>
    <row r="3411" spans="1:4" x14ac:dyDescent="0.2">
      <c r="A3411" s="3">
        <v>1322</v>
      </c>
      <c r="B3411" s="3" t="s">
        <v>3687</v>
      </c>
      <c r="C3411" s="3" t="s">
        <v>3687</v>
      </c>
      <c r="D3411" s="3" t="s">
        <v>3358</v>
      </c>
    </row>
    <row r="3412" spans="1:4" x14ac:dyDescent="0.2">
      <c r="A3412" s="3">
        <v>1326</v>
      </c>
      <c r="B3412" s="3" t="s">
        <v>3688</v>
      </c>
      <c r="C3412" s="3" t="s">
        <v>3688</v>
      </c>
      <c r="D3412" s="3" t="s">
        <v>3358</v>
      </c>
    </row>
    <row r="3413" spans="1:4" x14ac:dyDescent="0.2">
      <c r="A3413" s="3">
        <v>1357</v>
      </c>
      <c r="B3413" s="3" t="s">
        <v>3689</v>
      </c>
      <c r="C3413" s="3" t="s">
        <v>3689</v>
      </c>
      <c r="D3413" s="3" t="s">
        <v>3358</v>
      </c>
    </row>
    <row r="3414" spans="1:4" x14ac:dyDescent="0.2">
      <c r="A3414" s="3">
        <v>1354</v>
      </c>
      <c r="B3414" s="3" t="s">
        <v>3690</v>
      </c>
      <c r="C3414" s="3" t="s">
        <v>3690</v>
      </c>
      <c r="D3414" s="3" t="s">
        <v>3358</v>
      </c>
    </row>
    <row r="3415" spans="1:4" x14ac:dyDescent="0.2">
      <c r="A3415" s="3">
        <v>1350</v>
      </c>
      <c r="B3415" s="3" t="s">
        <v>3691</v>
      </c>
      <c r="C3415" s="3" t="s">
        <v>3691</v>
      </c>
      <c r="D3415" s="3" t="s">
        <v>3358</v>
      </c>
    </row>
    <row r="3416" spans="1:4" x14ac:dyDescent="0.2">
      <c r="A3416" s="3">
        <v>1148</v>
      </c>
      <c r="B3416" s="3" t="s">
        <v>3692</v>
      </c>
      <c r="C3416" s="3" t="s">
        <v>3692</v>
      </c>
      <c r="D3416" s="3" t="s">
        <v>3358</v>
      </c>
    </row>
    <row r="3417" spans="1:4" x14ac:dyDescent="0.2">
      <c r="A3417" s="3">
        <v>1324</v>
      </c>
      <c r="B3417" s="3" t="s">
        <v>3693</v>
      </c>
      <c r="C3417" s="3" t="s">
        <v>3693</v>
      </c>
      <c r="D3417" s="3" t="s">
        <v>3358</v>
      </c>
    </row>
    <row r="3418" spans="1:4" x14ac:dyDescent="0.2">
      <c r="A3418" s="3">
        <v>1439</v>
      </c>
      <c r="B3418" s="3" t="s">
        <v>3694</v>
      </c>
      <c r="C3418" s="3" t="s">
        <v>3694</v>
      </c>
      <c r="D3418" s="3" t="s">
        <v>3358</v>
      </c>
    </row>
    <row r="3419" spans="1:4" x14ac:dyDescent="0.2">
      <c r="A3419" s="3">
        <v>1323</v>
      </c>
      <c r="B3419" s="3" t="s">
        <v>3695</v>
      </c>
      <c r="C3419" s="3" t="s">
        <v>3696</v>
      </c>
      <c r="D3419" s="3" t="s">
        <v>3358</v>
      </c>
    </row>
    <row r="3420" spans="1:4" x14ac:dyDescent="0.2">
      <c r="A3420" s="3">
        <v>1355</v>
      </c>
      <c r="B3420" s="3" t="s">
        <v>3697</v>
      </c>
      <c r="C3420" s="3" t="s">
        <v>3697</v>
      </c>
      <c r="D3420" s="3" t="s">
        <v>3358</v>
      </c>
    </row>
    <row r="3421" spans="1:4" x14ac:dyDescent="0.2">
      <c r="A3421" s="3">
        <v>1358</v>
      </c>
      <c r="B3421" s="3" t="s">
        <v>3698</v>
      </c>
      <c r="C3421" s="3" t="s">
        <v>3698</v>
      </c>
      <c r="D3421" s="3" t="s">
        <v>3358</v>
      </c>
    </row>
    <row r="3422" spans="1:4" x14ac:dyDescent="0.2">
      <c r="A3422" s="3">
        <v>1337</v>
      </c>
      <c r="B3422" s="3" t="s">
        <v>3699</v>
      </c>
      <c r="C3422" s="3" t="s">
        <v>3699</v>
      </c>
      <c r="D3422" s="3" t="s">
        <v>3358</v>
      </c>
    </row>
    <row r="3423" spans="1:4" x14ac:dyDescent="0.2">
      <c r="A3423" s="3">
        <v>1325</v>
      </c>
      <c r="B3423" s="3" t="s">
        <v>3700</v>
      </c>
      <c r="C3423" s="3" t="s">
        <v>3700</v>
      </c>
      <c r="D3423" s="3" t="s">
        <v>3358</v>
      </c>
    </row>
    <row r="3424" spans="1:4" x14ac:dyDescent="0.2">
      <c r="A3424" s="3">
        <v>1445</v>
      </c>
      <c r="B3424" s="3" t="s">
        <v>3701</v>
      </c>
      <c r="C3424" s="3" t="s">
        <v>3701</v>
      </c>
      <c r="D3424" s="3" t="s">
        <v>3358</v>
      </c>
    </row>
    <row r="3425" spans="1:4" x14ac:dyDescent="0.2">
      <c r="A3425" s="3">
        <v>1082</v>
      </c>
      <c r="B3425" s="3" t="s">
        <v>3702</v>
      </c>
      <c r="C3425" s="3" t="s">
        <v>3702</v>
      </c>
      <c r="D3425" s="3" t="s">
        <v>3358</v>
      </c>
    </row>
    <row r="3426" spans="1:4" x14ac:dyDescent="0.2">
      <c r="A3426" s="3">
        <v>1613</v>
      </c>
      <c r="B3426" s="3" t="s">
        <v>3703</v>
      </c>
      <c r="C3426" s="3" t="s">
        <v>3703</v>
      </c>
      <c r="D3426" s="3" t="s">
        <v>3358</v>
      </c>
    </row>
    <row r="3427" spans="1:4" x14ac:dyDescent="0.2">
      <c r="A3427" s="3">
        <v>1081</v>
      </c>
      <c r="B3427" s="3" t="s">
        <v>3704</v>
      </c>
      <c r="C3427" s="3" t="s">
        <v>3704</v>
      </c>
      <c r="D3427" s="3" t="s">
        <v>3358</v>
      </c>
    </row>
    <row r="3428" spans="1:4" x14ac:dyDescent="0.2">
      <c r="A3428" s="3">
        <v>1088</v>
      </c>
      <c r="B3428" s="3" t="s">
        <v>3705</v>
      </c>
      <c r="C3428" s="3" t="s">
        <v>3705</v>
      </c>
      <c r="D3428" s="3" t="s">
        <v>3358</v>
      </c>
    </row>
    <row r="3429" spans="1:4" x14ac:dyDescent="0.2">
      <c r="A3429" s="3">
        <v>1077</v>
      </c>
      <c r="B3429" s="3" t="s">
        <v>3706</v>
      </c>
      <c r="C3429" s="3" t="s">
        <v>3706</v>
      </c>
      <c r="D3429" s="3" t="s">
        <v>3358</v>
      </c>
    </row>
    <row r="3430" spans="1:4" x14ac:dyDescent="0.2">
      <c r="A3430" s="3">
        <v>1080</v>
      </c>
      <c r="B3430" s="3" t="s">
        <v>3707</v>
      </c>
      <c r="C3430" s="3" t="s">
        <v>3706</v>
      </c>
      <c r="D3430" s="3" t="s">
        <v>3358</v>
      </c>
    </row>
    <row r="3431" spans="1:4" x14ac:dyDescent="0.2">
      <c r="A3431" s="3">
        <v>1085</v>
      </c>
      <c r="B3431" s="3" t="s">
        <v>3708</v>
      </c>
      <c r="C3431" s="3" t="s">
        <v>3708</v>
      </c>
      <c r="D3431" s="3" t="s">
        <v>3358</v>
      </c>
    </row>
    <row r="3432" spans="1:4" x14ac:dyDescent="0.2">
      <c r="A3432" s="3">
        <v>1041</v>
      </c>
      <c r="B3432" s="3" t="s">
        <v>3709</v>
      </c>
      <c r="C3432" s="3" t="s">
        <v>3710</v>
      </c>
      <c r="D3432" s="3" t="s">
        <v>3358</v>
      </c>
    </row>
    <row r="3433" spans="1:4" x14ac:dyDescent="0.2">
      <c r="A3433" s="3">
        <v>1058</v>
      </c>
      <c r="B3433" s="3" t="s">
        <v>3711</v>
      </c>
      <c r="C3433" s="3" t="s">
        <v>3710</v>
      </c>
      <c r="D3433" s="3" t="s">
        <v>3358</v>
      </c>
    </row>
    <row r="3434" spans="1:4" x14ac:dyDescent="0.2">
      <c r="A3434" s="3">
        <v>1059</v>
      </c>
      <c r="B3434" s="3" t="s">
        <v>3712</v>
      </c>
      <c r="C3434" s="3" t="s">
        <v>3710</v>
      </c>
      <c r="D3434" s="3" t="s">
        <v>3358</v>
      </c>
    </row>
    <row r="3435" spans="1:4" x14ac:dyDescent="0.2">
      <c r="A3435" s="3">
        <v>1061</v>
      </c>
      <c r="B3435" s="3" t="s">
        <v>3713</v>
      </c>
      <c r="C3435" s="3" t="s">
        <v>3710</v>
      </c>
      <c r="D3435" s="3" t="s">
        <v>3358</v>
      </c>
    </row>
    <row r="3436" spans="1:4" x14ac:dyDescent="0.2">
      <c r="A3436" s="3">
        <v>1062</v>
      </c>
      <c r="B3436" s="3" t="s">
        <v>3714</v>
      </c>
      <c r="C3436" s="3" t="s">
        <v>3710</v>
      </c>
      <c r="D3436" s="3" t="s">
        <v>3358</v>
      </c>
    </row>
    <row r="3437" spans="1:4" x14ac:dyDescent="0.2">
      <c r="A3437" s="3">
        <v>1078</v>
      </c>
      <c r="B3437" s="3" t="s">
        <v>3715</v>
      </c>
      <c r="C3437" s="3" t="s">
        <v>3716</v>
      </c>
      <c r="D3437" s="3" t="s">
        <v>3358</v>
      </c>
    </row>
    <row r="3438" spans="1:4" x14ac:dyDescent="0.2">
      <c r="A3438" s="3">
        <v>1607</v>
      </c>
      <c r="B3438" s="3" t="s">
        <v>3717</v>
      </c>
      <c r="C3438" s="3" t="s">
        <v>3716</v>
      </c>
      <c r="D3438" s="3" t="s">
        <v>3358</v>
      </c>
    </row>
    <row r="3439" spans="1:4" x14ac:dyDescent="0.2">
      <c r="A3439" s="3">
        <v>1607</v>
      </c>
      <c r="B3439" s="3" t="s">
        <v>3718</v>
      </c>
      <c r="C3439" s="3" t="s">
        <v>3716</v>
      </c>
      <c r="D3439" s="3" t="s">
        <v>3358</v>
      </c>
    </row>
    <row r="3440" spans="1:4" x14ac:dyDescent="0.2">
      <c r="A3440" s="3">
        <v>1607</v>
      </c>
      <c r="B3440" s="3" t="s">
        <v>3719</v>
      </c>
      <c r="C3440" s="3" t="s">
        <v>3716</v>
      </c>
      <c r="D3440" s="3" t="s">
        <v>3358</v>
      </c>
    </row>
    <row r="3441" spans="1:4" x14ac:dyDescent="0.2">
      <c r="A3441" s="3">
        <v>1607</v>
      </c>
      <c r="B3441" s="3" t="s">
        <v>3720</v>
      </c>
      <c r="C3441" s="3" t="s">
        <v>3716</v>
      </c>
      <c r="D3441" s="3" t="s">
        <v>3358</v>
      </c>
    </row>
    <row r="3442" spans="1:4" x14ac:dyDescent="0.2">
      <c r="A3442" s="3">
        <v>1608</v>
      </c>
      <c r="B3442" s="3" t="s">
        <v>3721</v>
      </c>
      <c r="C3442" s="3" t="s">
        <v>3716</v>
      </c>
      <c r="D3442" s="3" t="s">
        <v>3358</v>
      </c>
    </row>
    <row r="3443" spans="1:4" x14ac:dyDescent="0.2">
      <c r="A3443" s="3">
        <v>1608</v>
      </c>
      <c r="B3443" s="3" t="s">
        <v>3722</v>
      </c>
      <c r="C3443" s="3" t="s">
        <v>3716</v>
      </c>
      <c r="D3443" s="3" t="s">
        <v>3358</v>
      </c>
    </row>
    <row r="3444" spans="1:4" x14ac:dyDescent="0.2">
      <c r="A3444" s="3">
        <v>1608</v>
      </c>
      <c r="B3444" s="3" t="s">
        <v>3723</v>
      </c>
      <c r="C3444" s="3" t="s">
        <v>3716</v>
      </c>
      <c r="D3444" s="3" t="s">
        <v>3358</v>
      </c>
    </row>
    <row r="3445" spans="1:4" x14ac:dyDescent="0.2">
      <c r="A3445" s="3">
        <v>1610</v>
      </c>
      <c r="B3445" s="3" t="s">
        <v>3724</v>
      </c>
      <c r="C3445" s="3" t="s">
        <v>3716</v>
      </c>
      <c r="D3445" s="3" t="s">
        <v>3358</v>
      </c>
    </row>
    <row r="3446" spans="1:4" x14ac:dyDescent="0.2">
      <c r="A3446" s="3">
        <v>1610</v>
      </c>
      <c r="B3446" s="3" t="s">
        <v>3725</v>
      </c>
      <c r="C3446" s="3" t="s">
        <v>3716</v>
      </c>
      <c r="D3446" s="3" t="s">
        <v>3358</v>
      </c>
    </row>
    <row r="3447" spans="1:4" x14ac:dyDescent="0.2">
      <c r="A3447" s="3">
        <v>1610</v>
      </c>
      <c r="B3447" s="3" t="s">
        <v>3726</v>
      </c>
      <c r="C3447" s="3" t="s">
        <v>3716</v>
      </c>
      <c r="D3447" s="3" t="s">
        <v>3358</v>
      </c>
    </row>
    <row r="3448" spans="1:4" x14ac:dyDescent="0.2">
      <c r="A3448" s="3">
        <v>1612</v>
      </c>
      <c r="B3448" s="3" t="s">
        <v>3727</v>
      </c>
      <c r="C3448" s="3" t="s">
        <v>3716</v>
      </c>
      <c r="D3448" s="3" t="s">
        <v>3358</v>
      </c>
    </row>
    <row r="3449" spans="1:4" x14ac:dyDescent="0.2">
      <c r="A3449" s="3">
        <v>1076</v>
      </c>
      <c r="B3449" s="3" t="s">
        <v>3728</v>
      </c>
      <c r="C3449" s="3" t="s">
        <v>3729</v>
      </c>
      <c r="D3449" s="3" t="s">
        <v>3358</v>
      </c>
    </row>
    <row r="3450" spans="1:4" x14ac:dyDescent="0.2">
      <c r="A3450" s="3">
        <v>1083</v>
      </c>
      <c r="B3450" s="3" t="s">
        <v>3730</v>
      </c>
      <c r="C3450" s="3" t="s">
        <v>3729</v>
      </c>
      <c r="D3450" s="3" t="s">
        <v>3358</v>
      </c>
    </row>
    <row r="3451" spans="1:4" x14ac:dyDescent="0.2">
      <c r="A3451" s="3">
        <v>1084</v>
      </c>
      <c r="B3451" s="3" t="s">
        <v>3731</v>
      </c>
      <c r="C3451" s="3" t="s">
        <v>3729</v>
      </c>
      <c r="D3451" s="3" t="s">
        <v>3358</v>
      </c>
    </row>
    <row r="3452" spans="1:4" x14ac:dyDescent="0.2">
      <c r="A3452" s="3">
        <v>1537</v>
      </c>
      <c r="B3452" s="3" t="s">
        <v>3732</v>
      </c>
      <c r="C3452" s="3" t="s">
        <v>3732</v>
      </c>
      <c r="D3452" s="3" t="s">
        <v>3358</v>
      </c>
    </row>
    <row r="3453" spans="1:4" x14ac:dyDescent="0.2">
      <c r="A3453" s="3">
        <v>1545</v>
      </c>
      <c r="B3453" s="3" t="s">
        <v>3733</v>
      </c>
      <c r="C3453" s="3" t="s">
        <v>3733</v>
      </c>
      <c r="D3453" s="3" t="s">
        <v>3358</v>
      </c>
    </row>
    <row r="3454" spans="1:4" x14ac:dyDescent="0.2">
      <c r="A3454" s="3">
        <v>1562</v>
      </c>
      <c r="B3454" s="3" t="s">
        <v>3734</v>
      </c>
      <c r="C3454" s="3" t="s">
        <v>3734</v>
      </c>
      <c r="D3454" s="3" t="s">
        <v>3358</v>
      </c>
    </row>
    <row r="3455" spans="1:4" x14ac:dyDescent="0.2">
      <c r="A3455" s="3">
        <v>1543</v>
      </c>
      <c r="B3455" s="3" t="s">
        <v>3735</v>
      </c>
      <c r="C3455" s="3" t="s">
        <v>3735</v>
      </c>
      <c r="D3455" s="3" t="s">
        <v>3358</v>
      </c>
    </row>
    <row r="3456" spans="1:4" x14ac:dyDescent="0.2">
      <c r="A3456" s="3">
        <v>1525</v>
      </c>
      <c r="B3456" s="3" t="s">
        <v>3736</v>
      </c>
      <c r="C3456" s="3" t="s">
        <v>3736</v>
      </c>
      <c r="D3456" s="3" t="s">
        <v>3358</v>
      </c>
    </row>
    <row r="3457" spans="1:4" x14ac:dyDescent="0.2">
      <c r="A3457" s="3">
        <v>1565</v>
      </c>
      <c r="B3457" s="3" t="s">
        <v>3737</v>
      </c>
      <c r="C3457" s="3" t="s">
        <v>3737</v>
      </c>
      <c r="D3457" s="3" t="s">
        <v>3358</v>
      </c>
    </row>
    <row r="3458" spans="1:4" x14ac:dyDescent="0.2">
      <c r="A3458" s="3">
        <v>1530</v>
      </c>
      <c r="B3458" s="3" t="s">
        <v>3738</v>
      </c>
      <c r="C3458" s="3" t="s">
        <v>3738</v>
      </c>
      <c r="D3458" s="3" t="s">
        <v>3358</v>
      </c>
    </row>
    <row r="3459" spans="1:4" x14ac:dyDescent="0.2">
      <c r="A3459" s="3">
        <v>1551</v>
      </c>
      <c r="B3459" s="3" t="s">
        <v>3739</v>
      </c>
      <c r="C3459" s="3" t="s">
        <v>3738</v>
      </c>
      <c r="D3459" s="3" t="s">
        <v>3358</v>
      </c>
    </row>
    <row r="3460" spans="1:4" x14ac:dyDescent="0.2">
      <c r="A3460" s="3">
        <v>1552</v>
      </c>
      <c r="B3460" s="3" t="s">
        <v>3740</v>
      </c>
      <c r="C3460" s="3" t="s">
        <v>3740</v>
      </c>
      <c r="D3460" s="3" t="s">
        <v>3358</v>
      </c>
    </row>
    <row r="3461" spans="1:4" x14ac:dyDescent="0.2">
      <c r="A3461" s="3">
        <v>1538</v>
      </c>
      <c r="B3461" s="3" t="s">
        <v>3741</v>
      </c>
      <c r="C3461" s="3" t="s">
        <v>3741</v>
      </c>
      <c r="D3461" s="3" t="s">
        <v>3358</v>
      </c>
    </row>
    <row r="3462" spans="1:4" x14ac:dyDescent="0.2">
      <c r="A3462" s="3">
        <v>1554</v>
      </c>
      <c r="B3462" s="3" t="s">
        <v>3742</v>
      </c>
      <c r="C3462" s="3" t="s">
        <v>3743</v>
      </c>
      <c r="D3462" s="3" t="s">
        <v>3358</v>
      </c>
    </row>
    <row r="3463" spans="1:4" x14ac:dyDescent="0.2">
      <c r="A3463" s="3">
        <v>1554</v>
      </c>
      <c r="B3463" s="3" t="s">
        <v>3744</v>
      </c>
      <c r="C3463" s="3" t="s">
        <v>3743</v>
      </c>
      <c r="D3463" s="3" t="s">
        <v>3358</v>
      </c>
    </row>
    <row r="3464" spans="1:4" x14ac:dyDescent="0.2">
      <c r="A3464" s="3">
        <v>1555</v>
      </c>
      <c r="B3464" s="3" t="s">
        <v>3743</v>
      </c>
      <c r="C3464" s="3" t="s">
        <v>3743</v>
      </c>
      <c r="D3464" s="3" t="s">
        <v>3358</v>
      </c>
    </row>
    <row r="3465" spans="1:4" x14ac:dyDescent="0.2">
      <c r="A3465" s="3">
        <v>1523</v>
      </c>
      <c r="B3465" s="3" t="s">
        <v>3745</v>
      </c>
      <c r="C3465" s="3" t="s">
        <v>3746</v>
      </c>
      <c r="D3465" s="3" t="s">
        <v>3358</v>
      </c>
    </row>
    <row r="3466" spans="1:4" x14ac:dyDescent="0.2">
      <c r="A3466" s="3">
        <v>1524</v>
      </c>
      <c r="B3466" s="3" t="s">
        <v>3747</v>
      </c>
      <c r="C3466" s="3" t="s">
        <v>3746</v>
      </c>
      <c r="D3466" s="3" t="s">
        <v>3358</v>
      </c>
    </row>
    <row r="3467" spans="1:4" x14ac:dyDescent="0.2">
      <c r="A3467" s="3">
        <v>1525</v>
      </c>
      <c r="B3467" s="3" t="s">
        <v>3748</v>
      </c>
      <c r="C3467" s="3" t="s">
        <v>3746</v>
      </c>
      <c r="D3467" s="3" t="s">
        <v>3358</v>
      </c>
    </row>
    <row r="3468" spans="1:4" x14ac:dyDescent="0.2">
      <c r="A3468" s="3">
        <v>1534</v>
      </c>
      <c r="B3468" s="3" t="s">
        <v>3749</v>
      </c>
      <c r="C3468" s="3" t="s">
        <v>3746</v>
      </c>
      <c r="D3468" s="3" t="s">
        <v>3358</v>
      </c>
    </row>
    <row r="3469" spans="1:4" x14ac:dyDescent="0.2">
      <c r="A3469" s="3">
        <v>1535</v>
      </c>
      <c r="B3469" s="3" t="s">
        <v>3750</v>
      </c>
      <c r="C3469" s="3" t="s">
        <v>3746</v>
      </c>
      <c r="D3469" s="3" t="s">
        <v>3358</v>
      </c>
    </row>
    <row r="3470" spans="1:4" x14ac:dyDescent="0.2">
      <c r="A3470" s="3">
        <v>1536</v>
      </c>
      <c r="B3470" s="3" t="s">
        <v>3751</v>
      </c>
      <c r="C3470" s="3" t="s">
        <v>3746</v>
      </c>
      <c r="D3470" s="3" t="s">
        <v>3358</v>
      </c>
    </row>
    <row r="3471" spans="1:4" x14ac:dyDescent="0.2">
      <c r="A3471" s="3">
        <v>1682</v>
      </c>
      <c r="B3471" s="3" t="s">
        <v>3752</v>
      </c>
      <c r="C3471" s="3" t="s">
        <v>3746</v>
      </c>
      <c r="D3471" s="3" t="s">
        <v>3358</v>
      </c>
    </row>
    <row r="3472" spans="1:4" x14ac:dyDescent="0.2">
      <c r="A3472" s="3">
        <v>1682</v>
      </c>
      <c r="B3472" s="3" t="s">
        <v>3753</v>
      </c>
      <c r="C3472" s="3" t="s">
        <v>3746</v>
      </c>
      <c r="D3472" s="3" t="s">
        <v>3358</v>
      </c>
    </row>
    <row r="3473" spans="1:4" x14ac:dyDescent="0.2">
      <c r="A3473" s="3">
        <v>1660</v>
      </c>
      <c r="B3473" s="3" t="s">
        <v>3754</v>
      </c>
      <c r="C3473" s="3" t="s">
        <v>3754</v>
      </c>
      <c r="D3473" s="3" t="s">
        <v>3358</v>
      </c>
    </row>
    <row r="3474" spans="1:4" x14ac:dyDescent="0.2">
      <c r="A3474" s="3">
        <v>1660</v>
      </c>
      <c r="B3474" s="3" t="s">
        <v>3755</v>
      </c>
      <c r="C3474" s="3" t="s">
        <v>3754</v>
      </c>
      <c r="D3474" s="3" t="s">
        <v>3358</v>
      </c>
    </row>
    <row r="3475" spans="1:4" x14ac:dyDescent="0.2">
      <c r="A3475" s="3">
        <v>1660</v>
      </c>
      <c r="B3475" s="3" t="s">
        <v>3756</v>
      </c>
      <c r="C3475" s="3" t="s">
        <v>3754</v>
      </c>
      <c r="D3475" s="3" t="s">
        <v>3358</v>
      </c>
    </row>
    <row r="3476" spans="1:4" x14ac:dyDescent="0.2">
      <c r="A3476" s="3">
        <v>1660</v>
      </c>
      <c r="B3476" s="3" t="s">
        <v>3757</v>
      </c>
      <c r="C3476" s="3" t="s">
        <v>3754</v>
      </c>
      <c r="D3476" s="3" t="s">
        <v>3358</v>
      </c>
    </row>
    <row r="3477" spans="1:4" x14ac:dyDescent="0.2">
      <c r="A3477" s="3">
        <v>1658</v>
      </c>
      <c r="B3477" s="3" t="s">
        <v>3758</v>
      </c>
      <c r="C3477" s="3" t="s">
        <v>3758</v>
      </c>
      <c r="D3477" s="3" t="s">
        <v>3358</v>
      </c>
    </row>
    <row r="3478" spans="1:4" x14ac:dyDescent="0.2">
      <c r="A3478" s="3">
        <v>1658</v>
      </c>
      <c r="B3478" s="3" t="s">
        <v>3759</v>
      </c>
      <c r="C3478" s="3" t="s">
        <v>3758</v>
      </c>
      <c r="D3478" s="3" t="s">
        <v>3358</v>
      </c>
    </row>
    <row r="3479" spans="1:4" x14ac:dyDescent="0.2">
      <c r="A3479" s="3">
        <v>1659</v>
      </c>
      <c r="B3479" s="3" t="s">
        <v>3760</v>
      </c>
      <c r="C3479" s="3" t="s">
        <v>3760</v>
      </c>
      <c r="D3479" s="3" t="s">
        <v>3358</v>
      </c>
    </row>
    <row r="3480" spans="1:4" x14ac:dyDescent="0.2">
      <c r="A3480" s="3">
        <v>1659</v>
      </c>
      <c r="B3480" s="3" t="s">
        <v>3761</v>
      </c>
      <c r="C3480" s="3" t="s">
        <v>3760</v>
      </c>
      <c r="D3480" s="3" t="s">
        <v>3358</v>
      </c>
    </row>
    <row r="3481" spans="1:4" x14ac:dyDescent="0.2">
      <c r="A3481" s="3">
        <v>1165</v>
      </c>
      <c r="B3481" s="3" t="s">
        <v>3762</v>
      </c>
      <c r="C3481" s="3" t="s">
        <v>3762</v>
      </c>
      <c r="D3481" s="3" t="s">
        <v>3358</v>
      </c>
    </row>
    <row r="3482" spans="1:4" x14ac:dyDescent="0.2">
      <c r="A3482" s="3">
        <v>1195</v>
      </c>
      <c r="B3482" s="3" t="s">
        <v>3763</v>
      </c>
      <c r="C3482" s="3" t="s">
        <v>3763</v>
      </c>
      <c r="D3482" s="3" t="s">
        <v>3358</v>
      </c>
    </row>
    <row r="3483" spans="1:4" x14ac:dyDescent="0.2">
      <c r="A3483" s="3">
        <v>1183</v>
      </c>
      <c r="B3483" s="3" t="s">
        <v>3764</v>
      </c>
      <c r="C3483" s="3" t="s">
        <v>3764</v>
      </c>
      <c r="D3483" s="3" t="s">
        <v>3358</v>
      </c>
    </row>
    <row r="3484" spans="1:4" x14ac:dyDescent="0.2">
      <c r="A3484" s="3">
        <v>1268</v>
      </c>
      <c r="B3484" s="3" t="s">
        <v>3765</v>
      </c>
      <c r="C3484" s="3" t="s">
        <v>3765</v>
      </c>
      <c r="D3484" s="3" t="s">
        <v>3358</v>
      </c>
    </row>
    <row r="3485" spans="1:4" x14ac:dyDescent="0.2">
      <c r="A3485" s="3">
        <v>1195</v>
      </c>
      <c r="B3485" s="3" t="s">
        <v>3766</v>
      </c>
      <c r="C3485" s="3" t="s">
        <v>3766</v>
      </c>
      <c r="D3485" s="3" t="s">
        <v>3358</v>
      </c>
    </row>
    <row r="3486" spans="1:4" x14ac:dyDescent="0.2">
      <c r="A3486" s="3">
        <v>1186</v>
      </c>
      <c r="B3486" s="3" t="s">
        <v>3767</v>
      </c>
      <c r="C3486" s="3" t="s">
        <v>3767</v>
      </c>
      <c r="D3486" s="3" t="s">
        <v>3358</v>
      </c>
    </row>
    <row r="3487" spans="1:4" x14ac:dyDescent="0.2">
      <c r="A3487" s="3">
        <v>1182</v>
      </c>
      <c r="B3487" s="3" t="s">
        <v>3768</v>
      </c>
      <c r="C3487" s="3" t="s">
        <v>3768</v>
      </c>
      <c r="D3487" s="3" t="s">
        <v>3358</v>
      </c>
    </row>
    <row r="3488" spans="1:4" x14ac:dyDescent="0.2">
      <c r="A3488" s="3">
        <v>1184</v>
      </c>
      <c r="B3488" s="3" t="s">
        <v>3769</v>
      </c>
      <c r="C3488" s="3" t="s">
        <v>3769</v>
      </c>
      <c r="D3488" s="3" t="s">
        <v>3358</v>
      </c>
    </row>
    <row r="3489" spans="1:4" x14ac:dyDescent="0.2">
      <c r="A3489" s="3">
        <v>1185</v>
      </c>
      <c r="B3489" s="3" t="s">
        <v>3770</v>
      </c>
      <c r="C3489" s="3" t="s">
        <v>3770</v>
      </c>
      <c r="D3489" s="3" t="s">
        <v>3358</v>
      </c>
    </row>
    <row r="3490" spans="1:4" x14ac:dyDescent="0.2">
      <c r="A3490" s="3">
        <v>1166</v>
      </c>
      <c r="B3490" s="3" t="s">
        <v>3771</v>
      </c>
      <c r="C3490" s="3" t="s">
        <v>3771</v>
      </c>
      <c r="D3490" s="3" t="s">
        <v>3358</v>
      </c>
    </row>
    <row r="3491" spans="1:4" x14ac:dyDescent="0.2">
      <c r="A3491" s="3">
        <v>1180</v>
      </c>
      <c r="B3491" s="3" t="s">
        <v>3772</v>
      </c>
      <c r="C3491" s="3" t="s">
        <v>3772</v>
      </c>
      <c r="D3491" s="3" t="s">
        <v>3358</v>
      </c>
    </row>
    <row r="3492" spans="1:4" x14ac:dyDescent="0.2">
      <c r="A3492" s="3">
        <v>1180</v>
      </c>
      <c r="B3492" s="3" t="s">
        <v>3773</v>
      </c>
      <c r="C3492" s="3" t="s">
        <v>3773</v>
      </c>
      <c r="D3492" s="3" t="s">
        <v>3358</v>
      </c>
    </row>
    <row r="3493" spans="1:4" x14ac:dyDescent="0.2">
      <c r="A3493" s="3">
        <v>1184</v>
      </c>
      <c r="B3493" s="3" t="s">
        <v>3774</v>
      </c>
      <c r="C3493" s="3" t="s">
        <v>3774</v>
      </c>
      <c r="D3493" s="3" t="s">
        <v>3358</v>
      </c>
    </row>
    <row r="3494" spans="1:4" x14ac:dyDescent="0.2">
      <c r="A3494" s="3">
        <v>1342</v>
      </c>
      <c r="B3494" s="3" t="s">
        <v>3775</v>
      </c>
      <c r="C3494" s="3" t="s">
        <v>3776</v>
      </c>
      <c r="D3494" s="3" t="s">
        <v>3358</v>
      </c>
    </row>
    <row r="3495" spans="1:4" x14ac:dyDescent="0.2">
      <c r="A3495" s="3">
        <v>1344</v>
      </c>
      <c r="B3495" s="3" t="s">
        <v>3776</v>
      </c>
      <c r="C3495" s="3" t="s">
        <v>3776</v>
      </c>
      <c r="D3495" s="3" t="s">
        <v>3358</v>
      </c>
    </row>
    <row r="3496" spans="1:4" x14ac:dyDescent="0.2">
      <c r="A3496" s="3">
        <v>1346</v>
      </c>
      <c r="B3496" s="3" t="s">
        <v>3777</v>
      </c>
      <c r="C3496" s="3" t="s">
        <v>3776</v>
      </c>
      <c r="D3496" s="3" t="s">
        <v>3358</v>
      </c>
    </row>
    <row r="3497" spans="1:4" x14ac:dyDescent="0.2">
      <c r="A3497" s="3">
        <v>1341</v>
      </c>
      <c r="B3497" s="3" t="s">
        <v>3778</v>
      </c>
      <c r="C3497" s="3" t="s">
        <v>3779</v>
      </c>
      <c r="D3497" s="3" t="s">
        <v>3358</v>
      </c>
    </row>
    <row r="3498" spans="1:4" x14ac:dyDescent="0.2">
      <c r="A3498" s="3">
        <v>1347</v>
      </c>
      <c r="B3498" s="3" t="s">
        <v>3780</v>
      </c>
      <c r="C3498" s="3" t="s">
        <v>3779</v>
      </c>
      <c r="D3498" s="3" t="s">
        <v>3358</v>
      </c>
    </row>
    <row r="3499" spans="1:4" x14ac:dyDescent="0.2">
      <c r="A3499" s="3">
        <v>1347</v>
      </c>
      <c r="B3499" s="3" t="s">
        <v>3781</v>
      </c>
      <c r="C3499" s="3" t="s">
        <v>3779</v>
      </c>
      <c r="D3499" s="3" t="s">
        <v>3358</v>
      </c>
    </row>
    <row r="3500" spans="1:4" x14ac:dyDescent="0.2">
      <c r="A3500" s="3">
        <v>1348</v>
      </c>
      <c r="B3500" s="3" t="s">
        <v>3782</v>
      </c>
      <c r="C3500" s="3" t="s">
        <v>3779</v>
      </c>
      <c r="D3500" s="3" t="s">
        <v>3358</v>
      </c>
    </row>
    <row r="3501" spans="1:4" x14ac:dyDescent="0.2">
      <c r="A3501" s="3">
        <v>1343</v>
      </c>
      <c r="B3501" s="3" t="s">
        <v>3783</v>
      </c>
      <c r="C3501" s="3" t="s">
        <v>3784</v>
      </c>
      <c r="D3501" s="3" t="s">
        <v>3358</v>
      </c>
    </row>
    <row r="3502" spans="1:4" x14ac:dyDescent="0.2">
      <c r="A3502" s="3">
        <v>1345</v>
      </c>
      <c r="B3502" s="3" t="s">
        <v>3784</v>
      </c>
      <c r="C3502" s="3" t="s">
        <v>3784</v>
      </c>
      <c r="D3502" s="3" t="s">
        <v>3358</v>
      </c>
    </row>
    <row r="3503" spans="1:4" x14ac:dyDescent="0.2">
      <c r="A3503" s="3">
        <v>1345</v>
      </c>
      <c r="B3503" s="3" t="s">
        <v>3785</v>
      </c>
      <c r="C3503" s="3" t="s">
        <v>3784</v>
      </c>
      <c r="D3503" s="3" t="s">
        <v>3358</v>
      </c>
    </row>
    <row r="3504" spans="1:4" x14ac:dyDescent="0.2">
      <c r="A3504" s="3">
        <v>1801</v>
      </c>
      <c r="B3504" s="3" t="s">
        <v>3786</v>
      </c>
      <c r="C3504" s="3" t="s">
        <v>3787</v>
      </c>
      <c r="D3504" s="3" t="s">
        <v>3358</v>
      </c>
    </row>
    <row r="3505" spans="1:4" x14ac:dyDescent="0.2">
      <c r="A3505" s="3">
        <v>1803</v>
      </c>
      <c r="B3505" s="3" t="s">
        <v>3787</v>
      </c>
      <c r="C3505" s="3" t="s">
        <v>3787</v>
      </c>
      <c r="D3505" s="3" t="s">
        <v>3358</v>
      </c>
    </row>
    <row r="3506" spans="1:4" x14ac:dyDescent="0.2">
      <c r="A3506" s="3">
        <v>1802</v>
      </c>
      <c r="B3506" s="3" t="s">
        <v>3788</v>
      </c>
      <c r="C3506" s="3" t="s">
        <v>3788</v>
      </c>
      <c r="D3506" s="3" t="s">
        <v>3358</v>
      </c>
    </row>
    <row r="3507" spans="1:4" x14ac:dyDescent="0.2">
      <c r="A3507" s="3">
        <v>1804</v>
      </c>
      <c r="B3507" s="3" t="s">
        <v>3789</v>
      </c>
      <c r="C3507" s="3" t="s">
        <v>3789</v>
      </c>
      <c r="D3507" s="3" t="s">
        <v>3358</v>
      </c>
    </row>
    <row r="3508" spans="1:4" x14ac:dyDescent="0.2">
      <c r="A3508" s="3">
        <v>1808</v>
      </c>
      <c r="B3508" s="3" t="s">
        <v>3790</v>
      </c>
      <c r="C3508" s="3" t="s">
        <v>3789</v>
      </c>
      <c r="D3508" s="3" t="s">
        <v>3358</v>
      </c>
    </row>
    <row r="3509" spans="1:4" x14ac:dyDescent="0.2">
      <c r="A3509" s="3">
        <v>1809</v>
      </c>
      <c r="B3509" s="3" t="s">
        <v>3791</v>
      </c>
      <c r="C3509" s="3" t="s">
        <v>3789</v>
      </c>
      <c r="D3509" s="3" t="s">
        <v>3358</v>
      </c>
    </row>
    <row r="3510" spans="1:4" x14ac:dyDescent="0.2">
      <c r="A3510" s="3">
        <v>1805</v>
      </c>
      <c r="B3510" s="3" t="s">
        <v>3792</v>
      </c>
      <c r="C3510" s="3" t="s">
        <v>3792</v>
      </c>
      <c r="D3510" s="3" t="s">
        <v>3358</v>
      </c>
    </row>
    <row r="3511" spans="1:4" x14ac:dyDescent="0.2">
      <c r="A3511" s="3">
        <v>1815</v>
      </c>
      <c r="B3511" s="3" t="s">
        <v>3793</v>
      </c>
      <c r="C3511" s="3" t="s">
        <v>3794</v>
      </c>
      <c r="D3511" s="3" t="s">
        <v>3358</v>
      </c>
    </row>
    <row r="3512" spans="1:4" x14ac:dyDescent="0.2">
      <c r="A3512" s="3">
        <v>1816</v>
      </c>
      <c r="B3512" s="3" t="s">
        <v>3795</v>
      </c>
      <c r="C3512" s="3" t="s">
        <v>3794</v>
      </c>
      <c r="D3512" s="3" t="s">
        <v>3358</v>
      </c>
    </row>
    <row r="3513" spans="1:4" x14ac:dyDescent="0.2">
      <c r="A3513" s="3">
        <v>1817</v>
      </c>
      <c r="B3513" s="3" t="s">
        <v>3796</v>
      </c>
      <c r="C3513" s="3" t="s">
        <v>3794</v>
      </c>
      <c r="D3513" s="3" t="s">
        <v>3358</v>
      </c>
    </row>
    <row r="3514" spans="1:4" x14ac:dyDescent="0.2">
      <c r="A3514" s="3">
        <v>1820</v>
      </c>
      <c r="B3514" s="3" t="s">
        <v>3794</v>
      </c>
      <c r="C3514" s="3" t="s">
        <v>3794</v>
      </c>
      <c r="D3514" s="3" t="s">
        <v>3358</v>
      </c>
    </row>
    <row r="3515" spans="1:4" x14ac:dyDescent="0.2">
      <c r="A3515" s="3">
        <v>1820</v>
      </c>
      <c r="B3515" s="3" t="s">
        <v>3797</v>
      </c>
      <c r="C3515" s="3" t="s">
        <v>3794</v>
      </c>
      <c r="D3515" s="3" t="s">
        <v>3358</v>
      </c>
    </row>
    <row r="3516" spans="1:4" x14ac:dyDescent="0.2">
      <c r="A3516" s="3">
        <v>1822</v>
      </c>
      <c r="B3516" s="3" t="s">
        <v>3798</v>
      </c>
      <c r="C3516" s="3" t="s">
        <v>3794</v>
      </c>
      <c r="D3516" s="3" t="s">
        <v>3358</v>
      </c>
    </row>
    <row r="3517" spans="1:4" x14ac:dyDescent="0.2">
      <c r="A3517" s="3">
        <v>1823</v>
      </c>
      <c r="B3517" s="3" t="s">
        <v>3799</v>
      </c>
      <c r="C3517" s="3" t="s">
        <v>3794</v>
      </c>
      <c r="D3517" s="3" t="s">
        <v>3358</v>
      </c>
    </row>
    <row r="3518" spans="1:4" x14ac:dyDescent="0.2">
      <c r="A3518" s="3">
        <v>1824</v>
      </c>
      <c r="B3518" s="3" t="s">
        <v>3800</v>
      </c>
      <c r="C3518" s="3" t="s">
        <v>3794</v>
      </c>
      <c r="D3518" s="3" t="s">
        <v>3358</v>
      </c>
    </row>
    <row r="3519" spans="1:4" x14ac:dyDescent="0.2">
      <c r="A3519" s="3">
        <v>1832</v>
      </c>
      <c r="B3519" s="3" t="s">
        <v>3801</v>
      </c>
      <c r="C3519" s="3" t="s">
        <v>3794</v>
      </c>
      <c r="D3519" s="3" t="s">
        <v>3358</v>
      </c>
    </row>
    <row r="3520" spans="1:4" x14ac:dyDescent="0.2">
      <c r="A3520" s="3">
        <v>1832</v>
      </c>
      <c r="B3520" s="3" t="s">
        <v>3802</v>
      </c>
      <c r="C3520" s="3" t="s">
        <v>3794</v>
      </c>
      <c r="D3520" s="3" t="s">
        <v>3358</v>
      </c>
    </row>
    <row r="3521" spans="1:4" x14ac:dyDescent="0.2">
      <c r="A3521" s="3">
        <v>1833</v>
      </c>
      <c r="B3521" s="3" t="s">
        <v>3803</v>
      </c>
      <c r="C3521" s="3" t="s">
        <v>3794</v>
      </c>
      <c r="D3521" s="3" t="s">
        <v>3358</v>
      </c>
    </row>
    <row r="3522" spans="1:4" x14ac:dyDescent="0.2">
      <c r="A3522" s="3">
        <v>1814</v>
      </c>
      <c r="B3522" s="3" t="s">
        <v>3804</v>
      </c>
      <c r="C3522" s="3" t="s">
        <v>3804</v>
      </c>
      <c r="D3522" s="3" t="s">
        <v>3358</v>
      </c>
    </row>
    <row r="3523" spans="1:4" x14ac:dyDescent="0.2">
      <c r="A3523" s="3">
        <v>1800</v>
      </c>
      <c r="B3523" s="3" t="s">
        <v>3805</v>
      </c>
      <c r="C3523" s="3" t="s">
        <v>3805</v>
      </c>
      <c r="D3523" s="3" t="s">
        <v>3358</v>
      </c>
    </row>
    <row r="3524" spans="1:4" x14ac:dyDescent="0.2">
      <c r="A3524" s="3">
        <v>1820</v>
      </c>
      <c r="B3524" s="3" t="s">
        <v>3806</v>
      </c>
      <c r="C3524" s="3" t="s">
        <v>3806</v>
      </c>
      <c r="D3524" s="3" t="s">
        <v>3358</v>
      </c>
    </row>
    <row r="3525" spans="1:4" x14ac:dyDescent="0.2">
      <c r="A3525" s="3">
        <v>1806</v>
      </c>
      <c r="B3525" s="3" t="s">
        <v>3807</v>
      </c>
      <c r="C3525" s="3" t="s">
        <v>3808</v>
      </c>
      <c r="D3525" s="3" t="s">
        <v>3358</v>
      </c>
    </row>
    <row r="3526" spans="1:4" x14ac:dyDescent="0.2">
      <c r="A3526" s="3">
        <v>1807</v>
      </c>
      <c r="B3526" s="3" t="s">
        <v>3809</v>
      </c>
      <c r="C3526" s="3" t="s">
        <v>3808</v>
      </c>
      <c r="D3526" s="3" t="s">
        <v>3358</v>
      </c>
    </row>
    <row r="3527" spans="1:4" x14ac:dyDescent="0.2">
      <c r="A3527" s="3">
        <v>1432</v>
      </c>
      <c r="B3527" s="3" t="s">
        <v>3810</v>
      </c>
      <c r="C3527" s="3" t="s">
        <v>3810</v>
      </c>
      <c r="D3527" s="3" t="s">
        <v>3358</v>
      </c>
    </row>
    <row r="3528" spans="1:4" x14ac:dyDescent="0.2">
      <c r="A3528" s="3">
        <v>1407</v>
      </c>
      <c r="B3528" s="3" t="s">
        <v>3811</v>
      </c>
      <c r="C3528" s="3" t="s">
        <v>3811</v>
      </c>
      <c r="D3528" s="3" t="s">
        <v>3358</v>
      </c>
    </row>
    <row r="3529" spans="1:4" x14ac:dyDescent="0.2">
      <c r="A3529" s="3">
        <v>1436</v>
      </c>
      <c r="B3529" s="3" t="s">
        <v>3812</v>
      </c>
      <c r="C3529" s="3" t="s">
        <v>3812</v>
      </c>
      <c r="D3529" s="3" t="s">
        <v>3358</v>
      </c>
    </row>
    <row r="3530" spans="1:4" x14ac:dyDescent="0.2">
      <c r="A3530" s="3">
        <v>1443</v>
      </c>
      <c r="B3530" s="3" t="s">
        <v>3813</v>
      </c>
      <c r="C3530" s="3" t="s">
        <v>3813</v>
      </c>
      <c r="D3530" s="3" t="s">
        <v>3358</v>
      </c>
    </row>
    <row r="3531" spans="1:4" x14ac:dyDescent="0.2">
      <c r="A3531" s="3">
        <v>1443</v>
      </c>
      <c r="B3531" s="3" t="s">
        <v>3814</v>
      </c>
      <c r="C3531" s="3" t="s">
        <v>3813</v>
      </c>
      <c r="D3531" s="3" t="s">
        <v>3358</v>
      </c>
    </row>
    <row r="3532" spans="1:4" x14ac:dyDescent="0.2">
      <c r="A3532" s="3">
        <v>1443</v>
      </c>
      <c r="B3532" s="3" t="s">
        <v>3815</v>
      </c>
      <c r="C3532" s="3" t="s">
        <v>3813</v>
      </c>
      <c r="D3532" s="3" t="s">
        <v>3358</v>
      </c>
    </row>
    <row r="3533" spans="1:4" x14ac:dyDescent="0.2">
      <c r="A3533" s="3">
        <v>1464</v>
      </c>
      <c r="B3533" s="3" t="s">
        <v>3816</v>
      </c>
      <c r="C3533" s="3" t="s">
        <v>3816</v>
      </c>
      <c r="D3533" s="3" t="s">
        <v>3358</v>
      </c>
    </row>
    <row r="3534" spans="1:4" x14ac:dyDescent="0.2">
      <c r="A3534" s="3">
        <v>1464</v>
      </c>
      <c r="B3534" s="3" t="s">
        <v>3817</v>
      </c>
      <c r="C3534" s="3" t="s">
        <v>3817</v>
      </c>
      <c r="D3534" s="3" t="s">
        <v>3358</v>
      </c>
    </row>
    <row r="3535" spans="1:4" x14ac:dyDescent="0.2">
      <c r="A3535" s="3">
        <v>1400</v>
      </c>
      <c r="B3535" s="3" t="s">
        <v>3818</v>
      </c>
      <c r="C3535" s="3" t="s">
        <v>3818</v>
      </c>
      <c r="D3535" s="3" t="s">
        <v>3358</v>
      </c>
    </row>
    <row r="3536" spans="1:4" x14ac:dyDescent="0.2">
      <c r="A3536" s="3">
        <v>1406</v>
      </c>
      <c r="B3536" s="3" t="s">
        <v>3819</v>
      </c>
      <c r="C3536" s="3" t="s">
        <v>3819</v>
      </c>
      <c r="D3536" s="3" t="s">
        <v>3358</v>
      </c>
    </row>
    <row r="3537" spans="1:4" x14ac:dyDescent="0.2">
      <c r="A3537" s="3">
        <v>1404</v>
      </c>
      <c r="B3537" s="3" t="s">
        <v>3820</v>
      </c>
      <c r="C3537" s="3" t="s">
        <v>3820</v>
      </c>
      <c r="D3537" s="3" t="s">
        <v>3358</v>
      </c>
    </row>
    <row r="3538" spans="1:4" x14ac:dyDescent="0.2">
      <c r="A3538" s="3">
        <v>1415</v>
      </c>
      <c r="B3538" s="3" t="s">
        <v>3821</v>
      </c>
      <c r="C3538" s="3" t="s">
        <v>3821</v>
      </c>
      <c r="D3538" s="3" t="s">
        <v>3358</v>
      </c>
    </row>
    <row r="3539" spans="1:4" x14ac:dyDescent="0.2">
      <c r="A3539" s="3">
        <v>1407</v>
      </c>
      <c r="B3539" s="3" t="s">
        <v>3822</v>
      </c>
      <c r="C3539" s="3" t="s">
        <v>3822</v>
      </c>
      <c r="D3539" s="3" t="s">
        <v>3358</v>
      </c>
    </row>
    <row r="3540" spans="1:4" x14ac:dyDescent="0.2">
      <c r="A3540" s="3">
        <v>1407</v>
      </c>
      <c r="B3540" s="3" t="s">
        <v>3823</v>
      </c>
      <c r="C3540" s="3" t="s">
        <v>3822</v>
      </c>
      <c r="D3540" s="3" t="s">
        <v>3358</v>
      </c>
    </row>
    <row r="3541" spans="1:4" x14ac:dyDescent="0.2">
      <c r="A3541" s="3">
        <v>1407</v>
      </c>
      <c r="B3541" s="3" t="s">
        <v>3824</v>
      </c>
      <c r="C3541" s="3" t="s">
        <v>3822</v>
      </c>
      <c r="D3541" s="3" t="s">
        <v>3358</v>
      </c>
    </row>
    <row r="3542" spans="1:4" x14ac:dyDescent="0.2">
      <c r="A3542" s="3">
        <v>1408</v>
      </c>
      <c r="B3542" s="3" t="s">
        <v>3825</v>
      </c>
      <c r="C3542" s="3" t="s">
        <v>3822</v>
      </c>
      <c r="D3542" s="3" t="s">
        <v>3358</v>
      </c>
    </row>
    <row r="3543" spans="1:4" x14ac:dyDescent="0.2">
      <c r="A3543" s="3">
        <v>1434</v>
      </c>
      <c r="B3543" s="3" t="s">
        <v>3826</v>
      </c>
      <c r="C3543" s="3" t="s">
        <v>3827</v>
      </c>
      <c r="D3543" s="3" t="s">
        <v>3358</v>
      </c>
    </row>
    <row r="3544" spans="1:4" x14ac:dyDescent="0.2">
      <c r="A3544" s="3">
        <v>1438</v>
      </c>
      <c r="B3544" s="3" t="s">
        <v>3828</v>
      </c>
      <c r="C3544" s="3" t="s">
        <v>3828</v>
      </c>
      <c r="D3544" s="3" t="s">
        <v>3358</v>
      </c>
    </row>
    <row r="3545" spans="1:4" x14ac:dyDescent="0.2">
      <c r="A3545" s="3">
        <v>1415</v>
      </c>
      <c r="B3545" s="3" t="s">
        <v>3829</v>
      </c>
      <c r="C3545" s="3" t="s">
        <v>3829</v>
      </c>
      <c r="D3545" s="3" t="s">
        <v>3358</v>
      </c>
    </row>
    <row r="3546" spans="1:4" x14ac:dyDescent="0.2">
      <c r="A3546" s="3">
        <v>1442</v>
      </c>
      <c r="B3546" s="3" t="s">
        <v>3830</v>
      </c>
      <c r="C3546" s="3" t="s">
        <v>3830</v>
      </c>
      <c r="D3546" s="3" t="s">
        <v>3358</v>
      </c>
    </row>
    <row r="3547" spans="1:4" x14ac:dyDescent="0.2">
      <c r="A3547" s="3">
        <v>1047</v>
      </c>
      <c r="B3547" s="3" t="s">
        <v>3831</v>
      </c>
      <c r="C3547" s="3" t="s">
        <v>3831</v>
      </c>
      <c r="D3547" s="3" t="s">
        <v>3358</v>
      </c>
    </row>
    <row r="3548" spans="1:4" x14ac:dyDescent="0.2">
      <c r="A3548" s="3">
        <v>1430</v>
      </c>
      <c r="B3548" s="3" t="s">
        <v>3832</v>
      </c>
      <c r="C3548" s="3" t="s">
        <v>3832</v>
      </c>
      <c r="D3548" s="3" t="s">
        <v>3358</v>
      </c>
    </row>
    <row r="3549" spans="1:4" x14ac:dyDescent="0.2">
      <c r="A3549" s="3">
        <v>1413</v>
      </c>
      <c r="B3549" s="3" t="s">
        <v>3833</v>
      </c>
      <c r="C3549" s="3" t="s">
        <v>3833</v>
      </c>
      <c r="D3549" s="3" t="s">
        <v>3358</v>
      </c>
    </row>
    <row r="3550" spans="1:4" x14ac:dyDescent="0.2">
      <c r="A3550" s="3">
        <v>1405</v>
      </c>
      <c r="B3550" s="3" t="s">
        <v>3834</v>
      </c>
      <c r="C3550" s="3" t="s">
        <v>3834</v>
      </c>
      <c r="D3550" s="3" t="s">
        <v>3358</v>
      </c>
    </row>
    <row r="3551" spans="1:4" x14ac:dyDescent="0.2">
      <c r="A3551" s="3">
        <v>1463</v>
      </c>
      <c r="B3551" s="3" t="s">
        <v>3835</v>
      </c>
      <c r="C3551" s="3" t="s">
        <v>3835</v>
      </c>
      <c r="D3551" s="3" t="s">
        <v>3358</v>
      </c>
    </row>
    <row r="3552" spans="1:4" x14ac:dyDescent="0.2">
      <c r="A3552" s="3">
        <v>1433</v>
      </c>
      <c r="B3552" s="3" t="s">
        <v>3836</v>
      </c>
      <c r="C3552" s="3" t="s">
        <v>3836</v>
      </c>
      <c r="D3552" s="3" t="s">
        <v>3358</v>
      </c>
    </row>
    <row r="3553" spans="1:4" x14ac:dyDescent="0.2">
      <c r="A3553" s="3">
        <v>1437</v>
      </c>
      <c r="B3553" s="3" t="s">
        <v>3837</v>
      </c>
      <c r="C3553" s="3" t="s">
        <v>3837</v>
      </c>
      <c r="D3553" s="3" t="s">
        <v>3358</v>
      </c>
    </row>
    <row r="3554" spans="1:4" x14ac:dyDescent="0.2">
      <c r="A3554" s="3">
        <v>1436</v>
      </c>
      <c r="B3554" s="3" t="s">
        <v>3838</v>
      </c>
      <c r="C3554" s="3" t="s">
        <v>3838</v>
      </c>
      <c r="D3554" s="3" t="s">
        <v>3358</v>
      </c>
    </row>
    <row r="3555" spans="1:4" x14ac:dyDescent="0.2">
      <c r="A3555" s="3">
        <v>1412</v>
      </c>
      <c r="B3555" s="3" t="s">
        <v>3839</v>
      </c>
      <c r="C3555" s="3" t="s">
        <v>3839</v>
      </c>
      <c r="D3555" s="3" t="s">
        <v>3358</v>
      </c>
    </row>
    <row r="3556" spans="1:4" x14ac:dyDescent="0.2">
      <c r="A3556" s="3">
        <v>1441</v>
      </c>
      <c r="B3556" s="3" t="s">
        <v>3840</v>
      </c>
      <c r="C3556" s="3" t="s">
        <v>3840</v>
      </c>
      <c r="D3556" s="3" t="s">
        <v>3358</v>
      </c>
    </row>
    <row r="3557" spans="1:4" x14ac:dyDescent="0.2">
      <c r="A3557" s="3">
        <v>1412</v>
      </c>
      <c r="B3557" s="3" t="s">
        <v>3841</v>
      </c>
      <c r="C3557" s="3" t="s">
        <v>3841</v>
      </c>
      <c r="D3557" s="3" t="s">
        <v>3358</v>
      </c>
    </row>
    <row r="3558" spans="1:4" x14ac:dyDescent="0.2">
      <c r="A3558" s="3">
        <v>1404</v>
      </c>
      <c r="B3558" s="3" t="s">
        <v>3842</v>
      </c>
      <c r="C3558" s="3" t="s">
        <v>3842</v>
      </c>
      <c r="D3558" s="3" t="s">
        <v>3358</v>
      </c>
    </row>
    <row r="3559" spans="1:4" x14ac:dyDescent="0.2">
      <c r="A3559" s="3">
        <v>1431</v>
      </c>
      <c r="B3559" s="3" t="s">
        <v>3843</v>
      </c>
      <c r="C3559" s="3" t="s">
        <v>3843</v>
      </c>
      <c r="D3559" s="3" t="s">
        <v>3358</v>
      </c>
    </row>
    <row r="3560" spans="1:4" x14ac:dyDescent="0.2">
      <c r="A3560" s="3">
        <v>1400</v>
      </c>
      <c r="B3560" s="3" t="s">
        <v>3844</v>
      </c>
      <c r="C3560" s="3" t="s">
        <v>3844</v>
      </c>
      <c r="D3560" s="3" t="s">
        <v>3358</v>
      </c>
    </row>
    <row r="3561" spans="1:4" x14ac:dyDescent="0.2">
      <c r="A3561" s="3">
        <v>1432</v>
      </c>
      <c r="B3561" s="3" t="s">
        <v>3845</v>
      </c>
      <c r="C3561" s="3" t="s">
        <v>3844</v>
      </c>
      <c r="D3561" s="3" t="s">
        <v>3358</v>
      </c>
    </row>
    <row r="3562" spans="1:4" x14ac:dyDescent="0.2">
      <c r="A3562" s="3">
        <v>1462</v>
      </c>
      <c r="B3562" s="3" t="s">
        <v>3846</v>
      </c>
      <c r="C3562" s="3" t="s">
        <v>3846</v>
      </c>
      <c r="D3562" s="3" t="s">
        <v>3358</v>
      </c>
    </row>
    <row r="3563" spans="1:4" x14ac:dyDescent="0.2">
      <c r="A3563" s="3">
        <v>3900</v>
      </c>
      <c r="B3563" s="3" t="s">
        <v>3847</v>
      </c>
      <c r="C3563" s="3" t="s">
        <v>3848</v>
      </c>
      <c r="D3563" s="3" t="s">
        <v>3849</v>
      </c>
    </row>
    <row r="3564" spans="1:4" x14ac:dyDescent="0.2">
      <c r="A3564" s="3">
        <v>3900</v>
      </c>
      <c r="B3564" s="3" t="s">
        <v>3850</v>
      </c>
      <c r="C3564" s="3" t="s">
        <v>3848</v>
      </c>
      <c r="D3564" s="3" t="s">
        <v>3849</v>
      </c>
    </row>
    <row r="3565" spans="1:4" x14ac:dyDescent="0.2">
      <c r="A3565" s="3">
        <v>3900</v>
      </c>
      <c r="B3565" s="3" t="s">
        <v>3851</v>
      </c>
      <c r="C3565" s="3" t="s">
        <v>3848</v>
      </c>
      <c r="D3565" s="3" t="s">
        <v>3849</v>
      </c>
    </row>
    <row r="3566" spans="1:4" x14ac:dyDescent="0.2">
      <c r="A3566" s="3">
        <v>3902</v>
      </c>
      <c r="B3566" s="3" t="s">
        <v>3852</v>
      </c>
      <c r="C3566" s="3" t="s">
        <v>3848</v>
      </c>
      <c r="D3566" s="3" t="s">
        <v>3849</v>
      </c>
    </row>
    <row r="3567" spans="1:4" x14ac:dyDescent="0.2">
      <c r="A3567" s="3">
        <v>3939</v>
      </c>
      <c r="B3567" s="3" t="s">
        <v>3853</v>
      </c>
      <c r="C3567" s="3" t="s">
        <v>3853</v>
      </c>
      <c r="D3567" s="3" t="s">
        <v>3849</v>
      </c>
    </row>
    <row r="3568" spans="1:4" x14ac:dyDescent="0.2">
      <c r="A3568" s="3">
        <v>3903</v>
      </c>
      <c r="B3568" s="3" t="s">
        <v>3854</v>
      </c>
      <c r="C3568" s="3" t="s">
        <v>3855</v>
      </c>
      <c r="D3568" s="3" t="s">
        <v>3849</v>
      </c>
    </row>
    <row r="3569" spans="1:4" x14ac:dyDescent="0.2">
      <c r="A3569" s="3">
        <v>3903</v>
      </c>
      <c r="B3569" s="3" t="s">
        <v>3856</v>
      </c>
      <c r="C3569" s="3" t="s">
        <v>3855</v>
      </c>
      <c r="D3569" s="3" t="s">
        <v>3849</v>
      </c>
    </row>
    <row r="3570" spans="1:4" x14ac:dyDescent="0.2">
      <c r="A3570" s="3">
        <v>3904</v>
      </c>
      <c r="B3570" s="3" t="s">
        <v>3855</v>
      </c>
      <c r="C3570" s="3" t="s">
        <v>3855</v>
      </c>
      <c r="D3570" s="3" t="s">
        <v>3849</v>
      </c>
    </row>
    <row r="3571" spans="1:4" x14ac:dyDescent="0.2">
      <c r="A3571" s="3">
        <v>3914</v>
      </c>
      <c r="B3571" s="3" t="s">
        <v>3857</v>
      </c>
      <c r="C3571" s="3" t="s">
        <v>3855</v>
      </c>
      <c r="D3571" s="3" t="s">
        <v>3849</v>
      </c>
    </row>
    <row r="3572" spans="1:4" x14ac:dyDescent="0.2">
      <c r="A3572" s="3">
        <v>3914</v>
      </c>
      <c r="B3572" s="3" t="s">
        <v>3858</v>
      </c>
      <c r="C3572" s="3" t="s">
        <v>3855</v>
      </c>
      <c r="D3572" s="3" t="s">
        <v>3849</v>
      </c>
    </row>
    <row r="3573" spans="1:4" x14ac:dyDescent="0.2">
      <c r="A3573" s="3">
        <v>3901</v>
      </c>
      <c r="B3573" s="3" t="s">
        <v>3859</v>
      </c>
      <c r="C3573" s="3" t="s">
        <v>3860</v>
      </c>
      <c r="D3573" s="3" t="s">
        <v>3849</v>
      </c>
    </row>
    <row r="3574" spans="1:4" x14ac:dyDescent="0.2">
      <c r="A3574" s="3">
        <v>3911</v>
      </c>
      <c r="B3574" s="3" t="s">
        <v>3860</v>
      </c>
      <c r="C3574" s="3" t="s">
        <v>3860</v>
      </c>
      <c r="D3574" s="3" t="s">
        <v>3849</v>
      </c>
    </row>
    <row r="3575" spans="1:4" x14ac:dyDescent="0.2">
      <c r="A3575" s="3">
        <v>3907</v>
      </c>
      <c r="B3575" s="3" t="s">
        <v>3861</v>
      </c>
      <c r="C3575" s="3" t="s">
        <v>3862</v>
      </c>
      <c r="D3575" s="3" t="s">
        <v>3849</v>
      </c>
    </row>
    <row r="3576" spans="1:4" x14ac:dyDescent="0.2">
      <c r="A3576" s="3">
        <v>3907</v>
      </c>
      <c r="B3576" s="3" t="s">
        <v>3863</v>
      </c>
      <c r="C3576" s="3" t="s">
        <v>3862</v>
      </c>
      <c r="D3576" s="3" t="s">
        <v>3849</v>
      </c>
    </row>
    <row r="3577" spans="1:4" x14ac:dyDescent="0.2">
      <c r="A3577" s="3">
        <v>3907</v>
      </c>
      <c r="B3577" s="3" t="s">
        <v>3864</v>
      </c>
      <c r="C3577" s="3" t="s">
        <v>3862</v>
      </c>
      <c r="D3577" s="3" t="s">
        <v>3849</v>
      </c>
    </row>
    <row r="3578" spans="1:4" x14ac:dyDescent="0.2">
      <c r="A3578" s="3">
        <v>3912</v>
      </c>
      <c r="B3578" s="3" t="s">
        <v>3865</v>
      </c>
      <c r="C3578" s="3" t="s">
        <v>3865</v>
      </c>
      <c r="D3578" s="3" t="s">
        <v>3849</v>
      </c>
    </row>
    <row r="3579" spans="1:4" x14ac:dyDescent="0.2">
      <c r="A3579" s="3">
        <v>3913</v>
      </c>
      <c r="B3579" s="3" t="s">
        <v>3866</v>
      </c>
      <c r="C3579" s="3" t="s">
        <v>3865</v>
      </c>
      <c r="D3579" s="3" t="s">
        <v>3849</v>
      </c>
    </row>
    <row r="3580" spans="1:4" x14ac:dyDescent="0.2">
      <c r="A3580" s="3">
        <v>3907</v>
      </c>
      <c r="B3580" s="3" t="s">
        <v>3867</v>
      </c>
      <c r="C3580" s="3" t="s">
        <v>3868</v>
      </c>
      <c r="D3580" s="3" t="s">
        <v>3849</v>
      </c>
    </row>
    <row r="3581" spans="1:4" x14ac:dyDescent="0.2">
      <c r="A3581" s="3">
        <v>1957</v>
      </c>
      <c r="B3581" s="3" t="s">
        <v>3869</v>
      </c>
      <c r="C3581" s="3" t="s">
        <v>3869</v>
      </c>
      <c r="D3581" s="3" t="s">
        <v>3849</v>
      </c>
    </row>
    <row r="3582" spans="1:4" x14ac:dyDescent="0.2">
      <c r="A3582" s="3">
        <v>1955</v>
      </c>
      <c r="B3582" s="3" t="s">
        <v>3870</v>
      </c>
      <c r="C3582" s="3" t="s">
        <v>3870</v>
      </c>
      <c r="D3582" s="3" t="s">
        <v>3849</v>
      </c>
    </row>
    <row r="3583" spans="1:4" x14ac:dyDescent="0.2">
      <c r="A3583" s="3">
        <v>1955</v>
      </c>
      <c r="B3583" s="3" t="s">
        <v>3871</v>
      </c>
      <c r="C3583" s="3" t="s">
        <v>3870</v>
      </c>
      <c r="D3583" s="3" t="s">
        <v>3849</v>
      </c>
    </row>
    <row r="3584" spans="1:4" x14ac:dyDescent="0.2">
      <c r="A3584" s="3">
        <v>1955</v>
      </c>
      <c r="B3584" s="3" t="s">
        <v>3872</v>
      </c>
      <c r="C3584" s="3" t="s">
        <v>3870</v>
      </c>
      <c r="D3584" s="3" t="s">
        <v>3849</v>
      </c>
    </row>
    <row r="3585" spans="1:4" x14ac:dyDescent="0.2">
      <c r="A3585" s="3">
        <v>1955</v>
      </c>
      <c r="B3585" s="3" t="s">
        <v>3873</v>
      </c>
      <c r="C3585" s="3" t="s">
        <v>3870</v>
      </c>
      <c r="D3585" s="3" t="s">
        <v>3849</v>
      </c>
    </row>
    <row r="3586" spans="1:4" x14ac:dyDescent="0.2">
      <c r="A3586" s="3">
        <v>1955</v>
      </c>
      <c r="B3586" s="3" t="s">
        <v>3874</v>
      </c>
      <c r="C3586" s="3" t="s">
        <v>3870</v>
      </c>
      <c r="D3586" s="3" t="s">
        <v>3849</v>
      </c>
    </row>
    <row r="3587" spans="1:4" x14ac:dyDescent="0.2">
      <c r="A3587" s="3">
        <v>1955</v>
      </c>
      <c r="B3587" s="3" t="s">
        <v>3875</v>
      </c>
      <c r="C3587" s="3" t="s">
        <v>3870</v>
      </c>
      <c r="D3587" s="3" t="s">
        <v>3849</v>
      </c>
    </row>
    <row r="3588" spans="1:4" x14ac:dyDescent="0.2">
      <c r="A3588" s="3">
        <v>1964</v>
      </c>
      <c r="B3588" s="3" t="s">
        <v>3876</v>
      </c>
      <c r="C3588" s="3" t="s">
        <v>3876</v>
      </c>
      <c r="D3588" s="3" t="s">
        <v>3849</v>
      </c>
    </row>
    <row r="3589" spans="1:4" x14ac:dyDescent="0.2">
      <c r="A3589" s="3">
        <v>1975</v>
      </c>
      <c r="B3589" s="3" t="s">
        <v>3877</v>
      </c>
      <c r="C3589" s="3" t="s">
        <v>3876</v>
      </c>
      <c r="D3589" s="3" t="s">
        <v>3849</v>
      </c>
    </row>
    <row r="3590" spans="1:4" x14ac:dyDescent="0.2">
      <c r="A3590" s="3">
        <v>1976</v>
      </c>
      <c r="B3590" s="3" t="s">
        <v>3878</v>
      </c>
      <c r="C3590" s="3" t="s">
        <v>3876</v>
      </c>
      <c r="D3590" s="3" t="s">
        <v>3849</v>
      </c>
    </row>
    <row r="3591" spans="1:4" x14ac:dyDescent="0.2">
      <c r="A3591" s="3">
        <v>1976</v>
      </c>
      <c r="B3591" s="3" t="s">
        <v>3879</v>
      </c>
      <c r="C3591" s="3" t="s">
        <v>3876</v>
      </c>
      <c r="D3591" s="3" t="s">
        <v>3849</v>
      </c>
    </row>
    <row r="3592" spans="1:4" x14ac:dyDescent="0.2">
      <c r="A3592" s="3">
        <v>1976</v>
      </c>
      <c r="B3592" s="3" t="s">
        <v>3880</v>
      </c>
      <c r="C3592" s="3" t="s">
        <v>3876</v>
      </c>
      <c r="D3592" s="3" t="s">
        <v>3849</v>
      </c>
    </row>
    <row r="3593" spans="1:4" x14ac:dyDescent="0.2">
      <c r="A3593" s="3">
        <v>1993</v>
      </c>
      <c r="B3593" s="3" t="s">
        <v>3881</v>
      </c>
      <c r="C3593" s="3" t="s">
        <v>3882</v>
      </c>
      <c r="D3593" s="3" t="s">
        <v>3849</v>
      </c>
    </row>
    <row r="3594" spans="1:4" x14ac:dyDescent="0.2">
      <c r="A3594" s="3">
        <v>1994</v>
      </c>
      <c r="B3594" s="3" t="s">
        <v>3883</v>
      </c>
      <c r="C3594" s="3" t="s">
        <v>3882</v>
      </c>
      <c r="D3594" s="3" t="s">
        <v>3849</v>
      </c>
    </row>
    <row r="3595" spans="1:4" x14ac:dyDescent="0.2">
      <c r="A3595" s="3">
        <v>1996</v>
      </c>
      <c r="B3595" s="3" t="s">
        <v>3884</v>
      </c>
      <c r="C3595" s="3" t="s">
        <v>3882</v>
      </c>
      <c r="D3595" s="3" t="s">
        <v>3849</v>
      </c>
    </row>
    <row r="3596" spans="1:4" x14ac:dyDescent="0.2">
      <c r="A3596" s="3">
        <v>1996</v>
      </c>
      <c r="B3596" s="3" t="s">
        <v>3885</v>
      </c>
      <c r="C3596" s="3" t="s">
        <v>3882</v>
      </c>
      <c r="D3596" s="3" t="s">
        <v>3849</v>
      </c>
    </row>
    <row r="3597" spans="1:4" x14ac:dyDescent="0.2">
      <c r="A3597" s="3">
        <v>1996</v>
      </c>
      <c r="B3597" s="3" t="s">
        <v>3886</v>
      </c>
      <c r="C3597" s="3" t="s">
        <v>3882</v>
      </c>
      <c r="D3597" s="3" t="s">
        <v>3849</v>
      </c>
    </row>
    <row r="3598" spans="1:4" x14ac:dyDescent="0.2">
      <c r="A3598" s="3">
        <v>1996</v>
      </c>
      <c r="B3598" s="3" t="s">
        <v>3887</v>
      </c>
      <c r="C3598" s="3" t="s">
        <v>3882</v>
      </c>
      <c r="D3598" s="3" t="s">
        <v>3849</v>
      </c>
    </row>
    <row r="3599" spans="1:4" x14ac:dyDescent="0.2">
      <c r="A3599" s="3">
        <v>1996</v>
      </c>
      <c r="B3599" s="3" t="s">
        <v>3888</v>
      </c>
      <c r="C3599" s="3" t="s">
        <v>3882</v>
      </c>
      <c r="D3599" s="3" t="s">
        <v>3849</v>
      </c>
    </row>
    <row r="3600" spans="1:4" x14ac:dyDescent="0.2">
      <c r="A3600" s="3">
        <v>1996</v>
      </c>
      <c r="B3600" s="3" t="s">
        <v>3889</v>
      </c>
      <c r="C3600" s="3" t="s">
        <v>3882</v>
      </c>
      <c r="D3600" s="3" t="s">
        <v>3849</v>
      </c>
    </row>
    <row r="3601" spans="1:4" x14ac:dyDescent="0.2">
      <c r="A3601" s="3">
        <v>1996</v>
      </c>
      <c r="B3601" s="3" t="s">
        <v>3890</v>
      </c>
      <c r="C3601" s="3" t="s">
        <v>3882</v>
      </c>
      <c r="D3601" s="3" t="s">
        <v>3849</v>
      </c>
    </row>
    <row r="3602" spans="1:4" x14ac:dyDescent="0.2">
      <c r="A3602" s="3">
        <v>1996</v>
      </c>
      <c r="B3602" s="3" t="s">
        <v>3891</v>
      </c>
      <c r="C3602" s="3" t="s">
        <v>3882</v>
      </c>
      <c r="D3602" s="3" t="s">
        <v>3849</v>
      </c>
    </row>
    <row r="3603" spans="1:4" x14ac:dyDescent="0.2">
      <c r="A3603" s="3">
        <v>1997</v>
      </c>
      <c r="B3603" s="3" t="s">
        <v>3892</v>
      </c>
      <c r="C3603" s="3" t="s">
        <v>3882</v>
      </c>
      <c r="D3603" s="3" t="s">
        <v>3849</v>
      </c>
    </row>
    <row r="3604" spans="1:4" x14ac:dyDescent="0.2">
      <c r="A3604" s="3">
        <v>1997</v>
      </c>
      <c r="B3604" s="3" t="s">
        <v>3893</v>
      </c>
      <c r="C3604" s="3" t="s">
        <v>3882</v>
      </c>
      <c r="D3604" s="3" t="s">
        <v>3849</v>
      </c>
    </row>
    <row r="3605" spans="1:4" x14ac:dyDescent="0.2">
      <c r="A3605" s="3">
        <v>1997</v>
      </c>
      <c r="B3605" s="3" t="s">
        <v>3894</v>
      </c>
      <c r="C3605" s="3" t="s">
        <v>3882</v>
      </c>
      <c r="D3605" s="3" t="s">
        <v>3849</v>
      </c>
    </row>
    <row r="3606" spans="1:4" x14ac:dyDescent="0.2">
      <c r="A3606" s="3">
        <v>1963</v>
      </c>
      <c r="B3606" s="3" t="s">
        <v>3895</v>
      </c>
      <c r="C3606" s="3" t="s">
        <v>3895</v>
      </c>
      <c r="D3606" s="3" t="s">
        <v>3849</v>
      </c>
    </row>
    <row r="3607" spans="1:4" x14ac:dyDescent="0.2">
      <c r="A3607" s="3">
        <v>1946</v>
      </c>
      <c r="B3607" s="3" t="s">
        <v>3896</v>
      </c>
      <c r="C3607" s="3" t="s">
        <v>3897</v>
      </c>
      <c r="D3607" s="3" t="s">
        <v>3849</v>
      </c>
    </row>
    <row r="3608" spans="1:4" x14ac:dyDescent="0.2">
      <c r="A3608" s="3">
        <v>1945</v>
      </c>
      <c r="B3608" s="3" t="s">
        <v>3898</v>
      </c>
      <c r="C3608" s="3" t="s">
        <v>3898</v>
      </c>
      <c r="D3608" s="3" t="s">
        <v>3849</v>
      </c>
    </row>
    <row r="3609" spans="1:4" x14ac:dyDescent="0.2">
      <c r="A3609" s="3">
        <v>1945</v>
      </c>
      <c r="B3609" s="3" t="s">
        <v>3899</v>
      </c>
      <c r="C3609" s="3" t="s">
        <v>3898</v>
      </c>
      <c r="D3609" s="3" t="s">
        <v>3849</v>
      </c>
    </row>
    <row r="3610" spans="1:4" x14ac:dyDescent="0.2">
      <c r="A3610" s="3">
        <v>1945</v>
      </c>
      <c r="B3610" s="3" t="s">
        <v>3900</v>
      </c>
      <c r="C3610" s="3" t="s">
        <v>3898</v>
      </c>
      <c r="D3610" s="3" t="s">
        <v>3849</v>
      </c>
    </row>
    <row r="3611" spans="1:4" x14ac:dyDescent="0.2">
      <c r="A3611" s="3">
        <v>1945</v>
      </c>
      <c r="B3611" s="3" t="s">
        <v>3901</v>
      </c>
      <c r="C3611" s="3" t="s">
        <v>3898</v>
      </c>
      <c r="D3611" s="3" t="s">
        <v>3849</v>
      </c>
    </row>
    <row r="3612" spans="1:4" x14ac:dyDescent="0.2">
      <c r="A3612" s="3">
        <v>1945</v>
      </c>
      <c r="B3612" s="3" t="s">
        <v>3902</v>
      </c>
      <c r="C3612" s="3" t="s">
        <v>3898</v>
      </c>
      <c r="D3612" s="3" t="s">
        <v>3849</v>
      </c>
    </row>
    <row r="3613" spans="1:4" x14ac:dyDescent="0.2">
      <c r="A3613" s="3">
        <v>1945</v>
      </c>
      <c r="B3613" s="3" t="s">
        <v>3903</v>
      </c>
      <c r="C3613" s="3" t="s">
        <v>3898</v>
      </c>
      <c r="D3613" s="3" t="s">
        <v>3849</v>
      </c>
    </row>
    <row r="3614" spans="1:4" x14ac:dyDescent="0.2">
      <c r="A3614" s="3">
        <v>1945</v>
      </c>
      <c r="B3614" s="3" t="s">
        <v>3904</v>
      </c>
      <c r="C3614" s="3" t="s">
        <v>3898</v>
      </c>
      <c r="D3614" s="3" t="s">
        <v>3849</v>
      </c>
    </row>
    <row r="3615" spans="1:4" x14ac:dyDescent="0.2">
      <c r="A3615" s="3">
        <v>1945</v>
      </c>
      <c r="B3615" s="3" t="s">
        <v>3905</v>
      </c>
      <c r="C3615" s="3" t="s">
        <v>3898</v>
      </c>
      <c r="D3615" s="3" t="s">
        <v>3849</v>
      </c>
    </row>
    <row r="3616" spans="1:4" x14ac:dyDescent="0.2">
      <c r="A3616" s="3">
        <v>1945</v>
      </c>
      <c r="B3616" s="3" t="s">
        <v>3906</v>
      </c>
      <c r="C3616" s="3" t="s">
        <v>3898</v>
      </c>
      <c r="D3616" s="3" t="s">
        <v>3849</v>
      </c>
    </row>
    <row r="3617" spans="1:4" x14ac:dyDescent="0.2">
      <c r="A3617" s="3">
        <v>1945</v>
      </c>
      <c r="B3617" s="3" t="s">
        <v>3907</v>
      </c>
      <c r="C3617" s="3" t="s">
        <v>3898</v>
      </c>
      <c r="D3617" s="3" t="s">
        <v>3849</v>
      </c>
    </row>
    <row r="3618" spans="1:4" x14ac:dyDescent="0.2">
      <c r="A3618" s="3">
        <v>1945</v>
      </c>
      <c r="B3618" s="3" t="s">
        <v>3908</v>
      </c>
      <c r="C3618" s="3" t="s">
        <v>3898</v>
      </c>
      <c r="D3618" s="3" t="s">
        <v>3849</v>
      </c>
    </row>
    <row r="3619" spans="1:4" x14ac:dyDescent="0.2">
      <c r="A3619" s="3">
        <v>1945</v>
      </c>
      <c r="B3619" s="3" t="s">
        <v>3909</v>
      </c>
      <c r="C3619" s="3" t="s">
        <v>3898</v>
      </c>
      <c r="D3619" s="3" t="s">
        <v>3849</v>
      </c>
    </row>
    <row r="3620" spans="1:4" x14ac:dyDescent="0.2">
      <c r="A3620" s="3">
        <v>1937</v>
      </c>
      <c r="B3620" s="3" t="s">
        <v>3910</v>
      </c>
      <c r="C3620" s="3" t="s">
        <v>3910</v>
      </c>
      <c r="D3620" s="3" t="s">
        <v>3849</v>
      </c>
    </row>
    <row r="3621" spans="1:4" x14ac:dyDescent="0.2">
      <c r="A3621" s="3">
        <v>1938</v>
      </c>
      <c r="B3621" s="3" t="s">
        <v>3911</v>
      </c>
      <c r="C3621" s="3" t="s">
        <v>3910</v>
      </c>
      <c r="D3621" s="3" t="s">
        <v>3849</v>
      </c>
    </row>
    <row r="3622" spans="1:4" x14ac:dyDescent="0.2">
      <c r="A3622" s="3">
        <v>1943</v>
      </c>
      <c r="B3622" s="3" t="s">
        <v>3912</v>
      </c>
      <c r="C3622" s="3" t="s">
        <v>3910</v>
      </c>
      <c r="D3622" s="3" t="s">
        <v>3849</v>
      </c>
    </row>
    <row r="3623" spans="1:4" x14ac:dyDescent="0.2">
      <c r="A3623" s="3">
        <v>1944</v>
      </c>
      <c r="B3623" s="3" t="s">
        <v>3913</v>
      </c>
      <c r="C3623" s="3" t="s">
        <v>3910</v>
      </c>
      <c r="D3623" s="3" t="s">
        <v>3849</v>
      </c>
    </row>
    <row r="3624" spans="1:4" x14ac:dyDescent="0.2">
      <c r="A3624" s="3">
        <v>1933</v>
      </c>
      <c r="B3624" s="3" t="s">
        <v>3914</v>
      </c>
      <c r="C3624" s="3" t="s">
        <v>3914</v>
      </c>
      <c r="D3624" s="3" t="s">
        <v>3849</v>
      </c>
    </row>
    <row r="3625" spans="1:4" x14ac:dyDescent="0.2">
      <c r="A3625" s="3">
        <v>1933</v>
      </c>
      <c r="B3625" s="3" t="s">
        <v>3915</v>
      </c>
      <c r="C3625" s="3" t="s">
        <v>3914</v>
      </c>
      <c r="D3625" s="3" t="s">
        <v>3849</v>
      </c>
    </row>
    <row r="3626" spans="1:4" x14ac:dyDescent="0.2">
      <c r="A3626" s="3">
        <v>1933</v>
      </c>
      <c r="B3626" s="3" t="s">
        <v>3916</v>
      </c>
      <c r="C3626" s="3" t="s">
        <v>3914</v>
      </c>
      <c r="D3626" s="3" t="s">
        <v>3849</v>
      </c>
    </row>
    <row r="3627" spans="1:4" x14ac:dyDescent="0.2">
      <c r="A3627" s="3">
        <v>1927</v>
      </c>
      <c r="B3627" s="3" t="s">
        <v>3917</v>
      </c>
      <c r="C3627" s="3" t="s">
        <v>3918</v>
      </c>
      <c r="D3627" s="3" t="s">
        <v>3849</v>
      </c>
    </row>
    <row r="3628" spans="1:4" x14ac:dyDescent="0.2">
      <c r="A3628" s="3">
        <v>1933</v>
      </c>
      <c r="B3628" s="3" t="s">
        <v>3919</v>
      </c>
      <c r="C3628" s="3" t="s">
        <v>3918</v>
      </c>
      <c r="D3628" s="3" t="s">
        <v>3849</v>
      </c>
    </row>
    <row r="3629" spans="1:4" x14ac:dyDescent="0.2">
      <c r="A3629" s="3">
        <v>1934</v>
      </c>
      <c r="B3629" s="3" t="s">
        <v>3920</v>
      </c>
      <c r="C3629" s="3" t="s">
        <v>3918</v>
      </c>
      <c r="D3629" s="3" t="s">
        <v>3849</v>
      </c>
    </row>
    <row r="3630" spans="1:4" x14ac:dyDescent="0.2">
      <c r="A3630" s="3">
        <v>1934</v>
      </c>
      <c r="B3630" s="3" t="s">
        <v>3921</v>
      </c>
      <c r="C3630" s="3" t="s">
        <v>3918</v>
      </c>
      <c r="D3630" s="3" t="s">
        <v>3849</v>
      </c>
    </row>
    <row r="3631" spans="1:4" x14ac:dyDescent="0.2">
      <c r="A3631" s="3">
        <v>1936</v>
      </c>
      <c r="B3631" s="3" t="s">
        <v>3922</v>
      </c>
      <c r="C3631" s="3" t="s">
        <v>3918</v>
      </c>
      <c r="D3631" s="3" t="s">
        <v>3849</v>
      </c>
    </row>
    <row r="3632" spans="1:4" x14ac:dyDescent="0.2">
      <c r="A3632" s="3">
        <v>1941</v>
      </c>
      <c r="B3632" s="3" t="s">
        <v>3923</v>
      </c>
      <c r="C3632" s="3" t="s">
        <v>3918</v>
      </c>
      <c r="D3632" s="3" t="s">
        <v>3849</v>
      </c>
    </row>
    <row r="3633" spans="1:4" x14ac:dyDescent="0.2">
      <c r="A3633" s="3">
        <v>1941</v>
      </c>
      <c r="B3633" s="3" t="s">
        <v>3924</v>
      </c>
      <c r="C3633" s="3" t="s">
        <v>3918</v>
      </c>
      <c r="D3633" s="3" t="s">
        <v>3849</v>
      </c>
    </row>
    <row r="3634" spans="1:4" x14ac:dyDescent="0.2">
      <c r="A3634" s="3">
        <v>1942</v>
      </c>
      <c r="B3634" s="3" t="s">
        <v>3925</v>
      </c>
      <c r="C3634" s="3" t="s">
        <v>3918</v>
      </c>
      <c r="D3634" s="3" t="s">
        <v>3849</v>
      </c>
    </row>
    <row r="3635" spans="1:4" x14ac:dyDescent="0.2">
      <c r="A3635" s="3">
        <v>1947</v>
      </c>
      <c r="B3635" s="3" t="s">
        <v>3926</v>
      </c>
      <c r="C3635" s="3" t="s">
        <v>3918</v>
      </c>
      <c r="D3635" s="3" t="s">
        <v>3849</v>
      </c>
    </row>
    <row r="3636" spans="1:4" x14ac:dyDescent="0.2">
      <c r="A3636" s="3">
        <v>1947</v>
      </c>
      <c r="B3636" s="3" t="s">
        <v>3927</v>
      </c>
      <c r="C3636" s="3" t="s">
        <v>3918</v>
      </c>
      <c r="D3636" s="3" t="s">
        <v>3849</v>
      </c>
    </row>
    <row r="3637" spans="1:4" x14ac:dyDescent="0.2">
      <c r="A3637" s="3">
        <v>1948</v>
      </c>
      <c r="B3637" s="3" t="s">
        <v>3928</v>
      </c>
      <c r="C3637" s="3" t="s">
        <v>3918</v>
      </c>
      <c r="D3637" s="3" t="s">
        <v>3849</v>
      </c>
    </row>
    <row r="3638" spans="1:4" x14ac:dyDescent="0.2">
      <c r="A3638" s="3">
        <v>1948</v>
      </c>
      <c r="B3638" s="3" t="s">
        <v>3929</v>
      </c>
      <c r="C3638" s="3" t="s">
        <v>3918</v>
      </c>
      <c r="D3638" s="3" t="s">
        <v>3849</v>
      </c>
    </row>
    <row r="3639" spans="1:4" x14ac:dyDescent="0.2">
      <c r="A3639" s="3">
        <v>1948</v>
      </c>
      <c r="B3639" s="3" t="s">
        <v>3930</v>
      </c>
      <c r="C3639" s="3" t="s">
        <v>3918</v>
      </c>
      <c r="D3639" s="3" t="s">
        <v>3849</v>
      </c>
    </row>
    <row r="3640" spans="1:4" x14ac:dyDescent="0.2">
      <c r="A3640" s="3">
        <v>3997</v>
      </c>
      <c r="B3640" s="3" t="s">
        <v>3931</v>
      </c>
      <c r="C3640" s="3" t="s">
        <v>3931</v>
      </c>
      <c r="D3640" s="3" t="s">
        <v>3849</v>
      </c>
    </row>
    <row r="3641" spans="1:4" x14ac:dyDescent="0.2">
      <c r="A3641" s="3">
        <v>3996</v>
      </c>
      <c r="B3641" s="3" t="s">
        <v>3932</v>
      </c>
      <c r="C3641" s="3" t="s">
        <v>3932</v>
      </c>
      <c r="D3641" s="3" t="s">
        <v>3849</v>
      </c>
    </row>
    <row r="3642" spans="1:4" x14ac:dyDescent="0.2">
      <c r="A3642" s="3">
        <v>3995</v>
      </c>
      <c r="B3642" s="3" t="s">
        <v>3933</v>
      </c>
      <c r="C3642" s="3" t="s">
        <v>3933</v>
      </c>
      <c r="D3642" s="3" t="s">
        <v>3849</v>
      </c>
    </row>
    <row r="3643" spans="1:4" x14ac:dyDescent="0.2">
      <c r="A3643" s="3">
        <v>3995</v>
      </c>
      <c r="B3643" s="3" t="s">
        <v>3934</v>
      </c>
      <c r="C3643" s="3" t="s">
        <v>3933</v>
      </c>
      <c r="D3643" s="3" t="s">
        <v>3849</v>
      </c>
    </row>
    <row r="3644" spans="1:4" x14ac:dyDescent="0.2">
      <c r="A3644" s="3">
        <v>3995</v>
      </c>
      <c r="B3644" s="3" t="s">
        <v>3935</v>
      </c>
      <c r="C3644" s="3" t="s">
        <v>3933</v>
      </c>
      <c r="D3644" s="3" t="s">
        <v>3849</v>
      </c>
    </row>
    <row r="3645" spans="1:4" x14ac:dyDescent="0.2">
      <c r="A3645" s="3">
        <v>3995</v>
      </c>
      <c r="B3645" s="3" t="s">
        <v>3936</v>
      </c>
      <c r="C3645" s="3" t="s">
        <v>3933</v>
      </c>
      <c r="D3645" s="3" t="s">
        <v>3849</v>
      </c>
    </row>
    <row r="3646" spans="1:4" x14ac:dyDescent="0.2">
      <c r="A3646" s="3">
        <v>3984</v>
      </c>
      <c r="B3646" s="3" t="s">
        <v>3937</v>
      </c>
      <c r="C3646" s="3" t="s">
        <v>3937</v>
      </c>
      <c r="D3646" s="3" t="s">
        <v>3849</v>
      </c>
    </row>
    <row r="3647" spans="1:4" x14ac:dyDescent="0.2">
      <c r="A3647" s="3">
        <v>3801</v>
      </c>
      <c r="B3647" s="3" t="s">
        <v>3938</v>
      </c>
      <c r="C3647" s="3" t="s">
        <v>3939</v>
      </c>
      <c r="D3647" s="3" t="s">
        <v>3849</v>
      </c>
    </row>
    <row r="3648" spans="1:4" x14ac:dyDescent="0.2">
      <c r="A3648" s="3">
        <v>3984</v>
      </c>
      <c r="B3648" s="3" t="s">
        <v>3939</v>
      </c>
      <c r="C3648" s="3" t="s">
        <v>3939</v>
      </c>
      <c r="D3648" s="3" t="s">
        <v>3849</v>
      </c>
    </row>
    <row r="3649" spans="1:4" x14ac:dyDescent="0.2">
      <c r="A3649" s="3">
        <v>3994</v>
      </c>
      <c r="B3649" s="3" t="s">
        <v>3940</v>
      </c>
      <c r="C3649" s="3" t="s">
        <v>3940</v>
      </c>
      <c r="D3649" s="3" t="s">
        <v>3849</v>
      </c>
    </row>
    <row r="3650" spans="1:4" x14ac:dyDescent="0.2">
      <c r="A3650" s="3">
        <v>3988</v>
      </c>
      <c r="B3650" s="3" t="s">
        <v>3941</v>
      </c>
      <c r="C3650" s="3" t="s">
        <v>3942</v>
      </c>
      <c r="D3650" s="3" t="s">
        <v>3849</v>
      </c>
    </row>
    <row r="3651" spans="1:4" x14ac:dyDescent="0.2">
      <c r="A3651" s="3">
        <v>3988</v>
      </c>
      <c r="B3651" s="3" t="s">
        <v>3943</v>
      </c>
      <c r="C3651" s="3" t="s">
        <v>3942</v>
      </c>
      <c r="D3651" s="3" t="s">
        <v>3849</v>
      </c>
    </row>
    <row r="3652" spans="1:4" x14ac:dyDescent="0.2">
      <c r="A3652" s="3">
        <v>3999</v>
      </c>
      <c r="B3652" s="3" t="s">
        <v>3944</v>
      </c>
      <c r="C3652" s="3" t="s">
        <v>3942</v>
      </c>
      <c r="D3652" s="3" t="s">
        <v>3849</v>
      </c>
    </row>
    <row r="3653" spans="1:4" x14ac:dyDescent="0.2">
      <c r="A3653" s="3">
        <v>3985</v>
      </c>
      <c r="B3653" s="3" t="s">
        <v>3945</v>
      </c>
      <c r="C3653" s="3" t="s">
        <v>3946</v>
      </c>
      <c r="D3653" s="3" t="s">
        <v>3849</v>
      </c>
    </row>
    <row r="3654" spans="1:4" x14ac:dyDescent="0.2">
      <c r="A3654" s="3">
        <v>3985</v>
      </c>
      <c r="B3654" s="3" t="s">
        <v>3947</v>
      </c>
      <c r="C3654" s="3" t="s">
        <v>3946</v>
      </c>
      <c r="D3654" s="3" t="s">
        <v>3849</v>
      </c>
    </row>
    <row r="3655" spans="1:4" x14ac:dyDescent="0.2">
      <c r="A3655" s="3">
        <v>3989</v>
      </c>
      <c r="B3655" s="3" t="s">
        <v>3948</v>
      </c>
      <c r="C3655" s="3" t="s">
        <v>3946</v>
      </c>
      <c r="D3655" s="3" t="s">
        <v>3849</v>
      </c>
    </row>
    <row r="3656" spans="1:4" x14ac:dyDescent="0.2">
      <c r="A3656" s="3">
        <v>3989</v>
      </c>
      <c r="B3656" s="3" t="s">
        <v>3949</v>
      </c>
      <c r="C3656" s="3" t="s">
        <v>3946</v>
      </c>
      <c r="D3656" s="3" t="s">
        <v>3849</v>
      </c>
    </row>
    <row r="3657" spans="1:4" x14ac:dyDescent="0.2">
      <c r="A3657" s="3">
        <v>3989</v>
      </c>
      <c r="B3657" s="3" t="s">
        <v>3950</v>
      </c>
      <c r="C3657" s="3" t="s">
        <v>3946</v>
      </c>
      <c r="D3657" s="3" t="s">
        <v>3849</v>
      </c>
    </row>
    <row r="3658" spans="1:4" x14ac:dyDescent="0.2">
      <c r="A3658" s="3">
        <v>3989</v>
      </c>
      <c r="B3658" s="3" t="s">
        <v>3951</v>
      </c>
      <c r="C3658" s="3" t="s">
        <v>3946</v>
      </c>
      <c r="D3658" s="3" t="s">
        <v>3849</v>
      </c>
    </row>
    <row r="3659" spans="1:4" x14ac:dyDescent="0.2">
      <c r="A3659" s="3">
        <v>3989</v>
      </c>
      <c r="B3659" s="3" t="s">
        <v>3952</v>
      </c>
      <c r="C3659" s="3" t="s">
        <v>3946</v>
      </c>
      <c r="D3659" s="3" t="s">
        <v>3849</v>
      </c>
    </row>
    <row r="3660" spans="1:4" x14ac:dyDescent="0.2">
      <c r="A3660" s="3">
        <v>3998</v>
      </c>
      <c r="B3660" s="3" t="s">
        <v>3953</v>
      </c>
      <c r="C3660" s="3" t="s">
        <v>3946</v>
      </c>
      <c r="D3660" s="3" t="s">
        <v>3849</v>
      </c>
    </row>
    <row r="3661" spans="1:4" x14ac:dyDescent="0.2">
      <c r="A3661" s="3">
        <v>3998</v>
      </c>
      <c r="B3661" s="3" t="s">
        <v>3954</v>
      </c>
      <c r="C3661" s="3" t="s">
        <v>3946</v>
      </c>
      <c r="D3661" s="3" t="s">
        <v>3849</v>
      </c>
    </row>
    <row r="3662" spans="1:4" x14ac:dyDescent="0.2">
      <c r="A3662" s="3">
        <v>1966</v>
      </c>
      <c r="B3662" s="3" t="s">
        <v>3955</v>
      </c>
      <c r="C3662" s="3" t="s">
        <v>3956</v>
      </c>
      <c r="D3662" s="3" t="s">
        <v>3849</v>
      </c>
    </row>
    <row r="3663" spans="1:4" x14ac:dyDescent="0.2">
      <c r="A3663" s="3">
        <v>1966</v>
      </c>
      <c r="B3663" s="3" t="s">
        <v>3957</v>
      </c>
      <c r="C3663" s="3" t="s">
        <v>3956</v>
      </c>
      <c r="D3663" s="3" t="s">
        <v>3849</v>
      </c>
    </row>
    <row r="3664" spans="1:4" x14ac:dyDescent="0.2">
      <c r="A3664" s="3">
        <v>1966</v>
      </c>
      <c r="B3664" s="3" t="s">
        <v>3958</v>
      </c>
      <c r="C3664" s="3" t="s">
        <v>3956</v>
      </c>
      <c r="D3664" s="3" t="s">
        <v>3849</v>
      </c>
    </row>
    <row r="3665" spans="1:4" x14ac:dyDescent="0.2">
      <c r="A3665" s="3">
        <v>1966</v>
      </c>
      <c r="B3665" s="3" t="s">
        <v>3959</v>
      </c>
      <c r="C3665" s="3" t="s">
        <v>3956</v>
      </c>
      <c r="D3665" s="3" t="s">
        <v>3849</v>
      </c>
    </row>
    <row r="3666" spans="1:4" x14ac:dyDescent="0.2">
      <c r="A3666" s="3">
        <v>1966</v>
      </c>
      <c r="B3666" s="3" t="s">
        <v>3960</v>
      </c>
      <c r="C3666" s="3" t="s">
        <v>3956</v>
      </c>
      <c r="D3666" s="3" t="s">
        <v>3849</v>
      </c>
    </row>
    <row r="3667" spans="1:4" x14ac:dyDescent="0.2">
      <c r="A3667" s="3">
        <v>1966</v>
      </c>
      <c r="B3667" s="3" t="s">
        <v>3961</v>
      </c>
      <c r="C3667" s="3" t="s">
        <v>3956</v>
      </c>
      <c r="D3667" s="3" t="s">
        <v>3849</v>
      </c>
    </row>
    <row r="3668" spans="1:4" x14ac:dyDescent="0.2">
      <c r="A3668" s="3">
        <v>1966</v>
      </c>
      <c r="B3668" s="3" t="s">
        <v>3962</v>
      </c>
      <c r="C3668" s="3" t="s">
        <v>3956</v>
      </c>
      <c r="D3668" s="3" t="s">
        <v>3849</v>
      </c>
    </row>
    <row r="3669" spans="1:4" x14ac:dyDescent="0.2">
      <c r="A3669" s="3">
        <v>1966</v>
      </c>
      <c r="B3669" s="3" t="s">
        <v>3963</v>
      </c>
      <c r="C3669" s="3" t="s">
        <v>3956</v>
      </c>
      <c r="D3669" s="3" t="s">
        <v>3849</v>
      </c>
    </row>
    <row r="3670" spans="1:4" x14ac:dyDescent="0.2">
      <c r="A3670" s="3">
        <v>1966</v>
      </c>
      <c r="B3670" s="3" t="s">
        <v>3964</v>
      </c>
      <c r="C3670" s="3" t="s">
        <v>3956</v>
      </c>
      <c r="D3670" s="3" t="s">
        <v>3849</v>
      </c>
    </row>
    <row r="3671" spans="1:4" x14ac:dyDescent="0.2">
      <c r="A3671" s="3">
        <v>1966</v>
      </c>
      <c r="B3671" s="3" t="s">
        <v>3965</v>
      </c>
      <c r="C3671" s="3" t="s">
        <v>3956</v>
      </c>
      <c r="D3671" s="3" t="s">
        <v>3849</v>
      </c>
    </row>
    <row r="3672" spans="1:4" x14ac:dyDescent="0.2">
      <c r="A3672" s="3">
        <v>1972</v>
      </c>
      <c r="B3672" s="3" t="s">
        <v>3966</v>
      </c>
      <c r="C3672" s="3" t="s">
        <v>3956</v>
      </c>
      <c r="D3672" s="3" t="s">
        <v>3849</v>
      </c>
    </row>
    <row r="3673" spans="1:4" x14ac:dyDescent="0.2">
      <c r="A3673" s="3">
        <v>1983</v>
      </c>
      <c r="B3673" s="3" t="s">
        <v>3967</v>
      </c>
      <c r="C3673" s="3" t="s">
        <v>3967</v>
      </c>
      <c r="D3673" s="3" t="s">
        <v>3849</v>
      </c>
    </row>
    <row r="3674" spans="1:4" x14ac:dyDescent="0.2">
      <c r="A3674" s="3">
        <v>1983</v>
      </c>
      <c r="B3674" s="3" t="s">
        <v>3968</v>
      </c>
      <c r="C3674" s="3" t="s">
        <v>3967</v>
      </c>
      <c r="D3674" s="3" t="s">
        <v>3849</v>
      </c>
    </row>
    <row r="3675" spans="1:4" x14ac:dyDescent="0.2">
      <c r="A3675" s="3">
        <v>1984</v>
      </c>
      <c r="B3675" s="3" t="s">
        <v>3969</v>
      </c>
      <c r="C3675" s="3" t="s">
        <v>3967</v>
      </c>
      <c r="D3675" s="3" t="s">
        <v>3849</v>
      </c>
    </row>
    <row r="3676" spans="1:4" x14ac:dyDescent="0.2">
      <c r="A3676" s="3">
        <v>1984</v>
      </c>
      <c r="B3676" s="3" t="s">
        <v>3970</v>
      </c>
      <c r="C3676" s="3" t="s">
        <v>3967</v>
      </c>
      <c r="D3676" s="3" t="s">
        <v>3849</v>
      </c>
    </row>
    <row r="3677" spans="1:4" x14ac:dyDescent="0.2">
      <c r="A3677" s="3">
        <v>1985</v>
      </c>
      <c r="B3677" s="3" t="s">
        <v>3971</v>
      </c>
      <c r="C3677" s="3" t="s">
        <v>3967</v>
      </c>
      <c r="D3677" s="3" t="s">
        <v>3849</v>
      </c>
    </row>
    <row r="3678" spans="1:4" x14ac:dyDescent="0.2">
      <c r="A3678" s="3">
        <v>1985</v>
      </c>
      <c r="B3678" s="3" t="s">
        <v>3972</v>
      </c>
      <c r="C3678" s="3" t="s">
        <v>3967</v>
      </c>
      <c r="D3678" s="3" t="s">
        <v>3849</v>
      </c>
    </row>
    <row r="3679" spans="1:4" x14ac:dyDescent="0.2">
      <c r="A3679" s="3">
        <v>1985</v>
      </c>
      <c r="B3679" s="3" t="s">
        <v>3973</v>
      </c>
      <c r="C3679" s="3" t="s">
        <v>3967</v>
      </c>
      <c r="D3679" s="3" t="s">
        <v>3849</v>
      </c>
    </row>
    <row r="3680" spans="1:4" x14ac:dyDescent="0.2">
      <c r="A3680" s="3">
        <v>1986</v>
      </c>
      <c r="B3680" s="3" t="s">
        <v>3974</v>
      </c>
      <c r="C3680" s="3" t="s">
        <v>3967</v>
      </c>
      <c r="D3680" s="3" t="s">
        <v>3849</v>
      </c>
    </row>
    <row r="3681" spans="1:4" x14ac:dyDescent="0.2">
      <c r="A3681" s="3">
        <v>1982</v>
      </c>
      <c r="B3681" s="3" t="s">
        <v>3975</v>
      </c>
      <c r="C3681" s="3" t="s">
        <v>3976</v>
      </c>
      <c r="D3681" s="3" t="s">
        <v>3849</v>
      </c>
    </row>
    <row r="3682" spans="1:4" x14ac:dyDescent="0.2">
      <c r="A3682" s="3">
        <v>1987</v>
      </c>
      <c r="B3682" s="3" t="s">
        <v>3976</v>
      </c>
      <c r="C3682" s="3" t="s">
        <v>3976</v>
      </c>
      <c r="D3682" s="3" t="s">
        <v>3849</v>
      </c>
    </row>
    <row r="3683" spans="1:4" x14ac:dyDescent="0.2">
      <c r="A3683" s="3">
        <v>1969</v>
      </c>
      <c r="B3683" s="3" t="s">
        <v>3977</v>
      </c>
      <c r="C3683" s="3" t="s">
        <v>3978</v>
      </c>
      <c r="D3683" s="3" t="s">
        <v>3849</v>
      </c>
    </row>
    <row r="3684" spans="1:4" x14ac:dyDescent="0.2">
      <c r="A3684" s="3">
        <v>1969</v>
      </c>
      <c r="B3684" s="3" t="s">
        <v>3979</v>
      </c>
      <c r="C3684" s="3" t="s">
        <v>3978</v>
      </c>
      <c r="D3684" s="3" t="s">
        <v>3849</v>
      </c>
    </row>
    <row r="3685" spans="1:4" x14ac:dyDescent="0.2">
      <c r="A3685" s="3">
        <v>1969</v>
      </c>
      <c r="B3685" s="3" t="s">
        <v>3980</v>
      </c>
      <c r="C3685" s="3" t="s">
        <v>3978</v>
      </c>
      <c r="D3685" s="3" t="s">
        <v>3849</v>
      </c>
    </row>
    <row r="3686" spans="1:4" x14ac:dyDescent="0.2">
      <c r="A3686" s="3">
        <v>1969</v>
      </c>
      <c r="B3686" s="3" t="s">
        <v>3981</v>
      </c>
      <c r="C3686" s="3" t="s">
        <v>3978</v>
      </c>
      <c r="D3686" s="3" t="s">
        <v>3849</v>
      </c>
    </row>
    <row r="3687" spans="1:4" x14ac:dyDescent="0.2">
      <c r="A3687" s="3">
        <v>1969</v>
      </c>
      <c r="B3687" s="3" t="s">
        <v>3982</v>
      </c>
      <c r="C3687" s="3" t="s">
        <v>3978</v>
      </c>
      <c r="D3687" s="3" t="s">
        <v>3849</v>
      </c>
    </row>
    <row r="3688" spans="1:4" x14ac:dyDescent="0.2">
      <c r="A3688" s="3">
        <v>1981</v>
      </c>
      <c r="B3688" s="3" t="s">
        <v>3983</v>
      </c>
      <c r="C3688" s="3" t="s">
        <v>3983</v>
      </c>
      <c r="D3688" s="3" t="s">
        <v>3849</v>
      </c>
    </row>
    <row r="3689" spans="1:4" x14ac:dyDescent="0.2">
      <c r="A3689" s="3">
        <v>1988</v>
      </c>
      <c r="B3689" s="3" t="s">
        <v>3984</v>
      </c>
      <c r="C3689" s="3" t="s">
        <v>3983</v>
      </c>
      <c r="D3689" s="3" t="s">
        <v>3849</v>
      </c>
    </row>
    <row r="3690" spans="1:4" x14ac:dyDescent="0.2">
      <c r="A3690" s="3">
        <v>1988</v>
      </c>
      <c r="B3690" s="3" t="s">
        <v>3985</v>
      </c>
      <c r="C3690" s="3" t="s">
        <v>3983</v>
      </c>
      <c r="D3690" s="3" t="s">
        <v>3849</v>
      </c>
    </row>
    <row r="3691" spans="1:4" x14ac:dyDescent="0.2">
      <c r="A3691" s="3">
        <v>1992</v>
      </c>
      <c r="B3691" s="3" t="s">
        <v>3986</v>
      </c>
      <c r="C3691" s="3" t="s">
        <v>3983</v>
      </c>
      <c r="D3691" s="3" t="s">
        <v>3849</v>
      </c>
    </row>
    <row r="3692" spans="1:4" x14ac:dyDescent="0.2">
      <c r="A3692" s="3">
        <v>1961</v>
      </c>
      <c r="B3692" s="3" t="s">
        <v>3987</v>
      </c>
      <c r="C3692" s="3" t="s">
        <v>3988</v>
      </c>
      <c r="D3692" s="3" t="s">
        <v>3849</v>
      </c>
    </row>
    <row r="3693" spans="1:4" x14ac:dyDescent="0.2">
      <c r="A3693" s="3">
        <v>1968</v>
      </c>
      <c r="B3693" s="3" t="s">
        <v>3989</v>
      </c>
      <c r="C3693" s="3" t="s">
        <v>3988</v>
      </c>
      <c r="D3693" s="3" t="s">
        <v>3849</v>
      </c>
    </row>
    <row r="3694" spans="1:4" x14ac:dyDescent="0.2">
      <c r="A3694" s="3">
        <v>1973</v>
      </c>
      <c r="B3694" s="3" t="s">
        <v>3990</v>
      </c>
      <c r="C3694" s="3" t="s">
        <v>3988</v>
      </c>
      <c r="D3694" s="3" t="s">
        <v>3849</v>
      </c>
    </row>
    <row r="3695" spans="1:4" x14ac:dyDescent="0.2">
      <c r="A3695" s="3">
        <v>3951</v>
      </c>
      <c r="B3695" s="3" t="s">
        <v>3991</v>
      </c>
      <c r="C3695" s="3" t="s">
        <v>3991</v>
      </c>
      <c r="D3695" s="3" t="s">
        <v>3849</v>
      </c>
    </row>
    <row r="3696" spans="1:4" x14ac:dyDescent="0.2">
      <c r="A3696" s="3">
        <v>3955</v>
      </c>
      <c r="B3696" s="3" t="s">
        <v>3992</v>
      </c>
      <c r="C3696" s="3" t="s">
        <v>3992</v>
      </c>
      <c r="D3696" s="3" t="s">
        <v>3849</v>
      </c>
    </row>
    <row r="3697" spans="1:4" x14ac:dyDescent="0.2">
      <c r="A3697" s="3">
        <v>3947</v>
      </c>
      <c r="B3697" s="3" t="s">
        <v>3993</v>
      </c>
      <c r="C3697" s="3" t="s">
        <v>3993</v>
      </c>
      <c r="D3697" s="3" t="s">
        <v>3849</v>
      </c>
    </row>
    <row r="3698" spans="1:4" x14ac:dyDescent="0.2">
      <c r="A3698" s="3">
        <v>3953</v>
      </c>
      <c r="B3698" s="3" t="s">
        <v>3994</v>
      </c>
      <c r="C3698" s="3" t="s">
        <v>3994</v>
      </c>
      <c r="D3698" s="3" t="s">
        <v>3849</v>
      </c>
    </row>
    <row r="3699" spans="1:4" x14ac:dyDescent="0.2">
      <c r="A3699" s="3">
        <v>3952</v>
      </c>
      <c r="B3699" s="3" t="s">
        <v>3995</v>
      </c>
      <c r="C3699" s="3" t="s">
        <v>3996</v>
      </c>
      <c r="D3699" s="3" t="s">
        <v>3849</v>
      </c>
    </row>
    <row r="3700" spans="1:4" x14ac:dyDescent="0.2">
      <c r="A3700" s="3">
        <v>3953</v>
      </c>
      <c r="B3700" s="3" t="s">
        <v>3997</v>
      </c>
      <c r="C3700" s="3" t="s">
        <v>3996</v>
      </c>
      <c r="D3700" s="3" t="s">
        <v>3849</v>
      </c>
    </row>
    <row r="3701" spans="1:4" x14ac:dyDescent="0.2">
      <c r="A3701" s="3">
        <v>3957</v>
      </c>
      <c r="B3701" s="3" t="s">
        <v>3998</v>
      </c>
      <c r="C3701" s="3" t="s">
        <v>3996</v>
      </c>
      <c r="D3701" s="3" t="s">
        <v>3849</v>
      </c>
    </row>
    <row r="3702" spans="1:4" x14ac:dyDescent="0.2">
      <c r="A3702" s="3">
        <v>3954</v>
      </c>
      <c r="B3702" s="3" t="s">
        <v>3999</v>
      </c>
      <c r="C3702" s="3" t="s">
        <v>3999</v>
      </c>
      <c r="D3702" s="3" t="s">
        <v>3849</v>
      </c>
    </row>
    <row r="3703" spans="1:4" x14ac:dyDescent="0.2">
      <c r="A3703" s="3">
        <v>3948</v>
      </c>
      <c r="B3703" s="3" t="s">
        <v>4000</v>
      </c>
      <c r="C3703" s="3" t="s">
        <v>4000</v>
      </c>
      <c r="D3703" s="3" t="s">
        <v>3849</v>
      </c>
    </row>
    <row r="3704" spans="1:4" x14ac:dyDescent="0.2">
      <c r="A3704" s="3">
        <v>3970</v>
      </c>
      <c r="B3704" s="3" t="s">
        <v>4001</v>
      </c>
      <c r="C3704" s="3" t="s">
        <v>4001</v>
      </c>
      <c r="D3704" s="3" t="s">
        <v>3849</v>
      </c>
    </row>
    <row r="3705" spans="1:4" x14ac:dyDescent="0.2">
      <c r="A3705" s="3">
        <v>3953</v>
      </c>
      <c r="B3705" s="3" t="s">
        <v>4002</v>
      </c>
      <c r="C3705" s="3" t="s">
        <v>4002</v>
      </c>
      <c r="D3705" s="3" t="s">
        <v>3849</v>
      </c>
    </row>
    <row r="3706" spans="1:4" x14ac:dyDescent="0.2">
      <c r="A3706" s="3">
        <v>3956</v>
      </c>
      <c r="B3706" s="3" t="s">
        <v>4003</v>
      </c>
      <c r="C3706" s="3" t="s">
        <v>4003</v>
      </c>
      <c r="D3706" s="3" t="s">
        <v>3849</v>
      </c>
    </row>
    <row r="3707" spans="1:4" x14ac:dyDescent="0.2">
      <c r="A3707" s="3">
        <v>3945</v>
      </c>
      <c r="B3707" s="3" t="s">
        <v>4004</v>
      </c>
      <c r="C3707" s="3" t="s">
        <v>4005</v>
      </c>
      <c r="D3707" s="3" t="s">
        <v>3849</v>
      </c>
    </row>
    <row r="3708" spans="1:4" x14ac:dyDescent="0.2">
      <c r="A3708" s="3">
        <v>3945</v>
      </c>
      <c r="B3708" s="3" t="s">
        <v>4006</v>
      </c>
      <c r="C3708" s="3" t="s">
        <v>4005</v>
      </c>
      <c r="D3708" s="3" t="s">
        <v>3849</v>
      </c>
    </row>
    <row r="3709" spans="1:4" x14ac:dyDescent="0.2">
      <c r="A3709" s="3">
        <v>3957</v>
      </c>
      <c r="B3709" s="3" t="s">
        <v>4007</v>
      </c>
      <c r="C3709" s="3" t="s">
        <v>4005</v>
      </c>
      <c r="D3709" s="3" t="s">
        <v>3849</v>
      </c>
    </row>
    <row r="3710" spans="1:4" x14ac:dyDescent="0.2">
      <c r="A3710" s="3">
        <v>3946</v>
      </c>
      <c r="B3710" s="3" t="s">
        <v>4008</v>
      </c>
      <c r="C3710" s="3" t="s">
        <v>4009</v>
      </c>
      <c r="D3710" s="3" t="s">
        <v>3849</v>
      </c>
    </row>
    <row r="3711" spans="1:4" x14ac:dyDescent="0.2">
      <c r="A3711" s="3">
        <v>3946</v>
      </c>
      <c r="B3711" s="3" t="s">
        <v>4010</v>
      </c>
      <c r="C3711" s="3" t="s">
        <v>4009</v>
      </c>
      <c r="D3711" s="3" t="s">
        <v>3849</v>
      </c>
    </row>
    <row r="3712" spans="1:4" x14ac:dyDescent="0.2">
      <c r="A3712" s="3">
        <v>3948</v>
      </c>
      <c r="B3712" s="3" t="s">
        <v>4011</v>
      </c>
      <c r="C3712" s="3" t="s">
        <v>4009</v>
      </c>
      <c r="D3712" s="3" t="s">
        <v>3849</v>
      </c>
    </row>
    <row r="3713" spans="1:4" x14ac:dyDescent="0.2">
      <c r="A3713" s="3">
        <v>1932</v>
      </c>
      <c r="B3713" s="3" t="s">
        <v>4012</v>
      </c>
      <c r="C3713" s="3" t="s">
        <v>4012</v>
      </c>
      <c r="D3713" s="3" t="s">
        <v>3849</v>
      </c>
    </row>
    <row r="3714" spans="1:4" x14ac:dyDescent="0.2">
      <c r="A3714" s="3">
        <v>1932</v>
      </c>
      <c r="B3714" s="3" t="s">
        <v>4013</v>
      </c>
      <c r="C3714" s="3" t="s">
        <v>4012</v>
      </c>
      <c r="D3714" s="3" t="s">
        <v>3849</v>
      </c>
    </row>
    <row r="3715" spans="1:4" x14ac:dyDescent="0.2">
      <c r="A3715" s="3">
        <v>1926</v>
      </c>
      <c r="B3715" s="3" t="s">
        <v>4014</v>
      </c>
      <c r="C3715" s="3" t="s">
        <v>4014</v>
      </c>
      <c r="D3715" s="3" t="s">
        <v>3849</v>
      </c>
    </row>
    <row r="3716" spans="1:4" x14ac:dyDescent="0.2">
      <c r="A3716" s="3">
        <v>1914</v>
      </c>
      <c r="B3716" s="3" t="s">
        <v>4015</v>
      </c>
      <c r="C3716" s="3" t="s">
        <v>4015</v>
      </c>
      <c r="D3716" s="3" t="s">
        <v>3849</v>
      </c>
    </row>
    <row r="3717" spans="1:4" x14ac:dyDescent="0.2">
      <c r="A3717" s="3">
        <v>1911</v>
      </c>
      <c r="B3717" s="3" t="s">
        <v>4016</v>
      </c>
      <c r="C3717" s="3" t="s">
        <v>4017</v>
      </c>
      <c r="D3717" s="3" t="s">
        <v>3849</v>
      </c>
    </row>
    <row r="3718" spans="1:4" x14ac:dyDescent="0.2">
      <c r="A3718" s="3">
        <v>1912</v>
      </c>
      <c r="B3718" s="3" t="s">
        <v>4017</v>
      </c>
      <c r="C3718" s="3" t="s">
        <v>4017</v>
      </c>
      <c r="D3718" s="3" t="s">
        <v>3849</v>
      </c>
    </row>
    <row r="3719" spans="1:4" x14ac:dyDescent="0.2">
      <c r="A3719" s="3">
        <v>1912</v>
      </c>
      <c r="B3719" s="3" t="s">
        <v>4018</v>
      </c>
      <c r="C3719" s="3" t="s">
        <v>4017</v>
      </c>
      <c r="D3719" s="3" t="s">
        <v>3849</v>
      </c>
    </row>
    <row r="3720" spans="1:4" x14ac:dyDescent="0.2">
      <c r="A3720" s="3">
        <v>1912</v>
      </c>
      <c r="B3720" s="3" t="s">
        <v>4019</v>
      </c>
      <c r="C3720" s="3" t="s">
        <v>4017</v>
      </c>
      <c r="D3720" s="3" t="s">
        <v>3849</v>
      </c>
    </row>
    <row r="3721" spans="1:4" x14ac:dyDescent="0.2">
      <c r="A3721" s="3">
        <v>1912</v>
      </c>
      <c r="B3721" s="3" t="s">
        <v>4020</v>
      </c>
      <c r="C3721" s="3" t="s">
        <v>4017</v>
      </c>
      <c r="D3721" s="3" t="s">
        <v>3849</v>
      </c>
    </row>
    <row r="3722" spans="1:4" x14ac:dyDescent="0.2">
      <c r="A3722" s="3">
        <v>1906</v>
      </c>
      <c r="B3722" s="3" t="s">
        <v>4021</v>
      </c>
      <c r="C3722" s="3" t="s">
        <v>4022</v>
      </c>
      <c r="D3722" s="3" t="s">
        <v>3849</v>
      </c>
    </row>
    <row r="3723" spans="1:4" x14ac:dyDescent="0.2">
      <c r="A3723" s="3">
        <v>1920</v>
      </c>
      <c r="B3723" s="3" t="s">
        <v>4022</v>
      </c>
      <c r="C3723" s="3" t="s">
        <v>4022</v>
      </c>
      <c r="D3723" s="3" t="s">
        <v>3849</v>
      </c>
    </row>
    <row r="3724" spans="1:4" x14ac:dyDescent="0.2">
      <c r="A3724" s="3">
        <v>1921</v>
      </c>
      <c r="B3724" s="3" t="s">
        <v>4023</v>
      </c>
      <c r="C3724" s="3" t="s">
        <v>4024</v>
      </c>
      <c r="D3724" s="3" t="s">
        <v>3849</v>
      </c>
    </row>
    <row r="3725" spans="1:4" x14ac:dyDescent="0.2">
      <c r="A3725" s="3">
        <v>1928</v>
      </c>
      <c r="B3725" s="3" t="s">
        <v>4025</v>
      </c>
      <c r="C3725" s="3" t="s">
        <v>4024</v>
      </c>
      <c r="D3725" s="3" t="s">
        <v>3849</v>
      </c>
    </row>
    <row r="3726" spans="1:4" x14ac:dyDescent="0.2">
      <c r="A3726" s="3">
        <v>1908</v>
      </c>
      <c r="B3726" s="3" t="s">
        <v>4026</v>
      </c>
      <c r="C3726" s="3" t="s">
        <v>4026</v>
      </c>
      <c r="D3726" s="3" t="s">
        <v>3849</v>
      </c>
    </row>
    <row r="3727" spans="1:4" x14ac:dyDescent="0.2">
      <c r="A3727" s="3">
        <v>1914</v>
      </c>
      <c r="B3727" s="3" t="s">
        <v>4027</v>
      </c>
      <c r="C3727" s="3" t="s">
        <v>4026</v>
      </c>
      <c r="D3727" s="3" t="s">
        <v>3849</v>
      </c>
    </row>
    <row r="3728" spans="1:4" x14ac:dyDescent="0.2">
      <c r="A3728" s="3">
        <v>1918</v>
      </c>
      <c r="B3728" s="3" t="s">
        <v>4028</v>
      </c>
      <c r="C3728" s="3" t="s">
        <v>4026</v>
      </c>
      <c r="D3728" s="3" t="s">
        <v>3849</v>
      </c>
    </row>
    <row r="3729" spans="1:4" x14ac:dyDescent="0.2">
      <c r="A3729" s="3">
        <v>1913</v>
      </c>
      <c r="B3729" s="3" t="s">
        <v>4029</v>
      </c>
      <c r="C3729" s="3" t="s">
        <v>4029</v>
      </c>
      <c r="D3729" s="3" t="s">
        <v>3849</v>
      </c>
    </row>
    <row r="3730" spans="1:4" x14ac:dyDescent="0.2">
      <c r="A3730" s="3">
        <v>1907</v>
      </c>
      <c r="B3730" s="3" t="s">
        <v>4030</v>
      </c>
      <c r="C3730" s="3" t="s">
        <v>4030</v>
      </c>
      <c r="D3730" s="3" t="s">
        <v>3849</v>
      </c>
    </row>
    <row r="3731" spans="1:4" x14ac:dyDescent="0.2">
      <c r="A3731" s="3">
        <v>1929</v>
      </c>
      <c r="B3731" s="3" t="s">
        <v>4031</v>
      </c>
      <c r="C3731" s="3" t="s">
        <v>4031</v>
      </c>
      <c r="D3731" s="3" t="s">
        <v>3849</v>
      </c>
    </row>
    <row r="3732" spans="1:4" x14ac:dyDescent="0.2">
      <c r="A3732" s="3">
        <v>1874</v>
      </c>
      <c r="B3732" s="3" t="s">
        <v>4032</v>
      </c>
      <c r="C3732" s="3" t="s">
        <v>4032</v>
      </c>
      <c r="D3732" s="3" t="s">
        <v>3849</v>
      </c>
    </row>
    <row r="3733" spans="1:4" x14ac:dyDescent="0.2">
      <c r="A3733" s="3">
        <v>1868</v>
      </c>
      <c r="B3733" s="3" t="s">
        <v>4033</v>
      </c>
      <c r="C3733" s="3" t="s">
        <v>4034</v>
      </c>
      <c r="D3733" s="3" t="s">
        <v>3849</v>
      </c>
    </row>
    <row r="3734" spans="1:4" x14ac:dyDescent="0.2">
      <c r="A3734" s="3">
        <v>1868</v>
      </c>
      <c r="B3734" s="3" t="s">
        <v>4033</v>
      </c>
      <c r="C3734" s="3" t="s">
        <v>4034</v>
      </c>
      <c r="D3734" s="3" t="s">
        <v>3849</v>
      </c>
    </row>
    <row r="3735" spans="1:4" x14ac:dyDescent="0.2">
      <c r="A3735" s="3">
        <v>1893</v>
      </c>
      <c r="B3735" s="3" t="s">
        <v>4035</v>
      </c>
      <c r="C3735" s="3" t="s">
        <v>4034</v>
      </c>
      <c r="D3735" s="3" t="s">
        <v>3849</v>
      </c>
    </row>
    <row r="3736" spans="1:4" x14ac:dyDescent="0.2">
      <c r="A3736" s="3">
        <v>1870</v>
      </c>
      <c r="B3736" s="3" t="s">
        <v>4036</v>
      </c>
      <c r="C3736" s="3" t="s">
        <v>4036</v>
      </c>
      <c r="D3736" s="3" t="s">
        <v>3849</v>
      </c>
    </row>
    <row r="3737" spans="1:4" x14ac:dyDescent="0.2">
      <c r="A3737" s="3">
        <v>1870</v>
      </c>
      <c r="B3737" s="3" t="s">
        <v>4036</v>
      </c>
      <c r="C3737" s="3" t="s">
        <v>4036</v>
      </c>
      <c r="D3737" s="3" t="s">
        <v>3849</v>
      </c>
    </row>
    <row r="3738" spans="1:4" x14ac:dyDescent="0.2">
      <c r="A3738" s="3">
        <v>1871</v>
      </c>
      <c r="B3738" s="3" t="s">
        <v>4037</v>
      </c>
      <c r="C3738" s="3" t="s">
        <v>4036</v>
      </c>
      <c r="D3738" s="3" t="s">
        <v>3849</v>
      </c>
    </row>
    <row r="3739" spans="1:4" x14ac:dyDescent="0.2">
      <c r="A3739" s="3">
        <v>1871</v>
      </c>
      <c r="B3739" s="3" t="s">
        <v>4038</v>
      </c>
      <c r="C3739" s="3" t="s">
        <v>4036</v>
      </c>
      <c r="D3739" s="3" t="s">
        <v>3849</v>
      </c>
    </row>
    <row r="3740" spans="1:4" x14ac:dyDescent="0.2">
      <c r="A3740" s="3">
        <v>1897</v>
      </c>
      <c r="B3740" s="3" t="s">
        <v>4039</v>
      </c>
      <c r="C3740" s="3" t="s">
        <v>4040</v>
      </c>
      <c r="D3740" s="3" t="s">
        <v>3849</v>
      </c>
    </row>
    <row r="3741" spans="1:4" x14ac:dyDescent="0.2">
      <c r="A3741" s="3">
        <v>1897</v>
      </c>
      <c r="B3741" s="3" t="s">
        <v>4041</v>
      </c>
      <c r="C3741" s="3" t="s">
        <v>4040</v>
      </c>
      <c r="D3741" s="3" t="s">
        <v>3849</v>
      </c>
    </row>
    <row r="3742" spans="1:4" x14ac:dyDescent="0.2">
      <c r="A3742" s="3">
        <v>1898</v>
      </c>
      <c r="B3742" s="3" t="s">
        <v>4042</v>
      </c>
      <c r="C3742" s="3" t="s">
        <v>4043</v>
      </c>
      <c r="D3742" s="3" t="s">
        <v>3849</v>
      </c>
    </row>
    <row r="3743" spans="1:4" x14ac:dyDescent="0.2">
      <c r="A3743" s="3">
        <v>1872</v>
      </c>
      <c r="B3743" s="3" t="s">
        <v>4044</v>
      </c>
      <c r="C3743" s="3" t="s">
        <v>4044</v>
      </c>
      <c r="D3743" s="3" t="s">
        <v>3849</v>
      </c>
    </row>
    <row r="3744" spans="1:4" x14ac:dyDescent="0.2">
      <c r="A3744" s="3">
        <v>1875</v>
      </c>
      <c r="B3744" s="3" t="s">
        <v>4045</v>
      </c>
      <c r="C3744" s="3" t="s">
        <v>4044</v>
      </c>
      <c r="D3744" s="3" t="s">
        <v>3849</v>
      </c>
    </row>
    <row r="3745" spans="1:4" x14ac:dyDescent="0.2">
      <c r="A3745" s="3">
        <v>1873</v>
      </c>
      <c r="B3745" s="3" t="s">
        <v>4046</v>
      </c>
      <c r="C3745" s="3" t="s">
        <v>4046</v>
      </c>
      <c r="D3745" s="3" t="s">
        <v>3849</v>
      </c>
    </row>
    <row r="3746" spans="1:4" x14ac:dyDescent="0.2">
      <c r="A3746" s="3">
        <v>1873</v>
      </c>
      <c r="B3746" s="3" t="s">
        <v>4047</v>
      </c>
      <c r="C3746" s="3" t="s">
        <v>4046</v>
      </c>
      <c r="D3746" s="3" t="s">
        <v>3849</v>
      </c>
    </row>
    <row r="3747" spans="1:4" x14ac:dyDescent="0.2">
      <c r="A3747" s="3">
        <v>1873</v>
      </c>
      <c r="B3747" s="3" t="s">
        <v>4048</v>
      </c>
      <c r="C3747" s="3" t="s">
        <v>4046</v>
      </c>
      <c r="D3747" s="3" t="s">
        <v>3849</v>
      </c>
    </row>
    <row r="3748" spans="1:4" x14ac:dyDescent="0.2">
      <c r="A3748" s="3">
        <v>1895</v>
      </c>
      <c r="B3748" s="3" t="s">
        <v>4049</v>
      </c>
      <c r="C3748" s="3" t="s">
        <v>4049</v>
      </c>
      <c r="D3748" s="3" t="s">
        <v>3849</v>
      </c>
    </row>
    <row r="3749" spans="1:4" x14ac:dyDescent="0.2">
      <c r="A3749" s="3">
        <v>1899</v>
      </c>
      <c r="B3749" s="3" t="s">
        <v>4050</v>
      </c>
      <c r="C3749" s="3" t="s">
        <v>4049</v>
      </c>
      <c r="D3749" s="3" t="s">
        <v>3849</v>
      </c>
    </row>
    <row r="3750" spans="1:4" x14ac:dyDescent="0.2">
      <c r="A3750" s="3">
        <v>1896</v>
      </c>
      <c r="B3750" s="3" t="s">
        <v>4051</v>
      </c>
      <c r="C3750" s="3" t="s">
        <v>4051</v>
      </c>
      <c r="D3750" s="3" t="s">
        <v>3849</v>
      </c>
    </row>
    <row r="3751" spans="1:4" x14ac:dyDescent="0.2">
      <c r="A3751" s="3">
        <v>1896</v>
      </c>
      <c r="B3751" s="3" t="s">
        <v>4052</v>
      </c>
      <c r="C3751" s="3" t="s">
        <v>4051</v>
      </c>
      <c r="D3751" s="3" t="s">
        <v>3849</v>
      </c>
    </row>
    <row r="3752" spans="1:4" x14ac:dyDescent="0.2">
      <c r="A3752" s="3">
        <v>3983</v>
      </c>
      <c r="B3752" s="3" t="s">
        <v>4053</v>
      </c>
      <c r="C3752" s="3" t="s">
        <v>4053</v>
      </c>
      <c r="D3752" s="3" t="s">
        <v>3849</v>
      </c>
    </row>
    <row r="3753" spans="1:4" x14ac:dyDescent="0.2">
      <c r="A3753" s="3">
        <v>3982</v>
      </c>
      <c r="B3753" s="3" t="s">
        <v>4054</v>
      </c>
      <c r="C3753" s="3" t="s">
        <v>4054</v>
      </c>
      <c r="D3753" s="3" t="s">
        <v>3849</v>
      </c>
    </row>
    <row r="3754" spans="1:4" x14ac:dyDescent="0.2">
      <c r="A3754" s="3">
        <v>3993</v>
      </c>
      <c r="B3754" s="3" t="s">
        <v>4055</v>
      </c>
      <c r="C3754" s="3" t="s">
        <v>4055</v>
      </c>
      <c r="D3754" s="3" t="s">
        <v>3849</v>
      </c>
    </row>
    <row r="3755" spans="1:4" x14ac:dyDescent="0.2">
      <c r="A3755" s="3">
        <v>3983</v>
      </c>
      <c r="B3755" s="3" t="s">
        <v>4056</v>
      </c>
      <c r="C3755" s="3" t="s">
        <v>4057</v>
      </c>
      <c r="D3755" s="3" t="s">
        <v>3849</v>
      </c>
    </row>
    <row r="3756" spans="1:4" x14ac:dyDescent="0.2">
      <c r="A3756" s="3">
        <v>3983</v>
      </c>
      <c r="B3756" s="3" t="s">
        <v>4058</v>
      </c>
      <c r="C3756" s="3" t="s">
        <v>4057</v>
      </c>
      <c r="D3756" s="3" t="s">
        <v>3849</v>
      </c>
    </row>
    <row r="3757" spans="1:4" x14ac:dyDescent="0.2">
      <c r="A3757" s="3">
        <v>3986</v>
      </c>
      <c r="B3757" s="3" t="s">
        <v>4059</v>
      </c>
      <c r="C3757" s="3" t="s">
        <v>4057</v>
      </c>
      <c r="D3757" s="3" t="s">
        <v>3849</v>
      </c>
    </row>
    <row r="3758" spans="1:4" x14ac:dyDescent="0.2">
      <c r="A3758" s="3">
        <v>3987</v>
      </c>
      <c r="B3758" s="3" t="s">
        <v>4057</v>
      </c>
      <c r="C3758" s="3" t="s">
        <v>4057</v>
      </c>
      <c r="D3758" s="3" t="s">
        <v>3849</v>
      </c>
    </row>
    <row r="3759" spans="1:4" x14ac:dyDescent="0.2">
      <c r="A3759" s="3">
        <v>3938</v>
      </c>
      <c r="B3759" s="3" t="s">
        <v>4060</v>
      </c>
      <c r="C3759" s="3" t="s">
        <v>4060</v>
      </c>
      <c r="D3759" s="3" t="s">
        <v>3849</v>
      </c>
    </row>
    <row r="3760" spans="1:4" x14ac:dyDescent="0.2">
      <c r="A3760" s="3">
        <v>3919</v>
      </c>
      <c r="B3760" s="3" t="s">
        <v>4061</v>
      </c>
      <c r="C3760" s="3" t="s">
        <v>4062</v>
      </c>
      <c r="D3760" s="3" t="s">
        <v>3849</v>
      </c>
    </row>
    <row r="3761" spans="1:4" x14ac:dyDescent="0.2">
      <c r="A3761" s="3">
        <v>3935</v>
      </c>
      <c r="B3761" s="3" t="s">
        <v>4063</v>
      </c>
      <c r="C3761" s="3" t="s">
        <v>4063</v>
      </c>
      <c r="D3761" s="3" t="s">
        <v>3849</v>
      </c>
    </row>
    <row r="3762" spans="1:4" x14ac:dyDescent="0.2">
      <c r="A3762" s="3">
        <v>3943</v>
      </c>
      <c r="B3762" s="3" t="s">
        <v>4064</v>
      </c>
      <c r="C3762" s="3" t="s">
        <v>4064</v>
      </c>
      <c r="D3762" s="3" t="s">
        <v>3849</v>
      </c>
    </row>
    <row r="3763" spans="1:4" x14ac:dyDescent="0.2">
      <c r="A3763" s="3">
        <v>3916</v>
      </c>
      <c r="B3763" s="3" t="s">
        <v>4065</v>
      </c>
      <c r="C3763" s="3" t="s">
        <v>4065</v>
      </c>
      <c r="D3763" s="3" t="s">
        <v>3849</v>
      </c>
    </row>
    <row r="3764" spans="1:4" x14ac:dyDescent="0.2">
      <c r="A3764" s="3">
        <v>3917</v>
      </c>
      <c r="B3764" s="3" t="s">
        <v>4066</v>
      </c>
      <c r="C3764" s="3" t="s">
        <v>4065</v>
      </c>
      <c r="D3764" s="3" t="s">
        <v>3849</v>
      </c>
    </row>
    <row r="3765" spans="1:4" x14ac:dyDescent="0.2">
      <c r="A3765" s="3">
        <v>3917</v>
      </c>
      <c r="B3765" s="3" t="s">
        <v>4067</v>
      </c>
      <c r="C3765" s="3" t="s">
        <v>4067</v>
      </c>
      <c r="D3765" s="3" t="s">
        <v>3849</v>
      </c>
    </row>
    <row r="3766" spans="1:4" x14ac:dyDescent="0.2">
      <c r="A3766" s="3">
        <v>3942</v>
      </c>
      <c r="B3766" s="3" t="s">
        <v>4068</v>
      </c>
      <c r="C3766" s="3" t="s">
        <v>4068</v>
      </c>
      <c r="D3766" s="3" t="s">
        <v>3849</v>
      </c>
    </row>
    <row r="3767" spans="1:4" x14ac:dyDescent="0.2">
      <c r="A3767" s="3">
        <v>3942</v>
      </c>
      <c r="B3767" s="3" t="s">
        <v>4069</v>
      </c>
      <c r="C3767" s="3" t="s">
        <v>4069</v>
      </c>
      <c r="D3767" s="3" t="s">
        <v>3849</v>
      </c>
    </row>
    <row r="3768" spans="1:4" x14ac:dyDescent="0.2">
      <c r="A3768" s="3">
        <v>3942</v>
      </c>
      <c r="B3768" s="3" t="s">
        <v>4070</v>
      </c>
      <c r="C3768" s="3" t="s">
        <v>4069</v>
      </c>
      <c r="D3768" s="3" t="s">
        <v>3849</v>
      </c>
    </row>
    <row r="3769" spans="1:4" x14ac:dyDescent="0.2">
      <c r="A3769" s="3">
        <v>3944</v>
      </c>
      <c r="B3769" s="3" t="s">
        <v>4071</v>
      </c>
      <c r="C3769" s="3" t="s">
        <v>4072</v>
      </c>
      <c r="D3769" s="3" t="s">
        <v>3849</v>
      </c>
    </row>
    <row r="3770" spans="1:4" x14ac:dyDescent="0.2">
      <c r="A3770" s="3">
        <v>3918</v>
      </c>
      <c r="B3770" s="3" t="s">
        <v>4073</v>
      </c>
      <c r="C3770" s="3" t="s">
        <v>4073</v>
      </c>
      <c r="D3770" s="3" t="s">
        <v>3849</v>
      </c>
    </row>
    <row r="3771" spans="1:4" x14ac:dyDescent="0.2">
      <c r="A3771" s="3">
        <v>3983</v>
      </c>
      <c r="B3771" s="3" t="s">
        <v>4074</v>
      </c>
      <c r="C3771" s="3" t="s">
        <v>4075</v>
      </c>
      <c r="D3771" s="3" t="s">
        <v>3849</v>
      </c>
    </row>
    <row r="3772" spans="1:4" x14ac:dyDescent="0.2">
      <c r="A3772" s="3">
        <v>3983</v>
      </c>
      <c r="B3772" s="3" t="s">
        <v>4076</v>
      </c>
      <c r="C3772" s="3" t="s">
        <v>4075</v>
      </c>
      <c r="D3772" s="3" t="s">
        <v>3849</v>
      </c>
    </row>
    <row r="3773" spans="1:4" x14ac:dyDescent="0.2">
      <c r="A3773" s="3">
        <v>3940</v>
      </c>
      <c r="B3773" s="3" t="s">
        <v>4077</v>
      </c>
      <c r="C3773" s="3" t="s">
        <v>4078</v>
      </c>
      <c r="D3773" s="3" t="s">
        <v>3849</v>
      </c>
    </row>
    <row r="3774" spans="1:4" x14ac:dyDescent="0.2">
      <c r="A3774" s="3">
        <v>3949</v>
      </c>
      <c r="B3774" s="3" t="s">
        <v>4079</v>
      </c>
      <c r="C3774" s="3" t="s">
        <v>4078</v>
      </c>
      <c r="D3774" s="3" t="s">
        <v>3849</v>
      </c>
    </row>
    <row r="3775" spans="1:4" x14ac:dyDescent="0.2">
      <c r="A3775" s="3">
        <v>3991</v>
      </c>
      <c r="B3775" s="3" t="s">
        <v>4080</v>
      </c>
      <c r="C3775" s="3" t="s">
        <v>4081</v>
      </c>
      <c r="D3775" s="3" t="s">
        <v>3849</v>
      </c>
    </row>
    <row r="3776" spans="1:4" x14ac:dyDescent="0.2">
      <c r="A3776" s="3">
        <v>3992</v>
      </c>
      <c r="B3776" s="3" t="s">
        <v>4081</v>
      </c>
      <c r="C3776" s="3" t="s">
        <v>4081</v>
      </c>
      <c r="D3776" s="3" t="s">
        <v>3849</v>
      </c>
    </row>
    <row r="3777" spans="1:4" x14ac:dyDescent="0.2">
      <c r="A3777" s="3">
        <v>3994</v>
      </c>
      <c r="B3777" s="3" t="s">
        <v>4082</v>
      </c>
      <c r="C3777" s="3" t="s">
        <v>4081</v>
      </c>
      <c r="D3777" s="3" t="s">
        <v>3849</v>
      </c>
    </row>
    <row r="3778" spans="1:4" x14ac:dyDescent="0.2">
      <c r="A3778" s="3">
        <v>1903</v>
      </c>
      <c r="B3778" s="3" t="s">
        <v>4083</v>
      </c>
      <c r="C3778" s="3" t="s">
        <v>4083</v>
      </c>
      <c r="D3778" s="3" t="s">
        <v>3849</v>
      </c>
    </row>
    <row r="3779" spans="1:4" x14ac:dyDescent="0.2">
      <c r="A3779" s="3">
        <v>1905</v>
      </c>
      <c r="B3779" s="3" t="s">
        <v>4084</v>
      </c>
      <c r="C3779" s="3" t="s">
        <v>4084</v>
      </c>
      <c r="D3779" s="3" t="s">
        <v>3849</v>
      </c>
    </row>
    <row r="3780" spans="1:4" x14ac:dyDescent="0.2">
      <c r="A3780" s="3">
        <v>1902</v>
      </c>
      <c r="B3780" s="3" t="s">
        <v>4085</v>
      </c>
      <c r="C3780" s="3" t="s">
        <v>4085</v>
      </c>
      <c r="D3780" s="3" t="s">
        <v>3849</v>
      </c>
    </row>
    <row r="3781" spans="1:4" x14ac:dyDescent="0.2">
      <c r="A3781" s="3">
        <v>1925</v>
      </c>
      <c r="B3781" s="3" t="s">
        <v>4086</v>
      </c>
      <c r="C3781" s="3" t="s">
        <v>4086</v>
      </c>
      <c r="D3781" s="3" t="s">
        <v>3849</v>
      </c>
    </row>
    <row r="3782" spans="1:4" x14ac:dyDescent="0.2">
      <c r="A3782" s="3">
        <v>1925</v>
      </c>
      <c r="B3782" s="3" t="s">
        <v>4087</v>
      </c>
      <c r="C3782" s="3" t="s">
        <v>4086</v>
      </c>
      <c r="D3782" s="3" t="s">
        <v>3849</v>
      </c>
    </row>
    <row r="3783" spans="1:4" x14ac:dyDescent="0.2">
      <c r="A3783" s="3">
        <v>1869</v>
      </c>
      <c r="B3783" s="3" t="s">
        <v>4088</v>
      </c>
      <c r="C3783" s="3" t="s">
        <v>4088</v>
      </c>
      <c r="D3783" s="3" t="s">
        <v>3849</v>
      </c>
    </row>
    <row r="3784" spans="1:4" x14ac:dyDescent="0.2">
      <c r="A3784" s="3">
        <v>1890</v>
      </c>
      <c r="B3784" s="3" t="s">
        <v>4089</v>
      </c>
      <c r="C3784" s="3" t="s">
        <v>4090</v>
      </c>
      <c r="D3784" s="3" t="s">
        <v>3849</v>
      </c>
    </row>
    <row r="3785" spans="1:4" x14ac:dyDescent="0.2">
      <c r="A3785" s="3">
        <v>1890</v>
      </c>
      <c r="B3785" s="3" t="s">
        <v>4091</v>
      </c>
      <c r="C3785" s="3" t="s">
        <v>4090</v>
      </c>
      <c r="D3785" s="3" t="s">
        <v>3849</v>
      </c>
    </row>
    <row r="3786" spans="1:4" x14ac:dyDescent="0.2">
      <c r="A3786" s="3">
        <v>1922</v>
      </c>
      <c r="B3786" s="3" t="s">
        <v>4092</v>
      </c>
      <c r="C3786" s="3" t="s">
        <v>4092</v>
      </c>
      <c r="D3786" s="3" t="s">
        <v>3849</v>
      </c>
    </row>
    <row r="3787" spans="1:4" x14ac:dyDescent="0.2">
      <c r="A3787" s="3">
        <v>1922</v>
      </c>
      <c r="B3787" s="3" t="s">
        <v>4093</v>
      </c>
      <c r="C3787" s="3" t="s">
        <v>4092</v>
      </c>
      <c r="D3787" s="3" t="s">
        <v>3849</v>
      </c>
    </row>
    <row r="3788" spans="1:4" x14ac:dyDescent="0.2">
      <c r="A3788" s="3">
        <v>1923</v>
      </c>
      <c r="B3788" s="3" t="s">
        <v>4094</v>
      </c>
      <c r="C3788" s="3" t="s">
        <v>4092</v>
      </c>
      <c r="D3788" s="3" t="s">
        <v>3849</v>
      </c>
    </row>
    <row r="3789" spans="1:4" x14ac:dyDescent="0.2">
      <c r="A3789" s="3">
        <v>1923</v>
      </c>
      <c r="B3789" s="3" t="s">
        <v>4095</v>
      </c>
      <c r="C3789" s="3" t="s">
        <v>4092</v>
      </c>
      <c r="D3789" s="3" t="s">
        <v>3849</v>
      </c>
    </row>
    <row r="3790" spans="1:4" x14ac:dyDescent="0.2">
      <c r="A3790" s="3">
        <v>1904</v>
      </c>
      <c r="B3790" s="3" t="s">
        <v>4096</v>
      </c>
      <c r="C3790" s="3" t="s">
        <v>4096</v>
      </c>
      <c r="D3790" s="3" t="s">
        <v>3849</v>
      </c>
    </row>
    <row r="3791" spans="1:4" x14ac:dyDescent="0.2">
      <c r="A3791" s="3">
        <v>1891</v>
      </c>
      <c r="B3791" s="3" t="s">
        <v>4097</v>
      </c>
      <c r="C3791" s="3" t="s">
        <v>4097</v>
      </c>
      <c r="D3791" s="3" t="s">
        <v>3849</v>
      </c>
    </row>
    <row r="3792" spans="1:4" x14ac:dyDescent="0.2">
      <c r="A3792" s="3">
        <v>3966</v>
      </c>
      <c r="B3792" s="3" t="s">
        <v>4098</v>
      </c>
      <c r="C3792" s="3" t="s">
        <v>4098</v>
      </c>
      <c r="D3792" s="3" t="s">
        <v>3849</v>
      </c>
    </row>
    <row r="3793" spans="1:4" x14ac:dyDescent="0.2">
      <c r="A3793" s="3">
        <v>3966</v>
      </c>
      <c r="B3793" s="3" t="s">
        <v>4099</v>
      </c>
      <c r="C3793" s="3" t="s">
        <v>4098</v>
      </c>
      <c r="D3793" s="3" t="s">
        <v>3849</v>
      </c>
    </row>
    <row r="3794" spans="1:4" x14ac:dyDescent="0.2">
      <c r="A3794" s="3">
        <v>3967</v>
      </c>
      <c r="B3794" s="3" t="s">
        <v>4100</v>
      </c>
      <c r="C3794" s="3" t="s">
        <v>4098</v>
      </c>
      <c r="D3794" s="3" t="s">
        <v>3849</v>
      </c>
    </row>
    <row r="3795" spans="1:4" x14ac:dyDescent="0.2">
      <c r="A3795" s="3">
        <v>3965</v>
      </c>
      <c r="B3795" s="3" t="s">
        <v>4101</v>
      </c>
      <c r="C3795" s="3" t="s">
        <v>4101</v>
      </c>
      <c r="D3795" s="3" t="s">
        <v>3849</v>
      </c>
    </row>
    <row r="3796" spans="1:4" x14ac:dyDescent="0.2">
      <c r="A3796" s="3">
        <v>3979</v>
      </c>
      <c r="B3796" s="3" t="s">
        <v>4102</v>
      </c>
      <c r="C3796" s="3" t="s">
        <v>4102</v>
      </c>
      <c r="D3796" s="3" t="s">
        <v>3849</v>
      </c>
    </row>
    <row r="3797" spans="1:4" x14ac:dyDescent="0.2">
      <c r="A3797" s="3">
        <v>1977</v>
      </c>
      <c r="B3797" s="3" t="s">
        <v>4103</v>
      </c>
      <c r="C3797" s="3" t="s">
        <v>4103</v>
      </c>
      <c r="D3797" s="3" t="s">
        <v>3849</v>
      </c>
    </row>
    <row r="3798" spans="1:4" x14ac:dyDescent="0.2">
      <c r="A3798" s="3">
        <v>1978</v>
      </c>
      <c r="B3798" s="3" t="s">
        <v>4104</v>
      </c>
      <c r="C3798" s="3" t="s">
        <v>4104</v>
      </c>
      <c r="D3798" s="3" t="s">
        <v>3849</v>
      </c>
    </row>
    <row r="3799" spans="1:4" x14ac:dyDescent="0.2">
      <c r="A3799" s="3">
        <v>3978</v>
      </c>
      <c r="B3799" s="3" t="s">
        <v>4105</v>
      </c>
      <c r="C3799" s="3" t="s">
        <v>4104</v>
      </c>
      <c r="D3799" s="3" t="s">
        <v>3849</v>
      </c>
    </row>
    <row r="3800" spans="1:4" x14ac:dyDescent="0.2">
      <c r="A3800" s="3">
        <v>1958</v>
      </c>
      <c r="B3800" s="3" t="s">
        <v>4106</v>
      </c>
      <c r="C3800" s="3" t="s">
        <v>4107</v>
      </c>
      <c r="D3800" s="3" t="s">
        <v>3849</v>
      </c>
    </row>
    <row r="3801" spans="1:4" x14ac:dyDescent="0.2">
      <c r="A3801" s="3">
        <v>3960</v>
      </c>
      <c r="B3801" s="3" t="s">
        <v>4108</v>
      </c>
      <c r="C3801" s="3" t="s">
        <v>4108</v>
      </c>
      <c r="D3801" s="3" t="s">
        <v>3849</v>
      </c>
    </row>
    <row r="3802" spans="1:4" x14ac:dyDescent="0.2">
      <c r="A3802" s="3">
        <v>3960</v>
      </c>
      <c r="B3802" s="3" t="s">
        <v>4109</v>
      </c>
      <c r="C3802" s="3" t="s">
        <v>4108</v>
      </c>
      <c r="D3802" s="3" t="s">
        <v>3849</v>
      </c>
    </row>
    <row r="3803" spans="1:4" x14ac:dyDescent="0.2">
      <c r="A3803" s="3">
        <v>3976</v>
      </c>
      <c r="B3803" s="3" t="s">
        <v>4110</v>
      </c>
      <c r="C3803" s="3" t="s">
        <v>4108</v>
      </c>
      <c r="D3803" s="3" t="s">
        <v>3849</v>
      </c>
    </row>
    <row r="3804" spans="1:4" x14ac:dyDescent="0.2">
      <c r="A3804" s="3">
        <v>3977</v>
      </c>
      <c r="B3804" s="3" t="s">
        <v>4111</v>
      </c>
      <c r="C3804" s="3" t="s">
        <v>4108</v>
      </c>
      <c r="D3804" s="3" t="s">
        <v>3849</v>
      </c>
    </row>
    <row r="3805" spans="1:4" x14ac:dyDescent="0.2">
      <c r="A3805" s="3">
        <v>3960</v>
      </c>
      <c r="B3805" s="3" t="s">
        <v>4112</v>
      </c>
      <c r="C3805" s="3" t="s">
        <v>4113</v>
      </c>
      <c r="D3805" s="3" t="s">
        <v>3849</v>
      </c>
    </row>
    <row r="3806" spans="1:4" x14ac:dyDescent="0.2">
      <c r="A3806" s="3">
        <v>3961</v>
      </c>
      <c r="B3806" s="3" t="s">
        <v>4114</v>
      </c>
      <c r="C3806" s="3" t="s">
        <v>4113</v>
      </c>
      <c r="D3806" s="3" t="s">
        <v>3849</v>
      </c>
    </row>
    <row r="3807" spans="1:4" x14ac:dyDescent="0.2">
      <c r="A3807" s="3">
        <v>3961</v>
      </c>
      <c r="B3807" s="3" t="s">
        <v>4115</v>
      </c>
      <c r="C3807" s="3" t="s">
        <v>4113</v>
      </c>
      <c r="D3807" s="3" t="s">
        <v>3849</v>
      </c>
    </row>
    <row r="3808" spans="1:4" x14ac:dyDescent="0.2">
      <c r="A3808" s="3">
        <v>3961</v>
      </c>
      <c r="B3808" s="3" t="s">
        <v>4116</v>
      </c>
      <c r="C3808" s="3" t="s">
        <v>4113</v>
      </c>
      <c r="D3808" s="3" t="s">
        <v>3849</v>
      </c>
    </row>
    <row r="3809" spans="1:4" x14ac:dyDescent="0.2">
      <c r="A3809" s="3">
        <v>3961</v>
      </c>
      <c r="B3809" s="3" t="s">
        <v>4117</v>
      </c>
      <c r="C3809" s="3" t="s">
        <v>4113</v>
      </c>
      <c r="D3809" s="3" t="s">
        <v>3849</v>
      </c>
    </row>
    <row r="3810" spans="1:4" x14ac:dyDescent="0.2">
      <c r="A3810" s="3">
        <v>3961</v>
      </c>
      <c r="B3810" s="3" t="s">
        <v>4118</v>
      </c>
      <c r="C3810" s="3" t="s">
        <v>4113</v>
      </c>
      <c r="D3810" s="3" t="s">
        <v>3849</v>
      </c>
    </row>
    <row r="3811" spans="1:4" x14ac:dyDescent="0.2">
      <c r="A3811" s="3">
        <v>3961</v>
      </c>
      <c r="B3811" s="3" t="s">
        <v>4119</v>
      </c>
      <c r="C3811" s="3" t="s">
        <v>4113</v>
      </c>
      <c r="D3811" s="3" t="s">
        <v>3849</v>
      </c>
    </row>
    <row r="3812" spans="1:4" x14ac:dyDescent="0.2">
      <c r="A3812" s="3">
        <v>3961</v>
      </c>
      <c r="B3812" s="3" t="s">
        <v>4120</v>
      </c>
      <c r="C3812" s="3" t="s">
        <v>4113</v>
      </c>
      <c r="D3812" s="3" t="s">
        <v>3849</v>
      </c>
    </row>
    <row r="3813" spans="1:4" x14ac:dyDescent="0.2">
      <c r="A3813" s="3">
        <v>3961</v>
      </c>
      <c r="B3813" s="3" t="s">
        <v>4121</v>
      </c>
      <c r="C3813" s="3" t="s">
        <v>4113</v>
      </c>
      <c r="D3813" s="3" t="s">
        <v>3849</v>
      </c>
    </row>
    <row r="3814" spans="1:4" x14ac:dyDescent="0.2">
      <c r="A3814" s="3">
        <v>3960</v>
      </c>
      <c r="B3814" s="3" t="s">
        <v>4122</v>
      </c>
      <c r="C3814" s="3" t="s">
        <v>4123</v>
      </c>
      <c r="D3814" s="3" t="s">
        <v>3849</v>
      </c>
    </row>
    <row r="3815" spans="1:4" x14ac:dyDescent="0.2">
      <c r="A3815" s="3">
        <v>3960</v>
      </c>
      <c r="B3815" s="3" t="s">
        <v>4124</v>
      </c>
      <c r="C3815" s="3" t="s">
        <v>4123</v>
      </c>
      <c r="D3815" s="3" t="s">
        <v>3849</v>
      </c>
    </row>
    <row r="3816" spans="1:4" x14ac:dyDescent="0.2">
      <c r="A3816" s="3">
        <v>3963</v>
      </c>
      <c r="B3816" s="3" t="s">
        <v>4123</v>
      </c>
      <c r="C3816" s="3" t="s">
        <v>4123</v>
      </c>
      <c r="D3816" s="3" t="s">
        <v>3849</v>
      </c>
    </row>
    <row r="3817" spans="1:4" x14ac:dyDescent="0.2">
      <c r="A3817" s="3">
        <v>3963</v>
      </c>
      <c r="B3817" s="3" t="s">
        <v>4125</v>
      </c>
      <c r="C3817" s="3" t="s">
        <v>4123</v>
      </c>
      <c r="D3817" s="3" t="s">
        <v>3849</v>
      </c>
    </row>
    <row r="3818" spans="1:4" x14ac:dyDescent="0.2">
      <c r="A3818" s="3">
        <v>3963</v>
      </c>
      <c r="B3818" s="3" t="s">
        <v>4126</v>
      </c>
      <c r="C3818" s="3" t="s">
        <v>4123</v>
      </c>
      <c r="D3818" s="3" t="s">
        <v>3849</v>
      </c>
    </row>
    <row r="3819" spans="1:4" x14ac:dyDescent="0.2">
      <c r="A3819" s="3">
        <v>3971</v>
      </c>
      <c r="B3819" s="3" t="s">
        <v>4127</v>
      </c>
      <c r="C3819" s="3" t="s">
        <v>4123</v>
      </c>
      <c r="D3819" s="3" t="s">
        <v>3849</v>
      </c>
    </row>
    <row r="3820" spans="1:4" x14ac:dyDescent="0.2">
      <c r="A3820" s="3">
        <v>3971</v>
      </c>
      <c r="B3820" s="3" t="s">
        <v>4128</v>
      </c>
      <c r="C3820" s="3" t="s">
        <v>4123</v>
      </c>
      <c r="D3820" s="3" t="s">
        <v>3849</v>
      </c>
    </row>
    <row r="3821" spans="1:4" x14ac:dyDescent="0.2">
      <c r="A3821" s="3">
        <v>3971</v>
      </c>
      <c r="B3821" s="3" t="s">
        <v>4129</v>
      </c>
      <c r="C3821" s="3" t="s">
        <v>4123</v>
      </c>
      <c r="D3821" s="3" t="s">
        <v>3849</v>
      </c>
    </row>
    <row r="3822" spans="1:4" x14ac:dyDescent="0.2">
      <c r="A3822" s="3">
        <v>3974</v>
      </c>
      <c r="B3822" s="3" t="s">
        <v>4130</v>
      </c>
      <c r="C3822" s="3" t="s">
        <v>4123</v>
      </c>
      <c r="D3822" s="3" t="s">
        <v>3849</v>
      </c>
    </row>
    <row r="3823" spans="1:4" x14ac:dyDescent="0.2">
      <c r="A3823" s="3">
        <v>3975</v>
      </c>
      <c r="B3823" s="3" t="s">
        <v>4131</v>
      </c>
      <c r="C3823" s="3" t="s">
        <v>4123</v>
      </c>
      <c r="D3823" s="3" t="s">
        <v>3849</v>
      </c>
    </row>
    <row r="3824" spans="1:4" x14ac:dyDescent="0.2">
      <c r="A3824" s="3">
        <v>3976</v>
      </c>
      <c r="B3824" s="3" t="s">
        <v>4132</v>
      </c>
      <c r="C3824" s="3" t="s">
        <v>4123</v>
      </c>
      <c r="D3824" s="3" t="s">
        <v>3849</v>
      </c>
    </row>
    <row r="3825" spans="1:4" x14ac:dyDescent="0.2">
      <c r="A3825" s="3">
        <v>3968</v>
      </c>
      <c r="B3825" s="3" t="s">
        <v>4133</v>
      </c>
      <c r="C3825" s="3" t="s">
        <v>4134</v>
      </c>
      <c r="D3825" s="3" t="s">
        <v>3849</v>
      </c>
    </row>
    <row r="3826" spans="1:4" x14ac:dyDescent="0.2">
      <c r="A3826" s="3">
        <v>3972</v>
      </c>
      <c r="B3826" s="3" t="s">
        <v>4135</v>
      </c>
      <c r="C3826" s="3" t="s">
        <v>4134</v>
      </c>
      <c r="D3826" s="3" t="s">
        <v>3849</v>
      </c>
    </row>
    <row r="3827" spans="1:4" x14ac:dyDescent="0.2">
      <c r="A3827" s="3">
        <v>3973</v>
      </c>
      <c r="B3827" s="3" t="s">
        <v>4136</v>
      </c>
      <c r="C3827" s="3" t="s">
        <v>4134</v>
      </c>
      <c r="D3827" s="3" t="s">
        <v>3849</v>
      </c>
    </row>
    <row r="3828" spans="1:4" x14ac:dyDescent="0.2">
      <c r="A3828" s="3">
        <v>1974</v>
      </c>
      <c r="B3828" s="3" t="s">
        <v>4137</v>
      </c>
      <c r="C3828" s="3" t="s">
        <v>4137</v>
      </c>
      <c r="D3828" s="3" t="s">
        <v>3849</v>
      </c>
    </row>
    <row r="3829" spans="1:4" x14ac:dyDescent="0.2">
      <c r="A3829" s="3">
        <v>1971</v>
      </c>
      <c r="B3829" s="3" t="s">
        <v>4138</v>
      </c>
      <c r="C3829" s="3" t="s">
        <v>4138</v>
      </c>
      <c r="D3829" s="3" t="s">
        <v>3849</v>
      </c>
    </row>
    <row r="3830" spans="1:4" x14ac:dyDescent="0.2">
      <c r="A3830" s="3">
        <v>1971</v>
      </c>
      <c r="B3830" s="3" t="s">
        <v>4139</v>
      </c>
      <c r="C3830" s="3" t="s">
        <v>4138</v>
      </c>
      <c r="D3830" s="3" t="s">
        <v>3849</v>
      </c>
    </row>
    <row r="3831" spans="1:4" x14ac:dyDescent="0.2">
      <c r="A3831" s="3">
        <v>1965</v>
      </c>
      <c r="B3831" s="3" t="s">
        <v>4140</v>
      </c>
      <c r="C3831" s="3" t="s">
        <v>4140</v>
      </c>
      <c r="D3831" s="3" t="s">
        <v>3849</v>
      </c>
    </row>
    <row r="3832" spans="1:4" x14ac:dyDescent="0.2">
      <c r="A3832" s="3">
        <v>1950</v>
      </c>
      <c r="B3832" s="3" t="s">
        <v>4141</v>
      </c>
      <c r="C3832" s="3" t="s">
        <v>4141</v>
      </c>
      <c r="D3832" s="3" t="s">
        <v>3849</v>
      </c>
    </row>
    <row r="3833" spans="1:4" x14ac:dyDescent="0.2">
      <c r="A3833" s="3">
        <v>1958</v>
      </c>
      <c r="B3833" s="3" t="s">
        <v>4142</v>
      </c>
      <c r="C3833" s="3" t="s">
        <v>4141</v>
      </c>
      <c r="D3833" s="3" t="s">
        <v>3849</v>
      </c>
    </row>
    <row r="3834" spans="1:4" x14ac:dyDescent="0.2">
      <c r="A3834" s="3">
        <v>1962</v>
      </c>
      <c r="B3834" s="3" t="s">
        <v>4143</v>
      </c>
      <c r="C3834" s="3" t="s">
        <v>4141</v>
      </c>
      <c r="D3834" s="3" t="s">
        <v>3849</v>
      </c>
    </row>
    <row r="3835" spans="1:4" x14ac:dyDescent="0.2">
      <c r="A3835" s="3">
        <v>1967</v>
      </c>
      <c r="B3835" s="3" t="s">
        <v>4144</v>
      </c>
      <c r="C3835" s="3" t="s">
        <v>4141</v>
      </c>
      <c r="D3835" s="3" t="s">
        <v>3849</v>
      </c>
    </row>
    <row r="3836" spans="1:4" x14ac:dyDescent="0.2">
      <c r="A3836" s="3">
        <v>1991</v>
      </c>
      <c r="B3836" s="3" t="s">
        <v>4145</v>
      </c>
      <c r="C3836" s="3" t="s">
        <v>4141</v>
      </c>
      <c r="D3836" s="3" t="s">
        <v>3849</v>
      </c>
    </row>
    <row r="3837" spans="1:4" x14ac:dyDescent="0.2">
      <c r="A3837" s="3">
        <v>1991</v>
      </c>
      <c r="B3837" s="3" t="s">
        <v>4146</v>
      </c>
      <c r="C3837" s="3" t="s">
        <v>4141</v>
      </c>
      <c r="D3837" s="3" t="s">
        <v>3849</v>
      </c>
    </row>
    <row r="3838" spans="1:4" x14ac:dyDescent="0.2">
      <c r="A3838" s="3">
        <v>1991</v>
      </c>
      <c r="B3838" s="3" t="s">
        <v>4147</v>
      </c>
      <c r="C3838" s="3" t="s">
        <v>4141</v>
      </c>
      <c r="D3838" s="3" t="s">
        <v>3849</v>
      </c>
    </row>
    <row r="3839" spans="1:4" x14ac:dyDescent="0.2">
      <c r="A3839" s="3">
        <v>1991</v>
      </c>
      <c r="B3839" s="3" t="s">
        <v>4148</v>
      </c>
      <c r="C3839" s="3" t="s">
        <v>4141</v>
      </c>
      <c r="D3839" s="3" t="s">
        <v>3849</v>
      </c>
    </row>
    <row r="3840" spans="1:4" x14ac:dyDescent="0.2">
      <c r="A3840" s="3">
        <v>1991</v>
      </c>
      <c r="B3840" s="3" t="s">
        <v>4149</v>
      </c>
      <c r="C3840" s="3" t="s">
        <v>4141</v>
      </c>
      <c r="D3840" s="3" t="s">
        <v>3849</v>
      </c>
    </row>
    <row r="3841" spans="1:4" x14ac:dyDescent="0.2">
      <c r="A3841" s="3">
        <v>1992</v>
      </c>
      <c r="B3841" s="3" t="s">
        <v>4150</v>
      </c>
      <c r="C3841" s="3" t="s">
        <v>4141</v>
      </c>
      <c r="D3841" s="3" t="s">
        <v>3849</v>
      </c>
    </row>
    <row r="3842" spans="1:4" x14ac:dyDescent="0.2">
      <c r="A3842" s="3">
        <v>1992</v>
      </c>
      <c r="B3842" s="3" t="s">
        <v>4151</v>
      </c>
      <c r="C3842" s="3" t="s">
        <v>4141</v>
      </c>
      <c r="D3842" s="3" t="s">
        <v>3849</v>
      </c>
    </row>
    <row r="3843" spans="1:4" x14ac:dyDescent="0.2">
      <c r="A3843" s="3">
        <v>1992</v>
      </c>
      <c r="B3843" s="3" t="s">
        <v>4152</v>
      </c>
      <c r="C3843" s="3" t="s">
        <v>4141</v>
      </c>
      <c r="D3843" s="3" t="s">
        <v>3849</v>
      </c>
    </row>
    <row r="3844" spans="1:4" x14ac:dyDescent="0.2">
      <c r="A3844" s="3">
        <v>1993</v>
      </c>
      <c r="B3844" s="3" t="s">
        <v>4153</v>
      </c>
      <c r="C3844" s="3" t="s">
        <v>4153</v>
      </c>
      <c r="D3844" s="3" t="s">
        <v>3849</v>
      </c>
    </row>
    <row r="3845" spans="1:4" x14ac:dyDescent="0.2">
      <c r="A3845" s="3">
        <v>3937</v>
      </c>
      <c r="B3845" s="3" t="s">
        <v>4154</v>
      </c>
      <c r="C3845" s="3" t="s">
        <v>4154</v>
      </c>
      <c r="D3845" s="3" t="s">
        <v>3849</v>
      </c>
    </row>
    <row r="3846" spans="1:4" x14ac:dyDescent="0.2">
      <c r="A3846" s="3">
        <v>3937</v>
      </c>
      <c r="B3846" s="3" t="s">
        <v>4154</v>
      </c>
      <c r="C3846" s="3" t="s">
        <v>4154</v>
      </c>
      <c r="D3846" s="3" t="s">
        <v>3849</v>
      </c>
    </row>
    <row r="3847" spans="1:4" x14ac:dyDescent="0.2">
      <c r="A3847" s="3">
        <v>3922</v>
      </c>
      <c r="B3847" s="3" t="s">
        <v>4155</v>
      </c>
      <c r="C3847" s="3" t="s">
        <v>4155</v>
      </c>
      <c r="D3847" s="3" t="s">
        <v>3849</v>
      </c>
    </row>
    <row r="3848" spans="1:4" x14ac:dyDescent="0.2">
      <c r="A3848" s="3">
        <v>3922</v>
      </c>
      <c r="B3848" s="3" t="s">
        <v>4156</v>
      </c>
      <c r="C3848" s="3" t="s">
        <v>4157</v>
      </c>
      <c r="D3848" s="3" t="s">
        <v>3849</v>
      </c>
    </row>
    <row r="3849" spans="1:4" x14ac:dyDescent="0.2">
      <c r="A3849" s="3">
        <v>3926</v>
      </c>
      <c r="B3849" s="3" t="s">
        <v>4157</v>
      </c>
      <c r="C3849" s="3" t="s">
        <v>4157</v>
      </c>
      <c r="D3849" s="3" t="s">
        <v>3849</v>
      </c>
    </row>
    <row r="3850" spans="1:4" x14ac:dyDescent="0.2">
      <c r="A3850" s="3">
        <v>3925</v>
      </c>
      <c r="B3850" s="3" t="s">
        <v>4158</v>
      </c>
      <c r="C3850" s="3" t="s">
        <v>4158</v>
      </c>
      <c r="D3850" s="3" t="s">
        <v>3849</v>
      </c>
    </row>
    <row r="3851" spans="1:4" x14ac:dyDescent="0.2">
      <c r="A3851" s="3">
        <v>3931</v>
      </c>
      <c r="B3851" s="3" t="s">
        <v>4159</v>
      </c>
      <c r="C3851" s="3" t="s">
        <v>4159</v>
      </c>
      <c r="D3851" s="3" t="s">
        <v>3849</v>
      </c>
    </row>
    <row r="3852" spans="1:4" x14ac:dyDescent="0.2">
      <c r="A3852" s="3">
        <v>3928</v>
      </c>
      <c r="B3852" s="3" t="s">
        <v>4160</v>
      </c>
      <c r="C3852" s="3" t="s">
        <v>4160</v>
      </c>
      <c r="D3852" s="3" t="s">
        <v>3849</v>
      </c>
    </row>
    <row r="3853" spans="1:4" x14ac:dyDescent="0.2">
      <c r="A3853" s="3">
        <v>3905</v>
      </c>
      <c r="B3853" s="3" t="s">
        <v>4161</v>
      </c>
      <c r="C3853" s="3" t="s">
        <v>4161</v>
      </c>
      <c r="D3853" s="3" t="s">
        <v>3849</v>
      </c>
    </row>
    <row r="3854" spans="1:4" x14ac:dyDescent="0.2">
      <c r="A3854" s="3">
        <v>3908</v>
      </c>
      <c r="B3854" s="3" t="s">
        <v>4162</v>
      </c>
      <c r="C3854" s="3" t="s">
        <v>4162</v>
      </c>
      <c r="D3854" s="3" t="s">
        <v>3849</v>
      </c>
    </row>
    <row r="3855" spans="1:4" x14ac:dyDescent="0.2">
      <c r="A3855" s="3">
        <v>3906</v>
      </c>
      <c r="B3855" s="3" t="s">
        <v>4163</v>
      </c>
      <c r="C3855" s="3" t="s">
        <v>4163</v>
      </c>
      <c r="D3855" s="3" t="s">
        <v>3849</v>
      </c>
    </row>
    <row r="3856" spans="1:4" x14ac:dyDescent="0.2">
      <c r="A3856" s="3">
        <v>3910</v>
      </c>
      <c r="B3856" s="3" t="s">
        <v>4164</v>
      </c>
      <c r="C3856" s="3" t="s">
        <v>4164</v>
      </c>
      <c r="D3856" s="3" t="s">
        <v>3849</v>
      </c>
    </row>
    <row r="3857" spans="1:4" x14ac:dyDescent="0.2">
      <c r="A3857" s="3">
        <v>3924</v>
      </c>
      <c r="B3857" s="3" t="s">
        <v>4165</v>
      </c>
      <c r="C3857" s="3" t="s">
        <v>4166</v>
      </c>
      <c r="D3857" s="3" t="s">
        <v>3849</v>
      </c>
    </row>
    <row r="3858" spans="1:4" x14ac:dyDescent="0.2">
      <c r="A3858" s="3">
        <v>3927</v>
      </c>
      <c r="B3858" s="3" t="s">
        <v>4167</v>
      </c>
      <c r="C3858" s="3" t="s">
        <v>4166</v>
      </c>
      <c r="D3858" s="3" t="s">
        <v>3849</v>
      </c>
    </row>
    <row r="3859" spans="1:4" x14ac:dyDescent="0.2">
      <c r="A3859" s="3">
        <v>3922</v>
      </c>
      <c r="B3859" s="3" t="s">
        <v>4168</v>
      </c>
      <c r="C3859" s="3" t="s">
        <v>4169</v>
      </c>
      <c r="D3859" s="3" t="s">
        <v>3849</v>
      </c>
    </row>
    <row r="3860" spans="1:4" x14ac:dyDescent="0.2">
      <c r="A3860" s="3">
        <v>3933</v>
      </c>
      <c r="B3860" s="3" t="s">
        <v>4170</v>
      </c>
      <c r="C3860" s="3" t="s">
        <v>4170</v>
      </c>
      <c r="D3860" s="3" t="s">
        <v>3849</v>
      </c>
    </row>
    <row r="3861" spans="1:4" x14ac:dyDescent="0.2">
      <c r="A3861" s="3">
        <v>3929</v>
      </c>
      <c r="B3861" s="3" t="s">
        <v>4171</v>
      </c>
      <c r="C3861" s="3" t="s">
        <v>4171</v>
      </c>
      <c r="D3861" s="3" t="s">
        <v>3849</v>
      </c>
    </row>
    <row r="3862" spans="1:4" x14ac:dyDescent="0.2">
      <c r="A3862" s="3">
        <v>3923</v>
      </c>
      <c r="B3862" s="3" t="s">
        <v>4172</v>
      </c>
      <c r="C3862" s="3" t="s">
        <v>4172</v>
      </c>
      <c r="D3862" s="3" t="s">
        <v>3849</v>
      </c>
    </row>
    <row r="3863" spans="1:4" x14ac:dyDescent="0.2">
      <c r="A3863" s="3">
        <v>3930</v>
      </c>
      <c r="B3863" s="3" t="s">
        <v>4173</v>
      </c>
      <c r="C3863" s="3" t="s">
        <v>4173</v>
      </c>
      <c r="D3863" s="3" t="s">
        <v>3849</v>
      </c>
    </row>
    <row r="3864" spans="1:4" x14ac:dyDescent="0.2">
      <c r="A3864" s="3">
        <v>3930</v>
      </c>
      <c r="B3864" s="3" t="s">
        <v>4174</v>
      </c>
      <c r="C3864" s="3" t="s">
        <v>4173</v>
      </c>
      <c r="D3864" s="3" t="s">
        <v>3849</v>
      </c>
    </row>
    <row r="3865" spans="1:4" x14ac:dyDescent="0.2">
      <c r="A3865" s="3">
        <v>3932</v>
      </c>
      <c r="B3865" s="3" t="s">
        <v>4175</v>
      </c>
      <c r="C3865" s="3" t="s">
        <v>4175</v>
      </c>
      <c r="D3865" s="3" t="s">
        <v>3849</v>
      </c>
    </row>
    <row r="3866" spans="1:4" x14ac:dyDescent="0.2">
      <c r="A3866" s="3">
        <v>3934</v>
      </c>
      <c r="B3866" s="3" t="s">
        <v>4176</v>
      </c>
      <c r="C3866" s="3" t="s">
        <v>4176</v>
      </c>
      <c r="D3866" s="3" t="s">
        <v>3849</v>
      </c>
    </row>
    <row r="3867" spans="1:4" x14ac:dyDescent="0.2">
      <c r="A3867" s="3">
        <v>3920</v>
      </c>
      <c r="B3867" s="3" t="s">
        <v>4177</v>
      </c>
      <c r="C3867" s="3" t="s">
        <v>4177</v>
      </c>
      <c r="D3867" s="3" t="s">
        <v>3849</v>
      </c>
    </row>
    <row r="3868" spans="1:4" x14ac:dyDescent="0.2">
      <c r="A3868" s="3">
        <v>2015</v>
      </c>
      <c r="B3868" s="3" t="s">
        <v>4178</v>
      </c>
      <c r="C3868" s="3" t="s">
        <v>4179</v>
      </c>
      <c r="D3868" s="3" t="s">
        <v>4180</v>
      </c>
    </row>
    <row r="3869" spans="1:4" x14ac:dyDescent="0.2">
      <c r="A3869" s="3">
        <v>2017</v>
      </c>
      <c r="B3869" s="3" t="s">
        <v>4179</v>
      </c>
      <c r="C3869" s="3" t="s">
        <v>4179</v>
      </c>
      <c r="D3869" s="3" t="s">
        <v>4180</v>
      </c>
    </row>
    <row r="3870" spans="1:4" x14ac:dyDescent="0.2">
      <c r="A3870" s="3">
        <v>2016</v>
      </c>
      <c r="B3870" s="3" t="s">
        <v>4181</v>
      </c>
      <c r="C3870" s="3" t="s">
        <v>4181</v>
      </c>
      <c r="D3870" s="3" t="s">
        <v>4180</v>
      </c>
    </row>
    <row r="3871" spans="1:4" x14ac:dyDescent="0.2">
      <c r="A3871" s="3">
        <v>2019</v>
      </c>
      <c r="B3871" s="3" t="s">
        <v>4182</v>
      </c>
      <c r="C3871" s="3" t="s">
        <v>4182</v>
      </c>
      <c r="D3871" s="3" t="s">
        <v>4180</v>
      </c>
    </row>
    <row r="3872" spans="1:4" x14ac:dyDescent="0.2">
      <c r="A3872" s="3">
        <v>2019</v>
      </c>
      <c r="B3872" s="3" t="s">
        <v>4183</v>
      </c>
      <c r="C3872" s="3" t="s">
        <v>4182</v>
      </c>
      <c r="D3872" s="3" t="s">
        <v>4180</v>
      </c>
    </row>
    <row r="3873" spans="1:4" x14ac:dyDescent="0.2">
      <c r="A3873" s="3">
        <v>2037</v>
      </c>
      <c r="B3873" s="3" t="s">
        <v>4184</v>
      </c>
      <c r="C3873" s="3" t="s">
        <v>4182</v>
      </c>
      <c r="D3873" s="3" t="s">
        <v>4180</v>
      </c>
    </row>
    <row r="3874" spans="1:4" x14ac:dyDescent="0.2">
      <c r="A3874" s="3">
        <v>2149</v>
      </c>
      <c r="B3874" s="3" t="s">
        <v>4185</v>
      </c>
      <c r="C3874" s="3" t="s">
        <v>4182</v>
      </c>
      <c r="D3874" s="3" t="s">
        <v>4180</v>
      </c>
    </row>
    <row r="3875" spans="1:4" x14ac:dyDescent="0.2">
      <c r="A3875" s="3">
        <v>2149</v>
      </c>
      <c r="B3875" s="3" t="s">
        <v>4186</v>
      </c>
      <c r="C3875" s="3" t="s">
        <v>4182</v>
      </c>
      <c r="D3875" s="3" t="s">
        <v>4180</v>
      </c>
    </row>
    <row r="3876" spans="1:4" x14ac:dyDescent="0.2">
      <c r="A3876" s="3">
        <v>2149</v>
      </c>
      <c r="B3876" s="3" t="s">
        <v>4187</v>
      </c>
      <c r="C3876" s="3" t="s">
        <v>4182</v>
      </c>
      <c r="D3876" s="3" t="s">
        <v>4180</v>
      </c>
    </row>
    <row r="3877" spans="1:4" x14ac:dyDescent="0.2">
      <c r="A3877" s="3">
        <v>2012</v>
      </c>
      <c r="B3877" s="3" t="s">
        <v>4188</v>
      </c>
      <c r="C3877" s="3" t="s">
        <v>4189</v>
      </c>
      <c r="D3877" s="3" t="s">
        <v>4180</v>
      </c>
    </row>
    <row r="3878" spans="1:4" x14ac:dyDescent="0.2">
      <c r="A3878" s="3">
        <v>2013</v>
      </c>
      <c r="B3878" s="3" t="s">
        <v>4190</v>
      </c>
      <c r="C3878" s="3" t="s">
        <v>4189</v>
      </c>
      <c r="D3878" s="3" t="s">
        <v>4180</v>
      </c>
    </row>
    <row r="3879" spans="1:4" x14ac:dyDescent="0.2">
      <c r="A3879" s="3">
        <v>2014</v>
      </c>
      <c r="B3879" s="3" t="s">
        <v>4191</v>
      </c>
      <c r="C3879" s="3" t="s">
        <v>4189</v>
      </c>
      <c r="D3879" s="3" t="s">
        <v>4180</v>
      </c>
    </row>
    <row r="3880" spans="1:4" x14ac:dyDescent="0.2">
      <c r="A3880" s="3">
        <v>2022</v>
      </c>
      <c r="B3880" s="3" t="s">
        <v>4192</v>
      </c>
      <c r="C3880" s="3" t="s">
        <v>4193</v>
      </c>
      <c r="D3880" s="3" t="s">
        <v>4180</v>
      </c>
    </row>
    <row r="3881" spans="1:4" x14ac:dyDescent="0.2">
      <c r="A3881" s="3">
        <v>2023</v>
      </c>
      <c r="B3881" s="3" t="s">
        <v>4194</v>
      </c>
      <c r="C3881" s="3" t="s">
        <v>4193</v>
      </c>
      <c r="D3881" s="3" t="s">
        <v>4180</v>
      </c>
    </row>
    <row r="3882" spans="1:4" x14ac:dyDescent="0.2">
      <c r="A3882" s="3">
        <v>2024</v>
      </c>
      <c r="B3882" s="3" t="s">
        <v>4195</v>
      </c>
      <c r="C3882" s="3" t="s">
        <v>4193</v>
      </c>
      <c r="D3882" s="3" t="s">
        <v>4180</v>
      </c>
    </row>
    <row r="3883" spans="1:4" x14ac:dyDescent="0.2">
      <c r="A3883" s="3">
        <v>2025</v>
      </c>
      <c r="B3883" s="3" t="s">
        <v>4196</v>
      </c>
      <c r="C3883" s="3" t="s">
        <v>4193</v>
      </c>
      <c r="D3883" s="3" t="s">
        <v>4180</v>
      </c>
    </row>
    <row r="3884" spans="1:4" x14ac:dyDescent="0.2">
      <c r="A3884" s="3">
        <v>2027</v>
      </c>
      <c r="B3884" s="3" t="s">
        <v>4197</v>
      </c>
      <c r="C3884" s="3" t="s">
        <v>4193</v>
      </c>
      <c r="D3884" s="3" t="s">
        <v>4180</v>
      </c>
    </row>
    <row r="3885" spans="1:4" x14ac:dyDescent="0.2">
      <c r="A3885" s="3">
        <v>2027</v>
      </c>
      <c r="B3885" s="3" t="s">
        <v>4198</v>
      </c>
      <c r="C3885" s="3" t="s">
        <v>4193</v>
      </c>
      <c r="D3885" s="3" t="s">
        <v>4180</v>
      </c>
    </row>
    <row r="3886" spans="1:4" x14ac:dyDescent="0.2">
      <c r="A3886" s="3">
        <v>2028</v>
      </c>
      <c r="B3886" s="3" t="s">
        <v>4199</v>
      </c>
      <c r="C3886" s="3" t="s">
        <v>4193</v>
      </c>
      <c r="D3886" s="3" t="s">
        <v>4180</v>
      </c>
    </row>
    <row r="3887" spans="1:4" x14ac:dyDescent="0.2">
      <c r="A3887" s="3">
        <v>2300</v>
      </c>
      <c r="B3887" s="3" t="s">
        <v>4200</v>
      </c>
      <c r="C3887" s="3" t="s">
        <v>4200</v>
      </c>
      <c r="D3887" s="3" t="s">
        <v>4180</v>
      </c>
    </row>
    <row r="3888" spans="1:4" x14ac:dyDescent="0.2">
      <c r="A3888" s="3">
        <v>2300</v>
      </c>
      <c r="B3888" s="3" t="s">
        <v>4201</v>
      </c>
      <c r="C3888" s="3" t="s">
        <v>4200</v>
      </c>
      <c r="D3888" s="3" t="s">
        <v>4180</v>
      </c>
    </row>
    <row r="3889" spans="1:4" x14ac:dyDescent="0.2">
      <c r="A3889" s="3">
        <v>2322</v>
      </c>
      <c r="B3889" s="3" t="s">
        <v>4202</v>
      </c>
      <c r="C3889" s="3" t="s">
        <v>4200</v>
      </c>
      <c r="D3889" s="3" t="s">
        <v>4180</v>
      </c>
    </row>
    <row r="3890" spans="1:4" x14ac:dyDescent="0.2">
      <c r="A3890" s="3">
        <v>2333</v>
      </c>
      <c r="B3890" s="3" t="s">
        <v>4201</v>
      </c>
      <c r="C3890" s="3" t="s">
        <v>465</v>
      </c>
      <c r="D3890" s="3" t="s">
        <v>309</v>
      </c>
    </row>
    <row r="3891" spans="1:4" x14ac:dyDescent="0.2">
      <c r="A3891" s="3">
        <v>2616</v>
      </c>
      <c r="B3891" s="3" t="s">
        <v>4201</v>
      </c>
      <c r="C3891" s="3" t="s">
        <v>470</v>
      </c>
      <c r="D3891" s="3" t="s">
        <v>309</v>
      </c>
    </row>
    <row r="3892" spans="1:4" x14ac:dyDescent="0.2">
      <c r="A3892" s="3">
        <v>2325</v>
      </c>
      <c r="B3892" s="3" t="s">
        <v>4203</v>
      </c>
      <c r="C3892" s="3" t="s">
        <v>4203</v>
      </c>
      <c r="D3892" s="3" t="s">
        <v>4180</v>
      </c>
    </row>
    <row r="3893" spans="1:4" x14ac:dyDescent="0.2">
      <c r="A3893" s="3">
        <v>2314</v>
      </c>
      <c r="B3893" s="3" t="s">
        <v>4204</v>
      </c>
      <c r="C3893" s="3" t="s">
        <v>4205</v>
      </c>
      <c r="D3893" s="3" t="s">
        <v>4180</v>
      </c>
    </row>
    <row r="3894" spans="1:4" x14ac:dyDescent="0.2">
      <c r="A3894" s="3">
        <v>2406</v>
      </c>
      <c r="B3894" s="3" t="s">
        <v>4206</v>
      </c>
      <c r="C3894" s="3" t="s">
        <v>4206</v>
      </c>
      <c r="D3894" s="3" t="s">
        <v>4180</v>
      </c>
    </row>
    <row r="3895" spans="1:4" x14ac:dyDescent="0.2">
      <c r="A3895" s="3">
        <v>2406</v>
      </c>
      <c r="B3895" s="3" t="s">
        <v>4207</v>
      </c>
      <c r="C3895" s="3" t="s">
        <v>4206</v>
      </c>
      <c r="D3895" s="3" t="s">
        <v>4180</v>
      </c>
    </row>
    <row r="3896" spans="1:4" x14ac:dyDescent="0.2">
      <c r="A3896" s="3">
        <v>2406</v>
      </c>
      <c r="B3896" s="3" t="s">
        <v>4208</v>
      </c>
      <c r="C3896" s="3" t="s">
        <v>4206</v>
      </c>
      <c r="D3896" s="3" t="s">
        <v>4180</v>
      </c>
    </row>
    <row r="3897" spans="1:4" x14ac:dyDescent="0.2">
      <c r="A3897" s="3">
        <v>2406</v>
      </c>
      <c r="B3897" s="3" t="s">
        <v>4209</v>
      </c>
      <c r="C3897" s="3" t="s">
        <v>4206</v>
      </c>
      <c r="D3897" s="3" t="s">
        <v>4180</v>
      </c>
    </row>
    <row r="3898" spans="1:4" x14ac:dyDescent="0.2">
      <c r="A3898" s="3">
        <v>2318</v>
      </c>
      <c r="B3898" s="3" t="s">
        <v>4210</v>
      </c>
      <c r="C3898" s="3" t="s">
        <v>4210</v>
      </c>
      <c r="D3898" s="3" t="s">
        <v>4180</v>
      </c>
    </row>
    <row r="3899" spans="1:4" x14ac:dyDescent="0.2">
      <c r="A3899" s="3">
        <v>2414</v>
      </c>
      <c r="B3899" s="3" t="s">
        <v>4211</v>
      </c>
      <c r="C3899" s="3" t="s">
        <v>4211</v>
      </c>
      <c r="D3899" s="3" t="s">
        <v>4180</v>
      </c>
    </row>
    <row r="3900" spans="1:4" x14ac:dyDescent="0.2">
      <c r="A3900" s="3">
        <v>2405</v>
      </c>
      <c r="B3900" s="3" t="s">
        <v>4212</v>
      </c>
      <c r="C3900" s="3" t="s">
        <v>4212</v>
      </c>
      <c r="D3900" s="3" t="s">
        <v>4180</v>
      </c>
    </row>
    <row r="3901" spans="1:4" x14ac:dyDescent="0.2">
      <c r="A3901" s="3">
        <v>2400</v>
      </c>
      <c r="B3901" s="3" t="s">
        <v>4213</v>
      </c>
      <c r="C3901" s="3" t="s">
        <v>4213</v>
      </c>
      <c r="D3901" s="3" t="s">
        <v>4180</v>
      </c>
    </row>
    <row r="3902" spans="1:4" x14ac:dyDescent="0.2">
      <c r="A3902" s="3">
        <v>2400</v>
      </c>
      <c r="B3902" s="3" t="s">
        <v>4214</v>
      </c>
      <c r="C3902" s="3" t="s">
        <v>4213</v>
      </c>
      <c r="D3902" s="3" t="s">
        <v>4180</v>
      </c>
    </row>
    <row r="3903" spans="1:4" x14ac:dyDescent="0.2">
      <c r="A3903" s="3">
        <v>2416</v>
      </c>
      <c r="B3903" s="3" t="s">
        <v>4215</v>
      </c>
      <c r="C3903" s="3" t="s">
        <v>4213</v>
      </c>
      <c r="D3903" s="3" t="s">
        <v>4180</v>
      </c>
    </row>
    <row r="3904" spans="1:4" x14ac:dyDescent="0.2">
      <c r="A3904" s="3">
        <v>2316</v>
      </c>
      <c r="B3904" s="3" t="s">
        <v>4216</v>
      </c>
      <c r="C3904" s="3" t="s">
        <v>4216</v>
      </c>
      <c r="D3904" s="3" t="s">
        <v>4180</v>
      </c>
    </row>
    <row r="3905" spans="1:4" x14ac:dyDescent="0.2">
      <c r="A3905" s="3">
        <v>2316</v>
      </c>
      <c r="B3905" s="3" t="s">
        <v>4217</v>
      </c>
      <c r="C3905" s="3" t="s">
        <v>4216</v>
      </c>
      <c r="D3905" s="3" t="s">
        <v>4180</v>
      </c>
    </row>
    <row r="3906" spans="1:4" x14ac:dyDescent="0.2">
      <c r="A3906" s="3">
        <v>2087</v>
      </c>
      <c r="B3906" s="3" t="s">
        <v>4218</v>
      </c>
      <c r="C3906" s="3" t="s">
        <v>4219</v>
      </c>
      <c r="D3906" s="3" t="s">
        <v>4180</v>
      </c>
    </row>
    <row r="3907" spans="1:4" x14ac:dyDescent="0.2">
      <c r="A3907" s="3">
        <v>2088</v>
      </c>
      <c r="B3907" s="3" t="s">
        <v>4220</v>
      </c>
      <c r="C3907" s="3" t="s">
        <v>4221</v>
      </c>
      <c r="D3907" s="3" t="s">
        <v>4180</v>
      </c>
    </row>
    <row r="3908" spans="1:4" x14ac:dyDescent="0.2">
      <c r="A3908" s="3">
        <v>2073</v>
      </c>
      <c r="B3908" s="3" t="s">
        <v>4222</v>
      </c>
      <c r="C3908" s="3" t="s">
        <v>4222</v>
      </c>
      <c r="D3908" s="3" t="s">
        <v>4180</v>
      </c>
    </row>
    <row r="3909" spans="1:4" x14ac:dyDescent="0.2">
      <c r="A3909" s="3">
        <v>2068</v>
      </c>
      <c r="B3909" s="3" t="s">
        <v>4223</v>
      </c>
      <c r="C3909" s="3" t="s">
        <v>4224</v>
      </c>
      <c r="D3909" s="3" t="s">
        <v>4180</v>
      </c>
    </row>
    <row r="3910" spans="1:4" x14ac:dyDescent="0.2">
      <c r="A3910" s="3">
        <v>2525</v>
      </c>
      <c r="B3910" s="3" t="s">
        <v>4225</v>
      </c>
      <c r="C3910" s="3" t="s">
        <v>4225</v>
      </c>
      <c r="D3910" s="3" t="s">
        <v>4180</v>
      </c>
    </row>
    <row r="3911" spans="1:4" x14ac:dyDescent="0.2">
      <c r="A3911" s="3">
        <v>2523</v>
      </c>
      <c r="B3911" s="3" t="s">
        <v>4226</v>
      </c>
      <c r="C3911" s="3" t="s">
        <v>4226</v>
      </c>
      <c r="D3911" s="3" t="s">
        <v>4180</v>
      </c>
    </row>
    <row r="3912" spans="1:4" x14ac:dyDescent="0.2">
      <c r="A3912" s="3">
        <v>2000</v>
      </c>
      <c r="B3912" s="3" t="s">
        <v>4227</v>
      </c>
      <c r="C3912" s="3" t="s">
        <v>4227</v>
      </c>
      <c r="D3912" s="3" t="s">
        <v>4180</v>
      </c>
    </row>
    <row r="3913" spans="1:4" x14ac:dyDescent="0.2">
      <c r="A3913" s="3">
        <v>2034</v>
      </c>
      <c r="B3913" s="3" t="s">
        <v>4228</v>
      </c>
      <c r="C3913" s="3" t="s">
        <v>4227</v>
      </c>
      <c r="D3913" s="3" t="s">
        <v>4180</v>
      </c>
    </row>
    <row r="3914" spans="1:4" x14ac:dyDescent="0.2">
      <c r="A3914" s="3">
        <v>2035</v>
      </c>
      <c r="B3914" s="3" t="s">
        <v>4229</v>
      </c>
      <c r="C3914" s="3" t="s">
        <v>4227</v>
      </c>
      <c r="D3914" s="3" t="s">
        <v>4180</v>
      </c>
    </row>
    <row r="3915" spans="1:4" x14ac:dyDescent="0.2">
      <c r="A3915" s="3">
        <v>2036</v>
      </c>
      <c r="B3915" s="3" t="s">
        <v>4230</v>
      </c>
      <c r="C3915" s="3" t="s">
        <v>4227</v>
      </c>
      <c r="D3915" s="3" t="s">
        <v>4180</v>
      </c>
    </row>
    <row r="3916" spans="1:4" x14ac:dyDescent="0.2">
      <c r="A3916" s="3">
        <v>2042</v>
      </c>
      <c r="B3916" s="3" t="s">
        <v>4231</v>
      </c>
      <c r="C3916" s="3" t="s">
        <v>4227</v>
      </c>
      <c r="D3916" s="3" t="s">
        <v>4180</v>
      </c>
    </row>
    <row r="3917" spans="1:4" x14ac:dyDescent="0.2">
      <c r="A3917" s="3">
        <v>2067</v>
      </c>
      <c r="B3917" s="3" t="s">
        <v>4232</v>
      </c>
      <c r="C3917" s="3" t="s">
        <v>4227</v>
      </c>
      <c r="D3917" s="3" t="s">
        <v>4180</v>
      </c>
    </row>
    <row r="3918" spans="1:4" x14ac:dyDescent="0.2">
      <c r="A3918" s="3">
        <v>2072</v>
      </c>
      <c r="B3918" s="3" t="s">
        <v>4233</v>
      </c>
      <c r="C3918" s="3" t="s">
        <v>4234</v>
      </c>
      <c r="D3918" s="3" t="s">
        <v>4180</v>
      </c>
    </row>
    <row r="3919" spans="1:4" x14ac:dyDescent="0.2">
      <c r="A3919" s="3">
        <v>2074</v>
      </c>
      <c r="B3919" s="3" t="s">
        <v>4235</v>
      </c>
      <c r="C3919" s="3" t="s">
        <v>4236</v>
      </c>
      <c r="D3919" s="3" t="s">
        <v>4180</v>
      </c>
    </row>
    <row r="3920" spans="1:4" x14ac:dyDescent="0.2">
      <c r="A3920" s="3">
        <v>2075</v>
      </c>
      <c r="B3920" s="3" t="s">
        <v>4237</v>
      </c>
      <c r="C3920" s="3" t="s">
        <v>4236</v>
      </c>
      <c r="D3920" s="3" t="s">
        <v>4180</v>
      </c>
    </row>
    <row r="3921" spans="1:4" x14ac:dyDescent="0.2">
      <c r="A3921" s="3">
        <v>2075</v>
      </c>
      <c r="B3921" s="3" t="s">
        <v>4238</v>
      </c>
      <c r="C3921" s="3" t="s">
        <v>4236</v>
      </c>
      <c r="D3921" s="3" t="s">
        <v>4180</v>
      </c>
    </row>
    <row r="3922" spans="1:4" x14ac:dyDescent="0.2">
      <c r="A3922" s="3">
        <v>2037</v>
      </c>
      <c r="B3922" s="3" t="s">
        <v>4239</v>
      </c>
      <c r="C3922" s="3" t="s">
        <v>4240</v>
      </c>
      <c r="D3922" s="3" t="s">
        <v>4180</v>
      </c>
    </row>
    <row r="3923" spans="1:4" x14ac:dyDescent="0.2">
      <c r="A3923" s="3">
        <v>2043</v>
      </c>
      <c r="B3923" s="3" t="s">
        <v>4241</v>
      </c>
      <c r="C3923" s="3" t="s">
        <v>4240</v>
      </c>
      <c r="D3923" s="3" t="s">
        <v>4180</v>
      </c>
    </row>
    <row r="3924" spans="1:4" x14ac:dyDescent="0.2">
      <c r="A3924" s="3">
        <v>2046</v>
      </c>
      <c r="B3924" s="3" t="s">
        <v>4242</v>
      </c>
      <c r="C3924" s="3" t="s">
        <v>4240</v>
      </c>
      <c r="D3924" s="3" t="s">
        <v>4180</v>
      </c>
    </row>
    <row r="3925" spans="1:4" x14ac:dyDescent="0.2">
      <c r="A3925" s="3">
        <v>2052</v>
      </c>
      <c r="B3925" s="3" t="s">
        <v>4243</v>
      </c>
      <c r="C3925" s="3" t="s">
        <v>4240</v>
      </c>
      <c r="D3925" s="3" t="s">
        <v>4180</v>
      </c>
    </row>
    <row r="3926" spans="1:4" x14ac:dyDescent="0.2">
      <c r="A3926" s="3">
        <v>2052</v>
      </c>
      <c r="B3926" s="3" t="s">
        <v>4244</v>
      </c>
      <c r="C3926" s="3" t="s">
        <v>4240</v>
      </c>
      <c r="D3926" s="3" t="s">
        <v>4180</v>
      </c>
    </row>
    <row r="3927" spans="1:4" x14ac:dyDescent="0.2">
      <c r="A3927" s="3">
        <v>2053</v>
      </c>
      <c r="B3927" s="3" t="s">
        <v>4245</v>
      </c>
      <c r="C3927" s="3" t="s">
        <v>4240</v>
      </c>
      <c r="D3927" s="3" t="s">
        <v>4180</v>
      </c>
    </row>
    <row r="3928" spans="1:4" x14ac:dyDescent="0.2">
      <c r="A3928" s="3">
        <v>2054</v>
      </c>
      <c r="B3928" s="3" t="s">
        <v>4246</v>
      </c>
      <c r="C3928" s="3" t="s">
        <v>4240</v>
      </c>
      <c r="D3928" s="3" t="s">
        <v>4180</v>
      </c>
    </row>
    <row r="3929" spans="1:4" x14ac:dyDescent="0.2">
      <c r="A3929" s="3">
        <v>2054</v>
      </c>
      <c r="B3929" s="3" t="s">
        <v>4247</v>
      </c>
      <c r="C3929" s="3" t="s">
        <v>4240</v>
      </c>
      <c r="D3929" s="3" t="s">
        <v>4180</v>
      </c>
    </row>
    <row r="3930" spans="1:4" x14ac:dyDescent="0.2">
      <c r="A3930" s="3">
        <v>2056</v>
      </c>
      <c r="B3930" s="3" t="s">
        <v>4248</v>
      </c>
      <c r="C3930" s="3" t="s">
        <v>4240</v>
      </c>
      <c r="D3930" s="3" t="s">
        <v>4180</v>
      </c>
    </row>
    <row r="3931" spans="1:4" x14ac:dyDescent="0.2">
      <c r="A3931" s="3">
        <v>2057</v>
      </c>
      <c r="B3931" s="3" t="s">
        <v>4249</v>
      </c>
      <c r="C3931" s="3" t="s">
        <v>4240</v>
      </c>
      <c r="D3931" s="3" t="s">
        <v>4180</v>
      </c>
    </row>
    <row r="3932" spans="1:4" x14ac:dyDescent="0.2">
      <c r="A3932" s="3">
        <v>2058</v>
      </c>
      <c r="B3932" s="3" t="s">
        <v>4250</v>
      </c>
      <c r="C3932" s="3" t="s">
        <v>4240</v>
      </c>
      <c r="D3932" s="3" t="s">
        <v>4180</v>
      </c>
    </row>
    <row r="3933" spans="1:4" x14ac:dyDescent="0.2">
      <c r="A3933" s="3">
        <v>2063</v>
      </c>
      <c r="B3933" s="3" t="s">
        <v>4251</v>
      </c>
      <c r="C3933" s="3" t="s">
        <v>4240</v>
      </c>
      <c r="D3933" s="3" t="s">
        <v>4180</v>
      </c>
    </row>
    <row r="3934" spans="1:4" x14ac:dyDescent="0.2">
      <c r="A3934" s="3">
        <v>2063</v>
      </c>
      <c r="B3934" s="3" t="s">
        <v>4252</v>
      </c>
      <c r="C3934" s="3" t="s">
        <v>4240</v>
      </c>
      <c r="D3934" s="3" t="s">
        <v>4180</v>
      </c>
    </row>
    <row r="3935" spans="1:4" x14ac:dyDescent="0.2">
      <c r="A3935" s="3">
        <v>2063</v>
      </c>
      <c r="B3935" s="3" t="s">
        <v>4253</v>
      </c>
      <c r="C3935" s="3" t="s">
        <v>4240</v>
      </c>
      <c r="D3935" s="3" t="s">
        <v>4180</v>
      </c>
    </row>
    <row r="3936" spans="1:4" x14ac:dyDescent="0.2">
      <c r="A3936" s="3">
        <v>2063</v>
      </c>
      <c r="B3936" s="3" t="s">
        <v>4254</v>
      </c>
      <c r="C3936" s="3" t="s">
        <v>4240</v>
      </c>
      <c r="D3936" s="3" t="s">
        <v>4180</v>
      </c>
    </row>
    <row r="3937" spans="1:4" x14ac:dyDescent="0.2">
      <c r="A3937" s="3">
        <v>2065</v>
      </c>
      <c r="B3937" s="3" t="s">
        <v>4255</v>
      </c>
      <c r="C3937" s="3" t="s">
        <v>4240</v>
      </c>
      <c r="D3937" s="3" t="s">
        <v>4180</v>
      </c>
    </row>
    <row r="3938" spans="1:4" x14ac:dyDescent="0.2">
      <c r="A3938" s="3">
        <v>2206</v>
      </c>
      <c r="B3938" s="3" t="s">
        <v>4256</v>
      </c>
      <c r="C3938" s="3" t="s">
        <v>4240</v>
      </c>
      <c r="D3938" s="3" t="s">
        <v>4180</v>
      </c>
    </row>
    <row r="3939" spans="1:4" x14ac:dyDescent="0.2">
      <c r="A3939" s="3">
        <v>2207</v>
      </c>
      <c r="B3939" s="3" t="s">
        <v>4257</v>
      </c>
      <c r="C3939" s="3" t="s">
        <v>4240</v>
      </c>
      <c r="D3939" s="3" t="s">
        <v>4180</v>
      </c>
    </row>
    <row r="3940" spans="1:4" x14ac:dyDescent="0.2">
      <c r="A3940" s="3">
        <v>2208</v>
      </c>
      <c r="B3940" s="3" t="s">
        <v>4258</v>
      </c>
      <c r="C3940" s="3" t="s">
        <v>4240</v>
      </c>
      <c r="D3940" s="3" t="s">
        <v>4180</v>
      </c>
    </row>
    <row r="3941" spans="1:4" x14ac:dyDescent="0.2">
      <c r="A3941" s="3">
        <v>2117</v>
      </c>
      <c r="B3941" s="3" t="s">
        <v>4259</v>
      </c>
      <c r="C3941" s="3" t="s">
        <v>4259</v>
      </c>
      <c r="D3941" s="3" t="s">
        <v>4180</v>
      </c>
    </row>
    <row r="3942" spans="1:4" x14ac:dyDescent="0.2">
      <c r="A3942" s="3">
        <v>2126</v>
      </c>
      <c r="B3942" s="3" t="s">
        <v>4260</v>
      </c>
      <c r="C3942" s="3" t="s">
        <v>4260</v>
      </c>
      <c r="D3942" s="3" t="s">
        <v>4180</v>
      </c>
    </row>
    <row r="3943" spans="1:4" x14ac:dyDescent="0.2">
      <c r="A3943" s="3">
        <v>2103</v>
      </c>
      <c r="B3943" s="3" t="s">
        <v>4261</v>
      </c>
      <c r="C3943" s="3" t="s">
        <v>4262</v>
      </c>
      <c r="D3943" s="3" t="s">
        <v>4180</v>
      </c>
    </row>
    <row r="3944" spans="1:4" x14ac:dyDescent="0.2">
      <c r="A3944" s="3">
        <v>2105</v>
      </c>
      <c r="B3944" s="3" t="s">
        <v>4263</v>
      </c>
      <c r="C3944" s="3" t="s">
        <v>4262</v>
      </c>
      <c r="D3944" s="3" t="s">
        <v>4180</v>
      </c>
    </row>
    <row r="3945" spans="1:4" x14ac:dyDescent="0.2">
      <c r="A3945" s="3">
        <v>2108</v>
      </c>
      <c r="B3945" s="3" t="s">
        <v>4264</v>
      </c>
      <c r="C3945" s="3" t="s">
        <v>4262</v>
      </c>
      <c r="D3945" s="3" t="s">
        <v>4180</v>
      </c>
    </row>
    <row r="3946" spans="1:4" x14ac:dyDescent="0.2">
      <c r="A3946" s="3">
        <v>2112</v>
      </c>
      <c r="B3946" s="3" t="s">
        <v>4265</v>
      </c>
      <c r="C3946" s="3" t="s">
        <v>4262</v>
      </c>
      <c r="D3946" s="3" t="s">
        <v>4180</v>
      </c>
    </row>
    <row r="3947" spans="1:4" x14ac:dyDescent="0.2">
      <c r="A3947" s="3">
        <v>2113</v>
      </c>
      <c r="B3947" s="3" t="s">
        <v>4266</v>
      </c>
      <c r="C3947" s="3" t="s">
        <v>4262</v>
      </c>
      <c r="D3947" s="3" t="s">
        <v>4180</v>
      </c>
    </row>
    <row r="3948" spans="1:4" x14ac:dyDescent="0.2">
      <c r="A3948" s="3">
        <v>2114</v>
      </c>
      <c r="B3948" s="3" t="s">
        <v>4267</v>
      </c>
      <c r="C3948" s="3" t="s">
        <v>4262</v>
      </c>
      <c r="D3948" s="3" t="s">
        <v>4180</v>
      </c>
    </row>
    <row r="3949" spans="1:4" x14ac:dyDescent="0.2">
      <c r="A3949" s="3">
        <v>2115</v>
      </c>
      <c r="B3949" s="3" t="s">
        <v>4268</v>
      </c>
      <c r="C3949" s="3" t="s">
        <v>4262</v>
      </c>
      <c r="D3949" s="3" t="s">
        <v>4180</v>
      </c>
    </row>
    <row r="3950" spans="1:4" x14ac:dyDescent="0.2">
      <c r="A3950" s="3">
        <v>2116</v>
      </c>
      <c r="B3950" s="3" t="s">
        <v>4269</v>
      </c>
      <c r="C3950" s="3" t="s">
        <v>4262</v>
      </c>
      <c r="D3950" s="3" t="s">
        <v>4180</v>
      </c>
    </row>
    <row r="3951" spans="1:4" x14ac:dyDescent="0.2">
      <c r="A3951" s="3">
        <v>2123</v>
      </c>
      <c r="B3951" s="3" t="s">
        <v>4270</v>
      </c>
      <c r="C3951" s="3" t="s">
        <v>4262</v>
      </c>
      <c r="D3951" s="3" t="s">
        <v>4180</v>
      </c>
    </row>
    <row r="3952" spans="1:4" x14ac:dyDescent="0.2">
      <c r="A3952" s="3">
        <v>2124</v>
      </c>
      <c r="B3952" s="3" t="s">
        <v>4271</v>
      </c>
      <c r="C3952" s="3" t="s">
        <v>4262</v>
      </c>
      <c r="D3952" s="3" t="s">
        <v>4180</v>
      </c>
    </row>
    <row r="3953" spans="1:4" x14ac:dyDescent="0.2">
      <c r="A3953" s="3">
        <v>2127</v>
      </c>
      <c r="B3953" s="3" t="s">
        <v>4272</v>
      </c>
      <c r="C3953" s="3" t="s">
        <v>4262</v>
      </c>
      <c r="D3953" s="3" t="s">
        <v>4180</v>
      </c>
    </row>
    <row r="3954" spans="1:4" x14ac:dyDescent="0.2">
      <c r="A3954" s="3">
        <v>1288</v>
      </c>
      <c r="B3954" s="3" t="s">
        <v>4273</v>
      </c>
      <c r="C3954" s="3" t="s">
        <v>4273</v>
      </c>
      <c r="D3954" s="3" t="s">
        <v>4274</v>
      </c>
    </row>
    <row r="3955" spans="1:4" x14ac:dyDescent="0.2">
      <c r="A3955" s="3">
        <v>1247</v>
      </c>
      <c r="B3955" s="3" t="s">
        <v>4275</v>
      </c>
      <c r="C3955" s="3" t="s">
        <v>4275</v>
      </c>
      <c r="D3955" s="3" t="s">
        <v>4274</v>
      </c>
    </row>
    <row r="3956" spans="1:4" x14ac:dyDescent="0.2">
      <c r="A3956" s="3">
        <v>1237</v>
      </c>
      <c r="B3956" s="3" t="s">
        <v>4276</v>
      </c>
      <c r="C3956" s="3" t="s">
        <v>4276</v>
      </c>
      <c r="D3956" s="3" t="s">
        <v>4274</v>
      </c>
    </row>
    <row r="3957" spans="1:4" x14ac:dyDescent="0.2">
      <c r="A3957" s="3">
        <v>1285</v>
      </c>
      <c r="B3957" s="3" t="s">
        <v>4277</v>
      </c>
      <c r="C3957" s="3" t="s">
        <v>4278</v>
      </c>
      <c r="D3957" s="3" t="s">
        <v>4274</v>
      </c>
    </row>
    <row r="3958" spans="1:4" x14ac:dyDescent="0.2">
      <c r="A3958" s="3">
        <v>1257</v>
      </c>
      <c r="B3958" s="3" t="s">
        <v>4279</v>
      </c>
      <c r="C3958" s="3" t="s">
        <v>4280</v>
      </c>
      <c r="D3958" s="3" t="s">
        <v>4274</v>
      </c>
    </row>
    <row r="3959" spans="1:4" x14ac:dyDescent="0.2">
      <c r="A3959" s="3">
        <v>1293</v>
      </c>
      <c r="B3959" s="3" t="s">
        <v>4281</v>
      </c>
      <c r="C3959" s="3" t="s">
        <v>4281</v>
      </c>
      <c r="D3959" s="3" t="s">
        <v>4274</v>
      </c>
    </row>
    <row r="3960" spans="1:4" x14ac:dyDescent="0.2">
      <c r="A3960" s="3">
        <v>1233</v>
      </c>
      <c r="B3960" s="3" t="s">
        <v>4282</v>
      </c>
      <c r="C3960" s="3" t="s">
        <v>4282</v>
      </c>
      <c r="D3960" s="3" t="s">
        <v>4274</v>
      </c>
    </row>
    <row r="3961" spans="1:4" x14ac:dyDescent="0.2">
      <c r="A3961" s="3">
        <v>1227</v>
      </c>
      <c r="B3961" s="3" t="s">
        <v>4283</v>
      </c>
      <c r="C3961" s="3" t="s">
        <v>4284</v>
      </c>
      <c r="D3961" s="3" t="s">
        <v>4274</v>
      </c>
    </row>
    <row r="3962" spans="1:4" x14ac:dyDescent="0.2">
      <c r="A3962" s="3">
        <v>1236</v>
      </c>
      <c r="B3962" s="3" t="s">
        <v>4285</v>
      </c>
      <c r="C3962" s="3" t="s">
        <v>4285</v>
      </c>
      <c r="D3962" s="3" t="s">
        <v>4274</v>
      </c>
    </row>
    <row r="3963" spans="1:4" x14ac:dyDescent="0.2">
      <c r="A3963" s="3">
        <v>1298</v>
      </c>
      <c r="B3963" s="3" t="s">
        <v>4286</v>
      </c>
      <c r="C3963" s="3" t="s">
        <v>4286</v>
      </c>
      <c r="D3963" s="3" t="s">
        <v>4274</v>
      </c>
    </row>
    <row r="3964" spans="1:4" x14ac:dyDescent="0.2">
      <c r="A3964" s="3">
        <v>1298</v>
      </c>
      <c r="B3964" s="3" t="s">
        <v>4286</v>
      </c>
      <c r="C3964" s="3" t="s">
        <v>4286</v>
      </c>
      <c r="D3964" s="3" t="s">
        <v>4274</v>
      </c>
    </row>
    <row r="3965" spans="1:4" x14ac:dyDescent="0.2">
      <c r="A3965" s="3">
        <v>1284</v>
      </c>
      <c r="B3965" s="3" t="s">
        <v>4287</v>
      </c>
      <c r="C3965" s="3" t="s">
        <v>4287</v>
      </c>
      <c r="D3965" s="3" t="s">
        <v>4274</v>
      </c>
    </row>
    <row r="3966" spans="1:4" x14ac:dyDescent="0.2">
      <c r="A3966" s="3">
        <v>1224</v>
      </c>
      <c r="B3966" s="3" t="s">
        <v>4288</v>
      </c>
      <c r="C3966" s="3" t="s">
        <v>4288</v>
      </c>
      <c r="D3966" s="3" t="s">
        <v>4274</v>
      </c>
    </row>
    <row r="3967" spans="1:4" x14ac:dyDescent="0.2">
      <c r="A3967" s="3">
        <v>1231</v>
      </c>
      <c r="B3967" s="3" t="s">
        <v>4289</v>
      </c>
      <c r="C3967" s="3" t="s">
        <v>4288</v>
      </c>
      <c r="D3967" s="3" t="s">
        <v>4274</v>
      </c>
    </row>
    <row r="3968" spans="1:4" x14ac:dyDescent="0.2">
      <c r="A3968" s="3">
        <v>1225</v>
      </c>
      <c r="B3968" s="3" t="s">
        <v>4290</v>
      </c>
      <c r="C3968" s="3" t="s">
        <v>4290</v>
      </c>
      <c r="D3968" s="3" t="s">
        <v>4274</v>
      </c>
    </row>
    <row r="3969" spans="1:4" x14ac:dyDescent="0.2">
      <c r="A3969" s="3">
        <v>1244</v>
      </c>
      <c r="B3969" s="3" t="s">
        <v>4291</v>
      </c>
      <c r="C3969" s="3" t="s">
        <v>4291</v>
      </c>
      <c r="D3969" s="3" t="s">
        <v>4274</v>
      </c>
    </row>
    <row r="3970" spans="1:4" x14ac:dyDescent="0.2">
      <c r="A3970" s="3">
        <v>1239</v>
      </c>
      <c r="B3970" s="3" t="s">
        <v>4292</v>
      </c>
      <c r="C3970" s="3" t="s">
        <v>4293</v>
      </c>
      <c r="D3970" s="3" t="s">
        <v>4274</v>
      </c>
    </row>
    <row r="3971" spans="1:4" x14ac:dyDescent="0.2">
      <c r="A3971" s="3">
        <v>1222</v>
      </c>
      <c r="B3971" s="3" t="s">
        <v>4294</v>
      </c>
      <c r="C3971" s="3" t="s">
        <v>4295</v>
      </c>
      <c r="D3971" s="3" t="s">
        <v>4274</v>
      </c>
    </row>
    <row r="3972" spans="1:4" x14ac:dyDescent="0.2">
      <c r="A3972" s="3">
        <v>1245</v>
      </c>
      <c r="B3972" s="3" t="s">
        <v>4295</v>
      </c>
      <c r="C3972" s="3" t="s">
        <v>4295</v>
      </c>
      <c r="D3972" s="3" t="s">
        <v>4274</v>
      </c>
    </row>
    <row r="3973" spans="1:4" x14ac:dyDescent="0.2">
      <c r="A3973" s="3">
        <v>1223</v>
      </c>
      <c r="B3973" s="3" t="s">
        <v>4296</v>
      </c>
      <c r="C3973" s="3" t="s">
        <v>4296</v>
      </c>
      <c r="D3973" s="3" t="s">
        <v>4274</v>
      </c>
    </row>
    <row r="3974" spans="1:4" x14ac:dyDescent="0.2">
      <c r="A3974" s="3">
        <v>1232</v>
      </c>
      <c r="B3974" s="3" t="s">
        <v>4297</v>
      </c>
      <c r="C3974" s="3" t="s">
        <v>4297</v>
      </c>
      <c r="D3974" s="3" t="s">
        <v>4274</v>
      </c>
    </row>
    <row r="3975" spans="1:4" x14ac:dyDescent="0.2">
      <c r="A3975" s="3">
        <v>1246</v>
      </c>
      <c r="B3975" s="3" t="s">
        <v>4298</v>
      </c>
      <c r="C3975" s="3" t="s">
        <v>4299</v>
      </c>
      <c r="D3975" s="3" t="s">
        <v>4274</v>
      </c>
    </row>
    <row r="3976" spans="1:4" x14ac:dyDescent="0.2">
      <c r="A3976" s="3">
        <v>1283</v>
      </c>
      <c r="B3976" s="3" t="s">
        <v>4300</v>
      </c>
      <c r="C3976" s="3" t="s">
        <v>4301</v>
      </c>
      <c r="D3976" s="3" t="s">
        <v>4274</v>
      </c>
    </row>
    <row r="3977" spans="1:4" x14ac:dyDescent="0.2">
      <c r="A3977" s="3">
        <v>1283</v>
      </c>
      <c r="B3977" s="3" t="s">
        <v>4301</v>
      </c>
      <c r="C3977" s="3" t="s">
        <v>4301</v>
      </c>
      <c r="D3977" s="3" t="s">
        <v>4274</v>
      </c>
    </row>
    <row r="3978" spans="1:4" x14ac:dyDescent="0.2">
      <c r="A3978" s="3">
        <v>1201</v>
      </c>
      <c r="B3978" s="3" t="s">
        <v>4302</v>
      </c>
      <c r="C3978" s="3" t="s">
        <v>4302</v>
      </c>
      <c r="D3978" s="3" t="s">
        <v>4274</v>
      </c>
    </row>
    <row r="3979" spans="1:4" x14ac:dyDescent="0.2">
      <c r="A3979" s="3">
        <v>1202</v>
      </c>
      <c r="B3979" s="3" t="s">
        <v>4302</v>
      </c>
      <c r="C3979" s="3" t="s">
        <v>4302</v>
      </c>
      <c r="D3979" s="3" t="s">
        <v>4274</v>
      </c>
    </row>
    <row r="3980" spans="1:4" x14ac:dyDescent="0.2">
      <c r="A3980" s="3">
        <v>1203</v>
      </c>
      <c r="B3980" s="3" t="s">
        <v>4302</v>
      </c>
      <c r="C3980" s="3" t="s">
        <v>4302</v>
      </c>
      <c r="D3980" s="3" t="s">
        <v>4274</v>
      </c>
    </row>
    <row r="3981" spans="1:4" x14ac:dyDescent="0.2">
      <c r="A3981" s="3">
        <v>1204</v>
      </c>
      <c r="B3981" s="3" t="s">
        <v>4302</v>
      </c>
      <c r="C3981" s="3" t="s">
        <v>4302</v>
      </c>
      <c r="D3981" s="3" t="s">
        <v>4274</v>
      </c>
    </row>
    <row r="3982" spans="1:4" x14ac:dyDescent="0.2">
      <c r="A3982" s="3">
        <v>1205</v>
      </c>
      <c r="B3982" s="3" t="s">
        <v>4302</v>
      </c>
      <c r="C3982" s="3" t="s">
        <v>4302</v>
      </c>
      <c r="D3982" s="3" t="s">
        <v>4274</v>
      </c>
    </row>
    <row r="3983" spans="1:4" x14ac:dyDescent="0.2">
      <c r="A3983" s="3">
        <v>1206</v>
      </c>
      <c r="B3983" s="3" t="s">
        <v>4302</v>
      </c>
      <c r="C3983" s="3" t="s">
        <v>4302</v>
      </c>
      <c r="D3983" s="3" t="s">
        <v>4274</v>
      </c>
    </row>
    <row r="3984" spans="1:4" x14ac:dyDescent="0.2">
      <c r="A3984" s="3">
        <v>1207</v>
      </c>
      <c r="B3984" s="3" t="s">
        <v>4302</v>
      </c>
      <c r="C3984" s="3" t="s">
        <v>4302</v>
      </c>
      <c r="D3984" s="3" t="s">
        <v>4274</v>
      </c>
    </row>
    <row r="3985" spans="1:4" x14ac:dyDescent="0.2">
      <c r="A3985" s="3">
        <v>1208</v>
      </c>
      <c r="B3985" s="3" t="s">
        <v>4302</v>
      </c>
      <c r="C3985" s="3" t="s">
        <v>4302</v>
      </c>
      <c r="D3985" s="3" t="s">
        <v>4274</v>
      </c>
    </row>
    <row r="3986" spans="1:4" x14ac:dyDescent="0.2">
      <c r="A3986" s="3">
        <v>1209</v>
      </c>
      <c r="B3986" s="3" t="s">
        <v>4302</v>
      </c>
      <c r="C3986" s="3" t="s">
        <v>4302</v>
      </c>
      <c r="D3986" s="3" t="s">
        <v>4274</v>
      </c>
    </row>
    <row r="3987" spans="1:4" x14ac:dyDescent="0.2">
      <c r="A3987" s="3">
        <v>1227</v>
      </c>
      <c r="B3987" s="3" t="s">
        <v>4303</v>
      </c>
      <c r="C3987" s="3" t="s">
        <v>4302</v>
      </c>
      <c r="D3987" s="3" t="s">
        <v>4274</v>
      </c>
    </row>
    <row r="3988" spans="1:4" x14ac:dyDescent="0.2">
      <c r="A3988" s="3">
        <v>1294</v>
      </c>
      <c r="B3988" s="3" t="s">
        <v>4304</v>
      </c>
      <c r="C3988" s="3" t="s">
        <v>4304</v>
      </c>
      <c r="D3988" s="3" t="s">
        <v>4274</v>
      </c>
    </row>
    <row r="3989" spans="1:4" x14ac:dyDescent="0.2">
      <c r="A3989" s="3">
        <v>1215</v>
      </c>
      <c r="B3989" s="3" t="s">
        <v>4302</v>
      </c>
      <c r="C3989" s="3" t="s">
        <v>4305</v>
      </c>
      <c r="D3989" s="3" t="s">
        <v>4274</v>
      </c>
    </row>
    <row r="3990" spans="1:4" x14ac:dyDescent="0.2">
      <c r="A3990" s="3">
        <v>1218</v>
      </c>
      <c r="B3990" s="3" t="s">
        <v>4305</v>
      </c>
      <c r="C3990" s="3" t="s">
        <v>4305</v>
      </c>
      <c r="D3990" s="3" t="s">
        <v>4274</v>
      </c>
    </row>
    <row r="3991" spans="1:4" x14ac:dyDescent="0.2">
      <c r="A3991" s="3">
        <v>1251</v>
      </c>
      <c r="B3991" s="3" t="s">
        <v>4306</v>
      </c>
      <c r="C3991" s="3" t="s">
        <v>4306</v>
      </c>
      <c r="D3991" s="3" t="s">
        <v>4274</v>
      </c>
    </row>
    <row r="3992" spans="1:4" x14ac:dyDescent="0.2">
      <c r="A3992" s="3">
        <v>1248</v>
      </c>
      <c r="B3992" s="3" t="s">
        <v>4307</v>
      </c>
      <c r="C3992" s="3" t="s">
        <v>4307</v>
      </c>
      <c r="D3992" s="3" t="s">
        <v>4274</v>
      </c>
    </row>
    <row r="3993" spans="1:4" x14ac:dyDescent="0.2">
      <c r="A3993" s="3">
        <v>1254</v>
      </c>
      <c r="B3993" s="3" t="s">
        <v>4308</v>
      </c>
      <c r="C3993" s="3" t="s">
        <v>4308</v>
      </c>
      <c r="D3993" s="3" t="s">
        <v>4274</v>
      </c>
    </row>
    <row r="3994" spans="1:4" x14ac:dyDescent="0.2">
      <c r="A3994" s="3">
        <v>1287</v>
      </c>
      <c r="B3994" s="3" t="s">
        <v>4309</v>
      </c>
      <c r="C3994" s="3" t="s">
        <v>4309</v>
      </c>
      <c r="D3994" s="3" t="s">
        <v>4274</v>
      </c>
    </row>
    <row r="3995" spans="1:4" x14ac:dyDescent="0.2">
      <c r="A3995" s="3">
        <v>1212</v>
      </c>
      <c r="B3995" s="3" t="s">
        <v>4310</v>
      </c>
      <c r="C3995" s="3" t="s">
        <v>4311</v>
      </c>
      <c r="D3995" s="3" t="s">
        <v>4274</v>
      </c>
    </row>
    <row r="3996" spans="1:4" x14ac:dyDescent="0.2">
      <c r="A3996" s="3">
        <v>1213</v>
      </c>
      <c r="B3996" s="3" t="s">
        <v>4312</v>
      </c>
      <c r="C3996" s="3" t="s">
        <v>4311</v>
      </c>
      <c r="D3996" s="3" t="s">
        <v>4274</v>
      </c>
    </row>
    <row r="3997" spans="1:4" x14ac:dyDescent="0.2">
      <c r="A3997" s="3">
        <v>1252</v>
      </c>
      <c r="B3997" s="3" t="s">
        <v>4313</v>
      </c>
      <c r="C3997" s="3" t="s">
        <v>4313</v>
      </c>
      <c r="D3997" s="3" t="s">
        <v>4274</v>
      </c>
    </row>
    <row r="3998" spans="1:4" x14ac:dyDescent="0.2">
      <c r="A3998" s="3">
        <v>1216</v>
      </c>
      <c r="B3998" s="3" t="s">
        <v>4314</v>
      </c>
      <c r="C3998" s="3" t="s">
        <v>4315</v>
      </c>
      <c r="D3998" s="3" t="s">
        <v>4274</v>
      </c>
    </row>
    <row r="3999" spans="1:4" x14ac:dyDescent="0.2">
      <c r="A3999" s="3">
        <v>1217</v>
      </c>
      <c r="B3999" s="3" t="s">
        <v>4315</v>
      </c>
      <c r="C3999" s="3" t="s">
        <v>4315</v>
      </c>
      <c r="D3999" s="3" t="s">
        <v>4274</v>
      </c>
    </row>
    <row r="4000" spans="1:4" x14ac:dyDescent="0.2">
      <c r="A4000" s="3">
        <v>1213</v>
      </c>
      <c r="B4000" s="3" t="s">
        <v>4316</v>
      </c>
      <c r="C4000" s="3" t="s">
        <v>4316</v>
      </c>
      <c r="D4000" s="3" t="s">
        <v>4274</v>
      </c>
    </row>
    <row r="4001" spans="1:4" x14ac:dyDescent="0.2">
      <c r="A4001" s="3">
        <v>1258</v>
      </c>
      <c r="B4001" s="3" t="s">
        <v>4317</v>
      </c>
      <c r="C4001" s="3" t="s">
        <v>4318</v>
      </c>
      <c r="D4001" s="3" t="s">
        <v>4274</v>
      </c>
    </row>
    <row r="4002" spans="1:4" x14ac:dyDescent="0.2">
      <c r="A4002" s="3">
        <v>1228</v>
      </c>
      <c r="B4002" s="3" t="s">
        <v>4319</v>
      </c>
      <c r="C4002" s="3" t="s">
        <v>4319</v>
      </c>
      <c r="D4002" s="3" t="s">
        <v>4274</v>
      </c>
    </row>
    <row r="4003" spans="1:4" x14ac:dyDescent="0.2">
      <c r="A4003" s="3">
        <v>1292</v>
      </c>
      <c r="B4003" s="3" t="s">
        <v>4320</v>
      </c>
      <c r="C4003" s="3" t="s">
        <v>4321</v>
      </c>
      <c r="D4003" s="3" t="s">
        <v>4274</v>
      </c>
    </row>
    <row r="4004" spans="1:4" x14ac:dyDescent="0.2">
      <c r="A4004" s="3">
        <v>1243</v>
      </c>
      <c r="B4004" s="3" t="s">
        <v>4322</v>
      </c>
      <c r="C4004" s="3" t="s">
        <v>4322</v>
      </c>
      <c r="D4004" s="3" t="s">
        <v>4274</v>
      </c>
    </row>
    <row r="4005" spans="1:4" x14ac:dyDescent="0.2">
      <c r="A4005" s="3">
        <v>1241</v>
      </c>
      <c r="B4005" s="3" t="s">
        <v>4323</v>
      </c>
      <c r="C4005" s="3" t="s">
        <v>4323</v>
      </c>
      <c r="D4005" s="3" t="s">
        <v>4274</v>
      </c>
    </row>
    <row r="4006" spans="1:4" x14ac:dyDescent="0.2">
      <c r="A4006" s="3">
        <v>1281</v>
      </c>
      <c r="B4006" s="3" t="s">
        <v>4324</v>
      </c>
      <c r="C4006" s="3" t="s">
        <v>4324</v>
      </c>
      <c r="D4006" s="3" t="s">
        <v>4274</v>
      </c>
    </row>
    <row r="4007" spans="1:4" x14ac:dyDescent="0.2">
      <c r="A4007" s="3">
        <v>1242</v>
      </c>
      <c r="B4007" s="3" t="s">
        <v>4325</v>
      </c>
      <c r="C4007" s="3" t="s">
        <v>4325</v>
      </c>
      <c r="D4007" s="3" t="s">
        <v>4274</v>
      </c>
    </row>
    <row r="4008" spans="1:4" x14ac:dyDescent="0.2">
      <c r="A4008" s="3">
        <v>1286</v>
      </c>
      <c r="B4008" s="3" t="s">
        <v>4326</v>
      </c>
      <c r="C4008" s="3" t="s">
        <v>4326</v>
      </c>
      <c r="D4008" s="3" t="s">
        <v>4274</v>
      </c>
    </row>
    <row r="4009" spans="1:4" x14ac:dyDescent="0.2">
      <c r="A4009" s="3">
        <v>1226</v>
      </c>
      <c r="B4009" s="3" t="s">
        <v>4327</v>
      </c>
      <c r="C4009" s="3" t="s">
        <v>4327</v>
      </c>
      <c r="D4009" s="3" t="s">
        <v>4274</v>
      </c>
    </row>
    <row r="4010" spans="1:4" x14ac:dyDescent="0.2">
      <c r="A4010" s="3">
        <v>1256</v>
      </c>
      <c r="B4010" s="3" t="s">
        <v>4328</v>
      </c>
      <c r="C4010" s="3" t="s">
        <v>4328</v>
      </c>
      <c r="D4010" s="3" t="s">
        <v>4274</v>
      </c>
    </row>
    <row r="4011" spans="1:4" x14ac:dyDescent="0.2">
      <c r="A4011" s="3">
        <v>1253</v>
      </c>
      <c r="B4011" s="3" t="s">
        <v>4329</v>
      </c>
      <c r="C4011" s="3" t="s">
        <v>4329</v>
      </c>
      <c r="D4011" s="3" t="s">
        <v>4274</v>
      </c>
    </row>
    <row r="4012" spans="1:4" x14ac:dyDescent="0.2">
      <c r="A4012" s="3">
        <v>1214</v>
      </c>
      <c r="B4012" s="3" t="s">
        <v>4330</v>
      </c>
      <c r="C4012" s="3" t="s">
        <v>4330</v>
      </c>
      <c r="D4012" s="3" t="s">
        <v>4274</v>
      </c>
    </row>
    <row r="4013" spans="1:4" x14ac:dyDescent="0.2">
      <c r="A4013" s="3">
        <v>1219</v>
      </c>
      <c r="B4013" s="3" t="s">
        <v>4331</v>
      </c>
      <c r="C4013" s="3" t="s">
        <v>4330</v>
      </c>
      <c r="D4013" s="3" t="s">
        <v>4274</v>
      </c>
    </row>
    <row r="4014" spans="1:4" x14ac:dyDescent="0.2">
      <c r="A4014" s="3">
        <v>1219</v>
      </c>
      <c r="B4014" s="3" t="s">
        <v>4332</v>
      </c>
      <c r="C4014" s="3" t="s">
        <v>4330</v>
      </c>
      <c r="D4014" s="3" t="s">
        <v>4274</v>
      </c>
    </row>
    <row r="4015" spans="1:4" x14ac:dyDescent="0.2">
      <c r="A4015" s="3">
        <v>1219</v>
      </c>
      <c r="B4015" s="3" t="s">
        <v>4333</v>
      </c>
      <c r="C4015" s="3" t="s">
        <v>4330</v>
      </c>
      <c r="D4015" s="3" t="s">
        <v>4274</v>
      </c>
    </row>
    <row r="4016" spans="1:4" x14ac:dyDescent="0.2">
      <c r="A4016" s="3">
        <v>1220</v>
      </c>
      <c r="B4016" s="3" t="s">
        <v>4334</v>
      </c>
      <c r="C4016" s="3" t="s">
        <v>4330</v>
      </c>
      <c r="D4016" s="3" t="s">
        <v>4274</v>
      </c>
    </row>
    <row r="4017" spans="1:4" x14ac:dyDescent="0.2">
      <c r="A4017" s="3">
        <v>1290</v>
      </c>
      <c r="B4017" s="3" t="s">
        <v>4335</v>
      </c>
      <c r="C4017" s="3" t="s">
        <v>4335</v>
      </c>
      <c r="D4017" s="3" t="s">
        <v>4274</v>
      </c>
    </row>
    <row r="4018" spans="1:4" x14ac:dyDescent="0.2">
      <c r="A4018" s="3">
        <v>1234</v>
      </c>
      <c r="B4018" s="3" t="s">
        <v>4336</v>
      </c>
      <c r="C4018" s="3" t="s">
        <v>4337</v>
      </c>
      <c r="D4018" s="3" t="s">
        <v>4274</v>
      </c>
    </row>
    <row r="4019" spans="1:4" x14ac:dyDescent="0.2">
      <c r="A4019" s="3">
        <v>1255</v>
      </c>
      <c r="B4019" s="3" t="s">
        <v>4337</v>
      </c>
      <c r="C4019" s="3" t="s">
        <v>4337</v>
      </c>
      <c r="D4019" s="3" t="s">
        <v>4274</v>
      </c>
    </row>
    <row r="4020" spans="1:4" x14ac:dyDescent="0.2">
      <c r="A4020" s="3">
        <v>2856</v>
      </c>
      <c r="B4020" s="3" t="s">
        <v>4338</v>
      </c>
      <c r="C4020" s="3" t="s">
        <v>4338</v>
      </c>
      <c r="D4020" s="3" t="s">
        <v>4339</v>
      </c>
    </row>
    <row r="4021" spans="1:4" x14ac:dyDescent="0.2">
      <c r="A4021" s="3">
        <v>2857</v>
      </c>
      <c r="B4021" s="3" t="s">
        <v>4340</v>
      </c>
      <c r="C4021" s="3" t="s">
        <v>4338</v>
      </c>
      <c r="D4021" s="3" t="s">
        <v>4339</v>
      </c>
    </row>
    <row r="4022" spans="1:4" x14ac:dyDescent="0.2">
      <c r="A4022" s="3">
        <v>2803</v>
      </c>
      <c r="B4022" s="3" t="s">
        <v>4341</v>
      </c>
      <c r="C4022" s="3" t="s">
        <v>4341</v>
      </c>
      <c r="D4022" s="3" t="s">
        <v>4339</v>
      </c>
    </row>
    <row r="4023" spans="1:4" x14ac:dyDescent="0.2">
      <c r="A4023" s="3">
        <v>2843</v>
      </c>
      <c r="B4023" s="3" t="s">
        <v>4342</v>
      </c>
      <c r="C4023" s="3" t="s">
        <v>4343</v>
      </c>
      <c r="D4023" s="3" t="s">
        <v>4339</v>
      </c>
    </row>
    <row r="4024" spans="1:4" x14ac:dyDescent="0.2">
      <c r="A4024" s="3">
        <v>2825</v>
      </c>
      <c r="B4024" s="3" t="s">
        <v>4344</v>
      </c>
      <c r="C4024" s="3" t="s">
        <v>4344</v>
      </c>
      <c r="D4024" s="3" t="s">
        <v>4339</v>
      </c>
    </row>
    <row r="4025" spans="1:4" x14ac:dyDescent="0.2">
      <c r="A4025" s="3">
        <v>2830</v>
      </c>
      <c r="B4025" s="3" t="s">
        <v>4345</v>
      </c>
      <c r="C4025" s="3" t="s">
        <v>4345</v>
      </c>
      <c r="D4025" s="3" t="s">
        <v>4339</v>
      </c>
    </row>
    <row r="4026" spans="1:4" x14ac:dyDescent="0.2">
      <c r="A4026" s="3">
        <v>2830</v>
      </c>
      <c r="B4026" s="3" t="s">
        <v>4346</v>
      </c>
      <c r="C4026" s="3" t="s">
        <v>4345</v>
      </c>
      <c r="D4026" s="3" t="s">
        <v>4339</v>
      </c>
    </row>
    <row r="4027" spans="1:4" x14ac:dyDescent="0.2">
      <c r="A4027" s="3">
        <v>2832</v>
      </c>
      <c r="B4027" s="3" t="s">
        <v>4347</v>
      </c>
      <c r="C4027" s="3" t="s">
        <v>4345</v>
      </c>
      <c r="D4027" s="3" t="s">
        <v>4339</v>
      </c>
    </row>
    <row r="4028" spans="1:4" x14ac:dyDescent="0.2">
      <c r="A4028" s="3">
        <v>2822</v>
      </c>
      <c r="B4028" s="3" t="s">
        <v>4348</v>
      </c>
      <c r="C4028" s="3" t="s">
        <v>4348</v>
      </c>
      <c r="D4028" s="3" t="s">
        <v>4339</v>
      </c>
    </row>
    <row r="4029" spans="1:4" x14ac:dyDescent="0.2">
      <c r="A4029" s="3">
        <v>2823</v>
      </c>
      <c r="B4029" s="3" t="s">
        <v>4349</v>
      </c>
      <c r="C4029" s="3" t="s">
        <v>4348</v>
      </c>
      <c r="D4029" s="3" t="s">
        <v>4339</v>
      </c>
    </row>
    <row r="4030" spans="1:4" x14ac:dyDescent="0.2">
      <c r="A4030" s="3">
        <v>2852</v>
      </c>
      <c r="B4030" s="3" t="s">
        <v>4350</v>
      </c>
      <c r="C4030" s="3" t="s">
        <v>4350</v>
      </c>
      <c r="D4030" s="3" t="s">
        <v>4339</v>
      </c>
    </row>
    <row r="4031" spans="1:4" x14ac:dyDescent="0.2">
      <c r="A4031" s="3">
        <v>2800</v>
      </c>
      <c r="B4031" s="3" t="s">
        <v>4351</v>
      </c>
      <c r="C4031" s="3" t="s">
        <v>4351</v>
      </c>
      <c r="D4031" s="3" t="s">
        <v>4339</v>
      </c>
    </row>
    <row r="4032" spans="1:4" x14ac:dyDescent="0.2">
      <c r="A4032" s="3">
        <v>2802</v>
      </c>
      <c r="B4032" s="3" t="s">
        <v>4352</v>
      </c>
      <c r="C4032" s="3" t="s">
        <v>4352</v>
      </c>
      <c r="D4032" s="3" t="s">
        <v>4339</v>
      </c>
    </row>
    <row r="4033" spans="1:4" x14ac:dyDescent="0.2">
      <c r="A4033" s="3">
        <v>2813</v>
      </c>
      <c r="B4033" s="3" t="s">
        <v>4353</v>
      </c>
      <c r="C4033" s="3" t="s">
        <v>4353</v>
      </c>
      <c r="D4033" s="3" t="s">
        <v>4339</v>
      </c>
    </row>
    <row r="4034" spans="1:4" x14ac:dyDescent="0.2">
      <c r="A4034" s="3">
        <v>2827</v>
      </c>
      <c r="B4034" s="3" t="s">
        <v>4354</v>
      </c>
      <c r="C4034" s="3" t="s">
        <v>4354</v>
      </c>
      <c r="D4034" s="3" t="s">
        <v>4339</v>
      </c>
    </row>
    <row r="4035" spans="1:4" x14ac:dyDescent="0.2">
      <c r="A4035" s="3">
        <v>2806</v>
      </c>
      <c r="B4035" s="3" t="s">
        <v>4355</v>
      </c>
      <c r="C4035" s="3" t="s">
        <v>4355</v>
      </c>
      <c r="D4035" s="3" t="s">
        <v>4339</v>
      </c>
    </row>
    <row r="4036" spans="1:4" x14ac:dyDescent="0.2">
      <c r="A4036" s="3">
        <v>2812</v>
      </c>
      <c r="B4036" s="3" t="s">
        <v>4356</v>
      </c>
      <c r="C4036" s="3" t="s">
        <v>4356</v>
      </c>
      <c r="D4036" s="3" t="s">
        <v>4339</v>
      </c>
    </row>
    <row r="4037" spans="1:4" x14ac:dyDescent="0.2">
      <c r="A4037" s="3">
        <v>2807</v>
      </c>
      <c r="B4037" s="3" t="s">
        <v>4357</v>
      </c>
      <c r="C4037" s="3" t="s">
        <v>4357</v>
      </c>
      <c r="D4037" s="3" t="s">
        <v>4339</v>
      </c>
    </row>
    <row r="4038" spans="1:4" x14ac:dyDescent="0.2">
      <c r="A4038" s="3">
        <v>2807</v>
      </c>
      <c r="B4038" s="3" t="s">
        <v>4358</v>
      </c>
      <c r="C4038" s="3" t="s">
        <v>4357</v>
      </c>
      <c r="D4038" s="3" t="s">
        <v>4339</v>
      </c>
    </row>
    <row r="4039" spans="1:4" x14ac:dyDescent="0.2">
      <c r="A4039" s="3">
        <v>2842</v>
      </c>
      <c r="B4039" s="3" t="s">
        <v>4359</v>
      </c>
      <c r="C4039" s="3" t="s">
        <v>4359</v>
      </c>
      <c r="D4039" s="3" t="s">
        <v>4339</v>
      </c>
    </row>
    <row r="4040" spans="1:4" x14ac:dyDescent="0.2">
      <c r="A4040" s="3">
        <v>2873</v>
      </c>
      <c r="B4040" s="3" t="s">
        <v>4360</v>
      </c>
      <c r="C4040" s="3" t="s">
        <v>4360</v>
      </c>
      <c r="D4040" s="3" t="s">
        <v>4339</v>
      </c>
    </row>
    <row r="4041" spans="1:4" x14ac:dyDescent="0.2">
      <c r="A4041" s="3">
        <v>2805</v>
      </c>
      <c r="B4041" s="3" t="s">
        <v>4361</v>
      </c>
      <c r="C4041" s="3" t="s">
        <v>4361</v>
      </c>
      <c r="D4041" s="3" t="s">
        <v>4339</v>
      </c>
    </row>
    <row r="4042" spans="1:4" x14ac:dyDescent="0.2">
      <c r="A4042" s="3">
        <v>2853</v>
      </c>
      <c r="B4042" s="3" t="s">
        <v>4362</v>
      </c>
      <c r="C4042" s="3" t="s">
        <v>4363</v>
      </c>
      <c r="D4042" s="3" t="s">
        <v>4339</v>
      </c>
    </row>
    <row r="4043" spans="1:4" x14ac:dyDescent="0.2">
      <c r="A4043" s="3">
        <v>2854</v>
      </c>
      <c r="B4043" s="3" t="s">
        <v>4364</v>
      </c>
      <c r="C4043" s="3" t="s">
        <v>4363</v>
      </c>
      <c r="D4043" s="3" t="s">
        <v>4339</v>
      </c>
    </row>
    <row r="4044" spans="1:4" x14ac:dyDescent="0.2">
      <c r="A4044" s="3">
        <v>2855</v>
      </c>
      <c r="B4044" s="3" t="s">
        <v>4365</v>
      </c>
      <c r="C4044" s="3" t="s">
        <v>4363</v>
      </c>
      <c r="D4044" s="3" t="s">
        <v>4339</v>
      </c>
    </row>
    <row r="4045" spans="1:4" x14ac:dyDescent="0.2">
      <c r="A4045" s="3">
        <v>2863</v>
      </c>
      <c r="B4045" s="3" t="s">
        <v>4366</v>
      </c>
      <c r="C4045" s="3" t="s">
        <v>4363</v>
      </c>
      <c r="D4045" s="3" t="s">
        <v>4339</v>
      </c>
    </row>
    <row r="4046" spans="1:4" x14ac:dyDescent="0.2">
      <c r="A4046" s="3">
        <v>2864</v>
      </c>
      <c r="B4046" s="3" t="s">
        <v>4367</v>
      </c>
      <c r="C4046" s="3" t="s">
        <v>4363</v>
      </c>
      <c r="D4046" s="3" t="s">
        <v>4339</v>
      </c>
    </row>
    <row r="4047" spans="1:4" x14ac:dyDescent="0.2">
      <c r="A4047" s="3">
        <v>2824</v>
      </c>
      <c r="B4047" s="3" t="s">
        <v>4368</v>
      </c>
      <c r="C4047" s="3" t="s">
        <v>4369</v>
      </c>
      <c r="D4047" s="3" t="s">
        <v>4339</v>
      </c>
    </row>
    <row r="4048" spans="1:4" x14ac:dyDescent="0.2">
      <c r="A4048" s="3">
        <v>2826</v>
      </c>
      <c r="B4048" s="3" t="s">
        <v>4370</v>
      </c>
      <c r="C4048" s="3" t="s">
        <v>4369</v>
      </c>
      <c r="D4048" s="3" t="s">
        <v>4339</v>
      </c>
    </row>
    <row r="4049" spans="1:4" x14ac:dyDescent="0.2">
      <c r="A4049" s="3">
        <v>2828</v>
      </c>
      <c r="B4049" s="3" t="s">
        <v>4371</v>
      </c>
      <c r="C4049" s="3" t="s">
        <v>4369</v>
      </c>
      <c r="D4049" s="3" t="s">
        <v>4339</v>
      </c>
    </row>
    <row r="4050" spans="1:4" x14ac:dyDescent="0.2">
      <c r="A4050" s="3">
        <v>2829</v>
      </c>
      <c r="B4050" s="3" t="s">
        <v>4372</v>
      </c>
      <c r="C4050" s="3" t="s">
        <v>4369</v>
      </c>
      <c r="D4050" s="3" t="s">
        <v>4339</v>
      </c>
    </row>
    <row r="4051" spans="1:4" x14ac:dyDescent="0.2">
      <c r="A4051" s="3">
        <v>2360</v>
      </c>
      <c r="B4051" s="3" t="s">
        <v>4373</v>
      </c>
      <c r="C4051" s="3" t="s">
        <v>4374</v>
      </c>
      <c r="D4051" s="3" t="s">
        <v>4339</v>
      </c>
    </row>
    <row r="4052" spans="1:4" x14ac:dyDescent="0.2">
      <c r="A4052" s="3">
        <v>2336</v>
      </c>
      <c r="B4052" s="3" t="s">
        <v>4375</v>
      </c>
      <c r="C4052" s="3" t="s">
        <v>4375</v>
      </c>
      <c r="D4052" s="3" t="s">
        <v>4339</v>
      </c>
    </row>
    <row r="4053" spans="1:4" x14ac:dyDescent="0.2">
      <c r="A4053" s="3">
        <v>2345</v>
      </c>
      <c r="B4053" s="3" t="s">
        <v>4376</v>
      </c>
      <c r="C4053" s="3" t="s">
        <v>4376</v>
      </c>
      <c r="D4053" s="3" t="s">
        <v>4339</v>
      </c>
    </row>
    <row r="4054" spans="1:4" x14ac:dyDescent="0.2">
      <c r="A4054" s="3">
        <v>2345</v>
      </c>
      <c r="B4054" s="3" t="s">
        <v>4377</v>
      </c>
      <c r="C4054" s="3" t="s">
        <v>4377</v>
      </c>
      <c r="D4054" s="3" t="s">
        <v>4339</v>
      </c>
    </row>
    <row r="4055" spans="1:4" x14ac:dyDescent="0.2">
      <c r="A4055" s="3">
        <v>2363</v>
      </c>
      <c r="B4055" s="3" t="s">
        <v>4378</v>
      </c>
      <c r="C4055" s="3" t="s">
        <v>4378</v>
      </c>
      <c r="D4055" s="3" t="s">
        <v>4339</v>
      </c>
    </row>
    <row r="4056" spans="1:4" x14ac:dyDescent="0.2">
      <c r="A4056" s="3">
        <v>2714</v>
      </c>
      <c r="B4056" s="3" t="s">
        <v>4379</v>
      </c>
      <c r="C4056" s="3" t="s">
        <v>4380</v>
      </c>
      <c r="D4056" s="3" t="s">
        <v>4339</v>
      </c>
    </row>
    <row r="4057" spans="1:4" x14ac:dyDescent="0.2">
      <c r="A4057" s="3">
        <v>2714</v>
      </c>
      <c r="B4057" s="3" t="s">
        <v>4381</v>
      </c>
      <c r="C4057" s="3" t="s">
        <v>4380</v>
      </c>
      <c r="D4057" s="3" t="s">
        <v>4339</v>
      </c>
    </row>
    <row r="4058" spans="1:4" x14ac:dyDescent="0.2">
      <c r="A4058" s="3">
        <v>2718</v>
      </c>
      <c r="B4058" s="3" t="s">
        <v>4382</v>
      </c>
      <c r="C4058" s="3" t="s">
        <v>4383</v>
      </c>
      <c r="D4058" s="3" t="s">
        <v>4339</v>
      </c>
    </row>
    <row r="4059" spans="1:4" x14ac:dyDescent="0.2">
      <c r="A4059" s="3">
        <v>2718</v>
      </c>
      <c r="B4059" s="3" t="s">
        <v>4384</v>
      </c>
      <c r="C4059" s="3" t="s">
        <v>4383</v>
      </c>
      <c r="D4059" s="3" t="s">
        <v>4339</v>
      </c>
    </row>
    <row r="4060" spans="1:4" x14ac:dyDescent="0.2">
      <c r="A4060" s="3">
        <v>2362</v>
      </c>
      <c r="B4060" s="3" t="s">
        <v>4385</v>
      </c>
      <c r="C4060" s="3" t="s">
        <v>4385</v>
      </c>
      <c r="D4060" s="3" t="s">
        <v>4339</v>
      </c>
    </row>
    <row r="4061" spans="1:4" x14ac:dyDescent="0.2">
      <c r="A4061" s="3">
        <v>2362</v>
      </c>
      <c r="B4061" s="3" t="s">
        <v>4386</v>
      </c>
      <c r="C4061" s="3" t="s">
        <v>4385</v>
      </c>
      <c r="D4061" s="3" t="s">
        <v>4339</v>
      </c>
    </row>
    <row r="4062" spans="1:4" x14ac:dyDescent="0.2">
      <c r="A4062" s="3">
        <v>2338</v>
      </c>
      <c r="B4062" s="3" t="s">
        <v>4387</v>
      </c>
      <c r="C4062" s="3" t="s">
        <v>4388</v>
      </c>
      <c r="D4062" s="3" t="s">
        <v>4339</v>
      </c>
    </row>
    <row r="4063" spans="1:4" x14ac:dyDescent="0.2">
      <c r="A4063" s="3">
        <v>2338</v>
      </c>
      <c r="B4063" s="3" t="s">
        <v>4388</v>
      </c>
      <c r="C4063" s="3" t="s">
        <v>4388</v>
      </c>
      <c r="D4063" s="3" t="s">
        <v>4339</v>
      </c>
    </row>
    <row r="4064" spans="1:4" x14ac:dyDescent="0.2">
      <c r="A4064" s="3">
        <v>2345</v>
      </c>
      <c r="B4064" s="3" t="s">
        <v>4389</v>
      </c>
      <c r="C4064" s="3" t="s">
        <v>4388</v>
      </c>
      <c r="D4064" s="3" t="s">
        <v>4339</v>
      </c>
    </row>
    <row r="4065" spans="1:4" x14ac:dyDescent="0.2">
      <c r="A4065" s="3">
        <v>2340</v>
      </c>
      <c r="B4065" s="3" t="s">
        <v>4390</v>
      </c>
      <c r="C4065" s="3" t="s">
        <v>4390</v>
      </c>
      <c r="D4065" s="3" t="s">
        <v>4339</v>
      </c>
    </row>
    <row r="4066" spans="1:4" x14ac:dyDescent="0.2">
      <c r="A4066" s="3">
        <v>2350</v>
      </c>
      <c r="B4066" s="3" t="s">
        <v>4391</v>
      </c>
      <c r="C4066" s="3" t="s">
        <v>4391</v>
      </c>
      <c r="D4066" s="3" t="s">
        <v>4339</v>
      </c>
    </row>
    <row r="4067" spans="1:4" x14ac:dyDescent="0.2">
      <c r="A4067" s="3">
        <v>2353</v>
      </c>
      <c r="B4067" s="3" t="s">
        <v>4392</v>
      </c>
      <c r="C4067" s="3" t="s">
        <v>4391</v>
      </c>
      <c r="D4067" s="3" t="s">
        <v>4339</v>
      </c>
    </row>
    <row r="4068" spans="1:4" x14ac:dyDescent="0.2">
      <c r="A4068" s="3">
        <v>2354</v>
      </c>
      <c r="B4068" s="3" t="s">
        <v>4393</v>
      </c>
      <c r="C4068" s="3" t="s">
        <v>4391</v>
      </c>
      <c r="D4068" s="3" t="s">
        <v>4339</v>
      </c>
    </row>
    <row r="4069" spans="1:4" x14ac:dyDescent="0.2">
      <c r="A4069" s="3">
        <v>2364</v>
      </c>
      <c r="B4069" s="3" t="s">
        <v>4394</v>
      </c>
      <c r="C4069" s="3" t="s">
        <v>4395</v>
      </c>
      <c r="D4069" s="3" t="s">
        <v>4339</v>
      </c>
    </row>
    <row r="4070" spans="1:4" x14ac:dyDescent="0.2">
      <c r="A4070" s="3">
        <v>2882</v>
      </c>
      <c r="B4070" s="3" t="s">
        <v>4396</v>
      </c>
      <c r="C4070" s="3" t="s">
        <v>4395</v>
      </c>
      <c r="D4070" s="3" t="s">
        <v>4339</v>
      </c>
    </row>
    <row r="4071" spans="1:4" x14ac:dyDescent="0.2">
      <c r="A4071" s="3">
        <v>2887</v>
      </c>
      <c r="B4071" s="3" t="s">
        <v>4397</v>
      </c>
      <c r="C4071" s="3" t="s">
        <v>4397</v>
      </c>
      <c r="D4071" s="3" t="s">
        <v>4339</v>
      </c>
    </row>
    <row r="4072" spans="1:4" x14ac:dyDescent="0.2">
      <c r="A4072" s="3">
        <v>2942</v>
      </c>
      <c r="B4072" s="3" t="s">
        <v>4398</v>
      </c>
      <c r="C4072" s="3" t="s">
        <v>4398</v>
      </c>
      <c r="D4072" s="3" t="s">
        <v>4339</v>
      </c>
    </row>
    <row r="4073" spans="1:4" x14ac:dyDescent="0.2">
      <c r="A4073" s="3">
        <v>2935</v>
      </c>
      <c r="B4073" s="3" t="s">
        <v>4399</v>
      </c>
      <c r="C4073" s="3" t="s">
        <v>4399</v>
      </c>
      <c r="D4073" s="3" t="s">
        <v>4339</v>
      </c>
    </row>
    <row r="4074" spans="1:4" x14ac:dyDescent="0.2">
      <c r="A4074" s="3">
        <v>2926</v>
      </c>
      <c r="B4074" s="3" t="s">
        <v>4400</v>
      </c>
      <c r="C4074" s="3" t="s">
        <v>4400</v>
      </c>
      <c r="D4074" s="3" t="s">
        <v>4339</v>
      </c>
    </row>
    <row r="4075" spans="1:4" x14ac:dyDescent="0.2">
      <c r="A4075" s="3">
        <v>2944</v>
      </c>
      <c r="B4075" s="3" t="s">
        <v>4401</v>
      </c>
      <c r="C4075" s="3" t="s">
        <v>4401</v>
      </c>
      <c r="D4075" s="3" t="s">
        <v>4339</v>
      </c>
    </row>
    <row r="4076" spans="1:4" x14ac:dyDescent="0.2">
      <c r="A4076" s="3">
        <v>2915</v>
      </c>
      <c r="B4076" s="3" t="s">
        <v>4402</v>
      </c>
      <c r="C4076" s="3" t="s">
        <v>4402</v>
      </c>
      <c r="D4076" s="3" t="s">
        <v>4339</v>
      </c>
    </row>
    <row r="4077" spans="1:4" x14ac:dyDescent="0.2">
      <c r="A4077" s="3">
        <v>2932</v>
      </c>
      <c r="B4077" s="3" t="s">
        <v>4403</v>
      </c>
      <c r="C4077" s="3" t="s">
        <v>4403</v>
      </c>
      <c r="D4077" s="3" t="s">
        <v>4339</v>
      </c>
    </row>
    <row r="4078" spans="1:4" x14ac:dyDescent="0.2">
      <c r="A4078" s="3">
        <v>2952</v>
      </c>
      <c r="B4078" s="3" t="s">
        <v>4404</v>
      </c>
      <c r="C4078" s="3" t="s">
        <v>4404</v>
      </c>
      <c r="D4078" s="3" t="s">
        <v>4339</v>
      </c>
    </row>
    <row r="4079" spans="1:4" x14ac:dyDescent="0.2">
      <c r="A4079" s="3">
        <v>2922</v>
      </c>
      <c r="B4079" s="3" t="s">
        <v>4405</v>
      </c>
      <c r="C4079" s="3" t="s">
        <v>4405</v>
      </c>
      <c r="D4079" s="3" t="s">
        <v>4339</v>
      </c>
    </row>
    <row r="4080" spans="1:4" x14ac:dyDescent="0.2">
      <c r="A4080" s="3">
        <v>2950</v>
      </c>
      <c r="B4080" s="3" t="s">
        <v>4406</v>
      </c>
      <c r="C4080" s="3" t="s">
        <v>4406</v>
      </c>
      <c r="D4080" s="3" t="s">
        <v>4339</v>
      </c>
    </row>
    <row r="4081" spans="1:4" x14ac:dyDescent="0.2">
      <c r="A4081" s="3">
        <v>2950</v>
      </c>
      <c r="B4081" s="3" t="s">
        <v>4407</v>
      </c>
      <c r="C4081" s="3" t="s">
        <v>4406</v>
      </c>
      <c r="D4081" s="3" t="s">
        <v>4339</v>
      </c>
    </row>
    <row r="4082" spans="1:4" x14ac:dyDescent="0.2">
      <c r="A4082" s="3">
        <v>2905</v>
      </c>
      <c r="B4082" s="3" t="s">
        <v>4408</v>
      </c>
      <c r="C4082" s="3" t="s">
        <v>4408</v>
      </c>
      <c r="D4082" s="3" t="s">
        <v>4339</v>
      </c>
    </row>
    <row r="4083" spans="1:4" x14ac:dyDescent="0.2">
      <c r="A4083" s="3">
        <v>2933</v>
      </c>
      <c r="B4083" s="3" t="s">
        <v>4409</v>
      </c>
      <c r="C4083" s="3" t="s">
        <v>4409</v>
      </c>
      <c r="D4083" s="3" t="s">
        <v>4339</v>
      </c>
    </row>
    <row r="4084" spans="1:4" x14ac:dyDescent="0.2">
      <c r="A4084" s="3">
        <v>2916</v>
      </c>
      <c r="B4084" s="3" t="s">
        <v>4410</v>
      </c>
      <c r="C4084" s="3" t="s">
        <v>4410</v>
      </c>
      <c r="D4084" s="3" t="s">
        <v>4339</v>
      </c>
    </row>
    <row r="4085" spans="1:4" x14ac:dyDescent="0.2">
      <c r="A4085" s="3">
        <v>2902</v>
      </c>
      <c r="B4085" s="3" t="s">
        <v>4411</v>
      </c>
      <c r="C4085" s="3" t="s">
        <v>4411</v>
      </c>
      <c r="D4085" s="3" t="s">
        <v>4339</v>
      </c>
    </row>
    <row r="4086" spans="1:4" x14ac:dyDescent="0.2">
      <c r="A4086" s="3">
        <v>2903</v>
      </c>
      <c r="B4086" s="3" t="s">
        <v>4412</v>
      </c>
      <c r="C4086" s="3" t="s">
        <v>4411</v>
      </c>
      <c r="D4086" s="3" t="s">
        <v>4339</v>
      </c>
    </row>
    <row r="4087" spans="1:4" x14ac:dyDescent="0.2">
      <c r="A4087" s="3">
        <v>2904</v>
      </c>
      <c r="B4087" s="3" t="s">
        <v>4413</v>
      </c>
      <c r="C4087" s="3" t="s">
        <v>4411</v>
      </c>
      <c r="D4087" s="3" t="s">
        <v>4339</v>
      </c>
    </row>
    <row r="4088" spans="1:4" x14ac:dyDescent="0.2">
      <c r="A4088" s="3">
        <v>2908</v>
      </c>
      <c r="B4088" s="3" t="s">
        <v>4414</v>
      </c>
      <c r="C4088" s="3" t="s">
        <v>4414</v>
      </c>
      <c r="D4088" s="3" t="s">
        <v>4339</v>
      </c>
    </row>
    <row r="4089" spans="1:4" x14ac:dyDescent="0.2">
      <c r="A4089" s="3">
        <v>2933</v>
      </c>
      <c r="B4089" s="3" t="s">
        <v>4415</v>
      </c>
      <c r="C4089" s="3" t="s">
        <v>4415</v>
      </c>
      <c r="D4089" s="3" t="s">
        <v>4339</v>
      </c>
    </row>
    <row r="4090" spans="1:4" x14ac:dyDescent="0.2">
      <c r="A4090" s="3">
        <v>2900</v>
      </c>
      <c r="B4090" s="3" t="s">
        <v>4416</v>
      </c>
      <c r="C4090" s="3" t="s">
        <v>4416</v>
      </c>
      <c r="D4090" s="3" t="s">
        <v>4339</v>
      </c>
    </row>
    <row r="4091" spans="1:4" x14ac:dyDescent="0.2">
      <c r="A4091" s="3">
        <v>2943</v>
      </c>
      <c r="B4091" s="3" t="s">
        <v>4417</v>
      </c>
      <c r="C4091" s="3" t="s">
        <v>4417</v>
      </c>
      <c r="D4091" s="3" t="s">
        <v>4339</v>
      </c>
    </row>
    <row r="4092" spans="1:4" x14ac:dyDescent="0.2">
      <c r="A4092" s="3">
        <v>2923</v>
      </c>
      <c r="B4092" s="3" t="s">
        <v>4418</v>
      </c>
      <c r="C4092" s="3" t="s">
        <v>4419</v>
      </c>
      <c r="D4092" s="3" t="s">
        <v>4339</v>
      </c>
    </row>
    <row r="4093" spans="1:4" x14ac:dyDescent="0.2">
      <c r="A4093" s="3">
        <v>2924</v>
      </c>
      <c r="B4093" s="3" t="s">
        <v>4420</v>
      </c>
      <c r="C4093" s="3" t="s">
        <v>4419</v>
      </c>
      <c r="D4093" s="3" t="s">
        <v>4339</v>
      </c>
    </row>
    <row r="4094" spans="1:4" x14ac:dyDescent="0.2">
      <c r="A4094" s="3">
        <v>2925</v>
      </c>
      <c r="B4094" s="3" t="s">
        <v>4421</v>
      </c>
      <c r="C4094" s="3" t="s">
        <v>4419</v>
      </c>
      <c r="D4094" s="3" t="s">
        <v>4339</v>
      </c>
    </row>
    <row r="4095" spans="1:4" x14ac:dyDescent="0.2">
      <c r="A4095" s="3">
        <v>2882</v>
      </c>
      <c r="B4095" s="3" t="s">
        <v>4396</v>
      </c>
      <c r="C4095" s="3" t="s">
        <v>4422</v>
      </c>
      <c r="D4095" s="3" t="s">
        <v>4339</v>
      </c>
    </row>
    <row r="4096" spans="1:4" x14ac:dyDescent="0.2">
      <c r="A4096" s="3">
        <v>2883</v>
      </c>
      <c r="B4096" s="3" t="s">
        <v>4423</v>
      </c>
      <c r="C4096" s="3" t="s">
        <v>4422</v>
      </c>
      <c r="D4096" s="3" t="s">
        <v>4339</v>
      </c>
    </row>
    <row r="4097" spans="1:4" x14ac:dyDescent="0.2">
      <c r="A4097" s="3">
        <v>2884</v>
      </c>
      <c r="B4097" s="3" t="s">
        <v>4424</v>
      </c>
      <c r="C4097" s="3" t="s">
        <v>4422</v>
      </c>
      <c r="D4097" s="3" t="s">
        <v>4339</v>
      </c>
    </row>
    <row r="4098" spans="1:4" x14ac:dyDescent="0.2">
      <c r="A4098" s="3">
        <v>2885</v>
      </c>
      <c r="B4098" s="3" t="s">
        <v>4425</v>
      </c>
      <c r="C4098" s="3" t="s">
        <v>4422</v>
      </c>
      <c r="D4098" s="3" t="s">
        <v>4339</v>
      </c>
    </row>
    <row r="4099" spans="1:4" x14ac:dyDescent="0.2">
      <c r="A4099" s="3">
        <v>2886</v>
      </c>
      <c r="B4099" s="3" t="s">
        <v>4426</v>
      </c>
      <c r="C4099" s="3" t="s">
        <v>4422</v>
      </c>
      <c r="D4099" s="3" t="s">
        <v>4339</v>
      </c>
    </row>
    <row r="4100" spans="1:4" x14ac:dyDescent="0.2">
      <c r="A4100" s="3">
        <v>2888</v>
      </c>
      <c r="B4100" s="3" t="s">
        <v>4427</v>
      </c>
      <c r="C4100" s="3" t="s">
        <v>4422</v>
      </c>
      <c r="D4100" s="3" t="s">
        <v>4339</v>
      </c>
    </row>
    <row r="4101" spans="1:4" x14ac:dyDescent="0.2">
      <c r="A4101" s="3">
        <v>2889</v>
      </c>
      <c r="B4101" s="3" t="s">
        <v>4428</v>
      </c>
      <c r="C4101" s="3" t="s">
        <v>4422</v>
      </c>
      <c r="D4101" s="3" t="s">
        <v>4339</v>
      </c>
    </row>
    <row r="4102" spans="1:4" x14ac:dyDescent="0.2">
      <c r="A4102" s="3">
        <v>2906</v>
      </c>
      <c r="B4102" s="3" t="s">
        <v>4429</v>
      </c>
      <c r="C4102" s="3" t="s">
        <v>4430</v>
      </c>
      <c r="D4102" s="3" t="s">
        <v>4339</v>
      </c>
    </row>
    <row r="4103" spans="1:4" x14ac:dyDescent="0.2">
      <c r="A4103" s="3">
        <v>2907</v>
      </c>
      <c r="B4103" s="3" t="s">
        <v>4431</v>
      </c>
      <c r="C4103" s="3" t="s">
        <v>4430</v>
      </c>
      <c r="D4103" s="3" t="s">
        <v>4339</v>
      </c>
    </row>
    <row r="4104" spans="1:4" x14ac:dyDescent="0.2">
      <c r="A4104" s="3">
        <v>2912</v>
      </c>
      <c r="B4104" s="3" t="s">
        <v>4432</v>
      </c>
      <c r="C4104" s="3" t="s">
        <v>4430</v>
      </c>
      <c r="D4104" s="3" t="s">
        <v>4339</v>
      </c>
    </row>
    <row r="4105" spans="1:4" x14ac:dyDescent="0.2">
      <c r="A4105" s="3">
        <v>2912</v>
      </c>
      <c r="B4105" s="3" t="s">
        <v>4433</v>
      </c>
      <c r="C4105" s="3" t="s">
        <v>4430</v>
      </c>
      <c r="D4105" s="3" t="s">
        <v>4339</v>
      </c>
    </row>
    <row r="4106" spans="1:4" x14ac:dyDescent="0.2">
      <c r="A4106" s="3">
        <v>2914</v>
      </c>
      <c r="B4106" s="3" t="s">
        <v>4434</v>
      </c>
      <c r="C4106" s="3" t="s">
        <v>4430</v>
      </c>
      <c r="D4106" s="3" t="s">
        <v>4339</v>
      </c>
    </row>
    <row r="4107" spans="1:4" x14ac:dyDescent="0.2">
      <c r="A4107" s="3">
        <v>2946</v>
      </c>
      <c r="B4107" s="3" t="s">
        <v>4435</v>
      </c>
      <c r="C4107" s="3" t="s">
        <v>4436</v>
      </c>
      <c r="D4107" s="3" t="s">
        <v>4339</v>
      </c>
    </row>
    <row r="4108" spans="1:4" x14ac:dyDescent="0.2">
      <c r="A4108" s="3">
        <v>2947</v>
      </c>
      <c r="B4108" s="3" t="s">
        <v>4437</v>
      </c>
      <c r="C4108" s="3" t="s">
        <v>4436</v>
      </c>
      <c r="D4108" s="3" t="s">
        <v>4339</v>
      </c>
    </row>
    <row r="4109" spans="1:4" x14ac:dyDescent="0.2">
      <c r="A4109" s="3">
        <v>2953</v>
      </c>
      <c r="B4109" s="3" t="s">
        <v>4438</v>
      </c>
      <c r="C4109" s="3" t="s">
        <v>4436</v>
      </c>
      <c r="D4109" s="3" t="s">
        <v>4339</v>
      </c>
    </row>
    <row r="4110" spans="1:4" x14ac:dyDescent="0.2">
      <c r="A4110" s="3">
        <v>2953</v>
      </c>
      <c r="B4110" s="3" t="s">
        <v>4439</v>
      </c>
      <c r="C4110" s="3" t="s">
        <v>4436</v>
      </c>
      <c r="D4110" s="3" t="s">
        <v>4339</v>
      </c>
    </row>
    <row r="4111" spans="1:4" x14ac:dyDescent="0.2">
      <c r="A4111" s="3">
        <v>2954</v>
      </c>
      <c r="B4111" s="3" t="s">
        <v>4440</v>
      </c>
      <c r="C4111" s="3" t="s">
        <v>4436</v>
      </c>
      <c r="D4111" s="3" t="s">
        <v>4339</v>
      </c>
    </row>
    <row r="4112" spans="1:4" x14ac:dyDescent="0.2">
      <c r="A4112" s="3">
        <v>9490</v>
      </c>
      <c r="B4112" s="3" t="s">
        <v>4441</v>
      </c>
      <c r="C4112" s="3" t="s">
        <v>4441</v>
      </c>
      <c r="D4112" s="3"/>
    </row>
    <row r="4113" spans="1:4" x14ac:dyDescent="0.2">
      <c r="A4113" s="3">
        <v>9495</v>
      </c>
      <c r="B4113" s="3" t="s">
        <v>4442</v>
      </c>
      <c r="C4113" s="3" t="s">
        <v>4442</v>
      </c>
      <c r="D4113" s="3"/>
    </row>
    <row r="4114" spans="1:4" x14ac:dyDescent="0.2">
      <c r="A4114" s="3">
        <v>9496</v>
      </c>
      <c r="B4114" s="3" t="s">
        <v>4443</v>
      </c>
      <c r="C4114" s="3" t="s">
        <v>4443</v>
      </c>
      <c r="D4114" s="3"/>
    </row>
    <row r="4115" spans="1:4" x14ac:dyDescent="0.2">
      <c r="A4115" s="3">
        <v>9497</v>
      </c>
      <c r="B4115" s="3" t="s">
        <v>4444</v>
      </c>
      <c r="C4115" s="3" t="s">
        <v>4444</v>
      </c>
      <c r="D4115" s="3"/>
    </row>
    <row r="4116" spans="1:4" x14ac:dyDescent="0.2">
      <c r="A4116" s="3">
        <v>9494</v>
      </c>
      <c r="B4116" s="3" t="s">
        <v>4445</v>
      </c>
      <c r="C4116" s="3" t="s">
        <v>4445</v>
      </c>
      <c r="D4116" s="3"/>
    </row>
    <row r="4117" spans="1:4" x14ac:dyDescent="0.2">
      <c r="A4117" s="3">
        <v>9498</v>
      </c>
      <c r="B4117" s="3" t="s">
        <v>4446</v>
      </c>
      <c r="C4117" s="3" t="s">
        <v>4446</v>
      </c>
      <c r="D4117" s="3"/>
    </row>
    <row r="4118" spans="1:4" x14ac:dyDescent="0.2">
      <c r="A4118" s="3">
        <v>9485</v>
      </c>
      <c r="B4118" s="3" t="s">
        <v>4447</v>
      </c>
      <c r="C4118" s="3" t="s">
        <v>4448</v>
      </c>
      <c r="D4118" s="3"/>
    </row>
    <row r="4119" spans="1:4" x14ac:dyDescent="0.2">
      <c r="A4119" s="3">
        <v>9492</v>
      </c>
      <c r="B4119" s="3" t="s">
        <v>4448</v>
      </c>
      <c r="C4119" s="3" t="s">
        <v>4448</v>
      </c>
      <c r="D4119" s="3"/>
    </row>
    <row r="4120" spans="1:4" x14ac:dyDescent="0.2">
      <c r="A4120" s="3">
        <v>9486</v>
      </c>
      <c r="B4120" s="3" t="s">
        <v>4449</v>
      </c>
      <c r="C4120" s="3" t="s">
        <v>4450</v>
      </c>
      <c r="D4120" s="3"/>
    </row>
    <row r="4121" spans="1:4" x14ac:dyDescent="0.2">
      <c r="A4121" s="3">
        <v>9493</v>
      </c>
      <c r="B4121" s="3" t="s">
        <v>4451</v>
      </c>
      <c r="C4121" s="3" t="s">
        <v>4450</v>
      </c>
      <c r="D4121" s="3"/>
    </row>
    <row r="4122" spans="1:4" x14ac:dyDescent="0.2">
      <c r="A4122" s="3">
        <v>9487</v>
      </c>
      <c r="B4122" s="3" t="s">
        <v>4452</v>
      </c>
      <c r="C4122" s="3" t="s">
        <v>4453</v>
      </c>
      <c r="D4122" s="3"/>
    </row>
    <row r="4123" spans="1:4" x14ac:dyDescent="0.2">
      <c r="A4123" s="3">
        <v>9491</v>
      </c>
      <c r="B4123" s="3" t="s">
        <v>4454</v>
      </c>
      <c r="C4123" s="3" t="s">
        <v>4454</v>
      </c>
      <c r="D4123" s="3"/>
    </row>
    <row r="4124" spans="1:4" x14ac:dyDescent="0.2">
      <c r="A4124" s="3">
        <v>9488</v>
      </c>
      <c r="B4124" s="3" t="s">
        <v>4455</v>
      </c>
      <c r="C4124" s="3" t="s">
        <v>4455</v>
      </c>
      <c r="D4124" s="3"/>
    </row>
    <row r="4125" spans="1:4" x14ac:dyDescent="0.2">
      <c r="A4125" s="3">
        <v>9999</v>
      </c>
      <c r="B4125" s="3" t="s">
        <v>4456</v>
      </c>
      <c r="C4125" s="3" t="s">
        <v>4456</v>
      </c>
      <c r="D4125" s="3" t="s">
        <v>309</v>
      </c>
    </row>
    <row r="4126" spans="1:4" x14ac:dyDescent="0.2">
      <c r="A4126" s="3">
        <v>9999</v>
      </c>
      <c r="B4126" s="3" t="s">
        <v>4457</v>
      </c>
      <c r="C4126" s="3" t="s">
        <v>4457</v>
      </c>
      <c r="D4126" s="3" t="s">
        <v>309</v>
      </c>
    </row>
    <row r="4127" spans="1:4" x14ac:dyDescent="0.2">
      <c r="A4127" s="3">
        <v>9999</v>
      </c>
      <c r="B4127" s="3" t="s">
        <v>4458</v>
      </c>
      <c r="C4127" s="3" t="s">
        <v>4459</v>
      </c>
      <c r="D4127" s="3" t="s">
        <v>309</v>
      </c>
    </row>
    <row r="4128" spans="1:4" x14ac:dyDescent="0.2">
      <c r="B4128" s="4">
        <v>44749</v>
      </c>
      <c r="C4128" s="5" t="s">
        <v>4460</v>
      </c>
    </row>
  </sheetData>
  <hyperlinks>
    <hyperlink ref="C4128" r:id="rId1" xr:uid="{0C2F6810-0D25-4656-8ACC-DD2A7CDAFF24}"/>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U D A A B Q S w M E F A A C A A g A t 4 S 2 W n y i Q 9 y l A A A A 9 g A A A B I A H A B D b 2 5 m a W c v U G F j a 2 F n Z S 5 4 b W w g o h g A K K A U A A A A A A A A A A A A A A A A A A A A A A A A A A A A h Y 8 x D o I w G I W v Q r r T F s T E k J 8 y s D h I Y m J i X J t S o R G K a Y v l b g 4 e y S u I U d T N 8 X 3 v G 9 6 7 X 2 + Q j 1 0 b X K S x q t c Z i j B F g d S i r 5 S u M z S 4 Y 7 h C O Y M t F y d e y 2 C S t U 1 H W 2 W o c e 6 c E u K 9 x 3 6 B e 1 O T m N K I H M r N T j S y 4 + g j q / 9 y q L R 1 X A u J G O x f Y 1 i M o 4 T i h C 4 x B T J D K J X + C v G 0 9 9 n + Q C i G 1 g 1 G s q M J i z W Q O Q J 5 f 2 A P U E s D B B Q A A g A I A L e E t 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3 h L Z a K I p H u A 4 A A A A R A A A A E w A c A E Z v c m 1 1 b G F z L 1 N l Y 3 R p b 2 4 x L m 0 g o h g A K K A U A A A A A A A A A A A A A A A A A A A A A A A A A A A A K 0 5 N L s n M z 1 M I h t C G 1 g B Q S w E C L Q A U A A I A C A C 3 h L Z a f K J D 3 K U A A A D 2 A A A A E g A A A A A A A A A A A A A A A A A A A A A A Q 2 9 u Z m l n L 1 B h Y 2 t h Z 2 U u e G 1 s U E s B A i 0 A F A A C A A g A t 4 S 2 W g / K 6 a u k A A A A 6 Q A A A B M A A A A A A A A A A A A A A A A A 8 Q A A A F t D b 2 5 0 Z W 5 0 X 1 R 5 c G V z X S 5 4 b W x Q S w E C L Q A U A A I A C A C 3 h L Z 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J U I O M Q M m n k 2 g j 6 0 R + W 9 j X g A A A A A C A A A A A A A D Z g A A w A A A A B A A A A C A A 1 7 m i Z x V q 5 m 9 U q w w z F c a A A A A A A S A A A C g A A A A E A A A A O p X d O q I V g 0 T o C g v 4 o r C F / h Q A A A A j E q l J D l N i 9 k t l 2 J K S M W A s j D S X s 4 P n d D 8 / x L z + / h k S k Q Q B L M A D q O b w 2 n w T T M W r 9 f k F i z K t A a i s w x v f c 8 v j / X x V n C B x i y Z J Z u V z V 6 4 X X C r h Z c U A A A A s n g j n 5 A H S h 3 5 O M t Z W Z D k 0 X X x x e E = < / D a t a M a s h u p > 
</file>

<file path=customXml/item2.xml><?xml version="1.0" encoding="utf-8"?>
<ct:contentTypeSchema xmlns:ct="http://schemas.microsoft.com/office/2006/metadata/contentType" xmlns:ma="http://schemas.microsoft.com/office/2006/metadata/properties/metaAttributes" ct:_="" ma:_="" ma:contentTypeName="Dokument" ma:contentTypeID="0x0101005072154B6D7EA94FB338BE473FAC9B24" ma:contentTypeVersion="18" ma:contentTypeDescription="Ein neues Dokument erstellen." ma:contentTypeScope="" ma:versionID="2c4bebf247879251ef0e1372e2b5e8f7">
  <xsd:schema xmlns:xsd="http://www.w3.org/2001/XMLSchema" xmlns:xs="http://www.w3.org/2001/XMLSchema" xmlns:p="http://schemas.microsoft.com/office/2006/metadata/properties" xmlns:ns2="d1b8bd50-9bf3-49a7-bf17-021af0824364" xmlns:ns3="68779d9b-159b-4ebc-afe2-9a6694c4fc03" targetNamespace="http://schemas.microsoft.com/office/2006/metadata/properties" ma:root="true" ma:fieldsID="a1a8a6675094d5bc8e0375a44e9864c9" ns2:_="" ns3:_="">
    <xsd:import namespace="d1b8bd50-9bf3-49a7-bf17-021af0824364"/>
    <xsd:import namespace="68779d9b-159b-4ebc-afe2-9a6694c4fc03"/>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8bd50-9bf3-49a7-bf17-021af08243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Bildmarkierungen" ma:readOnly="false" ma:fieldId="{5cf76f15-5ced-4ddc-b409-7134ff3c332f}" ma:taxonomyMulti="true" ma:sspId="98e90db2-d066-427b-8099-abed3aebe14a"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779d9b-159b-4ebc-afe2-9a6694c4fc03"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4ace8edd-ee45-4be4-b20d-5cdd10829e05}" ma:internalName="TaxCatchAll" ma:showField="CatchAllData" ma:web="68779d9b-159b-4ebc-afe2-9a6694c4fc0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d1b8bd50-9bf3-49a7-bf17-021af0824364">
      <Terms xmlns="http://schemas.microsoft.com/office/infopath/2007/PartnerControls"/>
    </lcf76f155ced4ddcb4097134ff3c332f>
    <TaxCatchAll xmlns="68779d9b-159b-4ebc-afe2-9a6694c4fc03" xsi:nil="true"/>
  </documentManagement>
</p:properties>
</file>

<file path=customXml/itemProps1.xml><?xml version="1.0" encoding="utf-8"?>
<ds:datastoreItem xmlns:ds="http://schemas.openxmlformats.org/officeDocument/2006/customXml" ds:itemID="{52496F92-7DFE-49A3-B652-4D202E89E6EB}">
  <ds:schemaRefs>
    <ds:schemaRef ds:uri="http://schemas.microsoft.com/DataMashup"/>
  </ds:schemaRefs>
</ds:datastoreItem>
</file>

<file path=customXml/itemProps2.xml><?xml version="1.0" encoding="utf-8"?>
<ds:datastoreItem xmlns:ds="http://schemas.openxmlformats.org/officeDocument/2006/customXml" ds:itemID="{7AB9A61C-0EED-4475-8DEE-8FCF3FF0FC03}"/>
</file>

<file path=customXml/itemProps3.xml><?xml version="1.0" encoding="utf-8"?>
<ds:datastoreItem xmlns:ds="http://schemas.openxmlformats.org/officeDocument/2006/customXml" ds:itemID="{727333EC-D468-4090-9D3D-5B1E883EB468}"/>
</file>

<file path=customXml/itemProps4.xml><?xml version="1.0" encoding="utf-8"?>
<ds:datastoreItem xmlns:ds="http://schemas.openxmlformats.org/officeDocument/2006/customXml" ds:itemID="{7E090C95-989E-447A-BEF7-27A08290837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5</vt:i4>
      </vt:variant>
      <vt:variant>
        <vt:lpstr>Plages nommées</vt:lpstr>
      </vt:variant>
      <vt:variant>
        <vt:i4>19</vt:i4>
      </vt:variant>
    </vt:vector>
  </HeadingPairs>
  <TitlesOfParts>
    <vt:vector size="24" baseType="lpstr">
      <vt:lpstr>Version</vt:lpstr>
      <vt:lpstr>A</vt:lpstr>
      <vt:lpstr>B</vt:lpstr>
      <vt:lpstr>Y</vt:lpstr>
      <vt:lpstr>Z</vt:lpstr>
      <vt:lpstr>Categories</vt:lpstr>
      <vt:lpstr>Clean</vt:lpstr>
      <vt:lpstr>E_alt</vt:lpstr>
      <vt:lpstr>E_neu</vt:lpstr>
      <vt:lpstr>Kat</vt:lpstr>
      <vt:lpstr>Lang</vt:lpstr>
      <vt:lpstr>Lang_measure</vt:lpstr>
      <vt:lpstr>Loc</vt:lpstr>
      <vt:lpstr>measure_id</vt:lpstr>
      <vt:lpstr>measure_version</vt:lpstr>
      <vt:lpstr>Medium</vt:lpstr>
      <vt:lpstr>PLZ</vt:lpstr>
      <vt:lpstr>Region</vt:lpstr>
      <vt:lpstr>Systems</vt:lpstr>
      <vt:lpstr>Trad</vt:lpstr>
      <vt:lpstr>Units</vt:lpstr>
      <vt:lpstr>Use</vt:lpstr>
      <vt:lpstr>A!Zone_d_impression</vt:lpstr>
      <vt:lpstr>Version!Zone_d_impression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Stadler Paul BFE</dc:creator>
  <cp:lastModifiedBy>Marchesi Simone BFE</cp:lastModifiedBy>
  <cp:lastPrinted>2025-11-17T16:04:17Z</cp:lastPrinted>
  <dcterms:created xsi:type="dcterms:W3CDTF">2015-06-05T18:19:34Z</dcterms:created>
  <dcterms:modified xsi:type="dcterms:W3CDTF">2025-11-27T10:51:08Z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a112399-b73b-40c1-8af2-919b124b9d91_Enabled">
    <vt:lpwstr>true</vt:lpwstr>
  </property>
  <property fmtid="{D5CDD505-2E9C-101B-9397-08002B2CF9AE}" pid="3" name="MSIP_Label_aa112399-b73b-40c1-8af2-919b124b9d91_SetDate">
    <vt:lpwstr>2025-04-28T06:44:18Z</vt:lpwstr>
  </property>
  <property fmtid="{D5CDD505-2E9C-101B-9397-08002B2CF9AE}" pid="4" name="MSIP_Label_aa112399-b73b-40c1-8af2-919b124b9d91_Method">
    <vt:lpwstr>Privileged</vt:lpwstr>
  </property>
  <property fmtid="{D5CDD505-2E9C-101B-9397-08002B2CF9AE}" pid="5" name="MSIP_Label_aa112399-b73b-40c1-8af2-919b124b9d91_Name">
    <vt:lpwstr>L2</vt:lpwstr>
  </property>
  <property fmtid="{D5CDD505-2E9C-101B-9397-08002B2CF9AE}" pid="6" name="MSIP_Label_aa112399-b73b-40c1-8af2-919b124b9d91_SiteId">
    <vt:lpwstr>6ae27add-8276-4a38-88c1-3a9c1f973767</vt:lpwstr>
  </property>
  <property fmtid="{D5CDD505-2E9C-101B-9397-08002B2CF9AE}" pid="7" name="MSIP_Label_aa112399-b73b-40c1-8af2-919b124b9d91_ActionId">
    <vt:lpwstr>63bea3cc-e371-4462-9fa9-78dabacad393</vt:lpwstr>
  </property>
  <property fmtid="{D5CDD505-2E9C-101B-9397-08002B2CF9AE}" pid="8" name="MSIP_Label_aa112399-b73b-40c1-8af2-919b124b9d91_ContentBits">
    <vt:lpwstr>0</vt:lpwstr>
  </property>
  <property fmtid="{D5CDD505-2E9C-101B-9397-08002B2CF9AE}" pid="9" name="MSIP_Label_aa112399-b73b-40c1-8af2-919b124b9d91_Tag">
    <vt:lpwstr>10, 0, 1, 1</vt:lpwstr>
  </property>
  <property fmtid="{D5CDD505-2E9C-101B-9397-08002B2CF9AE}" pid="10" name="ContentTypeId">
    <vt:lpwstr>0x0101005072154B6D7EA94FB338BE473FAC9B24</vt:lpwstr>
  </property>
</Properties>
</file>